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omments3.xml" ContentType="application/vnd.openxmlformats-officedocument.spreadsheetml.comments+xml"/>
  <Override PartName="/xl/tables/table1.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codeName="ThisWorkbook"/>
  <mc:AlternateContent xmlns:mc="http://schemas.openxmlformats.org/markup-compatibility/2006">
    <mc:Choice Requires="x15">
      <x15ac:absPath xmlns:x15ac="http://schemas.microsoft.com/office/spreadsheetml/2010/11/ac" url="D:\GitHub\Bayesian_FAV_Tutorial\"/>
    </mc:Choice>
  </mc:AlternateContent>
  <xr:revisionPtr revIDLastSave="0" documentId="13_ncr:1_{FD1E21D6-2F96-4D45-AAAE-946AA7C1FC81}" xr6:coauthVersionLast="36" xr6:coauthVersionMax="46" xr10:uidLastSave="{00000000-0000-0000-0000-000000000000}"/>
  <bookViews>
    <workbookView xWindow="0" yWindow="1035" windowWidth="28800" windowHeight="10290" tabRatio="722" firstSheet="7" activeTab="7" xr2:uid="{00000000-000D-0000-FFFF-FFFF00000000}"/>
  </bookViews>
  <sheets>
    <sheet name="Table S2 Compound Identifiers" sheetId="58" r:id="rId1"/>
    <sheet name="Table S3 Literature Values" sheetId="1" r:id="rId2"/>
    <sheet name="Table S4 Conversions and Notes" sheetId="2" r:id="rId3"/>
    <sheet name="Table S6 Recommended Values" sheetId="28" r:id="rId4"/>
    <sheet name="Table S5 Measurement References" sheetId="3" r:id="rId5"/>
    <sheet name="Table S9 Model Derived Values" sheetId="6" r:id="rId6"/>
    <sheet name="LDV Output" sheetId="59" r:id="rId7"/>
    <sheet name="LDV_MDV Output" sheetId="61" r:id="rId8"/>
    <sheet name="RAVs" sheetId="30" state="hidden" r:id="rId9"/>
  </sheets>
  <externalReferences>
    <externalReference r:id="rId10"/>
  </externalReferences>
  <definedNames>
    <definedName name="dHRSD_All" localSheetId="3">'Table S6 Recommended Values'!#REF!</definedName>
    <definedName name="dHRSD_All">'Table S9 Model Derived Values'!$E$607</definedName>
    <definedName name="dHRSD_Musk" localSheetId="3">'Table S6 Recommended Values'!#REF!</definedName>
    <definedName name="dHRSD_Musk">'Table S9 Model Derived Values'!$E$609</definedName>
    <definedName name="dHRSD_NBFR" localSheetId="3">'Table S6 Recommended Values'!#REF!</definedName>
    <definedName name="dHRSD_NBFR">'Table S9 Model Derived Values'!$E$611</definedName>
    <definedName name="dHRSD_OCP" localSheetId="3">'Table S6 Recommended Values'!#REF!</definedName>
    <definedName name="dHRSD_OCP">'Table S9 Model Derived Values'!$E$613</definedName>
    <definedName name="dHRSD_OPE" localSheetId="3">'Table S6 Recommended Values'!#REF!</definedName>
    <definedName name="dHRSD_OPE">'Table S9 Model Derived Values'!$E$615</definedName>
    <definedName name="dHRSD_PAH" localSheetId="3">'Table S6 Recommended Values'!#REF!</definedName>
    <definedName name="dHRSD_PAH">'Table S9 Model Derived Values'!$E$617</definedName>
    <definedName name="dHRSD_PBDE" localSheetId="3">'Table S6 Recommended Values'!#REF!</definedName>
    <definedName name="dHRSD_PBDE">'Table S9 Model Derived Values'!$E$619</definedName>
    <definedName name="dHRSD_PCB" localSheetId="3">'Table S6 Recommended Values'!#REF!</definedName>
    <definedName name="dHRSD_PCB">'Table S9 Model Derived Values'!$E$621</definedName>
    <definedName name="dHRSD_phthalate">'Table S9 Model Derived Values'!$E$623</definedName>
    <definedName name="dHRSD_UV" localSheetId="3">'Table S6 Recommended Values'!#REF!</definedName>
    <definedName name="dHRSD_UV">'Table S9 Model Derived Values'!$E$625</definedName>
    <definedName name="dUaw_RSD_COSMO">'Table S9 Model Derived Values'!$Q$607</definedName>
    <definedName name="dUawRSD_All" localSheetId="3">'Table S6 Recommended Values'!#REF!</definedName>
    <definedName name="dUawRSD_All">'Table S9 Model Derived Values'!$P$607</definedName>
    <definedName name="dUawRSD_Musk">'Table S9 Model Derived Values'!$P$609</definedName>
    <definedName name="dUawRSD_OCP">'Table S9 Model Derived Values'!$P$613</definedName>
    <definedName name="dUawRSD_PBDE" localSheetId="3">'Table S6 Recommended Values'!#REF!</definedName>
    <definedName name="dUawRSD_PBDE">'Table S9 Model Derived Values'!$P$619</definedName>
    <definedName name="dUawRSD_PCB" localSheetId="3">'Table S6 Recommended Values'!#REF!</definedName>
    <definedName name="dUawRSD_PCB">'Table S9 Model Derived Values'!$P$621</definedName>
    <definedName name="dUoaRSD_All" localSheetId="3">'Table S6 Recommended Values'!#REF!</definedName>
    <definedName name="dUoaRSD_All">'Table S9 Model Derived Values'!$M$607</definedName>
    <definedName name="dUoaRSD_Musk" localSheetId="3">'Table S6 Recommended Values'!#REF!</definedName>
    <definedName name="dUoaRSD_Musk">'Table S9 Model Derived Values'!$M$609</definedName>
    <definedName name="dUoaRSD_NBFR" localSheetId="3">'Table S6 Recommended Values'!#REF!</definedName>
    <definedName name="dUoaRSD_NBFR">'Table S9 Model Derived Values'!$M$611</definedName>
    <definedName name="dUoaRSD_OCP" localSheetId="3">'Table S6 Recommended Values'!#REF!</definedName>
    <definedName name="dUoaRSD_OCP">'Table S9 Model Derived Values'!$M$613</definedName>
    <definedName name="dUoaRSD_OPE" localSheetId="3">'Table S6 Recommended Values'!#REF!</definedName>
    <definedName name="dUoaRSD_OPE">'Table S9 Model Derived Values'!$M$615</definedName>
    <definedName name="dUoaRSD_PAH" localSheetId="3">'Table S6 Recommended Values'!#REF!</definedName>
    <definedName name="dUoaRSD_PAH">'Table S9 Model Derived Values'!$M$617</definedName>
    <definedName name="dUoaRSD_PBDE" localSheetId="3">'Table S6 Recommended Values'!#REF!</definedName>
    <definedName name="dUoaRSD_PBDE">'Table S9 Model Derived Values'!$M$619</definedName>
    <definedName name="dUoaRSD_PCB" localSheetId="3">'Table S6 Recommended Values'!#REF!</definedName>
    <definedName name="dUoaRSD_PCB">'Table S9 Model Derived Values'!$M$621</definedName>
    <definedName name="dUoaRSD_UV" localSheetId="3">'Table S6 Recommended Values'!#REF!</definedName>
    <definedName name="dUoaRSD_UV">'Table S9 Model Derived Values'!$M$625</definedName>
    <definedName name="dUoRSD_ALL" localSheetId="3">'Table S6 Recommended Values'!#REF!</definedName>
    <definedName name="dUoRSD_ALL">'Table S9 Model Derived Values'!$K$607</definedName>
    <definedName name="dUowRSD_All" localSheetId="3">'Table S6 Recommended Values'!#REF!</definedName>
    <definedName name="dUowRSD_All">'Table S9 Model Derived Values'!$S$607</definedName>
    <definedName name="dUowRSD_Musk">'Table S9 Model Derived Values'!$S$609</definedName>
    <definedName name="dUowRSD_PBDE" localSheetId="3">'Table S6 Recommended Values'!#REF!</definedName>
    <definedName name="dUowRSD_PBDE">'Table S9 Model Derived Values'!$S$619</definedName>
    <definedName name="dUowRSD_PCB" localSheetId="3">'Table S6 Recommended Values'!#REF!</definedName>
    <definedName name="dUowRSD_PCB">'Table S9 Model Derived Values'!$S$621</definedName>
    <definedName name="dUWRSD_ALL" localSheetId="3">'Table S6 Recommended Values'!#REF!</definedName>
    <definedName name="dUWRSD_ALL">'Table S9 Model Derived Values'!$H$607</definedName>
    <definedName name="dUWRSD_Musk">'Table S9 Model Derived Values'!$H$609</definedName>
    <definedName name="dUWRSD_OCP">'Table S9 Model Derived Values'!$H$613</definedName>
    <definedName name="dUWRSD_PCB">'Table S9 Model Derived Values'!$H$621</definedName>
    <definedName name="KawRSD_All">'Table S9 Model Derived Values'!$AC$607</definedName>
    <definedName name="KawRSD_Musk">'Table S9 Model Derived Values'!$AC$609</definedName>
    <definedName name="KawRSD_NBFR">'Table S9 Model Derived Values'!$AC$611</definedName>
    <definedName name="KawRSD_OCP">'Table S9 Model Derived Values'!$AC$613</definedName>
    <definedName name="KawRSD_OPE">'Table S9 Model Derived Values'!$AC$615</definedName>
    <definedName name="KawRSD_PAH">'Table S9 Model Derived Values'!$AC$617</definedName>
    <definedName name="KawRSD_PBDE">'Table S9 Model Derived Values'!$AC$619</definedName>
    <definedName name="KawRSD_PCB">'Table S9 Model Derived Values'!$AC$621</definedName>
    <definedName name="KawRSD_Phthalate">'Table S9 Model Derived Values'!$AC$623</definedName>
    <definedName name="KawRSD_UV">'Table S9 Model Derived Values'!$AC$625</definedName>
    <definedName name="KoaRSD_All">'Table S9 Model Derived Values'!$V$607</definedName>
    <definedName name="KoaRSD_MUSK">'Table S9 Model Derived Values'!$V$609</definedName>
    <definedName name="KoaRSD_NBFR">'Table S9 Model Derived Values'!$V$607</definedName>
    <definedName name="KoaRSD_OCP">'Table S9 Model Derived Values'!$V$613</definedName>
    <definedName name="KoaRSD_OPE">'Table S9 Model Derived Values'!$V$615</definedName>
    <definedName name="KoaRSD_PAE">'Table S9 Model Derived Values'!$V$623</definedName>
    <definedName name="KoaRSD_PAH">'Table S9 Model Derived Values'!$V$617</definedName>
    <definedName name="KoaRSD_PBDE">'Table S9 Model Derived Values'!$V$619</definedName>
    <definedName name="KoaRSD_PCB">'Table S9 Model Derived Values'!$V$621</definedName>
    <definedName name="KoaRSD_UV">'Table S9 Model Derived Values'!$V$625</definedName>
    <definedName name="KowRSD_All">'Table S9 Model Derived Values'!$Y$607</definedName>
    <definedName name="KowRSD_Musk">'Table S9 Model Derived Values'!$Y$609</definedName>
    <definedName name="KowRSD_NBFR">'Table S9 Model Derived Values'!$Y$611</definedName>
    <definedName name="KowRSD_OCP">'Table S9 Model Derived Values'!$Y$613</definedName>
    <definedName name="KowRSD_OPE">'Table S9 Model Derived Values'!$Y$615</definedName>
    <definedName name="KowRSD_PAH">'Table S9 Model Derived Values'!$Y$617</definedName>
    <definedName name="KowRSD_PBDE">'Table S9 Model Derived Values'!$Y$619</definedName>
    <definedName name="KowRSD_PCB">'Table S9 Model Derived Values'!$Y$621</definedName>
    <definedName name="KowRSD_Phthalate">'Table S9 Model Derived Values'!$Y$623</definedName>
    <definedName name="KowRSD_UV">'Table S9 Model Derived Values'!$Y$625</definedName>
    <definedName name="PLRSD_All">'Table S9 Model Derived Values'!$AF$607</definedName>
    <definedName name="PLRSD_Musk">'Table S9 Model Derived Values'!$AF$609</definedName>
    <definedName name="PLRSD_NBFR">'Table S9 Model Derived Values'!$AF$611</definedName>
    <definedName name="PLRSD_OCP">'Table S9 Model Derived Values'!$AF$613</definedName>
    <definedName name="PLRSD_OPE">'Table S9 Model Derived Values'!$AF$615</definedName>
    <definedName name="PLRSD_PAH">'Table S9 Model Derived Values'!$AF$617</definedName>
    <definedName name="PLRSD_PBDE">'Table S9 Model Derived Values'!$AF$619</definedName>
    <definedName name="PLRSD_PCB">'Table S9 Model Derived Values'!$AF$621</definedName>
    <definedName name="PLRSD_Phthalate">'Table S9 Model Derived Values'!$AF$623</definedName>
    <definedName name="PLRSD_UV">'Table S9 Model Derived Values'!$AF$625</definedName>
    <definedName name="RSD_Con" localSheetId="3">'Table S6 Recommended Values'!#REF!</definedName>
    <definedName name="RSD_Con" localSheetId="5">'Table S9 Model Derived Values'!$C$607</definedName>
    <definedName name="RSD_Con">'Table S3 Literature Values'!$C$557</definedName>
    <definedName name="RSD_Default">'Table S9 Model Derived Values'!$O$607</definedName>
    <definedName name="RSD_dHvap">'Table S3 Literature Values'!$C$560</definedName>
    <definedName name="RSD_dHw">'Table S3 Literature Values'!$F$560</definedName>
    <definedName name="RSD_dSf">'Table S3 Literature Values'!$AP$560</definedName>
    <definedName name="RSD_dUaw">'Table S3 Literature Values'!$O$560</definedName>
    <definedName name="RSD_dUo">'Table S3 Literature Values'!$I$560</definedName>
    <definedName name="RSD_dUoa">'Table S3 Literature Values'!$L$560</definedName>
    <definedName name="RSD_dUow">'Table S3 Literature Values'!$R$560</definedName>
    <definedName name="RSD_Inf" localSheetId="3">'Table S6 Recommended Values'!#REF!</definedName>
    <definedName name="RSD_Inf" localSheetId="5">'Table S9 Model Derived Values'!$D$607</definedName>
    <definedName name="RSD_Inf">'Table S3 Literature Values'!$D$557</definedName>
    <definedName name="RSD_Kaw">'Table S3 Literature Values'!$AA$560</definedName>
    <definedName name="RSD_Koa">'Table S3 Literature Values'!$U$560</definedName>
    <definedName name="RSD_Kow">'Table S3 Literature Values'!$X$560</definedName>
    <definedName name="RSD_PL">'Table S3 Literature Values'!$AE$560</definedName>
    <definedName name="RSD_SO">'Table S3 Literature Values'!$AL$560</definedName>
    <definedName name="RSD_SW">'Table S3 Literature Values'!$AH$560</definedName>
    <definedName name="RSD_Tm">'Table S3 Literature Values'!$AS$560</definedName>
    <definedName name="RSD_Unr" localSheetId="3">'Table S6 Recommended Values'!#REF!</definedName>
    <definedName name="RSD_Unr" localSheetId="5">'Table S9 Model Derived Values'!$E$607</definedName>
    <definedName name="RSD_Unr">'Table S3 Literature Values'!$E$557</definedName>
    <definedName name="SORSD_All" localSheetId="0">'[1]Table S7 Model Values'!#REF!</definedName>
    <definedName name="SORSD_All">'Table S9 Model Derived Values'!#REF!</definedName>
    <definedName name="SORSD_Musk" localSheetId="0">'[1]Table S7 Model Values'!#REF!+'[1]Table S7 Model Values'!#REF!</definedName>
    <definedName name="SORSD_Musk">'Table S9 Model Derived Values'!#REF!+'Table S9 Model Derived Values'!#REF!</definedName>
    <definedName name="SORSD_OCP" localSheetId="0">'[1]Table S7 Model Values'!#REF!</definedName>
    <definedName name="SORSD_OCP">'Table S9 Model Derived Values'!#REF!</definedName>
    <definedName name="SORSD_PBDE" localSheetId="0">'[1]Table S7 Model Values'!#REF!</definedName>
    <definedName name="SORSD_PBDE">'Table S9 Model Derived Values'!#REF!</definedName>
    <definedName name="SORSD_PCB" localSheetId="0">'[1]Table S7 Model Values'!#REF!</definedName>
    <definedName name="SORSD_PCB">'Table S9 Model Derived Values'!#REF!</definedName>
    <definedName name="Sw_All">'Table S9 Model Derived Values'!$AJ$607</definedName>
    <definedName name="Sw_Musk">'Table S9 Model Derived Values'!$AJ$609</definedName>
    <definedName name="Sw_NBFR">'Table S9 Model Derived Values'!$AJ$611</definedName>
    <definedName name="Sw_OCP">'Table S9 Model Derived Values'!$AJ$613</definedName>
    <definedName name="Sw_OPE">'Table S9 Model Derived Values'!$AJ$615</definedName>
    <definedName name="Sw_PAH">'Table S9 Model Derived Values'!$AJ$617</definedName>
    <definedName name="Sw_PBDE">'Table S9 Model Derived Values'!$AJ$619</definedName>
    <definedName name="Sw_PCB">'Table S9 Model Derived Values'!$AJ$621</definedName>
    <definedName name="Sw_Phthalate">'Table S9 Model Derived Values'!$AJ$623</definedName>
    <definedName name="Sw_UV">'Table S9 Model Derived Values'!$AJ$625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 i="30" l="1"/>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D92" i="30"/>
  <c r="D93" i="30"/>
  <c r="D94" i="30"/>
  <c r="D95" i="30"/>
  <c r="D96" i="30"/>
  <c r="D97" i="30"/>
  <c r="D98" i="30"/>
  <c r="D99" i="30"/>
  <c r="D10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D129" i="30"/>
  <c r="D130" i="30"/>
  <c r="D131" i="30"/>
  <c r="D132" i="30"/>
  <c r="D133" i="30"/>
  <c r="D134" i="30"/>
  <c r="D135" i="30"/>
  <c r="D136" i="30"/>
  <c r="D137" i="30"/>
  <c r="D138" i="30"/>
  <c r="D139" i="30"/>
  <c r="D140" i="30"/>
  <c r="D141" i="30"/>
  <c r="D142" i="30"/>
  <c r="D143" i="30"/>
  <c r="D144" i="30"/>
  <c r="D145" i="30"/>
  <c r="D146" i="30"/>
  <c r="D147" i="30"/>
  <c r="D148" i="30"/>
  <c r="D149" i="30"/>
  <c r="D150" i="30"/>
  <c r="D151" i="30"/>
  <c r="D152" i="30"/>
  <c r="D153"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7" i="30"/>
  <c r="D198" i="30"/>
  <c r="D199" i="30"/>
  <c r="D200" i="30"/>
  <c r="D201" i="30"/>
  <c r="D202" i="30"/>
  <c r="D203" i="30"/>
  <c r="D204" i="30"/>
  <c r="D205" i="30"/>
  <c r="D206" i="30"/>
  <c r="D207" i="30"/>
  <c r="D208" i="30"/>
  <c r="D209" i="30"/>
  <c r="D210" i="30"/>
  <c r="D211" i="30"/>
  <c r="D212" i="30"/>
  <c r="D213" i="30"/>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5"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606" i="30"/>
  <c r="D607" i="30"/>
  <c r="D608" i="30"/>
  <c r="D609" i="30"/>
  <c r="D610" i="30"/>
  <c r="D611" i="30"/>
  <c r="D612" i="30"/>
  <c r="D613" i="30"/>
  <c r="D614" i="30"/>
  <c r="D615" i="30"/>
  <c r="D616" i="30"/>
  <c r="D617" i="30"/>
  <c r="D618" i="30"/>
  <c r="D619" i="30"/>
  <c r="D620" i="30"/>
  <c r="D621" i="30"/>
  <c r="D622" i="30"/>
  <c r="D623" i="30"/>
  <c r="D624" i="30"/>
  <c r="D625" i="30"/>
  <c r="D626" i="30"/>
  <c r="D627" i="30"/>
  <c r="D628" i="30"/>
  <c r="D629" i="30"/>
  <c r="D630" i="30"/>
  <c r="D631" i="30"/>
  <c r="D632" i="30"/>
  <c r="D633" i="30"/>
  <c r="D634" i="30"/>
  <c r="D635" i="30"/>
  <c r="D636" i="30"/>
  <c r="D637" i="30"/>
  <c r="D638" i="30"/>
  <c r="D639" i="30"/>
  <c r="D640" i="30"/>
  <c r="D641" i="30"/>
  <c r="D642" i="30"/>
  <c r="D643" i="30"/>
  <c r="D644" i="30"/>
  <c r="D645" i="30"/>
  <c r="D646" i="30"/>
  <c r="D647" i="30"/>
  <c r="D648" i="30"/>
  <c r="D649" i="30"/>
  <c r="D650" i="30"/>
  <c r="D651" i="30"/>
  <c r="D652" i="30"/>
  <c r="D653" i="30"/>
  <c r="D654" i="30"/>
  <c r="D655" i="30"/>
  <c r="D656" i="30"/>
  <c r="D657" i="30"/>
  <c r="D658" i="30"/>
  <c r="D659" i="30"/>
  <c r="D660" i="30"/>
  <c r="D661" i="30"/>
  <c r="D662" i="30"/>
  <c r="D663" i="30"/>
  <c r="D664" i="30"/>
  <c r="D665" i="30"/>
  <c r="D666" i="30"/>
  <c r="D667" i="30"/>
  <c r="D668" i="30"/>
  <c r="D669" i="30"/>
  <c r="D670" i="30"/>
  <c r="D671" i="30"/>
  <c r="D672" i="30"/>
  <c r="D673" i="30"/>
  <c r="D674" i="30"/>
  <c r="D675" i="30"/>
  <c r="D676" i="30"/>
  <c r="D677" i="30"/>
  <c r="D678" i="30"/>
  <c r="D679" i="30"/>
  <c r="D680" i="30"/>
  <c r="D681" i="30"/>
  <c r="D682" i="30"/>
  <c r="D683" i="30"/>
  <c r="D684" i="30"/>
  <c r="D685" i="30"/>
  <c r="D686" i="30"/>
  <c r="D687" i="30"/>
  <c r="D688" i="30"/>
  <c r="D689" i="30"/>
  <c r="D690" i="30"/>
  <c r="D691" i="30"/>
  <c r="D692" i="30"/>
  <c r="D693" i="30"/>
  <c r="D694" i="30"/>
  <c r="D695" i="30"/>
  <c r="D696" i="30"/>
  <c r="D697" i="30"/>
  <c r="D698" i="30"/>
  <c r="D699" i="30"/>
  <c r="D700" i="30"/>
  <c r="D701" i="30"/>
  <c r="D702" i="30"/>
  <c r="D703" i="30"/>
  <c r="D704" i="30"/>
  <c r="D705" i="30"/>
  <c r="D706" i="30"/>
  <c r="D707" i="30"/>
  <c r="D708" i="30"/>
  <c r="D709" i="30"/>
  <c r="D710" i="30"/>
  <c r="D711" i="30"/>
  <c r="D712" i="30"/>
  <c r="D713" i="30"/>
  <c r="D714" i="30"/>
  <c r="D715" i="30"/>
  <c r="D716" i="30"/>
  <c r="D717" i="30"/>
  <c r="D718" i="30"/>
  <c r="D719" i="30"/>
  <c r="D720" i="30"/>
  <c r="D721" i="30"/>
  <c r="D722" i="30"/>
  <c r="D723" i="30"/>
  <c r="D724" i="30"/>
  <c r="D725" i="30"/>
  <c r="D726" i="30"/>
  <c r="D727" i="30"/>
  <c r="D728" i="30"/>
  <c r="D729" i="30"/>
  <c r="D730" i="30"/>
  <c r="D731" i="30"/>
  <c r="D732" i="30"/>
  <c r="D733" i="30"/>
  <c r="D734" i="30"/>
  <c r="D735" i="30"/>
  <c r="D736" i="30"/>
  <c r="D737" i="30"/>
  <c r="D738" i="30"/>
  <c r="D739" i="30"/>
  <c r="D740" i="30"/>
  <c r="D741" i="30"/>
  <c r="D742" i="30"/>
  <c r="D743" i="30"/>
  <c r="D744" i="30"/>
  <c r="D745" i="30"/>
  <c r="D746" i="30"/>
  <c r="D747" i="30"/>
  <c r="D748" i="30"/>
  <c r="D749" i="30"/>
  <c r="D750" i="30"/>
  <c r="D751" i="30"/>
  <c r="D752" i="30"/>
  <c r="D753" i="30"/>
  <c r="D754" i="30"/>
  <c r="D755" i="30"/>
  <c r="D756" i="30"/>
  <c r="D757" i="30"/>
  <c r="D758" i="30"/>
  <c r="D759" i="30"/>
  <c r="D760" i="30"/>
  <c r="D761" i="30"/>
  <c r="D762" i="30"/>
  <c r="D763" i="30"/>
  <c r="D764" i="30"/>
  <c r="D765" i="30"/>
  <c r="D766" i="30"/>
  <c r="D767" i="30"/>
  <c r="D768" i="30"/>
  <c r="D769" i="30"/>
  <c r="D770" i="30"/>
  <c r="D771" i="30"/>
  <c r="D772" i="30"/>
  <c r="D773" i="30"/>
  <c r="D774" i="30"/>
  <c r="D775" i="30"/>
  <c r="D776" i="30"/>
  <c r="D777" i="30"/>
  <c r="D778" i="30"/>
  <c r="D779" i="30"/>
  <c r="D780" i="30"/>
  <c r="D781" i="30"/>
  <c r="D782" i="30"/>
  <c r="D783" i="30"/>
  <c r="D784" i="30"/>
  <c r="D785" i="30"/>
  <c r="D786" i="30"/>
  <c r="D787" i="30"/>
  <c r="D788" i="30"/>
  <c r="D789" i="30"/>
  <c r="D790" i="30"/>
  <c r="D791" i="30"/>
  <c r="D792" i="30"/>
  <c r="D793" i="30"/>
  <c r="D794" i="30"/>
  <c r="D795" i="30"/>
  <c r="D796" i="30"/>
  <c r="D797" i="30"/>
  <c r="D798" i="30"/>
  <c r="D799" i="30"/>
  <c r="D800" i="30"/>
  <c r="D801" i="30"/>
  <c r="D802" i="30"/>
  <c r="D803" i="30"/>
  <c r="D804" i="30"/>
  <c r="D805" i="30"/>
  <c r="D806" i="30"/>
  <c r="D807" i="30"/>
  <c r="D808" i="30"/>
  <c r="D809" i="30"/>
  <c r="D810" i="30"/>
  <c r="D811" i="30"/>
  <c r="D812" i="30"/>
  <c r="D813" i="30"/>
  <c r="D814" i="30"/>
  <c r="D815" i="30"/>
  <c r="D816" i="30"/>
  <c r="D817" i="30"/>
  <c r="D818" i="30"/>
  <c r="D819" i="30"/>
  <c r="D820" i="30"/>
  <c r="D821" i="30"/>
  <c r="D822" i="30"/>
  <c r="D823" i="30"/>
  <c r="D824" i="30"/>
  <c r="D825" i="30"/>
  <c r="D826" i="30"/>
  <c r="D827" i="30"/>
  <c r="D828" i="30"/>
  <c r="D829" i="30"/>
  <c r="D830" i="30"/>
  <c r="D831" i="30"/>
  <c r="D832" i="30"/>
  <c r="D833" i="30"/>
  <c r="D834" i="30"/>
  <c r="D835" i="30"/>
  <c r="D836" i="30"/>
  <c r="D837" i="30"/>
  <c r="D838" i="30"/>
  <c r="D839" i="30"/>
  <c r="D840" i="30"/>
  <c r="D841" i="30"/>
  <c r="D842" i="30"/>
  <c r="D843" i="30"/>
  <c r="D844" i="30"/>
  <c r="D845" i="30"/>
  <c r="D846" i="30"/>
  <c r="D847" i="30"/>
  <c r="D848" i="30"/>
  <c r="D849" i="30"/>
  <c r="D850" i="30"/>
  <c r="D851" i="30"/>
  <c r="D852" i="30"/>
  <c r="D853" i="30"/>
  <c r="D854" i="30"/>
  <c r="D855" i="30"/>
  <c r="D856" i="30"/>
  <c r="D857" i="30"/>
  <c r="D858" i="30"/>
  <c r="D859" i="30"/>
  <c r="D860" i="30"/>
  <c r="D861" i="30"/>
  <c r="D862" i="30"/>
  <c r="D863" i="30"/>
  <c r="D864" i="30"/>
  <c r="D865" i="30"/>
  <c r="D866" i="30"/>
  <c r="D867" i="30"/>
  <c r="D868" i="30"/>
  <c r="D869" i="30"/>
  <c r="D870" i="30"/>
  <c r="D871" i="30"/>
  <c r="D872" i="30"/>
  <c r="D873" i="30"/>
  <c r="D874" i="30"/>
  <c r="D875" i="30"/>
  <c r="D876" i="30"/>
  <c r="D877" i="30"/>
  <c r="D878" i="30"/>
  <c r="D879" i="30"/>
  <c r="D880" i="30"/>
  <c r="D881" i="30"/>
  <c r="D882" i="30"/>
  <c r="D883" i="30"/>
  <c r="D884" i="30"/>
  <c r="D885" i="30"/>
  <c r="D886" i="30"/>
  <c r="D887" i="30"/>
  <c r="D888" i="30"/>
  <c r="D889" i="30"/>
  <c r="D890" i="30"/>
  <c r="D891" i="30"/>
  <c r="D892" i="30"/>
  <c r="D893" i="30"/>
  <c r="D894" i="30"/>
  <c r="D895" i="30"/>
  <c r="D896" i="30"/>
  <c r="D897" i="30"/>
  <c r="D898" i="30"/>
  <c r="D899" i="30"/>
  <c r="D900" i="30"/>
  <c r="D901" i="30"/>
  <c r="D902" i="30"/>
  <c r="D903" i="30"/>
  <c r="D904" i="30"/>
  <c r="D905" i="30"/>
  <c r="D906" i="30"/>
  <c r="D907" i="30"/>
  <c r="D908" i="30"/>
  <c r="D909" i="30"/>
  <c r="D910" i="30"/>
  <c r="D911" i="30"/>
  <c r="D912" i="30"/>
  <c r="D913" i="30"/>
  <c r="D914" i="30"/>
  <c r="D915" i="30"/>
  <c r="D916" i="30"/>
  <c r="D917" i="30"/>
  <c r="D918" i="30"/>
  <c r="D919" i="30"/>
  <c r="D920" i="30"/>
  <c r="D921" i="30"/>
  <c r="D922" i="30"/>
  <c r="D923" i="30"/>
  <c r="D924" i="30"/>
  <c r="D925" i="30"/>
  <c r="D926" i="30"/>
  <c r="D927" i="30"/>
  <c r="D928" i="30"/>
  <c r="D929" i="30"/>
  <c r="D930" i="30"/>
  <c r="D931" i="30"/>
  <c r="D932" i="30"/>
  <c r="D933" i="30"/>
  <c r="D934" i="30"/>
  <c r="D935" i="30"/>
  <c r="D936" i="30"/>
  <c r="D937" i="30"/>
  <c r="D938" i="30"/>
  <c r="D939" i="30"/>
  <c r="D940" i="30"/>
  <c r="D941" i="30"/>
  <c r="D942" i="30"/>
  <c r="D943" i="30"/>
  <c r="D944" i="30"/>
  <c r="D945" i="30"/>
  <c r="D946" i="30"/>
  <c r="D947" i="30"/>
  <c r="D948" i="30"/>
  <c r="D949" i="30"/>
  <c r="D950" i="30"/>
  <c r="D951" i="30"/>
  <c r="D952" i="30"/>
  <c r="D953" i="30"/>
  <c r="D954" i="30"/>
  <c r="D955" i="30"/>
  <c r="D956" i="30"/>
  <c r="D957" i="30"/>
  <c r="D958" i="30"/>
  <c r="D959" i="30"/>
  <c r="D960" i="30"/>
  <c r="D961" i="30"/>
  <c r="D962" i="30"/>
  <c r="D963" i="30"/>
  <c r="D964" i="30"/>
  <c r="D965" i="30"/>
  <c r="D966" i="30"/>
  <c r="D967" i="30"/>
  <c r="D968" i="30"/>
  <c r="D969" i="30"/>
  <c r="D970" i="30"/>
  <c r="D971" i="30"/>
  <c r="D972" i="30"/>
  <c r="D973" i="30"/>
  <c r="D974" i="30"/>
  <c r="D975" i="30"/>
  <c r="D976" i="30"/>
  <c r="D977" i="30"/>
  <c r="D978" i="30"/>
  <c r="D979" i="30"/>
  <c r="D980" i="30"/>
  <c r="D981" i="30"/>
  <c r="D982" i="30"/>
  <c r="D983" i="30"/>
  <c r="D984" i="30"/>
  <c r="D985" i="30"/>
  <c r="D986" i="30"/>
  <c r="D987" i="30"/>
  <c r="D988" i="30"/>
  <c r="D989" i="30"/>
  <c r="D990" i="30"/>
  <c r="D991" i="30"/>
  <c r="D992" i="30"/>
  <c r="D993" i="30"/>
  <c r="D994" i="30"/>
  <c r="D995" i="30"/>
  <c r="D996" i="30"/>
  <c r="D997" i="30"/>
  <c r="D998" i="30"/>
  <c r="D999" i="30"/>
  <c r="D1000" i="30"/>
  <c r="D1001" i="30"/>
  <c r="D1002" i="30"/>
  <c r="D1003" i="30"/>
  <c r="D1004" i="30"/>
  <c r="D1005" i="30"/>
  <c r="D1006" i="30"/>
  <c r="D1007" i="30"/>
  <c r="D1008" i="30"/>
  <c r="D1009" i="30"/>
  <c r="D1010" i="30"/>
  <c r="D1011" i="30"/>
  <c r="D1012" i="30"/>
  <c r="D1013" i="30"/>
  <c r="D1014" i="30"/>
  <c r="D1015" i="30"/>
  <c r="D1016" i="30"/>
  <c r="D1017" i="30"/>
  <c r="D1018" i="30"/>
  <c r="D1019" i="30"/>
  <c r="D1020" i="30"/>
  <c r="D1021" i="30"/>
  <c r="D1022" i="30"/>
  <c r="D1023" i="30"/>
  <c r="D1024" i="30"/>
  <c r="D1025" i="30"/>
  <c r="D1026" i="30"/>
  <c r="D1027" i="30"/>
  <c r="D1028" i="30"/>
  <c r="D1029" i="30"/>
  <c r="D1030" i="30"/>
  <c r="D1031" i="30"/>
  <c r="D1032" i="30"/>
  <c r="D1033" i="30"/>
  <c r="D1034" i="30"/>
  <c r="D1035" i="30"/>
  <c r="D1036" i="30"/>
  <c r="D1037" i="30"/>
  <c r="D1038" i="30"/>
  <c r="D1039" i="30"/>
  <c r="D1040" i="30"/>
  <c r="D1041" i="30"/>
  <c r="D1042" i="30"/>
  <c r="D1043" i="30"/>
  <c r="D1044" i="30"/>
  <c r="D1045" i="30"/>
  <c r="D1046" i="30"/>
  <c r="D1047" i="30"/>
  <c r="D1048" i="30"/>
  <c r="D1049" i="30"/>
  <c r="D1050" i="30"/>
  <c r="D1051" i="30"/>
  <c r="D1052" i="30"/>
  <c r="D1053" i="30"/>
  <c r="D1054" i="30"/>
  <c r="D1055" i="30"/>
  <c r="D1056" i="30"/>
  <c r="D1057" i="30"/>
  <c r="D1058" i="30"/>
  <c r="D1059" i="30"/>
  <c r="D1060" i="30"/>
  <c r="D1061" i="30"/>
  <c r="D1062" i="30"/>
  <c r="D1063" i="30"/>
  <c r="D1064" i="30"/>
  <c r="D1065" i="30"/>
  <c r="D1066" i="30"/>
  <c r="D1067" i="30"/>
  <c r="D1068" i="30"/>
  <c r="D1069" i="30"/>
  <c r="D1070" i="30"/>
  <c r="D1071" i="30"/>
  <c r="D1072" i="30"/>
  <c r="D1073" i="30"/>
  <c r="D1074" i="30"/>
  <c r="D1075" i="30"/>
  <c r="D1076" i="30"/>
  <c r="D1077" i="30"/>
  <c r="D1078" i="30"/>
  <c r="D1079" i="30"/>
  <c r="D1080" i="30"/>
  <c r="D1081" i="30"/>
  <c r="D1082" i="30"/>
  <c r="D1083" i="30"/>
  <c r="D1084" i="30"/>
  <c r="D1085" i="30"/>
  <c r="D1086" i="30"/>
  <c r="D1087" i="30"/>
  <c r="D1088" i="30"/>
  <c r="D1089" i="30"/>
  <c r="D1090" i="30"/>
  <c r="D1091" i="30"/>
  <c r="D1092" i="30"/>
  <c r="D1093" i="30"/>
  <c r="D1094" i="30"/>
  <c r="D1095" i="30"/>
  <c r="D1096" i="30"/>
  <c r="D1097" i="30"/>
  <c r="D1098" i="30"/>
  <c r="D1099" i="30"/>
  <c r="D1100" i="30"/>
  <c r="D1101" i="30"/>
  <c r="D1102" i="30"/>
  <c r="D1103" i="30"/>
  <c r="D1104" i="30"/>
  <c r="D1105" i="30"/>
  <c r="D1106" i="30"/>
  <c r="D1107" i="30"/>
  <c r="D1108" i="30"/>
  <c r="D1109" i="30"/>
  <c r="D1110" i="30"/>
  <c r="D1111" i="30"/>
  <c r="D1112" i="30"/>
  <c r="D1113" i="30"/>
  <c r="D1114" i="30"/>
  <c r="D1115" i="30"/>
  <c r="D1116" i="30"/>
  <c r="D1117" i="30"/>
  <c r="D1118" i="30"/>
  <c r="D1119" i="30"/>
  <c r="D1120" i="30"/>
  <c r="D1121" i="30"/>
  <c r="D1122" i="30"/>
  <c r="D1123" i="30"/>
  <c r="D1124" i="30"/>
  <c r="D1125" i="30"/>
  <c r="D1126" i="30"/>
  <c r="D1127" i="30"/>
  <c r="D1128" i="30"/>
  <c r="D1129" i="30"/>
  <c r="D1130" i="30"/>
  <c r="D1131" i="30"/>
  <c r="D1132" i="30"/>
  <c r="D1133" i="30"/>
  <c r="D1134" i="30"/>
  <c r="D1135" i="30"/>
  <c r="D1136" i="30"/>
  <c r="D1137" i="30"/>
  <c r="D1138" i="30"/>
  <c r="D1139" i="30"/>
  <c r="D1140" i="30"/>
  <c r="D1141" i="30"/>
  <c r="D1142" i="30"/>
  <c r="D1143" i="30"/>
  <c r="D1144" i="30"/>
  <c r="D1145" i="30"/>
  <c r="D1146" i="30"/>
  <c r="D1147" i="30"/>
  <c r="D1148" i="30"/>
  <c r="D1149" i="30"/>
  <c r="D1150" i="30"/>
  <c r="D1151" i="30"/>
  <c r="D1152" i="30"/>
  <c r="D1153" i="30"/>
  <c r="D1154" i="30"/>
  <c r="D1155" i="30"/>
  <c r="D1156" i="30"/>
  <c r="D1157" i="30"/>
  <c r="D1158" i="30"/>
  <c r="D1159" i="30"/>
  <c r="D1160" i="30"/>
  <c r="D1161" i="30"/>
  <c r="D1162" i="30"/>
  <c r="D1163" i="30"/>
  <c r="D1164" i="30"/>
  <c r="D1165" i="30"/>
  <c r="D1166" i="30"/>
  <c r="D1167" i="30"/>
  <c r="D1168" i="30"/>
  <c r="D1169" i="30"/>
  <c r="D1170" i="30"/>
  <c r="D1171" i="30"/>
  <c r="D1172" i="30"/>
  <c r="D1173" i="30"/>
  <c r="D1174" i="30"/>
  <c r="D1175" i="30"/>
  <c r="D1176" i="30"/>
  <c r="D1177" i="30"/>
  <c r="D1178" i="30"/>
  <c r="D1179" i="30"/>
  <c r="D1180" i="30"/>
  <c r="D1181" i="30"/>
  <c r="D1182" i="30"/>
  <c r="D1183" i="30"/>
  <c r="D1184" i="30"/>
  <c r="D1185" i="30"/>
  <c r="D1186" i="30"/>
  <c r="D1187" i="30"/>
  <c r="D1188" i="30"/>
  <c r="D1189" i="30"/>
  <c r="D1190" i="30"/>
  <c r="D1191" i="30"/>
  <c r="D1192" i="30"/>
  <c r="D1193" i="30"/>
  <c r="D1194" i="30"/>
  <c r="D1195" i="30"/>
  <c r="D1196" i="30"/>
  <c r="D1197" i="30"/>
  <c r="D1198" i="30"/>
  <c r="D1199" i="30"/>
  <c r="D1200" i="30"/>
  <c r="D1201" i="30"/>
  <c r="D1202" i="30"/>
  <c r="D1203" i="30"/>
  <c r="D1204" i="30"/>
  <c r="D1205" i="30"/>
  <c r="D1206" i="30"/>
  <c r="D1207" i="30"/>
  <c r="D1208" i="30"/>
  <c r="D1209" i="30"/>
  <c r="D1210" i="30"/>
  <c r="D1211" i="30"/>
  <c r="D1212" i="30"/>
  <c r="D1213" i="30"/>
  <c r="D1214" i="30"/>
  <c r="D1215" i="30"/>
  <c r="D1216" i="30"/>
  <c r="D1217" i="30"/>
  <c r="D1218" i="30"/>
  <c r="D1219" i="30"/>
  <c r="D1220" i="30"/>
  <c r="D1221" i="30"/>
  <c r="D1222" i="30"/>
  <c r="D1223" i="30"/>
  <c r="D1224" i="30"/>
  <c r="D1225" i="30"/>
  <c r="D1226" i="30"/>
  <c r="D1227" i="30"/>
  <c r="D1228" i="30"/>
  <c r="D1229" i="30"/>
  <c r="D1230" i="30"/>
  <c r="D1231" i="30"/>
  <c r="D1232" i="30"/>
  <c r="D1233" i="30"/>
  <c r="D1234" i="30"/>
  <c r="D1235" i="30"/>
  <c r="D1236" i="30"/>
  <c r="D1237" i="30"/>
  <c r="D1238" i="30"/>
  <c r="D1239" i="30"/>
  <c r="D1240" i="30"/>
  <c r="D1241" i="30"/>
  <c r="D1242" i="30"/>
  <c r="D1243" i="30"/>
  <c r="D1244" i="30"/>
  <c r="D1245" i="30"/>
  <c r="D1246" i="30"/>
  <c r="D1247" i="30"/>
  <c r="D1248" i="30"/>
  <c r="D1249" i="30"/>
  <c r="D1250" i="30"/>
  <c r="D1251" i="30"/>
  <c r="D1252" i="30"/>
  <c r="D1253" i="30"/>
  <c r="D1254" i="30"/>
  <c r="D1255" i="30"/>
  <c r="D1256" i="30"/>
  <c r="D1257" i="30"/>
  <c r="D1258" i="30"/>
  <c r="D1259" i="30"/>
  <c r="D1260" i="30"/>
  <c r="D1261" i="30"/>
  <c r="D1262" i="30"/>
  <c r="D1263" i="30"/>
  <c r="D1264" i="30"/>
  <c r="D1265" i="30"/>
  <c r="D1266" i="30"/>
  <c r="D1267" i="30"/>
  <c r="D1268" i="30"/>
  <c r="D1269" i="30"/>
  <c r="D1270" i="30"/>
  <c r="D1271" i="30"/>
  <c r="D1272" i="30"/>
  <c r="D1273" i="30"/>
  <c r="D1274" i="30"/>
  <c r="D1275" i="30"/>
  <c r="D1276" i="30"/>
  <c r="D1277" i="30"/>
  <c r="D1278" i="30"/>
  <c r="D1279" i="30"/>
  <c r="D1280" i="30"/>
  <c r="D1281" i="30"/>
  <c r="D1282" i="30"/>
  <c r="D1283" i="30"/>
  <c r="D1284" i="30"/>
  <c r="D1285" i="30"/>
  <c r="D1286" i="30"/>
  <c r="D1287" i="30"/>
  <c r="D1288" i="30"/>
  <c r="D1289" i="30"/>
  <c r="D1290" i="30"/>
  <c r="D1291" i="30"/>
  <c r="D1292" i="30"/>
  <c r="D1293" i="30"/>
  <c r="D1294" i="30"/>
  <c r="D1295" i="30"/>
  <c r="D1296" i="30"/>
  <c r="D1297" i="30"/>
  <c r="D1298" i="30"/>
  <c r="D1299" i="30"/>
  <c r="D1300" i="30"/>
  <c r="D1301" i="30"/>
  <c r="D1302" i="30"/>
  <c r="D1303" i="30"/>
  <c r="D1304" i="30"/>
  <c r="D1305" i="30"/>
  <c r="D1306" i="30"/>
  <c r="D1307" i="30"/>
  <c r="D1308" i="30"/>
  <c r="D1309" i="30"/>
  <c r="D1310" i="30"/>
  <c r="D1311" i="30"/>
  <c r="D1312" i="30"/>
  <c r="D1313" i="30"/>
  <c r="D1314" i="30"/>
  <c r="D1315" i="30"/>
  <c r="D1316" i="30"/>
  <c r="D1317" i="30"/>
  <c r="D1318" i="30"/>
  <c r="D1319" i="30"/>
  <c r="D1320" i="30"/>
  <c r="D1321" i="30"/>
  <c r="D1322" i="30"/>
  <c r="D1323" i="30"/>
  <c r="D1324" i="30"/>
  <c r="D1325" i="30"/>
  <c r="D1326" i="30"/>
  <c r="D1327" i="30"/>
  <c r="D1328" i="30"/>
  <c r="D1329" i="30"/>
  <c r="D1330" i="30"/>
  <c r="D1331" i="30"/>
  <c r="D1332" i="30"/>
  <c r="D1333" i="30"/>
  <c r="D1334" i="30"/>
  <c r="D1335" i="30"/>
  <c r="D1336" i="30"/>
  <c r="D1337" i="30"/>
  <c r="D1338" i="30"/>
  <c r="D1339" i="30"/>
  <c r="D1340" i="30"/>
  <c r="D1341" i="30"/>
  <c r="D1342" i="30"/>
  <c r="D1343" i="30"/>
  <c r="D1344" i="30"/>
  <c r="D1345" i="30"/>
  <c r="D1346" i="30"/>
  <c r="D1347" i="30"/>
  <c r="D1348" i="30"/>
  <c r="D1349" i="30"/>
  <c r="D1350" i="30"/>
  <c r="D1351" i="30"/>
  <c r="D1352" i="30"/>
  <c r="D1353" i="30"/>
  <c r="D1354" i="30"/>
  <c r="D1355" i="30"/>
  <c r="D1356" i="30"/>
  <c r="D1357" i="30"/>
  <c r="D1358" i="30"/>
  <c r="D1359" i="30"/>
  <c r="D1360" i="30"/>
  <c r="D1361" i="30"/>
  <c r="D1362" i="30"/>
  <c r="D1363" i="30"/>
  <c r="D1364" i="30"/>
  <c r="D1365" i="30"/>
  <c r="D1366" i="30"/>
  <c r="D1367" i="30"/>
  <c r="D1368" i="30"/>
  <c r="D1369" i="30"/>
  <c r="D1370" i="30"/>
  <c r="D1371" i="30"/>
  <c r="D1372" i="30"/>
  <c r="D1373" i="30"/>
  <c r="D1374" i="30"/>
  <c r="D1375" i="30"/>
  <c r="D1376" i="30"/>
  <c r="D1377" i="30"/>
  <c r="D1378" i="30"/>
  <c r="D1379" i="30"/>
  <c r="D1380" i="30"/>
  <c r="D1381" i="30"/>
  <c r="D1382" i="30"/>
  <c r="D1383" i="30"/>
  <c r="D1384" i="30"/>
  <c r="D1385" i="30"/>
  <c r="D1386" i="30"/>
  <c r="D1387" i="30"/>
  <c r="D1388" i="30"/>
  <c r="D1389" i="30"/>
  <c r="D1390" i="30"/>
  <c r="D1391" i="30"/>
  <c r="D1392" i="30"/>
  <c r="D1393" i="30"/>
  <c r="D1394" i="30"/>
  <c r="D1395" i="30"/>
  <c r="D1396" i="30"/>
  <c r="D1397" i="30"/>
  <c r="D1398" i="30"/>
  <c r="D1399" i="30"/>
  <c r="D1400" i="30"/>
  <c r="D1401" i="30"/>
  <c r="D1402" i="30"/>
  <c r="D1403" i="30"/>
  <c r="D1404" i="30"/>
  <c r="D1405" i="30"/>
  <c r="D1406" i="30"/>
  <c r="D1407" i="30"/>
  <c r="D1408" i="30"/>
  <c r="D1409" i="30"/>
  <c r="D1410" i="30"/>
  <c r="D1411" i="30"/>
  <c r="D1412" i="30"/>
  <c r="D1413" i="30"/>
  <c r="D1414" i="30"/>
  <c r="D1415" i="30"/>
  <c r="D1416" i="30"/>
  <c r="D1417" i="30"/>
  <c r="D1418" i="30"/>
  <c r="D1419" i="30"/>
  <c r="D1420" i="30"/>
  <c r="D1421" i="30"/>
  <c r="D1422" i="30"/>
  <c r="D1423" i="30"/>
  <c r="D1424" i="30"/>
  <c r="D1425" i="30"/>
  <c r="D1426" i="30"/>
  <c r="D1427" i="30"/>
  <c r="D1428" i="30"/>
  <c r="D1429" i="30"/>
  <c r="D1430" i="30"/>
  <c r="D1431" i="30"/>
  <c r="D1432" i="30"/>
  <c r="D1433" i="30"/>
  <c r="D1434" i="30"/>
  <c r="D1435" i="30"/>
  <c r="D1436" i="30"/>
  <c r="D1437" i="30"/>
  <c r="D1438" i="30"/>
  <c r="D1439" i="30"/>
  <c r="D1440" i="30"/>
  <c r="D1441" i="30"/>
  <c r="D1442" i="30"/>
  <c r="D1443" i="30"/>
  <c r="D1444" i="30"/>
  <c r="D1445" i="30"/>
  <c r="D1446" i="30"/>
  <c r="D1447" i="30"/>
  <c r="D1448" i="30"/>
  <c r="D1449" i="30"/>
  <c r="D1450" i="30"/>
  <c r="D1451" i="30"/>
  <c r="D1452" i="30"/>
  <c r="D1453" i="30"/>
  <c r="D1454" i="30"/>
  <c r="D1455" i="30"/>
  <c r="D1456" i="30"/>
  <c r="D1457" i="30"/>
  <c r="D1458" i="30"/>
  <c r="D1459" i="30"/>
  <c r="D1460" i="30"/>
  <c r="D1461" i="30"/>
  <c r="D1462" i="30"/>
  <c r="D1463" i="30"/>
  <c r="D1464" i="30"/>
  <c r="D1465" i="30"/>
  <c r="D1466" i="30"/>
  <c r="D1467" i="30"/>
  <c r="D1468" i="30"/>
  <c r="D1469" i="30"/>
  <c r="D1470" i="30"/>
  <c r="D1471" i="30"/>
  <c r="D1472" i="30"/>
  <c r="D1473" i="30"/>
  <c r="D1474" i="30"/>
  <c r="D1475" i="30"/>
  <c r="D1476" i="30"/>
  <c r="D1477" i="30"/>
  <c r="D1478" i="30"/>
  <c r="D1479" i="30"/>
  <c r="D1480" i="30"/>
  <c r="D1481" i="30"/>
  <c r="D1482" i="30"/>
  <c r="D1483" i="30"/>
  <c r="D1484" i="30"/>
  <c r="D1485" i="30"/>
  <c r="D1486" i="30"/>
  <c r="D1487" i="30"/>
  <c r="D1488" i="30"/>
  <c r="D1489" i="30"/>
  <c r="D1490" i="30"/>
  <c r="D1491" i="30"/>
  <c r="D1492" i="30"/>
  <c r="D1493" i="30"/>
  <c r="D1494" i="30"/>
  <c r="D1495" i="30"/>
  <c r="D1496" i="30"/>
  <c r="D1497" i="30"/>
  <c r="D1498" i="30"/>
  <c r="D1499" i="30"/>
  <c r="D1500" i="30"/>
  <c r="D1501" i="30"/>
  <c r="D1502" i="30"/>
  <c r="D1503" i="30"/>
  <c r="D1504" i="30"/>
  <c r="D1505" i="30"/>
  <c r="D1506" i="30"/>
  <c r="D1507" i="30"/>
  <c r="D1508" i="30"/>
  <c r="D1509" i="30"/>
  <c r="D1510" i="30"/>
  <c r="D1511" i="30"/>
  <c r="D1512" i="30"/>
  <c r="D1513" i="30"/>
  <c r="D1514" i="30"/>
  <c r="D1515" i="30"/>
  <c r="D1516" i="30"/>
  <c r="D1517" i="30"/>
  <c r="D1518" i="30"/>
  <c r="D1519" i="30"/>
  <c r="D1520" i="30"/>
  <c r="D1521" i="30"/>
  <c r="D1522" i="30"/>
  <c r="D1523" i="30"/>
  <c r="D1524" i="30"/>
  <c r="D1525" i="30"/>
  <c r="D1526" i="30"/>
  <c r="D1527" i="30"/>
  <c r="D1528" i="30"/>
  <c r="D1529" i="30"/>
  <c r="D1530" i="30"/>
  <c r="D1531" i="30"/>
  <c r="D1532" i="30"/>
  <c r="D1533" i="30"/>
  <c r="D1534" i="30"/>
  <c r="D1535" i="30"/>
  <c r="D1536" i="30"/>
  <c r="D1537" i="30"/>
  <c r="D1538" i="30"/>
  <c r="D1539" i="30"/>
  <c r="D1540" i="30"/>
  <c r="D1541" i="30"/>
  <c r="D1542" i="30"/>
  <c r="D1543" i="30"/>
  <c r="D1544" i="30"/>
  <c r="D1545" i="30"/>
  <c r="D1546" i="30"/>
  <c r="D1547" i="30"/>
  <c r="D1548" i="30"/>
  <c r="D1549" i="30"/>
  <c r="D1550" i="30"/>
  <c r="D1551" i="30"/>
  <c r="D1552" i="30"/>
  <c r="D1553" i="30"/>
  <c r="D1554" i="30"/>
  <c r="D1555" i="30"/>
  <c r="D1556" i="30"/>
  <c r="D1557" i="30"/>
  <c r="D1558" i="30"/>
  <c r="D1559" i="30"/>
  <c r="D1560" i="30"/>
  <c r="D1561" i="30"/>
  <c r="D1562" i="30"/>
  <c r="D1563" i="30"/>
  <c r="D1564" i="30"/>
  <c r="D1565" i="30"/>
  <c r="D1566" i="30"/>
  <c r="D1567" i="30"/>
  <c r="D1568" i="30"/>
  <c r="D1569" i="30"/>
  <c r="D1570" i="30"/>
  <c r="D1571" i="30"/>
  <c r="D1572" i="30"/>
  <c r="D1573" i="30"/>
  <c r="D1574" i="30"/>
  <c r="D1575" i="30"/>
  <c r="D1576" i="30"/>
  <c r="D1577" i="30"/>
  <c r="D1578" i="30"/>
  <c r="D1579" i="30"/>
  <c r="D1580" i="30"/>
  <c r="D1581" i="30"/>
  <c r="D1582" i="30"/>
  <c r="D1583" i="30"/>
  <c r="D1584" i="30"/>
  <c r="D1585" i="30"/>
  <c r="D1586" i="30"/>
  <c r="D1587" i="30"/>
  <c r="D1588" i="30"/>
  <c r="D1589" i="30"/>
  <c r="D1590" i="30"/>
  <c r="D1591" i="30"/>
  <c r="D1592" i="30"/>
  <c r="D1593" i="30"/>
  <c r="D1594" i="30"/>
  <c r="D1595" i="30"/>
  <c r="D1596" i="30"/>
  <c r="D1597" i="30"/>
  <c r="D1598" i="30"/>
  <c r="D1599" i="30"/>
  <c r="D1600" i="30"/>
  <c r="D1601" i="30"/>
  <c r="D1602" i="30"/>
  <c r="D1603" i="30"/>
  <c r="D1604" i="30"/>
  <c r="D1605" i="30"/>
  <c r="D1606" i="30"/>
  <c r="D1607" i="30"/>
  <c r="D1608" i="30"/>
  <c r="D1609" i="30"/>
  <c r="D1610" i="30"/>
  <c r="D1611" i="30"/>
  <c r="D1612" i="30"/>
  <c r="D1613" i="30"/>
  <c r="D1614" i="30"/>
  <c r="D1615" i="30"/>
  <c r="D1616" i="30"/>
  <c r="D1617" i="30"/>
  <c r="D1618" i="30"/>
  <c r="D1619" i="30"/>
  <c r="D1620" i="30"/>
  <c r="D1621" i="30"/>
  <c r="D1622" i="30"/>
  <c r="D1623" i="30"/>
  <c r="D1624" i="30"/>
  <c r="D1625" i="30"/>
  <c r="D1626" i="30"/>
  <c r="D1627" i="30"/>
  <c r="D1628" i="30"/>
  <c r="D1629" i="30"/>
  <c r="D1630" i="30"/>
  <c r="D1631" i="30"/>
  <c r="D1632" i="30"/>
  <c r="D1633" i="30"/>
  <c r="D1634" i="30"/>
  <c r="D1635" i="30"/>
  <c r="D1636" i="30"/>
  <c r="D1637" i="30"/>
  <c r="D1638" i="30"/>
  <c r="D1639" i="30"/>
  <c r="D1640" i="30"/>
  <c r="D1641" i="30"/>
  <c r="D1642" i="30"/>
  <c r="D1643" i="30"/>
  <c r="D1644" i="30"/>
  <c r="D1645" i="30"/>
  <c r="D1646" i="30"/>
  <c r="D1647" i="30"/>
  <c r="D1648" i="30"/>
  <c r="D1649" i="30"/>
  <c r="D1650" i="30"/>
  <c r="D1651" i="30"/>
  <c r="D1652" i="30"/>
  <c r="D1653" i="30"/>
  <c r="D1654" i="30"/>
  <c r="D1655" i="30"/>
  <c r="D1656" i="30"/>
  <c r="D1657" i="30"/>
  <c r="D1658" i="30"/>
  <c r="D1659" i="30"/>
  <c r="D1660" i="30"/>
  <c r="D1661" i="30"/>
  <c r="D1662" i="30"/>
  <c r="D1663" i="30"/>
  <c r="D1664" i="30"/>
  <c r="D1665" i="30"/>
  <c r="D1666" i="30"/>
  <c r="D1667" i="30"/>
  <c r="D1668" i="30"/>
  <c r="D1669" i="30"/>
  <c r="D1670" i="30"/>
  <c r="D1671" i="30"/>
  <c r="D1672" i="30"/>
  <c r="D1673" i="30"/>
  <c r="D1674" i="30"/>
  <c r="D1675" i="30"/>
  <c r="D1676" i="30"/>
  <c r="D1677" i="30"/>
  <c r="D1678" i="30"/>
  <c r="D1679" i="30"/>
  <c r="D1680" i="30"/>
  <c r="D1681" i="30"/>
  <c r="D1682" i="30"/>
  <c r="D1683" i="30"/>
  <c r="D1684" i="30"/>
  <c r="D1685" i="30"/>
  <c r="D1686" i="30"/>
  <c r="D1687" i="30"/>
  <c r="D1688" i="30"/>
  <c r="D1689" i="30"/>
  <c r="D1690" i="30"/>
  <c r="D1691" i="30"/>
  <c r="D1692" i="30"/>
  <c r="D1693" i="30"/>
  <c r="D1694" i="30"/>
  <c r="D1695" i="30"/>
  <c r="D1696" i="30"/>
  <c r="D1697" i="30"/>
  <c r="D1698" i="30"/>
  <c r="D1699" i="30"/>
  <c r="D1700" i="30"/>
  <c r="D1701" i="30"/>
  <c r="D1702" i="30"/>
  <c r="D1703" i="30"/>
  <c r="D1704" i="30"/>
  <c r="D1705" i="30"/>
  <c r="D1706" i="30"/>
  <c r="D1707" i="30"/>
  <c r="D1708" i="30"/>
  <c r="D1709" i="30"/>
  <c r="D1710" i="30"/>
  <c r="D1711" i="30"/>
  <c r="D1712" i="30"/>
  <c r="D1713" i="30"/>
  <c r="D1714" i="30"/>
  <c r="D1715" i="30"/>
  <c r="D1716" i="30"/>
  <c r="D1717" i="30"/>
  <c r="D1718" i="30"/>
  <c r="D1719" i="30"/>
  <c r="D1720" i="30"/>
  <c r="D1721" i="30"/>
  <c r="D1722" i="30"/>
  <c r="D1723" i="30"/>
  <c r="D1724" i="30"/>
  <c r="D1725" i="30"/>
  <c r="D1726" i="30"/>
  <c r="D1727" i="30"/>
  <c r="D1728" i="30"/>
  <c r="D1729" i="30"/>
  <c r="D1730" i="30"/>
  <c r="D1731" i="30"/>
  <c r="D1732" i="30"/>
  <c r="D1733" i="30"/>
  <c r="D1734" i="30"/>
  <c r="D1735" i="30"/>
  <c r="D1736" i="30"/>
  <c r="D1737" i="30"/>
  <c r="D1738" i="30"/>
  <c r="D1739" i="30"/>
  <c r="D1740" i="30"/>
  <c r="D1741" i="30"/>
  <c r="D1742" i="30"/>
  <c r="D1743" i="30"/>
  <c r="D1744" i="30"/>
  <c r="D1745" i="30"/>
  <c r="D1746" i="30"/>
  <c r="D1747" i="30"/>
  <c r="D1748" i="30"/>
  <c r="D1749" i="30"/>
  <c r="D1750" i="30"/>
  <c r="D1751" i="30"/>
  <c r="D1752" i="30"/>
  <c r="D1753" i="30"/>
  <c r="D1754" i="30"/>
  <c r="D1755" i="30"/>
  <c r="D1756" i="30"/>
  <c r="D1757" i="30"/>
  <c r="D1758" i="30"/>
  <c r="D1759" i="30"/>
  <c r="D1760" i="30"/>
  <c r="D1761" i="30"/>
  <c r="D1762" i="30"/>
  <c r="D1763" i="30"/>
  <c r="D1764" i="30"/>
  <c r="D1765" i="30"/>
  <c r="D1766" i="30"/>
  <c r="D1767" i="30"/>
  <c r="D1768" i="30"/>
  <c r="D1769" i="30"/>
  <c r="D1770" i="30"/>
  <c r="D1771" i="30"/>
  <c r="D1772" i="30"/>
  <c r="D1773" i="30"/>
  <c r="D1774" i="30"/>
  <c r="D1775" i="30"/>
  <c r="D1776" i="30"/>
  <c r="D1777" i="30"/>
  <c r="D1778" i="30"/>
  <c r="D1779" i="30"/>
  <c r="D1780" i="30"/>
  <c r="D1781" i="30"/>
  <c r="D1782" i="30"/>
  <c r="D1783" i="30"/>
  <c r="D1784" i="30"/>
  <c r="D1785" i="30"/>
  <c r="D1786" i="30"/>
  <c r="D1787" i="30"/>
  <c r="D1788" i="30"/>
  <c r="D1789" i="30"/>
  <c r="D1790" i="30"/>
  <c r="D1791" i="30"/>
  <c r="D1792" i="30"/>
  <c r="D1793" i="30"/>
  <c r="D1794" i="30"/>
  <c r="D1795" i="30"/>
  <c r="D1796" i="30"/>
  <c r="D1797" i="30"/>
  <c r="D1798" i="30"/>
  <c r="D1799" i="30"/>
  <c r="D1800" i="30"/>
  <c r="D1801" i="30"/>
  <c r="D1802" i="30"/>
  <c r="D1803" i="30"/>
  <c r="D1804" i="30"/>
  <c r="D1805" i="30"/>
  <c r="D1806" i="30"/>
  <c r="D1807" i="30"/>
  <c r="D1808" i="30"/>
  <c r="D1809" i="30"/>
  <c r="D1810" i="30"/>
  <c r="D1811" i="30"/>
  <c r="D1812" i="30"/>
  <c r="D1813" i="30"/>
  <c r="D1814" i="30"/>
  <c r="D1815" i="30"/>
  <c r="D1816" i="30"/>
  <c r="D1817" i="30"/>
  <c r="D1818" i="30"/>
  <c r="D1819" i="30"/>
  <c r="D1820" i="30"/>
  <c r="D1821" i="30"/>
  <c r="D1822" i="30"/>
  <c r="D1823" i="30"/>
  <c r="D1824" i="30"/>
  <c r="D1825" i="30"/>
  <c r="D1826" i="30"/>
  <c r="D1827" i="30"/>
  <c r="D1828" i="30"/>
  <c r="D1829" i="30"/>
  <c r="D1830" i="30"/>
  <c r="D1831" i="30"/>
  <c r="D1832" i="30"/>
  <c r="D1833" i="30"/>
  <c r="D1834" i="30"/>
  <c r="D1835" i="30"/>
  <c r="D1836" i="30"/>
  <c r="D1837" i="30"/>
  <c r="D1838" i="30"/>
  <c r="D1839" i="30"/>
  <c r="D1840" i="30"/>
  <c r="D1841" i="30"/>
  <c r="D1842" i="30"/>
  <c r="D1843" i="30"/>
  <c r="D1844" i="30"/>
  <c r="D1845" i="30"/>
  <c r="D1846" i="30"/>
  <c r="D1847" i="30"/>
  <c r="D1848" i="30"/>
  <c r="D1849" i="30"/>
  <c r="D1850" i="30"/>
  <c r="D1851" i="30"/>
  <c r="D1852" i="30"/>
  <c r="D1853" i="30"/>
  <c r="D1854" i="30"/>
  <c r="D1855" i="30"/>
  <c r="D1856" i="30"/>
  <c r="D1857" i="30"/>
  <c r="D1858" i="30"/>
  <c r="D1859" i="30"/>
  <c r="D1860" i="30"/>
  <c r="D1861" i="30"/>
  <c r="D1862" i="30"/>
  <c r="D1863" i="30"/>
  <c r="D1864" i="30"/>
  <c r="D1865" i="30"/>
  <c r="D1866" i="30"/>
  <c r="D1867" i="30"/>
  <c r="D1868" i="30"/>
  <c r="D1869" i="30"/>
  <c r="D1870" i="30"/>
  <c r="D1871" i="30"/>
  <c r="D1872" i="30"/>
  <c r="D1873" i="30"/>
  <c r="D1874" i="30"/>
  <c r="D1875" i="30"/>
  <c r="D1876" i="30"/>
  <c r="D1877" i="30"/>
  <c r="D1878" i="30"/>
  <c r="D1879" i="30"/>
  <c r="D1880" i="30"/>
  <c r="D1881" i="30"/>
  <c r="D1882" i="30"/>
  <c r="D1883" i="30"/>
  <c r="D1884" i="30"/>
  <c r="D1885" i="30"/>
  <c r="D1886" i="30"/>
  <c r="D1887" i="30"/>
  <c r="D1888" i="30"/>
  <c r="D1889" i="30"/>
  <c r="D1890" i="30"/>
  <c r="D1891" i="30"/>
  <c r="D1892" i="30"/>
  <c r="D1893" i="30"/>
  <c r="D1894" i="30"/>
  <c r="D1895" i="30"/>
  <c r="D1896" i="30"/>
  <c r="D1897" i="30"/>
  <c r="D1898" i="30"/>
  <c r="D1899" i="30"/>
  <c r="D1900" i="30"/>
  <c r="D1901" i="30"/>
  <c r="D1902" i="30"/>
  <c r="D1903" i="30"/>
  <c r="D1904" i="30"/>
  <c r="D1905" i="30"/>
  <c r="D1906" i="30"/>
  <c r="D1907" i="30"/>
  <c r="D1908" i="30"/>
  <c r="D1909" i="30"/>
  <c r="D1910" i="30"/>
  <c r="D1911" i="30"/>
  <c r="D1912" i="30"/>
  <c r="D1913" i="30"/>
  <c r="D1914" i="30"/>
  <c r="D1915" i="30"/>
  <c r="D1916" i="30"/>
  <c r="D1917" i="30"/>
  <c r="D1918" i="30"/>
  <c r="D1919" i="30"/>
  <c r="D1920" i="30"/>
  <c r="D1921" i="30"/>
  <c r="D1922" i="30"/>
  <c r="D1923" i="30"/>
  <c r="D1924" i="30"/>
  <c r="D1925" i="30"/>
  <c r="D1926" i="30"/>
  <c r="D1927" i="30"/>
  <c r="D1928" i="30"/>
  <c r="D1929" i="30"/>
  <c r="D1930" i="30"/>
  <c r="D1931" i="30"/>
  <c r="D1932" i="30"/>
  <c r="D1933" i="30"/>
  <c r="D1934" i="30"/>
  <c r="D1935" i="30"/>
  <c r="D1936" i="30"/>
  <c r="D1937" i="30"/>
  <c r="D1938" i="30"/>
  <c r="D1939" i="30"/>
  <c r="D1940" i="30"/>
  <c r="D1941" i="30"/>
  <c r="D1942" i="30"/>
  <c r="D1943" i="30"/>
  <c r="D1944" i="30"/>
  <c r="D1945" i="30"/>
  <c r="D1946" i="30"/>
  <c r="D1947" i="30"/>
  <c r="D1948" i="30"/>
  <c r="D1949" i="30"/>
  <c r="D1950" i="30"/>
  <c r="D1951" i="30"/>
  <c r="D1952" i="30"/>
  <c r="D1953" i="30"/>
  <c r="D1954" i="30"/>
  <c r="D1955" i="30"/>
  <c r="D1956" i="30"/>
  <c r="D1957" i="30"/>
  <c r="D1958" i="30"/>
  <c r="D1959" i="30"/>
  <c r="D1960" i="30"/>
  <c r="D1961" i="30"/>
  <c r="D1962" i="30"/>
  <c r="D1963" i="30"/>
  <c r="D1964" i="30"/>
  <c r="D1965" i="30"/>
  <c r="D1966" i="30"/>
  <c r="D1967" i="30"/>
  <c r="D1968" i="30"/>
  <c r="D1969" i="30"/>
  <c r="D1970" i="30"/>
  <c r="D1971" i="30"/>
  <c r="D1972" i="30"/>
  <c r="D1973" i="30"/>
  <c r="D1974" i="30"/>
  <c r="D1975" i="30"/>
  <c r="D1976" i="30"/>
  <c r="D1977" i="30"/>
  <c r="D1978" i="30"/>
  <c r="D1979" i="30"/>
  <c r="D1980" i="30"/>
  <c r="D1981" i="30"/>
  <c r="D1982" i="30"/>
  <c r="D1983" i="30"/>
  <c r="D1984" i="30"/>
  <c r="D1985" i="30"/>
  <c r="D1986" i="30"/>
  <c r="D1987" i="30"/>
  <c r="D1988" i="30"/>
  <c r="D1989" i="30"/>
  <c r="D1990" i="30"/>
  <c r="D1991" i="30"/>
  <c r="D1992" i="30"/>
  <c r="D1993" i="30"/>
  <c r="D1994" i="30"/>
  <c r="D1995" i="30"/>
  <c r="D1996" i="30"/>
  <c r="D1997" i="30"/>
  <c r="D1998" i="30"/>
  <c r="D1999" i="30"/>
  <c r="D2000" i="30"/>
  <c r="D2001" i="30"/>
  <c r="D2002" i="30"/>
  <c r="D2003" i="30"/>
  <c r="D2004" i="30"/>
  <c r="D2005" i="30"/>
  <c r="D2006" i="30"/>
  <c r="D2007" i="30"/>
  <c r="D2008" i="30"/>
  <c r="D2009" i="30"/>
  <c r="D2010" i="30"/>
  <c r="D2011" i="30"/>
  <c r="D2012" i="30"/>
  <c r="D2013" i="30"/>
  <c r="D2014" i="30"/>
  <c r="D2015" i="30"/>
  <c r="D2016" i="30"/>
  <c r="D2017" i="30"/>
  <c r="D2018" i="30"/>
  <c r="D2019" i="30"/>
  <c r="D2020" i="30"/>
  <c r="D2021" i="30"/>
  <c r="D2022" i="30"/>
  <c r="D2023" i="30"/>
  <c r="D2024" i="30"/>
  <c r="D2025" i="30"/>
  <c r="D2026" i="30"/>
  <c r="D2027" i="30"/>
  <c r="D2028" i="30"/>
  <c r="D2029" i="30"/>
  <c r="D2030" i="30"/>
  <c r="D2031" i="30"/>
  <c r="D2032" i="30"/>
  <c r="D2033" i="30"/>
  <c r="D2034" i="30"/>
  <c r="D2035" i="30"/>
  <c r="D2036" i="30"/>
  <c r="D2037" i="30"/>
  <c r="D2038" i="30"/>
  <c r="D2039" i="30"/>
  <c r="D2040" i="30"/>
  <c r="D2041" i="30"/>
  <c r="D2042" i="30"/>
  <c r="D2043" i="30"/>
  <c r="D2044" i="30"/>
  <c r="D2045" i="30"/>
  <c r="D2046" i="30"/>
  <c r="D2047" i="30"/>
  <c r="D2048" i="30"/>
  <c r="D2049" i="30"/>
  <c r="D2050" i="30"/>
  <c r="D2051" i="30"/>
  <c r="D2052" i="30"/>
  <c r="D2053" i="30"/>
  <c r="D2054" i="30"/>
  <c r="D2055" i="30"/>
  <c r="D2056" i="30"/>
  <c r="D2057" i="30"/>
  <c r="D2058" i="30"/>
  <c r="D2059" i="30"/>
  <c r="D2060" i="30"/>
  <c r="D2061" i="30"/>
  <c r="D2062" i="30"/>
  <c r="D2063" i="30"/>
  <c r="D2064" i="30"/>
  <c r="D2065" i="30"/>
  <c r="D2066" i="30"/>
  <c r="D2067" i="30"/>
  <c r="D2068" i="30"/>
  <c r="D2069" i="30"/>
  <c r="D2070" i="30"/>
  <c r="D2071" i="30"/>
  <c r="D2072" i="30"/>
  <c r="D2073" i="30"/>
  <c r="D2074" i="30"/>
  <c r="D2075" i="30"/>
  <c r="D2076" i="30"/>
  <c r="D2077" i="30"/>
  <c r="D2078" i="30"/>
  <c r="D2079" i="30"/>
  <c r="D2080" i="30"/>
  <c r="D2081" i="30"/>
  <c r="D2082" i="30"/>
  <c r="D2083" i="30"/>
  <c r="D2084" i="30"/>
  <c r="D2085" i="30"/>
  <c r="D2086" i="30"/>
  <c r="D2087" i="30"/>
  <c r="D2088" i="30"/>
  <c r="D2089" i="30"/>
  <c r="D2090" i="30"/>
  <c r="D2091" i="30"/>
  <c r="D2092" i="30"/>
  <c r="D2093" i="30"/>
  <c r="D2094" i="30"/>
  <c r="D2095" i="30"/>
  <c r="D2096" i="30"/>
  <c r="D2097" i="30"/>
  <c r="D2098" i="30"/>
  <c r="D2099" i="30"/>
  <c r="D2100" i="30"/>
  <c r="D2101" i="30"/>
  <c r="D2102" i="30"/>
  <c r="D2103" i="30"/>
  <c r="D2104" i="30"/>
  <c r="D2105" i="30"/>
  <c r="D2106" i="30"/>
  <c r="D2107" i="30"/>
  <c r="D2108" i="30"/>
  <c r="D2109" i="30"/>
  <c r="D2110" i="30"/>
  <c r="D2111" i="30"/>
  <c r="D2112" i="30"/>
  <c r="D2113" i="30"/>
  <c r="D2114" i="30"/>
  <c r="D2115" i="30"/>
  <c r="D2116" i="30"/>
  <c r="D2117" i="30"/>
  <c r="D2118" i="30"/>
  <c r="D2119" i="30"/>
  <c r="D2120" i="30"/>
  <c r="D2121" i="30"/>
  <c r="D2122" i="30"/>
  <c r="D2123" i="30"/>
  <c r="D2124" i="30"/>
  <c r="D2125" i="30"/>
  <c r="D2126" i="30"/>
  <c r="D2127" i="30"/>
  <c r="D2128" i="30"/>
  <c r="D2129" i="30"/>
  <c r="D2130" i="30"/>
  <c r="D2131" i="30"/>
  <c r="D2132" i="30"/>
  <c r="D2133" i="30"/>
  <c r="D2134" i="30"/>
  <c r="D2135" i="30"/>
  <c r="D2136" i="30"/>
  <c r="D2137" i="30"/>
  <c r="D2138" i="30"/>
  <c r="D2139" i="30"/>
  <c r="D2140" i="30"/>
  <c r="D2141" i="30"/>
  <c r="D2142" i="30"/>
  <c r="D2143" i="30"/>
  <c r="D2144" i="30"/>
  <c r="D2145" i="30"/>
  <c r="D2146" i="30"/>
  <c r="D2147" i="30"/>
  <c r="D2148" i="30"/>
  <c r="D2149" i="30"/>
  <c r="D2150" i="30"/>
  <c r="D2151" i="30"/>
  <c r="D2152" i="30"/>
  <c r="D2153" i="30"/>
  <c r="D2154" i="30"/>
  <c r="D2155" i="30"/>
  <c r="D2156" i="30"/>
  <c r="D2157" i="30"/>
  <c r="D2158" i="30"/>
  <c r="D2159" i="30"/>
  <c r="D2160" i="30"/>
  <c r="D2161" i="30"/>
  <c r="D2162" i="30"/>
  <c r="D2163" i="30"/>
  <c r="D2164" i="30"/>
  <c r="D2165" i="30"/>
  <c r="D2166" i="30"/>
  <c r="D2167" i="30"/>
  <c r="D2168" i="30"/>
  <c r="D2169" i="30"/>
  <c r="D2170" i="30"/>
  <c r="D2171" i="30"/>
  <c r="D2172" i="30"/>
  <c r="D2173" i="30"/>
  <c r="D2174" i="30"/>
  <c r="D2175" i="30"/>
  <c r="D2176" i="30"/>
  <c r="D2177" i="30"/>
  <c r="D2178" i="30"/>
  <c r="D2179" i="30"/>
  <c r="D2180" i="30"/>
  <c r="D2181" i="30"/>
  <c r="D2182" i="30"/>
  <c r="D2183" i="30"/>
  <c r="D2184" i="30"/>
  <c r="D2185" i="30"/>
  <c r="D2186" i="30"/>
  <c r="D2187" i="30"/>
  <c r="D2188" i="30"/>
  <c r="D2189" i="30"/>
  <c r="D2190" i="30"/>
  <c r="D2191" i="30"/>
  <c r="D2192" i="30"/>
  <c r="D2193" i="30"/>
  <c r="D2194" i="30"/>
  <c r="D2195" i="30"/>
  <c r="D2196" i="30"/>
  <c r="D2197" i="30"/>
  <c r="D2198" i="30"/>
  <c r="D2199" i="30"/>
  <c r="D2200" i="30"/>
  <c r="D2201" i="30"/>
  <c r="D2202" i="30"/>
  <c r="D2203" i="30"/>
  <c r="D2204" i="30"/>
  <c r="D2205" i="30"/>
  <c r="D2206" i="30"/>
  <c r="D2207" i="30"/>
  <c r="D2208" i="30"/>
  <c r="D2209" i="30"/>
  <c r="D2210" i="30"/>
  <c r="D2211" i="30"/>
  <c r="D2212" i="30"/>
  <c r="D2213" i="30"/>
  <c r="D2214" i="30"/>
  <c r="D2215" i="30"/>
  <c r="D2216" i="30"/>
  <c r="D2217" i="30"/>
  <c r="D2218" i="30"/>
  <c r="D2219" i="30"/>
  <c r="D2220" i="30"/>
  <c r="D2221" i="30"/>
  <c r="D2222" i="30"/>
  <c r="D2223" i="30"/>
  <c r="D2224" i="30"/>
  <c r="D2225" i="30"/>
  <c r="D2226" i="30"/>
  <c r="D2227" i="30"/>
  <c r="D2228" i="30"/>
  <c r="D2229" i="30"/>
  <c r="D2230" i="30"/>
  <c r="D2231" i="30"/>
  <c r="D2232" i="30"/>
  <c r="D2233" i="30"/>
  <c r="D2234" i="30"/>
  <c r="D2235" i="30"/>
  <c r="D2236" i="30"/>
  <c r="D2237" i="30"/>
  <c r="D2238" i="30"/>
  <c r="D2239" i="30"/>
  <c r="D2240" i="30"/>
  <c r="D2241" i="30"/>
  <c r="D2242" i="30"/>
  <c r="D2243" i="30"/>
  <c r="D2244" i="30"/>
  <c r="D2245" i="30"/>
  <c r="D2246" i="30"/>
  <c r="D2247" i="30"/>
  <c r="D2248" i="30"/>
  <c r="D2249" i="30"/>
  <c r="D2250" i="30"/>
  <c r="D2251" i="30"/>
  <c r="D2252" i="30"/>
  <c r="D2253" i="30"/>
  <c r="D2254" i="30"/>
  <c r="D2255" i="30"/>
  <c r="D2256" i="30"/>
  <c r="D2257" i="30"/>
  <c r="D2258" i="30"/>
  <c r="D2259" i="30"/>
  <c r="D2260" i="30"/>
  <c r="D2261" i="30"/>
  <c r="D2262" i="30"/>
  <c r="D2263" i="30"/>
  <c r="D2264" i="30"/>
  <c r="D2265" i="30"/>
  <c r="D2266" i="30"/>
  <c r="D2267" i="30"/>
  <c r="D2268" i="30"/>
  <c r="D2269" i="30"/>
  <c r="D2270" i="30"/>
  <c r="D2271" i="30"/>
  <c r="D2272" i="30"/>
  <c r="D2273" i="30"/>
  <c r="D2274" i="30"/>
  <c r="D2275" i="30"/>
  <c r="D2276" i="30"/>
  <c r="D2277" i="30"/>
  <c r="D2278" i="30"/>
  <c r="D2279" i="30"/>
  <c r="D2280" i="30"/>
  <c r="D2281" i="30"/>
  <c r="D2282" i="30"/>
  <c r="D2283" i="30"/>
  <c r="D2284" i="30"/>
  <c r="D2285" i="30"/>
  <c r="D2286" i="30"/>
  <c r="D2287" i="30"/>
  <c r="D2288" i="30"/>
  <c r="D2289" i="30"/>
  <c r="D2290" i="30"/>
  <c r="D2291" i="30"/>
  <c r="D2292" i="30"/>
  <c r="D2293" i="30"/>
  <c r="D2294" i="30"/>
  <c r="D2295" i="30"/>
  <c r="D2296" i="30"/>
  <c r="D2297" i="30"/>
  <c r="D2298" i="30"/>
  <c r="D2299" i="30"/>
  <c r="D2300" i="30"/>
  <c r="D2301" i="30"/>
  <c r="D2302" i="30"/>
  <c r="D2303" i="30"/>
  <c r="D2304" i="30"/>
  <c r="D2305" i="30"/>
  <c r="D2306" i="30"/>
  <c r="D2307" i="30"/>
  <c r="D2308" i="30"/>
  <c r="D2309" i="30"/>
  <c r="D2310" i="30"/>
  <c r="D2311" i="30"/>
  <c r="D2312" i="30"/>
  <c r="D2313" i="30"/>
  <c r="D2314" i="30"/>
  <c r="D2315" i="30"/>
  <c r="D2316" i="30"/>
  <c r="D2317" i="30"/>
  <c r="D2318" i="30"/>
  <c r="D2319" i="30"/>
  <c r="D2320" i="30"/>
  <c r="D2321" i="30"/>
  <c r="D2322" i="30"/>
  <c r="D2323" i="30"/>
  <c r="D2324" i="30"/>
  <c r="D2325" i="30"/>
  <c r="D2326" i="30"/>
  <c r="D2327" i="30"/>
  <c r="D2328" i="30"/>
  <c r="D2329" i="30"/>
  <c r="D2330" i="30"/>
  <c r="D2331" i="30"/>
  <c r="D2332" i="30"/>
  <c r="D2333" i="30"/>
  <c r="D2334" i="30"/>
  <c r="D2335" i="30"/>
  <c r="D2336" i="30"/>
  <c r="D2337" i="30"/>
  <c r="D2338" i="30"/>
  <c r="D2339" i="30"/>
  <c r="D2340" i="30"/>
  <c r="D2341" i="30"/>
  <c r="D2342" i="30"/>
  <c r="D2343" i="30"/>
  <c r="D2344" i="30"/>
  <c r="D2345" i="30"/>
  <c r="D2346" i="30"/>
  <c r="D2347" i="30"/>
  <c r="D2348" i="30"/>
  <c r="D2349" i="30"/>
  <c r="D2350" i="30"/>
  <c r="D2351" i="30"/>
  <c r="D2352" i="30"/>
  <c r="D2353" i="30"/>
  <c r="D2354" i="30"/>
  <c r="D2355" i="30"/>
  <c r="D2356" i="30"/>
  <c r="D2357" i="30"/>
  <c r="D2358" i="30"/>
  <c r="D2359" i="30"/>
  <c r="D2360" i="30"/>
  <c r="D2361" i="30"/>
  <c r="D2362" i="30"/>
  <c r="D2363" i="30"/>
  <c r="D2364" i="30"/>
  <c r="D2365" i="30"/>
  <c r="D2366" i="30"/>
  <c r="D2367" i="30"/>
  <c r="D2368" i="30"/>
  <c r="D2369" i="30"/>
  <c r="D2370" i="30"/>
  <c r="D2371" i="30"/>
  <c r="D2372" i="30"/>
  <c r="D2373" i="30"/>
  <c r="D2374" i="30"/>
  <c r="D2375" i="30"/>
  <c r="D2376" i="30"/>
  <c r="D2377" i="30"/>
  <c r="D2378" i="30"/>
  <c r="D2379" i="30"/>
  <c r="D2380" i="30"/>
  <c r="D2381" i="30"/>
  <c r="D2382" i="30"/>
  <c r="D2383" i="30"/>
  <c r="D2384" i="30"/>
  <c r="D2385" i="30"/>
  <c r="D2386" i="30"/>
  <c r="D2387" i="30"/>
  <c r="D2388" i="30"/>
  <c r="D2389" i="30"/>
  <c r="D2390" i="30"/>
  <c r="D2391" i="30"/>
  <c r="D2392" i="30"/>
  <c r="D2393" i="30"/>
  <c r="D2394" i="30"/>
  <c r="D2395" i="30"/>
  <c r="D2396" i="30"/>
  <c r="D2397" i="30"/>
  <c r="D2398" i="30"/>
  <c r="D2399" i="30"/>
  <c r="D2400" i="30"/>
  <c r="D2401" i="30"/>
  <c r="D2402" i="30"/>
  <c r="D2403" i="30"/>
  <c r="D2404" i="30"/>
  <c r="D2405" i="30"/>
  <c r="D2406" i="30"/>
  <c r="D2407" i="30"/>
  <c r="D2408" i="30"/>
  <c r="D2409" i="30"/>
  <c r="D2410" i="30"/>
  <c r="D2411" i="30"/>
  <c r="D2412" i="30"/>
  <c r="D2413" i="30"/>
  <c r="D2414" i="30"/>
  <c r="D2415" i="30"/>
  <c r="D2416" i="30"/>
  <c r="D2417" i="30"/>
  <c r="D2418" i="30"/>
  <c r="D2419" i="30"/>
  <c r="D2420" i="30"/>
  <c r="D2421" i="30"/>
  <c r="D2422" i="30"/>
  <c r="D2423" i="30"/>
  <c r="D2424" i="30"/>
  <c r="D2425" i="30"/>
  <c r="D2426" i="30"/>
  <c r="D2427" i="30"/>
  <c r="D2428" i="30"/>
  <c r="D2429" i="30"/>
  <c r="D2430" i="30"/>
  <c r="D2431" i="30"/>
  <c r="D2432" i="30"/>
  <c r="D2433" i="30"/>
  <c r="D2434" i="30"/>
  <c r="D2435" i="30"/>
  <c r="D2436" i="30"/>
  <c r="D2437" i="30"/>
  <c r="D2438" i="30"/>
  <c r="D2439" i="30"/>
  <c r="D2440" i="30"/>
  <c r="D2441" i="30"/>
  <c r="D2442" i="30"/>
  <c r="D2443" i="30"/>
  <c r="D2444" i="30"/>
  <c r="D2445" i="30"/>
  <c r="D2446" i="30"/>
  <c r="D2447" i="30"/>
  <c r="D2448" i="30"/>
  <c r="D2449" i="30"/>
  <c r="D2450" i="30"/>
  <c r="D2451" i="30"/>
  <c r="D2452" i="30"/>
  <c r="D2453" i="30"/>
  <c r="D2454" i="30"/>
  <c r="D2455" i="30"/>
  <c r="D2456" i="30"/>
  <c r="D2457" i="30"/>
  <c r="D2458" i="30"/>
  <c r="D2459" i="30"/>
  <c r="D2460" i="30"/>
  <c r="D2461" i="30"/>
  <c r="D2462" i="30"/>
  <c r="D2463" i="30"/>
  <c r="D2464" i="30"/>
  <c r="D2465" i="30"/>
  <c r="D2466" i="30"/>
  <c r="D2467" i="30"/>
  <c r="D2468" i="30"/>
  <c r="D2469" i="30"/>
  <c r="D2470" i="30"/>
  <c r="D2471" i="30"/>
  <c r="D2472" i="30"/>
  <c r="D2473" i="30"/>
  <c r="D2474" i="30"/>
  <c r="D2475" i="30"/>
  <c r="D2476" i="30"/>
  <c r="D2477" i="30"/>
  <c r="D2478" i="30"/>
  <c r="D2479" i="30"/>
  <c r="D2480" i="30"/>
  <c r="D2481" i="30"/>
  <c r="D2482" i="30"/>
  <c r="D2483" i="30"/>
  <c r="D2484" i="30"/>
  <c r="D2485" i="30"/>
  <c r="D2486" i="30"/>
  <c r="D2487" i="30"/>
  <c r="D2488" i="30"/>
  <c r="D2489" i="30"/>
  <c r="D2490" i="30"/>
  <c r="D2491" i="30"/>
  <c r="D2492" i="30"/>
  <c r="D2493" i="30"/>
  <c r="D2494" i="30"/>
  <c r="D2495" i="30"/>
  <c r="D2496" i="30"/>
  <c r="D2497" i="30"/>
  <c r="D2498" i="30"/>
  <c r="D2499" i="30"/>
  <c r="D2500" i="30"/>
  <c r="D2501" i="30"/>
  <c r="D2502" i="30"/>
  <c r="D2503" i="30"/>
  <c r="D2504" i="30"/>
  <c r="D2505" i="30"/>
  <c r="D2506" i="30"/>
  <c r="D2507" i="30"/>
  <c r="D2508" i="30"/>
  <c r="D2509" i="30"/>
  <c r="D2510" i="30"/>
  <c r="D2511" i="30"/>
  <c r="D2512" i="30"/>
  <c r="D2513" i="30"/>
  <c r="D2514" i="30"/>
  <c r="D2515" i="30"/>
  <c r="D2516" i="30"/>
  <c r="D2517" i="30"/>
  <c r="D2518" i="30"/>
  <c r="D2519" i="30"/>
  <c r="D2520" i="30"/>
  <c r="D2521" i="30"/>
  <c r="D2522" i="30"/>
  <c r="D2523" i="30"/>
  <c r="D2524" i="30"/>
  <c r="D2525" i="30"/>
  <c r="D2526" i="30"/>
  <c r="D2527" i="30"/>
  <c r="D2528" i="30"/>
  <c r="D2529" i="30"/>
  <c r="D2530" i="30"/>
  <c r="D2531" i="30"/>
  <c r="D2532" i="30"/>
  <c r="D2533" i="30"/>
  <c r="D2534" i="30"/>
  <c r="D2535" i="30"/>
  <c r="D2536" i="30"/>
  <c r="D2537" i="30"/>
  <c r="D2538" i="30"/>
  <c r="D2539" i="30"/>
  <c r="D2540" i="30"/>
  <c r="D2541" i="30"/>
  <c r="D2542" i="30"/>
  <c r="D2543" i="30"/>
  <c r="D2544" i="30"/>
  <c r="D2545" i="30"/>
  <c r="D2546" i="30"/>
  <c r="D2547" i="30"/>
  <c r="D2548" i="30"/>
  <c r="D2549" i="30"/>
  <c r="D2550" i="30"/>
  <c r="D2551" i="30"/>
  <c r="D2552" i="30"/>
  <c r="D2553" i="30"/>
  <c r="D2554" i="30"/>
  <c r="D2555" i="30"/>
  <c r="D2556" i="30"/>
  <c r="D2557" i="30"/>
  <c r="D2558" i="30"/>
  <c r="D2559" i="30"/>
  <c r="D2560" i="30"/>
  <c r="D2561" i="30"/>
  <c r="D2562" i="30"/>
  <c r="D2563" i="30"/>
  <c r="D2564" i="30"/>
  <c r="D2565" i="30"/>
  <c r="D2566" i="30"/>
  <c r="D2567" i="30"/>
  <c r="D2568" i="30"/>
  <c r="D2569" i="30"/>
  <c r="D2570" i="30"/>
  <c r="D2571" i="30"/>
  <c r="D2572" i="30"/>
  <c r="D2573" i="30"/>
  <c r="D2574" i="30"/>
  <c r="D2575" i="30"/>
  <c r="D2576" i="30"/>
  <c r="D2577" i="30"/>
  <c r="D2578" i="30"/>
  <c r="D2579" i="30"/>
  <c r="D2580" i="30"/>
  <c r="D2581" i="30"/>
  <c r="D2582" i="30"/>
  <c r="D2583" i="30"/>
  <c r="D2584" i="30"/>
  <c r="D2585" i="30"/>
  <c r="D2586" i="30"/>
  <c r="D2587" i="30"/>
  <c r="D2588" i="30"/>
  <c r="D2589" i="30"/>
  <c r="D2590" i="30"/>
  <c r="D2591" i="30"/>
  <c r="D2592" i="30"/>
  <c r="D2593" i="30"/>
  <c r="D2594" i="30"/>
  <c r="D2595" i="30"/>
  <c r="D2596" i="30"/>
  <c r="D2597" i="30"/>
  <c r="D2598" i="30"/>
  <c r="D2599" i="30"/>
  <c r="D2600" i="30"/>
  <c r="D2601" i="30"/>
  <c r="D2602" i="30"/>
  <c r="D2603" i="30"/>
  <c r="D2604" i="30"/>
  <c r="D2605" i="30"/>
  <c r="D2606" i="30"/>
  <c r="D2607" i="30"/>
  <c r="D2608" i="30"/>
  <c r="D2609" i="30"/>
  <c r="D2610" i="30"/>
  <c r="D2611" i="30"/>
  <c r="D2612" i="30"/>
  <c r="D2613" i="30"/>
  <c r="D2614" i="30"/>
  <c r="D2615" i="30"/>
  <c r="D2616" i="30"/>
  <c r="D2617" i="30"/>
  <c r="D2618" i="30"/>
  <c r="D2619" i="30"/>
  <c r="D2620" i="30"/>
  <c r="D2621" i="30"/>
  <c r="D2622" i="30"/>
  <c r="D2623" i="30"/>
  <c r="D2624" i="30"/>
  <c r="D2625" i="30"/>
  <c r="D2626" i="30"/>
  <c r="D2627" i="30"/>
  <c r="D2628" i="30"/>
  <c r="D2629" i="30"/>
  <c r="D2630" i="30"/>
  <c r="D2631" i="30"/>
  <c r="D2632" i="30"/>
  <c r="D2633" i="30"/>
  <c r="D2634" i="30"/>
  <c r="D2635" i="30"/>
  <c r="D2636" i="30"/>
  <c r="D2637" i="30"/>
  <c r="D2638" i="30"/>
  <c r="D2639" i="30"/>
  <c r="D2640" i="30"/>
  <c r="D2641" i="30"/>
  <c r="D2642" i="30"/>
  <c r="D2643" i="30"/>
  <c r="D2644" i="30"/>
  <c r="D2645" i="30"/>
  <c r="D2646" i="30"/>
  <c r="D2647" i="30"/>
  <c r="D2648" i="30"/>
  <c r="D2649" i="30"/>
  <c r="D2650" i="30"/>
  <c r="D2651" i="30"/>
  <c r="D2652" i="30"/>
  <c r="D2653" i="30"/>
  <c r="D2654" i="30"/>
  <c r="D2655" i="30"/>
  <c r="D2656" i="30"/>
  <c r="D2657" i="30"/>
  <c r="D2658" i="30"/>
  <c r="D2659" i="30"/>
  <c r="D2660" i="30"/>
  <c r="D2661" i="30"/>
  <c r="D2662" i="30"/>
  <c r="D2663" i="30"/>
  <c r="D2664" i="30"/>
  <c r="D2665" i="30"/>
  <c r="D2666" i="30"/>
  <c r="D2667" i="30"/>
  <c r="D2668" i="30"/>
  <c r="D2669" i="30"/>
  <c r="D2670" i="30"/>
  <c r="D2671" i="30"/>
  <c r="D2672" i="30"/>
  <c r="D2673" i="30"/>
  <c r="D2674" i="30"/>
  <c r="D2675" i="30"/>
  <c r="D2676" i="30"/>
  <c r="D2677" i="30"/>
  <c r="D2678" i="30"/>
  <c r="D2679" i="30"/>
  <c r="D2680" i="30"/>
  <c r="D2681" i="30"/>
  <c r="D2682" i="30"/>
  <c r="D2683" i="30"/>
  <c r="D2684" i="30"/>
  <c r="D2685" i="30"/>
  <c r="D2686" i="30"/>
  <c r="D2687" i="30"/>
  <c r="D2688" i="30"/>
  <c r="D2689" i="30"/>
  <c r="D2690" i="30"/>
  <c r="D2691" i="30"/>
  <c r="D2692" i="30"/>
  <c r="D2693" i="30"/>
  <c r="D2694" i="30"/>
  <c r="D2695" i="30"/>
  <c r="D2696" i="30"/>
  <c r="D2697" i="30"/>
  <c r="D2698" i="30"/>
  <c r="D2699" i="30"/>
  <c r="D2700" i="30"/>
  <c r="D2701" i="30"/>
  <c r="D2702" i="30"/>
  <c r="D2703" i="30"/>
  <c r="D2704" i="30"/>
  <c r="D2705" i="30"/>
  <c r="D2706" i="30"/>
  <c r="D2707" i="30"/>
  <c r="D2708" i="30"/>
  <c r="D2709" i="30"/>
  <c r="D2710" i="30"/>
  <c r="D2711" i="30"/>
  <c r="D2712" i="30"/>
  <c r="D2713" i="30"/>
  <c r="D2714" i="30"/>
  <c r="D2715" i="30"/>
  <c r="D2716" i="30"/>
  <c r="D2717" i="30"/>
  <c r="D2718" i="30"/>
  <c r="D2719" i="30"/>
  <c r="D2720" i="30"/>
  <c r="D2721" i="30"/>
  <c r="D2722" i="30"/>
  <c r="D2723" i="30"/>
  <c r="D2724" i="30"/>
  <c r="D2725" i="30"/>
  <c r="D2726" i="30"/>
  <c r="D2727" i="30"/>
  <c r="D2728" i="30"/>
  <c r="D2729" i="30"/>
  <c r="D2730" i="30"/>
  <c r="D2731" i="30"/>
  <c r="D2732" i="30"/>
  <c r="D2733" i="30"/>
  <c r="D2734" i="30"/>
  <c r="D2735" i="30"/>
  <c r="D2736" i="30"/>
  <c r="D2737" i="30"/>
  <c r="D2738" i="30"/>
  <c r="D2739" i="30"/>
  <c r="D2740" i="30"/>
  <c r="D2741" i="30"/>
  <c r="D2742" i="30"/>
  <c r="D2743" i="30"/>
  <c r="D2744" i="30"/>
  <c r="D2745" i="30"/>
  <c r="D2746" i="30"/>
  <c r="D2747" i="30"/>
  <c r="D2748" i="30"/>
  <c r="D2749" i="30"/>
  <c r="D2750" i="30"/>
  <c r="D2751" i="30"/>
  <c r="D2752" i="30"/>
  <c r="D2753" i="30"/>
  <c r="D2754" i="30"/>
  <c r="D2755" i="30"/>
  <c r="D2756" i="30"/>
  <c r="D2757" i="30"/>
  <c r="D2758" i="30"/>
  <c r="D2759" i="30"/>
  <c r="D2760" i="30"/>
  <c r="D2761" i="30"/>
  <c r="D2762" i="30"/>
  <c r="D2763" i="30"/>
  <c r="D2764" i="30"/>
  <c r="D2765" i="30"/>
  <c r="D2766" i="30"/>
  <c r="D2767" i="30"/>
  <c r="D2768" i="30"/>
  <c r="D2769" i="30"/>
  <c r="D2770" i="30"/>
  <c r="D2771" i="30"/>
  <c r="D2772" i="30"/>
  <c r="D2773" i="30"/>
  <c r="D2774" i="30"/>
  <c r="D2775" i="30"/>
  <c r="D2776" i="30"/>
  <c r="D2777" i="30"/>
  <c r="D2778" i="30"/>
  <c r="D2779" i="30"/>
  <c r="D2780" i="30"/>
  <c r="D2781" i="30"/>
  <c r="D2782" i="30"/>
  <c r="D2783" i="30"/>
  <c r="D2784" i="30"/>
  <c r="D2785" i="30"/>
  <c r="D2786" i="30"/>
  <c r="D2787" i="30"/>
  <c r="D2788" i="30"/>
  <c r="D2789" i="30"/>
  <c r="D2790" i="30"/>
  <c r="D2791" i="30"/>
  <c r="D2792" i="30"/>
  <c r="D2793" i="30"/>
  <c r="D2794" i="30"/>
  <c r="D2795" i="30"/>
  <c r="D2796" i="30"/>
  <c r="D2797" i="30"/>
  <c r="D2798" i="30"/>
  <c r="D2799" i="30"/>
  <c r="D2800" i="30"/>
  <c r="D2801" i="30"/>
  <c r="D2802" i="30"/>
  <c r="D2803" i="30"/>
  <c r="D2804" i="30"/>
  <c r="D2805" i="30"/>
  <c r="D2806" i="30"/>
  <c r="D2807" i="30"/>
  <c r="D2808" i="30"/>
  <c r="D2809" i="30"/>
  <c r="D2810" i="30"/>
  <c r="D2811" i="30"/>
  <c r="D2812" i="30"/>
  <c r="D2813" i="30"/>
  <c r="D2814" i="30"/>
  <c r="D2815" i="30"/>
  <c r="D2816" i="30"/>
  <c r="D2817" i="30"/>
  <c r="D2818" i="30"/>
  <c r="D2819" i="30"/>
  <c r="D2820" i="30"/>
  <c r="D2821" i="30"/>
  <c r="D2822" i="30"/>
  <c r="D2823" i="30"/>
  <c r="D2824" i="30"/>
  <c r="D2825" i="30"/>
  <c r="D2826" i="30"/>
  <c r="D2827" i="30"/>
  <c r="D2828" i="30"/>
  <c r="D2829" i="30"/>
  <c r="D2830" i="30"/>
  <c r="D2831" i="30"/>
  <c r="D2832" i="30"/>
  <c r="D2833" i="30"/>
  <c r="D2834" i="30"/>
  <c r="D2835" i="30"/>
  <c r="D2836" i="30"/>
  <c r="D2837" i="30"/>
  <c r="D2838" i="30"/>
  <c r="D2839" i="30"/>
  <c r="D2840" i="30"/>
  <c r="D2841" i="30"/>
  <c r="D2842" i="30"/>
  <c r="D2843" i="30"/>
  <c r="D2844" i="30"/>
  <c r="D2845" i="30"/>
  <c r="D2846" i="30"/>
  <c r="D2847" i="30"/>
  <c r="D2848" i="30"/>
  <c r="D2849" i="30"/>
  <c r="D2850" i="30"/>
  <c r="D2851" i="30"/>
  <c r="D2852" i="30"/>
  <c r="D2853" i="30"/>
  <c r="D2854" i="30"/>
  <c r="D2855" i="30"/>
  <c r="D2856" i="30"/>
  <c r="D2857" i="30"/>
  <c r="D2858" i="30"/>
  <c r="D2859" i="30"/>
  <c r="D2860" i="30"/>
  <c r="D2861" i="30"/>
  <c r="D2862" i="30"/>
  <c r="D2863" i="30"/>
  <c r="D2864" i="30"/>
  <c r="D2865" i="30"/>
  <c r="D2866" i="30"/>
  <c r="D2867" i="30"/>
  <c r="D2868" i="30"/>
  <c r="D2869" i="30"/>
  <c r="D2870" i="30"/>
  <c r="D2871" i="30"/>
  <c r="D2872" i="30"/>
  <c r="D2873" i="30"/>
  <c r="D2874" i="30"/>
  <c r="D2875" i="30"/>
  <c r="D2876" i="30"/>
  <c r="D2877" i="30"/>
  <c r="D2878" i="30"/>
  <c r="D2879" i="30"/>
  <c r="D2880" i="30"/>
  <c r="D2881" i="30"/>
  <c r="D2882" i="30"/>
  <c r="D2883" i="30"/>
  <c r="D2884" i="30"/>
  <c r="D2885" i="30"/>
  <c r="D2886" i="30"/>
  <c r="D2887" i="30"/>
  <c r="D2888" i="30"/>
  <c r="D2889" i="30"/>
  <c r="D2890" i="30"/>
  <c r="D2891" i="30"/>
  <c r="D2892" i="30"/>
  <c r="D2893" i="30"/>
  <c r="D2894" i="30"/>
  <c r="D2895" i="30"/>
  <c r="D2896" i="30"/>
  <c r="D2897" i="30"/>
  <c r="D2898" i="30"/>
  <c r="D2899" i="30"/>
  <c r="D2900" i="30"/>
  <c r="D2901" i="30"/>
  <c r="D2902" i="30"/>
  <c r="D2903" i="30"/>
  <c r="D2904" i="30"/>
  <c r="D2905" i="30"/>
  <c r="D2906" i="30"/>
  <c r="D2907" i="30"/>
  <c r="D2908" i="30"/>
  <c r="D2909" i="30"/>
  <c r="D2910" i="30"/>
  <c r="D2911" i="30"/>
  <c r="D2912" i="30"/>
  <c r="D2913" i="30"/>
  <c r="D2914" i="30"/>
  <c r="D2915" i="30"/>
  <c r="D2916" i="30"/>
  <c r="D2917" i="30"/>
  <c r="D2918" i="30"/>
  <c r="D2919" i="30"/>
  <c r="D2920" i="30"/>
  <c r="D2921" i="30"/>
  <c r="D2922" i="30"/>
  <c r="D2923" i="30"/>
  <c r="D2924" i="30"/>
  <c r="D2925" i="30"/>
  <c r="D2926" i="30"/>
  <c r="D2927" i="30"/>
  <c r="D2928" i="30"/>
  <c r="D2929" i="30"/>
  <c r="D2930" i="30"/>
  <c r="D2931" i="30"/>
  <c r="D2932" i="30"/>
  <c r="D2933" i="30"/>
  <c r="D2934" i="30"/>
  <c r="D2935" i="30"/>
  <c r="D2936" i="30"/>
  <c r="D2937" i="30"/>
  <c r="D2938" i="30"/>
  <c r="D2939" i="30"/>
  <c r="D2940" i="30"/>
  <c r="D2941" i="30"/>
  <c r="D2942" i="30"/>
  <c r="D2943" i="30"/>
  <c r="D2944" i="30"/>
  <c r="D2945" i="30"/>
  <c r="D2946" i="30"/>
  <c r="D2947" i="30"/>
  <c r="D2948" i="30"/>
  <c r="D2949" i="30"/>
  <c r="D2950" i="30"/>
  <c r="D2951" i="30"/>
  <c r="D2952" i="30"/>
  <c r="D2953" i="30"/>
  <c r="D2954" i="30"/>
  <c r="D2955" i="30"/>
  <c r="D2956" i="30"/>
  <c r="D2957" i="30"/>
  <c r="D2958" i="30"/>
  <c r="D2959" i="30"/>
  <c r="D2960" i="30"/>
  <c r="D2961" i="30"/>
  <c r="D2962" i="30"/>
  <c r="D2963" i="30"/>
  <c r="D2964" i="30"/>
  <c r="D2965" i="30"/>
  <c r="D2966" i="30"/>
  <c r="D2967" i="30"/>
  <c r="D2968" i="30"/>
  <c r="D2969" i="30"/>
  <c r="D2970" i="30"/>
  <c r="D2971" i="30"/>
  <c r="D2972" i="30"/>
  <c r="D2973" i="30"/>
  <c r="D2974" i="30"/>
  <c r="D2975" i="30"/>
  <c r="D2976" i="30"/>
  <c r="D2977" i="30"/>
  <c r="D2978" i="30"/>
  <c r="D2979" i="30"/>
  <c r="D2980" i="30"/>
  <c r="D2981" i="30"/>
  <c r="D2982" i="30"/>
  <c r="D2983" i="30"/>
  <c r="D2984" i="30"/>
  <c r="D2985" i="30"/>
  <c r="D2986" i="30"/>
  <c r="D2987" i="30"/>
  <c r="D2988" i="30"/>
  <c r="D2989" i="30"/>
  <c r="D2990" i="30"/>
  <c r="D2991" i="30"/>
  <c r="D2992" i="30"/>
  <c r="D2993" i="30"/>
  <c r="D2994" i="30"/>
  <c r="D2995" i="30"/>
  <c r="D2996" i="30"/>
  <c r="D2997" i="30"/>
  <c r="D2998" i="30"/>
  <c r="D2999" i="30"/>
  <c r="D3000" i="30"/>
  <c r="D3001" i="30"/>
  <c r="D3002" i="30"/>
  <c r="D3003" i="30"/>
  <c r="D3004" i="30"/>
  <c r="D3005" i="30"/>
  <c r="D3006" i="30"/>
  <c r="D3007" i="30"/>
  <c r="D3008" i="30"/>
  <c r="D3009" i="30"/>
  <c r="D3010" i="30"/>
  <c r="D3011" i="30"/>
  <c r="D3012" i="30"/>
  <c r="D3013" i="30"/>
  <c r="D3014" i="30"/>
  <c r="D3015" i="30"/>
  <c r="D3016" i="30"/>
  <c r="D3017" i="30"/>
  <c r="D3018" i="30"/>
  <c r="D3019" i="30"/>
  <c r="D3020" i="30"/>
  <c r="D3021" i="30"/>
  <c r="D3022" i="30"/>
  <c r="D3023" i="30"/>
  <c r="D3024" i="30"/>
  <c r="D3025" i="30"/>
  <c r="D3026" i="30"/>
  <c r="D3027" i="30"/>
  <c r="D3028" i="30"/>
  <c r="D3029" i="30"/>
  <c r="D3030" i="30"/>
  <c r="D3031" i="30"/>
  <c r="D3032" i="30"/>
  <c r="D3033" i="30"/>
  <c r="D3034" i="30"/>
  <c r="D3035" i="30"/>
  <c r="D3036" i="30"/>
  <c r="D3037" i="30"/>
  <c r="D3038" i="30"/>
  <c r="D3039" i="30"/>
  <c r="D3040" i="30"/>
  <c r="D3041" i="30"/>
  <c r="D3042" i="30"/>
  <c r="D3043" i="30"/>
  <c r="D3044" i="30"/>
  <c r="D3045" i="30"/>
  <c r="D3046" i="30"/>
  <c r="D3047" i="30"/>
  <c r="D3048" i="30"/>
  <c r="D3049" i="30"/>
  <c r="D3050" i="30"/>
  <c r="D3051" i="30"/>
  <c r="D3052" i="30"/>
  <c r="D3053" i="30"/>
  <c r="D3054" i="30"/>
  <c r="D3055" i="30"/>
  <c r="D3056" i="30"/>
  <c r="D3057" i="30"/>
  <c r="D3058" i="30"/>
  <c r="D3059" i="30"/>
  <c r="D3060" i="30"/>
  <c r="D3061" i="30"/>
  <c r="D3062" i="30"/>
  <c r="D3063" i="30"/>
  <c r="D3064" i="30"/>
  <c r="D3065" i="30"/>
  <c r="D3066" i="30"/>
  <c r="D3067" i="30"/>
  <c r="D3068" i="30"/>
  <c r="D3069" i="30"/>
  <c r="D3070" i="30"/>
  <c r="D3071" i="30"/>
  <c r="D3072" i="30"/>
  <c r="D3073" i="30"/>
  <c r="D3074" i="30"/>
  <c r="D3075" i="30"/>
  <c r="D3076" i="30"/>
  <c r="D3077" i="30"/>
  <c r="D3078" i="30"/>
  <c r="D3079" i="30"/>
  <c r="D3080" i="30"/>
  <c r="D3081" i="30"/>
  <c r="D3082" i="30"/>
  <c r="D3083" i="30"/>
  <c r="D3084" i="30"/>
  <c r="D3085" i="30"/>
  <c r="D3086" i="30"/>
  <c r="D3087" i="30"/>
  <c r="D3088" i="30"/>
  <c r="D3089" i="30"/>
  <c r="D3090" i="30"/>
  <c r="D3091" i="30"/>
  <c r="D3092" i="30"/>
  <c r="D3093" i="30"/>
  <c r="D3094" i="30"/>
  <c r="D3095" i="30"/>
  <c r="D3096" i="30"/>
  <c r="D3097" i="30"/>
  <c r="D3098" i="30"/>
  <c r="D3099" i="30"/>
  <c r="D3100" i="30"/>
  <c r="D3101" i="30"/>
  <c r="D3102" i="30"/>
  <c r="D3103" i="30"/>
  <c r="D3104" i="30"/>
  <c r="D3105" i="30"/>
  <c r="D3106" i="30"/>
  <c r="D3107" i="30"/>
  <c r="D3108" i="30"/>
  <c r="D3109" i="30"/>
  <c r="D3110" i="30"/>
  <c r="D3111" i="30"/>
  <c r="D3112" i="30"/>
  <c r="D3113" i="30"/>
  <c r="D3114" i="30"/>
  <c r="D3115" i="30"/>
  <c r="D3116" i="30"/>
  <c r="D3117" i="30"/>
  <c r="D3118" i="30"/>
  <c r="D3119" i="30"/>
  <c r="D3120" i="30"/>
  <c r="D3121" i="30"/>
  <c r="D3122" i="30"/>
  <c r="D3123" i="30"/>
  <c r="D3124" i="30"/>
  <c r="D3125" i="30"/>
  <c r="D3126" i="30"/>
  <c r="D3127" i="30"/>
  <c r="D3128" i="30"/>
  <c r="D3129" i="30"/>
  <c r="D3130" i="30"/>
  <c r="D3131" i="30"/>
  <c r="D3132" i="30"/>
  <c r="D3133" i="30"/>
  <c r="D3134" i="30"/>
  <c r="D3135" i="30"/>
  <c r="D3136" i="30"/>
  <c r="D3137" i="30"/>
  <c r="D3138" i="30"/>
  <c r="D3139" i="30"/>
  <c r="D3140" i="30"/>
  <c r="D3141" i="30"/>
  <c r="D3142" i="30"/>
  <c r="D3143" i="30"/>
  <c r="D3144" i="30"/>
  <c r="D3145" i="30"/>
  <c r="D3146" i="30"/>
  <c r="D3147" i="30"/>
  <c r="D3148" i="30"/>
  <c r="D3149" i="30"/>
  <c r="D3150" i="30"/>
  <c r="D3151" i="30"/>
  <c r="D3152" i="30"/>
  <c r="D3153" i="30"/>
  <c r="D3154" i="30"/>
  <c r="D3155" i="30"/>
  <c r="D3156" i="30"/>
  <c r="D3157" i="30"/>
  <c r="D3158" i="30"/>
  <c r="D3159" i="30"/>
  <c r="D3160" i="30"/>
  <c r="D3161" i="30"/>
  <c r="D3162" i="30"/>
  <c r="D3163" i="30"/>
  <c r="D3164" i="30"/>
  <c r="D3165" i="30"/>
  <c r="D3166" i="30"/>
  <c r="D3167" i="30"/>
  <c r="D3168" i="30"/>
  <c r="D3169" i="30"/>
  <c r="D3170" i="30"/>
  <c r="D3171" i="30"/>
  <c r="D3172" i="30"/>
  <c r="D3173" i="30"/>
  <c r="D3174" i="30"/>
  <c r="D3175" i="30"/>
  <c r="D3176" i="30"/>
  <c r="D3177" i="30"/>
  <c r="D3178" i="30"/>
  <c r="D3179" i="30"/>
  <c r="D3180" i="30"/>
  <c r="D3181" i="30"/>
  <c r="D3182" i="30"/>
  <c r="D3183" i="30"/>
  <c r="D3184" i="30"/>
  <c r="D3185" i="30"/>
  <c r="D3186" i="30"/>
  <c r="D3187" i="30"/>
  <c r="D3188" i="30"/>
  <c r="D3189" i="30"/>
  <c r="D3190" i="30"/>
  <c r="D3191" i="30"/>
  <c r="D3192" i="30"/>
  <c r="D3193" i="30"/>
  <c r="D3194" i="30"/>
  <c r="D3195" i="30"/>
  <c r="D3196" i="30"/>
  <c r="D3197" i="30"/>
  <c r="D3198" i="30"/>
  <c r="D3199" i="30"/>
  <c r="D3200" i="30"/>
  <c r="D3201" i="30"/>
  <c r="D3202" i="30"/>
  <c r="D3203" i="30"/>
  <c r="D3204" i="30"/>
  <c r="D3205" i="30"/>
  <c r="D3206" i="30"/>
  <c r="D3207" i="30"/>
  <c r="D3208" i="30"/>
  <c r="D3209" i="30"/>
  <c r="D3210" i="30"/>
  <c r="D3211" i="30"/>
  <c r="D3212" i="30"/>
  <c r="D3213" i="30"/>
  <c r="D3214" i="30"/>
  <c r="D3215" i="30"/>
  <c r="D3216" i="30"/>
  <c r="D3217" i="30"/>
  <c r="D3218" i="30"/>
  <c r="D3219" i="30"/>
  <c r="D3220" i="30"/>
  <c r="D3221" i="30"/>
  <c r="D3222" i="30"/>
  <c r="D3223" i="30"/>
  <c r="D3224" i="30"/>
  <c r="D3225" i="30"/>
  <c r="D3226" i="30"/>
  <c r="D3227" i="30"/>
  <c r="D3228" i="30"/>
  <c r="D3229" i="30"/>
  <c r="D3230" i="30"/>
  <c r="D3231" i="30"/>
  <c r="D3232" i="30"/>
  <c r="D3233" i="30"/>
  <c r="D3234" i="30"/>
  <c r="D3235" i="30"/>
  <c r="D3236" i="30"/>
  <c r="D3237" i="30"/>
  <c r="D3238" i="30"/>
  <c r="D3239" i="30"/>
  <c r="D3240" i="30"/>
  <c r="D3241" i="30"/>
  <c r="D3242" i="30"/>
  <c r="D3243" i="30"/>
  <c r="D3244" i="30"/>
  <c r="D3245" i="30"/>
  <c r="D3246" i="30"/>
  <c r="D3247" i="30"/>
  <c r="D3248" i="30"/>
  <c r="D3249" i="30"/>
  <c r="D3250" i="30"/>
  <c r="D3251" i="30"/>
  <c r="D3252" i="30"/>
  <c r="D3253" i="30"/>
  <c r="D3254" i="30"/>
  <c r="D3255" i="30"/>
  <c r="D3256" i="30"/>
  <c r="D3257" i="30"/>
  <c r="D3258" i="30"/>
  <c r="D3259" i="30"/>
  <c r="D3260" i="30"/>
  <c r="D3261" i="30"/>
  <c r="D3262" i="30"/>
  <c r="D3263" i="30"/>
  <c r="D3264" i="30"/>
  <c r="D3265" i="30"/>
  <c r="D3266" i="30"/>
  <c r="D3267" i="30"/>
  <c r="D3268" i="30"/>
  <c r="D3269" i="30"/>
  <c r="D3270" i="30"/>
  <c r="D3271" i="30"/>
  <c r="D3272" i="30"/>
  <c r="D3273" i="30"/>
  <c r="D3274" i="30"/>
  <c r="D3275" i="30"/>
  <c r="D3276" i="30"/>
  <c r="D3277" i="30"/>
  <c r="D3278" i="30"/>
  <c r="D3279" i="30"/>
  <c r="D3280" i="30"/>
  <c r="D3281" i="30"/>
  <c r="D3282" i="30"/>
  <c r="D3283" i="30"/>
  <c r="D3284" i="30"/>
  <c r="D3285" i="30"/>
  <c r="D3286" i="30"/>
  <c r="D3287" i="30"/>
  <c r="D3288" i="30"/>
  <c r="D3289" i="30"/>
  <c r="D3290" i="30"/>
  <c r="D3291" i="30"/>
  <c r="D3292" i="30"/>
  <c r="D3293" i="30"/>
  <c r="D3294" i="30"/>
  <c r="D3295" i="30"/>
  <c r="D3296" i="30"/>
  <c r="D3297" i="30"/>
  <c r="D3298" i="30"/>
  <c r="D3299" i="30"/>
  <c r="D3300" i="30"/>
  <c r="D3301" i="30"/>
  <c r="D3302" i="30"/>
  <c r="D3303" i="30"/>
  <c r="D3304" i="30"/>
  <c r="D3305" i="30"/>
  <c r="D3306" i="30"/>
  <c r="D3307" i="30"/>
  <c r="D3308" i="30"/>
  <c r="D3309" i="30"/>
  <c r="D3310" i="30"/>
  <c r="D3311" i="30"/>
  <c r="D3312" i="30"/>
  <c r="D3313" i="30"/>
  <c r="D3314" i="30"/>
  <c r="D3315" i="30"/>
  <c r="D3316" i="30"/>
  <c r="D3317" i="30"/>
  <c r="D3318" i="30"/>
  <c r="D3319" i="30"/>
  <c r="D3320" i="30"/>
  <c r="D3321" i="30"/>
  <c r="D3322" i="30"/>
  <c r="D3323" i="30"/>
  <c r="D3324" i="30"/>
  <c r="D3325" i="30"/>
  <c r="D3326" i="30"/>
  <c r="D3327" i="30"/>
  <c r="D3328" i="30"/>
  <c r="D3329" i="30"/>
  <c r="D3330" i="30"/>
  <c r="D3331" i="30"/>
  <c r="D3332" i="30"/>
  <c r="D3333" i="30"/>
  <c r="D3334" i="30"/>
  <c r="D3335" i="30"/>
  <c r="D3336" i="30"/>
  <c r="D3337" i="30"/>
  <c r="D3338" i="30"/>
  <c r="D3339" i="30"/>
  <c r="D3340" i="30"/>
  <c r="D3341" i="30"/>
  <c r="D3342" i="30"/>
  <c r="D3343" i="30"/>
  <c r="D3344" i="30"/>
  <c r="D3345" i="30"/>
  <c r="D3346" i="30"/>
  <c r="D3347" i="30"/>
  <c r="D3348" i="30"/>
  <c r="D3349" i="30"/>
  <c r="D3350" i="30"/>
  <c r="D3351" i="30"/>
  <c r="D3352" i="30"/>
  <c r="D3353" i="30"/>
  <c r="D3354" i="30"/>
  <c r="D3355" i="30"/>
  <c r="D3356" i="30"/>
  <c r="D3357" i="30"/>
  <c r="D3358" i="30"/>
  <c r="D3359" i="30"/>
  <c r="D3360" i="30"/>
  <c r="D3361" i="30"/>
  <c r="D3362" i="30"/>
  <c r="D3363" i="30"/>
  <c r="D3364" i="30"/>
  <c r="D3365" i="30"/>
  <c r="D3366" i="30"/>
  <c r="D3367" i="30"/>
  <c r="D3368" i="30"/>
  <c r="D3369" i="30"/>
  <c r="D3370" i="30"/>
  <c r="D3371" i="30"/>
  <c r="D3372" i="30"/>
  <c r="D3373" i="30"/>
  <c r="D3374" i="30"/>
  <c r="D3375" i="30"/>
  <c r="D3376" i="30"/>
  <c r="D3377" i="30"/>
  <c r="D3378" i="30"/>
  <c r="D3379" i="30"/>
  <c r="D3380" i="30"/>
  <c r="D3381" i="30"/>
  <c r="D3382" i="30"/>
  <c r="D3383" i="30"/>
  <c r="D3384" i="30"/>
  <c r="D3385" i="30"/>
  <c r="D3386" i="30"/>
  <c r="D3387" i="30"/>
  <c r="D3388" i="30"/>
  <c r="D3389" i="30"/>
  <c r="D3390" i="30"/>
  <c r="D3391" i="30"/>
  <c r="D3392" i="30"/>
  <c r="D3393" i="30"/>
  <c r="D3394" i="30"/>
  <c r="D3395" i="30"/>
  <c r="D3396" i="30"/>
  <c r="D3397" i="30"/>
  <c r="D3398" i="30"/>
  <c r="D3399" i="30"/>
  <c r="D3400" i="30"/>
  <c r="D3401" i="30"/>
  <c r="D3402" i="30"/>
  <c r="D3403" i="30"/>
  <c r="D3404" i="30"/>
  <c r="D3405" i="30"/>
  <c r="D3406" i="30"/>
  <c r="D3407" i="30"/>
  <c r="D3408" i="30"/>
  <c r="D3409" i="30"/>
  <c r="D3410" i="30"/>
  <c r="D3411" i="30"/>
  <c r="D3412" i="30"/>
  <c r="D3413" i="30"/>
  <c r="D3414" i="30"/>
  <c r="D3415" i="30"/>
  <c r="D3416" i="30"/>
  <c r="D3417" i="30"/>
  <c r="D3418" i="30"/>
  <c r="D3419" i="30"/>
  <c r="D3420" i="30"/>
  <c r="D3421" i="30"/>
  <c r="D3422" i="30"/>
  <c r="D3423" i="30"/>
  <c r="D3424" i="30"/>
  <c r="D3425" i="30"/>
  <c r="D3426" i="30"/>
  <c r="D3427" i="30"/>
  <c r="D3428" i="30"/>
  <c r="D3429" i="30"/>
  <c r="D3430" i="30"/>
  <c r="D3431" i="30"/>
  <c r="D3432" i="30"/>
  <c r="D3433" i="30"/>
  <c r="D3434" i="30"/>
  <c r="D3435" i="30"/>
  <c r="D3436" i="30"/>
  <c r="D3437" i="30"/>
  <c r="D3438" i="30"/>
  <c r="D3439" i="30"/>
  <c r="D3440" i="30"/>
  <c r="D3441" i="30"/>
  <c r="D3442" i="30"/>
  <c r="D3443" i="30"/>
  <c r="D3444" i="30"/>
  <c r="D3445" i="30"/>
  <c r="D3446" i="30"/>
  <c r="D3447" i="30"/>
  <c r="D3448" i="30"/>
  <c r="D3449" i="30"/>
  <c r="D3450" i="30"/>
  <c r="D3451" i="30"/>
  <c r="D3452" i="30"/>
  <c r="D3453" i="30"/>
  <c r="D3454" i="30"/>
  <c r="D3455" i="30"/>
  <c r="D3456" i="30"/>
  <c r="D3457" i="30"/>
  <c r="D3458" i="30"/>
  <c r="D3459" i="30"/>
  <c r="D3460" i="30"/>
  <c r="D3461" i="30"/>
  <c r="D3462" i="30"/>
  <c r="D3463" i="30"/>
  <c r="D3464" i="30"/>
  <c r="D3465" i="30"/>
  <c r="D3466" i="30"/>
  <c r="D3467" i="30"/>
  <c r="D3468" i="30"/>
  <c r="D3469" i="30"/>
  <c r="D3470" i="30"/>
  <c r="D3471" i="30"/>
  <c r="D3472" i="30"/>
  <c r="D3473" i="30"/>
  <c r="D3474" i="30"/>
  <c r="D3475" i="30"/>
  <c r="D3476" i="30"/>
  <c r="D3477" i="30"/>
  <c r="D3478" i="30"/>
  <c r="D3479" i="30"/>
  <c r="D3480" i="30"/>
  <c r="D3481" i="30"/>
  <c r="D3482" i="30"/>
  <c r="D3483" i="30"/>
  <c r="D3484" i="30"/>
  <c r="D3485" i="30"/>
  <c r="D3486" i="30"/>
  <c r="D3487" i="30"/>
  <c r="D3488" i="30"/>
  <c r="D3489" i="30"/>
  <c r="D3490" i="30"/>
  <c r="D3491" i="30"/>
  <c r="D3492" i="30"/>
  <c r="D3493" i="30"/>
  <c r="D3494" i="30"/>
  <c r="D3495" i="30"/>
  <c r="D3496" i="30"/>
  <c r="D3497" i="30"/>
  <c r="D3498" i="30"/>
  <c r="D3499" i="30"/>
  <c r="D3500" i="30"/>
  <c r="D3501" i="30"/>
  <c r="D3502" i="30"/>
  <c r="D3503" i="30"/>
  <c r="D3504" i="30"/>
  <c r="D3505" i="30"/>
  <c r="D3506" i="30"/>
  <c r="D3507" i="30"/>
  <c r="D3508" i="30"/>
  <c r="D3509" i="30"/>
  <c r="D3510" i="30"/>
  <c r="D3511" i="30"/>
  <c r="D3512" i="30"/>
  <c r="D3513" i="30"/>
  <c r="D3514" i="30"/>
  <c r="D3515" i="30"/>
  <c r="D3516" i="30"/>
  <c r="D3517" i="30"/>
  <c r="D3518" i="30"/>
  <c r="D3519" i="30"/>
  <c r="D3520" i="30"/>
  <c r="D3521" i="30"/>
  <c r="D3522" i="30"/>
  <c r="D3523" i="30"/>
  <c r="D3524" i="30"/>
  <c r="D3525" i="30"/>
  <c r="D3526" i="30"/>
  <c r="D3527" i="30"/>
  <c r="D3528" i="30"/>
  <c r="D3529" i="30"/>
  <c r="D3530" i="30"/>
  <c r="D3531" i="30"/>
  <c r="D3532" i="30"/>
  <c r="D3533" i="30"/>
  <c r="D3534" i="30"/>
  <c r="D3535" i="30"/>
  <c r="D3536" i="30"/>
  <c r="D3537" i="30"/>
  <c r="C11" i="30"/>
  <c r="B7" i="30"/>
  <c r="B8" i="30"/>
  <c r="B9" i="30"/>
  <c r="B10" i="30"/>
  <c r="B11" i="30"/>
  <c r="B12" i="30"/>
  <c r="B13" i="30"/>
  <c r="B14" i="30"/>
  <c r="B15" i="30"/>
  <c r="B16" i="30"/>
  <c r="B17" i="30"/>
  <c r="B18" i="30"/>
  <c r="B19" i="30"/>
  <c r="B20" i="30"/>
  <c r="B21" i="30"/>
  <c r="B22" i="30"/>
  <c r="B23" i="30"/>
  <c r="B24" i="30"/>
  <c r="B25" i="30"/>
  <c r="B26" i="30"/>
  <c r="B27" i="30"/>
  <c r="B28" i="30"/>
  <c r="B29" i="30"/>
  <c r="B30" i="30"/>
  <c r="B31" i="30"/>
  <c r="B32" i="30"/>
  <c r="B33" i="30"/>
  <c r="B34" i="30"/>
  <c r="B35"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66" i="30"/>
  <c r="B67" i="30"/>
  <c r="B68" i="30"/>
  <c r="B69" i="30"/>
  <c r="B70" i="30"/>
  <c r="B71" i="30"/>
  <c r="B72" i="30"/>
  <c r="B73"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8" i="30"/>
  <c r="B249" i="30"/>
  <c r="B250" i="30"/>
  <c r="B251" i="30"/>
  <c r="B252" i="30"/>
  <c r="B253"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353" i="30"/>
  <c r="B354" i="30"/>
  <c r="B355" i="30"/>
  <c r="B356" i="30"/>
  <c r="B357" i="30"/>
  <c r="B358" i="30"/>
  <c r="B359" i="30"/>
  <c r="B360" i="30"/>
  <c r="B361" i="30"/>
  <c r="B362" i="30"/>
  <c r="B363" i="30"/>
  <c r="B364" i="30"/>
  <c r="B365" i="30"/>
  <c r="B366" i="30"/>
  <c r="B367" i="30"/>
  <c r="B368" i="30"/>
  <c r="B369" i="30"/>
  <c r="B370" i="30"/>
  <c r="B371" i="30"/>
  <c r="B372" i="30"/>
  <c r="B373" i="30"/>
  <c r="B374" i="30"/>
  <c r="B375" i="30"/>
  <c r="B376" i="30"/>
  <c r="B377" i="30"/>
  <c r="B378" i="30"/>
  <c r="B379" i="30"/>
  <c r="B380" i="30"/>
  <c r="B381" i="30"/>
  <c r="B382" i="30"/>
  <c r="B383" i="30"/>
  <c r="B384" i="30"/>
  <c r="B385" i="30"/>
  <c r="B386" i="30"/>
  <c r="B387" i="30"/>
  <c r="B388" i="30"/>
  <c r="B389" i="30"/>
  <c r="B390" i="30"/>
  <c r="B391" i="30"/>
  <c r="B392" i="30"/>
  <c r="B393" i="30"/>
  <c r="B394" i="30"/>
  <c r="B395" i="30"/>
  <c r="B396" i="30"/>
  <c r="B397" i="30"/>
  <c r="B398" i="30"/>
  <c r="B399" i="30"/>
  <c r="B400" i="30"/>
  <c r="B401" i="30"/>
  <c r="B402" i="30"/>
  <c r="B403" i="30"/>
  <c r="B404" i="30"/>
  <c r="B405" i="30"/>
  <c r="B406" i="30"/>
  <c r="B407" i="30"/>
  <c r="B408" i="30"/>
  <c r="B409" i="30"/>
  <c r="B410" i="30"/>
  <c r="B411" i="30"/>
  <c r="B412" i="30"/>
  <c r="B413" i="30"/>
  <c r="B414" i="30"/>
  <c r="B415" i="30"/>
  <c r="B416" i="30"/>
  <c r="B417" i="30"/>
  <c r="B418" i="30"/>
  <c r="B419" i="30"/>
  <c r="B420" i="30"/>
  <c r="B421" i="30"/>
  <c r="B422" i="30"/>
  <c r="B423" i="30"/>
  <c r="B424" i="30"/>
  <c r="B425" i="30"/>
  <c r="B426" i="30"/>
  <c r="B427" i="30"/>
  <c r="B428" i="30"/>
  <c r="B429" i="30"/>
  <c r="B430" i="30"/>
  <c r="B431" i="30"/>
  <c r="B432" i="30"/>
  <c r="B433" i="30"/>
  <c r="B434" i="30"/>
  <c r="B435" i="30"/>
  <c r="B436" i="30"/>
  <c r="B437" i="30"/>
  <c r="B438" i="30"/>
  <c r="B439" i="30"/>
  <c r="B440" i="30"/>
  <c r="B441" i="30"/>
  <c r="B442" i="30"/>
  <c r="B443" i="30"/>
  <c r="B444" i="30"/>
  <c r="B445" i="30"/>
  <c r="B446" i="30"/>
  <c r="B447" i="30"/>
  <c r="B448" i="30"/>
  <c r="B449" i="30"/>
  <c r="B450"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93" i="30"/>
  <c r="B494" i="30"/>
  <c r="B495" i="30"/>
  <c r="B496" i="30"/>
  <c r="B497" i="30"/>
  <c r="B498" i="30"/>
  <c r="B499" i="30"/>
  <c r="B500" i="30"/>
  <c r="B501" i="30"/>
  <c r="B502" i="30"/>
  <c r="B503" i="30"/>
  <c r="B504" i="30"/>
  <c r="B505" i="30"/>
  <c r="B506" i="30"/>
  <c r="B507" i="30"/>
  <c r="B508" i="30"/>
  <c r="B509" i="30"/>
  <c r="B510" i="30"/>
  <c r="B511" i="30"/>
  <c r="B512" i="30"/>
  <c r="B513" i="30"/>
  <c r="B514" i="30"/>
  <c r="B515" i="30"/>
  <c r="B516" i="30"/>
  <c r="B517" i="30"/>
  <c r="B518" i="30"/>
  <c r="B519" i="30"/>
  <c r="B520" i="30"/>
  <c r="B521" i="30"/>
  <c r="B522" i="30"/>
  <c r="B523" i="30"/>
  <c r="B524" i="30"/>
  <c r="B525" i="30"/>
  <c r="B526" i="30"/>
  <c r="B527" i="30"/>
  <c r="B528" i="30"/>
  <c r="B529" i="30"/>
  <c r="B530" i="30"/>
  <c r="B531" i="30"/>
  <c r="B532" i="30"/>
  <c r="B533" i="30"/>
  <c r="B534" i="30"/>
  <c r="B535" i="30"/>
  <c r="B536" i="30"/>
  <c r="B537" i="30"/>
  <c r="B538" i="30"/>
  <c r="B539" i="30"/>
  <c r="B540" i="30"/>
  <c r="B541" i="30"/>
  <c r="B542" i="30"/>
  <c r="B543" i="30"/>
  <c r="B544" i="30"/>
  <c r="B545" i="30"/>
  <c r="B546" i="30"/>
  <c r="B547" i="30"/>
  <c r="B548" i="30"/>
  <c r="B549" i="30"/>
  <c r="B550" i="30"/>
  <c r="B551" i="30"/>
  <c r="B552" i="30"/>
  <c r="B553" i="30"/>
  <c r="B554" i="30"/>
  <c r="B555" i="30"/>
  <c r="B556" i="30"/>
  <c r="B557" i="30"/>
  <c r="B558" i="30"/>
  <c r="B559" i="30"/>
  <c r="B560" i="30"/>
  <c r="B561" i="30"/>
  <c r="B562" i="30"/>
  <c r="B563" i="30"/>
  <c r="B564" i="30"/>
  <c r="B565" i="30"/>
  <c r="B566" i="30"/>
  <c r="B567" i="30"/>
  <c r="B568" i="30"/>
  <c r="B569" i="30"/>
  <c r="B570" i="30"/>
  <c r="B571" i="30"/>
  <c r="B572" i="30"/>
  <c r="B573" i="30"/>
  <c r="B574" i="30"/>
  <c r="B575" i="30"/>
  <c r="B576" i="30"/>
  <c r="B577" i="30"/>
  <c r="B578" i="30"/>
  <c r="B579" i="30"/>
  <c r="B580" i="30"/>
  <c r="B581" i="30"/>
  <c r="B582" i="30"/>
  <c r="B583" i="30"/>
  <c r="B584" i="30"/>
  <c r="B585" i="30"/>
  <c r="B586" i="30"/>
  <c r="B587" i="30"/>
  <c r="B588" i="30"/>
  <c r="B589" i="30"/>
  <c r="B590" i="30"/>
  <c r="B591" i="30"/>
  <c r="B592" i="30"/>
  <c r="B593" i="30"/>
  <c r="B594" i="30"/>
  <c r="B595" i="30"/>
  <c r="B596" i="30"/>
  <c r="B597" i="30"/>
  <c r="B598" i="30"/>
  <c r="B599" i="30"/>
  <c r="B600" i="30"/>
  <c r="B601" i="30"/>
  <c r="B602" i="30"/>
  <c r="B603" i="30"/>
  <c r="B604" i="30"/>
  <c r="B605" i="30"/>
  <c r="B606" i="30"/>
  <c r="B607" i="30"/>
  <c r="B608" i="30"/>
  <c r="B609" i="30"/>
  <c r="B610" i="30"/>
  <c r="B611" i="30"/>
  <c r="B612" i="30"/>
  <c r="B613" i="30"/>
  <c r="B614" i="30"/>
  <c r="B615" i="30"/>
  <c r="B616" i="30"/>
  <c r="B617" i="30"/>
  <c r="B618" i="30"/>
  <c r="B619" i="30"/>
  <c r="B620" i="30"/>
  <c r="B621" i="30"/>
  <c r="B622" i="30"/>
  <c r="B623" i="30"/>
  <c r="B624" i="30"/>
  <c r="B625" i="30"/>
  <c r="B626" i="30"/>
  <c r="B627" i="30"/>
  <c r="B628" i="30"/>
  <c r="B629" i="30"/>
  <c r="B630" i="30"/>
  <c r="B631" i="30"/>
  <c r="B632" i="30"/>
  <c r="B633" i="30"/>
  <c r="B634" i="30"/>
  <c r="B635" i="30"/>
  <c r="B636" i="30"/>
  <c r="B637" i="30"/>
  <c r="B638" i="30"/>
  <c r="B639" i="30"/>
  <c r="B640" i="30"/>
  <c r="B641" i="30"/>
  <c r="B642" i="30"/>
  <c r="B643" i="30"/>
  <c r="B644" i="30"/>
  <c r="B645" i="30"/>
  <c r="B646" i="30"/>
  <c r="B647" i="30"/>
  <c r="B648" i="30"/>
  <c r="B649" i="30"/>
  <c r="B650" i="30"/>
  <c r="B651" i="30"/>
  <c r="B652" i="30"/>
  <c r="B653" i="30"/>
  <c r="B654" i="30"/>
  <c r="B655" i="30"/>
  <c r="B656" i="30"/>
  <c r="B657" i="30"/>
  <c r="B658" i="30"/>
  <c r="B659" i="30"/>
  <c r="B660" i="30"/>
  <c r="B661" i="30"/>
  <c r="B662" i="30"/>
  <c r="B663" i="30"/>
  <c r="B664" i="30"/>
  <c r="B665" i="30"/>
  <c r="B666" i="30"/>
  <c r="B667" i="30"/>
  <c r="B668" i="30"/>
  <c r="B669" i="30"/>
  <c r="B670" i="30"/>
  <c r="B671" i="30"/>
  <c r="B672" i="30"/>
  <c r="B673"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4" i="30"/>
  <c r="B825"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79"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6"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B1025" i="30"/>
  <c r="B1026" i="30"/>
  <c r="B1027" i="30"/>
  <c r="B1028" i="30"/>
  <c r="B1029" i="30"/>
  <c r="B1030" i="30"/>
  <c r="B1031" i="30"/>
  <c r="B1032" i="30"/>
  <c r="B1033" i="30"/>
  <c r="B1034" i="30"/>
  <c r="B1035" i="30"/>
  <c r="B1036" i="30"/>
  <c r="B1037" i="30"/>
  <c r="B1038" i="30"/>
  <c r="B1039" i="30"/>
  <c r="B1040" i="30"/>
  <c r="B1041" i="30"/>
  <c r="B1042" i="30"/>
  <c r="B1043" i="30"/>
  <c r="B1044" i="30"/>
  <c r="B1045" i="30"/>
  <c r="B1046" i="30"/>
  <c r="B1047" i="30"/>
  <c r="B1048" i="30"/>
  <c r="B1049" i="30"/>
  <c r="B1050" i="30"/>
  <c r="B1051" i="30"/>
  <c r="B1052" i="30"/>
  <c r="B1053" i="30"/>
  <c r="B1054" i="30"/>
  <c r="B1055" i="30"/>
  <c r="B1056" i="30"/>
  <c r="B1057" i="30"/>
  <c r="B1058" i="30"/>
  <c r="B1059" i="30"/>
  <c r="B1060" i="30"/>
  <c r="B1061" i="30"/>
  <c r="B1062" i="30"/>
  <c r="B1063" i="30"/>
  <c r="B1064" i="30"/>
  <c r="B1065" i="30"/>
  <c r="B1066" i="30"/>
  <c r="B1067" i="30"/>
  <c r="B1068" i="30"/>
  <c r="B1069" i="30"/>
  <c r="B1070" i="30"/>
  <c r="B1071" i="30"/>
  <c r="B1072" i="30"/>
  <c r="B1073" i="30"/>
  <c r="B1074" i="30"/>
  <c r="B1075" i="30"/>
  <c r="B1076" i="30"/>
  <c r="B1077" i="30"/>
  <c r="B1078" i="30"/>
  <c r="B1079" i="30"/>
  <c r="B1080" i="30"/>
  <c r="B1081" i="30"/>
  <c r="B1082" i="30"/>
  <c r="B1083" i="30"/>
  <c r="B1084" i="30"/>
  <c r="B1085" i="30"/>
  <c r="B1086" i="30"/>
  <c r="B1087" i="30"/>
  <c r="B1088" i="30"/>
  <c r="B1089" i="30"/>
  <c r="B1090" i="30"/>
  <c r="B1091" i="30"/>
  <c r="B1092" i="30"/>
  <c r="B1093" i="30"/>
  <c r="B1094" i="30"/>
  <c r="B1095" i="30"/>
  <c r="B1096" i="30"/>
  <c r="B1097" i="30"/>
  <c r="B1098" i="30"/>
  <c r="B1099" i="30"/>
  <c r="B1100" i="30"/>
  <c r="B1101" i="30"/>
  <c r="B1102" i="30"/>
  <c r="B1103" i="30"/>
  <c r="B1104" i="30"/>
  <c r="B1105" i="30"/>
  <c r="B1106" i="30"/>
  <c r="B1107" i="30"/>
  <c r="B1108" i="30"/>
  <c r="B1109" i="30"/>
  <c r="B1110" i="30"/>
  <c r="B1111" i="30"/>
  <c r="B1112" i="30"/>
  <c r="B1113" i="30"/>
  <c r="B1114" i="30"/>
  <c r="B1115" i="30"/>
  <c r="B1116" i="30"/>
  <c r="B1117" i="30"/>
  <c r="B1118" i="30"/>
  <c r="B1119" i="30"/>
  <c r="B1120" i="30"/>
  <c r="B1121" i="30"/>
  <c r="B1122" i="30"/>
  <c r="B1123" i="30"/>
  <c r="B1124" i="30"/>
  <c r="B1125" i="30"/>
  <c r="B1126" i="30"/>
  <c r="B1127" i="30"/>
  <c r="B1128" i="30"/>
  <c r="B1129" i="30"/>
  <c r="B1130" i="30"/>
  <c r="B1131" i="30"/>
  <c r="B1132" i="30"/>
  <c r="B1133" i="30"/>
  <c r="B1134" i="30"/>
  <c r="B1135" i="30"/>
  <c r="B1136" i="30"/>
  <c r="B1137" i="30"/>
  <c r="B1138" i="30"/>
  <c r="B1139" i="30"/>
  <c r="B1140" i="30"/>
  <c r="B1141" i="30"/>
  <c r="B1142" i="30"/>
  <c r="B1143" i="30"/>
  <c r="B1144" i="30"/>
  <c r="B1145" i="30"/>
  <c r="B1146" i="30"/>
  <c r="B1147" i="30"/>
  <c r="B1148" i="30"/>
  <c r="B1149" i="30"/>
  <c r="B1150" i="30"/>
  <c r="B1151" i="30"/>
  <c r="B1152" i="30"/>
  <c r="B1153" i="30"/>
  <c r="B1154" i="30"/>
  <c r="B1155" i="30"/>
  <c r="B1156" i="30"/>
  <c r="B1157" i="30"/>
  <c r="B1158" i="30"/>
  <c r="B1159" i="30"/>
  <c r="B1160" i="30"/>
  <c r="B1161" i="30"/>
  <c r="B1162" i="30"/>
  <c r="B1163" i="30"/>
  <c r="B1164" i="30"/>
  <c r="B1165" i="30"/>
  <c r="B1166" i="30"/>
  <c r="B1167" i="30"/>
  <c r="B1168" i="30"/>
  <c r="B1169" i="30"/>
  <c r="B1170" i="30"/>
  <c r="B1171" i="30"/>
  <c r="B1172" i="30"/>
  <c r="B1173" i="30"/>
  <c r="B1174" i="30"/>
  <c r="B1175" i="30"/>
  <c r="B1176" i="30"/>
  <c r="B1177" i="30"/>
  <c r="B1178" i="30"/>
  <c r="B1179" i="30"/>
  <c r="B1180" i="30"/>
  <c r="B1181" i="30"/>
  <c r="B1182" i="30"/>
  <c r="B1183" i="30"/>
  <c r="B1184" i="30"/>
  <c r="B1185" i="30"/>
  <c r="B1186" i="30"/>
  <c r="B1187" i="30"/>
  <c r="B1188" i="30"/>
  <c r="B1189" i="30"/>
  <c r="B1190" i="30"/>
  <c r="B1191" i="30"/>
  <c r="B1192" i="30"/>
  <c r="B1193" i="30"/>
  <c r="B1194" i="30"/>
  <c r="B1195" i="30"/>
  <c r="B1196" i="30"/>
  <c r="B1197" i="30"/>
  <c r="B1198" i="30"/>
  <c r="B1199" i="30"/>
  <c r="B1200" i="30"/>
  <c r="B1201" i="30"/>
  <c r="B1202" i="30"/>
  <c r="B1203" i="30"/>
  <c r="B1204" i="30"/>
  <c r="B1205" i="30"/>
  <c r="B1206" i="30"/>
  <c r="B1207" i="30"/>
  <c r="B1208" i="30"/>
  <c r="B1209" i="30"/>
  <c r="B1210" i="30"/>
  <c r="B1211" i="30"/>
  <c r="B1212" i="30"/>
  <c r="B1213" i="30"/>
  <c r="B1214" i="30"/>
  <c r="B1215" i="30"/>
  <c r="B1216" i="30"/>
  <c r="B1217" i="30"/>
  <c r="B1218" i="30"/>
  <c r="B1219" i="30"/>
  <c r="B1220" i="30"/>
  <c r="B1221" i="30"/>
  <c r="B1222" i="30"/>
  <c r="B1223" i="30"/>
  <c r="B1224" i="30"/>
  <c r="B1225" i="30"/>
  <c r="B1226" i="30"/>
  <c r="B1227" i="30"/>
  <c r="B1228" i="30"/>
  <c r="B1229" i="30"/>
  <c r="B1230" i="30"/>
  <c r="B1231" i="30"/>
  <c r="B1232" i="30"/>
  <c r="B1233" i="30"/>
  <c r="B1234" i="30"/>
  <c r="B1235" i="30"/>
  <c r="B1236" i="30"/>
  <c r="B1237" i="30"/>
  <c r="B1238" i="30"/>
  <c r="B1239" i="30"/>
  <c r="B1240" i="30"/>
  <c r="B1241" i="30"/>
  <c r="B1242" i="30"/>
  <c r="B1243" i="30"/>
  <c r="B1244" i="30"/>
  <c r="B1245" i="30"/>
  <c r="B1246" i="30"/>
  <c r="B1247" i="30"/>
  <c r="B1248" i="30"/>
  <c r="B1249" i="30"/>
  <c r="B1250" i="30"/>
  <c r="B1251" i="30"/>
  <c r="B1252" i="30"/>
  <c r="B1253" i="30"/>
  <c r="B1254" i="30"/>
  <c r="B1255" i="30"/>
  <c r="B1256" i="30"/>
  <c r="B1257" i="30"/>
  <c r="B1258" i="30"/>
  <c r="B1259" i="30"/>
  <c r="B1260" i="30"/>
  <c r="B1261" i="30"/>
  <c r="B1262" i="30"/>
  <c r="B1263" i="30"/>
  <c r="B1264" i="30"/>
  <c r="B1265" i="30"/>
  <c r="B1266" i="30"/>
  <c r="B1267" i="30"/>
  <c r="B1268" i="30"/>
  <c r="B1269" i="30"/>
  <c r="B1270" i="30"/>
  <c r="B1271" i="30"/>
  <c r="B1272" i="30"/>
  <c r="B1273" i="30"/>
  <c r="B1274" i="30"/>
  <c r="B1275" i="30"/>
  <c r="B1276" i="30"/>
  <c r="B1277" i="30"/>
  <c r="B1278" i="30"/>
  <c r="B1279" i="30"/>
  <c r="B1280" i="30"/>
  <c r="B1281" i="30"/>
  <c r="B1282" i="30"/>
  <c r="B1283" i="30"/>
  <c r="B1284" i="30"/>
  <c r="B1285" i="30"/>
  <c r="B1286" i="30"/>
  <c r="B1287" i="30"/>
  <c r="B1288" i="30"/>
  <c r="B1289" i="30"/>
  <c r="B1290" i="30"/>
  <c r="B1291" i="30"/>
  <c r="B1292" i="30"/>
  <c r="B1293" i="30"/>
  <c r="B1294" i="30"/>
  <c r="B1295" i="30"/>
  <c r="B1296" i="30"/>
  <c r="B1297" i="30"/>
  <c r="B1298" i="30"/>
  <c r="B1299" i="30"/>
  <c r="B1300" i="30"/>
  <c r="B1301" i="30"/>
  <c r="B1302" i="30"/>
  <c r="B1303" i="30"/>
  <c r="B1304" i="30"/>
  <c r="B1305" i="30"/>
  <c r="B1306" i="30"/>
  <c r="B1307" i="30"/>
  <c r="B1308" i="30"/>
  <c r="B1309" i="30"/>
  <c r="B1310" i="30"/>
  <c r="B1311" i="30"/>
  <c r="B1312" i="30"/>
  <c r="B1313" i="30"/>
  <c r="B1314" i="30"/>
  <c r="B1315" i="30"/>
  <c r="B1316" i="30"/>
  <c r="B1317" i="30"/>
  <c r="B1318" i="30"/>
  <c r="B1319" i="30"/>
  <c r="B1320" i="30"/>
  <c r="B1321" i="30"/>
  <c r="B1322" i="30"/>
  <c r="B1323" i="30"/>
  <c r="B1324" i="30"/>
  <c r="B1325" i="30"/>
  <c r="B1326" i="30"/>
  <c r="B1327" i="30"/>
  <c r="B1328" i="30"/>
  <c r="B1329" i="30"/>
  <c r="B1330" i="30"/>
  <c r="B1331" i="30"/>
  <c r="B1332" i="30"/>
  <c r="B1333" i="30"/>
  <c r="B1334" i="30"/>
  <c r="B1335" i="30"/>
  <c r="B1336" i="30"/>
  <c r="B1337" i="30"/>
  <c r="B1338" i="30"/>
  <c r="B1339" i="30"/>
  <c r="B1340" i="30"/>
  <c r="B1341" i="30"/>
  <c r="B1342" i="30"/>
  <c r="B1343" i="30"/>
  <c r="B1344" i="30"/>
  <c r="B1345" i="30"/>
  <c r="B1346" i="30"/>
  <c r="B1347" i="30"/>
  <c r="B1348" i="30"/>
  <c r="B1349" i="30"/>
  <c r="B1350" i="30"/>
  <c r="B1351" i="30"/>
  <c r="B1352" i="30"/>
  <c r="B1353" i="30"/>
  <c r="B1354" i="30"/>
  <c r="B1355" i="30"/>
  <c r="B1356" i="30"/>
  <c r="B1357" i="30"/>
  <c r="B1358" i="30"/>
  <c r="B1359" i="30"/>
  <c r="B1360" i="30"/>
  <c r="B1361" i="30"/>
  <c r="B1362" i="30"/>
  <c r="B1363" i="30"/>
  <c r="B1364" i="30"/>
  <c r="B1365" i="30"/>
  <c r="B1366" i="30"/>
  <c r="B1367" i="30"/>
  <c r="B1368" i="30"/>
  <c r="B1369" i="30"/>
  <c r="B1370" i="30"/>
  <c r="B1371" i="30"/>
  <c r="B1372" i="30"/>
  <c r="B1373" i="30"/>
  <c r="B1374" i="30"/>
  <c r="B1375" i="30"/>
  <c r="B1376" i="30"/>
  <c r="B1377" i="30"/>
  <c r="B1378" i="30"/>
  <c r="B1379" i="30"/>
  <c r="B1380" i="30"/>
  <c r="B1381" i="30"/>
  <c r="B1382" i="30"/>
  <c r="B1383" i="30"/>
  <c r="B1384" i="30"/>
  <c r="B1385" i="30"/>
  <c r="B1386" i="30"/>
  <c r="B1387" i="30"/>
  <c r="B1388" i="30"/>
  <c r="B1389" i="30"/>
  <c r="B1390" i="30"/>
  <c r="B1391" i="30"/>
  <c r="B1392" i="30"/>
  <c r="B1393" i="30"/>
  <c r="B1394" i="30"/>
  <c r="B1395" i="30"/>
  <c r="B1396" i="30"/>
  <c r="B1397" i="30"/>
  <c r="B1398" i="30"/>
  <c r="B1399" i="30"/>
  <c r="B1400" i="30"/>
  <c r="B1401" i="30"/>
  <c r="B1402" i="30"/>
  <c r="B1403" i="30"/>
  <c r="B1404" i="30"/>
  <c r="B1405" i="30"/>
  <c r="B1406" i="30"/>
  <c r="B1407" i="30"/>
  <c r="B1408" i="30"/>
  <c r="B1409" i="30"/>
  <c r="B1410" i="30"/>
  <c r="B1411" i="30"/>
  <c r="B1412" i="30"/>
  <c r="B1413" i="30"/>
  <c r="B1414" i="30"/>
  <c r="B1415" i="30"/>
  <c r="B1416" i="30"/>
  <c r="B1417" i="30"/>
  <c r="B1418" i="30"/>
  <c r="B1419" i="30"/>
  <c r="B1420" i="30"/>
  <c r="B1421" i="30"/>
  <c r="B1422" i="30"/>
  <c r="B1423" i="30"/>
  <c r="B1424" i="30"/>
  <c r="B1425" i="30"/>
  <c r="B1426" i="30"/>
  <c r="B1427" i="30"/>
  <c r="B1428" i="30"/>
  <c r="B1429" i="30"/>
  <c r="B1430" i="30"/>
  <c r="B1431" i="30"/>
  <c r="B1432" i="30"/>
  <c r="B1433" i="30"/>
  <c r="B1434" i="30"/>
  <c r="B1435" i="30"/>
  <c r="B1436" i="30"/>
  <c r="B1437" i="30"/>
  <c r="B1438" i="30"/>
  <c r="B1439" i="30"/>
  <c r="B1440" i="30"/>
  <c r="B1441" i="30"/>
  <c r="B1442" i="30"/>
  <c r="B1443" i="30"/>
  <c r="B1444" i="30"/>
  <c r="B1445" i="30"/>
  <c r="B1446" i="30"/>
  <c r="B1447" i="30"/>
  <c r="B1448" i="30"/>
  <c r="B1449" i="30"/>
  <c r="B1450" i="30"/>
  <c r="B1451" i="30"/>
  <c r="B1452" i="30"/>
  <c r="B1453" i="30"/>
  <c r="B1454" i="30"/>
  <c r="B1455" i="30"/>
  <c r="B1456" i="30"/>
  <c r="B1457" i="30"/>
  <c r="B1458" i="30"/>
  <c r="B1459" i="30"/>
  <c r="B1460" i="30"/>
  <c r="B1461" i="30"/>
  <c r="B1462" i="30"/>
  <c r="B1463" i="30"/>
  <c r="B1464" i="30"/>
  <c r="B1465" i="30"/>
  <c r="B1466" i="30"/>
  <c r="B1467" i="30"/>
  <c r="B1468" i="30"/>
  <c r="B1469" i="30"/>
  <c r="B1470" i="30"/>
  <c r="B1471" i="30"/>
  <c r="B1472" i="30"/>
  <c r="B1473" i="30"/>
  <c r="B1474" i="30"/>
  <c r="B1475" i="30"/>
  <c r="B1476" i="30"/>
  <c r="B1477" i="30"/>
  <c r="B1478" i="30"/>
  <c r="B1479" i="30"/>
  <c r="B1480" i="30"/>
  <c r="B1481" i="30"/>
  <c r="B1482" i="30"/>
  <c r="B1483" i="30"/>
  <c r="B1484" i="30"/>
  <c r="B1485" i="30"/>
  <c r="B1486" i="30"/>
  <c r="B1487" i="30"/>
  <c r="B1488" i="30"/>
  <c r="B1489" i="30"/>
  <c r="B1490" i="30"/>
  <c r="B1491" i="30"/>
  <c r="B1492" i="30"/>
  <c r="B1493" i="30"/>
  <c r="B1494" i="30"/>
  <c r="B1495" i="30"/>
  <c r="B1496" i="30"/>
  <c r="B1497" i="30"/>
  <c r="B1498" i="30"/>
  <c r="B1499" i="30"/>
  <c r="B1500" i="30"/>
  <c r="B1501" i="30"/>
  <c r="B1502" i="30"/>
  <c r="B1503" i="30"/>
  <c r="B1504" i="30"/>
  <c r="B1505" i="30"/>
  <c r="B1506" i="30"/>
  <c r="B1507" i="30"/>
  <c r="B1508" i="30"/>
  <c r="B1509" i="30"/>
  <c r="B1510" i="30"/>
  <c r="B1511" i="30"/>
  <c r="B1512" i="30"/>
  <c r="B1513" i="30"/>
  <c r="B1514" i="30"/>
  <c r="B1515" i="30"/>
  <c r="B1516" i="30"/>
  <c r="B1517" i="30"/>
  <c r="B1518" i="30"/>
  <c r="B1519" i="30"/>
  <c r="B1520" i="30"/>
  <c r="B1521" i="30"/>
  <c r="B1522" i="30"/>
  <c r="B1523" i="30"/>
  <c r="B1524" i="30"/>
  <c r="B1525" i="30"/>
  <c r="B1526" i="30"/>
  <c r="B1527" i="30"/>
  <c r="B1528" i="30"/>
  <c r="B1529" i="30"/>
  <c r="B1530" i="30"/>
  <c r="B1531" i="30"/>
  <c r="B1532" i="30"/>
  <c r="B1533" i="30"/>
  <c r="B1534" i="30"/>
  <c r="B1535" i="30"/>
  <c r="B1536" i="30"/>
  <c r="B1537" i="30"/>
  <c r="B1538" i="30"/>
  <c r="B1539" i="30"/>
  <c r="B1540" i="30"/>
  <c r="B1541" i="30"/>
  <c r="B1542" i="30"/>
  <c r="B1543" i="30"/>
  <c r="B1544" i="30"/>
  <c r="B1545" i="30"/>
  <c r="B1546" i="30"/>
  <c r="B1547" i="30"/>
  <c r="B1548" i="30"/>
  <c r="B1549" i="30"/>
  <c r="B1550" i="30"/>
  <c r="B1551" i="30"/>
  <c r="B1552" i="30"/>
  <c r="B1553" i="30"/>
  <c r="B1554" i="30"/>
  <c r="B1555" i="30"/>
  <c r="B1556" i="30"/>
  <c r="B1557" i="30"/>
  <c r="B1558" i="30"/>
  <c r="B1559" i="30"/>
  <c r="B1560" i="30"/>
  <c r="B1561" i="30"/>
  <c r="B1562" i="30"/>
  <c r="B1563" i="30"/>
  <c r="B1564" i="30"/>
  <c r="B1565" i="30"/>
  <c r="B1566" i="30"/>
  <c r="B1567" i="30"/>
  <c r="B1568" i="30"/>
  <c r="B1569" i="30"/>
  <c r="B1570" i="30"/>
  <c r="B1571" i="30"/>
  <c r="B1572" i="30"/>
  <c r="B1573" i="30"/>
  <c r="B1574" i="30"/>
  <c r="B1575" i="30"/>
  <c r="B1576" i="30"/>
  <c r="B1577" i="30"/>
  <c r="B1578" i="30"/>
  <c r="B1579" i="30"/>
  <c r="B1580" i="30"/>
  <c r="B1581" i="30"/>
  <c r="B1582" i="30"/>
  <c r="B1583" i="30"/>
  <c r="B1584" i="30"/>
  <c r="B1585" i="30"/>
  <c r="B1586" i="30"/>
  <c r="B1587" i="30"/>
  <c r="B1588" i="30"/>
  <c r="B1589" i="30"/>
  <c r="B1590" i="30"/>
  <c r="B1591" i="30"/>
  <c r="B1592" i="30"/>
  <c r="B1593" i="30"/>
  <c r="B1594" i="30"/>
  <c r="B1595" i="30"/>
  <c r="B1596" i="30"/>
  <c r="B1597" i="30"/>
  <c r="B1598" i="30"/>
  <c r="B1599" i="30"/>
  <c r="B1600" i="30"/>
  <c r="B1601" i="30"/>
  <c r="B1602" i="30"/>
  <c r="B1603" i="30"/>
  <c r="B1604" i="30"/>
  <c r="B1605" i="30"/>
  <c r="B1606" i="30"/>
  <c r="B1607" i="30"/>
  <c r="B1608" i="30"/>
  <c r="B1609" i="30"/>
  <c r="B1610" i="30"/>
  <c r="B1611" i="30"/>
  <c r="B1612" i="30"/>
  <c r="B1613" i="30"/>
  <c r="B1614" i="30"/>
  <c r="B1615" i="30"/>
  <c r="B1616" i="30"/>
  <c r="B1617" i="30"/>
  <c r="B1618" i="30"/>
  <c r="B1619" i="30"/>
  <c r="B1620" i="30"/>
  <c r="B1621" i="30"/>
  <c r="B1622" i="30"/>
  <c r="B1623" i="30"/>
  <c r="B1624" i="30"/>
  <c r="B1625" i="30"/>
  <c r="B1626" i="30"/>
  <c r="B1627" i="30"/>
  <c r="B1628" i="30"/>
  <c r="B1629" i="30"/>
  <c r="B1630" i="30"/>
  <c r="B1631" i="30"/>
  <c r="B1632" i="30"/>
  <c r="B1633" i="30"/>
  <c r="B1634" i="30"/>
  <c r="B1635" i="30"/>
  <c r="B1636" i="30"/>
  <c r="B1637" i="30"/>
  <c r="B1638" i="30"/>
  <c r="B1639" i="30"/>
  <c r="B1640" i="30"/>
  <c r="B1641" i="30"/>
  <c r="B1642" i="30"/>
  <c r="B1643" i="30"/>
  <c r="B1644" i="30"/>
  <c r="B1645" i="30"/>
  <c r="B1646" i="30"/>
  <c r="B1647" i="30"/>
  <c r="B1648" i="30"/>
  <c r="B1649" i="30"/>
  <c r="B1650" i="30"/>
  <c r="B1651" i="30"/>
  <c r="B1652" i="30"/>
  <c r="B1653" i="30"/>
  <c r="B1654" i="30"/>
  <c r="B1655" i="30"/>
  <c r="B1656" i="30"/>
  <c r="B1657" i="30"/>
  <c r="B1658" i="30"/>
  <c r="B1659" i="30"/>
  <c r="B1660" i="30"/>
  <c r="B1661" i="30"/>
  <c r="B1662" i="30"/>
  <c r="B1663" i="30"/>
  <c r="B1664" i="30"/>
  <c r="B1665" i="30"/>
  <c r="B1666" i="30"/>
  <c r="B1667" i="30"/>
  <c r="B1668" i="30"/>
  <c r="B1669" i="30"/>
  <c r="B1670" i="30"/>
  <c r="B1671" i="30"/>
  <c r="B1672" i="30"/>
  <c r="B1673" i="30"/>
  <c r="B1674" i="30"/>
  <c r="B1675" i="30"/>
  <c r="B1676" i="30"/>
  <c r="B1677" i="30"/>
  <c r="B1678" i="30"/>
  <c r="B1679" i="30"/>
  <c r="B1680" i="30"/>
  <c r="B1681" i="30"/>
  <c r="B1682" i="30"/>
  <c r="B1683" i="30"/>
  <c r="B1684" i="30"/>
  <c r="B1685" i="30"/>
  <c r="B1686" i="30"/>
  <c r="B1687" i="30"/>
  <c r="B1688" i="30"/>
  <c r="B1689" i="30"/>
  <c r="B1690" i="30"/>
  <c r="B1691" i="30"/>
  <c r="B1692" i="30"/>
  <c r="B1693" i="30"/>
  <c r="B1694" i="30"/>
  <c r="B1695" i="30"/>
  <c r="B1696" i="30"/>
  <c r="B1697" i="30"/>
  <c r="B1698" i="30"/>
  <c r="B1699" i="30"/>
  <c r="B1700" i="30"/>
  <c r="B1701" i="30"/>
  <c r="B1702" i="30"/>
  <c r="B1703" i="30"/>
  <c r="B1704" i="30"/>
  <c r="B1705" i="30"/>
  <c r="B1706" i="30"/>
  <c r="B1707" i="30"/>
  <c r="B1708" i="30"/>
  <c r="B1709" i="30"/>
  <c r="B1710" i="30"/>
  <c r="B1711" i="30"/>
  <c r="B1712" i="30"/>
  <c r="B1713" i="30"/>
  <c r="B1714" i="30"/>
  <c r="B1715" i="30"/>
  <c r="B1716" i="30"/>
  <c r="B1717" i="30"/>
  <c r="B1718" i="30"/>
  <c r="B1719" i="30"/>
  <c r="B1720" i="30"/>
  <c r="B1721" i="30"/>
  <c r="B1722" i="30"/>
  <c r="B1723" i="30"/>
  <c r="B1724" i="30"/>
  <c r="B1725" i="30"/>
  <c r="B1726" i="30"/>
  <c r="B1727" i="30"/>
  <c r="B1728" i="30"/>
  <c r="B1729" i="30"/>
  <c r="B1730" i="30"/>
  <c r="B1731" i="30"/>
  <c r="B1732" i="30"/>
  <c r="B1733" i="30"/>
  <c r="B1734" i="30"/>
  <c r="B1735" i="30"/>
  <c r="B1736" i="30"/>
  <c r="B1737" i="30"/>
  <c r="B1738" i="30"/>
  <c r="B1739" i="30"/>
  <c r="B1740" i="30"/>
  <c r="B1741" i="30"/>
  <c r="B1742" i="30"/>
  <c r="B1743" i="30"/>
  <c r="B1744" i="30"/>
  <c r="B1745" i="30"/>
  <c r="B1746" i="30"/>
  <c r="B1747" i="30"/>
  <c r="B1748" i="30"/>
  <c r="B1749" i="30"/>
  <c r="B1750" i="30"/>
  <c r="B1751" i="30"/>
  <c r="B1752" i="30"/>
  <c r="B1753" i="30"/>
  <c r="B1754" i="30"/>
  <c r="B1755" i="30"/>
  <c r="B1756" i="30"/>
  <c r="B1757" i="30"/>
  <c r="B1758" i="30"/>
  <c r="B1759" i="30"/>
  <c r="B1760" i="30"/>
  <c r="B1761" i="30"/>
  <c r="B1762" i="30"/>
  <c r="B1763" i="30"/>
  <c r="B1764" i="30"/>
  <c r="B1765" i="30"/>
  <c r="B1766" i="30"/>
  <c r="B1767" i="30"/>
  <c r="B1768" i="30"/>
  <c r="B1769" i="30"/>
  <c r="B1770" i="30"/>
  <c r="B1771" i="30"/>
  <c r="B1772" i="30"/>
  <c r="B1773" i="30"/>
  <c r="B1774" i="30"/>
  <c r="B1775" i="30"/>
  <c r="B1776" i="30"/>
  <c r="B1777" i="30"/>
  <c r="B1778" i="30"/>
  <c r="B1779" i="30"/>
  <c r="B1780" i="30"/>
  <c r="B1781" i="30"/>
  <c r="B1782" i="30"/>
  <c r="B1783" i="30"/>
  <c r="B1784" i="30"/>
  <c r="B1785" i="30"/>
  <c r="B1786" i="30"/>
  <c r="B1787" i="30"/>
  <c r="B1788" i="30"/>
  <c r="B1789" i="30"/>
  <c r="B1790" i="30"/>
  <c r="B1791" i="30"/>
  <c r="B1792" i="30"/>
  <c r="B1793" i="30"/>
  <c r="B1794" i="30"/>
  <c r="B1795" i="30"/>
  <c r="B1796" i="30"/>
  <c r="B1797" i="30"/>
  <c r="B1798" i="30"/>
  <c r="B1799" i="30"/>
  <c r="B1800" i="30"/>
  <c r="B1801" i="30"/>
  <c r="B1802" i="30"/>
  <c r="B1803" i="30"/>
  <c r="B1804" i="30"/>
  <c r="B1805" i="30"/>
  <c r="B1806" i="30"/>
  <c r="B1807" i="30"/>
  <c r="B1808" i="30"/>
  <c r="B1809" i="30"/>
  <c r="B1810" i="30"/>
  <c r="B1811" i="30"/>
  <c r="B1812" i="30"/>
  <c r="B1813" i="30"/>
  <c r="B1814" i="30"/>
  <c r="B1815" i="30"/>
  <c r="B1816" i="30"/>
  <c r="B1817" i="30"/>
  <c r="B1818" i="30"/>
  <c r="B1819" i="30"/>
  <c r="B1820" i="30"/>
  <c r="B1821" i="30"/>
  <c r="B1822" i="30"/>
  <c r="B1823" i="30"/>
  <c r="B1824" i="30"/>
  <c r="B1825" i="30"/>
  <c r="B1826" i="30"/>
  <c r="B1827" i="30"/>
  <c r="B1828" i="30"/>
  <c r="B1829" i="30"/>
  <c r="B1830" i="30"/>
  <c r="B1831" i="30"/>
  <c r="B1832" i="30"/>
  <c r="B1833" i="30"/>
  <c r="B1834" i="30"/>
  <c r="B1835" i="30"/>
  <c r="B1836" i="30"/>
  <c r="B1837" i="30"/>
  <c r="B1838" i="30"/>
  <c r="B1839" i="30"/>
  <c r="B1840" i="30"/>
  <c r="B1841" i="30"/>
  <c r="B1842" i="30"/>
  <c r="B1843" i="30"/>
  <c r="B1844" i="30"/>
  <c r="B1845" i="30"/>
  <c r="B1846" i="30"/>
  <c r="B1847" i="30"/>
  <c r="B1848" i="30"/>
  <c r="B1849" i="30"/>
  <c r="B1850" i="30"/>
  <c r="B1851" i="30"/>
  <c r="B1852" i="30"/>
  <c r="B1853" i="30"/>
  <c r="B1854" i="30"/>
  <c r="B1855" i="30"/>
  <c r="B1856" i="30"/>
  <c r="B1857" i="30"/>
  <c r="B1858" i="30"/>
  <c r="B1859" i="30"/>
  <c r="B1860" i="30"/>
  <c r="B1861" i="30"/>
  <c r="B1862" i="30"/>
  <c r="B1863" i="30"/>
  <c r="B1864" i="30"/>
  <c r="B1865" i="30"/>
  <c r="B1866" i="30"/>
  <c r="B1867" i="30"/>
  <c r="B1868" i="30"/>
  <c r="B1869" i="30"/>
  <c r="B1870" i="30"/>
  <c r="B1871" i="30"/>
  <c r="B1872" i="30"/>
  <c r="B1873" i="30"/>
  <c r="B1874" i="30"/>
  <c r="B1875" i="30"/>
  <c r="B1876" i="30"/>
  <c r="B1877" i="30"/>
  <c r="B1878" i="30"/>
  <c r="B1879" i="30"/>
  <c r="B1880" i="30"/>
  <c r="B1881" i="30"/>
  <c r="B1882" i="30"/>
  <c r="B1883" i="30"/>
  <c r="B1884" i="30"/>
  <c r="B1885" i="30"/>
  <c r="B1886" i="30"/>
  <c r="B1887" i="30"/>
  <c r="B1888" i="30"/>
  <c r="B1889" i="30"/>
  <c r="B1890" i="30"/>
  <c r="B1891" i="30"/>
  <c r="B1892" i="30"/>
  <c r="B1893" i="30"/>
  <c r="B1894" i="30"/>
  <c r="B1895" i="30"/>
  <c r="B1896" i="30"/>
  <c r="B1897" i="30"/>
  <c r="B1898" i="30"/>
  <c r="B1899" i="30"/>
  <c r="B1900" i="30"/>
  <c r="B1901" i="30"/>
  <c r="B1902" i="30"/>
  <c r="B1903" i="30"/>
  <c r="B1904" i="30"/>
  <c r="B1905" i="30"/>
  <c r="B1906" i="30"/>
  <c r="B1907" i="30"/>
  <c r="B1908" i="30"/>
  <c r="B1909" i="30"/>
  <c r="B1910" i="30"/>
  <c r="B1911" i="30"/>
  <c r="B1912" i="30"/>
  <c r="B1913" i="30"/>
  <c r="B1914" i="30"/>
  <c r="B1915" i="30"/>
  <c r="B1916" i="30"/>
  <c r="B1917" i="30"/>
  <c r="B1918" i="30"/>
  <c r="B1919" i="30"/>
  <c r="B1920" i="30"/>
  <c r="B1921" i="30"/>
  <c r="B1922" i="30"/>
  <c r="B1923" i="30"/>
  <c r="B1924" i="30"/>
  <c r="B1925" i="30"/>
  <c r="B1926" i="30"/>
  <c r="B1927" i="30"/>
  <c r="B1928" i="30"/>
  <c r="B1929" i="30"/>
  <c r="B1930" i="30"/>
  <c r="B1931" i="30"/>
  <c r="B1932" i="30"/>
  <c r="B1933" i="30"/>
  <c r="B1934" i="30"/>
  <c r="B1935" i="30"/>
  <c r="B1936" i="30"/>
  <c r="B1937" i="30"/>
  <c r="B1938" i="30"/>
  <c r="B1939" i="30"/>
  <c r="B1940" i="30"/>
  <c r="B1941" i="30"/>
  <c r="B1942" i="30"/>
  <c r="B1943" i="30"/>
  <c r="B1944" i="30"/>
  <c r="B1945" i="30"/>
  <c r="B1946" i="30"/>
  <c r="B1947" i="30"/>
  <c r="B1948" i="30"/>
  <c r="B1949" i="30"/>
  <c r="B1950" i="30"/>
  <c r="B1951" i="30"/>
  <c r="B1952" i="30"/>
  <c r="B1953" i="30"/>
  <c r="B1954" i="30"/>
  <c r="B1955" i="30"/>
  <c r="B1956" i="30"/>
  <c r="B1957" i="30"/>
  <c r="B1958" i="30"/>
  <c r="B1959" i="30"/>
  <c r="B1960" i="30"/>
  <c r="B1961" i="30"/>
  <c r="B1962" i="30"/>
  <c r="B1963" i="30"/>
  <c r="B1964" i="30"/>
  <c r="B1965" i="30"/>
  <c r="B1966" i="30"/>
  <c r="B1967" i="30"/>
  <c r="B1968" i="30"/>
  <c r="B1969" i="30"/>
  <c r="B1970" i="30"/>
  <c r="B1971" i="30"/>
  <c r="B1972" i="30"/>
  <c r="B1973" i="30"/>
  <c r="B1974" i="30"/>
  <c r="B1975" i="30"/>
  <c r="B1976" i="30"/>
  <c r="B1977" i="30"/>
  <c r="B1978" i="30"/>
  <c r="B1979" i="30"/>
  <c r="B1980" i="30"/>
  <c r="B1981" i="30"/>
  <c r="B1982" i="30"/>
  <c r="B1983" i="30"/>
  <c r="B1984" i="30"/>
  <c r="B1985" i="30"/>
  <c r="B1986" i="30"/>
  <c r="B1987" i="30"/>
  <c r="B1988" i="30"/>
  <c r="B1989" i="30"/>
  <c r="B1990" i="30"/>
  <c r="B1991" i="30"/>
  <c r="B1992" i="30"/>
  <c r="B1993" i="30"/>
  <c r="B1994" i="30"/>
  <c r="B1995" i="30"/>
  <c r="B1996" i="30"/>
  <c r="B1997" i="30"/>
  <c r="B1998" i="30"/>
  <c r="B1999" i="30"/>
  <c r="B2000" i="30"/>
  <c r="B2001" i="30"/>
  <c r="B2002" i="30"/>
  <c r="B2003" i="30"/>
  <c r="B2004" i="30"/>
  <c r="B2005" i="30"/>
  <c r="B2006" i="30"/>
  <c r="B2007" i="30"/>
  <c r="B2008" i="30"/>
  <c r="B2009" i="30"/>
  <c r="B2010" i="30"/>
  <c r="B2011" i="30"/>
  <c r="B2012" i="30"/>
  <c r="B2013" i="30"/>
  <c r="B2014" i="30"/>
  <c r="B2015" i="30"/>
  <c r="B2016" i="30"/>
  <c r="B2017" i="30"/>
  <c r="B2018" i="30"/>
  <c r="B2019" i="30"/>
  <c r="B2020" i="30"/>
  <c r="B2021" i="30"/>
  <c r="B2022" i="30"/>
  <c r="B2023" i="30"/>
  <c r="B2024" i="30"/>
  <c r="B2025" i="30"/>
  <c r="B2026" i="30"/>
  <c r="B2027" i="30"/>
  <c r="B2028" i="30"/>
  <c r="B2029" i="30"/>
  <c r="B2030" i="30"/>
  <c r="B2031" i="30"/>
  <c r="B2032" i="30"/>
  <c r="B2033" i="30"/>
  <c r="B2034" i="30"/>
  <c r="B2035" i="30"/>
  <c r="B2036" i="30"/>
  <c r="B2037" i="30"/>
  <c r="B2038" i="30"/>
  <c r="B2039" i="30"/>
  <c r="B2040" i="30"/>
  <c r="B2041" i="30"/>
  <c r="B2042" i="30"/>
  <c r="B2043" i="30"/>
  <c r="B2044" i="30"/>
  <c r="B2045" i="30"/>
  <c r="B2046" i="30"/>
  <c r="B2047" i="30"/>
  <c r="B2048" i="30"/>
  <c r="B2049" i="30"/>
  <c r="B2050" i="30"/>
  <c r="B2051" i="30"/>
  <c r="B2052" i="30"/>
  <c r="B2053" i="30"/>
  <c r="B2054" i="30"/>
  <c r="B2055" i="30"/>
  <c r="B2056" i="30"/>
  <c r="B2057" i="30"/>
  <c r="B2058" i="30"/>
  <c r="B2059" i="30"/>
  <c r="B2060" i="30"/>
  <c r="B2061" i="30"/>
  <c r="B2062" i="30"/>
  <c r="B2063" i="30"/>
  <c r="B2064" i="30"/>
  <c r="B2065" i="30"/>
  <c r="B2066" i="30"/>
  <c r="B2067" i="30"/>
  <c r="B2068" i="30"/>
  <c r="B2069" i="30"/>
  <c r="B2070" i="30"/>
  <c r="B2071" i="30"/>
  <c r="B2072" i="30"/>
  <c r="B2073" i="30"/>
  <c r="B2074" i="30"/>
  <c r="B2075" i="30"/>
  <c r="B2076" i="30"/>
  <c r="B2077" i="30"/>
  <c r="B2078" i="30"/>
  <c r="B2079" i="30"/>
  <c r="B2080" i="30"/>
  <c r="B2081" i="30"/>
  <c r="B2082" i="30"/>
  <c r="B2083" i="30"/>
  <c r="B2084" i="30"/>
  <c r="B2085" i="30"/>
  <c r="B2086" i="30"/>
  <c r="B2087" i="30"/>
  <c r="B2088" i="30"/>
  <c r="B2089" i="30"/>
  <c r="B2090" i="30"/>
  <c r="B2091" i="30"/>
  <c r="B2092" i="30"/>
  <c r="B2093" i="30"/>
  <c r="B2094" i="30"/>
  <c r="B2095" i="30"/>
  <c r="B2096" i="30"/>
  <c r="B2097" i="30"/>
  <c r="B2098" i="30"/>
  <c r="B2099" i="30"/>
  <c r="B2100" i="30"/>
  <c r="B2101" i="30"/>
  <c r="B2102" i="30"/>
  <c r="B2103" i="30"/>
  <c r="B2104" i="30"/>
  <c r="B2105" i="30"/>
  <c r="B2106" i="30"/>
  <c r="B2107" i="30"/>
  <c r="B2108" i="30"/>
  <c r="B2109" i="30"/>
  <c r="B2110" i="30"/>
  <c r="B2111" i="30"/>
  <c r="B2112" i="30"/>
  <c r="B2113" i="30"/>
  <c r="B2114" i="30"/>
  <c r="B2115" i="30"/>
  <c r="B2116" i="30"/>
  <c r="B2117" i="30"/>
  <c r="B2118" i="30"/>
  <c r="B2119" i="30"/>
  <c r="B2120" i="30"/>
  <c r="B2121" i="30"/>
  <c r="B2122" i="30"/>
  <c r="B2123" i="30"/>
  <c r="B2124" i="30"/>
  <c r="B2125" i="30"/>
  <c r="B2126" i="30"/>
  <c r="B2127" i="30"/>
  <c r="B2128" i="30"/>
  <c r="B2129" i="30"/>
  <c r="B2130" i="30"/>
  <c r="B2131" i="30"/>
  <c r="B2132" i="30"/>
  <c r="B2133" i="30"/>
  <c r="B2134" i="30"/>
  <c r="B2135" i="30"/>
  <c r="B2136" i="30"/>
  <c r="B2137" i="30"/>
  <c r="B2138" i="30"/>
  <c r="B2139" i="30"/>
  <c r="B2140" i="30"/>
  <c r="B2141" i="30"/>
  <c r="B2142" i="30"/>
  <c r="B2143" i="30"/>
  <c r="B2144" i="30"/>
  <c r="B2145" i="30"/>
  <c r="B2146" i="30"/>
  <c r="B2147" i="30"/>
  <c r="B2148" i="30"/>
  <c r="B2149" i="30"/>
  <c r="B2150" i="30"/>
  <c r="B2151" i="30"/>
  <c r="B2152" i="30"/>
  <c r="B2153" i="30"/>
  <c r="B2154" i="30"/>
  <c r="B2155" i="30"/>
  <c r="B2156" i="30"/>
  <c r="B2157" i="30"/>
  <c r="B2158" i="30"/>
  <c r="B2159" i="30"/>
  <c r="B2160" i="30"/>
  <c r="B2161" i="30"/>
  <c r="B2162" i="30"/>
  <c r="B2163" i="30"/>
  <c r="B2164" i="30"/>
  <c r="B2165" i="30"/>
  <c r="B2166" i="30"/>
  <c r="B2167" i="30"/>
  <c r="B2168" i="30"/>
  <c r="B2169" i="30"/>
  <c r="B2170" i="30"/>
  <c r="B2171" i="30"/>
  <c r="B2172" i="30"/>
  <c r="B2173" i="30"/>
  <c r="B2174" i="30"/>
  <c r="B2175" i="30"/>
  <c r="B2176" i="30"/>
  <c r="B2177" i="30"/>
  <c r="B2178" i="30"/>
  <c r="B2179" i="30"/>
  <c r="B2180" i="30"/>
  <c r="B2181" i="30"/>
  <c r="B2182" i="30"/>
  <c r="B2183" i="30"/>
  <c r="B2184" i="30"/>
  <c r="B2185" i="30"/>
  <c r="B2186" i="30"/>
  <c r="B2187" i="30"/>
  <c r="B2188" i="30"/>
  <c r="B2189" i="30"/>
  <c r="B2190" i="30"/>
  <c r="B2191" i="30"/>
  <c r="B2192" i="30"/>
  <c r="B2193" i="30"/>
  <c r="B2194" i="30"/>
  <c r="B2195" i="30"/>
  <c r="B2196" i="30"/>
  <c r="B2197" i="30"/>
  <c r="B2198" i="30"/>
  <c r="B2199" i="30"/>
  <c r="B2200" i="30"/>
  <c r="B2201" i="30"/>
  <c r="B2202" i="30"/>
  <c r="B2203" i="30"/>
  <c r="B2204" i="30"/>
  <c r="B2205" i="30"/>
  <c r="B2206" i="30"/>
  <c r="B2207" i="30"/>
  <c r="B2208" i="30"/>
  <c r="B2209" i="30"/>
  <c r="B2210" i="30"/>
  <c r="B2211" i="30"/>
  <c r="B2212" i="30"/>
  <c r="B2213" i="30"/>
  <c r="B2214" i="30"/>
  <c r="B2215" i="30"/>
  <c r="B2216" i="30"/>
  <c r="B2217" i="30"/>
  <c r="B2218" i="30"/>
  <c r="B2219" i="30"/>
  <c r="B2220" i="30"/>
  <c r="B2221" i="30"/>
  <c r="B2222" i="30"/>
  <c r="B2223" i="30"/>
  <c r="B2224" i="30"/>
  <c r="B2225" i="30"/>
  <c r="B2226" i="30"/>
  <c r="B2227" i="30"/>
  <c r="B2228" i="30"/>
  <c r="B2229" i="30"/>
  <c r="B2230" i="30"/>
  <c r="B2231" i="30"/>
  <c r="B2232" i="30"/>
  <c r="B2233" i="30"/>
  <c r="B2234" i="30"/>
  <c r="B2235" i="30"/>
  <c r="B2236" i="30"/>
  <c r="B2237" i="30"/>
  <c r="B2238" i="30"/>
  <c r="B2239" i="30"/>
  <c r="B2240" i="30"/>
  <c r="B2241" i="30"/>
  <c r="B2242" i="30"/>
  <c r="B2243" i="30"/>
  <c r="B2244" i="30"/>
  <c r="B2245" i="30"/>
  <c r="B2246" i="30"/>
  <c r="B2247" i="30"/>
  <c r="B2248" i="30"/>
  <c r="B2249" i="30"/>
  <c r="B2250" i="30"/>
  <c r="B2251" i="30"/>
  <c r="B2252" i="30"/>
  <c r="B2253" i="30"/>
  <c r="B2254" i="30"/>
  <c r="B2255" i="30"/>
  <c r="B2256" i="30"/>
  <c r="B2257" i="30"/>
  <c r="B2258" i="30"/>
  <c r="B2259" i="30"/>
  <c r="B2260" i="30"/>
  <c r="B2261" i="30"/>
  <c r="B2262" i="30"/>
  <c r="B2263" i="30"/>
  <c r="B2264" i="30"/>
  <c r="B2265" i="30"/>
  <c r="B2266" i="30"/>
  <c r="B2267" i="30"/>
  <c r="B2268" i="30"/>
  <c r="B2269" i="30"/>
  <c r="B2270" i="30"/>
  <c r="B2271" i="30"/>
  <c r="B2272" i="30"/>
  <c r="B2273" i="30"/>
  <c r="B2274" i="30"/>
  <c r="B2275" i="30"/>
  <c r="B2276" i="30"/>
  <c r="B2277" i="30"/>
  <c r="B2278" i="30"/>
  <c r="B2279" i="30"/>
  <c r="B2280" i="30"/>
  <c r="B2281" i="30"/>
  <c r="B2282" i="30"/>
  <c r="B2283" i="30"/>
  <c r="B2284" i="30"/>
  <c r="B2285" i="30"/>
  <c r="B2286" i="30"/>
  <c r="B2287" i="30"/>
  <c r="B2288" i="30"/>
  <c r="B2289" i="30"/>
  <c r="B2290" i="30"/>
  <c r="B2291" i="30"/>
  <c r="B2292" i="30"/>
  <c r="B2293" i="30"/>
  <c r="B2294" i="30"/>
  <c r="B2295" i="30"/>
  <c r="B2296" i="30"/>
  <c r="B2297" i="30"/>
  <c r="B2298" i="30"/>
  <c r="B2299" i="30"/>
  <c r="B2300" i="30"/>
  <c r="B2301" i="30"/>
  <c r="B2302" i="30"/>
  <c r="B2303" i="30"/>
  <c r="B2304" i="30"/>
  <c r="B2305" i="30"/>
  <c r="B2306" i="30"/>
  <c r="B2307" i="30"/>
  <c r="B2308" i="30"/>
  <c r="B2309" i="30"/>
  <c r="B2310" i="30"/>
  <c r="B2311" i="30"/>
  <c r="B2312" i="30"/>
  <c r="B2313" i="30"/>
  <c r="B2314" i="30"/>
  <c r="B2315" i="30"/>
  <c r="B2316" i="30"/>
  <c r="B2317" i="30"/>
  <c r="B2318" i="30"/>
  <c r="B2319" i="30"/>
  <c r="B2320" i="30"/>
  <c r="B2321" i="30"/>
  <c r="B2322" i="30"/>
  <c r="B2323" i="30"/>
  <c r="B2324" i="30"/>
  <c r="B2325" i="30"/>
  <c r="B2326" i="30"/>
  <c r="B2327" i="30"/>
  <c r="B2328" i="30"/>
  <c r="B2329" i="30"/>
  <c r="B2330" i="30"/>
  <c r="B2331" i="30"/>
  <c r="B2332" i="30"/>
  <c r="B2333" i="30"/>
  <c r="B2334" i="30"/>
  <c r="B2335" i="30"/>
  <c r="B2336" i="30"/>
  <c r="B2337" i="30"/>
  <c r="B2338" i="30"/>
  <c r="B2339" i="30"/>
  <c r="B2340" i="30"/>
  <c r="B2341" i="30"/>
  <c r="B2342" i="30"/>
  <c r="B2343" i="30"/>
  <c r="B2344" i="30"/>
  <c r="B2345" i="30"/>
  <c r="B2346" i="30"/>
  <c r="B2347" i="30"/>
  <c r="B2348" i="30"/>
  <c r="B2349" i="30"/>
  <c r="B2350" i="30"/>
  <c r="B2351" i="30"/>
  <c r="B2352" i="30"/>
  <c r="B2353" i="30"/>
  <c r="B2354" i="30"/>
  <c r="B2355" i="30"/>
  <c r="B2356" i="30"/>
  <c r="B2357" i="30"/>
  <c r="B2358" i="30"/>
  <c r="B2359" i="30"/>
  <c r="B2360" i="30"/>
  <c r="B2361" i="30"/>
  <c r="B2362" i="30"/>
  <c r="B2363" i="30"/>
  <c r="B2364" i="30"/>
  <c r="B2365" i="30"/>
  <c r="B2366" i="30"/>
  <c r="B2367" i="30"/>
  <c r="B2368" i="30"/>
  <c r="B2369" i="30"/>
  <c r="B2370" i="30"/>
  <c r="B2371" i="30"/>
  <c r="B2372" i="30"/>
  <c r="B2373" i="30"/>
  <c r="B2374" i="30"/>
  <c r="B2375" i="30"/>
  <c r="B2376" i="30"/>
  <c r="B2377" i="30"/>
  <c r="B2378" i="30"/>
  <c r="B2379" i="30"/>
  <c r="B2380" i="30"/>
  <c r="B2381" i="30"/>
  <c r="B2382" i="30"/>
  <c r="B2383" i="30"/>
  <c r="B2384" i="30"/>
  <c r="B2385" i="30"/>
  <c r="B2386" i="30"/>
  <c r="B2387" i="30"/>
  <c r="B2388" i="30"/>
  <c r="B2389" i="30"/>
  <c r="B2390" i="30"/>
  <c r="B2391" i="30"/>
  <c r="B2392" i="30"/>
  <c r="B2393" i="30"/>
  <c r="B2394" i="30"/>
  <c r="B2395" i="30"/>
  <c r="B2396" i="30"/>
  <c r="B2397" i="30"/>
  <c r="B2398" i="30"/>
  <c r="B2399" i="30"/>
  <c r="B2400" i="30"/>
  <c r="B2401" i="30"/>
  <c r="B2402" i="30"/>
  <c r="B2403" i="30"/>
  <c r="B2404" i="30"/>
  <c r="B2405" i="30"/>
  <c r="B2406" i="30"/>
  <c r="B2407" i="30"/>
  <c r="B2408" i="30"/>
  <c r="B2409" i="30"/>
  <c r="B2410" i="30"/>
  <c r="B2411" i="30"/>
  <c r="B2412" i="30"/>
  <c r="B2413" i="30"/>
  <c r="B2414" i="30"/>
  <c r="B2415" i="30"/>
  <c r="B2416" i="30"/>
  <c r="B2417" i="30"/>
  <c r="B2418" i="30"/>
  <c r="B2419" i="30"/>
  <c r="B2420" i="30"/>
  <c r="B2421" i="30"/>
  <c r="B2422" i="30"/>
  <c r="B2423" i="30"/>
  <c r="B2424" i="30"/>
  <c r="B2425" i="30"/>
  <c r="B2426" i="30"/>
  <c r="B2427" i="30"/>
  <c r="B2428" i="30"/>
  <c r="B2429" i="30"/>
  <c r="B2430" i="30"/>
  <c r="B2431" i="30"/>
  <c r="B2432" i="30"/>
  <c r="B2433" i="30"/>
  <c r="B2434" i="30"/>
  <c r="B2435" i="30"/>
  <c r="B2436" i="30"/>
  <c r="B2437" i="30"/>
  <c r="B2438" i="30"/>
  <c r="B2439" i="30"/>
  <c r="B2440" i="30"/>
  <c r="B2441" i="30"/>
  <c r="B2442" i="30"/>
  <c r="B2443" i="30"/>
  <c r="B2444" i="30"/>
  <c r="B2445" i="30"/>
  <c r="B2446" i="30"/>
  <c r="B2447" i="30"/>
  <c r="B2448" i="30"/>
  <c r="B2449" i="30"/>
  <c r="B2450" i="30"/>
  <c r="B2451" i="30"/>
  <c r="B2452" i="30"/>
  <c r="B2453" i="30"/>
  <c r="B2454" i="30"/>
  <c r="B2455" i="30"/>
  <c r="B2456" i="30"/>
  <c r="B2457" i="30"/>
  <c r="B2458" i="30"/>
  <c r="B2459" i="30"/>
  <c r="B2460" i="30"/>
  <c r="B2461" i="30"/>
  <c r="B2462" i="30"/>
  <c r="B2463" i="30"/>
  <c r="B2464" i="30"/>
  <c r="B2465" i="30"/>
  <c r="B2466" i="30"/>
  <c r="B2467" i="30"/>
  <c r="B2468" i="30"/>
  <c r="B2469" i="30"/>
  <c r="B2470" i="30"/>
  <c r="B2471" i="30"/>
  <c r="B2472" i="30"/>
  <c r="B2473" i="30"/>
  <c r="B2474" i="30"/>
  <c r="B2475" i="30"/>
  <c r="B2476" i="30"/>
  <c r="B2477" i="30"/>
  <c r="B2478" i="30"/>
  <c r="B2479" i="30"/>
  <c r="B2480" i="30"/>
  <c r="B2481" i="30"/>
  <c r="B2482" i="30"/>
  <c r="B2483" i="30"/>
  <c r="B2484" i="30"/>
  <c r="B2485" i="30"/>
  <c r="B2486" i="30"/>
  <c r="B2487" i="30"/>
  <c r="B2488" i="30"/>
  <c r="B2489" i="30"/>
  <c r="B2490" i="30"/>
  <c r="B2491" i="30"/>
  <c r="B2492" i="30"/>
  <c r="B2493" i="30"/>
  <c r="B2494" i="30"/>
  <c r="B2495" i="30"/>
  <c r="B2496" i="30"/>
  <c r="B2497" i="30"/>
  <c r="B2498" i="30"/>
  <c r="B2499" i="30"/>
  <c r="B2500" i="30"/>
  <c r="B2501" i="30"/>
  <c r="B2502" i="30"/>
  <c r="B2503" i="30"/>
  <c r="B2504" i="30"/>
  <c r="B2505" i="30"/>
  <c r="B2506" i="30"/>
  <c r="B2507" i="30"/>
  <c r="B2508" i="30"/>
  <c r="B2509" i="30"/>
  <c r="B2510" i="30"/>
  <c r="B2511" i="30"/>
  <c r="B2512" i="30"/>
  <c r="B2513" i="30"/>
  <c r="B2514" i="30"/>
  <c r="B2515" i="30"/>
  <c r="B2516" i="30"/>
  <c r="B2517" i="30"/>
  <c r="B2518" i="30"/>
  <c r="B2519" i="30"/>
  <c r="B2520" i="30"/>
  <c r="B2521" i="30"/>
  <c r="B2522" i="30"/>
  <c r="B2523" i="30"/>
  <c r="B2524" i="30"/>
  <c r="B2525" i="30"/>
  <c r="B2526" i="30"/>
  <c r="B2527" i="30"/>
  <c r="B2528" i="30"/>
  <c r="B2529" i="30"/>
  <c r="B2530" i="30"/>
  <c r="B2531" i="30"/>
  <c r="B2532" i="30"/>
  <c r="B2533" i="30"/>
  <c r="B2534" i="30"/>
  <c r="B2535" i="30"/>
  <c r="B2536" i="30"/>
  <c r="B2537" i="30"/>
  <c r="B2538" i="30"/>
  <c r="B2539" i="30"/>
  <c r="B2540" i="30"/>
  <c r="B2541" i="30"/>
  <c r="B2542" i="30"/>
  <c r="B2543" i="30"/>
  <c r="B2544" i="30"/>
  <c r="B2545" i="30"/>
  <c r="B2546" i="30"/>
  <c r="B2547" i="30"/>
  <c r="B2548" i="30"/>
  <c r="B2549" i="30"/>
  <c r="B2550" i="30"/>
  <c r="B2551" i="30"/>
  <c r="B2552" i="30"/>
  <c r="B2553" i="30"/>
  <c r="B2554" i="30"/>
  <c r="B2555" i="30"/>
  <c r="B2556" i="30"/>
  <c r="B2557" i="30"/>
  <c r="B2558" i="30"/>
  <c r="B2559" i="30"/>
  <c r="B2560" i="30"/>
  <c r="B2561" i="30"/>
  <c r="B2562" i="30"/>
  <c r="B2563" i="30"/>
  <c r="B2564" i="30"/>
  <c r="B2565" i="30"/>
  <c r="B2566" i="30"/>
  <c r="B2567" i="30"/>
  <c r="B2568" i="30"/>
  <c r="B2569" i="30"/>
  <c r="B2570" i="30"/>
  <c r="B2571" i="30"/>
  <c r="B2572" i="30"/>
  <c r="B2573" i="30"/>
  <c r="B2574" i="30"/>
  <c r="B2575" i="30"/>
  <c r="B2576" i="30"/>
  <c r="B2577" i="30"/>
  <c r="B2578" i="30"/>
  <c r="B2579" i="30"/>
  <c r="B2580" i="30"/>
  <c r="B2581" i="30"/>
  <c r="B2582" i="30"/>
  <c r="B2583" i="30"/>
  <c r="B2584" i="30"/>
  <c r="B2585" i="30"/>
  <c r="B2586" i="30"/>
  <c r="B2587" i="30"/>
  <c r="B2588" i="30"/>
  <c r="B2589" i="30"/>
  <c r="B2590" i="30"/>
  <c r="B2591" i="30"/>
  <c r="B2592" i="30"/>
  <c r="B2593" i="30"/>
  <c r="B2594" i="30"/>
  <c r="B2595" i="30"/>
  <c r="B2596" i="30"/>
  <c r="B2597" i="30"/>
  <c r="B2598" i="30"/>
  <c r="B2599" i="30"/>
  <c r="B2600" i="30"/>
  <c r="B2601" i="30"/>
  <c r="B2602" i="30"/>
  <c r="B2603" i="30"/>
  <c r="B2604" i="30"/>
  <c r="B2605" i="30"/>
  <c r="B2606" i="30"/>
  <c r="B2607" i="30"/>
  <c r="B2608" i="30"/>
  <c r="B2609" i="30"/>
  <c r="B2610" i="30"/>
  <c r="B2611" i="30"/>
  <c r="B2612" i="30"/>
  <c r="B2613" i="30"/>
  <c r="B2614" i="30"/>
  <c r="B2615" i="30"/>
  <c r="B2616" i="30"/>
  <c r="B2617" i="30"/>
  <c r="B2618" i="30"/>
  <c r="B2619" i="30"/>
  <c r="B2620" i="30"/>
  <c r="B2621" i="30"/>
  <c r="B2622" i="30"/>
  <c r="B2623" i="30"/>
  <c r="B2624" i="30"/>
  <c r="B2625" i="30"/>
  <c r="B2626" i="30"/>
  <c r="B2627" i="30"/>
  <c r="B2628" i="30"/>
  <c r="B2629" i="30"/>
  <c r="B2630" i="30"/>
  <c r="B2631" i="30"/>
  <c r="B2632" i="30"/>
  <c r="B2633" i="30"/>
  <c r="B2634" i="30"/>
  <c r="B2635" i="30"/>
  <c r="B2636" i="30"/>
  <c r="B2637" i="30"/>
  <c r="B2638" i="30"/>
  <c r="B2639" i="30"/>
  <c r="B2640" i="30"/>
  <c r="B2641" i="30"/>
  <c r="B2642" i="30"/>
  <c r="B2643" i="30"/>
  <c r="B2644" i="30"/>
  <c r="B2645" i="30"/>
  <c r="B2646" i="30"/>
  <c r="B2647" i="30"/>
  <c r="B2648" i="30"/>
  <c r="B2649" i="30"/>
  <c r="B2650" i="30"/>
  <c r="B2651" i="30"/>
  <c r="B2652" i="30"/>
  <c r="B2653" i="30"/>
  <c r="B2654" i="30"/>
  <c r="B2655" i="30"/>
  <c r="B2656" i="30"/>
  <c r="B2657" i="30"/>
  <c r="B2658" i="30"/>
  <c r="B2659" i="30"/>
  <c r="B2660" i="30"/>
  <c r="B2661" i="30"/>
  <c r="B2662" i="30"/>
  <c r="B2663" i="30"/>
  <c r="B2664" i="30"/>
  <c r="B2665" i="30"/>
  <c r="B2666" i="30"/>
  <c r="B2667" i="30"/>
  <c r="B2668" i="30"/>
  <c r="B2669" i="30"/>
  <c r="B2670" i="30"/>
  <c r="B2671" i="30"/>
  <c r="B2672" i="30"/>
  <c r="B2673" i="30"/>
  <c r="B2674" i="30"/>
  <c r="B2675" i="30"/>
  <c r="B2676" i="30"/>
  <c r="B2677" i="30"/>
  <c r="B2678" i="30"/>
  <c r="B2679" i="30"/>
  <c r="B2680" i="30"/>
  <c r="B2681" i="30"/>
  <c r="B2682" i="30"/>
  <c r="B2683" i="30"/>
  <c r="B2684" i="30"/>
  <c r="B2685" i="30"/>
  <c r="B2686" i="30"/>
  <c r="B2687" i="30"/>
  <c r="B2688" i="30"/>
  <c r="B2689" i="30"/>
  <c r="B2690" i="30"/>
  <c r="B2691" i="30"/>
  <c r="B2692" i="30"/>
  <c r="B2693" i="30"/>
  <c r="B2694" i="30"/>
  <c r="B2695" i="30"/>
  <c r="B2696" i="30"/>
  <c r="B2697" i="30"/>
  <c r="B2698" i="30"/>
  <c r="B2699" i="30"/>
  <c r="B2700" i="30"/>
  <c r="B2701" i="30"/>
  <c r="B2702" i="30"/>
  <c r="B2703" i="30"/>
  <c r="B2704" i="30"/>
  <c r="B2705" i="30"/>
  <c r="B2706" i="30"/>
  <c r="B2707" i="30"/>
  <c r="B2708" i="30"/>
  <c r="B2709" i="30"/>
  <c r="B2710" i="30"/>
  <c r="B2711" i="30"/>
  <c r="B2712" i="30"/>
  <c r="B2713" i="30"/>
  <c r="B2714" i="30"/>
  <c r="B2715" i="30"/>
  <c r="B2716" i="30"/>
  <c r="B2717" i="30"/>
  <c r="B2718" i="30"/>
  <c r="B2719" i="30"/>
  <c r="B2720" i="30"/>
  <c r="B2721" i="30"/>
  <c r="B2722" i="30"/>
  <c r="B2723" i="30"/>
  <c r="B2724" i="30"/>
  <c r="B2725" i="30"/>
  <c r="B2726" i="30"/>
  <c r="B2727" i="30"/>
  <c r="B2728" i="30"/>
  <c r="B2729" i="30"/>
  <c r="B2730" i="30"/>
  <c r="B2731" i="30"/>
  <c r="B2732" i="30"/>
  <c r="B2733" i="30"/>
  <c r="B2734" i="30"/>
  <c r="B2735" i="30"/>
  <c r="B2736" i="30"/>
  <c r="B2737" i="30"/>
  <c r="B2738" i="30"/>
  <c r="B2739" i="30"/>
  <c r="B2740" i="30"/>
  <c r="B2741" i="30"/>
  <c r="B2742" i="30"/>
  <c r="B2743" i="30"/>
  <c r="B2744" i="30"/>
  <c r="B2745" i="30"/>
  <c r="B2746" i="30"/>
  <c r="B2747" i="30"/>
  <c r="B2748" i="30"/>
  <c r="B2749" i="30"/>
  <c r="B2750" i="30"/>
  <c r="B2751" i="30"/>
  <c r="B2752" i="30"/>
  <c r="B2753" i="30"/>
  <c r="B2754" i="30"/>
  <c r="B2755" i="30"/>
  <c r="B2756" i="30"/>
  <c r="B2757" i="30"/>
  <c r="B2758" i="30"/>
  <c r="B2759" i="30"/>
  <c r="B2760" i="30"/>
  <c r="B2761" i="30"/>
  <c r="B2762" i="30"/>
  <c r="B2763" i="30"/>
  <c r="B2764" i="30"/>
  <c r="B2765" i="30"/>
  <c r="B2766" i="30"/>
  <c r="B2767" i="30"/>
  <c r="B2768" i="30"/>
  <c r="B2769" i="30"/>
  <c r="B2770" i="30"/>
  <c r="B2771" i="30"/>
  <c r="B2772" i="30"/>
  <c r="B2773" i="30"/>
  <c r="B2774" i="30"/>
  <c r="B2775" i="30"/>
  <c r="B2776" i="30"/>
  <c r="B2777" i="30"/>
  <c r="B2778" i="30"/>
  <c r="B2779" i="30"/>
  <c r="B2780" i="30"/>
  <c r="B2781" i="30"/>
  <c r="B2782" i="30"/>
  <c r="B2783" i="30"/>
  <c r="B2784" i="30"/>
  <c r="B2785" i="30"/>
  <c r="B2786" i="30"/>
  <c r="B2787" i="30"/>
  <c r="B2788" i="30"/>
  <c r="B2789" i="30"/>
  <c r="B2790" i="30"/>
  <c r="B2791" i="30"/>
  <c r="B2792" i="30"/>
  <c r="B2793" i="30"/>
  <c r="B2794" i="30"/>
  <c r="B2795" i="30"/>
  <c r="B2796" i="30"/>
  <c r="B2797" i="30"/>
  <c r="B2798" i="30"/>
  <c r="B2799" i="30"/>
  <c r="B2800" i="30"/>
  <c r="B2801" i="30"/>
  <c r="B2802" i="30"/>
  <c r="B2803" i="30"/>
  <c r="B2804" i="30"/>
  <c r="B2805" i="30"/>
  <c r="B2806" i="30"/>
  <c r="B2807" i="30"/>
  <c r="B2808" i="30"/>
  <c r="B2809" i="30"/>
  <c r="B2810" i="30"/>
  <c r="B2811" i="30"/>
  <c r="B2812" i="30"/>
  <c r="B2813" i="30"/>
  <c r="B2814" i="30"/>
  <c r="B2815" i="30"/>
  <c r="B2816" i="30"/>
  <c r="B2817" i="30"/>
  <c r="B2818" i="30"/>
  <c r="B2819" i="30"/>
  <c r="B2820" i="30"/>
  <c r="B2821" i="30"/>
  <c r="B2822" i="30"/>
  <c r="B2823" i="30"/>
  <c r="B2824" i="30"/>
  <c r="B2825" i="30"/>
  <c r="B2826" i="30"/>
  <c r="B2827" i="30"/>
  <c r="B2828" i="30"/>
  <c r="B2829" i="30"/>
  <c r="B2830" i="30"/>
  <c r="B2831" i="30"/>
  <c r="B2832" i="30"/>
  <c r="B2833" i="30"/>
  <c r="B2834" i="30"/>
  <c r="B2835" i="30"/>
  <c r="B2836" i="30"/>
  <c r="B2837" i="30"/>
  <c r="B2838" i="30"/>
  <c r="B2839" i="30"/>
  <c r="B2840" i="30"/>
  <c r="B2841" i="30"/>
  <c r="B2842" i="30"/>
  <c r="B2843" i="30"/>
  <c r="B2844" i="30"/>
  <c r="B2845" i="30"/>
  <c r="B2846" i="30"/>
  <c r="B2847" i="30"/>
  <c r="B2848" i="30"/>
  <c r="B2849" i="30"/>
  <c r="B2850" i="30"/>
  <c r="B2851" i="30"/>
  <c r="B2852" i="30"/>
  <c r="B2853" i="30"/>
  <c r="B2854" i="30"/>
  <c r="B2855" i="30"/>
  <c r="B2856" i="30"/>
  <c r="B2857" i="30"/>
  <c r="B2858" i="30"/>
  <c r="B2859" i="30"/>
  <c r="B2860" i="30"/>
  <c r="B2861" i="30"/>
  <c r="B2862" i="30"/>
  <c r="B2863" i="30"/>
  <c r="B2864" i="30"/>
  <c r="B2865" i="30"/>
  <c r="B2866" i="30"/>
  <c r="B2867" i="30"/>
  <c r="B2868" i="30"/>
  <c r="B2869" i="30"/>
  <c r="B2870" i="30"/>
  <c r="B2871" i="30"/>
  <c r="B2872" i="30"/>
  <c r="B2873" i="30"/>
  <c r="B2874" i="30"/>
  <c r="B2875" i="30"/>
  <c r="B2876" i="30"/>
  <c r="B2877" i="30"/>
  <c r="B2878" i="30"/>
  <c r="B2879" i="30"/>
  <c r="B2880" i="30"/>
  <c r="B2881" i="30"/>
  <c r="B2882" i="30"/>
  <c r="B2883" i="30"/>
  <c r="B2884" i="30"/>
  <c r="B2885" i="30"/>
  <c r="B2886" i="30"/>
  <c r="B2887" i="30"/>
  <c r="B2888" i="30"/>
  <c r="B2889" i="30"/>
  <c r="B2890" i="30"/>
  <c r="B2891" i="30"/>
  <c r="B2892" i="30"/>
  <c r="B2893" i="30"/>
  <c r="B2894" i="30"/>
  <c r="B2895" i="30"/>
  <c r="B2896" i="30"/>
  <c r="B2897" i="30"/>
  <c r="B2898" i="30"/>
  <c r="B2899" i="30"/>
  <c r="B2900" i="30"/>
  <c r="B2901" i="30"/>
  <c r="B2902" i="30"/>
  <c r="B2903" i="30"/>
  <c r="B2904" i="30"/>
  <c r="B2905" i="30"/>
  <c r="B2906" i="30"/>
  <c r="B2907" i="30"/>
  <c r="B2908" i="30"/>
  <c r="B2909" i="30"/>
  <c r="B2910" i="30"/>
  <c r="B2911" i="30"/>
  <c r="B2912" i="30"/>
  <c r="B2913" i="30"/>
  <c r="B2914" i="30"/>
  <c r="B2915" i="30"/>
  <c r="B2916" i="30"/>
  <c r="B2917" i="30"/>
  <c r="B2918" i="30"/>
  <c r="B2919" i="30"/>
  <c r="B2920" i="30"/>
  <c r="B2921" i="30"/>
  <c r="B2922" i="30"/>
  <c r="B2923" i="30"/>
  <c r="B2924" i="30"/>
  <c r="B2925" i="30"/>
  <c r="B2926" i="30"/>
  <c r="B2927" i="30"/>
  <c r="B2928" i="30"/>
  <c r="B2929" i="30"/>
  <c r="B2930" i="30"/>
  <c r="B2931" i="30"/>
  <c r="B2932" i="30"/>
  <c r="B2933" i="30"/>
  <c r="B2934" i="30"/>
  <c r="B2935" i="30"/>
  <c r="B2936" i="30"/>
  <c r="B2937" i="30"/>
  <c r="B2938" i="30"/>
  <c r="B2939" i="30"/>
  <c r="B2940" i="30"/>
  <c r="B2941" i="30"/>
  <c r="B2942" i="30"/>
  <c r="B2943" i="30"/>
  <c r="B2944" i="30"/>
  <c r="B2945" i="30"/>
  <c r="B2946" i="30"/>
  <c r="B2947" i="30"/>
  <c r="B2948" i="30"/>
  <c r="B2949" i="30"/>
  <c r="B2950" i="30"/>
  <c r="B2951" i="30"/>
  <c r="B2952" i="30"/>
  <c r="B2953" i="30"/>
  <c r="B2954" i="30"/>
  <c r="B2955" i="30"/>
  <c r="B2956" i="30"/>
  <c r="B2957" i="30"/>
  <c r="B2958" i="30"/>
  <c r="B2959" i="30"/>
  <c r="B2960" i="30"/>
  <c r="B2961" i="30"/>
  <c r="B2962" i="30"/>
  <c r="B2963" i="30"/>
  <c r="B2964" i="30"/>
  <c r="B2965" i="30"/>
  <c r="B2966" i="30"/>
  <c r="B2967" i="30"/>
  <c r="B2968" i="30"/>
  <c r="B2969" i="30"/>
  <c r="B2970" i="30"/>
  <c r="B2971" i="30"/>
  <c r="B2972" i="30"/>
  <c r="B2973" i="30"/>
  <c r="B2974" i="30"/>
  <c r="B2975" i="30"/>
  <c r="B2976" i="30"/>
  <c r="B2977" i="30"/>
  <c r="B2978" i="30"/>
  <c r="B2979" i="30"/>
  <c r="B2980" i="30"/>
  <c r="B2981" i="30"/>
  <c r="B2982" i="30"/>
  <c r="B2983" i="30"/>
  <c r="B2984" i="30"/>
  <c r="B2985" i="30"/>
  <c r="B2986" i="30"/>
  <c r="B2987" i="30"/>
  <c r="B2988" i="30"/>
  <c r="B2989" i="30"/>
  <c r="B2990" i="30"/>
  <c r="B2991" i="30"/>
  <c r="B2992" i="30"/>
  <c r="B2993" i="30"/>
  <c r="B2994" i="30"/>
  <c r="B2995" i="30"/>
  <c r="B2996" i="30"/>
  <c r="B2997" i="30"/>
  <c r="B2998" i="30"/>
  <c r="B2999" i="30"/>
  <c r="B3000" i="30"/>
  <c r="B3001" i="30"/>
  <c r="B3002" i="30"/>
  <c r="B3003" i="30"/>
  <c r="B3004" i="30"/>
  <c r="B3005" i="30"/>
  <c r="B3006" i="30"/>
  <c r="B3007" i="30"/>
  <c r="B3008" i="30"/>
  <c r="B3009" i="30"/>
  <c r="B3010" i="30"/>
  <c r="B3011" i="30"/>
  <c r="B3012" i="30"/>
  <c r="B3013" i="30"/>
  <c r="B3014" i="30"/>
  <c r="B3015" i="30"/>
  <c r="B3016" i="30"/>
  <c r="B3017" i="30"/>
  <c r="B3018" i="30"/>
  <c r="B3019" i="30"/>
  <c r="B3020" i="30"/>
  <c r="B3021" i="30"/>
  <c r="B3022" i="30"/>
  <c r="B3023" i="30"/>
  <c r="B3024" i="30"/>
  <c r="B3025" i="30"/>
  <c r="B3026" i="30"/>
  <c r="B3027" i="30"/>
  <c r="B3028" i="30"/>
  <c r="B3029" i="30"/>
  <c r="B3030" i="30"/>
  <c r="B3031" i="30"/>
  <c r="B3032" i="30"/>
  <c r="B3033" i="30"/>
  <c r="B3034" i="30"/>
  <c r="B3035" i="30"/>
  <c r="B3036" i="30"/>
  <c r="B3037" i="30"/>
  <c r="B3038" i="30"/>
  <c r="B3039" i="30"/>
  <c r="B3040" i="30"/>
  <c r="B3041" i="30"/>
  <c r="B3042" i="30"/>
  <c r="B3043" i="30"/>
  <c r="B3044" i="30"/>
  <c r="B3045" i="30"/>
  <c r="B3046" i="30"/>
  <c r="B3047" i="30"/>
  <c r="B3048" i="30"/>
  <c r="B3049" i="30"/>
  <c r="B3050" i="30"/>
  <c r="B3051" i="30"/>
  <c r="B3052" i="30"/>
  <c r="B3053" i="30"/>
  <c r="B3054" i="30"/>
  <c r="B3055" i="30"/>
  <c r="B3056" i="30"/>
  <c r="B3057" i="30"/>
  <c r="B3058" i="30"/>
  <c r="B3059" i="30"/>
  <c r="B3060" i="30"/>
  <c r="B3061" i="30"/>
  <c r="B3062" i="30"/>
  <c r="B3063" i="30"/>
  <c r="B3064" i="30"/>
  <c r="B3065" i="30"/>
  <c r="B3066" i="30"/>
  <c r="B3067" i="30"/>
  <c r="B3068" i="30"/>
  <c r="B3069" i="30"/>
  <c r="B3070" i="30"/>
  <c r="B3071" i="30"/>
  <c r="B3072" i="30"/>
  <c r="B3073" i="30"/>
  <c r="B3074" i="30"/>
  <c r="B3075" i="30"/>
  <c r="B3076" i="30"/>
  <c r="B3077" i="30"/>
  <c r="B3078" i="30"/>
  <c r="B3079" i="30"/>
  <c r="B3080" i="30"/>
  <c r="B3081" i="30"/>
  <c r="B3082" i="30"/>
  <c r="B3083" i="30"/>
  <c r="B3084" i="30"/>
  <c r="B3085" i="30"/>
  <c r="B3086" i="30"/>
  <c r="B3087" i="30"/>
  <c r="B3088" i="30"/>
  <c r="B3089" i="30"/>
  <c r="B3090" i="30"/>
  <c r="B3091" i="30"/>
  <c r="B3092" i="30"/>
  <c r="B3093" i="30"/>
  <c r="B3094" i="30"/>
  <c r="B3095" i="30"/>
  <c r="B3096" i="30"/>
  <c r="B3097" i="30"/>
  <c r="B3098" i="30"/>
  <c r="B3099" i="30"/>
  <c r="B3100" i="30"/>
  <c r="B3101" i="30"/>
  <c r="B3102" i="30"/>
  <c r="B3103" i="30"/>
  <c r="B3104" i="30"/>
  <c r="B3105" i="30"/>
  <c r="B3106" i="30"/>
  <c r="B3107" i="30"/>
  <c r="B3108" i="30"/>
  <c r="B3109" i="30"/>
  <c r="B3110" i="30"/>
  <c r="B3111" i="30"/>
  <c r="B3112" i="30"/>
  <c r="B3113" i="30"/>
  <c r="B3114" i="30"/>
  <c r="B3115" i="30"/>
  <c r="B3116" i="30"/>
  <c r="B3117" i="30"/>
  <c r="B3118" i="30"/>
  <c r="B3119" i="30"/>
  <c r="B3120" i="30"/>
  <c r="B3121" i="30"/>
  <c r="B3122" i="30"/>
  <c r="B3123" i="30"/>
  <c r="B3124" i="30"/>
  <c r="B3125" i="30"/>
  <c r="B3126" i="30"/>
  <c r="B3127" i="30"/>
  <c r="B3128" i="30"/>
  <c r="B3129" i="30"/>
  <c r="B3130" i="30"/>
  <c r="B3131" i="30"/>
  <c r="B3132" i="30"/>
  <c r="B3133" i="30"/>
  <c r="B3134" i="30"/>
  <c r="B3135" i="30"/>
  <c r="B3136" i="30"/>
  <c r="B3137" i="30"/>
  <c r="B3138" i="30"/>
  <c r="B3139" i="30"/>
  <c r="B3140" i="30"/>
  <c r="B3141" i="30"/>
  <c r="B3142" i="30"/>
  <c r="B3143" i="30"/>
  <c r="B3144" i="30"/>
  <c r="B3145" i="30"/>
  <c r="B3146" i="30"/>
  <c r="B3147" i="30"/>
  <c r="B3148" i="30"/>
  <c r="B3149" i="30"/>
  <c r="B3150" i="30"/>
  <c r="B3151" i="30"/>
  <c r="B3152" i="30"/>
  <c r="B3153" i="30"/>
  <c r="B3154" i="30"/>
  <c r="B3155" i="30"/>
  <c r="B3156" i="30"/>
  <c r="B3157" i="30"/>
  <c r="B3158" i="30"/>
  <c r="B3159" i="30"/>
  <c r="B3160" i="30"/>
  <c r="B3161" i="30"/>
  <c r="B3162" i="30"/>
  <c r="B3163" i="30"/>
  <c r="B3164" i="30"/>
  <c r="B3165" i="30"/>
  <c r="B3166" i="30"/>
  <c r="B3167" i="30"/>
  <c r="B3168" i="30"/>
  <c r="B3169" i="30"/>
  <c r="B3170" i="30"/>
  <c r="B3171" i="30"/>
  <c r="B3172" i="30"/>
  <c r="B3173" i="30"/>
  <c r="B3174" i="30"/>
  <c r="B3175" i="30"/>
  <c r="B3176" i="30"/>
  <c r="B3177" i="30"/>
  <c r="B3178" i="30"/>
  <c r="B3179" i="30"/>
  <c r="B3180" i="30"/>
  <c r="B3181" i="30"/>
  <c r="B3182" i="30"/>
  <c r="B3183" i="30"/>
  <c r="B3184" i="30"/>
  <c r="B3185" i="30"/>
  <c r="B3186" i="30"/>
  <c r="B3187" i="30"/>
  <c r="B3188" i="30"/>
  <c r="B3189" i="30"/>
  <c r="B3190" i="30"/>
  <c r="B3191" i="30"/>
  <c r="B3192" i="30"/>
  <c r="B3193" i="30"/>
  <c r="B3194" i="30"/>
  <c r="B3195" i="30"/>
  <c r="B3196" i="30"/>
  <c r="B3197" i="30"/>
  <c r="B3198" i="30"/>
  <c r="B3199" i="30"/>
  <c r="B3200" i="30"/>
  <c r="B3201" i="30"/>
  <c r="B3202" i="30"/>
  <c r="B3203" i="30"/>
  <c r="B3204" i="30"/>
  <c r="B3205" i="30"/>
  <c r="B3206" i="30"/>
  <c r="B3207" i="30"/>
  <c r="B3208" i="30"/>
  <c r="B3209" i="30"/>
  <c r="B3210" i="30"/>
  <c r="B3211" i="30"/>
  <c r="B3212" i="30"/>
  <c r="B3213" i="30"/>
  <c r="B3214" i="30"/>
  <c r="B3215" i="30"/>
  <c r="B3216" i="30"/>
  <c r="B3217" i="30"/>
  <c r="B3218" i="30"/>
  <c r="B3219" i="30"/>
  <c r="B3220" i="30"/>
  <c r="B3221" i="30"/>
  <c r="B3222" i="30"/>
  <c r="B3223" i="30"/>
  <c r="B3224" i="30"/>
  <c r="B3225" i="30"/>
  <c r="B3226" i="30"/>
  <c r="B3227" i="30"/>
  <c r="B3228" i="30"/>
  <c r="B3229" i="30"/>
  <c r="B3230" i="30"/>
  <c r="B3231" i="30"/>
  <c r="B3232" i="30"/>
  <c r="B3233" i="30"/>
  <c r="B3234" i="30"/>
  <c r="B3235" i="30"/>
  <c r="B3236" i="30"/>
  <c r="B3237" i="30"/>
  <c r="B3238" i="30"/>
  <c r="B3239" i="30"/>
  <c r="B3240" i="30"/>
  <c r="B3241" i="30"/>
  <c r="B3242" i="30"/>
  <c r="B3243" i="30"/>
  <c r="B3244" i="30"/>
  <c r="B3245" i="30"/>
  <c r="B3246" i="30"/>
  <c r="B3247" i="30"/>
  <c r="B3248" i="30"/>
  <c r="B3249" i="30"/>
  <c r="B3250" i="30"/>
  <c r="B3251" i="30"/>
  <c r="B3252" i="30"/>
  <c r="B3253" i="30"/>
  <c r="B3254" i="30"/>
  <c r="B3255" i="30"/>
  <c r="B3256" i="30"/>
  <c r="B3257" i="30"/>
  <c r="B3258" i="30"/>
  <c r="B3259" i="30"/>
  <c r="B3260" i="30"/>
  <c r="B3261" i="30"/>
  <c r="B3262" i="30"/>
  <c r="B3263" i="30"/>
  <c r="B3264" i="30"/>
  <c r="B3265" i="30"/>
  <c r="B3266" i="30"/>
  <c r="B3267" i="30"/>
  <c r="B3268" i="30"/>
  <c r="B3269" i="30"/>
  <c r="B3270" i="30"/>
  <c r="B3271" i="30"/>
  <c r="B3272" i="30"/>
  <c r="B3273" i="30"/>
  <c r="B3274" i="30"/>
  <c r="B3275" i="30"/>
  <c r="B3276" i="30"/>
  <c r="B3277" i="30"/>
  <c r="B3278" i="30"/>
  <c r="B3279" i="30"/>
  <c r="B3280" i="30"/>
  <c r="B3281" i="30"/>
  <c r="B3282" i="30"/>
  <c r="B3283" i="30"/>
  <c r="B3284" i="30"/>
  <c r="B3285" i="30"/>
  <c r="B3286" i="30"/>
  <c r="B3287" i="30"/>
  <c r="B3288" i="30"/>
  <c r="B3289" i="30"/>
  <c r="B3290" i="30"/>
  <c r="B3291" i="30"/>
  <c r="B3292" i="30"/>
  <c r="B3293" i="30"/>
  <c r="B3294" i="30"/>
  <c r="B3295" i="30"/>
  <c r="B3296" i="30"/>
  <c r="B3297" i="30"/>
  <c r="B3298" i="30"/>
  <c r="B3299" i="30"/>
  <c r="B3300" i="30"/>
  <c r="B3301" i="30"/>
  <c r="B3302" i="30"/>
  <c r="B3303" i="30"/>
  <c r="B3304" i="30"/>
  <c r="B3305" i="30"/>
  <c r="B3306" i="30"/>
  <c r="B3307" i="30"/>
  <c r="B3308" i="30"/>
  <c r="B3309" i="30"/>
  <c r="B3310" i="30"/>
  <c r="B3311" i="30"/>
  <c r="B3312" i="30"/>
  <c r="B3313" i="30"/>
  <c r="B3314" i="30"/>
  <c r="B3315" i="30"/>
  <c r="B3316" i="30"/>
  <c r="B3317" i="30"/>
  <c r="B3318" i="30"/>
  <c r="B3319" i="30"/>
  <c r="B3320" i="30"/>
  <c r="B3321" i="30"/>
  <c r="B3322" i="30"/>
  <c r="B3323" i="30"/>
  <c r="B3324" i="30"/>
  <c r="B3325" i="30"/>
  <c r="B3326" i="30"/>
  <c r="B3327" i="30"/>
  <c r="B3328" i="30"/>
  <c r="B3329" i="30"/>
  <c r="B3330" i="30"/>
  <c r="B3331" i="30"/>
  <c r="B3332" i="30"/>
  <c r="B3333" i="30"/>
  <c r="B3334" i="30"/>
  <c r="B3335" i="30"/>
  <c r="B3336" i="30"/>
  <c r="B3337" i="30"/>
  <c r="B3338" i="30"/>
  <c r="B3339" i="30"/>
  <c r="B3340" i="30"/>
  <c r="B3341" i="30"/>
  <c r="B3342" i="30"/>
  <c r="B3343" i="30"/>
  <c r="B3344" i="30"/>
  <c r="B3345" i="30"/>
  <c r="B3346" i="30"/>
  <c r="B3347" i="30"/>
  <c r="B3348" i="30"/>
  <c r="B3349" i="30"/>
  <c r="B3350" i="30"/>
  <c r="B3351" i="30"/>
  <c r="B3352" i="30"/>
  <c r="B3353" i="30"/>
  <c r="B3354" i="30"/>
  <c r="B3355" i="30"/>
  <c r="B3356" i="30"/>
  <c r="B3357" i="30"/>
  <c r="B3358" i="30"/>
  <c r="B3359" i="30"/>
  <c r="B3360" i="30"/>
  <c r="B3361" i="30"/>
  <c r="B3362" i="30"/>
  <c r="B3363" i="30"/>
  <c r="B3364" i="30"/>
  <c r="B3365" i="30"/>
  <c r="B3366" i="30"/>
  <c r="B3367" i="30"/>
  <c r="B3368" i="30"/>
  <c r="B3369" i="30"/>
  <c r="B3370" i="30"/>
  <c r="B3371" i="30"/>
  <c r="B3372" i="30"/>
  <c r="B3373" i="30"/>
  <c r="B3374" i="30"/>
  <c r="B3375" i="30"/>
  <c r="B3376" i="30"/>
  <c r="B3377" i="30"/>
  <c r="B3378" i="30"/>
  <c r="B3379" i="30"/>
  <c r="B3380" i="30"/>
  <c r="B3381" i="30"/>
  <c r="B3382" i="30"/>
  <c r="B3383" i="30"/>
  <c r="B3384" i="30"/>
  <c r="B3385" i="30"/>
  <c r="B3386" i="30"/>
  <c r="B3387" i="30"/>
  <c r="B3388" i="30"/>
  <c r="B3389" i="30"/>
  <c r="B3390" i="30"/>
  <c r="B3391" i="30"/>
  <c r="B3392" i="30"/>
  <c r="B3393" i="30"/>
  <c r="B3394" i="30"/>
  <c r="B3395" i="30"/>
  <c r="B3396" i="30"/>
  <c r="B3397" i="30"/>
  <c r="B3398" i="30"/>
  <c r="B3399" i="30"/>
  <c r="B3400" i="30"/>
  <c r="B3401" i="30"/>
  <c r="B3402" i="30"/>
  <c r="B3403" i="30"/>
  <c r="B3404" i="30"/>
  <c r="B3405" i="30"/>
  <c r="B3406" i="30"/>
  <c r="B3407" i="30"/>
  <c r="B3408" i="30"/>
  <c r="B3409" i="30"/>
  <c r="B3410" i="30"/>
  <c r="B3411" i="30"/>
  <c r="B3412" i="30"/>
  <c r="B3413" i="30"/>
  <c r="B3414" i="30"/>
  <c r="B3415" i="30"/>
  <c r="B3416" i="30"/>
  <c r="B3417" i="30"/>
  <c r="B3418" i="30"/>
  <c r="B3419" i="30"/>
  <c r="B3420" i="30"/>
  <c r="B3421" i="30"/>
  <c r="B3422" i="30"/>
  <c r="B3423" i="30"/>
  <c r="B3424" i="30"/>
  <c r="B3425" i="30"/>
  <c r="B3426" i="30"/>
  <c r="B3427" i="30"/>
  <c r="B3428" i="30"/>
  <c r="B3429" i="30"/>
  <c r="B3430" i="30"/>
  <c r="B3431" i="30"/>
  <c r="B3432" i="30"/>
  <c r="B3433" i="30"/>
  <c r="B3434" i="30"/>
  <c r="B3435" i="30"/>
  <c r="B3436" i="30"/>
  <c r="B3437" i="30"/>
  <c r="B3438" i="30"/>
  <c r="B3439" i="30"/>
  <c r="B3440" i="30"/>
  <c r="B3441" i="30"/>
  <c r="B3442" i="30"/>
  <c r="B3443" i="30"/>
  <c r="B3444" i="30"/>
  <c r="B3445" i="30"/>
  <c r="B3446" i="30"/>
  <c r="B3447" i="30"/>
  <c r="B3448" i="30"/>
  <c r="B3449" i="30"/>
  <c r="B3450" i="30"/>
  <c r="B3451" i="30"/>
  <c r="B3452" i="30"/>
  <c r="B3453" i="30"/>
  <c r="B3454" i="30"/>
  <c r="B3455" i="30"/>
  <c r="B3456" i="30"/>
  <c r="B3457" i="30"/>
  <c r="B3458" i="30"/>
  <c r="B3459" i="30"/>
  <c r="B3460" i="30"/>
  <c r="B3461" i="30"/>
  <c r="B3462" i="30"/>
  <c r="B3463" i="30"/>
  <c r="B3464" i="30"/>
  <c r="B3465" i="30"/>
  <c r="B3466" i="30"/>
  <c r="B3467" i="30"/>
  <c r="B3468" i="30"/>
  <c r="B3469" i="30"/>
  <c r="B3470" i="30"/>
  <c r="B3471" i="30"/>
  <c r="B3472" i="30"/>
  <c r="B3473" i="30"/>
  <c r="B3474" i="30"/>
  <c r="B3475" i="30"/>
  <c r="B3476" i="30"/>
  <c r="B3477" i="30"/>
  <c r="B3478" i="30"/>
  <c r="B3479" i="30"/>
  <c r="B3480" i="30"/>
  <c r="B3481" i="30"/>
  <c r="B3482" i="30"/>
  <c r="B3483" i="30"/>
  <c r="B3484" i="30"/>
  <c r="B3485" i="30"/>
  <c r="B3486" i="30"/>
  <c r="B3487" i="30"/>
  <c r="B3488" i="30"/>
  <c r="B3489" i="30"/>
  <c r="B3490" i="30"/>
  <c r="B3491" i="30"/>
  <c r="B3492" i="30"/>
  <c r="B3493" i="30"/>
  <c r="B3494" i="30"/>
  <c r="B3495" i="30"/>
  <c r="B3496" i="30"/>
  <c r="B3497" i="30"/>
  <c r="B3498" i="30"/>
  <c r="B3499" i="30"/>
  <c r="B3500" i="30"/>
  <c r="B3501" i="30"/>
  <c r="B3502" i="30"/>
  <c r="B3503" i="30"/>
  <c r="B3504" i="30"/>
  <c r="B3505" i="30"/>
  <c r="B3506" i="30"/>
  <c r="B3507" i="30"/>
  <c r="B3508" i="30"/>
  <c r="B3509" i="30"/>
  <c r="B3510" i="30"/>
  <c r="B3511" i="30"/>
  <c r="B3512" i="30"/>
  <c r="B3513" i="30"/>
  <c r="B3514" i="30"/>
  <c r="B3515" i="30"/>
  <c r="B3516" i="30"/>
  <c r="B3517" i="30"/>
  <c r="B3518" i="30"/>
  <c r="B3519" i="30"/>
  <c r="B3520" i="30"/>
  <c r="B3521" i="30"/>
  <c r="B3522" i="30"/>
  <c r="B3523" i="30"/>
  <c r="B3524" i="30"/>
  <c r="B3525" i="30"/>
  <c r="B3526" i="30"/>
  <c r="B3527" i="30"/>
  <c r="B3528" i="30"/>
  <c r="B3529" i="30"/>
  <c r="B3530" i="30"/>
  <c r="B3531" i="30"/>
  <c r="B3532" i="30"/>
  <c r="B3533" i="30"/>
  <c r="B3534" i="30"/>
  <c r="B3535" i="30"/>
  <c r="B3536" i="30"/>
  <c r="B3537" i="30"/>
  <c r="B6" i="30"/>
  <c r="A3" i="61"/>
  <c r="C8" i="30"/>
  <c r="C9" i="30"/>
  <c r="C13" i="30"/>
  <c r="C14" i="30"/>
  <c r="C32" i="30"/>
  <c r="C62" i="30"/>
  <c r="C93" i="30"/>
  <c r="C117" i="30"/>
  <c r="C141" i="30"/>
  <c r="C165" i="30"/>
  <c r="C189" i="30"/>
  <c r="C213" i="30"/>
  <c r="C236" i="30"/>
  <c r="C256" i="30"/>
  <c r="C276" i="30"/>
  <c r="C292" i="30"/>
  <c r="C312" i="30"/>
  <c r="C328" i="30"/>
  <c r="C348" i="30"/>
  <c r="C364" i="30"/>
  <c r="C384" i="30"/>
  <c r="C400" i="30"/>
  <c r="C420" i="30"/>
  <c r="C436" i="30"/>
  <c r="C456" i="30"/>
  <c r="C472" i="30"/>
  <c r="C485" i="30"/>
  <c r="C498" i="30"/>
  <c r="C510" i="30"/>
  <c r="C522" i="30"/>
  <c r="C534" i="30"/>
  <c r="C546" i="30"/>
  <c r="C558" i="30"/>
  <c r="C570" i="30"/>
  <c r="C582" i="30"/>
  <c r="C594" i="30"/>
  <c r="C606" i="30"/>
  <c r="C618" i="30"/>
  <c r="C630" i="30"/>
  <c r="C642" i="30"/>
  <c r="C654" i="30"/>
  <c r="C666" i="30"/>
  <c r="C678" i="30"/>
  <c r="C690" i="30"/>
  <c r="C702" i="30"/>
  <c r="C714" i="30"/>
  <c r="C726" i="30"/>
  <c r="C738" i="30"/>
  <c r="C750" i="30"/>
  <c r="C762" i="30"/>
  <c r="C774" i="30"/>
  <c r="C786" i="30"/>
  <c r="C798" i="30"/>
  <c r="C810" i="30"/>
  <c r="C822" i="30"/>
  <c r="C834" i="30"/>
  <c r="C846" i="30"/>
  <c r="C858" i="30"/>
  <c r="C870" i="30"/>
  <c r="C882" i="30"/>
  <c r="C894" i="30"/>
  <c r="C906" i="30"/>
  <c r="C918" i="30"/>
  <c r="C930" i="30"/>
  <c r="C942" i="30"/>
  <c r="C954" i="30"/>
  <c r="C966" i="30"/>
  <c r="C978" i="30"/>
  <c r="C990" i="30"/>
  <c r="C1002" i="30"/>
  <c r="C1014" i="30"/>
  <c r="C1026" i="30"/>
  <c r="C1038" i="30"/>
  <c r="C1042" i="30"/>
  <c r="C1049" i="30"/>
  <c r="C1050" i="30"/>
  <c r="C1054" i="30"/>
  <c r="C1060" i="30"/>
  <c r="C1061" i="30"/>
  <c r="C1062" i="30"/>
  <c r="C1066" i="30"/>
  <c r="C1069" i="30"/>
  <c r="C1072" i="30"/>
  <c r="C1073" i="30"/>
  <c r="C1074" i="30"/>
  <c r="C1077" i="30"/>
  <c r="C1078" i="30"/>
  <c r="C1081" i="30"/>
  <c r="C1084" i="30"/>
  <c r="C1085" i="30"/>
  <c r="C1086" i="30"/>
  <c r="C1089" i="30"/>
  <c r="C1090" i="30"/>
  <c r="C1093" i="30"/>
  <c r="C1096" i="30"/>
  <c r="C1097" i="30"/>
  <c r="C1098" i="30"/>
  <c r="C1101" i="30"/>
  <c r="C1102" i="30"/>
  <c r="C1105" i="30"/>
  <c r="C1108" i="30"/>
  <c r="C1109" i="30"/>
  <c r="C1110" i="30"/>
  <c r="C1113" i="30"/>
  <c r="C1114" i="30"/>
  <c r="C1115" i="30"/>
  <c r="C1117" i="30"/>
  <c r="C1120" i="30"/>
  <c r="C1121" i="30"/>
  <c r="C1122" i="30"/>
  <c r="C1125" i="30"/>
  <c r="C1126" i="30"/>
  <c r="C1127" i="30"/>
  <c r="C1129" i="30"/>
  <c r="C1132" i="30"/>
  <c r="C1133" i="30"/>
  <c r="C1134" i="30"/>
  <c r="C1137" i="30"/>
  <c r="C1138" i="30"/>
  <c r="C1139" i="30"/>
  <c r="C1141" i="30"/>
  <c r="C1144" i="30"/>
  <c r="C1145" i="30"/>
  <c r="C1146" i="30"/>
  <c r="C1149" i="30"/>
  <c r="C1150" i="30"/>
  <c r="C1151" i="30"/>
  <c r="C1153" i="30"/>
  <c r="C1156" i="30"/>
  <c r="C1157" i="30"/>
  <c r="C1158" i="30"/>
  <c r="C1161" i="30"/>
  <c r="C1162" i="30"/>
  <c r="C1163" i="30"/>
  <c r="C1164" i="30"/>
  <c r="C1165" i="30"/>
  <c r="C1168" i="30"/>
  <c r="C1169" i="30"/>
  <c r="C1170" i="30"/>
  <c r="C1173" i="30"/>
  <c r="C1174" i="30"/>
  <c r="C1175" i="30"/>
  <c r="C1176" i="30"/>
  <c r="C1177" i="30"/>
  <c r="C1179" i="30"/>
  <c r="C1180" i="30"/>
  <c r="C1181" i="30"/>
  <c r="C1182" i="30"/>
  <c r="C1185" i="30"/>
  <c r="C1186" i="30"/>
  <c r="C1187" i="30"/>
  <c r="C1188" i="30"/>
  <c r="C1189" i="30"/>
  <c r="C1191" i="30"/>
  <c r="C1192" i="30"/>
  <c r="C1193" i="30"/>
  <c r="C1194" i="30"/>
  <c r="C1197" i="30"/>
  <c r="C1198" i="30"/>
  <c r="C1199" i="30"/>
  <c r="C1200" i="30"/>
  <c r="C1201" i="30"/>
  <c r="C1203" i="30"/>
  <c r="C1204" i="30"/>
  <c r="C1205" i="30"/>
  <c r="C1206" i="30"/>
  <c r="C1209" i="30"/>
  <c r="C1210" i="30"/>
  <c r="C1211" i="30"/>
  <c r="C1212" i="30"/>
  <c r="C1213" i="30"/>
  <c r="C1214" i="30"/>
  <c r="C1215" i="30"/>
  <c r="C1216" i="30"/>
  <c r="C1217" i="30"/>
  <c r="C1218" i="30"/>
  <c r="C1221" i="30"/>
  <c r="C1222" i="30"/>
  <c r="C1223" i="30"/>
  <c r="C1224" i="30"/>
  <c r="C1225" i="30"/>
  <c r="C1226" i="30"/>
  <c r="C1227" i="30"/>
  <c r="C1228" i="30"/>
  <c r="C1229" i="30"/>
  <c r="C1230" i="30"/>
  <c r="C1232" i="30"/>
  <c r="C1233" i="30"/>
  <c r="C1234" i="30"/>
  <c r="C1235" i="30"/>
  <c r="C1236" i="30"/>
  <c r="C1237" i="30"/>
  <c r="C1238" i="30"/>
  <c r="C1239" i="30"/>
  <c r="C1240" i="30"/>
  <c r="C1241" i="30"/>
  <c r="C1242" i="30"/>
  <c r="C1243" i="30"/>
  <c r="C1244" i="30"/>
  <c r="C1245" i="30"/>
  <c r="C1246" i="30"/>
  <c r="C1247" i="30"/>
  <c r="C1248" i="30"/>
  <c r="C1249" i="30"/>
  <c r="C1250" i="30"/>
  <c r="C1251" i="30"/>
  <c r="C1252" i="30"/>
  <c r="C1253" i="30"/>
  <c r="C1254" i="30"/>
  <c r="C1255" i="30"/>
  <c r="C1256" i="30"/>
  <c r="C1257" i="30"/>
  <c r="C1258" i="30"/>
  <c r="C1259" i="30"/>
  <c r="C1260" i="30"/>
  <c r="C1261" i="30"/>
  <c r="C1262" i="30"/>
  <c r="C1263" i="30"/>
  <c r="C1264" i="30"/>
  <c r="C1265" i="30"/>
  <c r="C1266" i="30"/>
  <c r="C1267" i="30"/>
  <c r="C1268" i="30"/>
  <c r="C1269" i="30"/>
  <c r="C1270" i="30"/>
  <c r="C1271" i="30"/>
  <c r="C1272" i="30"/>
  <c r="C1273" i="30"/>
  <c r="C1274" i="30"/>
  <c r="C1275" i="30"/>
  <c r="C1276" i="30"/>
  <c r="C1277" i="30"/>
  <c r="C1278" i="30"/>
  <c r="C1279" i="30"/>
  <c r="C1280" i="30"/>
  <c r="C1281" i="30"/>
  <c r="C1282" i="30"/>
  <c r="C1283" i="30"/>
  <c r="C1284" i="30"/>
  <c r="C1285" i="30"/>
  <c r="C1286" i="30"/>
  <c r="C1287" i="30"/>
  <c r="C1288" i="30"/>
  <c r="C1289" i="30"/>
  <c r="C1290" i="30"/>
  <c r="C1291" i="30"/>
  <c r="C1292" i="30"/>
  <c r="C1293" i="30"/>
  <c r="C1294" i="30"/>
  <c r="C1295" i="30"/>
  <c r="C1296" i="30"/>
  <c r="C1297" i="30"/>
  <c r="C1298" i="30"/>
  <c r="C1299" i="30"/>
  <c r="C1300" i="30"/>
  <c r="C1301" i="30"/>
  <c r="C1302" i="30"/>
  <c r="C1303" i="30"/>
  <c r="C1304" i="30"/>
  <c r="C1305" i="30"/>
  <c r="C1306" i="30"/>
  <c r="C1307" i="30"/>
  <c r="C1308" i="30"/>
  <c r="C1309" i="30"/>
  <c r="C1310" i="30"/>
  <c r="C1311" i="30"/>
  <c r="C1312" i="30"/>
  <c r="C1313" i="30"/>
  <c r="C1314" i="30"/>
  <c r="C1315" i="30"/>
  <c r="C1316" i="30"/>
  <c r="C1317" i="30"/>
  <c r="C1318" i="30"/>
  <c r="C1319" i="30"/>
  <c r="C1320" i="30"/>
  <c r="C1321" i="30"/>
  <c r="C1322" i="30"/>
  <c r="C1323" i="30"/>
  <c r="C1324" i="30"/>
  <c r="C1325" i="30"/>
  <c r="C1326" i="30"/>
  <c r="C1327" i="30"/>
  <c r="C1328" i="30"/>
  <c r="C1329" i="30"/>
  <c r="C1330" i="30"/>
  <c r="C1331" i="30"/>
  <c r="C1332" i="30"/>
  <c r="C1333" i="30"/>
  <c r="C1334" i="30"/>
  <c r="C1335" i="30"/>
  <c r="C1336" i="30"/>
  <c r="C1337" i="30"/>
  <c r="C1338" i="30"/>
  <c r="C1339" i="30"/>
  <c r="C1340" i="30"/>
  <c r="C1341" i="30"/>
  <c r="C1342" i="30"/>
  <c r="C1343" i="30"/>
  <c r="C1344" i="30"/>
  <c r="C1345" i="30"/>
  <c r="C1346" i="30"/>
  <c r="C1347" i="30"/>
  <c r="C1348" i="30"/>
  <c r="C1349" i="30"/>
  <c r="C1350" i="30"/>
  <c r="C1351" i="30"/>
  <c r="C1352" i="30"/>
  <c r="C1353" i="30"/>
  <c r="C1354" i="30"/>
  <c r="C1355" i="30"/>
  <c r="C1356" i="30"/>
  <c r="C1357" i="30"/>
  <c r="C1358" i="30"/>
  <c r="C1359" i="30"/>
  <c r="C1360" i="30"/>
  <c r="C1361" i="30"/>
  <c r="C1362" i="30"/>
  <c r="C1363" i="30"/>
  <c r="C1364" i="30"/>
  <c r="C1365" i="30"/>
  <c r="C1366" i="30"/>
  <c r="C1367" i="30"/>
  <c r="C1368" i="30"/>
  <c r="C1369" i="30"/>
  <c r="C1370" i="30"/>
  <c r="C1371" i="30"/>
  <c r="C1372" i="30"/>
  <c r="C1373" i="30"/>
  <c r="C1374" i="30"/>
  <c r="C1375" i="30"/>
  <c r="C1376" i="30"/>
  <c r="C1377" i="30"/>
  <c r="C1378" i="30"/>
  <c r="C1379" i="30"/>
  <c r="C1380" i="30"/>
  <c r="C1381" i="30"/>
  <c r="C1382" i="30"/>
  <c r="C1383" i="30"/>
  <c r="C1384" i="30"/>
  <c r="C1385" i="30"/>
  <c r="C1386" i="30"/>
  <c r="C1387" i="30"/>
  <c r="C1388" i="30"/>
  <c r="C1389" i="30"/>
  <c r="C1390" i="30"/>
  <c r="C1391" i="30"/>
  <c r="C1392" i="30"/>
  <c r="C1393" i="30"/>
  <c r="C1394" i="30"/>
  <c r="C1395" i="30"/>
  <c r="C1396" i="30"/>
  <c r="C1397" i="30"/>
  <c r="C1398" i="30"/>
  <c r="C1399" i="30"/>
  <c r="C1400" i="30"/>
  <c r="C1401" i="30"/>
  <c r="C1402" i="30"/>
  <c r="C1403" i="30"/>
  <c r="C1404" i="30"/>
  <c r="C1405" i="30"/>
  <c r="C1406" i="30"/>
  <c r="C1407" i="30"/>
  <c r="C1408" i="30"/>
  <c r="C1409" i="30"/>
  <c r="C1410" i="30"/>
  <c r="C1411" i="30"/>
  <c r="C1412" i="30"/>
  <c r="C1413" i="30"/>
  <c r="C1414" i="30"/>
  <c r="C1415" i="30"/>
  <c r="C1416" i="30"/>
  <c r="C1417" i="30"/>
  <c r="C1418" i="30"/>
  <c r="C1419" i="30"/>
  <c r="C1420" i="30"/>
  <c r="C1421" i="30"/>
  <c r="C1422" i="30"/>
  <c r="C1423" i="30"/>
  <c r="C1424" i="30"/>
  <c r="C1425" i="30"/>
  <c r="C1426" i="30"/>
  <c r="C1427" i="30"/>
  <c r="C1428" i="30"/>
  <c r="C1429" i="30"/>
  <c r="C1430" i="30"/>
  <c r="C1431" i="30"/>
  <c r="C1432" i="30"/>
  <c r="C1433" i="30"/>
  <c r="C1434" i="30"/>
  <c r="C1435" i="30"/>
  <c r="C1436" i="30"/>
  <c r="C1437" i="30"/>
  <c r="C1438" i="30"/>
  <c r="C1439" i="30"/>
  <c r="C1440" i="30"/>
  <c r="C1441" i="30"/>
  <c r="C1442" i="30"/>
  <c r="C1443" i="30"/>
  <c r="C1444" i="30"/>
  <c r="C1445" i="30"/>
  <c r="C1446" i="30"/>
  <c r="C1447" i="30"/>
  <c r="C1448" i="30"/>
  <c r="C1449" i="30"/>
  <c r="C1450" i="30"/>
  <c r="C1451" i="30"/>
  <c r="C1452" i="30"/>
  <c r="C1453" i="30"/>
  <c r="C1454" i="30"/>
  <c r="C1455" i="30"/>
  <c r="C1456" i="30"/>
  <c r="C1457" i="30"/>
  <c r="C1458" i="30"/>
  <c r="C1459" i="30"/>
  <c r="C1460" i="30"/>
  <c r="C1461" i="30"/>
  <c r="C1462" i="30"/>
  <c r="C1463" i="30"/>
  <c r="C1464" i="30"/>
  <c r="C1465" i="30"/>
  <c r="C1466" i="30"/>
  <c r="C1467" i="30"/>
  <c r="C1468" i="30"/>
  <c r="C1469" i="30"/>
  <c r="C1470" i="30"/>
  <c r="C1471" i="30"/>
  <c r="C1472" i="30"/>
  <c r="C1473" i="30"/>
  <c r="C1474" i="30"/>
  <c r="C1475" i="30"/>
  <c r="C1476" i="30"/>
  <c r="C1477" i="30"/>
  <c r="C1478" i="30"/>
  <c r="C1479" i="30"/>
  <c r="C1480" i="30"/>
  <c r="C1481" i="30"/>
  <c r="C1482" i="30"/>
  <c r="C1483" i="30"/>
  <c r="C1484" i="30"/>
  <c r="C1485" i="30"/>
  <c r="C1486" i="30"/>
  <c r="C1487" i="30"/>
  <c r="C1488" i="30"/>
  <c r="C1489" i="30"/>
  <c r="C1490" i="30"/>
  <c r="C1491" i="30"/>
  <c r="C1492" i="30"/>
  <c r="C1493" i="30"/>
  <c r="C1494" i="30"/>
  <c r="C1495" i="30"/>
  <c r="C1496" i="30"/>
  <c r="C1497" i="30"/>
  <c r="C1498" i="30"/>
  <c r="C1499" i="30"/>
  <c r="C1500" i="30"/>
  <c r="C1501" i="30"/>
  <c r="C1502" i="30"/>
  <c r="C1503" i="30"/>
  <c r="C1504" i="30"/>
  <c r="C1505" i="30"/>
  <c r="C1506" i="30"/>
  <c r="C1507" i="30"/>
  <c r="C1508" i="30"/>
  <c r="C1509" i="30"/>
  <c r="C1510" i="30"/>
  <c r="C1511" i="30"/>
  <c r="C1512" i="30"/>
  <c r="C1513" i="30"/>
  <c r="C1514" i="30"/>
  <c r="C1515" i="30"/>
  <c r="C1516" i="30"/>
  <c r="C1517" i="30"/>
  <c r="C1518" i="30"/>
  <c r="C1519" i="30"/>
  <c r="C1520" i="30"/>
  <c r="C1521" i="30"/>
  <c r="C1522" i="30"/>
  <c r="C1523" i="30"/>
  <c r="C1524" i="30"/>
  <c r="C1525" i="30"/>
  <c r="C1526" i="30"/>
  <c r="C1527" i="30"/>
  <c r="C1528" i="30"/>
  <c r="C1529" i="30"/>
  <c r="C1530" i="30"/>
  <c r="C1531" i="30"/>
  <c r="C1532" i="30"/>
  <c r="C1533" i="30"/>
  <c r="C1534" i="30"/>
  <c r="C1535" i="30"/>
  <c r="C1536" i="30"/>
  <c r="C1537" i="30"/>
  <c r="C1538" i="30"/>
  <c r="C1539" i="30"/>
  <c r="C1540" i="30"/>
  <c r="C1541" i="30"/>
  <c r="C1542" i="30"/>
  <c r="C1543" i="30"/>
  <c r="C1544" i="30"/>
  <c r="C1545" i="30"/>
  <c r="C1546" i="30"/>
  <c r="C1547" i="30"/>
  <c r="C1548" i="30"/>
  <c r="C1549" i="30"/>
  <c r="C1550" i="30"/>
  <c r="C1551" i="30"/>
  <c r="C1552" i="30"/>
  <c r="C1553" i="30"/>
  <c r="C1554" i="30"/>
  <c r="C1555" i="30"/>
  <c r="C1556" i="30"/>
  <c r="C1557" i="30"/>
  <c r="C1558" i="30"/>
  <c r="C1559" i="30"/>
  <c r="C1560" i="30"/>
  <c r="C1561" i="30"/>
  <c r="C1562" i="30"/>
  <c r="C1563" i="30"/>
  <c r="C1564" i="30"/>
  <c r="C1565" i="30"/>
  <c r="C1566" i="30"/>
  <c r="C1567" i="30"/>
  <c r="C1568" i="30"/>
  <c r="C1569" i="30"/>
  <c r="C1570" i="30"/>
  <c r="C1571" i="30"/>
  <c r="C1572" i="30"/>
  <c r="C1573" i="30"/>
  <c r="C1574" i="30"/>
  <c r="C1575" i="30"/>
  <c r="C1576" i="30"/>
  <c r="C1577" i="30"/>
  <c r="C1578" i="30"/>
  <c r="C1579" i="30"/>
  <c r="C1580" i="30"/>
  <c r="C1581" i="30"/>
  <c r="C1582" i="30"/>
  <c r="C1583" i="30"/>
  <c r="C1584" i="30"/>
  <c r="C1585" i="30"/>
  <c r="C1586" i="30"/>
  <c r="C1587" i="30"/>
  <c r="C1588" i="30"/>
  <c r="C1589" i="30"/>
  <c r="C1590" i="30"/>
  <c r="C1591" i="30"/>
  <c r="C1592" i="30"/>
  <c r="C1593" i="30"/>
  <c r="C1594" i="30"/>
  <c r="C1595" i="30"/>
  <c r="C1596" i="30"/>
  <c r="C1597" i="30"/>
  <c r="C1598" i="30"/>
  <c r="C1599" i="30"/>
  <c r="C1600" i="30"/>
  <c r="C1601" i="30"/>
  <c r="C1602" i="30"/>
  <c r="C1603" i="30"/>
  <c r="C1604" i="30"/>
  <c r="C1605" i="30"/>
  <c r="C1606" i="30"/>
  <c r="C1607" i="30"/>
  <c r="C1608" i="30"/>
  <c r="C1609" i="30"/>
  <c r="C1610" i="30"/>
  <c r="C1611" i="30"/>
  <c r="C1612" i="30"/>
  <c r="C1613" i="30"/>
  <c r="C1614" i="30"/>
  <c r="C1615" i="30"/>
  <c r="C1616" i="30"/>
  <c r="C1617" i="30"/>
  <c r="C1618" i="30"/>
  <c r="C1619" i="30"/>
  <c r="C1620" i="30"/>
  <c r="C1621" i="30"/>
  <c r="C1622" i="30"/>
  <c r="C1623" i="30"/>
  <c r="C1624" i="30"/>
  <c r="C1625" i="30"/>
  <c r="C1626" i="30"/>
  <c r="C1627" i="30"/>
  <c r="C1628" i="30"/>
  <c r="C1629" i="30"/>
  <c r="C1630" i="30"/>
  <c r="C1631" i="30"/>
  <c r="C1632" i="30"/>
  <c r="C1633" i="30"/>
  <c r="C1634" i="30"/>
  <c r="C1635" i="30"/>
  <c r="C1636" i="30"/>
  <c r="C1637" i="30"/>
  <c r="C1638" i="30"/>
  <c r="C1639" i="30"/>
  <c r="C1640" i="30"/>
  <c r="C1641" i="30"/>
  <c r="C1642" i="30"/>
  <c r="C1643" i="30"/>
  <c r="C1644" i="30"/>
  <c r="C1645" i="30"/>
  <c r="C1646" i="30"/>
  <c r="C1647" i="30"/>
  <c r="C1648" i="30"/>
  <c r="C1649" i="30"/>
  <c r="C1650" i="30"/>
  <c r="C1651" i="30"/>
  <c r="C1652" i="30"/>
  <c r="C1653" i="30"/>
  <c r="C1654" i="30"/>
  <c r="C1655" i="30"/>
  <c r="C1656" i="30"/>
  <c r="C1657" i="30"/>
  <c r="C1658" i="30"/>
  <c r="C1659" i="30"/>
  <c r="C1660" i="30"/>
  <c r="C1661" i="30"/>
  <c r="C1662" i="30"/>
  <c r="C1663" i="30"/>
  <c r="C1664" i="30"/>
  <c r="C1665" i="30"/>
  <c r="C1666" i="30"/>
  <c r="C1667" i="30"/>
  <c r="C1668" i="30"/>
  <c r="C1669" i="30"/>
  <c r="C1670" i="30"/>
  <c r="C1671" i="30"/>
  <c r="C1672" i="30"/>
  <c r="C1673" i="30"/>
  <c r="C1674" i="30"/>
  <c r="C1675" i="30"/>
  <c r="C1676" i="30"/>
  <c r="C1677" i="30"/>
  <c r="C1678" i="30"/>
  <c r="C1679" i="30"/>
  <c r="C1680" i="30"/>
  <c r="C1681" i="30"/>
  <c r="C1682" i="30"/>
  <c r="C1683" i="30"/>
  <c r="C1684" i="30"/>
  <c r="C1685" i="30"/>
  <c r="C1686" i="30"/>
  <c r="C1687" i="30"/>
  <c r="C1688" i="30"/>
  <c r="C1689" i="30"/>
  <c r="C1690" i="30"/>
  <c r="C1691" i="30"/>
  <c r="C1692" i="30"/>
  <c r="C1693" i="30"/>
  <c r="C1694" i="30"/>
  <c r="C1695" i="30"/>
  <c r="C1696" i="30"/>
  <c r="C1697" i="30"/>
  <c r="C1698" i="30"/>
  <c r="C1699" i="30"/>
  <c r="C1700" i="30"/>
  <c r="C1701" i="30"/>
  <c r="C1702" i="30"/>
  <c r="C1703" i="30"/>
  <c r="C1704" i="30"/>
  <c r="C1705" i="30"/>
  <c r="C1706" i="30"/>
  <c r="C1707" i="30"/>
  <c r="C1708" i="30"/>
  <c r="C1709" i="30"/>
  <c r="C1710" i="30"/>
  <c r="C1711" i="30"/>
  <c r="C1712" i="30"/>
  <c r="C1713" i="30"/>
  <c r="C1714" i="30"/>
  <c r="C1715" i="30"/>
  <c r="C1716" i="30"/>
  <c r="C1717" i="30"/>
  <c r="C1718" i="30"/>
  <c r="C1719" i="30"/>
  <c r="C1720" i="30"/>
  <c r="C1721" i="30"/>
  <c r="C1722" i="30"/>
  <c r="C1723" i="30"/>
  <c r="C1724" i="30"/>
  <c r="C1725" i="30"/>
  <c r="C1726" i="30"/>
  <c r="C1727" i="30"/>
  <c r="C1728" i="30"/>
  <c r="C1729" i="30"/>
  <c r="C1730" i="30"/>
  <c r="C1731" i="30"/>
  <c r="C1732" i="30"/>
  <c r="C1733" i="30"/>
  <c r="C1734" i="30"/>
  <c r="C1735" i="30"/>
  <c r="C1736" i="30"/>
  <c r="C1737" i="30"/>
  <c r="C1738" i="30"/>
  <c r="C1739" i="30"/>
  <c r="C1740" i="30"/>
  <c r="C1741" i="30"/>
  <c r="C1742" i="30"/>
  <c r="C1743" i="30"/>
  <c r="C1744" i="30"/>
  <c r="C1745" i="30"/>
  <c r="C1746" i="30"/>
  <c r="C1747" i="30"/>
  <c r="C1748" i="30"/>
  <c r="C1749" i="30"/>
  <c r="C1750" i="30"/>
  <c r="C1751" i="30"/>
  <c r="C1752" i="30"/>
  <c r="C1753" i="30"/>
  <c r="C1754" i="30"/>
  <c r="C1755" i="30"/>
  <c r="C1756" i="30"/>
  <c r="C1757" i="30"/>
  <c r="C1758" i="30"/>
  <c r="C1759" i="30"/>
  <c r="C1760" i="30"/>
  <c r="C1761" i="30"/>
  <c r="C1762" i="30"/>
  <c r="C1763" i="30"/>
  <c r="C1764" i="30"/>
  <c r="C1765" i="30"/>
  <c r="C1766" i="30"/>
  <c r="C1767" i="30"/>
  <c r="C1768" i="30"/>
  <c r="C1769" i="30"/>
  <c r="C1770" i="30"/>
  <c r="C1771" i="30"/>
  <c r="C1772" i="30"/>
  <c r="C1773" i="30"/>
  <c r="C1774" i="30"/>
  <c r="C1775" i="30"/>
  <c r="C1776" i="30"/>
  <c r="C1777" i="30"/>
  <c r="C1778" i="30"/>
  <c r="C1779" i="30"/>
  <c r="C1780" i="30"/>
  <c r="C1781" i="30"/>
  <c r="C1782" i="30"/>
  <c r="C1783" i="30"/>
  <c r="C1784" i="30"/>
  <c r="C1785" i="30"/>
  <c r="C1786" i="30"/>
  <c r="C1787" i="30"/>
  <c r="C1788" i="30"/>
  <c r="C1789" i="30"/>
  <c r="C1790" i="30"/>
  <c r="C1791" i="30"/>
  <c r="C1792" i="30"/>
  <c r="C1793" i="30"/>
  <c r="C1794" i="30"/>
  <c r="C1795" i="30"/>
  <c r="C1796" i="30"/>
  <c r="C1797" i="30"/>
  <c r="C1798" i="30"/>
  <c r="C1799" i="30"/>
  <c r="C1800" i="30"/>
  <c r="C1801" i="30"/>
  <c r="C1802" i="30"/>
  <c r="C1803" i="30"/>
  <c r="C1804" i="30"/>
  <c r="C1805" i="30"/>
  <c r="C1806" i="30"/>
  <c r="C1807" i="30"/>
  <c r="C1808" i="30"/>
  <c r="C1809" i="30"/>
  <c r="C1810" i="30"/>
  <c r="C1811" i="30"/>
  <c r="C1812" i="30"/>
  <c r="C1813" i="30"/>
  <c r="C1814" i="30"/>
  <c r="C1815" i="30"/>
  <c r="C1816" i="30"/>
  <c r="C1817" i="30"/>
  <c r="C1818" i="30"/>
  <c r="C1819" i="30"/>
  <c r="C1820" i="30"/>
  <c r="C1821" i="30"/>
  <c r="C1822" i="30"/>
  <c r="C1823" i="30"/>
  <c r="C1824" i="30"/>
  <c r="C1825" i="30"/>
  <c r="C1826" i="30"/>
  <c r="C1827" i="30"/>
  <c r="C1828" i="30"/>
  <c r="C1829" i="30"/>
  <c r="C1830" i="30"/>
  <c r="C1831" i="30"/>
  <c r="C1832" i="30"/>
  <c r="C1833" i="30"/>
  <c r="C1834" i="30"/>
  <c r="C1835" i="30"/>
  <c r="C1836" i="30"/>
  <c r="C1837" i="30"/>
  <c r="C1838" i="30"/>
  <c r="C1839" i="30"/>
  <c r="C1840" i="30"/>
  <c r="C1841" i="30"/>
  <c r="C1842" i="30"/>
  <c r="C1843" i="30"/>
  <c r="C1844" i="30"/>
  <c r="C1845" i="30"/>
  <c r="C1846" i="30"/>
  <c r="C1847" i="30"/>
  <c r="C1848" i="30"/>
  <c r="C1849" i="30"/>
  <c r="C1850" i="30"/>
  <c r="C1851" i="30"/>
  <c r="C1852" i="30"/>
  <c r="C1853" i="30"/>
  <c r="C1854" i="30"/>
  <c r="C1855" i="30"/>
  <c r="C1856" i="30"/>
  <c r="C1857" i="30"/>
  <c r="C1858" i="30"/>
  <c r="C1859" i="30"/>
  <c r="C1860" i="30"/>
  <c r="C1861" i="30"/>
  <c r="C1862" i="30"/>
  <c r="C1863" i="30"/>
  <c r="C1864" i="30"/>
  <c r="C1865" i="30"/>
  <c r="C1866" i="30"/>
  <c r="C1867" i="30"/>
  <c r="C1868" i="30"/>
  <c r="C1869" i="30"/>
  <c r="C1870" i="30"/>
  <c r="C1871" i="30"/>
  <c r="C1872" i="30"/>
  <c r="C1873" i="30"/>
  <c r="C1874" i="30"/>
  <c r="C1875" i="30"/>
  <c r="C1876" i="30"/>
  <c r="C1877" i="30"/>
  <c r="C1878" i="30"/>
  <c r="C1879" i="30"/>
  <c r="C1880" i="30"/>
  <c r="C1881" i="30"/>
  <c r="C1882" i="30"/>
  <c r="C1883" i="30"/>
  <c r="C1884" i="30"/>
  <c r="C1885" i="30"/>
  <c r="C1886" i="30"/>
  <c r="C1887" i="30"/>
  <c r="C1888" i="30"/>
  <c r="C1889" i="30"/>
  <c r="C1890" i="30"/>
  <c r="C1891" i="30"/>
  <c r="C1892" i="30"/>
  <c r="C1893" i="30"/>
  <c r="C1894" i="30"/>
  <c r="C1895" i="30"/>
  <c r="C1896" i="30"/>
  <c r="C1897" i="30"/>
  <c r="C1898" i="30"/>
  <c r="C1899" i="30"/>
  <c r="C1900" i="30"/>
  <c r="C1901" i="30"/>
  <c r="C1902" i="30"/>
  <c r="C1903" i="30"/>
  <c r="C1904" i="30"/>
  <c r="C1905" i="30"/>
  <c r="C1906" i="30"/>
  <c r="C1907" i="30"/>
  <c r="C1908" i="30"/>
  <c r="C1909" i="30"/>
  <c r="C1910" i="30"/>
  <c r="C1911" i="30"/>
  <c r="C1912" i="30"/>
  <c r="C1913" i="30"/>
  <c r="C1914" i="30"/>
  <c r="C1915" i="30"/>
  <c r="C1916" i="30"/>
  <c r="C1917" i="30"/>
  <c r="C1918" i="30"/>
  <c r="C1919" i="30"/>
  <c r="C1920" i="30"/>
  <c r="C1921" i="30"/>
  <c r="C1922" i="30"/>
  <c r="C1923" i="30"/>
  <c r="C1924" i="30"/>
  <c r="C1925" i="30"/>
  <c r="C1926" i="30"/>
  <c r="C1927" i="30"/>
  <c r="C1928" i="30"/>
  <c r="C1929" i="30"/>
  <c r="C1930" i="30"/>
  <c r="C1931" i="30"/>
  <c r="C1932" i="30"/>
  <c r="C1933" i="30"/>
  <c r="C1934" i="30"/>
  <c r="C1935" i="30"/>
  <c r="C1936" i="30"/>
  <c r="C1937" i="30"/>
  <c r="C1938" i="30"/>
  <c r="C1939" i="30"/>
  <c r="C1940" i="30"/>
  <c r="C1941" i="30"/>
  <c r="C1942" i="30"/>
  <c r="C1943" i="30"/>
  <c r="C1944" i="30"/>
  <c r="C1945" i="30"/>
  <c r="C1946" i="30"/>
  <c r="C1947" i="30"/>
  <c r="C1948" i="30"/>
  <c r="C1949" i="30"/>
  <c r="C1950" i="30"/>
  <c r="C1951" i="30"/>
  <c r="C1952" i="30"/>
  <c r="C1953" i="30"/>
  <c r="C1954" i="30"/>
  <c r="C1955" i="30"/>
  <c r="C1956" i="30"/>
  <c r="C1957" i="30"/>
  <c r="C1958" i="30"/>
  <c r="C1959" i="30"/>
  <c r="C1960" i="30"/>
  <c r="C1961" i="30"/>
  <c r="C1962" i="30"/>
  <c r="C1963" i="30"/>
  <c r="C1964" i="30"/>
  <c r="C1965" i="30"/>
  <c r="C1966" i="30"/>
  <c r="C1967" i="30"/>
  <c r="C1968" i="30"/>
  <c r="C1969" i="30"/>
  <c r="C1970" i="30"/>
  <c r="C1971" i="30"/>
  <c r="C1972" i="30"/>
  <c r="C1973" i="30"/>
  <c r="C1974" i="30"/>
  <c r="C1975" i="30"/>
  <c r="C1976" i="30"/>
  <c r="C1977" i="30"/>
  <c r="C1978" i="30"/>
  <c r="C1979" i="30"/>
  <c r="C1980" i="30"/>
  <c r="C1981" i="30"/>
  <c r="C1982" i="30"/>
  <c r="C1983" i="30"/>
  <c r="C1984" i="30"/>
  <c r="C1985" i="30"/>
  <c r="C1986" i="30"/>
  <c r="C1987" i="30"/>
  <c r="C1988" i="30"/>
  <c r="C1989" i="30"/>
  <c r="C1990" i="30"/>
  <c r="C1991" i="30"/>
  <c r="C1992" i="30"/>
  <c r="C1993" i="30"/>
  <c r="C1994" i="30"/>
  <c r="C1995" i="30"/>
  <c r="C1996" i="30"/>
  <c r="C1997" i="30"/>
  <c r="C1998" i="30"/>
  <c r="C1999" i="30"/>
  <c r="C2000" i="30"/>
  <c r="C2001" i="30"/>
  <c r="C2002" i="30"/>
  <c r="C2003" i="30"/>
  <c r="C2004" i="30"/>
  <c r="C2005" i="30"/>
  <c r="C2006" i="30"/>
  <c r="C2007" i="30"/>
  <c r="C2008" i="30"/>
  <c r="C2009" i="30"/>
  <c r="C2010" i="30"/>
  <c r="C2011" i="30"/>
  <c r="C2012" i="30"/>
  <c r="C2013" i="30"/>
  <c r="C2014" i="30"/>
  <c r="C2015" i="30"/>
  <c r="C2016" i="30"/>
  <c r="C2017" i="30"/>
  <c r="C2018" i="30"/>
  <c r="C2019" i="30"/>
  <c r="C2020" i="30"/>
  <c r="C2021" i="30"/>
  <c r="C2022" i="30"/>
  <c r="C2023" i="30"/>
  <c r="C2024" i="30"/>
  <c r="C2025" i="30"/>
  <c r="C2026" i="30"/>
  <c r="C2027" i="30"/>
  <c r="C2028" i="30"/>
  <c r="C2029" i="30"/>
  <c r="C2030" i="30"/>
  <c r="C2031" i="30"/>
  <c r="C2032" i="30"/>
  <c r="C2033" i="30"/>
  <c r="C2034" i="30"/>
  <c r="C2035" i="30"/>
  <c r="C2036" i="30"/>
  <c r="C2037" i="30"/>
  <c r="C2038" i="30"/>
  <c r="C2039" i="30"/>
  <c r="C2040" i="30"/>
  <c r="C2041" i="30"/>
  <c r="C2042" i="30"/>
  <c r="C2043" i="30"/>
  <c r="C2044" i="30"/>
  <c r="C2045" i="30"/>
  <c r="C2046" i="30"/>
  <c r="C2047" i="30"/>
  <c r="C2048" i="30"/>
  <c r="C2049" i="30"/>
  <c r="C2050" i="30"/>
  <c r="C2051" i="30"/>
  <c r="C2052" i="30"/>
  <c r="C2053" i="30"/>
  <c r="C2054" i="30"/>
  <c r="C2055" i="30"/>
  <c r="C2056" i="30"/>
  <c r="C2057" i="30"/>
  <c r="C2058" i="30"/>
  <c r="C2059" i="30"/>
  <c r="C2060" i="30"/>
  <c r="C2061" i="30"/>
  <c r="C2062" i="30"/>
  <c r="C2063" i="30"/>
  <c r="C2064" i="30"/>
  <c r="C2065" i="30"/>
  <c r="C2066" i="30"/>
  <c r="C2067" i="30"/>
  <c r="C2068" i="30"/>
  <c r="C2069" i="30"/>
  <c r="C2070" i="30"/>
  <c r="C2071" i="30"/>
  <c r="C2072" i="30"/>
  <c r="C2073" i="30"/>
  <c r="C2074" i="30"/>
  <c r="C2075" i="30"/>
  <c r="C2076" i="30"/>
  <c r="C2077" i="30"/>
  <c r="C2078" i="30"/>
  <c r="C2079" i="30"/>
  <c r="C2080" i="30"/>
  <c r="C2081" i="30"/>
  <c r="C2082" i="30"/>
  <c r="C2083" i="30"/>
  <c r="C2084" i="30"/>
  <c r="C2085" i="30"/>
  <c r="C2086" i="30"/>
  <c r="C2087" i="30"/>
  <c r="C2088" i="30"/>
  <c r="C2089" i="30"/>
  <c r="C2090" i="30"/>
  <c r="C2091" i="30"/>
  <c r="C2092" i="30"/>
  <c r="C2093" i="30"/>
  <c r="C2094" i="30"/>
  <c r="C2095" i="30"/>
  <c r="C2096" i="30"/>
  <c r="C2097" i="30"/>
  <c r="C2098" i="30"/>
  <c r="C2099" i="30"/>
  <c r="C2100" i="30"/>
  <c r="C2101" i="30"/>
  <c r="C2102" i="30"/>
  <c r="C2103" i="30"/>
  <c r="C2104" i="30"/>
  <c r="C2105" i="30"/>
  <c r="C2106" i="30"/>
  <c r="C2107" i="30"/>
  <c r="C2108" i="30"/>
  <c r="C2109" i="30"/>
  <c r="C2110" i="30"/>
  <c r="C2111" i="30"/>
  <c r="C2112" i="30"/>
  <c r="C2113" i="30"/>
  <c r="C2114" i="30"/>
  <c r="C2115" i="30"/>
  <c r="C2116" i="30"/>
  <c r="C2117" i="30"/>
  <c r="C2118" i="30"/>
  <c r="C2119" i="30"/>
  <c r="C2120" i="30"/>
  <c r="C2121" i="30"/>
  <c r="C2122" i="30"/>
  <c r="C2123" i="30"/>
  <c r="C2124" i="30"/>
  <c r="C2125" i="30"/>
  <c r="C2126" i="30"/>
  <c r="C2127" i="30"/>
  <c r="C2128" i="30"/>
  <c r="C2129" i="30"/>
  <c r="C2130" i="30"/>
  <c r="C2131" i="30"/>
  <c r="C2132" i="30"/>
  <c r="C2133" i="30"/>
  <c r="C2134" i="30"/>
  <c r="C2135" i="30"/>
  <c r="C2136" i="30"/>
  <c r="C2137" i="30"/>
  <c r="C2138" i="30"/>
  <c r="C2139" i="30"/>
  <c r="C2140" i="30"/>
  <c r="C2141" i="30"/>
  <c r="C2142" i="30"/>
  <c r="C2143" i="30"/>
  <c r="C2144" i="30"/>
  <c r="C2145" i="30"/>
  <c r="C2146" i="30"/>
  <c r="C2147" i="30"/>
  <c r="C2148" i="30"/>
  <c r="C2149" i="30"/>
  <c r="C2150" i="30"/>
  <c r="C2151" i="30"/>
  <c r="C2152" i="30"/>
  <c r="C2153" i="30"/>
  <c r="C2154" i="30"/>
  <c r="C2155" i="30"/>
  <c r="C2156" i="30"/>
  <c r="C2157" i="30"/>
  <c r="C2158" i="30"/>
  <c r="C2159" i="30"/>
  <c r="C2160" i="30"/>
  <c r="C2161" i="30"/>
  <c r="C2162" i="30"/>
  <c r="C2163" i="30"/>
  <c r="C2164" i="30"/>
  <c r="C2165" i="30"/>
  <c r="C2166" i="30"/>
  <c r="C2167" i="30"/>
  <c r="C2168" i="30"/>
  <c r="C2169" i="30"/>
  <c r="C2170" i="30"/>
  <c r="C2171" i="30"/>
  <c r="C2172" i="30"/>
  <c r="C2173" i="30"/>
  <c r="C2174" i="30"/>
  <c r="C2175" i="30"/>
  <c r="C2176" i="30"/>
  <c r="C2177" i="30"/>
  <c r="C2178" i="30"/>
  <c r="C2179" i="30"/>
  <c r="C2180" i="30"/>
  <c r="C2181" i="30"/>
  <c r="C2182" i="30"/>
  <c r="C2183" i="30"/>
  <c r="C2184" i="30"/>
  <c r="C2185" i="30"/>
  <c r="C2186" i="30"/>
  <c r="C2187" i="30"/>
  <c r="C2188" i="30"/>
  <c r="C2189" i="30"/>
  <c r="C2190" i="30"/>
  <c r="C2191" i="30"/>
  <c r="C2192" i="30"/>
  <c r="C2193" i="30"/>
  <c r="C2194" i="30"/>
  <c r="C2195" i="30"/>
  <c r="C2196" i="30"/>
  <c r="C2197" i="30"/>
  <c r="C2198" i="30"/>
  <c r="C2199" i="30"/>
  <c r="C2200" i="30"/>
  <c r="C2201" i="30"/>
  <c r="C2202" i="30"/>
  <c r="C2203" i="30"/>
  <c r="C2204" i="30"/>
  <c r="C2205" i="30"/>
  <c r="C2206" i="30"/>
  <c r="C2207" i="30"/>
  <c r="C2208" i="30"/>
  <c r="C2209" i="30"/>
  <c r="C2210" i="30"/>
  <c r="C2211" i="30"/>
  <c r="C2212" i="30"/>
  <c r="C2213" i="30"/>
  <c r="C2214" i="30"/>
  <c r="C2215" i="30"/>
  <c r="C2216" i="30"/>
  <c r="C2217" i="30"/>
  <c r="C2218" i="30"/>
  <c r="C2219" i="30"/>
  <c r="C2220" i="30"/>
  <c r="C2221" i="30"/>
  <c r="C2222" i="30"/>
  <c r="C2223" i="30"/>
  <c r="C2224" i="30"/>
  <c r="C2225" i="30"/>
  <c r="C2226" i="30"/>
  <c r="C2227" i="30"/>
  <c r="C2228" i="30"/>
  <c r="C2229" i="30"/>
  <c r="C2230" i="30"/>
  <c r="C2231" i="30"/>
  <c r="C2232" i="30"/>
  <c r="C2233" i="30"/>
  <c r="C2234" i="30"/>
  <c r="C2235" i="30"/>
  <c r="C2236" i="30"/>
  <c r="C2237" i="30"/>
  <c r="C2238" i="30"/>
  <c r="C2239" i="30"/>
  <c r="C2240" i="30"/>
  <c r="C2241" i="30"/>
  <c r="C2242" i="30"/>
  <c r="C2243" i="30"/>
  <c r="C2244" i="30"/>
  <c r="C2245" i="30"/>
  <c r="C2246" i="30"/>
  <c r="C2247" i="30"/>
  <c r="C2248" i="30"/>
  <c r="C2249" i="30"/>
  <c r="C2250" i="30"/>
  <c r="C2251" i="30"/>
  <c r="C2252" i="30"/>
  <c r="C2253" i="30"/>
  <c r="C2254" i="30"/>
  <c r="C2255" i="30"/>
  <c r="C2256" i="30"/>
  <c r="C2257" i="30"/>
  <c r="C2258" i="30"/>
  <c r="C2259" i="30"/>
  <c r="C2260" i="30"/>
  <c r="C2261" i="30"/>
  <c r="C2262" i="30"/>
  <c r="C2263" i="30"/>
  <c r="C2264" i="30"/>
  <c r="C2265" i="30"/>
  <c r="C2266" i="30"/>
  <c r="C2267" i="30"/>
  <c r="C2268" i="30"/>
  <c r="C2269" i="30"/>
  <c r="C2270" i="30"/>
  <c r="C2271" i="30"/>
  <c r="C2272" i="30"/>
  <c r="C2273" i="30"/>
  <c r="C2274" i="30"/>
  <c r="C2275" i="30"/>
  <c r="C2276" i="30"/>
  <c r="C2277" i="30"/>
  <c r="C2278" i="30"/>
  <c r="C2279" i="30"/>
  <c r="C2280" i="30"/>
  <c r="C2281" i="30"/>
  <c r="C2282" i="30"/>
  <c r="C2283" i="30"/>
  <c r="C2284" i="30"/>
  <c r="C2285" i="30"/>
  <c r="C2286" i="30"/>
  <c r="C2287" i="30"/>
  <c r="C2288" i="30"/>
  <c r="C2289" i="30"/>
  <c r="C2290" i="30"/>
  <c r="C2291" i="30"/>
  <c r="C2292" i="30"/>
  <c r="C2293" i="30"/>
  <c r="C2294" i="30"/>
  <c r="C2295" i="30"/>
  <c r="C2296" i="30"/>
  <c r="C2297" i="30"/>
  <c r="C2298" i="30"/>
  <c r="C2299" i="30"/>
  <c r="C2300" i="30"/>
  <c r="C2301" i="30"/>
  <c r="C2302" i="30"/>
  <c r="C2303" i="30"/>
  <c r="C2304" i="30"/>
  <c r="C2305" i="30"/>
  <c r="C2306" i="30"/>
  <c r="C2307" i="30"/>
  <c r="C2308" i="30"/>
  <c r="C2309" i="30"/>
  <c r="C2310" i="30"/>
  <c r="C2311" i="30"/>
  <c r="C2312" i="30"/>
  <c r="C2313" i="30"/>
  <c r="C2314" i="30"/>
  <c r="C2315" i="30"/>
  <c r="C2316" i="30"/>
  <c r="C2317" i="30"/>
  <c r="C2318" i="30"/>
  <c r="C2319" i="30"/>
  <c r="C2320" i="30"/>
  <c r="C2321" i="30"/>
  <c r="C2322" i="30"/>
  <c r="C2323" i="30"/>
  <c r="C2324" i="30"/>
  <c r="C2325" i="30"/>
  <c r="C2326" i="30"/>
  <c r="C2327" i="30"/>
  <c r="C2328" i="30"/>
  <c r="C2329" i="30"/>
  <c r="C2330" i="30"/>
  <c r="C2331" i="30"/>
  <c r="C2332" i="30"/>
  <c r="C2333" i="30"/>
  <c r="C2334" i="30"/>
  <c r="C2335" i="30"/>
  <c r="C2336" i="30"/>
  <c r="C2337" i="30"/>
  <c r="C2338" i="30"/>
  <c r="C2339" i="30"/>
  <c r="C2340" i="30"/>
  <c r="C2341" i="30"/>
  <c r="C2342" i="30"/>
  <c r="C2343" i="30"/>
  <c r="C2344" i="30"/>
  <c r="C2345" i="30"/>
  <c r="C2346" i="30"/>
  <c r="C2347" i="30"/>
  <c r="C2348" i="30"/>
  <c r="C2349" i="30"/>
  <c r="C2350" i="30"/>
  <c r="C2351" i="30"/>
  <c r="C2352" i="30"/>
  <c r="C2353" i="30"/>
  <c r="C2354" i="30"/>
  <c r="C2355" i="30"/>
  <c r="C2356" i="30"/>
  <c r="C2357" i="30"/>
  <c r="C2358" i="30"/>
  <c r="C2359" i="30"/>
  <c r="C2360" i="30"/>
  <c r="C2361" i="30"/>
  <c r="C2362" i="30"/>
  <c r="C2363" i="30"/>
  <c r="C2364" i="30"/>
  <c r="C2365" i="30"/>
  <c r="C2366" i="30"/>
  <c r="C2367" i="30"/>
  <c r="C2368" i="30"/>
  <c r="C2369" i="30"/>
  <c r="C2370" i="30"/>
  <c r="C2371" i="30"/>
  <c r="C2372" i="30"/>
  <c r="C2373" i="30"/>
  <c r="C2374" i="30"/>
  <c r="C2375" i="30"/>
  <c r="C2376" i="30"/>
  <c r="C2377" i="30"/>
  <c r="C2378" i="30"/>
  <c r="C2379" i="30"/>
  <c r="C2380" i="30"/>
  <c r="C2381" i="30"/>
  <c r="C2382" i="30"/>
  <c r="C2383" i="30"/>
  <c r="C2384" i="30"/>
  <c r="C2385" i="30"/>
  <c r="C2386" i="30"/>
  <c r="C2387" i="30"/>
  <c r="C2388" i="30"/>
  <c r="C2389" i="30"/>
  <c r="C2390" i="30"/>
  <c r="C2391" i="30"/>
  <c r="C2392" i="30"/>
  <c r="C2393" i="30"/>
  <c r="C2394" i="30"/>
  <c r="C2395" i="30"/>
  <c r="C2396" i="30"/>
  <c r="C2397" i="30"/>
  <c r="C2398" i="30"/>
  <c r="C2399" i="30"/>
  <c r="C2400" i="30"/>
  <c r="C2401" i="30"/>
  <c r="C2402" i="30"/>
  <c r="C2403" i="30"/>
  <c r="C2404" i="30"/>
  <c r="C2405" i="30"/>
  <c r="C2406" i="30"/>
  <c r="C2407" i="30"/>
  <c r="C2408" i="30"/>
  <c r="C2409" i="30"/>
  <c r="C2410" i="30"/>
  <c r="C2411" i="30"/>
  <c r="C2412" i="30"/>
  <c r="C2413" i="30"/>
  <c r="C2414" i="30"/>
  <c r="C2415" i="30"/>
  <c r="C2416" i="30"/>
  <c r="C2417" i="30"/>
  <c r="C2418" i="30"/>
  <c r="C2419" i="30"/>
  <c r="C2420" i="30"/>
  <c r="C2421" i="30"/>
  <c r="C2422" i="30"/>
  <c r="C2423" i="30"/>
  <c r="C2424" i="30"/>
  <c r="C2425" i="30"/>
  <c r="C2426" i="30"/>
  <c r="C2427" i="30"/>
  <c r="C2428" i="30"/>
  <c r="C2429" i="30"/>
  <c r="C2430" i="30"/>
  <c r="C2431" i="30"/>
  <c r="C2432" i="30"/>
  <c r="C2433" i="30"/>
  <c r="C2434" i="30"/>
  <c r="C2435" i="30"/>
  <c r="C2436" i="30"/>
  <c r="C2437" i="30"/>
  <c r="C2438" i="30"/>
  <c r="C2439" i="30"/>
  <c r="C2440" i="30"/>
  <c r="C2441" i="30"/>
  <c r="C2442" i="30"/>
  <c r="C2443" i="30"/>
  <c r="C2444" i="30"/>
  <c r="C2445" i="30"/>
  <c r="C2446" i="30"/>
  <c r="C2447" i="30"/>
  <c r="C2448" i="30"/>
  <c r="C2449" i="30"/>
  <c r="C2450" i="30"/>
  <c r="C2451" i="30"/>
  <c r="C2452" i="30"/>
  <c r="C2453" i="30"/>
  <c r="C2454" i="30"/>
  <c r="C2455" i="30"/>
  <c r="C2456" i="30"/>
  <c r="C2457" i="30"/>
  <c r="C2458" i="30"/>
  <c r="C2459" i="30"/>
  <c r="C2460" i="30"/>
  <c r="C2461" i="30"/>
  <c r="C2462" i="30"/>
  <c r="C2463" i="30"/>
  <c r="C2464" i="30"/>
  <c r="C2465" i="30"/>
  <c r="C2466" i="30"/>
  <c r="C2467" i="30"/>
  <c r="C2468" i="30"/>
  <c r="C2469" i="30"/>
  <c r="C2470" i="30"/>
  <c r="C2471" i="30"/>
  <c r="C2472" i="30"/>
  <c r="C2473" i="30"/>
  <c r="C2474" i="30"/>
  <c r="C2475" i="30"/>
  <c r="C2476" i="30"/>
  <c r="C2477" i="30"/>
  <c r="C2478" i="30"/>
  <c r="C2479" i="30"/>
  <c r="C2480" i="30"/>
  <c r="C2481" i="30"/>
  <c r="C2482" i="30"/>
  <c r="C2483" i="30"/>
  <c r="C2484" i="30"/>
  <c r="C2485" i="30"/>
  <c r="C2486" i="30"/>
  <c r="C2487" i="30"/>
  <c r="C2488" i="30"/>
  <c r="C2489" i="30"/>
  <c r="C2490" i="30"/>
  <c r="C2491" i="30"/>
  <c r="C2492" i="30"/>
  <c r="C2493" i="30"/>
  <c r="C2494" i="30"/>
  <c r="C2495" i="30"/>
  <c r="C2496" i="30"/>
  <c r="C2497" i="30"/>
  <c r="C2498" i="30"/>
  <c r="C2499" i="30"/>
  <c r="C2500" i="30"/>
  <c r="C2501" i="30"/>
  <c r="C2502" i="30"/>
  <c r="C2503" i="30"/>
  <c r="C2504" i="30"/>
  <c r="C2505" i="30"/>
  <c r="C2506" i="30"/>
  <c r="C2507" i="30"/>
  <c r="C2508" i="30"/>
  <c r="C2509" i="30"/>
  <c r="C2510" i="30"/>
  <c r="C2511" i="30"/>
  <c r="C2512" i="30"/>
  <c r="C2513" i="30"/>
  <c r="C2514" i="30"/>
  <c r="C2515" i="30"/>
  <c r="C2516" i="30"/>
  <c r="C2517" i="30"/>
  <c r="C2518" i="30"/>
  <c r="C2519" i="30"/>
  <c r="C2520" i="30"/>
  <c r="C2521" i="30"/>
  <c r="C2522" i="30"/>
  <c r="C2523" i="30"/>
  <c r="C2524" i="30"/>
  <c r="C2525" i="30"/>
  <c r="C2526" i="30"/>
  <c r="C2527" i="30"/>
  <c r="C2528" i="30"/>
  <c r="C2529" i="30"/>
  <c r="C2530" i="30"/>
  <c r="C2531" i="30"/>
  <c r="C2532" i="30"/>
  <c r="C2533" i="30"/>
  <c r="C2534" i="30"/>
  <c r="C2535" i="30"/>
  <c r="C2536" i="30"/>
  <c r="C2537" i="30"/>
  <c r="C2538" i="30"/>
  <c r="C2539" i="30"/>
  <c r="C2540" i="30"/>
  <c r="C2541" i="30"/>
  <c r="C2542" i="30"/>
  <c r="C2543" i="30"/>
  <c r="C2544" i="30"/>
  <c r="C2545" i="30"/>
  <c r="C2546" i="30"/>
  <c r="C2547" i="30"/>
  <c r="C2548" i="30"/>
  <c r="C2549" i="30"/>
  <c r="C2550" i="30"/>
  <c r="C2551" i="30"/>
  <c r="C2552" i="30"/>
  <c r="C2553" i="30"/>
  <c r="C2554" i="30"/>
  <c r="C2555" i="30"/>
  <c r="C2556" i="30"/>
  <c r="C2557" i="30"/>
  <c r="C2558" i="30"/>
  <c r="C2559" i="30"/>
  <c r="C2560" i="30"/>
  <c r="C2561" i="30"/>
  <c r="C2562" i="30"/>
  <c r="C2563" i="30"/>
  <c r="C2564" i="30"/>
  <c r="C2565" i="30"/>
  <c r="C2566" i="30"/>
  <c r="C2567" i="30"/>
  <c r="C2568" i="30"/>
  <c r="C2569" i="30"/>
  <c r="C2570" i="30"/>
  <c r="C2571" i="30"/>
  <c r="C2572" i="30"/>
  <c r="C2573" i="30"/>
  <c r="C2574" i="30"/>
  <c r="C2575" i="30"/>
  <c r="C2576" i="30"/>
  <c r="C2577" i="30"/>
  <c r="C2578" i="30"/>
  <c r="C2579" i="30"/>
  <c r="C2580" i="30"/>
  <c r="C2581" i="30"/>
  <c r="C2582" i="30"/>
  <c r="C2583" i="30"/>
  <c r="C2584" i="30"/>
  <c r="C2585" i="30"/>
  <c r="C2586" i="30"/>
  <c r="C2587" i="30"/>
  <c r="C2588" i="30"/>
  <c r="C2589" i="30"/>
  <c r="C2590" i="30"/>
  <c r="C2591" i="30"/>
  <c r="C2592" i="30"/>
  <c r="C2593" i="30"/>
  <c r="C2594" i="30"/>
  <c r="C2595" i="30"/>
  <c r="C2596" i="30"/>
  <c r="C2597" i="30"/>
  <c r="C2598" i="30"/>
  <c r="C2599" i="30"/>
  <c r="C2600" i="30"/>
  <c r="C2601" i="30"/>
  <c r="C2602" i="30"/>
  <c r="C2603" i="30"/>
  <c r="C2604" i="30"/>
  <c r="C2605" i="30"/>
  <c r="C2606" i="30"/>
  <c r="C2607" i="30"/>
  <c r="C2608" i="30"/>
  <c r="C2609" i="30"/>
  <c r="C2610" i="30"/>
  <c r="C2611" i="30"/>
  <c r="C2612" i="30"/>
  <c r="C2613" i="30"/>
  <c r="C2614" i="30"/>
  <c r="C2615" i="30"/>
  <c r="C2616" i="30"/>
  <c r="C2617" i="30"/>
  <c r="C2618" i="30"/>
  <c r="C2619" i="30"/>
  <c r="C2620" i="30"/>
  <c r="C2621" i="30"/>
  <c r="C2622" i="30"/>
  <c r="C2623" i="30"/>
  <c r="C2624" i="30"/>
  <c r="C2625" i="30"/>
  <c r="C2626" i="30"/>
  <c r="C2627" i="30"/>
  <c r="C2628" i="30"/>
  <c r="C2629" i="30"/>
  <c r="C2630" i="30"/>
  <c r="C2631" i="30"/>
  <c r="C2632" i="30"/>
  <c r="C2633" i="30"/>
  <c r="C2634" i="30"/>
  <c r="C2635" i="30"/>
  <c r="C2636" i="30"/>
  <c r="C2637" i="30"/>
  <c r="C2638" i="30"/>
  <c r="C2639" i="30"/>
  <c r="C2640" i="30"/>
  <c r="C2641" i="30"/>
  <c r="C2642" i="30"/>
  <c r="C2643" i="30"/>
  <c r="C2644" i="30"/>
  <c r="C2645" i="30"/>
  <c r="C2646" i="30"/>
  <c r="C2647" i="30"/>
  <c r="C2648" i="30"/>
  <c r="C2649" i="30"/>
  <c r="C2650" i="30"/>
  <c r="C2651" i="30"/>
  <c r="C2652" i="30"/>
  <c r="C2653" i="30"/>
  <c r="C2654" i="30"/>
  <c r="C2655" i="30"/>
  <c r="C2656" i="30"/>
  <c r="C2657" i="30"/>
  <c r="C2658" i="30"/>
  <c r="C2659" i="30"/>
  <c r="C2660" i="30"/>
  <c r="C2661" i="30"/>
  <c r="C2662" i="30"/>
  <c r="C2663" i="30"/>
  <c r="C2664" i="30"/>
  <c r="C2665" i="30"/>
  <c r="C2666" i="30"/>
  <c r="C2667" i="30"/>
  <c r="C2668" i="30"/>
  <c r="C2669" i="30"/>
  <c r="C2670" i="30"/>
  <c r="C2671" i="30"/>
  <c r="C2672" i="30"/>
  <c r="C2673" i="30"/>
  <c r="C2674" i="30"/>
  <c r="C2675" i="30"/>
  <c r="C2676" i="30"/>
  <c r="C2677" i="30"/>
  <c r="C2678" i="30"/>
  <c r="C2679" i="30"/>
  <c r="C2680" i="30"/>
  <c r="C2681" i="30"/>
  <c r="C2682" i="30"/>
  <c r="C2683" i="30"/>
  <c r="C2684" i="30"/>
  <c r="C2685" i="30"/>
  <c r="C2686" i="30"/>
  <c r="C2687" i="30"/>
  <c r="C2688" i="30"/>
  <c r="C2689" i="30"/>
  <c r="C2690" i="30"/>
  <c r="C2691" i="30"/>
  <c r="C2692" i="30"/>
  <c r="C2693" i="30"/>
  <c r="C2694" i="30"/>
  <c r="C2695" i="30"/>
  <c r="C2696" i="30"/>
  <c r="C2697" i="30"/>
  <c r="C2698" i="30"/>
  <c r="C2699" i="30"/>
  <c r="C2700" i="30"/>
  <c r="C2701" i="30"/>
  <c r="C2702" i="30"/>
  <c r="C2703" i="30"/>
  <c r="C2704" i="30"/>
  <c r="C2705" i="30"/>
  <c r="C2706" i="30"/>
  <c r="C2707" i="30"/>
  <c r="C2708" i="30"/>
  <c r="C2709" i="30"/>
  <c r="C2710" i="30"/>
  <c r="C2711" i="30"/>
  <c r="C2712" i="30"/>
  <c r="C2713" i="30"/>
  <c r="C2714" i="30"/>
  <c r="C2715" i="30"/>
  <c r="C2716" i="30"/>
  <c r="C2717" i="30"/>
  <c r="C2718" i="30"/>
  <c r="C2719" i="30"/>
  <c r="C2720" i="30"/>
  <c r="C2721" i="30"/>
  <c r="C2722" i="30"/>
  <c r="C2723" i="30"/>
  <c r="C2724" i="30"/>
  <c r="C2725" i="30"/>
  <c r="C2726" i="30"/>
  <c r="C2727" i="30"/>
  <c r="C2728" i="30"/>
  <c r="C2729" i="30"/>
  <c r="C2730" i="30"/>
  <c r="C2731" i="30"/>
  <c r="C2732" i="30"/>
  <c r="C2733" i="30"/>
  <c r="C2734" i="30"/>
  <c r="C2735" i="30"/>
  <c r="C2736" i="30"/>
  <c r="C2737" i="30"/>
  <c r="C2738" i="30"/>
  <c r="C2739" i="30"/>
  <c r="C2740" i="30"/>
  <c r="C2741" i="30"/>
  <c r="C2742" i="30"/>
  <c r="C2743" i="30"/>
  <c r="C2744" i="30"/>
  <c r="C2745" i="30"/>
  <c r="C2746" i="30"/>
  <c r="C2747" i="30"/>
  <c r="C2748" i="30"/>
  <c r="C2749" i="30"/>
  <c r="C2750" i="30"/>
  <c r="C2751" i="30"/>
  <c r="C2752" i="30"/>
  <c r="C2753" i="30"/>
  <c r="C2754" i="30"/>
  <c r="C2755" i="30"/>
  <c r="C2756" i="30"/>
  <c r="C2757" i="30"/>
  <c r="C2758" i="30"/>
  <c r="C2759" i="30"/>
  <c r="C2760" i="30"/>
  <c r="C2761" i="30"/>
  <c r="C2762" i="30"/>
  <c r="C2763" i="30"/>
  <c r="C2764" i="30"/>
  <c r="C2765" i="30"/>
  <c r="C2766" i="30"/>
  <c r="C2767" i="30"/>
  <c r="C2768" i="30"/>
  <c r="C2769" i="30"/>
  <c r="C2770" i="30"/>
  <c r="C2771" i="30"/>
  <c r="C2772" i="30"/>
  <c r="C2773" i="30"/>
  <c r="C2774" i="30"/>
  <c r="C2775" i="30"/>
  <c r="C2776" i="30"/>
  <c r="C2777" i="30"/>
  <c r="C2778" i="30"/>
  <c r="C2779" i="30"/>
  <c r="C2780" i="30"/>
  <c r="C2781" i="30"/>
  <c r="C2782" i="30"/>
  <c r="C2783" i="30"/>
  <c r="C2784" i="30"/>
  <c r="C2785" i="30"/>
  <c r="C2786" i="30"/>
  <c r="C2787" i="30"/>
  <c r="C2788" i="30"/>
  <c r="C2789" i="30"/>
  <c r="C2790" i="30"/>
  <c r="C2791" i="30"/>
  <c r="C2792" i="30"/>
  <c r="C2793" i="30"/>
  <c r="C2794" i="30"/>
  <c r="C2795" i="30"/>
  <c r="C2796" i="30"/>
  <c r="C2797" i="30"/>
  <c r="C2798" i="30"/>
  <c r="C2799" i="30"/>
  <c r="C2800" i="30"/>
  <c r="C2801" i="30"/>
  <c r="C2802" i="30"/>
  <c r="C2803" i="30"/>
  <c r="C2804" i="30"/>
  <c r="C2805" i="30"/>
  <c r="C2806" i="30"/>
  <c r="C2807" i="30"/>
  <c r="C2808" i="30"/>
  <c r="C2809" i="30"/>
  <c r="C2810" i="30"/>
  <c r="C2811" i="30"/>
  <c r="C2812" i="30"/>
  <c r="C2813" i="30"/>
  <c r="C2814" i="30"/>
  <c r="C2815" i="30"/>
  <c r="C2816" i="30"/>
  <c r="C2817" i="30"/>
  <c r="C2818" i="30"/>
  <c r="C2819" i="30"/>
  <c r="C2820" i="30"/>
  <c r="C2821" i="30"/>
  <c r="C2822" i="30"/>
  <c r="C2823" i="30"/>
  <c r="C2824" i="30"/>
  <c r="C2825" i="30"/>
  <c r="C2826" i="30"/>
  <c r="C2827" i="30"/>
  <c r="C2828" i="30"/>
  <c r="C2829" i="30"/>
  <c r="C2830" i="30"/>
  <c r="C2831" i="30"/>
  <c r="C2832" i="30"/>
  <c r="C2833" i="30"/>
  <c r="C2834" i="30"/>
  <c r="C2835" i="30"/>
  <c r="C2836" i="30"/>
  <c r="C2837" i="30"/>
  <c r="C2838" i="30"/>
  <c r="C2839" i="30"/>
  <c r="C2840" i="30"/>
  <c r="C2841" i="30"/>
  <c r="C2842" i="30"/>
  <c r="C2843" i="30"/>
  <c r="C2844" i="30"/>
  <c r="C2845" i="30"/>
  <c r="C2846" i="30"/>
  <c r="C2847" i="30"/>
  <c r="C2848" i="30"/>
  <c r="C2849" i="30"/>
  <c r="C2850" i="30"/>
  <c r="C2851" i="30"/>
  <c r="C2852" i="30"/>
  <c r="C2853" i="30"/>
  <c r="C2854" i="30"/>
  <c r="C2855" i="30"/>
  <c r="C2856" i="30"/>
  <c r="C2857" i="30"/>
  <c r="C2858" i="30"/>
  <c r="C2859" i="30"/>
  <c r="C2860" i="30"/>
  <c r="C2861" i="30"/>
  <c r="C2862" i="30"/>
  <c r="C2863" i="30"/>
  <c r="C2864" i="30"/>
  <c r="C2865" i="30"/>
  <c r="C2866" i="30"/>
  <c r="C2867" i="30"/>
  <c r="C2868" i="30"/>
  <c r="C2869" i="30"/>
  <c r="C2870" i="30"/>
  <c r="C2871" i="30"/>
  <c r="C2872" i="30"/>
  <c r="C2873" i="30"/>
  <c r="C2874" i="30"/>
  <c r="C2875" i="30"/>
  <c r="C2876" i="30"/>
  <c r="C2877" i="30"/>
  <c r="C2878" i="30"/>
  <c r="C2879" i="30"/>
  <c r="C2880" i="30"/>
  <c r="C2881" i="30"/>
  <c r="C2882" i="30"/>
  <c r="C2883" i="30"/>
  <c r="C2884" i="30"/>
  <c r="C2885" i="30"/>
  <c r="C2886" i="30"/>
  <c r="C2887" i="30"/>
  <c r="C2888" i="30"/>
  <c r="C2889" i="30"/>
  <c r="C2890" i="30"/>
  <c r="C2891" i="30"/>
  <c r="C2892" i="30"/>
  <c r="C2893" i="30"/>
  <c r="C2894" i="30"/>
  <c r="C2895" i="30"/>
  <c r="C2896" i="30"/>
  <c r="C2897" i="30"/>
  <c r="C2898" i="30"/>
  <c r="C2899" i="30"/>
  <c r="C2900" i="30"/>
  <c r="C2901" i="30"/>
  <c r="C2902" i="30"/>
  <c r="C2903" i="30"/>
  <c r="C2904" i="30"/>
  <c r="C2905" i="30"/>
  <c r="C2906" i="30"/>
  <c r="C2907" i="30"/>
  <c r="C2908" i="30"/>
  <c r="C2909" i="30"/>
  <c r="C2910" i="30"/>
  <c r="C2911" i="30"/>
  <c r="C2912" i="30"/>
  <c r="C2913" i="30"/>
  <c r="C2914" i="30"/>
  <c r="C2915" i="30"/>
  <c r="C2916" i="30"/>
  <c r="C2917" i="30"/>
  <c r="C2918" i="30"/>
  <c r="C2919" i="30"/>
  <c r="C2920" i="30"/>
  <c r="C2921" i="30"/>
  <c r="C2922" i="30"/>
  <c r="C2923" i="30"/>
  <c r="C2924" i="30"/>
  <c r="C2925" i="30"/>
  <c r="C2926" i="30"/>
  <c r="C2927" i="30"/>
  <c r="C2928" i="30"/>
  <c r="C2929" i="30"/>
  <c r="C2930" i="30"/>
  <c r="C2931" i="30"/>
  <c r="C2932" i="30"/>
  <c r="C2933" i="30"/>
  <c r="C2934" i="30"/>
  <c r="C2935" i="30"/>
  <c r="C2936" i="30"/>
  <c r="C2937" i="30"/>
  <c r="C2938" i="30"/>
  <c r="C2939" i="30"/>
  <c r="C2940" i="30"/>
  <c r="C2941" i="30"/>
  <c r="C2942" i="30"/>
  <c r="C2943" i="30"/>
  <c r="C2944" i="30"/>
  <c r="C2945" i="30"/>
  <c r="C2946" i="30"/>
  <c r="C2947" i="30"/>
  <c r="C2948" i="30"/>
  <c r="C2949" i="30"/>
  <c r="C2950" i="30"/>
  <c r="C2951" i="30"/>
  <c r="C2952" i="30"/>
  <c r="C2953" i="30"/>
  <c r="C2954" i="30"/>
  <c r="C2955" i="30"/>
  <c r="C2956" i="30"/>
  <c r="C2957" i="30"/>
  <c r="C2958" i="30"/>
  <c r="C2959" i="30"/>
  <c r="C2960" i="30"/>
  <c r="C2961" i="30"/>
  <c r="C2962" i="30"/>
  <c r="C2963" i="30"/>
  <c r="C2964" i="30"/>
  <c r="C2965" i="30"/>
  <c r="C2966" i="30"/>
  <c r="C2967" i="30"/>
  <c r="C2968" i="30"/>
  <c r="C2969" i="30"/>
  <c r="C2970" i="30"/>
  <c r="C2971" i="30"/>
  <c r="C2972" i="30"/>
  <c r="C2973" i="30"/>
  <c r="C2974" i="30"/>
  <c r="C2975" i="30"/>
  <c r="C2976" i="30"/>
  <c r="C2977" i="30"/>
  <c r="C2978" i="30"/>
  <c r="C2979" i="30"/>
  <c r="C2980" i="30"/>
  <c r="C2981" i="30"/>
  <c r="C2982" i="30"/>
  <c r="C2983" i="30"/>
  <c r="C2984" i="30"/>
  <c r="C2985" i="30"/>
  <c r="C2986" i="30"/>
  <c r="C2987" i="30"/>
  <c r="C2988" i="30"/>
  <c r="C2989" i="30"/>
  <c r="C2990" i="30"/>
  <c r="C2991" i="30"/>
  <c r="C2992" i="30"/>
  <c r="C2993" i="30"/>
  <c r="C2994" i="30"/>
  <c r="C2995" i="30"/>
  <c r="C2996" i="30"/>
  <c r="C2997" i="30"/>
  <c r="C2998" i="30"/>
  <c r="C2999" i="30"/>
  <c r="C3000" i="30"/>
  <c r="C3001" i="30"/>
  <c r="C3002" i="30"/>
  <c r="C3003" i="30"/>
  <c r="C3004" i="30"/>
  <c r="C3005" i="30"/>
  <c r="C3006" i="30"/>
  <c r="C3007" i="30"/>
  <c r="C3008" i="30"/>
  <c r="C3009" i="30"/>
  <c r="C3010" i="30"/>
  <c r="C3011" i="30"/>
  <c r="C3012" i="30"/>
  <c r="C3013" i="30"/>
  <c r="C3014" i="30"/>
  <c r="C3015" i="30"/>
  <c r="C3016" i="30"/>
  <c r="C3017" i="30"/>
  <c r="C3018" i="30"/>
  <c r="C3019" i="30"/>
  <c r="C3020" i="30"/>
  <c r="C3021" i="30"/>
  <c r="C3022" i="30"/>
  <c r="C3023" i="30"/>
  <c r="C3024" i="30"/>
  <c r="C3025" i="30"/>
  <c r="C3026" i="30"/>
  <c r="C3027" i="30"/>
  <c r="C3028" i="30"/>
  <c r="C3029" i="30"/>
  <c r="C3030" i="30"/>
  <c r="C3031" i="30"/>
  <c r="C3032" i="30"/>
  <c r="C3033" i="30"/>
  <c r="C3034" i="30"/>
  <c r="C3035" i="30"/>
  <c r="C3036" i="30"/>
  <c r="C3037" i="30"/>
  <c r="C3038" i="30"/>
  <c r="C3039" i="30"/>
  <c r="C3040" i="30"/>
  <c r="C3041" i="30"/>
  <c r="C3042" i="30"/>
  <c r="C3043" i="30"/>
  <c r="C3044" i="30"/>
  <c r="C3045" i="30"/>
  <c r="C3046" i="30"/>
  <c r="C3047" i="30"/>
  <c r="C3048" i="30"/>
  <c r="C3049" i="30"/>
  <c r="C3050" i="30"/>
  <c r="C3051" i="30"/>
  <c r="C3052" i="30"/>
  <c r="C3053" i="30"/>
  <c r="C3054" i="30"/>
  <c r="C3055" i="30"/>
  <c r="C3056" i="30"/>
  <c r="C3057" i="30"/>
  <c r="C3058" i="30"/>
  <c r="C3059" i="30"/>
  <c r="C3060" i="30"/>
  <c r="C3061" i="30"/>
  <c r="C3062" i="30"/>
  <c r="C3063" i="30"/>
  <c r="C3064" i="30"/>
  <c r="C3065" i="30"/>
  <c r="C3066" i="30"/>
  <c r="C3067" i="30"/>
  <c r="C3068" i="30"/>
  <c r="C3069" i="30"/>
  <c r="C3070" i="30"/>
  <c r="C3071" i="30"/>
  <c r="C3072" i="30"/>
  <c r="C3073" i="30"/>
  <c r="C3074" i="30"/>
  <c r="C3075" i="30"/>
  <c r="C3076" i="30"/>
  <c r="C3077" i="30"/>
  <c r="C3078" i="30"/>
  <c r="C3079" i="30"/>
  <c r="C3080" i="30"/>
  <c r="C3081" i="30"/>
  <c r="C3082" i="30"/>
  <c r="C3083" i="30"/>
  <c r="C3084" i="30"/>
  <c r="C3085" i="30"/>
  <c r="C3086" i="30"/>
  <c r="C3087" i="30"/>
  <c r="C3088" i="30"/>
  <c r="C3089" i="30"/>
  <c r="C3090" i="30"/>
  <c r="C3091" i="30"/>
  <c r="C3092" i="30"/>
  <c r="C3093" i="30"/>
  <c r="C3094" i="30"/>
  <c r="C3095" i="30"/>
  <c r="C3096" i="30"/>
  <c r="C3097" i="30"/>
  <c r="C3098" i="30"/>
  <c r="C3099" i="30"/>
  <c r="C3100" i="30"/>
  <c r="C3101" i="30"/>
  <c r="C3102" i="30"/>
  <c r="C3103" i="30"/>
  <c r="C3104" i="30"/>
  <c r="C3105" i="30"/>
  <c r="C3106" i="30"/>
  <c r="C3107" i="30"/>
  <c r="C3108" i="30"/>
  <c r="C3109" i="30"/>
  <c r="C3110" i="30"/>
  <c r="C3111" i="30"/>
  <c r="C3112" i="30"/>
  <c r="C3113" i="30"/>
  <c r="C3114" i="30"/>
  <c r="C3115" i="30"/>
  <c r="C3116" i="30"/>
  <c r="C3117" i="30"/>
  <c r="C3118" i="30"/>
  <c r="C3119" i="30"/>
  <c r="C3120" i="30"/>
  <c r="C3121" i="30"/>
  <c r="C3122" i="30"/>
  <c r="C3123" i="30"/>
  <c r="C3124" i="30"/>
  <c r="C3125" i="30"/>
  <c r="C3126" i="30"/>
  <c r="C3127" i="30"/>
  <c r="C3128" i="30"/>
  <c r="C3129" i="30"/>
  <c r="C3130" i="30"/>
  <c r="C3131" i="30"/>
  <c r="C3132" i="30"/>
  <c r="C3133" i="30"/>
  <c r="C3134" i="30"/>
  <c r="C3135" i="30"/>
  <c r="C3136" i="30"/>
  <c r="C3137" i="30"/>
  <c r="C3138" i="30"/>
  <c r="C3139" i="30"/>
  <c r="C3140" i="30"/>
  <c r="C3141" i="30"/>
  <c r="C3142" i="30"/>
  <c r="C3143" i="30"/>
  <c r="C3144" i="30"/>
  <c r="C3145" i="30"/>
  <c r="C3146" i="30"/>
  <c r="C3147" i="30"/>
  <c r="C3148" i="30"/>
  <c r="C3149" i="30"/>
  <c r="C3150" i="30"/>
  <c r="C3151" i="30"/>
  <c r="C3152" i="30"/>
  <c r="C3153" i="30"/>
  <c r="C3154" i="30"/>
  <c r="C3155" i="30"/>
  <c r="C3156" i="30"/>
  <c r="C3157" i="30"/>
  <c r="C3158" i="30"/>
  <c r="C3159" i="30"/>
  <c r="C3160" i="30"/>
  <c r="C3161" i="30"/>
  <c r="C3162" i="30"/>
  <c r="C3163" i="30"/>
  <c r="C3164" i="30"/>
  <c r="C3165" i="30"/>
  <c r="C3166" i="30"/>
  <c r="C3167" i="30"/>
  <c r="C3168" i="30"/>
  <c r="C3169" i="30"/>
  <c r="C3170" i="30"/>
  <c r="C3171" i="30"/>
  <c r="C3172" i="30"/>
  <c r="C3173" i="30"/>
  <c r="C3174" i="30"/>
  <c r="C3175" i="30"/>
  <c r="C3176" i="30"/>
  <c r="C3177" i="30"/>
  <c r="C3178" i="30"/>
  <c r="C3179" i="30"/>
  <c r="C3180" i="30"/>
  <c r="C3181" i="30"/>
  <c r="C3182" i="30"/>
  <c r="C3183" i="30"/>
  <c r="C3184" i="30"/>
  <c r="C3185" i="30"/>
  <c r="C3186" i="30"/>
  <c r="C3187" i="30"/>
  <c r="C3188" i="30"/>
  <c r="C3189" i="30"/>
  <c r="C3190" i="30"/>
  <c r="C3191" i="30"/>
  <c r="C3192" i="30"/>
  <c r="C3193" i="30"/>
  <c r="C3194" i="30"/>
  <c r="C3195" i="30"/>
  <c r="C3196" i="30"/>
  <c r="C3197" i="30"/>
  <c r="C3198" i="30"/>
  <c r="C3199" i="30"/>
  <c r="C3200" i="30"/>
  <c r="C3201" i="30"/>
  <c r="C3202" i="30"/>
  <c r="C3203" i="30"/>
  <c r="C3204" i="30"/>
  <c r="C3205" i="30"/>
  <c r="C3206" i="30"/>
  <c r="C3207" i="30"/>
  <c r="C3208" i="30"/>
  <c r="C3209" i="30"/>
  <c r="C3210" i="30"/>
  <c r="C3211" i="30"/>
  <c r="C3212" i="30"/>
  <c r="C3213" i="30"/>
  <c r="C3214" i="30"/>
  <c r="C3215" i="30"/>
  <c r="C3216" i="30"/>
  <c r="C3217" i="30"/>
  <c r="C3218" i="30"/>
  <c r="C3219" i="30"/>
  <c r="C3220" i="30"/>
  <c r="C3221" i="30"/>
  <c r="C3222" i="30"/>
  <c r="C3223" i="30"/>
  <c r="C3224" i="30"/>
  <c r="C3225" i="30"/>
  <c r="C3226" i="30"/>
  <c r="C3227" i="30"/>
  <c r="C3228" i="30"/>
  <c r="C3229" i="30"/>
  <c r="C3230" i="30"/>
  <c r="C3231" i="30"/>
  <c r="C3232" i="30"/>
  <c r="C3233" i="30"/>
  <c r="C3234" i="30"/>
  <c r="C3235" i="30"/>
  <c r="C3236" i="30"/>
  <c r="C3237" i="30"/>
  <c r="C3238" i="30"/>
  <c r="C3239" i="30"/>
  <c r="C3240" i="30"/>
  <c r="C3241" i="30"/>
  <c r="C3242" i="30"/>
  <c r="C3243" i="30"/>
  <c r="C3244" i="30"/>
  <c r="C3245" i="30"/>
  <c r="C3246" i="30"/>
  <c r="C3247" i="30"/>
  <c r="C3248" i="30"/>
  <c r="C3249" i="30"/>
  <c r="C3250" i="30"/>
  <c r="C3251" i="30"/>
  <c r="C3252" i="30"/>
  <c r="C3253" i="30"/>
  <c r="C3254" i="30"/>
  <c r="C3255" i="30"/>
  <c r="C3256" i="30"/>
  <c r="C3257" i="30"/>
  <c r="C3258" i="30"/>
  <c r="C3259" i="30"/>
  <c r="C3260" i="30"/>
  <c r="C3261" i="30"/>
  <c r="C3262" i="30"/>
  <c r="C3263" i="30"/>
  <c r="C3264" i="30"/>
  <c r="C3265" i="30"/>
  <c r="C3266" i="30"/>
  <c r="C3267" i="30"/>
  <c r="C3268" i="30"/>
  <c r="C3269" i="30"/>
  <c r="C3270" i="30"/>
  <c r="C3271" i="30"/>
  <c r="C3272" i="30"/>
  <c r="C3273" i="30"/>
  <c r="C3274" i="30"/>
  <c r="C3275" i="30"/>
  <c r="C3276" i="30"/>
  <c r="C3277" i="30"/>
  <c r="C3278" i="30"/>
  <c r="C3279" i="30"/>
  <c r="C3280" i="30"/>
  <c r="C3281" i="30"/>
  <c r="C3282" i="30"/>
  <c r="C3283" i="30"/>
  <c r="C3284" i="30"/>
  <c r="C3285" i="30"/>
  <c r="C3286" i="30"/>
  <c r="C3287" i="30"/>
  <c r="C3288" i="30"/>
  <c r="C3289" i="30"/>
  <c r="C3290" i="30"/>
  <c r="C3291" i="30"/>
  <c r="C3292" i="30"/>
  <c r="C3293" i="30"/>
  <c r="C3294" i="30"/>
  <c r="C3295" i="30"/>
  <c r="C3296" i="30"/>
  <c r="C3297" i="30"/>
  <c r="C3298" i="30"/>
  <c r="C3299" i="30"/>
  <c r="C3300" i="30"/>
  <c r="C3301" i="30"/>
  <c r="C3302" i="30"/>
  <c r="C3303" i="30"/>
  <c r="C3304" i="30"/>
  <c r="C3305" i="30"/>
  <c r="C3306" i="30"/>
  <c r="C3307" i="30"/>
  <c r="C3308" i="30"/>
  <c r="C3309" i="30"/>
  <c r="C3310" i="30"/>
  <c r="C3311" i="30"/>
  <c r="C3312" i="30"/>
  <c r="C3313" i="30"/>
  <c r="C3314" i="30"/>
  <c r="C3315" i="30"/>
  <c r="C3316" i="30"/>
  <c r="C3317" i="30"/>
  <c r="C3318" i="30"/>
  <c r="C3319" i="30"/>
  <c r="C3320" i="30"/>
  <c r="C3321" i="30"/>
  <c r="C3322" i="30"/>
  <c r="C3323" i="30"/>
  <c r="C3324" i="30"/>
  <c r="C3325" i="30"/>
  <c r="C3326" i="30"/>
  <c r="C3327" i="30"/>
  <c r="C3328" i="30"/>
  <c r="C3329" i="30"/>
  <c r="C3330" i="30"/>
  <c r="C3331" i="30"/>
  <c r="C3332" i="30"/>
  <c r="C3333" i="30"/>
  <c r="C3334" i="30"/>
  <c r="C3335" i="30"/>
  <c r="C3336" i="30"/>
  <c r="C3337" i="30"/>
  <c r="C3338" i="30"/>
  <c r="C3339" i="30"/>
  <c r="C3340" i="30"/>
  <c r="C3341" i="30"/>
  <c r="C3342" i="30"/>
  <c r="C3343" i="30"/>
  <c r="C3344" i="30"/>
  <c r="C3345" i="30"/>
  <c r="C3346" i="30"/>
  <c r="C3347" i="30"/>
  <c r="C3348" i="30"/>
  <c r="C3349" i="30"/>
  <c r="C3350" i="30"/>
  <c r="C3351" i="30"/>
  <c r="C3352" i="30"/>
  <c r="C3353" i="30"/>
  <c r="C3354" i="30"/>
  <c r="C3355" i="30"/>
  <c r="C3356" i="30"/>
  <c r="C3357" i="30"/>
  <c r="C3358" i="30"/>
  <c r="C3359" i="30"/>
  <c r="C3360" i="30"/>
  <c r="C3361" i="30"/>
  <c r="C3362" i="30"/>
  <c r="C3363" i="30"/>
  <c r="C3364" i="30"/>
  <c r="C3365" i="30"/>
  <c r="C3366" i="30"/>
  <c r="C3367" i="30"/>
  <c r="C3368" i="30"/>
  <c r="C3369" i="30"/>
  <c r="C3370" i="30"/>
  <c r="C3371" i="30"/>
  <c r="C3372" i="30"/>
  <c r="C3373" i="30"/>
  <c r="C3374" i="30"/>
  <c r="C3375" i="30"/>
  <c r="C3376" i="30"/>
  <c r="C3377" i="30"/>
  <c r="C3378" i="30"/>
  <c r="C3379" i="30"/>
  <c r="C3380" i="30"/>
  <c r="C3381" i="30"/>
  <c r="C3382" i="30"/>
  <c r="C3383" i="30"/>
  <c r="C3384" i="30"/>
  <c r="C3385" i="30"/>
  <c r="C3386" i="30"/>
  <c r="C3387" i="30"/>
  <c r="C3388" i="30"/>
  <c r="C3389" i="30"/>
  <c r="C3390" i="30"/>
  <c r="C3391" i="30"/>
  <c r="C3392" i="30"/>
  <c r="C3393" i="30"/>
  <c r="C3394" i="30"/>
  <c r="C3395" i="30"/>
  <c r="C3396" i="30"/>
  <c r="C3397" i="30"/>
  <c r="C3398" i="30"/>
  <c r="C3399" i="30"/>
  <c r="C3400" i="30"/>
  <c r="C3401" i="30"/>
  <c r="C3402" i="30"/>
  <c r="C3403" i="30"/>
  <c r="C3404" i="30"/>
  <c r="C3405" i="30"/>
  <c r="C3406" i="30"/>
  <c r="C3407" i="30"/>
  <c r="C3408" i="30"/>
  <c r="C3409" i="30"/>
  <c r="C3410" i="30"/>
  <c r="C3411" i="30"/>
  <c r="C3412" i="30"/>
  <c r="C3413" i="30"/>
  <c r="C3414" i="30"/>
  <c r="C3415" i="30"/>
  <c r="C3416" i="30"/>
  <c r="C3417" i="30"/>
  <c r="C3418" i="30"/>
  <c r="C3419" i="30"/>
  <c r="C3420" i="30"/>
  <c r="C3421" i="30"/>
  <c r="C3422" i="30"/>
  <c r="C3423" i="30"/>
  <c r="C3424" i="30"/>
  <c r="C3425" i="30"/>
  <c r="C3426" i="30"/>
  <c r="C3427" i="30"/>
  <c r="C3428" i="30"/>
  <c r="C3429" i="30"/>
  <c r="C3430" i="30"/>
  <c r="C3431" i="30"/>
  <c r="C3432" i="30"/>
  <c r="C3433" i="30"/>
  <c r="C3434" i="30"/>
  <c r="C3435" i="30"/>
  <c r="C3436" i="30"/>
  <c r="C3437" i="30"/>
  <c r="C3438" i="30"/>
  <c r="C3439" i="30"/>
  <c r="C3440" i="30"/>
  <c r="C3441" i="30"/>
  <c r="C3442" i="30"/>
  <c r="C3443" i="30"/>
  <c r="C3444" i="30"/>
  <c r="C3445" i="30"/>
  <c r="C3446" i="30"/>
  <c r="C3447" i="30"/>
  <c r="C3448" i="30"/>
  <c r="C3449" i="30"/>
  <c r="C3450" i="30"/>
  <c r="C3451" i="30"/>
  <c r="C3452" i="30"/>
  <c r="C3453" i="30"/>
  <c r="C3454" i="30"/>
  <c r="C3455" i="30"/>
  <c r="C3456" i="30"/>
  <c r="C3457" i="30"/>
  <c r="C3458" i="30"/>
  <c r="C3459" i="30"/>
  <c r="C3460" i="30"/>
  <c r="C3461" i="30"/>
  <c r="C3462" i="30"/>
  <c r="C3463" i="30"/>
  <c r="C3464" i="30"/>
  <c r="C3465" i="30"/>
  <c r="C3466" i="30"/>
  <c r="C3467" i="30"/>
  <c r="C3468" i="30"/>
  <c r="C3469" i="30"/>
  <c r="C3470" i="30"/>
  <c r="C3471" i="30"/>
  <c r="C3472" i="30"/>
  <c r="C3473" i="30"/>
  <c r="C3474" i="30"/>
  <c r="C3475" i="30"/>
  <c r="C3476" i="30"/>
  <c r="C3477" i="30"/>
  <c r="C3478" i="30"/>
  <c r="C3479" i="30"/>
  <c r="C3480" i="30"/>
  <c r="C3481" i="30"/>
  <c r="C3482" i="30"/>
  <c r="C3483" i="30"/>
  <c r="C3484" i="30"/>
  <c r="C3485" i="30"/>
  <c r="C3486" i="30"/>
  <c r="C3487" i="30"/>
  <c r="C3488" i="30"/>
  <c r="C3489" i="30"/>
  <c r="C3490" i="30"/>
  <c r="C3491" i="30"/>
  <c r="C3492" i="30"/>
  <c r="C3493" i="30"/>
  <c r="C3494" i="30"/>
  <c r="C3495" i="30"/>
  <c r="C3496" i="30"/>
  <c r="C3497" i="30"/>
  <c r="C3498" i="30"/>
  <c r="C3499" i="30"/>
  <c r="C3500" i="30"/>
  <c r="C3501" i="30"/>
  <c r="C3502" i="30"/>
  <c r="C3503" i="30"/>
  <c r="C3504" i="30"/>
  <c r="C3505" i="30"/>
  <c r="C3506" i="30"/>
  <c r="C3507" i="30"/>
  <c r="C3508" i="30"/>
  <c r="C3509" i="30"/>
  <c r="C3510" i="30"/>
  <c r="C3511" i="30"/>
  <c r="C3512" i="30"/>
  <c r="C3513" i="30"/>
  <c r="C3514" i="30"/>
  <c r="C3515" i="30"/>
  <c r="C3516" i="30"/>
  <c r="C3517" i="30"/>
  <c r="C3518" i="30"/>
  <c r="C3519" i="30"/>
  <c r="C3520" i="30"/>
  <c r="C3521" i="30"/>
  <c r="C3522" i="30"/>
  <c r="C3523" i="30"/>
  <c r="C3524" i="30"/>
  <c r="C3525" i="30"/>
  <c r="C3526" i="30"/>
  <c r="C3527" i="30"/>
  <c r="C3528" i="30"/>
  <c r="C3529" i="30"/>
  <c r="C3530" i="30"/>
  <c r="C3531" i="30"/>
  <c r="C3532" i="30"/>
  <c r="C3533" i="30"/>
  <c r="C3534" i="30"/>
  <c r="C3535" i="30"/>
  <c r="C3536" i="30"/>
  <c r="C3537" i="30"/>
  <c r="AT76" i="61"/>
  <c r="AS76" i="61"/>
  <c r="AR76" i="61"/>
  <c r="AT75" i="61"/>
  <c r="AS75" i="61"/>
  <c r="AR75" i="61"/>
  <c r="AT74" i="61"/>
  <c r="AS74" i="61"/>
  <c r="AR74" i="61"/>
  <c r="AT73" i="61"/>
  <c r="AS73" i="61"/>
  <c r="AR73" i="61"/>
  <c r="AT72" i="61"/>
  <c r="AS72" i="61"/>
  <c r="AR72" i="61"/>
  <c r="AT71" i="61"/>
  <c r="AS71" i="61"/>
  <c r="AR71" i="61"/>
  <c r="AT70" i="61"/>
  <c r="AS70" i="61"/>
  <c r="AR70" i="61"/>
  <c r="AT69" i="61"/>
  <c r="AS69" i="61"/>
  <c r="AR69" i="61"/>
  <c r="AT68" i="61"/>
  <c r="AS68" i="61"/>
  <c r="AR68" i="61"/>
  <c r="AT67" i="61"/>
  <c r="AS67" i="61"/>
  <c r="AR67" i="61"/>
  <c r="AT66" i="61"/>
  <c r="AS66" i="61"/>
  <c r="AR66" i="61"/>
  <c r="AT65" i="61"/>
  <c r="AS65" i="61"/>
  <c r="AR65" i="61"/>
  <c r="AT64" i="61"/>
  <c r="AS64" i="61"/>
  <c r="AR64" i="61"/>
  <c r="AT63" i="61"/>
  <c r="AS63" i="61"/>
  <c r="AR63" i="61"/>
  <c r="AT62" i="61"/>
  <c r="AS62" i="61"/>
  <c r="AR62" i="61"/>
  <c r="AT61" i="61"/>
  <c r="AS61" i="61"/>
  <c r="AR61" i="61"/>
  <c r="AT60" i="61"/>
  <c r="AS60" i="61"/>
  <c r="AR60" i="61"/>
  <c r="AT59" i="61"/>
  <c r="AS59" i="61"/>
  <c r="AR59" i="61"/>
  <c r="AT58" i="61"/>
  <c r="AS58" i="61"/>
  <c r="AR58" i="61"/>
  <c r="AT57" i="61"/>
  <c r="AS57" i="61"/>
  <c r="AR57" i="61"/>
  <c r="AT56" i="61"/>
  <c r="AS56" i="61"/>
  <c r="AR56" i="61"/>
  <c r="AT55" i="61"/>
  <c r="AS55" i="61"/>
  <c r="AR55" i="61"/>
  <c r="AT54" i="61"/>
  <c r="AS54" i="61"/>
  <c r="AR54" i="61"/>
  <c r="AT53" i="61"/>
  <c r="AS53" i="61"/>
  <c r="AR53" i="61"/>
  <c r="AT52" i="61"/>
  <c r="AS52" i="61"/>
  <c r="AR52" i="61"/>
  <c r="AT51" i="61"/>
  <c r="AS51" i="61"/>
  <c r="AR51" i="61"/>
  <c r="AT50" i="61"/>
  <c r="AS50" i="61"/>
  <c r="AR50" i="61"/>
  <c r="AT49" i="61"/>
  <c r="AS49" i="61"/>
  <c r="AR49" i="61"/>
  <c r="AT48" i="61"/>
  <c r="AS48" i="61"/>
  <c r="AR48" i="61"/>
  <c r="AT47" i="61"/>
  <c r="AS47" i="61"/>
  <c r="AR47" i="61"/>
  <c r="AT46" i="61"/>
  <c r="AS46" i="61"/>
  <c r="AR46" i="61"/>
  <c r="AT45" i="61"/>
  <c r="AS45" i="61"/>
  <c r="AR45" i="61"/>
  <c r="AT44" i="61"/>
  <c r="AS44" i="61"/>
  <c r="AR44" i="61"/>
  <c r="AT43" i="61"/>
  <c r="AS43" i="61"/>
  <c r="AR43" i="61"/>
  <c r="AT42" i="61"/>
  <c r="AS42" i="61"/>
  <c r="AR42" i="61"/>
  <c r="AT41" i="61"/>
  <c r="AS41" i="61"/>
  <c r="AR41" i="61"/>
  <c r="AT40" i="61"/>
  <c r="AS40" i="61"/>
  <c r="AR40" i="61"/>
  <c r="AT39" i="61"/>
  <c r="AS39" i="61"/>
  <c r="AR39" i="61"/>
  <c r="AT38" i="61"/>
  <c r="AS38" i="61"/>
  <c r="AR38" i="61"/>
  <c r="AT37" i="61"/>
  <c r="AS37" i="61"/>
  <c r="AR37" i="61"/>
  <c r="AT36" i="61"/>
  <c r="AS36" i="61"/>
  <c r="AR36" i="61"/>
  <c r="AT35" i="61"/>
  <c r="AS35" i="61"/>
  <c r="AR35" i="61"/>
  <c r="AT34" i="61"/>
  <c r="AS34" i="61"/>
  <c r="AR34" i="61"/>
  <c r="AT33" i="61"/>
  <c r="AS33" i="61"/>
  <c r="AR33" i="61"/>
  <c r="AT32" i="61"/>
  <c r="AS32" i="61"/>
  <c r="AR32" i="61"/>
  <c r="AT31" i="61"/>
  <c r="AS31" i="61"/>
  <c r="AR31" i="61"/>
  <c r="AT30" i="61"/>
  <c r="AS30" i="61"/>
  <c r="AR30" i="61"/>
  <c r="AT29" i="61"/>
  <c r="AS29" i="61"/>
  <c r="AR29" i="61"/>
  <c r="AT28" i="61"/>
  <c r="AS28" i="61"/>
  <c r="AR28" i="61"/>
  <c r="AT27" i="61"/>
  <c r="AS27" i="61"/>
  <c r="AR27" i="61"/>
  <c r="AT26" i="61"/>
  <c r="AS26" i="61"/>
  <c r="AR26" i="61"/>
  <c r="AT25" i="61"/>
  <c r="AS25" i="61"/>
  <c r="AR25" i="61"/>
  <c r="AT24" i="61"/>
  <c r="AS24" i="61"/>
  <c r="AR24" i="61"/>
  <c r="AT23" i="61"/>
  <c r="AS23" i="61"/>
  <c r="AR23" i="61"/>
  <c r="AT22" i="61"/>
  <c r="AS22" i="61"/>
  <c r="AR22" i="61"/>
  <c r="AT21" i="61"/>
  <c r="AS21" i="61"/>
  <c r="AR21" i="61"/>
  <c r="AT20" i="61"/>
  <c r="AS20" i="61"/>
  <c r="AR20" i="61"/>
  <c r="AT19" i="61"/>
  <c r="AS19" i="61"/>
  <c r="AR19" i="61"/>
  <c r="AT18" i="61"/>
  <c r="AS18" i="61"/>
  <c r="AR18" i="61"/>
  <c r="AT17" i="61"/>
  <c r="AS17" i="61"/>
  <c r="AR17" i="61"/>
  <c r="AT16" i="61"/>
  <c r="AS16" i="61"/>
  <c r="AR16" i="61"/>
  <c r="AT15" i="61"/>
  <c r="AS15" i="61"/>
  <c r="AR15" i="61"/>
  <c r="AT14" i="61"/>
  <c r="AS14" i="61"/>
  <c r="AR14" i="61"/>
  <c r="AT13" i="61"/>
  <c r="AS13" i="61"/>
  <c r="AR13" i="61"/>
  <c r="AT12" i="61"/>
  <c r="AS12" i="61"/>
  <c r="AR12" i="61"/>
  <c r="AT11" i="61"/>
  <c r="AS11" i="61"/>
  <c r="AR11" i="61"/>
  <c r="AT10" i="61"/>
  <c r="AS10" i="61"/>
  <c r="AR10" i="61"/>
  <c r="AT9" i="61"/>
  <c r="AS9" i="61"/>
  <c r="AR9" i="61"/>
  <c r="AT8" i="61"/>
  <c r="AS8" i="61"/>
  <c r="AR8" i="61"/>
  <c r="AT7" i="61"/>
  <c r="AS7" i="61"/>
  <c r="AR7" i="61"/>
  <c r="AT6" i="61"/>
  <c r="AS6" i="61"/>
  <c r="AR6" i="61"/>
  <c r="AT5" i="61"/>
  <c r="AS5" i="61"/>
  <c r="AR5" i="61"/>
  <c r="AT4" i="61"/>
  <c r="AS4" i="61"/>
  <c r="AR4" i="61"/>
  <c r="AT3" i="61"/>
  <c r="AS3" i="61"/>
  <c r="AR3" i="61"/>
  <c r="AQ76" i="61"/>
  <c r="AP76" i="61"/>
  <c r="AO76" i="61"/>
  <c r="AQ75" i="61"/>
  <c r="AP75" i="61"/>
  <c r="AO75" i="61"/>
  <c r="AQ74" i="61"/>
  <c r="AP74" i="61"/>
  <c r="AO74" i="61"/>
  <c r="AQ73" i="61"/>
  <c r="AP73" i="61"/>
  <c r="AO73" i="61"/>
  <c r="AQ72" i="61"/>
  <c r="AP72" i="61"/>
  <c r="AO72" i="61"/>
  <c r="AQ71" i="61"/>
  <c r="AP71" i="61"/>
  <c r="AO71" i="61"/>
  <c r="AQ70" i="61"/>
  <c r="AP70" i="61"/>
  <c r="AO70" i="61"/>
  <c r="AQ69" i="61"/>
  <c r="AP69" i="61"/>
  <c r="AO69" i="61"/>
  <c r="AQ68" i="61"/>
  <c r="AP68" i="61"/>
  <c r="AO68" i="61"/>
  <c r="AQ67" i="61"/>
  <c r="AP67" i="61"/>
  <c r="AO67" i="61"/>
  <c r="AQ66" i="61"/>
  <c r="AP66" i="61"/>
  <c r="AO66" i="61"/>
  <c r="AQ65" i="61"/>
  <c r="AP65" i="61"/>
  <c r="AO65" i="61"/>
  <c r="AQ64" i="61"/>
  <c r="AP64" i="61"/>
  <c r="AO64" i="61"/>
  <c r="AQ63" i="61"/>
  <c r="AP63" i="61"/>
  <c r="AO63" i="61"/>
  <c r="AQ62" i="61"/>
  <c r="AP62" i="61"/>
  <c r="AO62" i="61"/>
  <c r="AQ61" i="61"/>
  <c r="AP61" i="61"/>
  <c r="AO61" i="61"/>
  <c r="AQ60" i="61"/>
  <c r="AP60" i="61"/>
  <c r="AO60" i="61"/>
  <c r="AQ59" i="61"/>
  <c r="AP59" i="61"/>
  <c r="AO59" i="61"/>
  <c r="AQ58" i="61"/>
  <c r="AP58" i="61"/>
  <c r="AO58" i="61"/>
  <c r="AQ57" i="61"/>
  <c r="AP57" i="61"/>
  <c r="AO57" i="61"/>
  <c r="AQ56" i="61"/>
  <c r="AP56" i="61"/>
  <c r="AO56" i="61"/>
  <c r="AQ55" i="61"/>
  <c r="AP55" i="61"/>
  <c r="AO55" i="61"/>
  <c r="AQ54" i="61"/>
  <c r="AP54" i="61"/>
  <c r="AO54" i="61"/>
  <c r="AQ53" i="61"/>
  <c r="AP53" i="61"/>
  <c r="AO53" i="61"/>
  <c r="AQ52" i="61"/>
  <c r="AP52" i="61"/>
  <c r="AO52" i="61"/>
  <c r="AQ51" i="61"/>
  <c r="AP51" i="61"/>
  <c r="AO51" i="61"/>
  <c r="AQ50" i="61"/>
  <c r="AP50" i="61"/>
  <c r="AO50" i="61"/>
  <c r="AQ49" i="61"/>
  <c r="AP49" i="61"/>
  <c r="AO49" i="61"/>
  <c r="AQ48" i="61"/>
  <c r="AP48" i="61"/>
  <c r="AO48" i="61"/>
  <c r="AQ47" i="61"/>
  <c r="AP47" i="61"/>
  <c r="AO47" i="61"/>
  <c r="AQ46" i="61"/>
  <c r="AP46" i="61"/>
  <c r="AO46" i="61"/>
  <c r="AQ45" i="61"/>
  <c r="AP45" i="61"/>
  <c r="AO45" i="61"/>
  <c r="AQ44" i="61"/>
  <c r="AP44" i="61"/>
  <c r="AO44" i="61"/>
  <c r="AQ43" i="61"/>
  <c r="AP43" i="61"/>
  <c r="AO43" i="61"/>
  <c r="AQ42" i="61"/>
  <c r="AP42" i="61"/>
  <c r="AO42" i="61"/>
  <c r="AQ41" i="61"/>
  <c r="AP41" i="61"/>
  <c r="AO41" i="61"/>
  <c r="AQ40" i="61"/>
  <c r="AP40" i="61"/>
  <c r="AO40" i="61"/>
  <c r="AQ39" i="61"/>
  <c r="AP39" i="61"/>
  <c r="AO39" i="61"/>
  <c r="AQ38" i="61"/>
  <c r="AP38" i="61"/>
  <c r="AO38" i="61"/>
  <c r="AQ37" i="61"/>
  <c r="AP37" i="61"/>
  <c r="AO37" i="61"/>
  <c r="AQ36" i="61"/>
  <c r="AP36" i="61"/>
  <c r="AO36" i="61"/>
  <c r="AQ35" i="61"/>
  <c r="AP35" i="61"/>
  <c r="AO35" i="61"/>
  <c r="AQ34" i="61"/>
  <c r="AP34" i="61"/>
  <c r="AO34" i="61"/>
  <c r="AQ33" i="61"/>
  <c r="AP33" i="61"/>
  <c r="AO33" i="61"/>
  <c r="AQ32" i="61"/>
  <c r="AP32" i="61"/>
  <c r="AO32" i="61"/>
  <c r="AQ31" i="61"/>
  <c r="AP31" i="61"/>
  <c r="AO31" i="61"/>
  <c r="AQ30" i="61"/>
  <c r="AP30" i="61"/>
  <c r="AO30" i="61"/>
  <c r="AQ29" i="61"/>
  <c r="AP29" i="61"/>
  <c r="AO29" i="61"/>
  <c r="AQ28" i="61"/>
  <c r="AP28" i="61"/>
  <c r="AO28" i="61"/>
  <c r="AQ27" i="61"/>
  <c r="AP27" i="61"/>
  <c r="AO27" i="61"/>
  <c r="AQ26" i="61"/>
  <c r="AP26" i="61"/>
  <c r="AO26" i="61"/>
  <c r="AQ25" i="61"/>
  <c r="AP25" i="61"/>
  <c r="AO25" i="61"/>
  <c r="AQ24" i="61"/>
  <c r="AP24" i="61"/>
  <c r="AO24" i="61"/>
  <c r="AQ23" i="61"/>
  <c r="AP23" i="61"/>
  <c r="AO23" i="61"/>
  <c r="AQ22" i="61"/>
  <c r="AP22" i="61"/>
  <c r="AO22" i="61"/>
  <c r="AQ21" i="61"/>
  <c r="AP21" i="61"/>
  <c r="AO21" i="61"/>
  <c r="AQ20" i="61"/>
  <c r="AP20" i="61"/>
  <c r="AO20" i="61"/>
  <c r="AQ19" i="61"/>
  <c r="AP19" i="61"/>
  <c r="AO19" i="61"/>
  <c r="AQ18" i="61"/>
  <c r="AP18" i="61"/>
  <c r="AO18" i="61"/>
  <c r="AQ17" i="61"/>
  <c r="AP17" i="61"/>
  <c r="AO17" i="61"/>
  <c r="AQ16" i="61"/>
  <c r="AP16" i="61"/>
  <c r="AO16" i="61"/>
  <c r="AQ15" i="61"/>
  <c r="AP15" i="61"/>
  <c r="AO15" i="61"/>
  <c r="AQ14" i="61"/>
  <c r="AP14" i="61"/>
  <c r="AO14" i="61"/>
  <c r="AQ13" i="61"/>
  <c r="AP13" i="61"/>
  <c r="AO13" i="61"/>
  <c r="AQ12" i="61"/>
  <c r="AP12" i="61"/>
  <c r="AO12" i="61"/>
  <c r="AQ11" i="61"/>
  <c r="AP11" i="61"/>
  <c r="AO11" i="61"/>
  <c r="AQ10" i="61"/>
  <c r="AP10" i="61"/>
  <c r="AO10" i="61"/>
  <c r="AQ9" i="61"/>
  <c r="AP9" i="61"/>
  <c r="AO9" i="61"/>
  <c r="AQ8" i="61"/>
  <c r="AP8" i="61"/>
  <c r="AO8" i="61"/>
  <c r="AQ7" i="61"/>
  <c r="AP7" i="61"/>
  <c r="AO7" i="61"/>
  <c r="AQ6" i="61"/>
  <c r="AP6" i="61"/>
  <c r="AO6" i="61"/>
  <c r="AQ5" i="61"/>
  <c r="AP5" i="61"/>
  <c r="AO5" i="61"/>
  <c r="AQ4" i="61"/>
  <c r="AP4" i="61"/>
  <c r="AO4" i="61"/>
  <c r="AQ3" i="61"/>
  <c r="AP3" i="61"/>
  <c r="AO3" i="61"/>
  <c r="AN76" i="61"/>
  <c r="AM76" i="61"/>
  <c r="AL76" i="61"/>
  <c r="AN75" i="61"/>
  <c r="AM75" i="61"/>
  <c r="AL75" i="61"/>
  <c r="AN74" i="61"/>
  <c r="AM74" i="61"/>
  <c r="AL74" i="61"/>
  <c r="AN73" i="61"/>
  <c r="AM73" i="61"/>
  <c r="AL73" i="61"/>
  <c r="AN72" i="61"/>
  <c r="AM72" i="61"/>
  <c r="AL72" i="61"/>
  <c r="AN71" i="61"/>
  <c r="AM71" i="61"/>
  <c r="AL71" i="61"/>
  <c r="AN70" i="61"/>
  <c r="AM70" i="61"/>
  <c r="AL70" i="61"/>
  <c r="AN69" i="61"/>
  <c r="AM69" i="61"/>
  <c r="AL69" i="61"/>
  <c r="AN68" i="61"/>
  <c r="AM68" i="61"/>
  <c r="AL68" i="61"/>
  <c r="AN67" i="61"/>
  <c r="AM67" i="61"/>
  <c r="AL67" i="61"/>
  <c r="AN66" i="61"/>
  <c r="AM66" i="61"/>
  <c r="AL66" i="61"/>
  <c r="AN65" i="61"/>
  <c r="AM65" i="61"/>
  <c r="AL65" i="61"/>
  <c r="AN64" i="61"/>
  <c r="AM64" i="61"/>
  <c r="AL64" i="61"/>
  <c r="AN63" i="61"/>
  <c r="AM63" i="61"/>
  <c r="AL63" i="61"/>
  <c r="AN62" i="61"/>
  <c r="AM62" i="61"/>
  <c r="AL62" i="61"/>
  <c r="AN61" i="61"/>
  <c r="AM61" i="61"/>
  <c r="AL61" i="61"/>
  <c r="AN60" i="61"/>
  <c r="AM60" i="61"/>
  <c r="AL60" i="61"/>
  <c r="AN59" i="61"/>
  <c r="AM59" i="61"/>
  <c r="AL59" i="61"/>
  <c r="AN57" i="61"/>
  <c r="AM57" i="61"/>
  <c r="AL57" i="61"/>
  <c r="AN56" i="61"/>
  <c r="AM56" i="61"/>
  <c r="AL56" i="61"/>
  <c r="AN55" i="61"/>
  <c r="AM55" i="61"/>
  <c r="AL55" i="61"/>
  <c r="AN54" i="61"/>
  <c r="AM54" i="61"/>
  <c r="AL54" i="61"/>
  <c r="AN53" i="61"/>
  <c r="AM53" i="61"/>
  <c r="AL53" i="61"/>
  <c r="AN52" i="61"/>
  <c r="AM52" i="61"/>
  <c r="AL52" i="61"/>
  <c r="AN51" i="61"/>
  <c r="AM51" i="61"/>
  <c r="AL51" i="61"/>
  <c r="AN50" i="61"/>
  <c r="AM50" i="61"/>
  <c r="AL50" i="61"/>
  <c r="AN49" i="61"/>
  <c r="AM49" i="61"/>
  <c r="AL49" i="61"/>
  <c r="AN48" i="61"/>
  <c r="AM48" i="61"/>
  <c r="AL48" i="61"/>
  <c r="AN47" i="61"/>
  <c r="AM47" i="61"/>
  <c r="AL47" i="61"/>
  <c r="AN46" i="61"/>
  <c r="AM46" i="61"/>
  <c r="AL46" i="61"/>
  <c r="AN45" i="61"/>
  <c r="AM45" i="61"/>
  <c r="AL45" i="61"/>
  <c r="AN44" i="61"/>
  <c r="AM44" i="61"/>
  <c r="AL44" i="61"/>
  <c r="AN42" i="61"/>
  <c r="AM42" i="61"/>
  <c r="AL42" i="61"/>
  <c r="AN41" i="61"/>
  <c r="AM41" i="61"/>
  <c r="AL41" i="61"/>
  <c r="AN40" i="61"/>
  <c r="AM40" i="61"/>
  <c r="AL40" i="61"/>
  <c r="AN39" i="61"/>
  <c r="AM39" i="61"/>
  <c r="AL39" i="61"/>
  <c r="AN38" i="61"/>
  <c r="AM38" i="61"/>
  <c r="AL38" i="61"/>
  <c r="AN37" i="61"/>
  <c r="AM37" i="61"/>
  <c r="AL37" i="61"/>
  <c r="AN36" i="61"/>
  <c r="AM36" i="61"/>
  <c r="AL36" i="61"/>
  <c r="AN35" i="61"/>
  <c r="AM35" i="61"/>
  <c r="AL35" i="61"/>
  <c r="AN34" i="61"/>
  <c r="AM34" i="61"/>
  <c r="AL34" i="61"/>
  <c r="AN33" i="61"/>
  <c r="AM33" i="61"/>
  <c r="AL33" i="61"/>
  <c r="AN32" i="61"/>
  <c r="AM32" i="61"/>
  <c r="AL32" i="61"/>
  <c r="AN31" i="61"/>
  <c r="AM31" i="61"/>
  <c r="AL31" i="61"/>
  <c r="AN30" i="61"/>
  <c r="AM30" i="61"/>
  <c r="AL30" i="61"/>
  <c r="AN29" i="61"/>
  <c r="AM29" i="61"/>
  <c r="AL29" i="61"/>
  <c r="AN28" i="61"/>
  <c r="AM28" i="61"/>
  <c r="AL28" i="61"/>
  <c r="AN26" i="61"/>
  <c r="AM26" i="61"/>
  <c r="AL26" i="61"/>
  <c r="AN25" i="61"/>
  <c r="AM25" i="61"/>
  <c r="AL25" i="61"/>
  <c r="AN23" i="61"/>
  <c r="AM23" i="61"/>
  <c r="AL23" i="61"/>
  <c r="AN22" i="61"/>
  <c r="AM22" i="61"/>
  <c r="AL22" i="61"/>
  <c r="AN21" i="61"/>
  <c r="AM21" i="61"/>
  <c r="AL21" i="61"/>
  <c r="AN20" i="61"/>
  <c r="AM20" i="61"/>
  <c r="AL20" i="61"/>
  <c r="AN19" i="61"/>
  <c r="AM19" i="61"/>
  <c r="AL19" i="61"/>
  <c r="AN18" i="61"/>
  <c r="AM18" i="61"/>
  <c r="AL18" i="61"/>
  <c r="AN17" i="61"/>
  <c r="AM17" i="61"/>
  <c r="AL17" i="61"/>
  <c r="AN16" i="61"/>
  <c r="AM16" i="61"/>
  <c r="AL16" i="61"/>
  <c r="AN15" i="61"/>
  <c r="AM15" i="61"/>
  <c r="AL15" i="61"/>
  <c r="AN14" i="61"/>
  <c r="AM14" i="61"/>
  <c r="AL14" i="61"/>
  <c r="AN13" i="61"/>
  <c r="AM13" i="61"/>
  <c r="AL13" i="61"/>
  <c r="AN12" i="61"/>
  <c r="AM12" i="61"/>
  <c r="AL12" i="61"/>
  <c r="AN11" i="61"/>
  <c r="AM11" i="61"/>
  <c r="AL11" i="61"/>
  <c r="AN10" i="61"/>
  <c r="AM10" i="61"/>
  <c r="AL10" i="61"/>
  <c r="AN9" i="61"/>
  <c r="AM9" i="61"/>
  <c r="AL9" i="61"/>
  <c r="AN8" i="61"/>
  <c r="AM8" i="61"/>
  <c r="AL8" i="61"/>
  <c r="AN7" i="61"/>
  <c r="AM7" i="61"/>
  <c r="AL7" i="61"/>
  <c r="AN6" i="61"/>
  <c r="AM6" i="61"/>
  <c r="AL6" i="61"/>
  <c r="AN5" i="61"/>
  <c r="AM5" i="61"/>
  <c r="AL5" i="61"/>
  <c r="AN4" i="61"/>
  <c r="AM4" i="61"/>
  <c r="AL4" i="61"/>
  <c r="AN3" i="61"/>
  <c r="AM3" i="61"/>
  <c r="AL3" i="61"/>
  <c r="AK72" i="61"/>
  <c r="AJ72" i="61"/>
  <c r="AI72" i="61"/>
  <c r="AK69" i="61"/>
  <c r="AJ69" i="61"/>
  <c r="AI69" i="61"/>
  <c r="AK68" i="61"/>
  <c r="AK67" i="61"/>
  <c r="AK66" i="61"/>
  <c r="AK65" i="61"/>
  <c r="AJ65" i="61"/>
  <c r="AI65" i="61"/>
  <c r="AK64" i="61"/>
  <c r="AK63" i="61"/>
  <c r="AK62" i="61"/>
  <c r="AK61" i="61"/>
  <c r="AK60" i="61"/>
  <c r="AK59" i="61"/>
  <c r="AK47" i="61"/>
  <c r="AJ47" i="61"/>
  <c r="AI47" i="61"/>
  <c r="AK42" i="61"/>
  <c r="AJ42" i="61"/>
  <c r="AI42" i="61"/>
  <c r="AK41" i="61"/>
  <c r="AK40" i="61"/>
  <c r="AJ40" i="61"/>
  <c r="AI40" i="61"/>
  <c r="AK39" i="61"/>
  <c r="AJ39" i="61"/>
  <c r="AI39" i="61"/>
  <c r="AK36" i="61"/>
  <c r="AJ36" i="61"/>
  <c r="AI36" i="61"/>
  <c r="AK34" i="61"/>
  <c r="AJ34" i="61"/>
  <c r="AI34" i="61"/>
  <c r="AK29" i="61"/>
  <c r="AJ29" i="61"/>
  <c r="AI29" i="61"/>
  <c r="AK22" i="61"/>
  <c r="AJ22" i="61"/>
  <c r="AI22" i="61"/>
  <c r="AK20" i="61"/>
  <c r="AJ20" i="61"/>
  <c r="AI20" i="61"/>
  <c r="AK19" i="61"/>
  <c r="AJ19" i="61"/>
  <c r="AI19" i="61"/>
  <c r="AK18" i="61"/>
  <c r="AJ18" i="61"/>
  <c r="AI18" i="61"/>
  <c r="AK17" i="61"/>
  <c r="AJ17" i="61"/>
  <c r="AI17" i="61"/>
  <c r="AK14" i="61"/>
  <c r="AJ14" i="61"/>
  <c r="AI14" i="61"/>
  <c r="AH76" i="61"/>
  <c r="AG76" i="61"/>
  <c r="AF76" i="61"/>
  <c r="AG75" i="61"/>
  <c r="AF75" i="61"/>
  <c r="AH74" i="61"/>
  <c r="AG74" i="61"/>
  <c r="AF74" i="61"/>
  <c r="AH73" i="61"/>
  <c r="AG73" i="61"/>
  <c r="AF73" i="61"/>
  <c r="AH72" i="61"/>
  <c r="AG72" i="61"/>
  <c r="AF72" i="61"/>
  <c r="AH69" i="61"/>
  <c r="AG69" i="61"/>
  <c r="AF69" i="61"/>
  <c r="AH68" i="61"/>
  <c r="AH67" i="61"/>
  <c r="AH66" i="61"/>
  <c r="AH65" i="61"/>
  <c r="AG65" i="61"/>
  <c r="AF65" i="61"/>
  <c r="AH64" i="61"/>
  <c r="AG64" i="61"/>
  <c r="AF64" i="61"/>
  <c r="AH63" i="61"/>
  <c r="AH62" i="61"/>
  <c r="AG62" i="61"/>
  <c r="AF62" i="61"/>
  <c r="AH61" i="61"/>
  <c r="AG61" i="61"/>
  <c r="AF61" i="61"/>
  <c r="AH60" i="61"/>
  <c r="AH59" i="61"/>
  <c r="AG59" i="61"/>
  <c r="AF59" i="61"/>
  <c r="AH57" i="61"/>
  <c r="AG57" i="61"/>
  <c r="AF57" i="61"/>
  <c r="AH56" i="61"/>
  <c r="AG56" i="61"/>
  <c r="AF56" i="61"/>
  <c r="AH55" i="61"/>
  <c r="AG55" i="61"/>
  <c r="AF55" i="61"/>
  <c r="AH53" i="61"/>
  <c r="AG53" i="61"/>
  <c r="AF53" i="61"/>
  <c r="AH52" i="61"/>
  <c r="AG52" i="61"/>
  <c r="AF52" i="61"/>
  <c r="AH51" i="61"/>
  <c r="AG51" i="61"/>
  <c r="AF51" i="61"/>
  <c r="AH49" i="61"/>
  <c r="AG49" i="61"/>
  <c r="AF49" i="61"/>
  <c r="AH48" i="61"/>
  <c r="AG48" i="61"/>
  <c r="AF48" i="61"/>
  <c r="AH47" i="61"/>
  <c r="AG47" i="61"/>
  <c r="AF47" i="61"/>
  <c r="AH46" i="61"/>
  <c r="AG46" i="61"/>
  <c r="AF46" i="61"/>
  <c r="AH45" i="61"/>
  <c r="AG45" i="61"/>
  <c r="AF45" i="61"/>
  <c r="AH44" i="61"/>
  <c r="AG44" i="61"/>
  <c r="AF44" i="61"/>
  <c r="AG43" i="61"/>
  <c r="AF43" i="61"/>
  <c r="AH42" i="61"/>
  <c r="AG42" i="61"/>
  <c r="AF42" i="61"/>
  <c r="AH41" i="61"/>
  <c r="AG41" i="61"/>
  <c r="AF41" i="61"/>
  <c r="AH40" i="61"/>
  <c r="AG40" i="61"/>
  <c r="AF40" i="61"/>
  <c r="AH39" i="61"/>
  <c r="AG39" i="61"/>
  <c r="AF39" i="61"/>
  <c r="AH38" i="61"/>
  <c r="AG38" i="61"/>
  <c r="AF38" i="61"/>
  <c r="AH37" i="61"/>
  <c r="AG37" i="61"/>
  <c r="AF37" i="61"/>
  <c r="AH36" i="61"/>
  <c r="AG36" i="61"/>
  <c r="AF36" i="61"/>
  <c r="AH35" i="61"/>
  <c r="AG35" i="61"/>
  <c r="AF35" i="61"/>
  <c r="AH34" i="61"/>
  <c r="AG34" i="61"/>
  <c r="AF34" i="61"/>
  <c r="AH33" i="61"/>
  <c r="AG33" i="61"/>
  <c r="AF33" i="61"/>
  <c r="AH32" i="61"/>
  <c r="AG32" i="61"/>
  <c r="AF32" i="61"/>
  <c r="AH31" i="61"/>
  <c r="AG31" i="61"/>
  <c r="AF31" i="61"/>
  <c r="AH30" i="61"/>
  <c r="AG30" i="61"/>
  <c r="AF30" i="61"/>
  <c r="AH29" i="61"/>
  <c r="AG29" i="61"/>
  <c r="AF29" i="61"/>
  <c r="AH25" i="61"/>
  <c r="AG25" i="61"/>
  <c r="AF25" i="61"/>
  <c r="AH23" i="61"/>
  <c r="AG23" i="61"/>
  <c r="AF23" i="61"/>
  <c r="AH22" i="61"/>
  <c r="AG22" i="61"/>
  <c r="AF22" i="61"/>
  <c r="AH21" i="61"/>
  <c r="AG21" i="61"/>
  <c r="AF21" i="61"/>
  <c r="AH20" i="61"/>
  <c r="AG20" i="61"/>
  <c r="AF20" i="61"/>
  <c r="AH19" i="61"/>
  <c r="AG19" i="61"/>
  <c r="AF19" i="61"/>
  <c r="AH18" i="61"/>
  <c r="AG18" i="61"/>
  <c r="AF18" i="61"/>
  <c r="AH17" i="61"/>
  <c r="AG17" i="61"/>
  <c r="AF17" i="61"/>
  <c r="AH16" i="61"/>
  <c r="AG16" i="61"/>
  <c r="AF16" i="61"/>
  <c r="AH15" i="61"/>
  <c r="AG15" i="61"/>
  <c r="AF15" i="61"/>
  <c r="AH14" i="61"/>
  <c r="AG14" i="61"/>
  <c r="AF14" i="61"/>
  <c r="AH12" i="61"/>
  <c r="AG12" i="61"/>
  <c r="AF12" i="61"/>
  <c r="AH10" i="61"/>
  <c r="AG10" i="61"/>
  <c r="AF10" i="61"/>
  <c r="AH8" i="61"/>
  <c r="AG8" i="61"/>
  <c r="AF8" i="61"/>
  <c r="AH5" i="61"/>
  <c r="AG5" i="61"/>
  <c r="AF5" i="61"/>
  <c r="AE76" i="61"/>
  <c r="AD76" i="61"/>
  <c r="AC76" i="61"/>
  <c r="AE75" i="61"/>
  <c r="AD75" i="61"/>
  <c r="AC75" i="61"/>
  <c r="AE74" i="61"/>
  <c r="AD74" i="61"/>
  <c r="AC74" i="61"/>
  <c r="AE73" i="61"/>
  <c r="AD73" i="61"/>
  <c r="AC73" i="61"/>
  <c r="AE72" i="61"/>
  <c r="AD72" i="61"/>
  <c r="AC72" i="61"/>
  <c r="AE71" i="61"/>
  <c r="AD71" i="61"/>
  <c r="AC71" i="61"/>
  <c r="AE70" i="61"/>
  <c r="AD70" i="61"/>
  <c r="AC70" i="61"/>
  <c r="AE69" i="61"/>
  <c r="AD69" i="61"/>
  <c r="AC69" i="61"/>
  <c r="AE68" i="61"/>
  <c r="AD68" i="61"/>
  <c r="AC68" i="61"/>
  <c r="AE67" i="61"/>
  <c r="AD67" i="61"/>
  <c r="AC67" i="61"/>
  <c r="AE66" i="61"/>
  <c r="AD66" i="61"/>
  <c r="AC66" i="61"/>
  <c r="AE65" i="61"/>
  <c r="AD65" i="61"/>
  <c r="AC65" i="61"/>
  <c r="AE64" i="61"/>
  <c r="AD64" i="61"/>
  <c r="AC64" i="61"/>
  <c r="AE63" i="61"/>
  <c r="AD63" i="61"/>
  <c r="AC63" i="61"/>
  <c r="AE62" i="61"/>
  <c r="AD62" i="61"/>
  <c r="AC62" i="61"/>
  <c r="AE61" i="61"/>
  <c r="AD61" i="61"/>
  <c r="AC61" i="61"/>
  <c r="AE60" i="61"/>
  <c r="AD60" i="61"/>
  <c r="AC60" i="61"/>
  <c r="AE59" i="61"/>
  <c r="AD59" i="61"/>
  <c r="AC59" i="61"/>
  <c r="AE58" i="61"/>
  <c r="AD58" i="61"/>
  <c r="AC58" i="61"/>
  <c r="AE56" i="61"/>
  <c r="AD56" i="61"/>
  <c r="AC56" i="61"/>
  <c r="AE55" i="61"/>
  <c r="AD55" i="61"/>
  <c r="AC55" i="61"/>
  <c r="AE53" i="61"/>
  <c r="AD53" i="61"/>
  <c r="AC53" i="61"/>
  <c r="AE52" i="61"/>
  <c r="AD52" i="61"/>
  <c r="AC52" i="61"/>
  <c r="AE51" i="61"/>
  <c r="AD51" i="61"/>
  <c r="AC51" i="61"/>
  <c r="AE49" i="61"/>
  <c r="AD49" i="61"/>
  <c r="AC49" i="61"/>
  <c r="AE48" i="61"/>
  <c r="AD48" i="61"/>
  <c r="AC48" i="61"/>
  <c r="AE47" i="61"/>
  <c r="AD47" i="61"/>
  <c r="AC47" i="61"/>
  <c r="AE46" i="61"/>
  <c r="AD46" i="61"/>
  <c r="AC46" i="61"/>
  <c r="AE45" i="61"/>
  <c r="AD45" i="61"/>
  <c r="AC45" i="61"/>
  <c r="AE44" i="61"/>
  <c r="AD44" i="61"/>
  <c r="AC44" i="61"/>
  <c r="AE43" i="61"/>
  <c r="AD43" i="61"/>
  <c r="AC43" i="61"/>
  <c r="AE42" i="61"/>
  <c r="AD42" i="61"/>
  <c r="AC42" i="61"/>
  <c r="AE41" i="61"/>
  <c r="AD41" i="61"/>
  <c r="AC41" i="61"/>
  <c r="AE40" i="61"/>
  <c r="AD40" i="61"/>
  <c r="AC40" i="61"/>
  <c r="AE39" i="61"/>
  <c r="AD39" i="61"/>
  <c r="AC39" i="61"/>
  <c r="AE38" i="61"/>
  <c r="AD38" i="61"/>
  <c r="AC38" i="61"/>
  <c r="AE37" i="61"/>
  <c r="AD37" i="61"/>
  <c r="AC37" i="61"/>
  <c r="AE36" i="61"/>
  <c r="AD36" i="61"/>
  <c r="AC36" i="61"/>
  <c r="AE35" i="61"/>
  <c r="AD35" i="61"/>
  <c r="AC35" i="61"/>
  <c r="AE34" i="61"/>
  <c r="AD34" i="61"/>
  <c r="AC34" i="61"/>
  <c r="AE33" i="61"/>
  <c r="AD33" i="61"/>
  <c r="AC33" i="61"/>
  <c r="AE32" i="61"/>
  <c r="AD32" i="61"/>
  <c r="AC32" i="61"/>
  <c r="AE31" i="61"/>
  <c r="AD31" i="61"/>
  <c r="AC31" i="61"/>
  <c r="AE30" i="61"/>
  <c r="AD30" i="61"/>
  <c r="AC30" i="61"/>
  <c r="AE29" i="61"/>
  <c r="AD29" i="61"/>
  <c r="AC29" i="61"/>
  <c r="AE28" i="61"/>
  <c r="AD28" i="61"/>
  <c r="AC28" i="61"/>
  <c r="AE27" i="61"/>
  <c r="AD27" i="61"/>
  <c r="AC27" i="61"/>
  <c r="AE26" i="61"/>
  <c r="AD26" i="61"/>
  <c r="AC26" i="61"/>
  <c r="AE25" i="61"/>
  <c r="AD25" i="61"/>
  <c r="AC25" i="61"/>
  <c r="AE24" i="61"/>
  <c r="AD24" i="61"/>
  <c r="AC24" i="61"/>
  <c r="AE23" i="61"/>
  <c r="AD23" i="61"/>
  <c r="AC23" i="61"/>
  <c r="AE22" i="61"/>
  <c r="AD22" i="61"/>
  <c r="AC22" i="61"/>
  <c r="AE21" i="61"/>
  <c r="AD21" i="61"/>
  <c r="AC21" i="61"/>
  <c r="AE20" i="61"/>
  <c r="AD20" i="61"/>
  <c r="AC20" i="61"/>
  <c r="AE19" i="61"/>
  <c r="AD19" i="61"/>
  <c r="AC19" i="61"/>
  <c r="AE18" i="61"/>
  <c r="AD18" i="61"/>
  <c r="AC18" i="61"/>
  <c r="AE17" i="61"/>
  <c r="AD17" i="61"/>
  <c r="AC17" i="61"/>
  <c r="AE16" i="61"/>
  <c r="AD16" i="61"/>
  <c r="AC16" i="61"/>
  <c r="AE15" i="61"/>
  <c r="AD15" i="61"/>
  <c r="AC15" i="61"/>
  <c r="AE14" i="61"/>
  <c r="AD14" i="61"/>
  <c r="AC14" i="61"/>
  <c r="AE13" i="61"/>
  <c r="AD13" i="61"/>
  <c r="AC13" i="61"/>
  <c r="AE12" i="61"/>
  <c r="AD12" i="61"/>
  <c r="AC12" i="61"/>
  <c r="AE11" i="61"/>
  <c r="AD11" i="61"/>
  <c r="AC11" i="61"/>
  <c r="AE10" i="61"/>
  <c r="AD10" i="61"/>
  <c r="AC10" i="61"/>
  <c r="AE9" i="61"/>
  <c r="AD9" i="61"/>
  <c r="AC9" i="61"/>
  <c r="AE8" i="61"/>
  <c r="AD8" i="61"/>
  <c r="AC8" i="61"/>
  <c r="AE7" i="61"/>
  <c r="AD7" i="61"/>
  <c r="AC7" i="61"/>
  <c r="AE6" i="61"/>
  <c r="AD6" i="61"/>
  <c r="AC6" i="61"/>
  <c r="AE5" i="61"/>
  <c r="AD5" i="61"/>
  <c r="AC5" i="61"/>
  <c r="AE4" i="61"/>
  <c r="AD4" i="61"/>
  <c r="AC4" i="61"/>
  <c r="AE3" i="61"/>
  <c r="AD3" i="61"/>
  <c r="AC3" i="61"/>
  <c r="AB75" i="61"/>
  <c r="AA75" i="61"/>
  <c r="Z75" i="61"/>
  <c r="AB70" i="61"/>
  <c r="AA70" i="61"/>
  <c r="Z70" i="61"/>
  <c r="AB69" i="61"/>
  <c r="AA69" i="61"/>
  <c r="Z69" i="61"/>
  <c r="AB68" i="61"/>
  <c r="AB67" i="61"/>
  <c r="AA67" i="61"/>
  <c r="Z67" i="61"/>
  <c r="AB66" i="61"/>
  <c r="AA66" i="61"/>
  <c r="Z66" i="61"/>
  <c r="AB65" i="61"/>
  <c r="AA65" i="61"/>
  <c r="Z65" i="61"/>
  <c r="AB64" i="61"/>
  <c r="AB63" i="61"/>
  <c r="AB62" i="61"/>
  <c r="AB61" i="61"/>
  <c r="AB60" i="61"/>
  <c r="AB59" i="61"/>
  <c r="AB58" i="61"/>
  <c r="AA58" i="61"/>
  <c r="Z58" i="61"/>
  <c r="AB57" i="61"/>
  <c r="AA57" i="61"/>
  <c r="Z57" i="61"/>
  <c r="AB56" i="61"/>
  <c r="AA56" i="61"/>
  <c r="Z56" i="61"/>
  <c r="AB55" i="61"/>
  <c r="AA55" i="61"/>
  <c r="Z55" i="61"/>
  <c r="AB54" i="61"/>
  <c r="AA54" i="61"/>
  <c r="Z54" i="61"/>
  <c r="AB53" i="61"/>
  <c r="AA53" i="61"/>
  <c r="Z53" i="61"/>
  <c r="AB52" i="61"/>
  <c r="AA52" i="61"/>
  <c r="Z52" i="61"/>
  <c r="AB51" i="61"/>
  <c r="AA51" i="61"/>
  <c r="Z51" i="61"/>
  <c r="AB50" i="61"/>
  <c r="AA50" i="61"/>
  <c r="Z50" i="61"/>
  <c r="AB49" i="61"/>
  <c r="AA49" i="61"/>
  <c r="Z49" i="61"/>
  <c r="AB48" i="61"/>
  <c r="AA48" i="61"/>
  <c r="Z48" i="61"/>
  <c r="AB47" i="61"/>
  <c r="AA47" i="61"/>
  <c r="Z47" i="61"/>
  <c r="AB46" i="61"/>
  <c r="AA46" i="61"/>
  <c r="Z46" i="61"/>
  <c r="AB45" i="61"/>
  <c r="AA45" i="61"/>
  <c r="Z45" i="61"/>
  <c r="AB44" i="61"/>
  <c r="AA44" i="61"/>
  <c r="Z44" i="61"/>
  <c r="AB42" i="61"/>
  <c r="AA42" i="61"/>
  <c r="Z42" i="61"/>
  <c r="AB41" i="61"/>
  <c r="AA41" i="61"/>
  <c r="Z41" i="61"/>
  <c r="AB40" i="61"/>
  <c r="AA40" i="61"/>
  <c r="Z40" i="61"/>
  <c r="AB39" i="61"/>
  <c r="AA39" i="61"/>
  <c r="Z39" i="61"/>
  <c r="AB38" i="61"/>
  <c r="AA38" i="61"/>
  <c r="Z38" i="61"/>
  <c r="AB37" i="61"/>
  <c r="AA37" i="61"/>
  <c r="Z37" i="61"/>
  <c r="AB36" i="61"/>
  <c r="AA36" i="61"/>
  <c r="Z36" i="61"/>
  <c r="AB35" i="61"/>
  <c r="AA35" i="61"/>
  <c r="Z35" i="61"/>
  <c r="AB34" i="61"/>
  <c r="AA34" i="61"/>
  <c r="Z34" i="61"/>
  <c r="AB33" i="61"/>
  <c r="AA33" i="61"/>
  <c r="Z33" i="61"/>
  <c r="AB31" i="61"/>
  <c r="AA31" i="61"/>
  <c r="Z31" i="61"/>
  <c r="AB29" i="61"/>
  <c r="AA29" i="61"/>
  <c r="Z29" i="61"/>
  <c r="AB28" i="61"/>
  <c r="AA28" i="61"/>
  <c r="Z28" i="61"/>
  <c r="AB26" i="61"/>
  <c r="AA26" i="61"/>
  <c r="Z26" i="61"/>
  <c r="AB24" i="61"/>
  <c r="AA24" i="61"/>
  <c r="Z24" i="61"/>
  <c r="AB23" i="61"/>
  <c r="AA23" i="61"/>
  <c r="Z23" i="61"/>
  <c r="AB22" i="61"/>
  <c r="AA22" i="61"/>
  <c r="Z22" i="61"/>
  <c r="AB21" i="61"/>
  <c r="AA21" i="61"/>
  <c r="Z21" i="61"/>
  <c r="AB20" i="61"/>
  <c r="AA20" i="61"/>
  <c r="Z20" i="61"/>
  <c r="AB19" i="61"/>
  <c r="AA19" i="61"/>
  <c r="Z19" i="61"/>
  <c r="AB18" i="61"/>
  <c r="AA18" i="61"/>
  <c r="Z18" i="61"/>
  <c r="AB17" i="61"/>
  <c r="AA17" i="61"/>
  <c r="Z17" i="61"/>
  <c r="AB16" i="61"/>
  <c r="AA16" i="61"/>
  <c r="Z16" i="61"/>
  <c r="AB14" i="61"/>
  <c r="AA14" i="61"/>
  <c r="Z14" i="61"/>
  <c r="AB13" i="61"/>
  <c r="AA13" i="61"/>
  <c r="Z13" i="61"/>
  <c r="AB12" i="61"/>
  <c r="AB7" i="61"/>
  <c r="AA7" i="61"/>
  <c r="Z7" i="61"/>
  <c r="Y76" i="61"/>
  <c r="X76" i="61"/>
  <c r="W76" i="61"/>
  <c r="Y75" i="61"/>
  <c r="X75" i="61"/>
  <c r="W75" i="61"/>
  <c r="Y74" i="61"/>
  <c r="X74" i="61"/>
  <c r="W74" i="61"/>
  <c r="Y73" i="61"/>
  <c r="X73" i="61"/>
  <c r="W73" i="61"/>
  <c r="Y72" i="61"/>
  <c r="X72" i="61"/>
  <c r="W72" i="61"/>
  <c r="Y71" i="61"/>
  <c r="X71" i="61"/>
  <c r="W71" i="61"/>
  <c r="Y70" i="61"/>
  <c r="X70" i="61"/>
  <c r="W70" i="61"/>
  <c r="Y69" i="61"/>
  <c r="X69" i="61"/>
  <c r="W69" i="61"/>
  <c r="Y68" i="61"/>
  <c r="X68" i="61"/>
  <c r="W68" i="61"/>
  <c r="Y67" i="61"/>
  <c r="X67" i="61"/>
  <c r="W67" i="61"/>
  <c r="Y66" i="61"/>
  <c r="X66" i="61"/>
  <c r="W66" i="61"/>
  <c r="Y65" i="61"/>
  <c r="X65" i="61"/>
  <c r="W65" i="61"/>
  <c r="Y64" i="61"/>
  <c r="X64" i="61"/>
  <c r="W64" i="61"/>
  <c r="Y63" i="61"/>
  <c r="X63" i="61"/>
  <c r="W63" i="61"/>
  <c r="Y62" i="61"/>
  <c r="X62" i="61"/>
  <c r="W62" i="61"/>
  <c r="Y61" i="61"/>
  <c r="X61" i="61"/>
  <c r="W61" i="61"/>
  <c r="Y60" i="61"/>
  <c r="X60" i="61"/>
  <c r="W60" i="61"/>
  <c r="Y59" i="61"/>
  <c r="X59" i="61"/>
  <c r="W59" i="61"/>
  <c r="Y52" i="61"/>
  <c r="X52" i="61"/>
  <c r="W52" i="61"/>
  <c r="Y51" i="61"/>
  <c r="X51" i="61"/>
  <c r="W51" i="61"/>
  <c r="Y50" i="61"/>
  <c r="X50" i="61"/>
  <c r="W50" i="61"/>
  <c r="Y49" i="61"/>
  <c r="X49" i="61"/>
  <c r="W49" i="61"/>
  <c r="Y48" i="61"/>
  <c r="X48" i="61"/>
  <c r="W48" i="61"/>
  <c r="Y47" i="61"/>
  <c r="X47" i="61"/>
  <c r="W47" i="61"/>
  <c r="Y46" i="61"/>
  <c r="X46" i="61"/>
  <c r="W46" i="61"/>
  <c r="Y45" i="61"/>
  <c r="X45" i="61"/>
  <c r="W45" i="61"/>
  <c r="Y44" i="61"/>
  <c r="X44" i="61"/>
  <c r="W44" i="61"/>
  <c r="Y43" i="61"/>
  <c r="X43" i="61"/>
  <c r="W43" i="61"/>
  <c r="Y42" i="61"/>
  <c r="X42" i="61"/>
  <c r="W42" i="61"/>
  <c r="Y41" i="61"/>
  <c r="X41" i="61"/>
  <c r="W41" i="61"/>
  <c r="Y40" i="61"/>
  <c r="X40" i="61"/>
  <c r="W40" i="61"/>
  <c r="Y39" i="61"/>
  <c r="X39" i="61"/>
  <c r="W39" i="61"/>
  <c r="Y38" i="61"/>
  <c r="X38" i="61"/>
  <c r="W38" i="61"/>
  <c r="Y37" i="61"/>
  <c r="X37" i="61"/>
  <c r="W37" i="61"/>
  <c r="Y36" i="61"/>
  <c r="X36" i="61"/>
  <c r="W36" i="61"/>
  <c r="Y35" i="61"/>
  <c r="X35" i="61"/>
  <c r="W35" i="61"/>
  <c r="Y34" i="61"/>
  <c r="X34" i="61"/>
  <c r="W34" i="61"/>
  <c r="Y33" i="61"/>
  <c r="X33" i="61"/>
  <c r="W33" i="61"/>
  <c r="Y32" i="61"/>
  <c r="X32" i="61"/>
  <c r="W32" i="61"/>
  <c r="Y31" i="61"/>
  <c r="X31" i="61"/>
  <c r="W31" i="61"/>
  <c r="Y30" i="61"/>
  <c r="X30" i="61"/>
  <c r="W30" i="61"/>
  <c r="Y29" i="61"/>
  <c r="X29" i="61"/>
  <c r="W29" i="61"/>
  <c r="Y28" i="61"/>
  <c r="X28" i="61"/>
  <c r="W28" i="61"/>
  <c r="Y27" i="61"/>
  <c r="X27" i="61"/>
  <c r="W27" i="61"/>
  <c r="Y26" i="61"/>
  <c r="X26" i="61"/>
  <c r="W26" i="61"/>
  <c r="Y25" i="61"/>
  <c r="X25" i="61"/>
  <c r="W25" i="61"/>
  <c r="Y24" i="61"/>
  <c r="X24" i="61"/>
  <c r="W24" i="61"/>
  <c r="Y23" i="61"/>
  <c r="X23" i="61"/>
  <c r="W23" i="61"/>
  <c r="Y22" i="61"/>
  <c r="X22" i="61"/>
  <c r="W22" i="61"/>
  <c r="Y21" i="61"/>
  <c r="X21" i="61"/>
  <c r="W21" i="61"/>
  <c r="Y20" i="61"/>
  <c r="X20" i="61"/>
  <c r="W20" i="61"/>
  <c r="Y19" i="61"/>
  <c r="X19" i="61"/>
  <c r="W19" i="61"/>
  <c r="Y18" i="61"/>
  <c r="X18" i="61"/>
  <c r="W18" i="61"/>
  <c r="Y17" i="61"/>
  <c r="X17" i="61"/>
  <c r="W17" i="61"/>
  <c r="Y16" i="61"/>
  <c r="X16" i="61"/>
  <c r="W16" i="61"/>
  <c r="Y15" i="61"/>
  <c r="X15" i="61"/>
  <c r="W15" i="61"/>
  <c r="Y14" i="61"/>
  <c r="X14" i="61"/>
  <c r="W14" i="61"/>
  <c r="Y13" i="61"/>
  <c r="X13" i="61"/>
  <c r="W13" i="61"/>
  <c r="Y12" i="61"/>
  <c r="X12" i="61"/>
  <c r="W12" i="61"/>
  <c r="Y11" i="61"/>
  <c r="X11" i="61"/>
  <c r="W11" i="61"/>
  <c r="Y10" i="61"/>
  <c r="X10" i="61"/>
  <c r="W10" i="61"/>
  <c r="Y9" i="61"/>
  <c r="X9" i="61"/>
  <c r="W9" i="61"/>
  <c r="Y8" i="61"/>
  <c r="X8" i="61"/>
  <c r="W8" i="61"/>
  <c r="Y7" i="61"/>
  <c r="X7" i="61"/>
  <c r="W7" i="61"/>
  <c r="Y6" i="61"/>
  <c r="X6" i="61"/>
  <c r="W6" i="61"/>
  <c r="Y5" i="61"/>
  <c r="X5" i="61"/>
  <c r="W5" i="61"/>
  <c r="Y4" i="61"/>
  <c r="X4" i="61"/>
  <c r="W4" i="61"/>
  <c r="Y3" i="61"/>
  <c r="X3" i="61"/>
  <c r="W3" i="61"/>
  <c r="V76" i="61"/>
  <c r="U76" i="61"/>
  <c r="T76" i="61"/>
  <c r="V75" i="61"/>
  <c r="U75" i="61"/>
  <c r="T75" i="61"/>
  <c r="V74" i="61"/>
  <c r="U74" i="61"/>
  <c r="T74" i="61"/>
  <c r="V73" i="61"/>
  <c r="U73" i="61"/>
  <c r="T73" i="61"/>
  <c r="V72" i="61"/>
  <c r="U72" i="61"/>
  <c r="T72" i="61"/>
  <c r="V71" i="61"/>
  <c r="U71" i="61"/>
  <c r="T71" i="61"/>
  <c r="V70" i="61"/>
  <c r="U70" i="61"/>
  <c r="T70" i="61"/>
  <c r="V69" i="61"/>
  <c r="U69" i="61"/>
  <c r="T69" i="61"/>
  <c r="V68" i="61"/>
  <c r="U68" i="61"/>
  <c r="T68" i="61"/>
  <c r="V67" i="61"/>
  <c r="U67" i="61"/>
  <c r="T67" i="61"/>
  <c r="V66" i="61"/>
  <c r="U66" i="61"/>
  <c r="T66" i="61"/>
  <c r="V65" i="61"/>
  <c r="U65" i="61"/>
  <c r="T65" i="61"/>
  <c r="V64" i="61"/>
  <c r="U64" i="61"/>
  <c r="T64" i="61"/>
  <c r="V63" i="61"/>
  <c r="U63" i="61"/>
  <c r="T63" i="61"/>
  <c r="V62" i="61"/>
  <c r="U62" i="61"/>
  <c r="T62" i="61"/>
  <c r="V61" i="61"/>
  <c r="U61" i="61"/>
  <c r="T61" i="61"/>
  <c r="V60" i="61"/>
  <c r="U60" i="61"/>
  <c r="T60" i="61"/>
  <c r="V59" i="61"/>
  <c r="U59" i="61"/>
  <c r="T59" i="61"/>
  <c r="V58" i="61"/>
  <c r="U58" i="61"/>
  <c r="T58" i="61"/>
  <c r="V57" i="61"/>
  <c r="U57" i="61"/>
  <c r="T57" i="61"/>
  <c r="V56" i="61"/>
  <c r="U56" i="61"/>
  <c r="T56" i="61"/>
  <c r="V55" i="61"/>
  <c r="U55" i="61"/>
  <c r="T55" i="61"/>
  <c r="V54" i="61"/>
  <c r="U54" i="61"/>
  <c r="T54" i="61"/>
  <c r="V53" i="61"/>
  <c r="U53" i="61"/>
  <c r="T53" i="61"/>
  <c r="V52" i="61"/>
  <c r="U52" i="61"/>
  <c r="T52" i="61"/>
  <c r="V51" i="61"/>
  <c r="U51" i="61"/>
  <c r="T51" i="61"/>
  <c r="V50" i="61"/>
  <c r="U50" i="61"/>
  <c r="T50" i="61"/>
  <c r="V49" i="61"/>
  <c r="U49" i="61"/>
  <c r="T49" i="61"/>
  <c r="V48" i="61"/>
  <c r="U48" i="61"/>
  <c r="T48" i="61"/>
  <c r="V47" i="61"/>
  <c r="U47" i="61"/>
  <c r="T47" i="61"/>
  <c r="V46" i="61"/>
  <c r="U46" i="61"/>
  <c r="T46" i="61"/>
  <c r="V45" i="61"/>
  <c r="U45" i="61"/>
  <c r="T45" i="61"/>
  <c r="V44" i="61"/>
  <c r="U44" i="61"/>
  <c r="T44" i="61"/>
  <c r="V43" i="61"/>
  <c r="U43" i="61"/>
  <c r="T43" i="61"/>
  <c r="V42" i="61"/>
  <c r="U42" i="61"/>
  <c r="T42" i="61"/>
  <c r="V41" i="61"/>
  <c r="U41" i="61"/>
  <c r="T41" i="61"/>
  <c r="V40" i="61"/>
  <c r="U40" i="61"/>
  <c r="T40" i="61"/>
  <c r="V39" i="61"/>
  <c r="U39" i="61"/>
  <c r="T39" i="61"/>
  <c r="V38" i="61"/>
  <c r="U38" i="61"/>
  <c r="T38" i="61"/>
  <c r="V37" i="61"/>
  <c r="U37" i="61"/>
  <c r="T37" i="61"/>
  <c r="V36" i="61"/>
  <c r="U36" i="61"/>
  <c r="T36" i="61"/>
  <c r="V35" i="61"/>
  <c r="U35" i="61"/>
  <c r="T35" i="61"/>
  <c r="V34" i="61"/>
  <c r="U34" i="61"/>
  <c r="T34" i="61"/>
  <c r="V33" i="61"/>
  <c r="U33" i="61"/>
  <c r="T33" i="61"/>
  <c r="V32" i="61"/>
  <c r="U32" i="61"/>
  <c r="T32" i="61"/>
  <c r="V31" i="61"/>
  <c r="U31" i="61"/>
  <c r="T31" i="61"/>
  <c r="V30" i="61"/>
  <c r="U30" i="61"/>
  <c r="T30" i="61"/>
  <c r="V29" i="61"/>
  <c r="U29" i="61"/>
  <c r="T29" i="61"/>
  <c r="V28" i="61"/>
  <c r="U28" i="61"/>
  <c r="T28" i="61"/>
  <c r="V27" i="61"/>
  <c r="U27" i="61"/>
  <c r="T27" i="61"/>
  <c r="V26" i="61"/>
  <c r="U26" i="61"/>
  <c r="T26" i="61"/>
  <c r="V25" i="61"/>
  <c r="U25" i="61"/>
  <c r="T25" i="61"/>
  <c r="V24" i="61"/>
  <c r="U24" i="61"/>
  <c r="T24" i="61"/>
  <c r="V23" i="61"/>
  <c r="U23" i="61"/>
  <c r="T23" i="61"/>
  <c r="V22" i="61"/>
  <c r="U22" i="61"/>
  <c r="T22" i="61"/>
  <c r="V21" i="61"/>
  <c r="U21" i="61"/>
  <c r="T21" i="61"/>
  <c r="V20" i="61"/>
  <c r="U20" i="61"/>
  <c r="T20" i="61"/>
  <c r="V19" i="61"/>
  <c r="U19" i="61"/>
  <c r="T19" i="61"/>
  <c r="V18" i="61"/>
  <c r="U18" i="61"/>
  <c r="T18" i="61"/>
  <c r="V17" i="61"/>
  <c r="U17" i="61"/>
  <c r="T17" i="61"/>
  <c r="V16" i="61"/>
  <c r="U16" i="61"/>
  <c r="T16" i="61"/>
  <c r="V15" i="61"/>
  <c r="U15" i="61"/>
  <c r="T15" i="61"/>
  <c r="V14" i="61"/>
  <c r="U14" i="61"/>
  <c r="T14" i="61"/>
  <c r="V13" i="61"/>
  <c r="U13" i="61"/>
  <c r="T13" i="61"/>
  <c r="V12" i="61"/>
  <c r="U12" i="61"/>
  <c r="T12" i="61"/>
  <c r="V11" i="61"/>
  <c r="U11" i="61"/>
  <c r="T11" i="61"/>
  <c r="V10" i="61"/>
  <c r="U10" i="61"/>
  <c r="T10" i="61"/>
  <c r="V9" i="61"/>
  <c r="U9" i="61"/>
  <c r="T9" i="61"/>
  <c r="V8" i="61"/>
  <c r="U8" i="61"/>
  <c r="T8" i="61"/>
  <c r="V7" i="61"/>
  <c r="U7" i="61"/>
  <c r="T7" i="61"/>
  <c r="V6" i="61"/>
  <c r="U6" i="61"/>
  <c r="T6" i="61"/>
  <c r="V5" i="61"/>
  <c r="U5" i="61"/>
  <c r="T5" i="61"/>
  <c r="V4" i="61"/>
  <c r="U4" i="61"/>
  <c r="T4" i="61"/>
  <c r="V3" i="61"/>
  <c r="U3" i="61"/>
  <c r="T3" i="61"/>
  <c r="S76" i="61"/>
  <c r="R76" i="61"/>
  <c r="Q76" i="61"/>
  <c r="S75" i="61"/>
  <c r="R75" i="61"/>
  <c r="Q75" i="61"/>
  <c r="S74" i="61"/>
  <c r="R74" i="61"/>
  <c r="Q74" i="61"/>
  <c r="S73" i="61"/>
  <c r="R73" i="61"/>
  <c r="Q73" i="61"/>
  <c r="S72" i="61"/>
  <c r="R72" i="61"/>
  <c r="Q72" i="61"/>
  <c r="S71" i="61"/>
  <c r="R71" i="61"/>
  <c r="Q71" i="61"/>
  <c r="S70" i="61"/>
  <c r="R70" i="61"/>
  <c r="Q70" i="61"/>
  <c r="S69" i="61"/>
  <c r="R69" i="61"/>
  <c r="Q69" i="61"/>
  <c r="S68" i="61"/>
  <c r="R68" i="61"/>
  <c r="Q68" i="61"/>
  <c r="S67" i="61"/>
  <c r="R67" i="61"/>
  <c r="Q67" i="61"/>
  <c r="S66" i="61"/>
  <c r="R66" i="61"/>
  <c r="Q66" i="61"/>
  <c r="S65" i="61"/>
  <c r="R65" i="61"/>
  <c r="Q65" i="61"/>
  <c r="S64" i="61"/>
  <c r="R64" i="61"/>
  <c r="Q64" i="61"/>
  <c r="S63" i="61"/>
  <c r="R63" i="61"/>
  <c r="Q63" i="61"/>
  <c r="S62" i="61"/>
  <c r="R62" i="61"/>
  <c r="Q62" i="61"/>
  <c r="S61" i="61"/>
  <c r="R61" i="61"/>
  <c r="Q61" i="61"/>
  <c r="S60" i="61"/>
  <c r="R60" i="61"/>
  <c r="Q60" i="61"/>
  <c r="S59" i="61"/>
  <c r="R59" i="61"/>
  <c r="Q59" i="61"/>
  <c r="S58" i="61"/>
  <c r="R58" i="61"/>
  <c r="Q58" i="61"/>
  <c r="S57" i="61"/>
  <c r="R57" i="61"/>
  <c r="Q57" i="61"/>
  <c r="S56" i="61"/>
  <c r="R56" i="61"/>
  <c r="Q56" i="61"/>
  <c r="S55" i="61"/>
  <c r="R55" i="61"/>
  <c r="Q55" i="61"/>
  <c r="S54" i="61"/>
  <c r="R54" i="61"/>
  <c r="Q54" i="61"/>
  <c r="S53" i="61"/>
  <c r="R53" i="61"/>
  <c r="Q53" i="61"/>
  <c r="S52" i="61"/>
  <c r="R52" i="61"/>
  <c r="Q52" i="61"/>
  <c r="S51" i="61"/>
  <c r="R51" i="61"/>
  <c r="Q51" i="61"/>
  <c r="S50" i="61"/>
  <c r="R50" i="61"/>
  <c r="Q50" i="61"/>
  <c r="S49" i="61"/>
  <c r="R49" i="61"/>
  <c r="Q49" i="61"/>
  <c r="S48" i="61"/>
  <c r="R48" i="61"/>
  <c r="Q48" i="61"/>
  <c r="S47" i="61"/>
  <c r="R47" i="61"/>
  <c r="Q47" i="61"/>
  <c r="S46" i="61"/>
  <c r="R46" i="61"/>
  <c r="Q46" i="61"/>
  <c r="S45" i="61"/>
  <c r="R45" i="61"/>
  <c r="Q45" i="61"/>
  <c r="S44" i="61"/>
  <c r="R44" i="61"/>
  <c r="Q44" i="61"/>
  <c r="S43" i="61"/>
  <c r="R43" i="61"/>
  <c r="Q43" i="61"/>
  <c r="S42" i="61"/>
  <c r="R42" i="61"/>
  <c r="Q42" i="61"/>
  <c r="S41" i="61"/>
  <c r="R41" i="61"/>
  <c r="Q41" i="61"/>
  <c r="S40" i="61"/>
  <c r="R40" i="61"/>
  <c r="Q40" i="61"/>
  <c r="S39" i="61"/>
  <c r="R39" i="61"/>
  <c r="Q39" i="61"/>
  <c r="S38" i="61"/>
  <c r="R38" i="61"/>
  <c r="Q38" i="61"/>
  <c r="S37" i="61"/>
  <c r="R37" i="61"/>
  <c r="Q37" i="61"/>
  <c r="S36" i="61"/>
  <c r="R36" i="61"/>
  <c r="Q36" i="61"/>
  <c r="S35" i="61"/>
  <c r="R35" i="61"/>
  <c r="Q35" i="61"/>
  <c r="S34" i="61"/>
  <c r="R34" i="61"/>
  <c r="Q34" i="61"/>
  <c r="S33" i="61"/>
  <c r="R33" i="61"/>
  <c r="Q33" i="61"/>
  <c r="S32" i="61"/>
  <c r="R32" i="61"/>
  <c r="Q32" i="61"/>
  <c r="S31" i="61"/>
  <c r="R31" i="61"/>
  <c r="Q31" i="61"/>
  <c r="S30" i="61"/>
  <c r="R30" i="61"/>
  <c r="Q30" i="61"/>
  <c r="S29" i="61"/>
  <c r="R29" i="61"/>
  <c r="Q29" i="61"/>
  <c r="S28" i="61"/>
  <c r="R28" i="61"/>
  <c r="Q28" i="61"/>
  <c r="S27" i="61"/>
  <c r="R27" i="61"/>
  <c r="Q27" i="61"/>
  <c r="S26" i="61"/>
  <c r="R26" i="61"/>
  <c r="Q26" i="61"/>
  <c r="S25" i="61"/>
  <c r="R25" i="61"/>
  <c r="Q25" i="61"/>
  <c r="S24" i="61"/>
  <c r="R24" i="61"/>
  <c r="Q24" i="61"/>
  <c r="S23" i="61"/>
  <c r="R23" i="61"/>
  <c r="Q23" i="61"/>
  <c r="S22" i="61"/>
  <c r="R22" i="61"/>
  <c r="Q22" i="61"/>
  <c r="S21" i="61"/>
  <c r="R21" i="61"/>
  <c r="Q21" i="61"/>
  <c r="S20" i="61"/>
  <c r="R20" i="61"/>
  <c r="Q20" i="61"/>
  <c r="S19" i="61"/>
  <c r="R19" i="61"/>
  <c r="Q19" i="61"/>
  <c r="S18" i="61"/>
  <c r="R18" i="61"/>
  <c r="Q18" i="61"/>
  <c r="S17" i="61"/>
  <c r="R17" i="61"/>
  <c r="Q17" i="61"/>
  <c r="S16" i="61"/>
  <c r="R16" i="61"/>
  <c r="Q16" i="61"/>
  <c r="S15" i="61"/>
  <c r="R15" i="61"/>
  <c r="Q15" i="61"/>
  <c r="S14" i="61"/>
  <c r="R14" i="61"/>
  <c r="Q14" i="61"/>
  <c r="S13" i="61"/>
  <c r="R13" i="61"/>
  <c r="Q13" i="61"/>
  <c r="S12" i="61"/>
  <c r="R12" i="61"/>
  <c r="Q12" i="61"/>
  <c r="S11" i="61"/>
  <c r="R11" i="61"/>
  <c r="Q11" i="61"/>
  <c r="S10" i="61"/>
  <c r="R10" i="61"/>
  <c r="Q10" i="61"/>
  <c r="S9" i="61"/>
  <c r="R9" i="61"/>
  <c r="Q9" i="61"/>
  <c r="S8" i="61"/>
  <c r="R8" i="61"/>
  <c r="Q8" i="61"/>
  <c r="S7" i="61"/>
  <c r="R7" i="61"/>
  <c r="Q7" i="61"/>
  <c r="S6" i="61"/>
  <c r="R6" i="61"/>
  <c r="Q6" i="61"/>
  <c r="S5" i="61"/>
  <c r="R5" i="61"/>
  <c r="Q5" i="61"/>
  <c r="S4" i="61"/>
  <c r="R4" i="61"/>
  <c r="Q4" i="61"/>
  <c r="S3" i="61"/>
  <c r="R3" i="61"/>
  <c r="Q3" i="61"/>
  <c r="P76" i="61"/>
  <c r="O76" i="61"/>
  <c r="N76" i="61"/>
  <c r="P75" i="61"/>
  <c r="O75" i="61"/>
  <c r="N75" i="61"/>
  <c r="P74" i="61"/>
  <c r="O74" i="61"/>
  <c r="N74" i="61"/>
  <c r="P73" i="61"/>
  <c r="O73" i="61"/>
  <c r="N73" i="61"/>
  <c r="P72" i="61"/>
  <c r="O72" i="61"/>
  <c r="N72" i="61"/>
  <c r="P71" i="61"/>
  <c r="O71" i="61"/>
  <c r="N71" i="61"/>
  <c r="P70" i="61"/>
  <c r="O70" i="61"/>
  <c r="N70" i="61"/>
  <c r="P69" i="61"/>
  <c r="O69" i="61"/>
  <c r="N69" i="61"/>
  <c r="P68" i="61"/>
  <c r="O68" i="61"/>
  <c r="N68" i="61"/>
  <c r="P67" i="61"/>
  <c r="O67" i="61"/>
  <c r="N67" i="61"/>
  <c r="P66" i="61"/>
  <c r="O66" i="61"/>
  <c r="N66" i="61"/>
  <c r="P65" i="61"/>
  <c r="O65" i="61"/>
  <c r="N65" i="61"/>
  <c r="P64" i="61"/>
  <c r="O64" i="61"/>
  <c r="N64" i="61"/>
  <c r="P63" i="61"/>
  <c r="O63" i="61"/>
  <c r="N63" i="61"/>
  <c r="P62" i="61"/>
  <c r="O62" i="61"/>
  <c r="N62" i="61"/>
  <c r="P61" i="61"/>
  <c r="O61" i="61"/>
  <c r="N61" i="61"/>
  <c r="P60" i="61"/>
  <c r="O60" i="61"/>
  <c r="N60" i="61"/>
  <c r="P59" i="61"/>
  <c r="O59" i="61"/>
  <c r="N59" i="61"/>
  <c r="P58" i="61"/>
  <c r="O58" i="61"/>
  <c r="N58" i="61"/>
  <c r="P57" i="61"/>
  <c r="O57" i="61"/>
  <c r="N57" i="61"/>
  <c r="P56" i="61"/>
  <c r="O56" i="61"/>
  <c r="N56" i="61"/>
  <c r="P55" i="61"/>
  <c r="O55" i="61"/>
  <c r="N55" i="61"/>
  <c r="P54" i="61"/>
  <c r="O54" i="61"/>
  <c r="N54" i="61"/>
  <c r="P53" i="61"/>
  <c r="O53" i="61"/>
  <c r="N53" i="61"/>
  <c r="P52" i="61"/>
  <c r="O52" i="61"/>
  <c r="N52" i="61"/>
  <c r="P51" i="61"/>
  <c r="O51" i="61"/>
  <c r="N51" i="61"/>
  <c r="P50" i="61"/>
  <c r="O50" i="61"/>
  <c r="N50" i="61"/>
  <c r="P49" i="61"/>
  <c r="O49" i="61"/>
  <c r="N49" i="61"/>
  <c r="P48" i="61"/>
  <c r="O48" i="61"/>
  <c r="N48" i="61"/>
  <c r="P47" i="61"/>
  <c r="O47" i="61"/>
  <c r="N47" i="61"/>
  <c r="P46" i="61"/>
  <c r="O46" i="61"/>
  <c r="N46" i="61"/>
  <c r="P45" i="61"/>
  <c r="O45" i="61"/>
  <c r="N45" i="61"/>
  <c r="P44" i="61"/>
  <c r="O44" i="61"/>
  <c r="N44" i="61"/>
  <c r="P43" i="61"/>
  <c r="O43" i="61"/>
  <c r="N43" i="61"/>
  <c r="P42" i="61"/>
  <c r="O42" i="61"/>
  <c r="N42" i="61"/>
  <c r="P41" i="61"/>
  <c r="O41" i="61"/>
  <c r="N41" i="61"/>
  <c r="P40" i="61"/>
  <c r="O40" i="61"/>
  <c r="N40" i="61"/>
  <c r="P39" i="61"/>
  <c r="O39" i="61"/>
  <c r="N39" i="61"/>
  <c r="P38" i="61"/>
  <c r="O38" i="61"/>
  <c r="N38" i="61"/>
  <c r="P37" i="61"/>
  <c r="O37" i="61"/>
  <c r="N37" i="61"/>
  <c r="P36" i="61"/>
  <c r="O36" i="61"/>
  <c r="N36" i="61"/>
  <c r="P35" i="61"/>
  <c r="O35" i="61"/>
  <c r="N35" i="61"/>
  <c r="P34" i="61"/>
  <c r="O34" i="61"/>
  <c r="N34" i="61"/>
  <c r="P33" i="61"/>
  <c r="O33" i="61"/>
  <c r="N33" i="61"/>
  <c r="P32" i="61"/>
  <c r="O32" i="61"/>
  <c r="N32" i="61"/>
  <c r="P31" i="61"/>
  <c r="O31" i="61"/>
  <c r="N31" i="61"/>
  <c r="P30" i="61"/>
  <c r="O30" i="61"/>
  <c r="N30" i="61"/>
  <c r="P29" i="61"/>
  <c r="O29" i="61"/>
  <c r="N29" i="61"/>
  <c r="P28" i="61"/>
  <c r="O28" i="61"/>
  <c r="N28" i="61"/>
  <c r="P27" i="61"/>
  <c r="O27" i="61"/>
  <c r="N27" i="61"/>
  <c r="P26" i="61"/>
  <c r="O26" i="61"/>
  <c r="N26" i="61"/>
  <c r="P25" i="61"/>
  <c r="O25" i="61"/>
  <c r="N25" i="61"/>
  <c r="P24" i="61"/>
  <c r="O24" i="61"/>
  <c r="N24" i="61"/>
  <c r="P23" i="61"/>
  <c r="O23" i="61"/>
  <c r="N23" i="61"/>
  <c r="P22" i="61"/>
  <c r="O22" i="61"/>
  <c r="N22" i="61"/>
  <c r="P21" i="61"/>
  <c r="O21" i="61"/>
  <c r="N21" i="61"/>
  <c r="P20" i="61"/>
  <c r="O20" i="61"/>
  <c r="N20" i="61"/>
  <c r="P19" i="61"/>
  <c r="O19" i="61"/>
  <c r="N19" i="61"/>
  <c r="P18" i="61"/>
  <c r="O18" i="61"/>
  <c r="N18" i="61"/>
  <c r="P17" i="61"/>
  <c r="O17" i="61"/>
  <c r="N17" i="61"/>
  <c r="P16" i="61"/>
  <c r="O16" i="61"/>
  <c r="N16" i="61"/>
  <c r="P15" i="61"/>
  <c r="O15" i="61"/>
  <c r="N15" i="61"/>
  <c r="P14" i="61"/>
  <c r="O14" i="61"/>
  <c r="N14" i="61"/>
  <c r="P13" i="61"/>
  <c r="O13" i="61"/>
  <c r="N13" i="61"/>
  <c r="P12" i="61"/>
  <c r="O12" i="61"/>
  <c r="N12" i="61"/>
  <c r="P11" i="61"/>
  <c r="O11" i="61"/>
  <c r="N11" i="61"/>
  <c r="P10" i="61"/>
  <c r="O10" i="61"/>
  <c r="N10" i="61"/>
  <c r="P9" i="61"/>
  <c r="O9" i="61"/>
  <c r="N9" i="61"/>
  <c r="P8" i="61"/>
  <c r="O8" i="61"/>
  <c r="N8" i="61"/>
  <c r="P7" i="61"/>
  <c r="O7" i="61"/>
  <c r="N7" i="61"/>
  <c r="P6" i="61"/>
  <c r="O6" i="61"/>
  <c r="N6" i="61"/>
  <c r="P5" i="61"/>
  <c r="O5" i="61"/>
  <c r="N5" i="61"/>
  <c r="P4" i="61"/>
  <c r="O4" i="61"/>
  <c r="N4" i="61"/>
  <c r="P3" i="61"/>
  <c r="O3" i="61"/>
  <c r="N3" i="61"/>
  <c r="M76" i="61"/>
  <c r="L76" i="61"/>
  <c r="K76" i="61"/>
  <c r="M75" i="61"/>
  <c r="L75" i="61"/>
  <c r="K75" i="61"/>
  <c r="M74" i="61"/>
  <c r="L74" i="61"/>
  <c r="K74" i="61"/>
  <c r="M73" i="61"/>
  <c r="L73" i="61"/>
  <c r="K73" i="61"/>
  <c r="M72" i="61"/>
  <c r="L72" i="61"/>
  <c r="K72" i="61"/>
  <c r="M71" i="61"/>
  <c r="L71" i="61"/>
  <c r="K71" i="61"/>
  <c r="M70" i="61"/>
  <c r="L70" i="61"/>
  <c r="K70" i="61"/>
  <c r="M69" i="61"/>
  <c r="L69" i="61"/>
  <c r="K69" i="61"/>
  <c r="M68" i="61"/>
  <c r="L68" i="61"/>
  <c r="K68" i="61"/>
  <c r="M67" i="61"/>
  <c r="L67" i="61"/>
  <c r="K67" i="61"/>
  <c r="M66" i="61"/>
  <c r="L66" i="61"/>
  <c r="K66" i="61"/>
  <c r="M65" i="61"/>
  <c r="L65" i="61"/>
  <c r="K65" i="61"/>
  <c r="M64" i="61"/>
  <c r="L64" i="61"/>
  <c r="K64" i="61"/>
  <c r="M63" i="61"/>
  <c r="L63" i="61"/>
  <c r="K63" i="61"/>
  <c r="M62" i="61"/>
  <c r="L62" i="61"/>
  <c r="K62" i="61"/>
  <c r="M61" i="61"/>
  <c r="L61" i="61"/>
  <c r="K61" i="61"/>
  <c r="M60" i="61"/>
  <c r="L60" i="61"/>
  <c r="K60" i="61"/>
  <c r="M59" i="61"/>
  <c r="L59" i="61"/>
  <c r="K59" i="61"/>
  <c r="M58" i="61"/>
  <c r="L58" i="61"/>
  <c r="K58" i="61"/>
  <c r="M57" i="61"/>
  <c r="L57" i="61"/>
  <c r="K57" i="61"/>
  <c r="M56" i="61"/>
  <c r="L56" i="61"/>
  <c r="K56" i="61"/>
  <c r="M55" i="61"/>
  <c r="L55" i="61"/>
  <c r="K55" i="61"/>
  <c r="M54" i="61"/>
  <c r="L54" i="61"/>
  <c r="K54" i="61"/>
  <c r="M53" i="61"/>
  <c r="L53" i="61"/>
  <c r="K53" i="61"/>
  <c r="M52" i="61"/>
  <c r="L52" i="61"/>
  <c r="K52" i="61"/>
  <c r="M51" i="61"/>
  <c r="L51" i="61"/>
  <c r="K51" i="61"/>
  <c r="M50" i="61"/>
  <c r="L50" i="61"/>
  <c r="K50" i="61"/>
  <c r="M49" i="61"/>
  <c r="L49" i="61"/>
  <c r="K49" i="61"/>
  <c r="M48" i="61"/>
  <c r="L48" i="61"/>
  <c r="K48" i="61"/>
  <c r="M47" i="61"/>
  <c r="L47" i="61"/>
  <c r="K47" i="61"/>
  <c r="M46" i="61"/>
  <c r="L46" i="61"/>
  <c r="K46" i="61"/>
  <c r="M45" i="61"/>
  <c r="L45" i="61"/>
  <c r="K45" i="61"/>
  <c r="M44" i="61"/>
  <c r="L44" i="61"/>
  <c r="K44" i="61"/>
  <c r="M43" i="61"/>
  <c r="L43" i="61"/>
  <c r="K43" i="61"/>
  <c r="M42" i="61"/>
  <c r="L42" i="61"/>
  <c r="K42" i="61"/>
  <c r="M41" i="61"/>
  <c r="L41" i="61"/>
  <c r="K41" i="61"/>
  <c r="M40" i="61"/>
  <c r="L40" i="61"/>
  <c r="K40" i="61"/>
  <c r="M39" i="61"/>
  <c r="L39" i="61"/>
  <c r="K39" i="61"/>
  <c r="M38" i="61"/>
  <c r="L38" i="61"/>
  <c r="K38" i="61"/>
  <c r="M37" i="61"/>
  <c r="L37" i="61"/>
  <c r="K37" i="61"/>
  <c r="M36" i="61"/>
  <c r="L36" i="61"/>
  <c r="K36" i="61"/>
  <c r="M35" i="61"/>
  <c r="L35" i="61"/>
  <c r="K35" i="61"/>
  <c r="M34" i="61"/>
  <c r="L34" i="61"/>
  <c r="K34" i="61"/>
  <c r="M33" i="61"/>
  <c r="L33" i="61"/>
  <c r="K33" i="61"/>
  <c r="M32" i="61"/>
  <c r="L32" i="61"/>
  <c r="K32" i="61"/>
  <c r="M31" i="61"/>
  <c r="L31" i="61"/>
  <c r="K31" i="61"/>
  <c r="M30" i="61"/>
  <c r="L30" i="61"/>
  <c r="K30" i="61"/>
  <c r="M29" i="61"/>
  <c r="L29" i="61"/>
  <c r="K29" i="61"/>
  <c r="M28" i="61"/>
  <c r="L28" i="61"/>
  <c r="K28" i="61"/>
  <c r="M27" i="61"/>
  <c r="L27" i="61"/>
  <c r="K27" i="61"/>
  <c r="M26" i="61"/>
  <c r="L26" i="61"/>
  <c r="K26" i="61"/>
  <c r="M25" i="61"/>
  <c r="L25" i="61"/>
  <c r="K25" i="61"/>
  <c r="M24" i="61"/>
  <c r="L24" i="61"/>
  <c r="K24" i="61"/>
  <c r="M23" i="61"/>
  <c r="L23" i="61"/>
  <c r="K23" i="61"/>
  <c r="M22" i="61"/>
  <c r="L22" i="61"/>
  <c r="K22" i="61"/>
  <c r="M21" i="61"/>
  <c r="L21" i="61"/>
  <c r="K21" i="61"/>
  <c r="M20" i="61"/>
  <c r="L20" i="61"/>
  <c r="K20" i="61"/>
  <c r="M19" i="61"/>
  <c r="L19" i="61"/>
  <c r="K19" i="61"/>
  <c r="M18" i="61"/>
  <c r="L18" i="61"/>
  <c r="K18" i="61"/>
  <c r="M17" i="61"/>
  <c r="L17" i="61"/>
  <c r="K17" i="61"/>
  <c r="M16" i="61"/>
  <c r="L16" i="61"/>
  <c r="K16" i="61"/>
  <c r="M15" i="61"/>
  <c r="L15" i="61"/>
  <c r="K15" i="61"/>
  <c r="M14" i="61"/>
  <c r="L14" i="61"/>
  <c r="K14" i="61"/>
  <c r="M13" i="61"/>
  <c r="L13" i="61"/>
  <c r="K13" i="61"/>
  <c r="M12" i="61"/>
  <c r="L12" i="61"/>
  <c r="K12" i="61"/>
  <c r="M11" i="61"/>
  <c r="L11" i="61"/>
  <c r="K11" i="61"/>
  <c r="M10" i="61"/>
  <c r="L10" i="61"/>
  <c r="K10" i="61"/>
  <c r="M9" i="61"/>
  <c r="L9" i="61"/>
  <c r="K9" i="61"/>
  <c r="M8" i="61"/>
  <c r="L8" i="61"/>
  <c r="K8" i="61"/>
  <c r="M7" i="61"/>
  <c r="L7" i="61"/>
  <c r="K7" i="61"/>
  <c r="M6" i="61"/>
  <c r="L6" i="61"/>
  <c r="K6" i="61"/>
  <c r="M5" i="61"/>
  <c r="L5" i="61"/>
  <c r="K5" i="61"/>
  <c r="M4" i="61"/>
  <c r="L4" i="61"/>
  <c r="K4" i="61"/>
  <c r="M3" i="61"/>
  <c r="L3" i="61"/>
  <c r="K3" i="61"/>
  <c r="J76" i="61"/>
  <c r="I76" i="61"/>
  <c r="H76" i="61"/>
  <c r="J75" i="61"/>
  <c r="I75" i="61"/>
  <c r="H75" i="61"/>
  <c r="J74" i="61"/>
  <c r="I74" i="61"/>
  <c r="H74" i="61"/>
  <c r="J73" i="61"/>
  <c r="I73" i="61"/>
  <c r="H73" i="61"/>
  <c r="J72" i="61"/>
  <c r="I72" i="61"/>
  <c r="H72" i="61"/>
  <c r="J71" i="61"/>
  <c r="I71" i="61"/>
  <c r="H71" i="61"/>
  <c r="J70" i="61"/>
  <c r="I70" i="61"/>
  <c r="H70" i="61"/>
  <c r="J69" i="61"/>
  <c r="I69" i="61"/>
  <c r="H69" i="61"/>
  <c r="J68" i="61"/>
  <c r="I68" i="61"/>
  <c r="H68" i="61"/>
  <c r="J67" i="61"/>
  <c r="I67" i="61"/>
  <c r="H67" i="61"/>
  <c r="J66" i="61"/>
  <c r="I66" i="61"/>
  <c r="H66" i="61"/>
  <c r="J65" i="61"/>
  <c r="I65" i="61"/>
  <c r="H65" i="61"/>
  <c r="J64" i="61"/>
  <c r="I64" i="61"/>
  <c r="H64" i="61"/>
  <c r="J63" i="61"/>
  <c r="I63" i="61"/>
  <c r="H63" i="61"/>
  <c r="J62" i="61"/>
  <c r="I62" i="61"/>
  <c r="H62" i="61"/>
  <c r="J61" i="61"/>
  <c r="I61" i="61"/>
  <c r="H61" i="61"/>
  <c r="J60" i="61"/>
  <c r="I60" i="61"/>
  <c r="H60" i="61"/>
  <c r="J59" i="61"/>
  <c r="I59" i="61"/>
  <c r="H59" i="61"/>
  <c r="J58" i="61"/>
  <c r="I58" i="61"/>
  <c r="H58" i="61"/>
  <c r="J57" i="61"/>
  <c r="I57" i="61"/>
  <c r="H57" i="61"/>
  <c r="J56" i="61"/>
  <c r="I56" i="61"/>
  <c r="H56" i="61"/>
  <c r="J55" i="61"/>
  <c r="I55" i="61"/>
  <c r="H55" i="61"/>
  <c r="J54" i="61"/>
  <c r="I54" i="61"/>
  <c r="H54" i="61"/>
  <c r="J53" i="61"/>
  <c r="I53" i="61"/>
  <c r="H53" i="61"/>
  <c r="J52" i="61"/>
  <c r="I52" i="61"/>
  <c r="H52" i="61"/>
  <c r="J51" i="61"/>
  <c r="I51" i="61"/>
  <c r="H51" i="61"/>
  <c r="J50" i="61"/>
  <c r="I50" i="61"/>
  <c r="H50" i="61"/>
  <c r="J49" i="61"/>
  <c r="I49" i="61"/>
  <c r="H49" i="61"/>
  <c r="J48" i="61"/>
  <c r="I48" i="61"/>
  <c r="H48" i="61"/>
  <c r="J47" i="61"/>
  <c r="I47" i="61"/>
  <c r="H47" i="61"/>
  <c r="J46" i="61"/>
  <c r="I46" i="61"/>
  <c r="H46" i="61"/>
  <c r="J45" i="61"/>
  <c r="I45" i="61"/>
  <c r="H45" i="61"/>
  <c r="J44" i="61"/>
  <c r="I44" i="61"/>
  <c r="H44" i="61"/>
  <c r="J43" i="61"/>
  <c r="I43" i="61"/>
  <c r="H43" i="61"/>
  <c r="J42" i="61"/>
  <c r="I42" i="61"/>
  <c r="H42" i="61"/>
  <c r="J41" i="61"/>
  <c r="I41" i="61"/>
  <c r="H41" i="61"/>
  <c r="J40" i="61"/>
  <c r="I40" i="61"/>
  <c r="H40" i="61"/>
  <c r="J39" i="61"/>
  <c r="I39" i="61"/>
  <c r="H39" i="61"/>
  <c r="J38" i="61"/>
  <c r="I38" i="61"/>
  <c r="H38" i="61"/>
  <c r="J37" i="61"/>
  <c r="I37" i="61"/>
  <c r="H37" i="61"/>
  <c r="J36" i="61"/>
  <c r="I36" i="61"/>
  <c r="H36" i="61"/>
  <c r="J35" i="61"/>
  <c r="I35" i="61"/>
  <c r="H35" i="61"/>
  <c r="J34" i="61"/>
  <c r="I34" i="61"/>
  <c r="H34" i="61"/>
  <c r="J33" i="61"/>
  <c r="I33" i="61"/>
  <c r="H33" i="61"/>
  <c r="J32" i="61"/>
  <c r="I32" i="61"/>
  <c r="H32" i="61"/>
  <c r="J31" i="61"/>
  <c r="I31" i="61"/>
  <c r="H31" i="61"/>
  <c r="J30" i="61"/>
  <c r="I30" i="61"/>
  <c r="H30" i="61"/>
  <c r="J29" i="61"/>
  <c r="I29" i="61"/>
  <c r="H29" i="61"/>
  <c r="J28" i="61"/>
  <c r="I28" i="61"/>
  <c r="H28" i="61"/>
  <c r="J27" i="61"/>
  <c r="I27" i="61"/>
  <c r="H27" i="61"/>
  <c r="J26" i="61"/>
  <c r="I26" i="61"/>
  <c r="H26" i="61"/>
  <c r="J25" i="61"/>
  <c r="I25" i="61"/>
  <c r="H25" i="61"/>
  <c r="J24" i="61"/>
  <c r="I24" i="61"/>
  <c r="H24" i="61"/>
  <c r="J23" i="61"/>
  <c r="I23" i="61"/>
  <c r="H23" i="61"/>
  <c r="J22" i="61"/>
  <c r="I22" i="61"/>
  <c r="H22" i="61"/>
  <c r="J21" i="61"/>
  <c r="I21" i="61"/>
  <c r="H21" i="61"/>
  <c r="J20" i="61"/>
  <c r="I20" i="61"/>
  <c r="H20" i="61"/>
  <c r="J19" i="61"/>
  <c r="I19" i="61"/>
  <c r="H19" i="61"/>
  <c r="J18" i="61"/>
  <c r="I18" i="61"/>
  <c r="H18" i="61"/>
  <c r="J17" i="61"/>
  <c r="I17" i="61"/>
  <c r="H17" i="61"/>
  <c r="J16" i="61"/>
  <c r="I16" i="61"/>
  <c r="H16" i="61"/>
  <c r="J15" i="61"/>
  <c r="I15" i="61"/>
  <c r="H15" i="61"/>
  <c r="J14" i="61"/>
  <c r="I14" i="61"/>
  <c r="H14" i="61"/>
  <c r="J13" i="61"/>
  <c r="I13" i="61"/>
  <c r="H13" i="61"/>
  <c r="J12" i="61"/>
  <c r="I12" i="61"/>
  <c r="H12" i="61"/>
  <c r="J11" i="61"/>
  <c r="I11" i="61"/>
  <c r="H11" i="61"/>
  <c r="J10" i="61"/>
  <c r="I10" i="61"/>
  <c r="H10" i="61"/>
  <c r="J9" i="61"/>
  <c r="I9" i="61"/>
  <c r="H9" i="61"/>
  <c r="J8" i="61"/>
  <c r="I8" i="61"/>
  <c r="H8" i="61"/>
  <c r="J7" i="61"/>
  <c r="I7" i="61"/>
  <c r="H7" i="61"/>
  <c r="J6" i="61"/>
  <c r="I6" i="61"/>
  <c r="H6" i="61"/>
  <c r="J5" i="61"/>
  <c r="I5" i="61"/>
  <c r="H5" i="61"/>
  <c r="J4" i="61"/>
  <c r="I4" i="61"/>
  <c r="H4" i="61"/>
  <c r="J3" i="61"/>
  <c r="I3" i="61"/>
  <c r="H3" i="61"/>
  <c r="E4" i="61"/>
  <c r="F4" i="61"/>
  <c r="G4" i="61"/>
  <c r="E5" i="61"/>
  <c r="F5" i="61"/>
  <c r="G5" i="61"/>
  <c r="E6" i="61"/>
  <c r="F6" i="61"/>
  <c r="G6" i="61"/>
  <c r="E7" i="61"/>
  <c r="F7" i="61"/>
  <c r="G7" i="61"/>
  <c r="E8" i="61"/>
  <c r="F8" i="61"/>
  <c r="G8" i="61"/>
  <c r="E9" i="61"/>
  <c r="F9" i="61"/>
  <c r="G9" i="61"/>
  <c r="E10" i="61"/>
  <c r="F10" i="61"/>
  <c r="G10" i="61"/>
  <c r="E11" i="61"/>
  <c r="F11" i="61"/>
  <c r="G11" i="61"/>
  <c r="E12" i="61"/>
  <c r="F12" i="61"/>
  <c r="G12" i="61"/>
  <c r="E13" i="61"/>
  <c r="F13" i="61"/>
  <c r="G13" i="61"/>
  <c r="E14" i="61"/>
  <c r="F14" i="61"/>
  <c r="G14" i="61"/>
  <c r="E15" i="61"/>
  <c r="F15" i="61"/>
  <c r="G15" i="61"/>
  <c r="E16" i="61"/>
  <c r="F16" i="61"/>
  <c r="G16" i="61"/>
  <c r="E17" i="61"/>
  <c r="F17" i="61"/>
  <c r="G17" i="61"/>
  <c r="E18" i="61"/>
  <c r="F18" i="61"/>
  <c r="G18" i="61"/>
  <c r="E19" i="61"/>
  <c r="F19" i="61"/>
  <c r="G19" i="61"/>
  <c r="E20" i="61"/>
  <c r="F20" i="61"/>
  <c r="G20" i="61"/>
  <c r="E21" i="61"/>
  <c r="F21" i="61"/>
  <c r="G21" i="61"/>
  <c r="E22" i="61"/>
  <c r="F22" i="61"/>
  <c r="G22" i="61"/>
  <c r="E23" i="61"/>
  <c r="F23" i="61"/>
  <c r="G23" i="61"/>
  <c r="E24" i="61"/>
  <c r="F24" i="61"/>
  <c r="G24" i="61"/>
  <c r="E25" i="61"/>
  <c r="F25" i="61"/>
  <c r="G25" i="61"/>
  <c r="E26" i="61"/>
  <c r="F26" i="61"/>
  <c r="G26" i="61"/>
  <c r="E27" i="61"/>
  <c r="F27" i="61"/>
  <c r="G27" i="61"/>
  <c r="E28" i="61"/>
  <c r="F28" i="61"/>
  <c r="G28" i="61"/>
  <c r="E29" i="61"/>
  <c r="F29" i="61"/>
  <c r="G29" i="61"/>
  <c r="E30" i="61"/>
  <c r="F30" i="61"/>
  <c r="G30" i="61"/>
  <c r="E31" i="61"/>
  <c r="F31" i="61"/>
  <c r="G31" i="61"/>
  <c r="E32" i="61"/>
  <c r="F32" i="61"/>
  <c r="G32" i="61"/>
  <c r="E33" i="61"/>
  <c r="F33" i="61"/>
  <c r="G33" i="61"/>
  <c r="E34" i="61"/>
  <c r="F34" i="61"/>
  <c r="G34" i="61"/>
  <c r="E35" i="61"/>
  <c r="F35" i="61"/>
  <c r="G35" i="61"/>
  <c r="E36" i="61"/>
  <c r="F36" i="61"/>
  <c r="G36" i="61"/>
  <c r="E37" i="61"/>
  <c r="F37" i="61"/>
  <c r="G37" i="61"/>
  <c r="E38" i="61"/>
  <c r="F38" i="61"/>
  <c r="G38" i="61"/>
  <c r="E39" i="61"/>
  <c r="F39" i="61"/>
  <c r="G39" i="61"/>
  <c r="E40" i="61"/>
  <c r="F40" i="61"/>
  <c r="G40" i="61"/>
  <c r="E41" i="61"/>
  <c r="F41" i="61"/>
  <c r="G41" i="61"/>
  <c r="E42" i="61"/>
  <c r="F42" i="61"/>
  <c r="G42" i="61"/>
  <c r="E43" i="61"/>
  <c r="F43" i="61"/>
  <c r="G43" i="61"/>
  <c r="E44" i="61"/>
  <c r="F44" i="61"/>
  <c r="G44" i="61"/>
  <c r="E45" i="61"/>
  <c r="F45" i="61"/>
  <c r="G45" i="61"/>
  <c r="E46" i="61"/>
  <c r="F46" i="61"/>
  <c r="G46" i="61"/>
  <c r="E47" i="61"/>
  <c r="F47" i="61"/>
  <c r="G47" i="61"/>
  <c r="E48" i="61"/>
  <c r="F48" i="61"/>
  <c r="G48" i="61"/>
  <c r="E49" i="61"/>
  <c r="F49" i="61"/>
  <c r="G49" i="61"/>
  <c r="E50" i="61"/>
  <c r="F50" i="61"/>
  <c r="G50" i="61"/>
  <c r="E51" i="61"/>
  <c r="F51" i="61"/>
  <c r="G51" i="61"/>
  <c r="E52" i="61"/>
  <c r="F52" i="61"/>
  <c r="G52" i="61"/>
  <c r="E53" i="61"/>
  <c r="F53" i="61"/>
  <c r="G53" i="61"/>
  <c r="E54" i="61"/>
  <c r="F54" i="61"/>
  <c r="G54" i="61"/>
  <c r="E55" i="61"/>
  <c r="F55" i="61"/>
  <c r="G55" i="61"/>
  <c r="E56" i="61"/>
  <c r="F56" i="61"/>
  <c r="G56" i="61"/>
  <c r="E57" i="61"/>
  <c r="F57" i="61"/>
  <c r="G57" i="61"/>
  <c r="E58" i="61"/>
  <c r="F58" i="61"/>
  <c r="G58" i="61"/>
  <c r="E59" i="61"/>
  <c r="F59" i="61"/>
  <c r="G59" i="61"/>
  <c r="E60" i="61"/>
  <c r="F60" i="61"/>
  <c r="G60" i="61"/>
  <c r="E61" i="61"/>
  <c r="F61" i="61"/>
  <c r="G61" i="61"/>
  <c r="E62" i="61"/>
  <c r="F62" i="61"/>
  <c r="G62" i="61"/>
  <c r="E63" i="61"/>
  <c r="F63" i="61"/>
  <c r="G63" i="61"/>
  <c r="E64" i="61"/>
  <c r="F64" i="61"/>
  <c r="G64" i="61"/>
  <c r="E65" i="61"/>
  <c r="F65" i="61"/>
  <c r="G65" i="61"/>
  <c r="E66" i="61"/>
  <c r="F66" i="61"/>
  <c r="G66" i="61"/>
  <c r="E67" i="61"/>
  <c r="F67" i="61"/>
  <c r="G67" i="61"/>
  <c r="E68" i="61"/>
  <c r="F68" i="61"/>
  <c r="G68" i="61"/>
  <c r="E69" i="61"/>
  <c r="F69" i="61"/>
  <c r="G69" i="61"/>
  <c r="E71" i="61"/>
  <c r="F71" i="61"/>
  <c r="G71" i="61"/>
  <c r="E72" i="61"/>
  <c r="F72" i="61"/>
  <c r="G72" i="61"/>
  <c r="E73" i="61"/>
  <c r="F73" i="61"/>
  <c r="G73" i="61"/>
  <c r="E74" i="61"/>
  <c r="F74" i="61"/>
  <c r="G74" i="61"/>
  <c r="E75" i="61"/>
  <c r="F75" i="61"/>
  <c r="G75" i="61"/>
  <c r="E76" i="61"/>
  <c r="F76" i="61"/>
  <c r="G76" i="61"/>
  <c r="G3" i="61"/>
  <c r="F3" i="61"/>
  <c r="E3" i="61"/>
  <c r="D76" i="61"/>
  <c r="C76" i="61"/>
  <c r="A76" i="61"/>
  <c r="D75" i="61"/>
  <c r="C75" i="61"/>
  <c r="A75" i="61"/>
  <c r="D74" i="61"/>
  <c r="C74" i="61"/>
  <c r="A74" i="61"/>
  <c r="D73" i="61"/>
  <c r="C73" i="61"/>
  <c r="A73" i="61"/>
  <c r="D72" i="61"/>
  <c r="C72" i="61"/>
  <c r="A72" i="61"/>
  <c r="D71" i="61"/>
  <c r="C71" i="61"/>
  <c r="A71" i="61"/>
  <c r="D70" i="61"/>
  <c r="C70" i="61"/>
  <c r="A70" i="61"/>
  <c r="D69" i="61"/>
  <c r="C69" i="61"/>
  <c r="A69" i="61"/>
  <c r="D68" i="61"/>
  <c r="C68" i="61"/>
  <c r="A68" i="61"/>
  <c r="D67" i="61"/>
  <c r="C67" i="61"/>
  <c r="A67" i="61"/>
  <c r="D66" i="61"/>
  <c r="C66" i="61"/>
  <c r="A66" i="61"/>
  <c r="D65" i="61"/>
  <c r="C65" i="61"/>
  <c r="A65" i="61"/>
  <c r="D64" i="61"/>
  <c r="C64" i="61"/>
  <c r="A64" i="61"/>
  <c r="D63" i="61"/>
  <c r="C63" i="61"/>
  <c r="A63" i="61"/>
  <c r="D62" i="61"/>
  <c r="C62" i="61"/>
  <c r="A62" i="61"/>
  <c r="D61" i="61"/>
  <c r="C61" i="61"/>
  <c r="A61" i="61"/>
  <c r="D60" i="61"/>
  <c r="C60" i="61"/>
  <c r="A60" i="61"/>
  <c r="D59" i="61"/>
  <c r="C59" i="61"/>
  <c r="A59" i="61"/>
  <c r="D58" i="61"/>
  <c r="C58" i="61"/>
  <c r="A58" i="61"/>
  <c r="D57" i="61"/>
  <c r="C57" i="61"/>
  <c r="A57" i="61"/>
  <c r="D56" i="61"/>
  <c r="C56" i="61"/>
  <c r="A56" i="61"/>
  <c r="D55" i="61"/>
  <c r="C55" i="61"/>
  <c r="A55" i="61"/>
  <c r="D54" i="61"/>
  <c r="C54" i="61"/>
  <c r="A54" i="61"/>
  <c r="D53" i="61"/>
  <c r="C53" i="61"/>
  <c r="A53" i="61"/>
  <c r="D52" i="61"/>
  <c r="C52" i="61"/>
  <c r="A52" i="61"/>
  <c r="D51" i="61"/>
  <c r="C51" i="61"/>
  <c r="A51" i="61"/>
  <c r="D50" i="61"/>
  <c r="C50" i="61"/>
  <c r="A50" i="61"/>
  <c r="D49" i="61"/>
  <c r="C49" i="61"/>
  <c r="A49" i="61"/>
  <c r="D48" i="61"/>
  <c r="C48" i="61"/>
  <c r="A48" i="61"/>
  <c r="D47" i="61"/>
  <c r="C47" i="61"/>
  <c r="A47" i="61"/>
  <c r="D46" i="61"/>
  <c r="C46" i="61"/>
  <c r="A46" i="61"/>
  <c r="D45" i="61"/>
  <c r="C45" i="61"/>
  <c r="A45" i="61"/>
  <c r="D44" i="61"/>
  <c r="C44" i="61"/>
  <c r="A44" i="61"/>
  <c r="D43" i="61"/>
  <c r="C43" i="61"/>
  <c r="A43" i="61"/>
  <c r="D42" i="61"/>
  <c r="C42" i="61"/>
  <c r="A42" i="61"/>
  <c r="D41" i="61"/>
  <c r="C41" i="61"/>
  <c r="A41" i="61"/>
  <c r="D40" i="61"/>
  <c r="C40" i="61"/>
  <c r="A40" i="61"/>
  <c r="D39" i="61"/>
  <c r="C39" i="61"/>
  <c r="A39" i="61"/>
  <c r="D38" i="61"/>
  <c r="C38" i="61"/>
  <c r="A38" i="61"/>
  <c r="D37" i="61"/>
  <c r="C37" i="61"/>
  <c r="A37" i="61"/>
  <c r="D36" i="61"/>
  <c r="C36" i="61"/>
  <c r="A36" i="61"/>
  <c r="D35" i="61"/>
  <c r="C35" i="61"/>
  <c r="A35" i="61"/>
  <c r="D34" i="61"/>
  <c r="C34" i="61"/>
  <c r="A34" i="61"/>
  <c r="D33" i="61"/>
  <c r="C33" i="61"/>
  <c r="A33" i="61"/>
  <c r="D32" i="61"/>
  <c r="C32" i="61"/>
  <c r="A32" i="61"/>
  <c r="D31" i="61"/>
  <c r="C31" i="61"/>
  <c r="A31" i="61"/>
  <c r="D30" i="61"/>
  <c r="C30" i="61"/>
  <c r="A30" i="61"/>
  <c r="D29" i="61"/>
  <c r="C29" i="61"/>
  <c r="A29" i="61"/>
  <c r="D28" i="61"/>
  <c r="C28" i="61"/>
  <c r="A28" i="61"/>
  <c r="D27" i="61"/>
  <c r="C27" i="61"/>
  <c r="A27" i="61"/>
  <c r="D26" i="61"/>
  <c r="C26" i="61"/>
  <c r="A26" i="61"/>
  <c r="D25" i="61"/>
  <c r="C25" i="61"/>
  <c r="A25" i="61"/>
  <c r="D24" i="61"/>
  <c r="C24" i="61"/>
  <c r="A24" i="61"/>
  <c r="D23" i="61"/>
  <c r="C23" i="61"/>
  <c r="A23" i="61"/>
  <c r="D22" i="61"/>
  <c r="C22" i="61"/>
  <c r="A22" i="61"/>
  <c r="D21" i="61"/>
  <c r="C21" i="61"/>
  <c r="A21" i="61"/>
  <c r="D20" i="61"/>
  <c r="C20" i="61"/>
  <c r="A20" i="61"/>
  <c r="D19" i="61"/>
  <c r="C19" i="61"/>
  <c r="A19" i="61"/>
  <c r="D18" i="61"/>
  <c r="C18" i="61"/>
  <c r="A18" i="61"/>
  <c r="D17" i="61"/>
  <c r="C17" i="61"/>
  <c r="A17" i="61"/>
  <c r="D16" i="61"/>
  <c r="C16" i="61"/>
  <c r="A16" i="61"/>
  <c r="D15" i="61"/>
  <c r="C15" i="61"/>
  <c r="A15" i="61"/>
  <c r="D14" i="61"/>
  <c r="C14" i="61"/>
  <c r="A14" i="61"/>
  <c r="D13" i="61"/>
  <c r="C13" i="61"/>
  <c r="A13" i="61"/>
  <c r="D12" i="61"/>
  <c r="C12" i="61"/>
  <c r="A12" i="61"/>
  <c r="D11" i="61"/>
  <c r="C11" i="61"/>
  <c r="A11" i="61"/>
  <c r="D10" i="61"/>
  <c r="C10" i="61"/>
  <c r="A10" i="61"/>
  <c r="D9" i="61"/>
  <c r="C9" i="61"/>
  <c r="A9" i="61"/>
  <c r="D8" i="61"/>
  <c r="C8" i="61"/>
  <c r="A8" i="61"/>
  <c r="D7" i="61"/>
  <c r="C7" i="61"/>
  <c r="A7" i="61"/>
  <c r="D6" i="61"/>
  <c r="C6" i="61"/>
  <c r="B6" i="61"/>
  <c r="A6" i="61"/>
  <c r="D5" i="61"/>
  <c r="C5" i="61"/>
  <c r="B5" i="61"/>
  <c r="A5" i="61"/>
  <c r="D4" i="61"/>
  <c r="C4" i="61"/>
  <c r="A4" i="61"/>
  <c r="D3" i="61"/>
  <c r="C3" i="61"/>
  <c r="B19" i="61" s="1"/>
  <c r="B3" i="61"/>
  <c r="K4" i="59"/>
  <c r="L4" i="59"/>
  <c r="M4" i="59"/>
  <c r="N4" i="59"/>
  <c r="O4" i="59"/>
  <c r="P4" i="59"/>
  <c r="Q4" i="59"/>
  <c r="R4" i="59"/>
  <c r="S4" i="59"/>
  <c r="T4" i="59"/>
  <c r="U4" i="59"/>
  <c r="V4" i="59"/>
  <c r="W4" i="59"/>
  <c r="X4" i="59"/>
  <c r="Y4" i="59"/>
  <c r="AC4" i="59"/>
  <c r="AD4" i="59"/>
  <c r="AE4" i="59"/>
  <c r="AL4" i="59"/>
  <c r="AM4" i="59"/>
  <c r="AN4" i="59"/>
  <c r="AO4" i="59"/>
  <c r="AQ4" i="59"/>
  <c r="AR4" i="59"/>
  <c r="AS4" i="59"/>
  <c r="AT4" i="59"/>
  <c r="K5" i="59"/>
  <c r="L5" i="59"/>
  <c r="M5" i="59"/>
  <c r="N5" i="59"/>
  <c r="O5" i="59"/>
  <c r="P5" i="59"/>
  <c r="Q5" i="59"/>
  <c r="R5" i="59"/>
  <c r="S5" i="59"/>
  <c r="T5" i="59"/>
  <c r="V5" i="59"/>
  <c r="W5" i="59"/>
  <c r="X5" i="59"/>
  <c r="Y5" i="59"/>
  <c r="AC5" i="59"/>
  <c r="AD5" i="59"/>
  <c r="AE5" i="59"/>
  <c r="AF5" i="59"/>
  <c r="AG5" i="59"/>
  <c r="AH5" i="59"/>
  <c r="AL5" i="59"/>
  <c r="AM5" i="59"/>
  <c r="AN5" i="59"/>
  <c r="AO5" i="59"/>
  <c r="AP5" i="59"/>
  <c r="AQ5" i="59"/>
  <c r="AR5" i="59"/>
  <c r="AS5" i="59"/>
  <c r="AT5" i="59"/>
  <c r="K6" i="59"/>
  <c r="L6" i="59"/>
  <c r="M6" i="59"/>
  <c r="N6" i="59"/>
  <c r="P6" i="59"/>
  <c r="Q6" i="59"/>
  <c r="R6" i="59"/>
  <c r="S6" i="59"/>
  <c r="T6" i="59"/>
  <c r="U6" i="59"/>
  <c r="V6" i="59"/>
  <c r="W6" i="59"/>
  <c r="Y6" i="59"/>
  <c r="AC6" i="59"/>
  <c r="AD6" i="59"/>
  <c r="AE6" i="59"/>
  <c r="AL6" i="59"/>
  <c r="AM6" i="59"/>
  <c r="AN6" i="59"/>
  <c r="AO6" i="59"/>
  <c r="AQ6" i="59"/>
  <c r="AR6" i="59"/>
  <c r="AS6" i="59"/>
  <c r="AT6" i="59"/>
  <c r="K7" i="59"/>
  <c r="L7" i="59"/>
  <c r="M7" i="59"/>
  <c r="N7" i="59"/>
  <c r="P7" i="59"/>
  <c r="Q7" i="59"/>
  <c r="R7" i="59"/>
  <c r="S7" i="59"/>
  <c r="T7" i="59"/>
  <c r="V7" i="59"/>
  <c r="W7" i="59"/>
  <c r="Y7" i="59"/>
  <c r="Z7" i="59"/>
  <c r="AB7" i="59"/>
  <c r="AC7" i="59"/>
  <c r="AD7" i="59"/>
  <c r="AE7" i="59"/>
  <c r="AL7" i="59"/>
  <c r="AM7" i="59"/>
  <c r="AN7" i="59"/>
  <c r="AO7" i="59"/>
  <c r="AP7" i="59"/>
  <c r="AQ7" i="59"/>
  <c r="AR7" i="59"/>
  <c r="AS7" i="59"/>
  <c r="AT7" i="59"/>
  <c r="K8" i="59"/>
  <c r="L8" i="59"/>
  <c r="M8" i="59"/>
  <c r="N8" i="59"/>
  <c r="P8" i="59"/>
  <c r="Q8" i="59"/>
  <c r="R8" i="59"/>
  <c r="S8" i="59"/>
  <c r="T8" i="59"/>
  <c r="U8" i="59"/>
  <c r="V8" i="59"/>
  <c r="W8" i="59"/>
  <c r="Y8" i="59"/>
  <c r="AC8" i="59"/>
  <c r="AD8" i="59"/>
  <c r="AE8" i="59"/>
  <c r="AF8" i="59"/>
  <c r="AG8" i="59"/>
  <c r="AH8" i="59"/>
  <c r="AL8" i="59"/>
  <c r="AM8" i="59"/>
  <c r="AN8" i="59"/>
  <c r="AO8" i="59"/>
  <c r="AP8" i="59"/>
  <c r="AQ8" i="59"/>
  <c r="AR8" i="59"/>
  <c r="AS8" i="59"/>
  <c r="AT8" i="59"/>
  <c r="K9" i="59"/>
  <c r="L9" i="59"/>
  <c r="M9" i="59"/>
  <c r="N9" i="59"/>
  <c r="O9" i="59"/>
  <c r="P9" i="59"/>
  <c r="Q9" i="59"/>
  <c r="R9" i="59"/>
  <c r="S9" i="59"/>
  <c r="T9" i="59"/>
  <c r="V9" i="59"/>
  <c r="W9" i="59"/>
  <c r="X9" i="59"/>
  <c r="Y9" i="59"/>
  <c r="AC9" i="59"/>
  <c r="AD9" i="59"/>
  <c r="AE9" i="59"/>
  <c r="AL9" i="59"/>
  <c r="AM9" i="59"/>
  <c r="AN9" i="59"/>
  <c r="AO9" i="59"/>
  <c r="AP9" i="59"/>
  <c r="AQ9" i="59"/>
  <c r="AR9" i="59"/>
  <c r="AS9" i="59"/>
  <c r="AT9" i="59"/>
  <c r="K10" i="59"/>
  <c r="L10" i="59"/>
  <c r="M10" i="59"/>
  <c r="N10" i="59"/>
  <c r="Q10" i="59"/>
  <c r="R10" i="59"/>
  <c r="S10" i="59"/>
  <c r="T10" i="59"/>
  <c r="U10" i="59"/>
  <c r="V10" i="59"/>
  <c r="W10" i="59"/>
  <c r="Y10" i="59"/>
  <c r="AC10" i="59"/>
  <c r="AD10" i="59"/>
  <c r="AE10" i="59"/>
  <c r="AF10" i="59"/>
  <c r="AG10" i="59"/>
  <c r="AH10" i="59"/>
  <c r="AL10" i="59"/>
  <c r="AM10" i="59"/>
  <c r="AN10" i="59"/>
  <c r="AO10" i="59"/>
  <c r="AP10" i="59"/>
  <c r="AQ10" i="59"/>
  <c r="AR10" i="59"/>
  <c r="AT10" i="59"/>
  <c r="K11" i="59"/>
  <c r="L11" i="59"/>
  <c r="M11" i="59"/>
  <c r="P11" i="59"/>
  <c r="Q11" i="59"/>
  <c r="R11" i="59"/>
  <c r="S11" i="59"/>
  <c r="T11" i="59"/>
  <c r="V11" i="59"/>
  <c r="W11" i="59"/>
  <c r="X11" i="59"/>
  <c r="Y11" i="59"/>
  <c r="AC11" i="59"/>
  <c r="AD11" i="59"/>
  <c r="AE11" i="59"/>
  <c r="AL11" i="59"/>
  <c r="AM11" i="59"/>
  <c r="AN11" i="59"/>
  <c r="AO11" i="59"/>
  <c r="AP11" i="59"/>
  <c r="AQ11" i="59"/>
  <c r="AR11" i="59"/>
  <c r="AT11" i="59"/>
  <c r="K12" i="59"/>
  <c r="L12" i="59"/>
  <c r="M12" i="59"/>
  <c r="N12" i="59"/>
  <c r="O12" i="59"/>
  <c r="P12" i="59"/>
  <c r="Q12" i="59"/>
  <c r="R12" i="59"/>
  <c r="S12" i="59"/>
  <c r="T12" i="59"/>
  <c r="W12" i="59"/>
  <c r="X12" i="59"/>
  <c r="Y12" i="59"/>
  <c r="AB12" i="59"/>
  <c r="AC12" i="59"/>
  <c r="AD12" i="59"/>
  <c r="AE12" i="59"/>
  <c r="AF12" i="59"/>
  <c r="AG12" i="59"/>
  <c r="AH12" i="59"/>
  <c r="AL12" i="59"/>
  <c r="AM12" i="59"/>
  <c r="AN12" i="59"/>
  <c r="AO12" i="59"/>
  <c r="AP12" i="59"/>
  <c r="AQ12" i="59"/>
  <c r="AR12" i="59"/>
  <c r="AT12" i="59"/>
  <c r="K13" i="59"/>
  <c r="L13" i="59"/>
  <c r="M13" i="59"/>
  <c r="N13" i="59"/>
  <c r="P13" i="59"/>
  <c r="Q13" i="59"/>
  <c r="R13" i="59"/>
  <c r="S13" i="59"/>
  <c r="V13" i="59"/>
  <c r="W13" i="59"/>
  <c r="Y13" i="59"/>
  <c r="Z13" i="59"/>
  <c r="AA13" i="59"/>
  <c r="AB13" i="59"/>
  <c r="AC13" i="59"/>
  <c r="AE13" i="59"/>
  <c r="AL13" i="59"/>
  <c r="AM13" i="59"/>
  <c r="AN13" i="59"/>
  <c r="AO13" i="59"/>
  <c r="AP13" i="59"/>
  <c r="AQ13" i="59"/>
  <c r="AR13" i="59"/>
  <c r="AS13" i="59"/>
  <c r="AT13" i="59"/>
  <c r="K14" i="59"/>
  <c r="L14" i="59"/>
  <c r="M14" i="59"/>
  <c r="N14" i="59"/>
  <c r="O14" i="59"/>
  <c r="P14" i="59"/>
  <c r="Q14" i="59"/>
  <c r="R14" i="59"/>
  <c r="S14" i="59"/>
  <c r="T14" i="59"/>
  <c r="V14" i="59"/>
  <c r="W14" i="59"/>
  <c r="X14" i="59"/>
  <c r="Y14" i="59"/>
  <c r="Z14" i="59"/>
  <c r="AA14" i="59"/>
  <c r="AB14" i="59"/>
  <c r="AC14" i="59"/>
  <c r="AE14" i="59"/>
  <c r="AF14" i="59"/>
  <c r="AG14" i="59"/>
  <c r="AH14" i="59"/>
  <c r="AI14" i="59"/>
  <c r="AJ14" i="59"/>
  <c r="AK14" i="59"/>
  <c r="AL14" i="59"/>
  <c r="AM14" i="59"/>
  <c r="AN14" i="59"/>
  <c r="AO14" i="59"/>
  <c r="AP14" i="59"/>
  <c r="AQ14" i="59"/>
  <c r="AR14" i="59"/>
  <c r="AT14" i="59"/>
  <c r="K15" i="59"/>
  <c r="L15" i="59"/>
  <c r="M15" i="59"/>
  <c r="N15" i="59"/>
  <c r="O15" i="59"/>
  <c r="P15" i="59"/>
  <c r="Q15" i="59"/>
  <c r="R15" i="59"/>
  <c r="S15" i="59"/>
  <c r="T15" i="59"/>
  <c r="V15" i="59"/>
  <c r="W15" i="59"/>
  <c r="X15" i="59"/>
  <c r="Y15" i="59"/>
  <c r="AC15" i="59"/>
  <c r="AD15" i="59"/>
  <c r="AE15" i="59"/>
  <c r="AF15" i="59"/>
  <c r="AG15" i="59"/>
  <c r="AH15" i="59"/>
  <c r="AL15" i="59"/>
  <c r="AM15" i="59"/>
  <c r="AN15" i="59"/>
  <c r="AO15" i="59"/>
  <c r="AP15" i="59"/>
  <c r="AQ15" i="59"/>
  <c r="AR15" i="59"/>
  <c r="AS15" i="59"/>
  <c r="AT15" i="59"/>
  <c r="K16" i="59"/>
  <c r="L16" i="59"/>
  <c r="M16" i="59"/>
  <c r="N16" i="59"/>
  <c r="Q16" i="59"/>
  <c r="R16" i="59"/>
  <c r="S16" i="59"/>
  <c r="T16" i="59"/>
  <c r="U16" i="59"/>
  <c r="V16" i="59"/>
  <c r="W16" i="59"/>
  <c r="Y16" i="59"/>
  <c r="Z16" i="59"/>
  <c r="AB16" i="59"/>
  <c r="AC16" i="59"/>
  <c r="AD16" i="59"/>
  <c r="AE16" i="59"/>
  <c r="AF16" i="59"/>
  <c r="AL16" i="59"/>
  <c r="AM16" i="59"/>
  <c r="AN16" i="59"/>
  <c r="AO16" i="59"/>
  <c r="AP16" i="59"/>
  <c r="AQ16" i="59"/>
  <c r="AR16" i="59"/>
  <c r="AS16" i="59"/>
  <c r="AT16" i="59"/>
  <c r="K17" i="59"/>
  <c r="L17" i="59"/>
  <c r="M17" i="59"/>
  <c r="Q17" i="59"/>
  <c r="R17" i="59"/>
  <c r="S17" i="59"/>
  <c r="T17" i="59"/>
  <c r="U17" i="59"/>
  <c r="V17" i="59"/>
  <c r="W17" i="59"/>
  <c r="Y17" i="59"/>
  <c r="Z17" i="59"/>
  <c r="AA17" i="59"/>
  <c r="AB17" i="59"/>
  <c r="AC17" i="59"/>
  <c r="AD17" i="59"/>
  <c r="AE17" i="59"/>
  <c r="AI17" i="59"/>
  <c r="AJ17" i="59"/>
  <c r="AK17" i="59"/>
  <c r="AL17" i="59"/>
  <c r="AM17" i="59"/>
  <c r="AN17" i="59"/>
  <c r="AO17" i="59"/>
  <c r="AP17" i="59"/>
  <c r="AQ17" i="59"/>
  <c r="AR17" i="59"/>
  <c r="AT17" i="59"/>
  <c r="K18" i="59"/>
  <c r="L18" i="59"/>
  <c r="M18" i="59"/>
  <c r="P18" i="59"/>
  <c r="Q18" i="59"/>
  <c r="R18" i="59"/>
  <c r="S18" i="59"/>
  <c r="T18" i="59"/>
  <c r="U18" i="59"/>
  <c r="V18" i="59"/>
  <c r="W18" i="59"/>
  <c r="Y18" i="59"/>
  <c r="Z18" i="59"/>
  <c r="AA18" i="59"/>
  <c r="AB18" i="59"/>
  <c r="AC18" i="59"/>
  <c r="AD18" i="59"/>
  <c r="AE18" i="59"/>
  <c r="AH18" i="59"/>
  <c r="AI18" i="59"/>
  <c r="AJ18" i="59"/>
  <c r="AK18" i="59"/>
  <c r="AL18" i="59"/>
  <c r="AM18" i="59"/>
  <c r="AN18" i="59"/>
  <c r="AO18" i="59"/>
  <c r="AP18" i="59"/>
  <c r="AQ18" i="59"/>
  <c r="AR18" i="59"/>
  <c r="AS18" i="59"/>
  <c r="AT18" i="59"/>
  <c r="K19" i="59"/>
  <c r="L19" i="59"/>
  <c r="M19" i="59"/>
  <c r="N19" i="59"/>
  <c r="P19" i="59"/>
  <c r="Q19" i="59"/>
  <c r="R19" i="59"/>
  <c r="S19" i="59"/>
  <c r="T19" i="59"/>
  <c r="U19" i="59"/>
  <c r="V19" i="59"/>
  <c r="W19" i="59"/>
  <c r="X19" i="59"/>
  <c r="Y19" i="59"/>
  <c r="Z19" i="59"/>
  <c r="AA19" i="59"/>
  <c r="AB19" i="59"/>
  <c r="AC19" i="59"/>
  <c r="AD19" i="59"/>
  <c r="AE19" i="59"/>
  <c r="AF19" i="59"/>
  <c r="AG19" i="59"/>
  <c r="AH19" i="59"/>
  <c r="AI19" i="59"/>
  <c r="AJ19" i="59"/>
  <c r="AK19" i="59"/>
  <c r="AL19" i="59"/>
  <c r="AM19" i="59"/>
  <c r="AN19" i="59"/>
  <c r="AO19" i="59"/>
  <c r="AQ19" i="59"/>
  <c r="AR19" i="59"/>
  <c r="AS19" i="59"/>
  <c r="AT19" i="59"/>
  <c r="K20" i="59"/>
  <c r="L20" i="59"/>
  <c r="M20" i="59"/>
  <c r="N20" i="59"/>
  <c r="P20" i="59"/>
  <c r="Q20" i="59"/>
  <c r="R20" i="59"/>
  <c r="S20" i="59"/>
  <c r="T20" i="59"/>
  <c r="U20" i="59"/>
  <c r="V20" i="59"/>
  <c r="W20" i="59"/>
  <c r="Y20" i="59"/>
  <c r="Z20" i="59"/>
  <c r="AA20" i="59"/>
  <c r="AB20" i="59"/>
  <c r="AC20" i="59"/>
  <c r="AD20" i="59"/>
  <c r="AE20" i="59"/>
  <c r="AF20" i="59"/>
  <c r="AG20" i="59"/>
  <c r="AH20" i="59"/>
  <c r="AI20" i="59"/>
  <c r="AJ20" i="59"/>
  <c r="AK20" i="59"/>
  <c r="AL20" i="59"/>
  <c r="AM20" i="59"/>
  <c r="AN20" i="59"/>
  <c r="AO20" i="59"/>
  <c r="AQ20" i="59"/>
  <c r="AR20" i="59"/>
  <c r="AT20" i="59"/>
  <c r="K21" i="59"/>
  <c r="L21" i="59"/>
  <c r="M21" i="59"/>
  <c r="N21" i="59"/>
  <c r="O21" i="59"/>
  <c r="P21" i="59"/>
  <c r="Q21" i="59"/>
  <c r="R21" i="59"/>
  <c r="S21" i="59"/>
  <c r="T21" i="59"/>
  <c r="V21" i="59"/>
  <c r="W21" i="59"/>
  <c r="X21" i="59"/>
  <c r="Y21" i="59"/>
  <c r="Z21" i="59"/>
  <c r="AA21" i="59"/>
  <c r="AB21" i="59"/>
  <c r="AC21" i="59"/>
  <c r="AD21" i="59"/>
  <c r="AE21" i="59"/>
  <c r="AF21" i="59"/>
  <c r="AH21" i="59"/>
  <c r="AL21" i="59"/>
  <c r="AM21" i="59"/>
  <c r="AN21" i="59"/>
  <c r="AO21" i="59"/>
  <c r="AP21" i="59"/>
  <c r="AQ21" i="59"/>
  <c r="AR21" i="59"/>
  <c r="AS21" i="59"/>
  <c r="AT21" i="59"/>
  <c r="K22" i="59"/>
  <c r="L22" i="59"/>
  <c r="M22" i="59"/>
  <c r="N22" i="59"/>
  <c r="O22" i="59"/>
  <c r="P22" i="59"/>
  <c r="Q22" i="59"/>
  <c r="R22" i="59"/>
  <c r="S22" i="59"/>
  <c r="T22" i="59"/>
  <c r="U22" i="59"/>
  <c r="V22" i="59"/>
  <c r="W22" i="59"/>
  <c r="X22" i="59"/>
  <c r="Y22" i="59"/>
  <c r="Z22" i="59"/>
  <c r="AA22" i="59"/>
  <c r="AB22" i="59"/>
  <c r="AC22" i="59"/>
  <c r="AD22" i="59"/>
  <c r="AE22" i="59"/>
  <c r="AF22" i="59"/>
  <c r="AI22" i="59"/>
  <c r="AJ22" i="59"/>
  <c r="AK22" i="59"/>
  <c r="AL22" i="59"/>
  <c r="AM22" i="59"/>
  <c r="AN22" i="59"/>
  <c r="AO22" i="59"/>
  <c r="AP22" i="59"/>
  <c r="AQ22" i="59"/>
  <c r="AR22" i="59"/>
  <c r="AS22" i="59"/>
  <c r="AT22" i="59"/>
  <c r="K23" i="59"/>
  <c r="L23" i="59"/>
  <c r="M23" i="59"/>
  <c r="N23" i="59"/>
  <c r="O23" i="59"/>
  <c r="P23" i="59"/>
  <c r="Q23" i="59"/>
  <c r="R23" i="59"/>
  <c r="S23" i="59"/>
  <c r="T23" i="59"/>
  <c r="U23" i="59"/>
  <c r="V23" i="59"/>
  <c r="W23" i="59"/>
  <c r="X23" i="59"/>
  <c r="Y23" i="59"/>
  <c r="Z23" i="59"/>
  <c r="AA23" i="59"/>
  <c r="AB23" i="59"/>
  <c r="AC23" i="59"/>
  <c r="AD23" i="59"/>
  <c r="AE23" i="59"/>
  <c r="AH23" i="59"/>
  <c r="AL23" i="59"/>
  <c r="AM23" i="59"/>
  <c r="AN23" i="59"/>
  <c r="AO23" i="59"/>
  <c r="AP23" i="59"/>
  <c r="AQ23" i="59"/>
  <c r="AR23" i="59"/>
  <c r="AT23" i="59"/>
  <c r="K24" i="59"/>
  <c r="M24" i="59"/>
  <c r="N24" i="59"/>
  <c r="O24" i="59"/>
  <c r="P24" i="59"/>
  <c r="Q24" i="59"/>
  <c r="R24" i="59"/>
  <c r="S24" i="59"/>
  <c r="T24" i="59"/>
  <c r="U24" i="59"/>
  <c r="V24" i="59"/>
  <c r="W24" i="59"/>
  <c r="X24" i="59"/>
  <c r="Y24" i="59"/>
  <c r="Z24" i="59"/>
  <c r="AB24" i="59"/>
  <c r="AC24" i="59"/>
  <c r="AE24" i="59"/>
  <c r="AO24" i="59"/>
  <c r="AP24" i="59"/>
  <c r="AQ24" i="59"/>
  <c r="AR24" i="59"/>
  <c r="AS24" i="59"/>
  <c r="AT24" i="59"/>
  <c r="K25" i="59"/>
  <c r="L25" i="59"/>
  <c r="M25" i="59"/>
  <c r="N25" i="59"/>
  <c r="O25" i="59"/>
  <c r="P25" i="59"/>
  <c r="Q25" i="59"/>
  <c r="R25" i="59"/>
  <c r="S25" i="59"/>
  <c r="T25" i="59"/>
  <c r="U25" i="59"/>
  <c r="V25" i="59"/>
  <c r="W25" i="59"/>
  <c r="X25" i="59"/>
  <c r="Y25" i="59"/>
  <c r="AC25" i="59"/>
  <c r="AD25" i="59"/>
  <c r="AE25" i="59"/>
  <c r="AF25" i="59"/>
  <c r="AG25" i="59"/>
  <c r="AH25" i="59"/>
  <c r="AL25" i="59"/>
  <c r="AM25" i="59"/>
  <c r="AN25" i="59"/>
  <c r="AO25" i="59"/>
  <c r="AQ25" i="59"/>
  <c r="AR25" i="59"/>
  <c r="AS25" i="59"/>
  <c r="AT25" i="59"/>
  <c r="K26" i="59"/>
  <c r="L26" i="59"/>
  <c r="M26" i="59"/>
  <c r="N26" i="59"/>
  <c r="O26" i="59"/>
  <c r="P26" i="59"/>
  <c r="Q26" i="59"/>
  <c r="S26" i="59"/>
  <c r="T26" i="59"/>
  <c r="U26" i="59"/>
  <c r="V26" i="59"/>
  <c r="W26" i="59"/>
  <c r="X26" i="59"/>
  <c r="Y26" i="59"/>
  <c r="Z26" i="59"/>
  <c r="AB26" i="59"/>
  <c r="AC26" i="59"/>
  <c r="AE26" i="59"/>
  <c r="AL26" i="59"/>
  <c r="AM26" i="59"/>
  <c r="AN26" i="59"/>
  <c r="AO26" i="59"/>
  <c r="AP26" i="59"/>
  <c r="AQ26" i="59"/>
  <c r="AR26" i="59"/>
  <c r="AS26" i="59"/>
  <c r="AT26" i="59"/>
  <c r="K27" i="59"/>
  <c r="M27" i="59"/>
  <c r="N27" i="59"/>
  <c r="O27" i="59"/>
  <c r="P27" i="59"/>
  <c r="Q27" i="59"/>
  <c r="R27" i="59"/>
  <c r="S27" i="59"/>
  <c r="T27" i="59"/>
  <c r="U27" i="59"/>
  <c r="V27" i="59"/>
  <c r="W27" i="59"/>
  <c r="X27" i="59"/>
  <c r="Y27" i="59"/>
  <c r="AC27" i="59"/>
  <c r="AD27" i="59"/>
  <c r="AE27" i="59"/>
  <c r="AO27" i="59"/>
  <c r="AP27" i="59"/>
  <c r="AQ27" i="59"/>
  <c r="AR27" i="59"/>
  <c r="AS27" i="59"/>
  <c r="AT27" i="59"/>
  <c r="K28" i="59"/>
  <c r="L28" i="59"/>
  <c r="M28" i="59"/>
  <c r="N28" i="59"/>
  <c r="P28" i="59"/>
  <c r="Q28" i="59"/>
  <c r="S28" i="59"/>
  <c r="T28" i="59"/>
  <c r="U28" i="59"/>
  <c r="V28" i="59"/>
  <c r="W28" i="59"/>
  <c r="X28" i="59"/>
  <c r="Y28" i="59"/>
  <c r="Z28" i="59"/>
  <c r="AB28" i="59"/>
  <c r="AC28" i="59"/>
  <c r="AD28" i="59"/>
  <c r="AE28" i="59"/>
  <c r="AL28" i="59"/>
  <c r="AM28" i="59"/>
  <c r="AN28" i="59"/>
  <c r="AO28" i="59"/>
  <c r="AP28" i="59"/>
  <c r="AQ28" i="59"/>
  <c r="AR28" i="59"/>
  <c r="AS28" i="59"/>
  <c r="AT28" i="59"/>
  <c r="K29" i="59"/>
  <c r="L29" i="59"/>
  <c r="M29" i="59"/>
  <c r="N29" i="59"/>
  <c r="P29" i="59"/>
  <c r="Q29" i="59"/>
  <c r="R29" i="59"/>
  <c r="S29" i="59"/>
  <c r="T29" i="59"/>
  <c r="U29" i="59"/>
  <c r="V29" i="59"/>
  <c r="W29" i="59"/>
  <c r="X29" i="59"/>
  <c r="Y29" i="59"/>
  <c r="Z29" i="59"/>
  <c r="AB29" i="59"/>
  <c r="AC29" i="59"/>
  <c r="AD29" i="59"/>
  <c r="AE29" i="59"/>
  <c r="AF29" i="59"/>
  <c r="AG29" i="59"/>
  <c r="AH29" i="59"/>
  <c r="AI29" i="59"/>
  <c r="AJ29" i="59"/>
  <c r="AK29" i="59"/>
  <c r="AL29" i="59"/>
  <c r="AM29" i="59"/>
  <c r="AN29" i="59"/>
  <c r="AO29" i="59"/>
  <c r="AP29" i="59"/>
  <c r="AQ29" i="59"/>
  <c r="AR29" i="59"/>
  <c r="AS29" i="59"/>
  <c r="AT29" i="59"/>
  <c r="K30" i="59"/>
  <c r="L30" i="59"/>
  <c r="M30" i="59"/>
  <c r="N30" i="59"/>
  <c r="O30" i="59"/>
  <c r="P30" i="59"/>
  <c r="Q30" i="59"/>
  <c r="R30" i="59"/>
  <c r="S30" i="59"/>
  <c r="T30" i="59"/>
  <c r="U30" i="59"/>
  <c r="V30" i="59"/>
  <c r="W30" i="59"/>
  <c r="X30" i="59"/>
  <c r="Y30" i="59"/>
  <c r="AC30" i="59"/>
  <c r="AD30" i="59"/>
  <c r="AE30" i="59"/>
  <c r="AF30" i="59"/>
  <c r="AG30" i="59"/>
  <c r="AH30" i="59"/>
  <c r="AL30" i="59"/>
  <c r="AM30" i="59"/>
  <c r="AN30" i="59"/>
  <c r="AO30" i="59"/>
  <c r="AP30" i="59"/>
  <c r="AQ30" i="59"/>
  <c r="AR30" i="59"/>
  <c r="AS30" i="59"/>
  <c r="AT30" i="59"/>
  <c r="K31" i="59"/>
  <c r="L31" i="59"/>
  <c r="M31" i="59"/>
  <c r="N31" i="59"/>
  <c r="O31" i="59"/>
  <c r="P31" i="59"/>
  <c r="Q31" i="59"/>
  <c r="R31" i="59"/>
  <c r="S31" i="59"/>
  <c r="T31" i="59"/>
  <c r="U31" i="59"/>
  <c r="V31" i="59"/>
  <c r="W31" i="59"/>
  <c r="X31" i="59"/>
  <c r="Y31" i="59"/>
  <c r="Z31" i="59"/>
  <c r="AA31" i="59"/>
  <c r="AB31" i="59"/>
  <c r="AC31" i="59"/>
  <c r="AD31" i="59"/>
  <c r="AE31" i="59"/>
  <c r="AF31" i="59"/>
  <c r="AG31" i="59"/>
  <c r="AH31" i="59"/>
  <c r="AL31" i="59"/>
  <c r="AM31" i="59"/>
  <c r="AN31" i="59"/>
  <c r="AO31" i="59"/>
  <c r="AP31" i="59"/>
  <c r="AQ31" i="59"/>
  <c r="AR31" i="59"/>
  <c r="AS31" i="59"/>
  <c r="AT31" i="59"/>
  <c r="K32" i="59"/>
  <c r="L32" i="59"/>
  <c r="M32" i="59"/>
  <c r="N32" i="59"/>
  <c r="O32" i="59"/>
  <c r="P32" i="59"/>
  <c r="Q32" i="59"/>
  <c r="R32" i="59"/>
  <c r="S32" i="59"/>
  <c r="T32" i="59"/>
  <c r="U32" i="59"/>
  <c r="V32" i="59"/>
  <c r="W32" i="59"/>
  <c r="X32" i="59"/>
  <c r="Y32" i="59"/>
  <c r="AC32" i="59"/>
  <c r="AD32" i="59"/>
  <c r="AE32" i="59"/>
  <c r="AF32" i="59"/>
  <c r="AG32" i="59"/>
  <c r="AH32" i="59"/>
  <c r="AL32" i="59"/>
  <c r="AM32" i="59"/>
  <c r="AN32" i="59"/>
  <c r="AO32" i="59"/>
  <c r="AP32" i="59"/>
  <c r="AQ32" i="59"/>
  <c r="AR32" i="59"/>
  <c r="AT32" i="59"/>
  <c r="K33" i="59"/>
  <c r="L33" i="59"/>
  <c r="M33" i="59"/>
  <c r="N33" i="59"/>
  <c r="O33" i="59"/>
  <c r="P33" i="59"/>
  <c r="Q33" i="59"/>
  <c r="R33" i="59"/>
  <c r="S33" i="59"/>
  <c r="T33" i="59"/>
  <c r="U33" i="59"/>
  <c r="V33" i="59"/>
  <c r="W33" i="59"/>
  <c r="X33" i="59"/>
  <c r="Y33" i="59"/>
  <c r="Z33" i="59"/>
  <c r="AA33" i="59"/>
  <c r="AB33" i="59"/>
  <c r="AC33" i="59"/>
  <c r="AD33" i="59"/>
  <c r="AE33" i="59"/>
  <c r="AF33" i="59"/>
  <c r="AG33" i="59"/>
  <c r="AH33" i="59"/>
  <c r="AL33" i="59"/>
  <c r="AM33" i="59"/>
  <c r="AN33" i="59"/>
  <c r="AO33" i="59"/>
  <c r="AQ33" i="59"/>
  <c r="AR33" i="59"/>
  <c r="AS33" i="59"/>
  <c r="AT33" i="59"/>
  <c r="K34" i="59"/>
  <c r="L34" i="59"/>
  <c r="M34" i="59"/>
  <c r="N34" i="59"/>
  <c r="P34" i="59"/>
  <c r="Q34" i="59"/>
  <c r="R34" i="59"/>
  <c r="S34" i="59"/>
  <c r="T34" i="59"/>
  <c r="U34" i="59"/>
  <c r="V34" i="59"/>
  <c r="W34" i="59"/>
  <c r="Y34" i="59"/>
  <c r="Z34" i="59"/>
  <c r="AA34" i="59"/>
  <c r="AB34" i="59"/>
  <c r="AC34" i="59"/>
  <c r="AD34" i="59"/>
  <c r="AE34" i="59"/>
  <c r="AF34" i="59"/>
  <c r="AG34" i="59"/>
  <c r="AH34" i="59"/>
  <c r="AI34" i="59"/>
  <c r="AJ34" i="59"/>
  <c r="AK34" i="59"/>
  <c r="AL34" i="59"/>
  <c r="AM34" i="59"/>
  <c r="AN34" i="59"/>
  <c r="AO34" i="59"/>
  <c r="AP34" i="59"/>
  <c r="AQ34" i="59"/>
  <c r="AR34" i="59"/>
  <c r="AT34" i="59"/>
  <c r="K35" i="59"/>
  <c r="L35" i="59"/>
  <c r="M35" i="59"/>
  <c r="N35" i="59"/>
  <c r="P35" i="59"/>
  <c r="Q35" i="59"/>
  <c r="R35" i="59"/>
  <c r="S35" i="59"/>
  <c r="T35" i="59"/>
  <c r="U35" i="59"/>
  <c r="V35" i="59"/>
  <c r="W35" i="59"/>
  <c r="Y35" i="59"/>
  <c r="Z35" i="59"/>
  <c r="AA35" i="59"/>
  <c r="AB35" i="59"/>
  <c r="AC35" i="59"/>
  <c r="AD35" i="59"/>
  <c r="AE35" i="59"/>
  <c r="AF35" i="59"/>
  <c r="AG35" i="59"/>
  <c r="AH35" i="59"/>
  <c r="AL35" i="59"/>
  <c r="AM35" i="59"/>
  <c r="AN35" i="59"/>
  <c r="AO35" i="59"/>
  <c r="AP35" i="59"/>
  <c r="AQ35" i="59"/>
  <c r="AR35" i="59"/>
  <c r="AT35" i="59"/>
  <c r="K36" i="59"/>
  <c r="L36" i="59"/>
  <c r="M36" i="59"/>
  <c r="N36" i="59"/>
  <c r="P36" i="59"/>
  <c r="Q36" i="59"/>
  <c r="R36" i="59"/>
  <c r="S36" i="59"/>
  <c r="T36" i="59"/>
  <c r="U36" i="59"/>
  <c r="V36" i="59"/>
  <c r="W36" i="59"/>
  <c r="Y36" i="59"/>
  <c r="Z36" i="59"/>
  <c r="AA36" i="59"/>
  <c r="AB36" i="59"/>
  <c r="AC36" i="59"/>
  <c r="AD36" i="59"/>
  <c r="AE36" i="59"/>
  <c r="AF36" i="59"/>
  <c r="AG36" i="59"/>
  <c r="AH36" i="59"/>
  <c r="AI36" i="59"/>
  <c r="AK36" i="59"/>
  <c r="AL36" i="59"/>
  <c r="AM36" i="59"/>
  <c r="AN36" i="59"/>
  <c r="AO36" i="59"/>
  <c r="AP36" i="59"/>
  <c r="AQ36" i="59"/>
  <c r="AR36" i="59"/>
  <c r="AS36" i="59"/>
  <c r="AT36" i="59"/>
  <c r="K37" i="59"/>
  <c r="L37" i="59"/>
  <c r="M37" i="59"/>
  <c r="N37" i="59"/>
  <c r="O37" i="59"/>
  <c r="P37" i="59"/>
  <c r="Q37" i="59"/>
  <c r="R37" i="59"/>
  <c r="S37" i="59"/>
  <c r="T37" i="59"/>
  <c r="U37" i="59"/>
  <c r="V37" i="59"/>
  <c r="W37" i="59"/>
  <c r="X37" i="59"/>
  <c r="Y37" i="59"/>
  <c r="Z37" i="59"/>
  <c r="AA37" i="59"/>
  <c r="AB37" i="59"/>
  <c r="AC37" i="59"/>
  <c r="AD37" i="59"/>
  <c r="AE37" i="59"/>
  <c r="AF37" i="59"/>
  <c r="AG37" i="59"/>
  <c r="AH37" i="59"/>
  <c r="AL37" i="59"/>
  <c r="AM37" i="59"/>
  <c r="AN37" i="59"/>
  <c r="AO37" i="59"/>
  <c r="AP37" i="59"/>
  <c r="AQ37" i="59"/>
  <c r="AR37" i="59"/>
  <c r="AT37" i="59"/>
  <c r="K38" i="59"/>
  <c r="L38" i="59"/>
  <c r="M38" i="59"/>
  <c r="N38" i="59"/>
  <c r="O38" i="59"/>
  <c r="P38" i="59"/>
  <c r="Q38" i="59"/>
  <c r="R38" i="59"/>
  <c r="S38" i="59"/>
  <c r="T38" i="59"/>
  <c r="U38" i="59"/>
  <c r="V38" i="59"/>
  <c r="W38" i="59"/>
  <c r="X38" i="59"/>
  <c r="Y38" i="59"/>
  <c r="Z38" i="59"/>
  <c r="AA38" i="59"/>
  <c r="AB38" i="59"/>
  <c r="AC38" i="59"/>
  <c r="AD38" i="59"/>
  <c r="AE38" i="59"/>
  <c r="AF38" i="59"/>
  <c r="AG38" i="59"/>
  <c r="AH38" i="59"/>
  <c r="AL38" i="59"/>
  <c r="AM38" i="59"/>
  <c r="AN38" i="59"/>
  <c r="AO38" i="59"/>
  <c r="AP38" i="59"/>
  <c r="AQ38" i="59"/>
  <c r="AR38" i="59"/>
  <c r="AS38" i="59"/>
  <c r="AT38" i="59"/>
  <c r="K39" i="59"/>
  <c r="L39" i="59"/>
  <c r="M39" i="59"/>
  <c r="N39" i="59"/>
  <c r="O39" i="59"/>
  <c r="P39" i="59"/>
  <c r="Q39" i="59"/>
  <c r="R39" i="59"/>
  <c r="S39" i="59"/>
  <c r="T39" i="59"/>
  <c r="U39" i="59"/>
  <c r="V39" i="59"/>
  <c r="W39" i="59"/>
  <c r="X39" i="59"/>
  <c r="Y39" i="59"/>
  <c r="Z39" i="59"/>
  <c r="AA39" i="59"/>
  <c r="AB39" i="59"/>
  <c r="AC39" i="59"/>
  <c r="AD39" i="59"/>
  <c r="AE39" i="59"/>
  <c r="AF39" i="59"/>
  <c r="AH39" i="59"/>
  <c r="AI39" i="59"/>
  <c r="AJ39" i="59"/>
  <c r="AK39" i="59"/>
  <c r="AL39" i="59"/>
  <c r="AM39" i="59"/>
  <c r="AN39" i="59"/>
  <c r="AO39" i="59"/>
  <c r="AP39" i="59"/>
  <c r="AQ39" i="59"/>
  <c r="AR39" i="59"/>
  <c r="AS39" i="59"/>
  <c r="AT39" i="59"/>
  <c r="K40" i="59"/>
  <c r="L40" i="59"/>
  <c r="M40" i="59"/>
  <c r="N40" i="59"/>
  <c r="O40" i="59"/>
  <c r="P40" i="59"/>
  <c r="Q40" i="59"/>
  <c r="R40" i="59"/>
  <c r="S40" i="59"/>
  <c r="T40" i="59"/>
  <c r="U40" i="59"/>
  <c r="V40" i="59"/>
  <c r="W40" i="59"/>
  <c r="X40" i="59"/>
  <c r="Y40" i="59"/>
  <c r="Z40" i="59"/>
  <c r="AA40" i="59"/>
  <c r="AB40" i="59"/>
  <c r="AC40" i="59"/>
  <c r="AD40" i="59"/>
  <c r="AE40" i="59"/>
  <c r="AF40" i="59"/>
  <c r="AG40" i="59"/>
  <c r="AH40" i="59"/>
  <c r="AI40" i="59"/>
  <c r="AJ40" i="59"/>
  <c r="AK40" i="59"/>
  <c r="AL40" i="59"/>
  <c r="AM40" i="59"/>
  <c r="AN40" i="59"/>
  <c r="AO40" i="59"/>
  <c r="AP40" i="59"/>
  <c r="AQ40" i="59"/>
  <c r="AR40" i="59"/>
  <c r="AS40" i="59"/>
  <c r="AT40" i="59"/>
  <c r="K41" i="59"/>
  <c r="L41" i="59"/>
  <c r="M41" i="59"/>
  <c r="N41" i="59"/>
  <c r="O41" i="59"/>
  <c r="P41" i="59"/>
  <c r="Q41" i="59"/>
  <c r="R41" i="59"/>
  <c r="S41" i="59"/>
  <c r="T41" i="59"/>
  <c r="U41" i="59"/>
  <c r="V41" i="59"/>
  <c r="W41" i="59"/>
  <c r="X41" i="59"/>
  <c r="Y41" i="59"/>
  <c r="Z41" i="59"/>
  <c r="AA41" i="59"/>
  <c r="AB41" i="59"/>
  <c r="AC41" i="59"/>
  <c r="AE41" i="59"/>
  <c r="AF41" i="59"/>
  <c r="AG41" i="59"/>
  <c r="AH41" i="59"/>
  <c r="AK41" i="59"/>
  <c r="AL41" i="59"/>
  <c r="AM41" i="59"/>
  <c r="AN41" i="59"/>
  <c r="AO41" i="59"/>
  <c r="AP41" i="59"/>
  <c r="AQ41" i="59"/>
  <c r="AR41" i="59"/>
  <c r="AS41" i="59"/>
  <c r="AT41" i="59"/>
  <c r="K42" i="59"/>
  <c r="L42" i="59"/>
  <c r="M42" i="59"/>
  <c r="N42" i="59"/>
  <c r="O42" i="59"/>
  <c r="P42" i="59"/>
  <c r="Q42" i="59"/>
  <c r="R42" i="59"/>
  <c r="S42" i="59"/>
  <c r="T42" i="59"/>
  <c r="U42" i="59"/>
  <c r="V42" i="59"/>
  <c r="W42" i="59"/>
  <c r="X42" i="59"/>
  <c r="Y42" i="59"/>
  <c r="Z42" i="59"/>
  <c r="AA42" i="59"/>
  <c r="AB42" i="59"/>
  <c r="AC42" i="59"/>
  <c r="AD42" i="59"/>
  <c r="AE42" i="59"/>
  <c r="AF42" i="59"/>
  <c r="AH42" i="59"/>
  <c r="AI42" i="59"/>
  <c r="AJ42" i="59"/>
  <c r="AK42" i="59"/>
  <c r="AL42" i="59"/>
  <c r="AM42" i="59"/>
  <c r="AN42" i="59"/>
  <c r="AO42" i="59"/>
  <c r="AP42" i="59"/>
  <c r="AQ42" i="59"/>
  <c r="AR42" i="59"/>
  <c r="AT42" i="59"/>
  <c r="K43" i="59"/>
  <c r="M43" i="59"/>
  <c r="N43" i="59"/>
  <c r="O43" i="59"/>
  <c r="P43" i="59"/>
  <c r="Q43" i="59"/>
  <c r="S43" i="59"/>
  <c r="T43" i="59"/>
  <c r="V43" i="59"/>
  <c r="W43" i="59"/>
  <c r="X43" i="59"/>
  <c r="Y43" i="59"/>
  <c r="AC43" i="59"/>
  <c r="AE43" i="59"/>
  <c r="AF43" i="59"/>
  <c r="AG43" i="59"/>
  <c r="AO43" i="59"/>
  <c r="AP43" i="59"/>
  <c r="AQ43" i="59"/>
  <c r="AR43" i="59"/>
  <c r="AS43" i="59"/>
  <c r="AT43" i="59"/>
  <c r="K44" i="59"/>
  <c r="L44" i="59"/>
  <c r="M44" i="59"/>
  <c r="N44" i="59"/>
  <c r="O44" i="59"/>
  <c r="P44" i="59"/>
  <c r="Q44" i="59"/>
  <c r="S44" i="59"/>
  <c r="T44" i="59"/>
  <c r="U44" i="59"/>
  <c r="V44" i="59"/>
  <c r="W44" i="59"/>
  <c r="X44" i="59"/>
  <c r="Y44" i="59"/>
  <c r="Z44" i="59"/>
  <c r="AA44" i="59"/>
  <c r="AB44" i="59"/>
  <c r="AC44" i="59"/>
  <c r="AD44" i="59"/>
  <c r="AE44" i="59"/>
  <c r="AF44" i="59"/>
  <c r="AG44" i="59"/>
  <c r="AH44" i="59"/>
  <c r="AL44" i="59"/>
  <c r="AM44" i="59"/>
  <c r="AN44" i="59"/>
  <c r="AO44" i="59"/>
  <c r="AP44" i="59"/>
  <c r="AQ44" i="59"/>
  <c r="AR44" i="59"/>
  <c r="AS44" i="59"/>
  <c r="AT44" i="59"/>
  <c r="K45" i="59"/>
  <c r="L45" i="59"/>
  <c r="M45" i="59"/>
  <c r="N45" i="59"/>
  <c r="O45" i="59"/>
  <c r="P45" i="59"/>
  <c r="Q45" i="59"/>
  <c r="S45" i="59"/>
  <c r="T45" i="59"/>
  <c r="V45" i="59"/>
  <c r="W45" i="59"/>
  <c r="X45" i="59"/>
  <c r="Y45" i="59"/>
  <c r="Z45" i="59"/>
  <c r="AA45" i="59"/>
  <c r="AB45" i="59"/>
  <c r="AC45" i="59"/>
  <c r="AD45" i="59"/>
  <c r="AE45" i="59"/>
  <c r="AF45" i="59"/>
  <c r="AG45" i="59"/>
  <c r="AH45" i="59"/>
  <c r="AL45" i="59"/>
  <c r="AM45" i="59"/>
  <c r="AN45" i="59"/>
  <c r="AO45" i="59"/>
  <c r="AQ45" i="59"/>
  <c r="AR45" i="59"/>
  <c r="AS45" i="59"/>
  <c r="AT45" i="59"/>
  <c r="K46" i="59"/>
  <c r="L46" i="59"/>
  <c r="M46" i="59"/>
  <c r="N46" i="59"/>
  <c r="P46" i="59"/>
  <c r="Q46" i="59"/>
  <c r="R46" i="59"/>
  <c r="S46" i="59"/>
  <c r="T46" i="59"/>
  <c r="U46" i="59"/>
  <c r="V46" i="59"/>
  <c r="W46" i="59"/>
  <c r="X46" i="59"/>
  <c r="Y46" i="59"/>
  <c r="Z46" i="59"/>
  <c r="AA46" i="59"/>
  <c r="AB46" i="59"/>
  <c r="AC46" i="59"/>
  <c r="AD46" i="59"/>
  <c r="AE46" i="59"/>
  <c r="AF46" i="59"/>
  <c r="AG46" i="59"/>
  <c r="AH46" i="59"/>
  <c r="AL46" i="59"/>
  <c r="AM46" i="59"/>
  <c r="AN46" i="59"/>
  <c r="AO46" i="59"/>
  <c r="AP46" i="59"/>
  <c r="AQ46" i="59"/>
  <c r="AR46" i="59"/>
  <c r="AT46" i="59"/>
  <c r="K47" i="59"/>
  <c r="L47" i="59"/>
  <c r="M47" i="59"/>
  <c r="N47" i="59"/>
  <c r="Q47" i="59"/>
  <c r="R47" i="59"/>
  <c r="S47" i="59"/>
  <c r="T47" i="59"/>
  <c r="U47" i="59"/>
  <c r="V47" i="59"/>
  <c r="W47" i="59"/>
  <c r="Y47" i="59"/>
  <c r="Z47" i="59"/>
  <c r="AA47" i="59"/>
  <c r="AB47" i="59"/>
  <c r="AC47" i="59"/>
  <c r="AD47" i="59"/>
  <c r="AE47" i="59"/>
  <c r="AF47" i="59"/>
  <c r="AH47" i="59"/>
  <c r="AI47" i="59"/>
  <c r="AJ47" i="59"/>
  <c r="AK47" i="59"/>
  <c r="AL47" i="59"/>
  <c r="AM47" i="59"/>
  <c r="AN47" i="59"/>
  <c r="AO47" i="59"/>
  <c r="AP47" i="59"/>
  <c r="AQ47" i="59"/>
  <c r="AR47" i="59"/>
  <c r="AS47" i="59"/>
  <c r="AT47" i="59"/>
  <c r="K48" i="59"/>
  <c r="L48" i="59"/>
  <c r="M48" i="59"/>
  <c r="P48" i="59"/>
  <c r="Q48" i="59"/>
  <c r="S48" i="59"/>
  <c r="T48" i="59"/>
  <c r="U48" i="59"/>
  <c r="V48" i="59"/>
  <c r="W48" i="59"/>
  <c r="X48" i="59"/>
  <c r="Y48" i="59"/>
  <c r="Z48" i="59"/>
  <c r="AA48" i="59"/>
  <c r="AB48" i="59"/>
  <c r="AC48" i="59"/>
  <c r="AD48" i="59"/>
  <c r="AE48" i="59"/>
  <c r="AF48" i="59"/>
  <c r="AG48" i="59"/>
  <c r="AH48" i="59"/>
  <c r="AL48" i="59"/>
  <c r="AM48" i="59"/>
  <c r="AN48" i="59"/>
  <c r="AO48" i="59"/>
  <c r="AP48" i="59"/>
  <c r="AQ48" i="59"/>
  <c r="AR48" i="59"/>
  <c r="AS48" i="59"/>
  <c r="AT48" i="59"/>
  <c r="K49" i="59"/>
  <c r="L49" i="59"/>
  <c r="M49" i="59"/>
  <c r="Q49" i="59"/>
  <c r="S49" i="59"/>
  <c r="T49" i="59"/>
  <c r="U49" i="59"/>
  <c r="V49" i="59"/>
  <c r="W49" i="59"/>
  <c r="X49" i="59"/>
  <c r="Y49" i="59"/>
  <c r="Z49" i="59"/>
  <c r="AA49" i="59"/>
  <c r="AB49" i="59"/>
  <c r="AC49" i="59"/>
  <c r="AD49" i="59"/>
  <c r="AE49" i="59"/>
  <c r="AF49" i="59"/>
  <c r="AG49" i="59"/>
  <c r="AH49" i="59"/>
  <c r="AL49" i="59"/>
  <c r="AM49" i="59"/>
  <c r="AN49" i="59"/>
  <c r="AO49" i="59"/>
  <c r="AQ49" i="59"/>
  <c r="AR49" i="59"/>
  <c r="AS49" i="59"/>
  <c r="AT49" i="59"/>
  <c r="K50" i="59"/>
  <c r="L50" i="59"/>
  <c r="M50" i="59"/>
  <c r="N50" i="59"/>
  <c r="P50" i="59"/>
  <c r="Q50" i="59"/>
  <c r="R50" i="59"/>
  <c r="S50" i="59"/>
  <c r="T50" i="59"/>
  <c r="U50" i="59"/>
  <c r="V50" i="59"/>
  <c r="W50" i="59"/>
  <c r="Y50" i="59"/>
  <c r="Z50" i="59"/>
  <c r="AA50" i="59"/>
  <c r="AB50" i="59"/>
  <c r="AL50" i="59"/>
  <c r="AM50" i="59"/>
  <c r="AN50" i="59"/>
  <c r="AO50" i="59"/>
  <c r="AP50" i="59"/>
  <c r="AQ50" i="59"/>
  <c r="AR50" i="59"/>
  <c r="AT50" i="59"/>
  <c r="K51" i="59"/>
  <c r="L51" i="59"/>
  <c r="M51" i="59"/>
  <c r="N51" i="59"/>
  <c r="P51" i="59"/>
  <c r="Q51" i="59"/>
  <c r="R51" i="59"/>
  <c r="S51" i="59"/>
  <c r="T51" i="59"/>
  <c r="U51" i="59"/>
  <c r="V51" i="59"/>
  <c r="W51" i="59"/>
  <c r="Y51" i="59"/>
  <c r="Z51" i="59"/>
  <c r="AB51" i="59"/>
  <c r="AC51" i="59"/>
  <c r="AE51" i="59"/>
  <c r="AF51" i="59"/>
  <c r="AG51" i="59"/>
  <c r="AH51" i="59"/>
  <c r="AL51" i="59"/>
  <c r="AM51" i="59"/>
  <c r="AN51" i="59"/>
  <c r="AO51" i="59"/>
  <c r="AP51" i="59"/>
  <c r="AQ51" i="59"/>
  <c r="AR51" i="59"/>
  <c r="AS51" i="59"/>
  <c r="AT51" i="59"/>
  <c r="K52" i="59"/>
  <c r="L52" i="59"/>
  <c r="M52" i="59"/>
  <c r="N52" i="59"/>
  <c r="P52" i="59"/>
  <c r="Q52" i="59"/>
  <c r="R52" i="59"/>
  <c r="S52" i="59"/>
  <c r="T52" i="59"/>
  <c r="U52" i="59"/>
  <c r="V52" i="59"/>
  <c r="W52" i="59"/>
  <c r="Y52" i="59"/>
  <c r="Z52" i="59"/>
  <c r="AB52" i="59"/>
  <c r="AC52" i="59"/>
  <c r="AE52" i="59"/>
  <c r="AF52" i="59"/>
  <c r="AG52" i="59"/>
  <c r="AH52" i="59"/>
  <c r="AL52" i="59"/>
  <c r="AM52" i="59"/>
  <c r="AN52" i="59"/>
  <c r="AO52" i="59"/>
  <c r="AP52" i="59"/>
  <c r="AQ52" i="59"/>
  <c r="AR52" i="59"/>
  <c r="AT52" i="59"/>
  <c r="K53" i="59"/>
  <c r="L53" i="59"/>
  <c r="M53" i="59"/>
  <c r="N53" i="59"/>
  <c r="P53" i="59"/>
  <c r="Q53" i="59"/>
  <c r="R53" i="59"/>
  <c r="S53" i="59"/>
  <c r="T53" i="59"/>
  <c r="U53" i="59"/>
  <c r="V53" i="59"/>
  <c r="Z53" i="59"/>
  <c r="AA53" i="59"/>
  <c r="AB53" i="59"/>
  <c r="AC53" i="59"/>
  <c r="AD53" i="59"/>
  <c r="AE53" i="59"/>
  <c r="AF53" i="59"/>
  <c r="AG53" i="59"/>
  <c r="AH53" i="59"/>
  <c r="AL53" i="59"/>
  <c r="AM53" i="59"/>
  <c r="AN53" i="59"/>
  <c r="AO53" i="59"/>
  <c r="AP53" i="59"/>
  <c r="AQ53" i="59"/>
  <c r="AR53" i="59"/>
  <c r="AS53" i="59"/>
  <c r="AT53" i="59"/>
  <c r="K54" i="59"/>
  <c r="L54" i="59"/>
  <c r="M54" i="59"/>
  <c r="N54" i="59"/>
  <c r="P54" i="59"/>
  <c r="Q54" i="59"/>
  <c r="R54" i="59"/>
  <c r="S54" i="59"/>
  <c r="T54" i="59"/>
  <c r="U54" i="59"/>
  <c r="V54" i="59"/>
  <c r="Z54" i="59"/>
  <c r="AA54" i="59"/>
  <c r="AB54" i="59"/>
  <c r="AL54" i="59"/>
  <c r="AM54" i="59"/>
  <c r="AN54" i="59"/>
  <c r="AO54" i="59"/>
  <c r="AP54" i="59"/>
  <c r="AQ54" i="59"/>
  <c r="AR54" i="59"/>
  <c r="AT54" i="59"/>
  <c r="K55" i="59"/>
  <c r="L55" i="59"/>
  <c r="M55" i="59"/>
  <c r="N55" i="59"/>
  <c r="P55" i="59"/>
  <c r="Q55" i="59"/>
  <c r="R55" i="59"/>
  <c r="S55" i="59"/>
  <c r="T55" i="59"/>
  <c r="U55" i="59"/>
  <c r="V55" i="59"/>
  <c r="Z55" i="59"/>
  <c r="AA55" i="59"/>
  <c r="AB55" i="59"/>
  <c r="AC55" i="59"/>
  <c r="AE55" i="59"/>
  <c r="AF55" i="59"/>
  <c r="AG55" i="59"/>
  <c r="AH55" i="59"/>
  <c r="AL55" i="59"/>
  <c r="AM55" i="59"/>
  <c r="AN55" i="59"/>
  <c r="AO55" i="59"/>
  <c r="AQ55" i="59"/>
  <c r="AR55" i="59"/>
  <c r="AS55" i="59"/>
  <c r="AT55" i="59"/>
  <c r="K56" i="59"/>
  <c r="L56" i="59"/>
  <c r="M56" i="59"/>
  <c r="N56" i="59"/>
  <c r="Q56" i="59"/>
  <c r="R56" i="59"/>
  <c r="S56" i="59"/>
  <c r="T56" i="59"/>
  <c r="U56" i="59"/>
  <c r="V56" i="59"/>
  <c r="Z56" i="59"/>
  <c r="AA56" i="59"/>
  <c r="AB56" i="59"/>
  <c r="AC56" i="59"/>
  <c r="AF56" i="59"/>
  <c r="AH56" i="59"/>
  <c r="AL56" i="59"/>
  <c r="AM56" i="59"/>
  <c r="AN56" i="59"/>
  <c r="AO56" i="59"/>
  <c r="AP56" i="59"/>
  <c r="AQ56" i="59"/>
  <c r="AR56" i="59"/>
  <c r="K57" i="59"/>
  <c r="L57" i="59"/>
  <c r="M57" i="59"/>
  <c r="P57" i="59"/>
  <c r="Q57" i="59"/>
  <c r="R57" i="59"/>
  <c r="S57" i="59"/>
  <c r="T57" i="59"/>
  <c r="U57" i="59"/>
  <c r="V57" i="59"/>
  <c r="Z57" i="59"/>
  <c r="AA57" i="59"/>
  <c r="AB57" i="59"/>
  <c r="AF57" i="59"/>
  <c r="AG57" i="59"/>
  <c r="AH57" i="59"/>
  <c r="AL57" i="59"/>
  <c r="AM57" i="59"/>
  <c r="AN57" i="59"/>
  <c r="AO57" i="59"/>
  <c r="AP57" i="59"/>
  <c r="AQ57" i="59"/>
  <c r="AT57" i="59"/>
  <c r="K58" i="59"/>
  <c r="L58" i="59"/>
  <c r="M58" i="59"/>
  <c r="N58" i="59"/>
  <c r="P58" i="59"/>
  <c r="Q58" i="59"/>
  <c r="R58" i="59"/>
  <c r="S58" i="59"/>
  <c r="T58" i="59"/>
  <c r="V58" i="59"/>
  <c r="Z58" i="59"/>
  <c r="AA58" i="59"/>
  <c r="AB58" i="59"/>
  <c r="AC58" i="59"/>
  <c r="AD58" i="59"/>
  <c r="AE58" i="59"/>
  <c r="AO58" i="59"/>
  <c r="AP58" i="59"/>
  <c r="AQ58" i="59"/>
  <c r="AR58" i="59"/>
  <c r="AS58" i="59"/>
  <c r="AT58" i="59"/>
  <c r="K59" i="59"/>
  <c r="L59" i="59"/>
  <c r="M59" i="59"/>
  <c r="O59" i="59"/>
  <c r="P59" i="59"/>
  <c r="Q59" i="59"/>
  <c r="R59" i="59"/>
  <c r="S59" i="59"/>
  <c r="T59" i="59"/>
  <c r="U59" i="59"/>
  <c r="V59" i="59"/>
  <c r="X59" i="59"/>
  <c r="Y59" i="59"/>
  <c r="AB59" i="59"/>
  <c r="AD59" i="59"/>
  <c r="AE59" i="59"/>
  <c r="AF59" i="59"/>
  <c r="AG59" i="59"/>
  <c r="AH59" i="59"/>
  <c r="AK59" i="59"/>
  <c r="AL59" i="59"/>
  <c r="AM59" i="59"/>
  <c r="AN59" i="59"/>
  <c r="AP59" i="59"/>
  <c r="AQ59" i="59"/>
  <c r="AR59" i="59"/>
  <c r="AS59" i="59"/>
  <c r="AT59" i="59"/>
  <c r="K60" i="59"/>
  <c r="L60" i="59"/>
  <c r="M60" i="59"/>
  <c r="O60" i="59"/>
  <c r="P60" i="59"/>
  <c r="Q60" i="59"/>
  <c r="R60" i="59"/>
  <c r="S60" i="59"/>
  <c r="T60" i="59"/>
  <c r="U60" i="59"/>
  <c r="V60" i="59"/>
  <c r="X60" i="59"/>
  <c r="Y60" i="59"/>
  <c r="AB60" i="59"/>
  <c r="AD60" i="59"/>
  <c r="AE60" i="59"/>
  <c r="AH60" i="59"/>
  <c r="AK60" i="59"/>
  <c r="AL60" i="59"/>
  <c r="AM60" i="59"/>
  <c r="AN60" i="59"/>
  <c r="AP60" i="59"/>
  <c r="AQ60" i="59"/>
  <c r="AR60" i="59"/>
  <c r="AS60" i="59"/>
  <c r="AT60" i="59"/>
  <c r="K61" i="59"/>
  <c r="L61" i="59"/>
  <c r="M61" i="59"/>
  <c r="N61" i="59"/>
  <c r="O61" i="59"/>
  <c r="P61" i="59"/>
  <c r="Q61" i="59"/>
  <c r="R61" i="59"/>
  <c r="S61" i="59"/>
  <c r="T61" i="59"/>
  <c r="U61" i="59"/>
  <c r="V61" i="59"/>
  <c r="W61" i="59"/>
  <c r="X61" i="59"/>
  <c r="Y61" i="59"/>
  <c r="AB61" i="59"/>
  <c r="AC61" i="59"/>
  <c r="AD61" i="59"/>
  <c r="AE61" i="59"/>
  <c r="AG61" i="59"/>
  <c r="AH61" i="59"/>
  <c r="AK61" i="59"/>
  <c r="AL61" i="59"/>
  <c r="AM61" i="59"/>
  <c r="AN61" i="59"/>
  <c r="AO61" i="59"/>
  <c r="AP61" i="59"/>
  <c r="AQ61" i="59"/>
  <c r="AS61" i="59"/>
  <c r="AT61" i="59"/>
  <c r="K62" i="59"/>
  <c r="L62" i="59"/>
  <c r="M62" i="59"/>
  <c r="N62" i="59"/>
  <c r="O62" i="59"/>
  <c r="P62" i="59"/>
  <c r="Q62" i="59"/>
  <c r="R62" i="59"/>
  <c r="S62" i="59"/>
  <c r="T62" i="59"/>
  <c r="U62" i="59"/>
  <c r="V62" i="59"/>
  <c r="W62" i="59"/>
  <c r="X62" i="59"/>
  <c r="Y62" i="59"/>
  <c r="AB62" i="59"/>
  <c r="AC62" i="59"/>
  <c r="AD62" i="59"/>
  <c r="AE62" i="59"/>
  <c r="AG62" i="59"/>
  <c r="AH62" i="59"/>
  <c r="AK62" i="59"/>
  <c r="AL62" i="59"/>
  <c r="AM62" i="59"/>
  <c r="AN62" i="59"/>
  <c r="AO62" i="59"/>
  <c r="AP62" i="59"/>
  <c r="AQ62" i="59"/>
  <c r="AR62" i="59"/>
  <c r="AS62" i="59"/>
  <c r="AT62" i="59"/>
  <c r="K63" i="59"/>
  <c r="L63" i="59"/>
  <c r="M63" i="59"/>
  <c r="O63" i="59"/>
  <c r="P63" i="59"/>
  <c r="Q63" i="59"/>
  <c r="R63" i="59"/>
  <c r="S63" i="59"/>
  <c r="T63" i="59"/>
  <c r="U63" i="59"/>
  <c r="V63" i="59"/>
  <c r="X63" i="59"/>
  <c r="Y63" i="59"/>
  <c r="AB63" i="59"/>
  <c r="AD63" i="59"/>
  <c r="AE63" i="59"/>
  <c r="AH63" i="59"/>
  <c r="AK63" i="59"/>
  <c r="AL63" i="59"/>
  <c r="AM63" i="59"/>
  <c r="AN63" i="59"/>
  <c r="AO63" i="59"/>
  <c r="AP63" i="59"/>
  <c r="AQ63" i="59"/>
  <c r="AR63" i="59"/>
  <c r="AS63" i="59"/>
  <c r="AT63" i="59"/>
  <c r="K64" i="59"/>
  <c r="L64" i="59"/>
  <c r="M64" i="59"/>
  <c r="O64" i="59"/>
  <c r="P64" i="59"/>
  <c r="Q64" i="59"/>
  <c r="R64" i="59"/>
  <c r="S64" i="59"/>
  <c r="T64" i="59"/>
  <c r="U64" i="59"/>
  <c r="V64" i="59"/>
  <c r="X64" i="59"/>
  <c r="Y64" i="59"/>
  <c r="AB64" i="59"/>
  <c r="AC64" i="59"/>
  <c r="AD64" i="59"/>
  <c r="AE64" i="59"/>
  <c r="AF64" i="59"/>
  <c r="AG64" i="59"/>
  <c r="AH64" i="59"/>
  <c r="AK64" i="59"/>
  <c r="AL64" i="59"/>
  <c r="AM64" i="59"/>
  <c r="AN64" i="59"/>
  <c r="AO64" i="59"/>
  <c r="AP64" i="59"/>
  <c r="AQ64" i="59"/>
  <c r="AR64" i="59"/>
  <c r="AS64" i="59"/>
  <c r="AT64" i="59"/>
  <c r="K65" i="59"/>
  <c r="L65" i="59"/>
  <c r="M65" i="59"/>
  <c r="N65" i="59"/>
  <c r="O65" i="59"/>
  <c r="P65" i="59"/>
  <c r="Q65" i="59"/>
  <c r="R65" i="59"/>
  <c r="S65" i="59"/>
  <c r="T65" i="59"/>
  <c r="U65" i="59"/>
  <c r="V65" i="59"/>
  <c r="W65" i="59"/>
  <c r="X65" i="59"/>
  <c r="Y65" i="59"/>
  <c r="AA65" i="59"/>
  <c r="AB65" i="59"/>
  <c r="AC65" i="59"/>
  <c r="AD65" i="59"/>
  <c r="AE65" i="59"/>
  <c r="AF65" i="59"/>
  <c r="AG65" i="59"/>
  <c r="AH65" i="59"/>
  <c r="AI65" i="59"/>
  <c r="AJ65" i="59"/>
  <c r="AK65" i="59"/>
  <c r="AL65" i="59"/>
  <c r="AM65" i="59"/>
  <c r="AN65" i="59"/>
  <c r="AO65" i="59"/>
  <c r="AP65" i="59"/>
  <c r="AQ65" i="59"/>
  <c r="AS65" i="59"/>
  <c r="AT65" i="59"/>
  <c r="K66" i="59"/>
  <c r="L66" i="59"/>
  <c r="M66" i="59"/>
  <c r="O66" i="59"/>
  <c r="P66" i="59"/>
  <c r="Q66" i="59"/>
  <c r="R66" i="59"/>
  <c r="S66" i="59"/>
  <c r="T66" i="59"/>
  <c r="U66" i="59"/>
  <c r="V66" i="59"/>
  <c r="X66" i="59"/>
  <c r="Y66" i="59"/>
  <c r="Z66" i="59"/>
  <c r="AA66" i="59"/>
  <c r="AB66" i="59"/>
  <c r="AC66" i="59"/>
  <c r="AD66" i="59"/>
  <c r="AE66" i="59"/>
  <c r="AH66" i="59"/>
  <c r="AK66" i="59"/>
  <c r="AL66" i="59"/>
  <c r="AM66" i="59"/>
  <c r="AN66" i="59"/>
  <c r="AO66" i="59"/>
  <c r="AP66" i="59"/>
  <c r="AQ66" i="59"/>
  <c r="AR66" i="59"/>
  <c r="AS66" i="59"/>
  <c r="AT66" i="59"/>
  <c r="K67" i="59"/>
  <c r="L67" i="59"/>
  <c r="M67" i="59"/>
  <c r="O67" i="59"/>
  <c r="P67" i="59"/>
  <c r="Q67" i="59"/>
  <c r="R67" i="59"/>
  <c r="S67" i="59"/>
  <c r="T67" i="59"/>
  <c r="U67" i="59"/>
  <c r="V67" i="59"/>
  <c r="X67" i="59"/>
  <c r="Y67" i="59"/>
  <c r="Z67" i="59"/>
  <c r="AA67" i="59"/>
  <c r="AB67" i="59"/>
  <c r="AC67" i="59"/>
  <c r="AD67" i="59"/>
  <c r="AE67" i="59"/>
  <c r="AH67" i="59"/>
  <c r="AK67" i="59"/>
  <c r="AL67" i="59"/>
  <c r="AM67" i="59"/>
  <c r="AN67" i="59"/>
  <c r="AO67" i="59"/>
  <c r="AP67" i="59"/>
  <c r="AQ67" i="59"/>
  <c r="AR67" i="59"/>
  <c r="AS67" i="59"/>
  <c r="AT67" i="59"/>
  <c r="K68" i="59"/>
  <c r="L68" i="59"/>
  <c r="M68" i="59"/>
  <c r="N68" i="59"/>
  <c r="O68" i="59"/>
  <c r="P68" i="59"/>
  <c r="Q68" i="59"/>
  <c r="R68" i="59"/>
  <c r="S68" i="59"/>
  <c r="T68" i="59"/>
  <c r="U68" i="59"/>
  <c r="V68" i="59"/>
  <c r="W68" i="59"/>
  <c r="X68" i="59"/>
  <c r="Y68" i="59"/>
  <c r="AB68" i="59"/>
  <c r="AC68" i="59"/>
  <c r="AD68" i="59"/>
  <c r="AE68" i="59"/>
  <c r="AH68" i="59"/>
  <c r="AK68" i="59"/>
  <c r="AL68" i="59"/>
  <c r="AM68" i="59"/>
  <c r="AN68" i="59"/>
  <c r="AO68" i="59"/>
  <c r="AP68" i="59"/>
  <c r="AQ68" i="59"/>
  <c r="AR68" i="59"/>
  <c r="AS68" i="59"/>
  <c r="AT68" i="59"/>
  <c r="K69" i="59"/>
  <c r="L69" i="59"/>
  <c r="M69" i="59"/>
  <c r="N69" i="59"/>
  <c r="P69" i="59"/>
  <c r="Q69" i="59"/>
  <c r="R69" i="59"/>
  <c r="S69" i="59"/>
  <c r="T69" i="59"/>
  <c r="U69" i="59"/>
  <c r="V69" i="59"/>
  <c r="W69" i="59"/>
  <c r="Y69" i="59"/>
  <c r="Z69" i="59"/>
  <c r="AA69" i="59"/>
  <c r="AB69" i="59"/>
  <c r="AC69" i="59"/>
  <c r="AD69" i="59"/>
  <c r="AE69" i="59"/>
  <c r="AF69" i="59"/>
  <c r="AH69" i="59"/>
  <c r="AI69" i="59"/>
  <c r="AJ69" i="59"/>
  <c r="AK69" i="59"/>
  <c r="AL69" i="59"/>
  <c r="AM69" i="59"/>
  <c r="AN69" i="59"/>
  <c r="AO69" i="59"/>
  <c r="AP69" i="59"/>
  <c r="AQ69" i="59"/>
  <c r="AR69" i="59"/>
  <c r="AS69" i="59"/>
  <c r="AT69" i="59"/>
  <c r="K70" i="59"/>
  <c r="L70" i="59"/>
  <c r="M70" i="59"/>
  <c r="N70" i="59"/>
  <c r="P70" i="59"/>
  <c r="Q70" i="59"/>
  <c r="R70" i="59"/>
  <c r="S70" i="59"/>
  <c r="T70" i="59"/>
  <c r="U70" i="59"/>
  <c r="V70" i="59"/>
  <c r="W70" i="59"/>
  <c r="Y70" i="59"/>
  <c r="Z70" i="59"/>
  <c r="AA70" i="59"/>
  <c r="AB70" i="59"/>
  <c r="AC70" i="59"/>
  <c r="AD70" i="59"/>
  <c r="AE70" i="59"/>
  <c r="AL70" i="59"/>
  <c r="AM70" i="59"/>
  <c r="AN70" i="59"/>
  <c r="AO70" i="59"/>
  <c r="AQ70" i="59"/>
  <c r="AR70" i="59"/>
  <c r="AS70" i="59"/>
  <c r="AT70" i="59"/>
  <c r="K71" i="59"/>
  <c r="L71" i="59"/>
  <c r="M71" i="59"/>
  <c r="N71" i="59"/>
  <c r="P71" i="59"/>
  <c r="Q71" i="59"/>
  <c r="R71" i="59"/>
  <c r="S71" i="59"/>
  <c r="T71" i="59"/>
  <c r="U71" i="59"/>
  <c r="V71" i="59"/>
  <c r="W71" i="59"/>
  <c r="Y71" i="59"/>
  <c r="AC71" i="59"/>
  <c r="AD71" i="59"/>
  <c r="AE71" i="59"/>
  <c r="AL71" i="59"/>
  <c r="AM71" i="59"/>
  <c r="AN71" i="59"/>
  <c r="AO71" i="59"/>
  <c r="AP71" i="59"/>
  <c r="AQ71" i="59"/>
  <c r="AR71" i="59"/>
  <c r="AT71" i="59"/>
  <c r="K72" i="59"/>
  <c r="L72" i="59"/>
  <c r="M72" i="59"/>
  <c r="N72" i="59"/>
  <c r="P72" i="59"/>
  <c r="Q72" i="59"/>
  <c r="R72" i="59"/>
  <c r="S72" i="59"/>
  <c r="T72" i="59"/>
  <c r="U72" i="59"/>
  <c r="V72" i="59"/>
  <c r="W72" i="59"/>
  <c r="Y72" i="59"/>
  <c r="AC72" i="59"/>
  <c r="AD72" i="59"/>
  <c r="AE72" i="59"/>
  <c r="AF72" i="59"/>
  <c r="AG72" i="59"/>
  <c r="AH72" i="59"/>
  <c r="AI72" i="59"/>
  <c r="AK72" i="59"/>
  <c r="AL72" i="59"/>
  <c r="AM72" i="59"/>
  <c r="AN72" i="59"/>
  <c r="AO72" i="59"/>
  <c r="AP72" i="59"/>
  <c r="AQ72" i="59"/>
  <c r="AR72" i="59"/>
  <c r="AT72" i="59"/>
  <c r="K73" i="59"/>
  <c r="L73" i="59"/>
  <c r="M73" i="59"/>
  <c r="N73" i="59"/>
  <c r="O73" i="59"/>
  <c r="P73" i="59"/>
  <c r="Q73" i="59"/>
  <c r="R73" i="59"/>
  <c r="S73" i="59"/>
  <c r="T73" i="59"/>
  <c r="U73" i="59"/>
  <c r="V73" i="59"/>
  <c r="W73" i="59"/>
  <c r="X73" i="59"/>
  <c r="Y73" i="59"/>
  <c r="AC73" i="59"/>
  <c r="AD73" i="59"/>
  <c r="AE73" i="59"/>
  <c r="AF73" i="59"/>
  <c r="AL73" i="59"/>
  <c r="AM73" i="59"/>
  <c r="AN73" i="59"/>
  <c r="AO73" i="59"/>
  <c r="AP73" i="59"/>
  <c r="AQ73" i="59"/>
  <c r="AT73" i="59"/>
  <c r="K74" i="59"/>
  <c r="L74" i="59"/>
  <c r="M74" i="59"/>
  <c r="N74" i="59"/>
  <c r="O74" i="59"/>
  <c r="P74" i="59"/>
  <c r="Q74" i="59"/>
  <c r="R74" i="59"/>
  <c r="S74" i="59"/>
  <c r="T74" i="59"/>
  <c r="U74" i="59"/>
  <c r="V74" i="59"/>
  <c r="W74" i="59"/>
  <c r="X74" i="59"/>
  <c r="Y74" i="59"/>
  <c r="AC74" i="59"/>
  <c r="AD74" i="59"/>
  <c r="AE74" i="59"/>
  <c r="AL74" i="59"/>
  <c r="AM74" i="59"/>
  <c r="AN74" i="59"/>
  <c r="AO74" i="59"/>
  <c r="AP74" i="59"/>
  <c r="AQ74" i="59"/>
  <c r="AR74" i="59"/>
  <c r="AT74" i="59"/>
  <c r="K75" i="59"/>
  <c r="L75" i="59"/>
  <c r="M75" i="59"/>
  <c r="N75" i="59"/>
  <c r="O75" i="59"/>
  <c r="P75" i="59"/>
  <c r="Q75" i="59"/>
  <c r="R75" i="59"/>
  <c r="S75" i="59"/>
  <c r="T75" i="59"/>
  <c r="U75" i="59"/>
  <c r="V75" i="59"/>
  <c r="W75" i="59"/>
  <c r="X75" i="59"/>
  <c r="Y75" i="59"/>
  <c r="Z75" i="59"/>
  <c r="AA75" i="59"/>
  <c r="AB75" i="59"/>
  <c r="AC75" i="59"/>
  <c r="AD75" i="59"/>
  <c r="AE75" i="59"/>
  <c r="AF75" i="59"/>
  <c r="AL75" i="59"/>
  <c r="AN75" i="59"/>
  <c r="AO75" i="59"/>
  <c r="AP75" i="59"/>
  <c r="AQ75" i="59"/>
  <c r="AR75" i="59"/>
  <c r="AS75" i="59"/>
  <c r="AT75" i="59"/>
  <c r="K76" i="59"/>
  <c r="L76" i="59"/>
  <c r="M76" i="59"/>
  <c r="N76" i="59"/>
  <c r="O76" i="59"/>
  <c r="P76" i="59"/>
  <c r="Q76" i="59"/>
  <c r="R76" i="59"/>
  <c r="S76" i="59"/>
  <c r="T76" i="59"/>
  <c r="U76" i="59"/>
  <c r="V76" i="59"/>
  <c r="W76" i="59"/>
  <c r="X76" i="59"/>
  <c r="Y76" i="59"/>
  <c r="AC76" i="59"/>
  <c r="AD76" i="59"/>
  <c r="AE76" i="59"/>
  <c r="AF76" i="59"/>
  <c r="AG76" i="59"/>
  <c r="AH76" i="59"/>
  <c r="AL76" i="59"/>
  <c r="AM76" i="59"/>
  <c r="AN76" i="59"/>
  <c r="AO76" i="59"/>
  <c r="AP76" i="59"/>
  <c r="AQ76" i="59"/>
  <c r="AR76" i="59"/>
  <c r="AT76" i="59"/>
  <c r="AT3" i="59"/>
  <c r="AS3" i="59"/>
  <c r="AR3" i="59"/>
  <c r="AQ3" i="59"/>
  <c r="AP3" i="59"/>
  <c r="AO3" i="59"/>
  <c r="AN3" i="59"/>
  <c r="AM3" i="59"/>
  <c r="AL3" i="59"/>
  <c r="AE3" i="59"/>
  <c r="AD3" i="59"/>
  <c r="AC3" i="59"/>
  <c r="Y3" i="59"/>
  <c r="W3" i="59"/>
  <c r="V3" i="59"/>
  <c r="U3" i="59"/>
  <c r="T3" i="59"/>
  <c r="S3" i="59"/>
  <c r="R3" i="59"/>
  <c r="Q3" i="59"/>
  <c r="P3" i="59"/>
  <c r="N3" i="59"/>
  <c r="M3" i="59"/>
  <c r="L3" i="59"/>
  <c r="K3" i="59"/>
  <c r="H4" i="59"/>
  <c r="I4" i="59"/>
  <c r="J4" i="59"/>
  <c r="H5" i="59"/>
  <c r="J5" i="59"/>
  <c r="H6" i="59"/>
  <c r="I6" i="59"/>
  <c r="J6" i="59"/>
  <c r="H7" i="59"/>
  <c r="J7" i="59"/>
  <c r="H8" i="59"/>
  <c r="I8" i="59"/>
  <c r="J8" i="59"/>
  <c r="H9" i="59"/>
  <c r="J9" i="59"/>
  <c r="H10" i="59"/>
  <c r="I10" i="59"/>
  <c r="J10" i="59"/>
  <c r="H11" i="59"/>
  <c r="J11" i="59"/>
  <c r="H12" i="59"/>
  <c r="I12" i="59"/>
  <c r="J12" i="59"/>
  <c r="H13" i="59"/>
  <c r="J13" i="59"/>
  <c r="H14" i="59"/>
  <c r="J14" i="59"/>
  <c r="H15" i="59"/>
  <c r="J15" i="59"/>
  <c r="H16" i="59"/>
  <c r="I16" i="59"/>
  <c r="J16" i="59"/>
  <c r="H17" i="59"/>
  <c r="I17" i="59"/>
  <c r="J17" i="59"/>
  <c r="H18" i="59"/>
  <c r="I18" i="59"/>
  <c r="J18" i="59"/>
  <c r="H19" i="59"/>
  <c r="I19" i="59"/>
  <c r="J19" i="59"/>
  <c r="H20" i="59"/>
  <c r="I20" i="59"/>
  <c r="J20" i="59"/>
  <c r="H21" i="59"/>
  <c r="I21" i="59"/>
  <c r="J21" i="59"/>
  <c r="H22" i="59"/>
  <c r="I22" i="59"/>
  <c r="J22" i="59"/>
  <c r="H23" i="59"/>
  <c r="I23" i="59"/>
  <c r="J23" i="59"/>
  <c r="H24" i="59"/>
  <c r="J24" i="59"/>
  <c r="H25" i="59"/>
  <c r="J25" i="59"/>
  <c r="H26" i="59"/>
  <c r="J26" i="59"/>
  <c r="H27" i="59"/>
  <c r="J27" i="59"/>
  <c r="H28" i="59"/>
  <c r="I28" i="59"/>
  <c r="J28" i="59"/>
  <c r="H29" i="59"/>
  <c r="I29" i="59"/>
  <c r="J29" i="59"/>
  <c r="H30" i="59"/>
  <c r="I30" i="59"/>
  <c r="J30" i="59"/>
  <c r="H31" i="59"/>
  <c r="I31" i="59"/>
  <c r="J31" i="59"/>
  <c r="H32" i="59"/>
  <c r="I32" i="59"/>
  <c r="J32" i="59"/>
  <c r="H33" i="59"/>
  <c r="I33" i="59"/>
  <c r="J33" i="59"/>
  <c r="H34" i="59"/>
  <c r="I34" i="59"/>
  <c r="J34" i="59"/>
  <c r="H35" i="59"/>
  <c r="I35" i="59"/>
  <c r="J35" i="59"/>
  <c r="H36" i="59"/>
  <c r="I36" i="59"/>
  <c r="J36" i="59"/>
  <c r="H37" i="59"/>
  <c r="I37" i="59"/>
  <c r="J37" i="59"/>
  <c r="H38" i="59"/>
  <c r="I38" i="59"/>
  <c r="J38" i="59"/>
  <c r="H39" i="59"/>
  <c r="I39" i="59"/>
  <c r="J39" i="59"/>
  <c r="H40" i="59"/>
  <c r="I40" i="59"/>
  <c r="J40" i="59"/>
  <c r="H41" i="59"/>
  <c r="I41" i="59"/>
  <c r="J41" i="59"/>
  <c r="H42" i="59"/>
  <c r="I42" i="59"/>
  <c r="J42" i="59"/>
  <c r="H43" i="59"/>
  <c r="I43" i="59"/>
  <c r="J43" i="59"/>
  <c r="H44" i="59"/>
  <c r="I44" i="59"/>
  <c r="J44" i="59"/>
  <c r="H45" i="59"/>
  <c r="J45" i="59"/>
  <c r="H46" i="59"/>
  <c r="I46" i="59"/>
  <c r="J46" i="59"/>
  <c r="H47" i="59"/>
  <c r="I47" i="59"/>
  <c r="J47" i="59"/>
  <c r="H48" i="59"/>
  <c r="I48" i="59"/>
  <c r="J48" i="59"/>
  <c r="H49" i="59"/>
  <c r="J49" i="59"/>
  <c r="H50" i="59"/>
  <c r="J50" i="59"/>
  <c r="H51" i="59"/>
  <c r="I51" i="59"/>
  <c r="J51" i="59"/>
  <c r="H52" i="59"/>
  <c r="J52" i="59"/>
  <c r="H53" i="59"/>
  <c r="I53" i="59"/>
  <c r="J53" i="59"/>
  <c r="H54" i="59"/>
  <c r="I54" i="59"/>
  <c r="J54" i="59"/>
  <c r="H55" i="59"/>
  <c r="J55" i="59"/>
  <c r="H56" i="59"/>
  <c r="I56" i="59"/>
  <c r="J56" i="59"/>
  <c r="H57" i="59"/>
  <c r="I57" i="59"/>
  <c r="J57" i="59"/>
  <c r="H58" i="59"/>
  <c r="J58" i="59"/>
  <c r="H59" i="59"/>
  <c r="I59" i="59"/>
  <c r="J59" i="59"/>
  <c r="H60" i="59"/>
  <c r="I60" i="59"/>
  <c r="J60" i="59"/>
  <c r="H61" i="59"/>
  <c r="I61" i="59"/>
  <c r="J61" i="59"/>
  <c r="I62" i="59"/>
  <c r="J62" i="59"/>
  <c r="I63" i="59"/>
  <c r="J63" i="59"/>
  <c r="H64" i="59"/>
  <c r="I64" i="59"/>
  <c r="J64" i="59"/>
  <c r="H65" i="59"/>
  <c r="I65" i="59"/>
  <c r="J65" i="59"/>
  <c r="H66" i="59"/>
  <c r="I66" i="59"/>
  <c r="J66" i="59"/>
  <c r="H67" i="59"/>
  <c r="I67" i="59"/>
  <c r="J67" i="59"/>
  <c r="H68" i="59"/>
  <c r="I68" i="59"/>
  <c r="J68" i="59"/>
  <c r="H69" i="59"/>
  <c r="I69" i="59"/>
  <c r="J69" i="59"/>
  <c r="H70" i="59"/>
  <c r="I70" i="59"/>
  <c r="J70" i="59"/>
  <c r="H71" i="59"/>
  <c r="I71" i="59"/>
  <c r="J71" i="59"/>
  <c r="H72" i="59"/>
  <c r="I72" i="59"/>
  <c r="J72" i="59"/>
  <c r="H73" i="59"/>
  <c r="I73" i="59"/>
  <c r="J73" i="59"/>
  <c r="H74" i="59"/>
  <c r="I74" i="59"/>
  <c r="J74" i="59"/>
  <c r="H75" i="59"/>
  <c r="I75" i="59"/>
  <c r="J75" i="59"/>
  <c r="H76" i="59"/>
  <c r="I76" i="59"/>
  <c r="J76" i="59"/>
  <c r="J3" i="59"/>
  <c r="I3" i="59"/>
  <c r="H3" i="59"/>
  <c r="E3" i="59"/>
  <c r="G4" i="59"/>
  <c r="G5" i="59"/>
  <c r="G6" i="59"/>
  <c r="G7" i="59"/>
  <c r="G9" i="59"/>
  <c r="G10" i="59"/>
  <c r="G11" i="59"/>
  <c r="G12" i="59"/>
  <c r="G13" i="59"/>
  <c r="G14" i="59"/>
  <c r="G15" i="59"/>
  <c r="G18" i="59"/>
  <c r="G19" i="59"/>
  <c r="G20" i="59"/>
  <c r="G21" i="59"/>
  <c r="G23" i="59"/>
  <c r="G24" i="59"/>
  <c r="G25" i="59"/>
  <c r="G26" i="59"/>
  <c r="G27" i="59"/>
  <c r="G28" i="59"/>
  <c r="G29" i="59"/>
  <c r="G30" i="59"/>
  <c r="G31" i="59"/>
  <c r="G32" i="59"/>
  <c r="G33" i="59"/>
  <c r="G34" i="59"/>
  <c r="G35" i="59"/>
  <c r="G36" i="59"/>
  <c r="G37" i="59"/>
  <c r="G38" i="59"/>
  <c r="G39" i="59"/>
  <c r="G40" i="59"/>
  <c r="G41" i="59"/>
  <c r="G42" i="59"/>
  <c r="G43" i="59"/>
  <c r="G44" i="59"/>
  <c r="G45" i="59"/>
  <c r="G46" i="59"/>
  <c r="G47" i="59"/>
  <c r="G48" i="59"/>
  <c r="G49" i="59"/>
  <c r="G50" i="59"/>
  <c r="G51" i="59"/>
  <c r="G52" i="59"/>
  <c r="G53" i="59"/>
  <c r="G54" i="59"/>
  <c r="G55" i="59"/>
  <c r="G56" i="59"/>
  <c r="G57" i="59"/>
  <c r="G58" i="59"/>
  <c r="G59" i="59"/>
  <c r="G60" i="59"/>
  <c r="G61" i="59"/>
  <c r="G62" i="59"/>
  <c r="G63" i="59"/>
  <c r="G64" i="59"/>
  <c r="G65" i="59"/>
  <c r="G66" i="59"/>
  <c r="G67" i="59"/>
  <c r="G68" i="59"/>
  <c r="G69" i="59"/>
  <c r="G71" i="59"/>
  <c r="G74" i="59"/>
  <c r="G75" i="59"/>
  <c r="G76" i="59"/>
  <c r="F3" i="59"/>
  <c r="G3" i="59"/>
  <c r="F4" i="59"/>
  <c r="F6" i="59"/>
  <c r="F7" i="59"/>
  <c r="F10" i="59"/>
  <c r="F13" i="59"/>
  <c r="F14" i="59"/>
  <c r="F20" i="59"/>
  <c r="F24" i="59"/>
  <c r="F25" i="59"/>
  <c r="F26" i="59"/>
  <c r="F27" i="59"/>
  <c r="F28" i="59"/>
  <c r="F29" i="59"/>
  <c r="F30" i="59"/>
  <c r="F31" i="59"/>
  <c r="F32" i="59"/>
  <c r="F33" i="59"/>
  <c r="F34" i="59"/>
  <c r="F35" i="59"/>
  <c r="F36" i="59"/>
  <c r="F37" i="59"/>
  <c r="F38" i="59"/>
  <c r="F40" i="59"/>
  <c r="F41" i="59"/>
  <c r="F43" i="59"/>
  <c r="F44" i="59"/>
  <c r="F45" i="59"/>
  <c r="F46" i="59"/>
  <c r="F48" i="59"/>
  <c r="F49" i="59"/>
  <c r="F50" i="59"/>
  <c r="F51" i="59"/>
  <c r="F53" i="59"/>
  <c r="F54" i="59"/>
  <c r="F55" i="59"/>
  <c r="F57" i="59"/>
  <c r="F58" i="59"/>
  <c r="F59" i="59"/>
  <c r="F60" i="59"/>
  <c r="F61" i="59"/>
  <c r="F62" i="59"/>
  <c r="F63" i="59"/>
  <c r="F64" i="59"/>
  <c r="F65" i="59"/>
  <c r="F66" i="59"/>
  <c r="F67" i="59"/>
  <c r="F68" i="59"/>
  <c r="F75" i="59"/>
  <c r="F76" i="59"/>
  <c r="E4" i="59"/>
  <c r="E5" i="59"/>
  <c r="E6" i="59"/>
  <c r="E7" i="59"/>
  <c r="E8" i="59"/>
  <c r="E10" i="59"/>
  <c r="E11" i="59"/>
  <c r="E12" i="59"/>
  <c r="E13" i="59"/>
  <c r="E14" i="59"/>
  <c r="E15" i="59"/>
  <c r="E16" i="59"/>
  <c r="E17" i="59"/>
  <c r="E18" i="59"/>
  <c r="E19" i="59"/>
  <c r="E20" i="59"/>
  <c r="E21" i="59"/>
  <c r="E22" i="59"/>
  <c r="E23" i="59"/>
  <c r="E24" i="59"/>
  <c r="E25" i="59"/>
  <c r="E26" i="59"/>
  <c r="E27" i="59"/>
  <c r="E28" i="59"/>
  <c r="E29" i="59"/>
  <c r="E30" i="59"/>
  <c r="E31" i="59"/>
  <c r="E32" i="59"/>
  <c r="E33" i="59"/>
  <c r="E34" i="59"/>
  <c r="E35" i="59"/>
  <c r="E36" i="59"/>
  <c r="E37" i="59"/>
  <c r="E38" i="59"/>
  <c r="E39" i="59"/>
  <c r="E40" i="59"/>
  <c r="E41" i="59"/>
  <c r="E42" i="59"/>
  <c r="E43" i="59"/>
  <c r="E44" i="59"/>
  <c r="E45" i="59"/>
  <c r="E46" i="59"/>
  <c r="E47" i="59"/>
  <c r="E48" i="59"/>
  <c r="E49" i="59"/>
  <c r="E50" i="59"/>
  <c r="E51" i="59"/>
  <c r="E52" i="59"/>
  <c r="E53" i="59"/>
  <c r="E54" i="59"/>
  <c r="E55" i="59"/>
  <c r="E56" i="59"/>
  <c r="E57" i="59"/>
  <c r="E58" i="59"/>
  <c r="E59" i="59"/>
  <c r="E60" i="59"/>
  <c r="E62" i="59"/>
  <c r="E63" i="59"/>
  <c r="E64" i="59"/>
  <c r="E65" i="59"/>
  <c r="E66" i="59"/>
  <c r="E67" i="59"/>
  <c r="E68" i="59"/>
  <c r="E69" i="59"/>
  <c r="E71" i="59"/>
  <c r="E72" i="59"/>
  <c r="E75" i="59"/>
  <c r="E76" i="59"/>
  <c r="C37" i="30" l="1"/>
  <c r="C69" i="30"/>
  <c r="C98" i="30"/>
  <c r="C122" i="30"/>
  <c r="C146" i="30"/>
  <c r="C170" i="30"/>
  <c r="C194" i="30"/>
  <c r="C218" i="30"/>
  <c r="C241" i="30"/>
  <c r="C260" i="30"/>
  <c r="C278" i="30"/>
  <c r="C296" i="30"/>
  <c r="C314" i="30"/>
  <c r="C332" i="30"/>
  <c r="C350" i="30"/>
  <c r="C368" i="30"/>
  <c r="C386" i="30"/>
  <c r="C404" i="30"/>
  <c r="C422" i="30"/>
  <c r="C440" i="30"/>
  <c r="C458" i="30"/>
  <c r="C474" i="30"/>
  <c r="C487" i="30"/>
  <c r="C500" i="30"/>
  <c r="C512" i="30"/>
  <c r="C524" i="30"/>
  <c r="C536" i="30"/>
  <c r="C548" i="30"/>
  <c r="C560" i="30"/>
  <c r="C572" i="30"/>
  <c r="C584" i="30"/>
  <c r="C596" i="30"/>
  <c r="C608" i="30"/>
  <c r="C620" i="30"/>
  <c r="C632" i="30"/>
  <c r="C644" i="30"/>
  <c r="C656" i="30"/>
  <c r="C668" i="30"/>
  <c r="C680" i="30"/>
  <c r="C692" i="30"/>
  <c r="C704" i="30"/>
  <c r="C716" i="30"/>
  <c r="C728" i="30"/>
  <c r="C740" i="30"/>
  <c r="C752" i="30"/>
  <c r="C764" i="30"/>
  <c r="C776" i="30"/>
  <c r="C788" i="30"/>
  <c r="C800" i="30"/>
  <c r="C812" i="30"/>
  <c r="C824" i="30"/>
  <c r="C836" i="30"/>
  <c r="C848" i="30"/>
  <c r="C860" i="30"/>
  <c r="C872" i="30"/>
  <c r="C884" i="30"/>
  <c r="C896" i="30"/>
  <c r="C908" i="30"/>
  <c r="C920" i="30"/>
  <c r="C932" i="30"/>
  <c r="C944" i="30"/>
  <c r="C956" i="30"/>
  <c r="C968" i="30"/>
  <c r="C980" i="30"/>
  <c r="C992" i="30"/>
  <c r="C1004" i="30"/>
  <c r="C1016" i="30"/>
  <c r="C1028" i="30"/>
  <c r="C1040" i="30"/>
  <c r="C1052" i="30"/>
  <c r="C1064" i="30"/>
  <c r="C1076" i="30"/>
  <c r="C1088" i="30"/>
  <c r="C1100" i="30"/>
  <c r="C1112" i="30"/>
  <c r="C1124" i="30"/>
  <c r="C1136" i="30"/>
  <c r="C1148" i="30"/>
  <c r="C1160" i="30"/>
  <c r="C1172" i="30"/>
  <c r="C1184" i="30"/>
  <c r="C1196" i="30"/>
  <c r="C1208" i="30"/>
  <c r="C1220" i="30"/>
  <c r="C38" i="30"/>
  <c r="C73" i="30"/>
  <c r="C99" i="30"/>
  <c r="C123" i="30"/>
  <c r="C147" i="30"/>
  <c r="C171" i="30"/>
  <c r="C195" i="30"/>
  <c r="C219" i="30"/>
  <c r="C242" i="30"/>
  <c r="C261" i="30"/>
  <c r="C279" i="30"/>
  <c r="C297" i="30"/>
  <c r="C315" i="30"/>
  <c r="C333" i="30"/>
  <c r="C351" i="30"/>
  <c r="C369" i="30"/>
  <c r="C387" i="30"/>
  <c r="C405" i="30"/>
  <c r="C423" i="30"/>
  <c r="C441" i="30"/>
  <c r="C459" i="30"/>
  <c r="C475" i="30"/>
  <c r="C488" i="30"/>
  <c r="C501" i="30"/>
  <c r="C513" i="30"/>
  <c r="C525" i="30"/>
  <c r="C537" i="30"/>
  <c r="C549" i="30"/>
  <c r="C561" i="30"/>
  <c r="C573" i="30"/>
  <c r="C585" i="30"/>
  <c r="C597" i="30"/>
  <c r="C609" i="30"/>
  <c r="C621" i="30"/>
  <c r="C633" i="30"/>
  <c r="C645" i="30"/>
  <c r="C657" i="30"/>
  <c r="C669" i="30"/>
  <c r="C681" i="30"/>
  <c r="C693" i="30"/>
  <c r="C705" i="30"/>
  <c r="C717" i="30"/>
  <c r="C729" i="30"/>
  <c r="C741" i="30"/>
  <c r="C753" i="30"/>
  <c r="C765" i="30"/>
  <c r="C777" i="30"/>
  <c r="C789" i="30"/>
  <c r="C801" i="30"/>
  <c r="C813" i="30"/>
  <c r="C825" i="30"/>
  <c r="C837" i="30"/>
  <c r="C849" i="30"/>
  <c r="C861" i="30"/>
  <c r="C873" i="30"/>
  <c r="C885" i="30"/>
  <c r="C897" i="30"/>
  <c r="C909" i="30"/>
  <c r="C921" i="30"/>
  <c r="C933" i="30"/>
  <c r="C945" i="30"/>
  <c r="C957" i="30"/>
  <c r="C969" i="30"/>
  <c r="C981" i="30"/>
  <c r="C993" i="30"/>
  <c r="C1005" i="30"/>
  <c r="C1017" i="30"/>
  <c r="C1029" i="30"/>
  <c r="C1041" i="30"/>
  <c r="C1053" i="30"/>
  <c r="C1065" i="30"/>
  <c r="C45" i="30"/>
  <c r="C74" i="30"/>
  <c r="C100" i="30"/>
  <c r="C124" i="30"/>
  <c r="C148" i="30"/>
  <c r="C172" i="30"/>
  <c r="C196" i="30"/>
  <c r="C220" i="30"/>
  <c r="C243" i="30"/>
  <c r="C264" i="30"/>
  <c r="C280" i="30"/>
  <c r="C300" i="30"/>
  <c r="C316" i="30"/>
  <c r="C336" i="30"/>
  <c r="C352" i="30"/>
  <c r="C372" i="30"/>
  <c r="C388" i="30"/>
  <c r="C408" i="30"/>
  <c r="C424" i="30"/>
  <c r="C444" i="30"/>
  <c r="C460" i="30"/>
  <c r="C476" i="30"/>
  <c r="C489" i="30"/>
  <c r="C502" i="30"/>
  <c r="C514" i="30"/>
  <c r="C526" i="30"/>
  <c r="C538" i="30"/>
  <c r="C550" i="30"/>
  <c r="C562" i="30"/>
  <c r="C574" i="30"/>
  <c r="C586" i="30"/>
  <c r="C598" i="30"/>
  <c r="C610" i="30"/>
  <c r="C622" i="30"/>
  <c r="C634" i="30"/>
  <c r="C646" i="30"/>
  <c r="C658" i="30"/>
  <c r="C670" i="30"/>
  <c r="C682" i="30"/>
  <c r="C694" i="30"/>
  <c r="C706" i="30"/>
  <c r="C718" i="30"/>
  <c r="C730" i="30"/>
  <c r="C742" i="30"/>
  <c r="C754" i="30"/>
  <c r="C766" i="30"/>
  <c r="C778" i="30"/>
  <c r="C790" i="30"/>
  <c r="C802" i="30"/>
  <c r="C814" i="30"/>
  <c r="C826" i="30"/>
  <c r="C838" i="30"/>
  <c r="C850" i="30"/>
  <c r="C862" i="30"/>
  <c r="C874" i="30"/>
  <c r="C886" i="30"/>
  <c r="C898" i="30"/>
  <c r="C910" i="30"/>
  <c r="C922" i="30"/>
  <c r="C934" i="30"/>
  <c r="C946" i="30"/>
  <c r="C958" i="30"/>
  <c r="C970" i="30"/>
  <c r="C982" i="30"/>
  <c r="C994" i="30"/>
  <c r="C1006" i="30"/>
  <c r="C1018" i="30"/>
  <c r="C1030" i="30"/>
  <c r="C49" i="30"/>
  <c r="C75" i="30"/>
  <c r="C104" i="30"/>
  <c r="C128" i="30"/>
  <c r="C152" i="30"/>
  <c r="C176" i="30"/>
  <c r="C200" i="30"/>
  <c r="C224" i="30"/>
  <c r="C244" i="30"/>
  <c r="C265" i="30"/>
  <c r="C283" i="30"/>
  <c r="C301" i="30"/>
  <c r="C319" i="30"/>
  <c r="C337" i="30"/>
  <c r="C355" i="30"/>
  <c r="C373" i="30"/>
  <c r="C391" i="30"/>
  <c r="C409" i="30"/>
  <c r="C427" i="30"/>
  <c r="C445" i="30"/>
  <c r="C463" i="30"/>
  <c r="C477" i="30"/>
  <c r="C490" i="30"/>
  <c r="C503" i="30"/>
  <c r="C515" i="30"/>
  <c r="C527" i="30"/>
  <c r="C539" i="30"/>
  <c r="C551" i="30"/>
  <c r="C563" i="30"/>
  <c r="C575" i="30"/>
  <c r="C587" i="30"/>
  <c r="C599" i="30"/>
  <c r="C611" i="30"/>
  <c r="C623" i="30"/>
  <c r="C635" i="30"/>
  <c r="C647" i="30"/>
  <c r="C659" i="30"/>
  <c r="C671" i="30"/>
  <c r="C683" i="30"/>
  <c r="C695" i="30"/>
  <c r="C707" i="30"/>
  <c r="C719" i="30"/>
  <c r="C731" i="30"/>
  <c r="C743" i="30"/>
  <c r="C755" i="30"/>
  <c r="C767" i="30"/>
  <c r="C779" i="30"/>
  <c r="C791" i="30"/>
  <c r="C803" i="30"/>
  <c r="C815" i="30"/>
  <c r="C827" i="30"/>
  <c r="C839" i="30"/>
  <c r="C851" i="30"/>
  <c r="C863" i="30"/>
  <c r="C875" i="30"/>
  <c r="C887" i="30"/>
  <c r="C899" i="30"/>
  <c r="C911" i="30"/>
  <c r="C923" i="30"/>
  <c r="C935" i="30"/>
  <c r="C947" i="30"/>
  <c r="C959" i="30"/>
  <c r="C971" i="30"/>
  <c r="C983" i="30"/>
  <c r="C995" i="30"/>
  <c r="C1007" i="30"/>
  <c r="C1019" i="30"/>
  <c r="C1031" i="30"/>
  <c r="C1043" i="30"/>
  <c r="C1055" i="30"/>
  <c r="C1067" i="30"/>
  <c r="C1079" i="30"/>
  <c r="C1091" i="30"/>
  <c r="C1103" i="30"/>
  <c r="C491" i="30"/>
  <c r="C50" i="30"/>
  <c r="C76" i="30"/>
  <c r="C105" i="30"/>
  <c r="C129" i="30"/>
  <c r="C153" i="30"/>
  <c r="C177" i="30"/>
  <c r="C201" i="30"/>
  <c r="C225" i="30"/>
  <c r="C247" i="30"/>
  <c r="C266" i="30"/>
  <c r="C284" i="30"/>
  <c r="C302" i="30"/>
  <c r="C320" i="30"/>
  <c r="C338" i="30"/>
  <c r="C356" i="30"/>
  <c r="C374" i="30"/>
  <c r="C392" i="30"/>
  <c r="C410" i="30"/>
  <c r="C428" i="30"/>
  <c r="C446" i="30"/>
  <c r="C464" i="30"/>
  <c r="C478" i="30"/>
  <c r="C492" i="30"/>
  <c r="C504" i="30"/>
  <c r="C516" i="30"/>
  <c r="C528" i="30"/>
  <c r="C540" i="30"/>
  <c r="C552" i="30"/>
  <c r="C564" i="30"/>
  <c r="C576" i="30"/>
  <c r="C588" i="30"/>
  <c r="C600" i="30"/>
  <c r="C612" i="30"/>
  <c r="C624" i="30"/>
  <c r="C636" i="30"/>
  <c r="C648" i="30"/>
  <c r="C660" i="30"/>
  <c r="C672" i="30"/>
  <c r="C684" i="30"/>
  <c r="C696" i="30"/>
  <c r="C708" i="30"/>
  <c r="C720" i="30"/>
  <c r="C732" i="30"/>
  <c r="C744" i="30"/>
  <c r="C756" i="30"/>
  <c r="C768" i="30"/>
  <c r="C780" i="30"/>
  <c r="C792" i="30"/>
  <c r="C804" i="30"/>
  <c r="C816" i="30"/>
  <c r="C828" i="30"/>
  <c r="C840" i="30"/>
  <c r="C852" i="30"/>
  <c r="C864" i="30"/>
  <c r="C876" i="30"/>
  <c r="C888" i="30"/>
  <c r="C900" i="30"/>
  <c r="C912" i="30"/>
  <c r="C924" i="30"/>
  <c r="C936" i="30"/>
  <c r="C948" i="30"/>
  <c r="C960" i="30"/>
  <c r="C972" i="30"/>
  <c r="C984" i="30"/>
  <c r="C996" i="30"/>
  <c r="C1008" i="30"/>
  <c r="C1020" i="30"/>
  <c r="C1032" i="30"/>
  <c r="C1044" i="30"/>
  <c r="C1056" i="30"/>
  <c r="C1068" i="30"/>
  <c r="C1080" i="30"/>
  <c r="C1092" i="30"/>
  <c r="C1104" i="30"/>
  <c r="C1116" i="30"/>
  <c r="C1128" i="30"/>
  <c r="C1140" i="30"/>
  <c r="C1152" i="30"/>
  <c r="C51" i="30"/>
  <c r="C80" i="30"/>
  <c r="C109" i="30"/>
  <c r="C133" i="30"/>
  <c r="C157" i="30"/>
  <c r="C181" i="30"/>
  <c r="C205" i="30"/>
  <c r="C229" i="30"/>
  <c r="C248" i="30"/>
  <c r="C267" i="30"/>
  <c r="C285" i="30"/>
  <c r="C303" i="30"/>
  <c r="C321" i="30"/>
  <c r="C339" i="30"/>
  <c r="C357" i="30"/>
  <c r="C375" i="30"/>
  <c r="C393" i="30"/>
  <c r="C411" i="30"/>
  <c r="C429" i="30"/>
  <c r="C447" i="30"/>
  <c r="C465" i="30"/>
  <c r="C480" i="30"/>
  <c r="C493" i="30"/>
  <c r="C505" i="30"/>
  <c r="C517" i="30"/>
  <c r="C529" i="30"/>
  <c r="C541" i="30"/>
  <c r="C553" i="30"/>
  <c r="C565" i="30"/>
  <c r="C577" i="30"/>
  <c r="C589" i="30"/>
  <c r="C601" i="30"/>
  <c r="C613" i="30"/>
  <c r="C625" i="30"/>
  <c r="C637" i="30"/>
  <c r="C649" i="30"/>
  <c r="C661" i="30"/>
  <c r="C673" i="30"/>
  <c r="C685" i="30"/>
  <c r="C697" i="30"/>
  <c r="C709" i="30"/>
  <c r="C721" i="30"/>
  <c r="C733" i="30"/>
  <c r="C745" i="30"/>
  <c r="C757" i="30"/>
  <c r="C769" i="30"/>
  <c r="C781" i="30"/>
  <c r="C793" i="30"/>
  <c r="C805" i="30"/>
  <c r="C817" i="30"/>
  <c r="C829" i="30"/>
  <c r="C841" i="30"/>
  <c r="C853" i="30"/>
  <c r="C865" i="30"/>
  <c r="C877" i="30"/>
  <c r="C889" i="30"/>
  <c r="C901" i="30"/>
  <c r="C913" i="30"/>
  <c r="C925" i="30"/>
  <c r="C937" i="30"/>
  <c r="C949" i="30"/>
  <c r="C961" i="30"/>
  <c r="C973" i="30"/>
  <c r="C985" i="30"/>
  <c r="C997" i="30"/>
  <c r="C1009" i="30"/>
  <c r="C1021" i="30"/>
  <c r="C1033" i="30"/>
  <c r="C1045" i="30"/>
  <c r="C1057" i="30"/>
  <c r="C191" i="30"/>
  <c r="C21" i="30"/>
  <c r="C52" i="30"/>
  <c r="C81" i="30"/>
  <c r="C110" i="30"/>
  <c r="C134" i="30"/>
  <c r="C158" i="30"/>
  <c r="C182" i="30"/>
  <c r="C206" i="30"/>
  <c r="C230" i="30"/>
  <c r="C249" i="30"/>
  <c r="C268" i="30"/>
  <c r="C288" i="30"/>
  <c r="C304" i="30"/>
  <c r="C324" i="30"/>
  <c r="C340" i="30"/>
  <c r="C360" i="30"/>
  <c r="C376" i="30"/>
  <c r="C396" i="30"/>
  <c r="C412" i="30"/>
  <c r="C432" i="30"/>
  <c r="C448" i="30"/>
  <c r="C468" i="30"/>
  <c r="C481" i="30"/>
  <c r="C494" i="30"/>
  <c r="C506" i="30"/>
  <c r="C518" i="30"/>
  <c r="C530" i="30"/>
  <c r="C542" i="30"/>
  <c r="C554" i="30"/>
  <c r="C566" i="30"/>
  <c r="C578" i="30"/>
  <c r="C590" i="30"/>
  <c r="C602" i="30"/>
  <c r="C614" i="30"/>
  <c r="C626" i="30"/>
  <c r="C638" i="30"/>
  <c r="C650" i="30"/>
  <c r="C662" i="30"/>
  <c r="C674" i="30"/>
  <c r="C686" i="30"/>
  <c r="C698" i="30"/>
  <c r="C710" i="30"/>
  <c r="C722" i="30"/>
  <c r="C734" i="30"/>
  <c r="C746" i="30"/>
  <c r="C758" i="30"/>
  <c r="C770" i="30"/>
  <c r="C782" i="30"/>
  <c r="C794" i="30"/>
  <c r="C806" i="30"/>
  <c r="C818" i="30"/>
  <c r="C830" i="30"/>
  <c r="C842" i="30"/>
  <c r="C854" i="30"/>
  <c r="C866" i="30"/>
  <c r="C878" i="30"/>
  <c r="C890" i="30"/>
  <c r="C902" i="30"/>
  <c r="C914" i="30"/>
  <c r="C926" i="30"/>
  <c r="C938" i="30"/>
  <c r="C950" i="30"/>
  <c r="C962" i="30"/>
  <c r="C974" i="30"/>
  <c r="C986" i="30"/>
  <c r="C998" i="30"/>
  <c r="C1010" i="30"/>
  <c r="C1022" i="30"/>
  <c r="C1034" i="30"/>
  <c r="C1046" i="30"/>
  <c r="C1058" i="30"/>
  <c r="C1070" i="30"/>
  <c r="C1082" i="30"/>
  <c r="C1094" i="30"/>
  <c r="C1106" i="30"/>
  <c r="C1118" i="30"/>
  <c r="C1130" i="30"/>
  <c r="C1142" i="30"/>
  <c r="C1154" i="30"/>
  <c r="C1166" i="30"/>
  <c r="C1178" i="30"/>
  <c r="C1190" i="30"/>
  <c r="C1202" i="30"/>
  <c r="C203" i="30"/>
  <c r="C25" i="30"/>
  <c r="C56" i="30"/>
  <c r="C85" i="30"/>
  <c r="C111" i="30"/>
  <c r="C135" i="30"/>
  <c r="C159" i="30"/>
  <c r="C183" i="30"/>
  <c r="C207" i="30"/>
  <c r="C231" i="30"/>
  <c r="C253" i="30"/>
  <c r="C271" i="30"/>
  <c r="C289" i="30"/>
  <c r="C307" i="30"/>
  <c r="C325" i="30"/>
  <c r="C343" i="30"/>
  <c r="C361" i="30"/>
  <c r="C379" i="30"/>
  <c r="C397" i="30"/>
  <c r="C415" i="30"/>
  <c r="C433" i="30"/>
  <c r="C451" i="30"/>
  <c r="C469" i="30"/>
  <c r="C482" i="30"/>
  <c r="C495" i="30"/>
  <c r="C507" i="30"/>
  <c r="C519" i="30"/>
  <c r="C531" i="30"/>
  <c r="C543" i="30"/>
  <c r="C555" i="30"/>
  <c r="C567" i="30"/>
  <c r="C579" i="30"/>
  <c r="C591" i="30"/>
  <c r="C603" i="30"/>
  <c r="C615" i="30"/>
  <c r="C627" i="30"/>
  <c r="C639" i="30"/>
  <c r="C651" i="30"/>
  <c r="C663" i="30"/>
  <c r="C675" i="30"/>
  <c r="C687" i="30"/>
  <c r="C699" i="30"/>
  <c r="C711" i="30"/>
  <c r="C723" i="30"/>
  <c r="C735" i="30"/>
  <c r="C747" i="30"/>
  <c r="C759" i="30"/>
  <c r="C771" i="30"/>
  <c r="C783" i="30"/>
  <c r="C795" i="30"/>
  <c r="C807" i="30"/>
  <c r="C819" i="30"/>
  <c r="C831" i="30"/>
  <c r="C843" i="30"/>
  <c r="C855" i="30"/>
  <c r="C867" i="30"/>
  <c r="C879" i="30"/>
  <c r="C891" i="30"/>
  <c r="C903" i="30"/>
  <c r="C915" i="30"/>
  <c r="C927" i="30"/>
  <c r="C939" i="30"/>
  <c r="C951" i="30"/>
  <c r="C963" i="30"/>
  <c r="C975" i="30"/>
  <c r="C987" i="30"/>
  <c r="C999" i="30"/>
  <c r="C1011" i="30"/>
  <c r="C1023" i="30"/>
  <c r="C1035" i="30"/>
  <c r="C1047" i="30"/>
  <c r="C1059" i="30"/>
  <c r="C1071" i="30"/>
  <c r="C1083" i="30"/>
  <c r="C1095" i="30"/>
  <c r="C1107" i="30"/>
  <c r="C1119" i="30"/>
  <c r="C1131" i="30"/>
  <c r="C1143" i="30"/>
  <c r="C1155" i="30"/>
  <c r="C1167" i="30"/>
  <c r="C26" i="30"/>
  <c r="C57" i="30"/>
  <c r="C86" i="30"/>
  <c r="C112" i="30"/>
  <c r="C136" i="30"/>
  <c r="C160" i="30"/>
  <c r="C184" i="30"/>
  <c r="C208" i="30"/>
  <c r="C232" i="30"/>
  <c r="C254" i="30"/>
  <c r="C272" i="30"/>
  <c r="C290" i="30"/>
  <c r="C308" i="30"/>
  <c r="C326" i="30"/>
  <c r="C344" i="30"/>
  <c r="C362" i="30"/>
  <c r="C380" i="30"/>
  <c r="C398" i="30"/>
  <c r="C416" i="30"/>
  <c r="C434" i="30"/>
  <c r="C452" i="30"/>
  <c r="C470" i="30"/>
  <c r="C483" i="30"/>
  <c r="C496" i="30"/>
  <c r="C508" i="30"/>
  <c r="C520" i="30"/>
  <c r="C532" i="30"/>
  <c r="C544" i="30"/>
  <c r="C556" i="30"/>
  <c r="C568" i="30"/>
  <c r="C580" i="30"/>
  <c r="C592" i="30"/>
  <c r="C604" i="30"/>
  <c r="C616" i="30"/>
  <c r="C628" i="30"/>
  <c r="C640" i="30"/>
  <c r="C652" i="30"/>
  <c r="C664" i="30"/>
  <c r="C676" i="30"/>
  <c r="C688" i="30"/>
  <c r="C700" i="30"/>
  <c r="C712" i="30"/>
  <c r="C724" i="30"/>
  <c r="C736" i="30"/>
  <c r="C748" i="30"/>
  <c r="C760" i="30"/>
  <c r="C772" i="30"/>
  <c r="C784" i="30"/>
  <c r="C796" i="30"/>
  <c r="C808" i="30"/>
  <c r="C820" i="30"/>
  <c r="C832" i="30"/>
  <c r="C844" i="30"/>
  <c r="C856" i="30"/>
  <c r="C868" i="30"/>
  <c r="C880" i="30"/>
  <c r="C892" i="30"/>
  <c r="C904" i="30"/>
  <c r="C916" i="30"/>
  <c r="C928" i="30"/>
  <c r="C940" i="30"/>
  <c r="C952" i="30"/>
  <c r="C964" i="30"/>
  <c r="C976" i="30"/>
  <c r="C988" i="30"/>
  <c r="C1000" i="30"/>
  <c r="C1012" i="30"/>
  <c r="C1024" i="30"/>
  <c r="C1036" i="30"/>
  <c r="C1048" i="30"/>
  <c r="C27" i="30"/>
  <c r="C61" i="30"/>
  <c r="C92" i="30"/>
  <c r="C116" i="30"/>
  <c r="C140" i="30"/>
  <c r="C164" i="30"/>
  <c r="C188" i="30"/>
  <c r="C212" i="30"/>
  <c r="C235" i="30"/>
  <c r="C255" i="30"/>
  <c r="C273" i="30"/>
  <c r="C291" i="30"/>
  <c r="C309" i="30"/>
  <c r="C327" i="30"/>
  <c r="C345" i="30"/>
  <c r="C363" i="30"/>
  <c r="C381" i="30"/>
  <c r="C399" i="30"/>
  <c r="C417" i="30"/>
  <c r="C435" i="30"/>
  <c r="C453" i="30"/>
  <c r="C471" i="30"/>
  <c r="C484" i="30"/>
  <c r="C497" i="30"/>
  <c r="C509" i="30"/>
  <c r="C521" i="30"/>
  <c r="C533" i="30"/>
  <c r="C545" i="30"/>
  <c r="C557" i="30"/>
  <c r="C569" i="30"/>
  <c r="C581" i="30"/>
  <c r="C593" i="30"/>
  <c r="C605" i="30"/>
  <c r="C617" i="30"/>
  <c r="C629" i="30"/>
  <c r="C641" i="30"/>
  <c r="C653" i="30"/>
  <c r="C665" i="30"/>
  <c r="C677" i="30"/>
  <c r="C689" i="30"/>
  <c r="C701" i="30"/>
  <c r="C713" i="30"/>
  <c r="C725" i="30"/>
  <c r="C737" i="30"/>
  <c r="C749" i="30"/>
  <c r="C761" i="30"/>
  <c r="C773" i="30"/>
  <c r="C785" i="30"/>
  <c r="C797" i="30"/>
  <c r="C809" i="30"/>
  <c r="C821" i="30"/>
  <c r="C833" i="30"/>
  <c r="C845" i="30"/>
  <c r="C857" i="30"/>
  <c r="C869" i="30"/>
  <c r="C881" i="30"/>
  <c r="C893" i="30"/>
  <c r="C905" i="30"/>
  <c r="C917" i="30"/>
  <c r="C929" i="30"/>
  <c r="C941" i="30"/>
  <c r="C953" i="30"/>
  <c r="C965" i="30"/>
  <c r="C977" i="30"/>
  <c r="C989" i="30"/>
  <c r="C1001" i="30"/>
  <c r="C1013" i="30"/>
  <c r="C1025" i="30"/>
  <c r="C1037" i="30"/>
  <c r="C33" i="30"/>
  <c r="C68" i="30"/>
  <c r="C97" i="30"/>
  <c r="C121" i="30"/>
  <c r="C145" i="30"/>
  <c r="C169" i="30"/>
  <c r="C193" i="30"/>
  <c r="C217" i="30"/>
  <c r="C237" i="30"/>
  <c r="C259" i="30"/>
  <c r="C277" i="30"/>
  <c r="C295" i="30"/>
  <c r="C313" i="30"/>
  <c r="C331" i="30"/>
  <c r="C349" i="30"/>
  <c r="C367" i="30"/>
  <c r="C385" i="30"/>
  <c r="C403" i="30"/>
  <c r="C421" i="30"/>
  <c r="C439" i="30"/>
  <c r="C457" i="30"/>
  <c r="C473" i="30"/>
  <c r="C486" i="30"/>
  <c r="C499" i="30"/>
  <c r="C511" i="30"/>
  <c r="C523" i="30"/>
  <c r="C535" i="30"/>
  <c r="C547" i="30"/>
  <c r="C559" i="30"/>
  <c r="C571" i="30"/>
  <c r="C583" i="30"/>
  <c r="C595" i="30"/>
  <c r="C607" i="30"/>
  <c r="C619" i="30"/>
  <c r="C631" i="30"/>
  <c r="C643" i="30"/>
  <c r="C655" i="30"/>
  <c r="C667" i="30"/>
  <c r="C679" i="30"/>
  <c r="C691" i="30"/>
  <c r="C703" i="30"/>
  <c r="C715" i="30"/>
  <c r="C727" i="30"/>
  <c r="C739" i="30"/>
  <c r="C751" i="30"/>
  <c r="C763" i="30"/>
  <c r="C775" i="30"/>
  <c r="C787" i="30"/>
  <c r="C799" i="30"/>
  <c r="C811" i="30"/>
  <c r="C823" i="30"/>
  <c r="C835" i="30"/>
  <c r="C847" i="30"/>
  <c r="C859" i="30"/>
  <c r="C871" i="30"/>
  <c r="C883" i="30"/>
  <c r="C895" i="30"/>
  <c r="C907" i="30"/>
  <c r="C919" i="30"/>
  <c r="C931" i="30"/>
  <c r="C943" i="30"/>
  <c r="C955" i="30"/>
  <c r="C967" i="30"/>
  <c r="C979" i="30"/>
  <c r="C991" i="30"/>
  <c r="C1003" i="30"/>
  <c r="C1015" i="30"/>
  <c r="C1027" i="30"/>
  <c r="C1039" i="30"/>
  <c r="C1051" i="30"/>
  <c r="C1063" i="30"/>
  <c r="C1075" i="30"/>
  <c r="C1087" i="30"/>
  <c r="C1099" i="30"/>
  <c r="C1111" i="30"/>
  <c r="C1123" i="30"/>
  <c r="C1135" i="30"/>
  <c r="C1147" i="30"/>
  <c r="C1159" i="30"/>
  <c r="C1171" i="30"/>
  <c r="C1183" i="30"/>
  <c r="C1195" i="30"/>
  <c r="C1207" i="30"/>
  <c r="C1219" i="30"/>
  <c r="C1231" i="30"/>
  <c r="C28" i="30"/>
  <c r="C7" i="30"/>
  <c r="C44" i="30"/>
  <c r="C20" i="30"/>
  <c r="C88" i="30"/>
  <c r="C64" i="30"/>
  <c r="C40" i="30"/>
  <c r="C16" i="30"/>
  <c r="C87" i="30"/>
  <c r="C63" i="30"/>
  <c r="C39" i="30"/>
  <c r="C15" i="30"/>
  <c r="C466" i="30"/>
  <c r="C454" i="30"/>
  <c r="C442" i="30"/>
  <c r="C430" i="30"/>
  <c r="C418" i="30"/>
  <c r="C406" i="30"/>
  <c r="C394" i="30"/>
  <c r="C382" i="30"/>
  <c r="C370" i="30"/>
  <c r="C358" i="30"/>
  <c r="C346" i="30"/>
  <c r="C334" i="30"/>
  <c r="C322" i="30"/>
  <c r="C310" i="30"/>
  <c r="C298" i="30"/>
  <c r="C286" i="30"/>
  <c r="C274" i="30"/>
  <c r="C262" i="30"/>
  <c r="C250" i="30"/>
  <c r="C238" i="30"/>
  <c r="C226" i="30"/>
  <c r="C214" i="30"/>
  <c r="C202" i="30"/>
  <c r="C190" i="30"/>
  <c r="C178" i="30"/>
  <c r="C166" i="30"/>
  <c r="C154" i="30"/>
  <c r="C142" i="30"/>
  <c r="C130" i="30"/>
  <c r="C118" i="30"/>
  <c r="C106" i="30"/>
  <c r="C94" i="30"/>
  <c r="C82" i="30"/>
  <c r="C70" i="30"/>
  <c r="C58" i="30"/>
  <c r="C46" i="30"/>
  <c r="C34" i="30"/>
  <c r="C22" i="30"/>
  <c r="C10" i="30"/>
  <c r="C223" i="30"/>
  <c r="C211" i="30"/>
  <c r="C199" i="30"/>
  <c r="C187" i="30"/>
  <c r="C175" i="30"/>
  <c r="C163" i="30"/>
  <c r="C151" i="30"/>
  <c r="C139" i="30"/>
  <c r="C127" i="30"/>
  <c r="C115" i="30"/>
  <c r="C103" i="30"/>
  <c r="C91" i="30"/>
  <c r="C79" i="30"/>
  <c r="C67" i="30"/>
  <c r="C55" i="30"/>
  <c r="C43" i="30"/>
  <c r="C31" i="30"/>
  <c r="C19" i="30"/>
  <c r="C462" i="30"/>
  <c r="C450" i="30"/>
  <c r="C438" i="30"/>
  <c r="C426" i="30"/>
  <c r="C414" i="30"/>
  <c r="C402" i="30"/>
  <c r="C390" i="30"/>
  <c r="C378" i="30"/>
  <c r="C366" i="30"/>
  <c r="C354" i="30"/>
  <c r="C342" i="30"/>
  <c r="C330" i="30"/>
  <c r="C318" i="30"/>
  <c r="C306" i="30"/>
  <c r="C294" i="30"/>
  <c r="C282" i="30"/>
  <c r="C270" i="30"/>
  <c r="C258" i="30"/>
  <c r="C246" i="30"/>
  <c r="C234" i="30"/>
  <c r="C222" i="30"/>
  <c r="C210" i="30"/>
  <c r="C198" i="30"/>
  <c r="C186" i="30"/>
  <c r="C174" i="30"/>
  <c r="C162" i="30"/>
  <c r="C150" i="30"/>
  <c r="C138" i="30"/>
  <c r="C126" i="30"/>
  <c r="C114" i="30"/>
  <c r="C102" i="30"/>
  <c r="C90" i="30"/>
  <c r="C78" i="30"/>
  <c r="C66" i="30"/>
  <c r="C54" i="30"/>
  <c r="C42" i="30"/>
  <c r="C30" i="30"/>
  <c r="C18" i="30"/>
  <c r="C461" i="30"/>
  <c r="C449" i="30"/>
  <c r="C437" i="30"/>
  <c r="C425" i="30"/>
  <c r="C413" i="30"/>
  <c r="C401" i="30"/>
  <c r="C389" i="30"/>
  <c r="C377" i="30"/>
  <c r="C365" i="30"/>
  <c r="C353" i="30"/>
  <c r="C341" i="30"/>
  <c r="C329" i="30"/>
  <c r="C317" i="30"/>
  <c r="C305" i="30"/>
  <c r="C293" i="30"/>
  <c r="C281" i="30"/>
  <c r="C269" i="30"/>
  <c r="C257" i="30"/>
  <c r="C245" i="30"/>
  <c r="C233" i="30"/>
  <c r="C221" i="30"/>
  <c r="C209" i="30"/>
  <c r="C197" i="30"/>
  <c r="C185" i="30"/>
  <c r="C173" i="30"/>
  <c r="C161" i="30"/>
  <c r="C149" i="30"/>
  <c r="C137" i="30"/>
  <c r="C125" i="30"/>
  <c r="C113" i="30"/>
  <c r="C101" i="30"/>
  <c r="C89" i="30"/>
  <c r="C77" i="30"/>
  <c r="C65" i="30"/>
  <c r="C53" i="30"/>
  <c r="C41" i="30"/>
  <c r="C29" i="30"/>
  <c r="C17" i="30"/>
  <c r="C252" i="30"/>
  <c r="C240" i="30"/>
  <c r="C228" i="30"/>
  <c r="C216" i="30"/>
  <c r="C204" i="30"/>
  <c r="C192" i="30"/>
  <c r="C180" i="30"/>
  <c r="C168" i="30"/>
  <c r="C156" i="30"/>
  <c r="C144" i="30"/>
  <c r="C132" i="30"/>
  <c r="C120" i="30"/>
  <c r="C108" i="30"/>
  <c r="C96" i="30"/>
  <c r="C84" i="30"/>
  <c r="C72" i="30"/>
  <c r="C60" i="30"/>
  <c r="C48" i="30"/>
  <c r="C36" i="30"/>
  <c r="C24" i="30"/>
  <c r="C12" i="30"/>
  <c r="C479" i="30"/>
  <c r="C467" i="30"/>
  <c r="C455" i="30"/>
  <c r="C443" i="30"/>
  <c r="C431" i="30"/>
  <c r="C419" i="30"/>
  <c r="C407" i="30"/>
  <c r="C395" i="30"/>
  <c r="C383" i="30"/>
  <c r="C371" i="30"/>
  <c r="C359" i="30"/>
  <c r="C347" i="30"/>
  <c r="C335" i="30"/>
  <c r="C323" i="30"/>
  <c r="C311" i="30"/>
  <c r="C299" i="30"/>
  <c r="C287" i="30"/>
  <c r="C275" i="30"/>
  <c r="C263" i="30"/>
  <c r="C251" i="30"/>
  <c r="C239" i="30"/>
  <c r="C227" i="30"/>
  <c r="C215" i="30"/>
  <c r="C179" i="30"/>
  <c r="C167" i="30"/>
  <c r="C155" i="30"/>
  <c r="C143" i="30"/>
  <c r="C131" i="30"/>
  <c r="C119" i="30"/>
  <c r="C107" i="30"/>
  <c r="C95" i="30"/>
  <c r="C83" i="30"/>
  <c r="C71" i="30"/>
  <c r="C59" i="30"/>
  <c r="C47" i="30"/>
  <c r="C35" i="30"/>
  <c r="C23" i="30"/>
  <c r="B11" i="61"/>
  <c r="B21" i="61"/>
  <c r="B28" i="61"/>
  <c r="B23" i="61"/>
  <c r="B24" i="61"/>
  <c r="B4" i="61"/>
  <c r="B12" i="61"/>
  <c r="B8" i="61"/>
  <c r="B15" i="61"/>
  <c r="B75" i="61"/>
  <c r="B69" i="61"/>
  <c r="B63" i="61"/>
  <c r="B57" i="61"/>
  <c r="B76" i="61"/>
  <c r="B74" i="61"/>
  <c r="B67" i="61"/>
  <c r="B71" i="61"/>
  <c r="B70" i="61"/>
  <c r="B68" i="61"/>
  <c r="B72" i="61"/>
  <c r="B73" i="61"/>
  <c r="B55" i="61"/>
  <c r="B51" i="61"/>
  <c r="B45" i="61"/>
  <c r="B53" i="61"/>
  <c r="B54" i="61"/>
  <c r="B62" i="61"/>
  <c r="B47" i="61"/>
  <c r="B42" i="61"/>
  <c r="B64" i="61"/>
  <c r="B58" i="61"/>
  <c r="B50" i="61"/>
  <c r="B46" i="61"/>
  <c r="B65" i="61"/>
  <c r="B66" i="61"/>
  <c r="B33" i="61"/>
  <c r="B60" i="61"/>
  <c r="B52" i="61"/>
  <c r="B39" i="61"/>
  <c r="B36" i="61"/>
  <c r="B61" i="61"/>
  <c r="B56" i="61"/>
  <c r="B49" i="61"/>
  <c r="B38" i="61"/>
  <c r="B59" i="61"/>
  <c r="B48" i="61"/>
  <c r="B44" i="61"/>
  <c r="B35" i="61"/>
  <c r="B29" i="61"/>
  <c r="B27" i="61"/>
  <c r="B43" i="61"/>
  <c r="B34" i="61"/>
  <c r="B30" i="61"/>
  <c r="B26" i="61"/>
  <c r="B37" i="61"/>
  <c r="B41" i="61"/>
  <c r="B31" i="61"/>
  <c r="B22" i="61"/>
  <c r="B25" i="61"/>
  <c r="B20" i="61"/>
  <c r="B18" i="61"/>
  <c r="B16" i="61"/>
  <c r="B13" i="61"/>
  <c r="B7" i="61"/>
  <c r="B40" i="61"/>
  <c r="B9" i="61"/>
  <c r="B17" i="61"/>
  <c r="B32" i="61"/>
  <c r="B14" i="61"/>
  <c r="B10" i="61"/>
  <c r="D76" i="59" l="1"/>
  <c r="D75" i="59"/>
  <c r="D74" i="59"/>
  <c r="D73" i="59"/>
  <c r="D72" i="59"/>
  <c r="D71" i="59"/>
  <c r="D70" i="59"/>
  <c r="D69" i="59"/>
  <c r="D68" i="59"/>
  <c r="D67" i="59"/>
  <c r="D66" i="59"/>
  <c r="D65" i="59"/>
  <c r="D64" i="59"/>
  <c r="D63" i="59"/>
  <c r="D62" i="59"/>
  <c r="D61" i="59"/>
  <c r="D60" i="59"/>
  <c r="D59" i="59"/>
  <c r="D58" i="59"/>
  <c r="D57" i="59"/>
  <c r="D56" i="59"/>
  <c r="D55" i="59"/>
  <c r="D54" i="59"/>
  <c r="D53" i="59"/>
  <c r="D52" i="59"/>
  <c r="D51" i="59"/>
  <c r="D50" i="59"/>
  <c r="D49" i="59"/>
  <c r="D48" i="59"/>
  <c r="D47" i="59"/>
  <c r="D46" i="59"/>
  <c r="D45" i="59"/>
  <c r="D44" i="59"/>
  <c r="D43" i="59"/>
  <c r="D42" i="59"/>
  <c r="D41" i="59"/>
  <c r="D40" i="59"/>
  <c r="D39" i="59"/>
  <c r="D38" i="59"/>
  <c r="D37" i="59"/>
  <c r="D36" i="59"/>
  <c r="D35" i="59"/>
  <c r="D34" i="59"/>
  <c r="D33" i="59"/>
  <c r="D32" i="59"/>
  <c r="D31" i="59"/>
  <c r="D30" i="59"/>
  <c r="D29" i="59"/>
  <c r="D28" i="59"/>
  <c r="D27" i="59"/>
  <c r="D26" i="59"/>
  <c r="D25" i="59"/>
  <c r="D24" i="59"/>
  <c r="D23" i="59"/>
  <c r="D22" i="59"/>
  <c r="D21" i="59"/>
  <c r="D20" i="59"/>
  <c r="D19" i="59"/>
  <c r="D18" i="59"/>
  <c r="D17" i="59"/>
  <c r="D16" i="59"/>
  <c r="D15" i="59"/>
  <c r="D14" i="59"/>
  <c r="D13" i="59"/>
  <c r="D12" i="59"/>
  <c r="D11" i="59"/>
  <c r="D10" i="59"/>
  <c r="D9" i="59"/>
  <c r="D8" i="59"/>
  <c r="D7" i="59"/>
  <c r="D6" i="59"/>
  <c r="D5" i="59"/>
  <c r="D4" i="59"/>
  <c r="D3" i="59"/>
  <c r="A76" i="59"/>
  <c r="A75" i="59"/>
  <c r="A74" i="59"/>
  <c r="A73" i="59"/>
  <c r="A72" i="59"/>
  <c r="A71" i="59"/>
  <c r="A70" i="59"/>
  <c r="A69" i="59"/>
  <c r="A68" i="59"/>
  <c r="A67" i="59"/>
  <c r="A66" i="59"/>
  <c r="A65" i="59"/>
  <c r="A64" i="59"/>
  <c r="A63" i="59"/>
  <c r="A62" i="59"/>
  <c r="A61" i="59"/>
  <c r="A60" i="59"/>
  <c r="A59" i="59"/>
  <c r="A58" i="59"/>
  <c r="A57" i="59"/>
  <c r="A56" i="59"/>
  <c r="A55" i="59"/>
  <c r="A54" i="59"/>
  <c r="A53" i="59"/>
  <c r="A52" i="59"/>
  <c r="A51" i="59"/>
  <c r="A50" i="59"/>
  <c r="A49" i="59"/>
  <c r="A48" i="59"/>
  <c r="A47" i="59"/>
  <c r="A46" i="59"/>
  <c r="A45" i="59"/>
  <c r="A44" i="59"/>
  <c r="A43" i="59"/>
  <c r="A42" i="59"/>
  <c r="A41" i="59"/>
  <c r="A40" i="59"/>
  <c r="A39" i="59"/>
  <c r="A38" i="59"/>
  <c r="A37" i="59"/>
  <c r="A36" i="59"/>
  <c r="A35" i="59"/>
  <c r="A34" i="59"/>
  <c r="A33" i="59"/>
  <c r="A32" i="59"/>
  <c r="A31" i="59"/>
  <c r="A30" i="59"/>
  <c r="A29" i="59"/>
  <c r="A28" i="59"/>
  <c r="A27" i="59"/>
  <c r="A26" i="59"/>
  <c r="A25" i="59"/>
  <c r="A24" i="59"/>
  <c r="A23" i="59"/>
  <c r="A22" i="59"/>
  <c r="A21" i="59"/>
  <c r="A20" i="59"/>
  <c r="A19" i="59"/>
  <c r="A18" i="59"/>
  <c r="A17" i="59"/>
  <c r="A16" i="59"/>
  <c r="A15" i="59"/>
  <c r="A14" i="59"/>
  <c r="A13" i="59"/>
  <c r="A12" i="59"/>
  <c r="A11" i="59"/>
  <c r="A10" i="59"/>
  <c r="A9" i="59"/>
  <c r="A8" i="59"/>
  <c r="A7" i="59"/>
  <c r="A6" i="59"/>
  <c r="A5" i="59"/>
  <c r="A4" i="59"/>
  <c r="A3" i="59"/>
  <c r="C76" i="59"/>
  <c r="C75" i="59"/>
  <c r="C74" i="59"/>
  <c r="C73" i="59"/>
  <c r="C72" i="59"/>
  <c r="C71" i="59"/>
  <c r="C70" i="59"/>
  <c r="C69" i="59"/>
  <c r="C68" i="59"/>
  <c r="C67" i="59"/>
  <c r="C66" i="59"/>
  <c r="C65" i="59"/>
  <c r="C64" i="59"/>
  <c r="C63" i="59"/>
  <c r="C62" i="59"/>
  <c r="C61" i="59"/>
  <c r="C60" i="59"/>
  <c r="C59" i="59"/>
  <c r="C58" i="59"/>
  <c r="C57" i="59"/>
  <c r="C56" i="59"/>
  <c r="C55" i="59"/>
  <c r="C54" i="59"/>
  <c r="C53" i="59"/>
  <c r="C52" i="59"/>
  <c r="C51" i="59"/>
  <c r="C50" i="59"/>
  <c r="C49" i="59"/>
  <c r="C48" i="59"/>
  <c r="C47" i="59"/>
  <c r="C46" i="59"/>
  <c r="C45" i="59"/>
  <c r="C44" i="59"/>
  <c r="C43" i="59"/>
  <c r="C42" i="59"/>
  <c r="C41" i="59"/>
  <c r="C40" i="59"/>
  <c r="C39" i="59"/>
  <c r="C38" i="59"/>
  <c r="C37" i="59"/>
  <c r="C36" i="59"/>
  <c r="C35" i="59"/>
  <c r="C34" i="59"/>
  <c r="C33" i="59"/>
  <c r="C32" i="59"/>
  <c r="C31" i="59"/>
  <c r="C30" i="59"/>
  <c r="C29" i="59"/>
  <c r="C28" i="59"/>
  <c r="C27" i="59"/>
  <c r="C26" i="59"/>
  <c r="C25" i="59"/>
  <c r="C24" i="59"/>
  <c r="C23" i="59"/>
  <c r="C22" i="59"/>
  <c r="C21" i="59"/>
  <c r="C20" i="59"/>
  <c r="C19" i="59"/>
  <c r="C18" i="59"/>
  <c r="C17" i="59"/>
  <c r="C16" i="59"/>
  <c r="C15" i="59"/>
  <c r="C14" i="59"/>
  <c r="C13" i="59"/>
  <c r="C12" i="59"/>
  <c r="C11" i="59"/>
  <c r="C10" i="59"/>
  <c r="C9" i="59"/>
  <c r="C8" i="59"/>
  <c r="C7" i="59"/>
  <c r="C6" i="59"/>
  <c r="C5" i="59"/>
  <c r="C4" i="59"/>
  <c r="C3" i="59"/>
  <c r="B13" i="59" s="1"/>
  <c r="L433" i="2"/>
  <c r="B72" i="59" l="1"/>
  <c r="B60" i="59"/>
  <c r="B48" i="59"/>
  <c r="B36" i="59"/>
  <c r="B24" i="59"/>
  <c r="B12" i="59"/>
  <c r="B71" i="59"/>
  <c r="B59" i="59"/>
  <c r="B47" i="59"/>
  <c r="B35" i="59"/>
  <c r="B23" i="59"/>
  <c r="B11" i="59"/>
  <c r="B70" i="59"/>
  <c r="B58" i="59"/>
  <c r="B46" i="59"/>
  <c r="B34" i="59"/>
  <c r="B22" i="59"/>
  <c r="B10" i="59"/>
  <c r="B69" i="59"/>
  <c r="B57" i="59"/>
  <c r="B45" i="59"/>
  <c r="B33" i="59"/>
  <c r="B21" i="59"/>
  <c r="B9" i="59"/>
  <c r="B68" i="59"/>
  <c r="B56" i="59"/>
  <c r="B44" i="59"/>
  <c r="B32" i="59"/>
  <c r="B20" i="59"/>
  <c r="B8" i="59"/>
  <c r="B67" i="59"/>
  <c r="B55" i="59"/>
  <c r="B43" i="59"/>
  <c r="B31" i="59"/>
  <c r="B19" i="59"/>
  <c r="B7" i="59"/>
  <c r="B66" i="59"/>
  <c r="B54" i="59"/>
  <c r="B42" i="59"/>
  <c r="B30" i="59"/>
  <c r="B18" i="59"/>
  <c r="B6" i="59"/>
  <c r="B3" i="59"/>
  <c r="B65" i="59"/>
  <c r="B53" i="59"/>
  <c r="B41" i="59"/>
  <c r="B29" i="59"/>
  <c r="B17" i="59"/>
  <c r="B5" i="59"/>
  <c r="B76" i="59"/>
  <c r="B64" i="59"/>
  <c r="B52" i="59"/>
  <c r="B40" i="59"/>
  <c r="B28" i="59"/>
  <c r="B16" i="59"/>
  <c r="B4" i="59"/>
  <c r="B75" i="59"/>
  <c r="B63" i="59"/>
  <c r="B51" i="59"/>
  <c r="B39" i="59"/>
  <c r="B27" i="59"/>
  <c r="B15" i="59"/>
  <c r="B74" i="59"/>
  <c r="B62" i="59"/>
  <c r="B50" i="59"/>
  <c r="B38" i="59"/>
  <c r="B26" i="59"/>
  <c r="B14" i="59"/>
  <c r="B73" i="59"/>
  <c r="B61" i="59"/>
  <c r="B49" i="59"/>
  <c r="B37" i="59"/>
  <c r="B25" i="59"/>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8" i="2"/>
  <c r="AA334" i="1" l="1"/>
  <c r="AA242" i="1"/>
  <c r="AA240" i="1"/>
  <c r="AA231" i="1"/>
  <c r="AA133" i="1"/>
  <c r="AA116" i="1"/>
  <c r="AA118" i="1"/>
  <c r="AA103" i="1"/>
  <c r="AD41" i="59" l="1"/>
  <c r="AF550" i="1"/>
  <c r="J580" i="2"/>
  <c r="E580" i="2"/>
  <c r="J579" i="2"/>
  <c r="V550" i="1"/>
  <c r="E579" i="2"/>
  <c r="D550" i="1"/>
  <c r="C549" i="1" s="1"/>
  <c r="J578" i="2"/>
  <c r="E577" i="2"/>
  <c r="E578" i="2"/>
  <c r="M550" i="1"/>
  <c r="L550" i="1" s="1"/>
  <c r="J577" i="2"/>
  <c r="M498" i="1"/>
  <c r="M481" i="1"/>
  <c r="M458" i="1"/>
  <c r="M431" i="1"/>
  <c r="M386" i="1"/>
  <c r="M366" i="1"/>
  <c r="J571" i="2"/>
  <c r="E571" i="2"/>
  <c r="J572" i="2"/>
  <c r="J573" i="2"/>
  <c r="J574" i="2"/>
  <c r="J575" i="2"/>
  <c r="J576" i="2"/>
  <c r="E576" i="2"/>
  <c r="E575" i="2"/>
  <c r="E574" i="2"/>
  <c r="E573" i="2"/>
  <c r="E572" i="2"/>
  <c r="L551" i="1" l="1"/>
  <c r="L549" i="1"/>
  <c r="AF462" i="1" l="1"/>
  <c r="U460" i="1"/>
  <c r="U458" i="1"/>
  <c r="AF396" i="1"/>
  <c r="AF374" i="1"/>
  <c r="J570" i="2"/>
  <c r="E570" i="2"/>
  <c r="AF371" i="1"/>
  <c r="L368" i="1"/>
  <c r="L366" i="1"/>
  <c r="D393" i="1"/>
  <c r="J569" i="2"/>
  <c r="U604" i="2"/>
  <c r="U578" i="2"/>
  <c r="D396" i="1"/>
  <c r="J568" i="2"/>
  <c r="U577" i="2"/>
  <c r="L388" i="1"/>
  <c r="L386" i="1"/>
  <c r="L460" i="1"/>
  <c r="L458" i="1"/>
  <c r="L483" i="1"/>
  <c r="L481" i="1"/>
  <c r="L500" i="1"/>
  <c r="L498" i="1"/>
  <c r="AF501" i="1"/>
  <c r="U500" i="1"/>
  <c r="U498" i="1"/>
  <c r="U483" i="1"/>
  <c r="U481" i="1"/>
  <c r="AF490" i="1"/>
  <c r="C550" i="1"/>
  <c r="U433" i="1"/>
  <c r="U431" i="1"/>
  <c r="AF440" i="1"/>
  <c r="L433" i="1"/>
  <c r="L431" i="1"/>
  <c r="U388" i="1"/>
  <c r="U386" i="1"/>
  <c r="U368" i="1"/>
  <c r="U366" i="1"/>
  <c r="J526" i="2" l="1"/>
  <c r="AF373" i="1"/>
  <c r="E566" i="2"/>
  <c r="J566" i="2" s="1"/>
  <c r="AV402" i="2" l="1"/>
  <c r="AV389" i="2"/>
  <c r="R357" i="1" l="1"/>
  <c r="R355" i="1"/>
  <c r="R356" i="1" s="1"/>
  <c r="R265" i="1"/>
  <c r="R263" i="1"/>
  <c r="R264" i="1" s="1"/>
  <c r="R240" i="1"/>
  <c r="R241" i="1" s="1"/>
  <c r="R90" i="1"/>
  <c r="R91" i="1" s="1"/>
  <c r="L535" i="1"/>
  <c r="L531" i="1"/>
  <c r="L524" i="1"/>
  <c r="L520" i="1"/>
  <c r="L355" i="1"/>
  <c r="L348" i="1"/>
  <c r="L345" i="1"/>
  <c r="L334" i="1"/>
  <c r="L327" i="1"/>
  <c r="L322" i="1"/>
  <c r="L320" i="1"/>
  <c r="L318" i="1"/>
  <c r="L316" i="1"/>
  <c r="L314" i="1"/>
  <c r="L307" i="1"/>
  <c r="L291" i="1"/>
  <c r="L289" i="1"/>
  <c r="L286" i="1"/>
  <c r="L283" i="1"/>
  <c r="L281" i="1"/>
  <c r="L265" i="1"/>
  <c r="L264" i="1"/>
  <c r="L263" i="1"/>
  <c r="L258" i="1"/>
  <c r="L257" i="1"/>
  <c r="L256" i="1"/>
  <c r="L240" i="1"/>
  <c r="L241" i="1"/>
  <c r="L232" i="1"/>
  <c r="L231" i="1"/>
  <c r="L230" i="1"/>
  <c r="L227" i="1"/>
  <c r="L226" i="1"/>
  <c r="L225" i="1"/>
  <c r="L210" i="1"/>
  <c r="L209" i="1"/>
  <c r="L208" i="1"/>
  <c r="L201" i="1"/>
  <c r="L200" i="1"/>
  <c r="L199" i="1"/>
  <c r="L194" i="1"/>
  <c r="L192" i="1"/>
  <c r="L185" i="1"/>
  <c r="L187" i="1"/>
  <c r="L179" i="1"/>
  <c r="L177" i="1"/>
  <c r="L168" i="1"/>
  <c r="L167" i="1"/>
  <c r="L166" i="1"/>
  <c r="L161" i="1"/>
  <c r="L160" i="1"/>
  <c r="L159" i="1"/>
  <c r="L146" i="1"/>
  <c r="L145" i="1"/>
  <c r="L141" i="1"/>
  <c r="L132" i="1"/>
  <c r="L126" i="1"/>
  <c r="L125" i="1"/>
  <c r="L124" i="1"/>
  <c r="L118" i="1"/>
  <c r="L117" i="1"/>
  <c r="L116" i="1"/>
  <c r="L114" i="1"/>
  <c r="L113" i="1"/>
  <c r="L112" i="1"/>
  <c r="L103" i="1"/>
  <c r="L102" i="1"/>
  <c r="L101" i="1"/>
  <c r="L89" i="1"/>
  <c r="L87" i="1"/>
  <c r="L85" i="1"/>
  <c r="L83" i="1"/>
  <c r="L79" i="1"/>
  <c r="L76" i="1"/>
  <c r="L75" i="1"/>
  <c r="L73" i="1"/>
  <c r="L69" i="1"/>
  <c r="L68" i="1"/>
  <c r="L67" i="1"/>
  <c r="L64" i="1"/>
  <c r="L63" i="1"/>
  <c r="L62" i="1"/>
  <c r="L60" i="1"/>
  <c r="L58" i="1"/>
  <c r="L57" i="1"/>
  <c r="L56" i="1"/>
  <c r="L55" i="1"/>
  <c r="L53" i="1"/>
  <c r="L51" i="1"/>
  <c r="L50" i="1"/>
  <c r="L48" i="1"/>
  <c r="L44" i="1"/>
  <c r="L43" i="1"/>
  <c r="L42" i="1"/>
  <c r="L40" i="1"/>
  <c r="L37" i="1"/>
  <c r="L35" i="1"/>
  <c r="L33" i="1"/>
  <c r="L31" i="1"/>
  <c r="L28" i="1"/>
  <c r="L27" i="1"/>
  <c r="L26" i="1"/>
  <c r="L10" i="1"/>
  <c r="F431" i="1"/>
  <c r="F432" i="1" s="1"/>
  <c r="F419" i="1"/>
  <c r="F420" i="1" s="1"/>
  <c r="F335" i="1"/>
  <c r="F334" i="1"/>
  <c r="F318" i="1"/>
  <c r="F319" i="1" s="1"/>
  <c r="F307" i="1"/>
  <c r="F308" i="1" s="1"/>
  <c r="AF394" i="1"/>
  <c r="N57" i="59" l="1"/>
  <c r="N11" i="59"/>
  <c r="U21" i="59"/>
  <c r="U43" i="59"/>
  <c r="P10" i="59"/>
  <c r="N17" i="59"/>
  <c r="N18" i="59"/>
  <c r="U45" i="59"/>
  <c r="P16" i="59"/>
  <c r="I50" i="59"/>
  <c r="H62" i="59"/>
  <c r="I52" i="59"/>
  <c r="H63" i="59"/>
  <c r="U58" i="59"/>
  <c r="N48" i="59"/>
  <c r="I55" i="59"/>
  <c r="AM263" i="1"/>
  <c r="AM281" i="1"/>
  <c r="AM286" i="1"/>
  <c r="AM289" i="1"/>
  <c r="AM298" i="1"/>
  <c r="M299" i="1" l="1"/>
  <c r="J565" i="2"/>
  <c r="J564" i="2"/>
  <c r="J563" i="2"/>
  <c r="J562" i="2"/>
  <c r="E562" i="2"/>
  <c r="M142" i="1"/>
  <c r="M126" i="1"/>
  <c r="J561" i="2"/>
  <c r="E561" i="2"/>
  <c r="M118" i="1"/>
  <c r="J560" i="2"/>
  <c r="E560" i="2"/>
  <c r="M104" i="1"/>
  <c r="C535" i="1"/>
  <c r="C531" i="1"/>
  <c r="C318" i="1"/>
  <c r="C290" i="1"/>
  <c r="C289" i="1"/>
  <c r="C283" i="1"/>
  <c r="C282" i="1"/>
  <c r="C281" i="1"/>
  <c r="E559" i="2"/>
  <c r="J559" i="2" s="1"/>
  <c r="C236" i="1"/>
  <c r="C225" i="1"/>
  <c r="C226" i="1"/>
  <c r="C218" i="1"/>
  <c r="C201" i="1"/>
  <c r="C200" i="1"/>
  <c r="C199" i="1"/>
  <c r="C194" i="1"/>
  <c r="C193" i="1"/>
  <c r="C192" i="1"/>
  <c r="C186" i="1"/>
  <c r="C185" i="1"/>
  <c r="C179" i="1"/>
  <c r="C178" i="1"/>
  <c r="C177" i="1"/>
  <c r="C168" i="1"/>
  <c r="C167" i="1"/>
  <c r="C166" i="1"/>
  <c r="C160" i="1"/>
  <c r="C159" i="1"/>
  <c r="C146" i="1"/>
  <c r="C145" i="1"/>
  <c r="C113" i="1"/>
  <c r="C112" i="1"/>
  <c r="C103" i="1"/>
  <c r="C102" i="1"/>
  <c r="C101" i="1"/>
  <c r="C63" i="1"/>
  <c r="C62" i="1"/>
  <c r="C49" i="1"/>
  <c r="C48" i="1"/>
  <c r="C32" i="1"/>
  <c r="C31" i="1"/>
  <c r="C26" i="1"/>
  <c r="AT60" i="1"/>
  <c r="AS58" i="1" s="1"/>
  <c r="J558" i="2"/>
  <c r="AP388" i="1"/>
  <c r="AP386" i="1"/>
  <c r="AQ366" i="1"/>
  <c r="AP368" i="1" s="1"/>
  <c r="E557" i="2"/>
  <c r="J557" i="2" s="1"/>
  <c r="J555" i="2"/>
  <c r="D443" i="1"/>
  <c r="J554" i="2"/>
  <c r="D461" i="1"/>
  <c r="J553" i="2"/>
  <c r="J552" i="2"/>
  <c r="J551" i="2"/>
  <c r="L143" i="1"/>
  <c r="E556" i="2" l="1"/>
  <c r="J556" i="2" s="1"/>
  <c r="AP366" i="1"/>
  <c r="L300" i="1"/>
  <c r="L298" i="1"/>
  <c r="AU60" i="1"/>
  <c r="AS59" i="1"/>
  <c r="AS60" i="1"/>
  <c r="L299" i="1" l="1"/>
  <c r="N49" i="59"/>
  <c r="P49" i="59"/>
  <c r="J550" i="2"/>
  <c r="C147" i="1"/>
  <c r="J549" i="2"/>
  <c r="O49" i="59" l="1"/>
  <c r="Y4" i="30"/>
  <c r="X4" i="30"/>
  <c r="AB4" i="30"/>
  <c r="AA4" i="30"/>
  <c r="AE4" i="30"/>
  <c r="AD4" i="30"/>
  <c r="AD8" i="30" s="1"/>
  <c r="AH4" i="30"/>
  <c r="AH7" i="30" s="1" a="1"/>
  <c r="AH7" i="30" s="1"/>
  <c r="AG4" i="30"/>
  <c r="AG7" i="30" s="1"/>
  <c r="AK4" i="30"/>
  <c r="AK6" i="30" s="1" a="1"/>
  <c r="AK6" i="30" s="1"/>
  <c r="AJ4" i="30"/>
  <c r="AJ6" i="30" s="1"/>
  <c r="AN4" i="30"/>
  <c r="AN6" i="30" s="1" a="1"/>
  <c r="AN6" i="30" s="1"/>
  <c r="AM4" i="30"/>
  <c r="AM7" i="30" s="1"/>
  <c r="AQ4" i="30"/>
  <c r="AP4" i="30"/>
  <c r="AT4" i="30"/>
  <c r="AS4" i="30"/>
  <c r="AE6" i="30" a="1"/>
  <c r="AE6" i="30" s="1"/>
  <c r="AD6" i="30"/>
  <c r="AB6" i="30" a="1"/>
  <c r="AB6" i="30" s="1"/>
  <c r="AA6" i="30"/>
  <c r="Y6" i="30" a="1"/>
  <c r="Y6" i="30" s="1"/>
  <c r="X6" i="30"/>
  <c r="AE7" i="30" a="1"/>
  <c r="AE7" i="30" s="1"/>
  <c r="AB7" i="30" a="1"/>
  <c r="AB7" i="30" s="1"/>
  <c r="AA7" i="30"/>
  <c r="Y7" i="30" a="1"/>
  <c r="Y7" i="30" s="1"/>
  <c r="X7" i="30"/>
  <c r="AH8" i="30" a="1"/>
  <c r="AH8" i="30" s="1"/>
  <c r="AG8" i="30"/>
  <c r="AE8" i="30" a="1"/>
  <c r="AE8" i="30" s="1"/>
  <c r="AB8" i="30" a="1"/>
  <c r="AB8" i="30" s="1"/>
  <c r="AA8" i="30"/>
  <c r="Y8" i="30" a="1"/>
  <c r="Y8" i="30" s="1"/>
  <c r="X8" i="30"/>
  <c r="AE9" i="30" a="1"/>
  <c r="AE9" i="30" s="1"/>
  <c r="AD9" i="30"/>
  <c r="AB9" i="30" a="1"/>
  <c r="AB9" i="30" s="1"/>
  <c r="AA9" i="30"/>
  <c r="Y9" i="30" a="1"/>
  <c r="Y9" i="30" s="1"/>
  <c r="X9" i="30"/>
  <c r="AE10" i="30" a="1"/>
  <c r="AE10" i="30" s="1"/>
  <c r="AB10" i="30" a="1"/>
  <c r="AB10" i="30" s="1"/>
  <c r="AA10" i="30"/>
  <c r="Y10" i="30" a="1"/>
  <c r="Y10" i="30" s="1"/>
  <c r="X10" i="30"/>
  <c r="AM11" i="30"/>
  <c r="AH11" i="30" a="1"/>
  <c r="AH11" i="30" s="1"/>
  <c r="AE11" i="30" a="1"/>
  <c r="AE11" i="30" s="1"/>
  <c r="AB11" i="30" a="1"/>
  <c r="AB11" i="30" s="1"/>
  <c r="AA11" i="30"/>
  <c r="Y11" i="30" a="1"/>
  <c r="Y11" i="30" s="1"/>
  <c r="X11" i="30"/>
  <c r="AE12" i="30" a="1"/>
  <c r="AE12" i="30" s="1"/>
  <c r="AD12" i="30"/>
  <c r="AB12" i="30" a="1"/>
  <c r="AB12" i="30" s="1"/>
  <c r="AA12" i="30"/>
  <c r="Y12" i="30" a="1"/>
  <c r="Y12" i="30" s="1"/>
  <c r="X12" i="30"/>
  <c r="AE13" i="30" a="1"/>
  <c r="AE13" i="30" s="1"/>
  <c r="AB13" i="30" a="1"/>
  <c r="AB13" i="30" s="1"/>
  <c r="AA13" i="30"/>
  <c r="Y13" i="30" a="1"/>
  <c r="Y13" i="30" s="1"/>
  <c r="X13" i="30"/>
  <c r="AM14" i="30"/>
  <c r="AE14" i="30" a="1"/>
  <c r="AE14" i="30" s="1"/>
  <c r="AB14" i="30" a="1"/>
  <c r="AB14" i="30" s="1"/>
  <c r="AA14" i="30"/>
  <c r="Y14" i="30" a="1"/>
  <c r="Y14" i="30" s="1"/>
  <c r="X14" i="30"/>
  <c r="AM15" i="30"/>
  <c r="AH15" i="30" a="1"/>
  <c r="AH15" i="30" s="1"/>
  <c r="AE15" i="30" a="1"/>
  <c r="AE15" i="30" s="1"/>
  <c r="AD15" i="30"/>
  <c r="AB15" i="30" a="1"/>
  <c r="AB15" i="30" s="1"/>
  <c r="AA15" i="30"/>
  <c r="Y15" i="30" a="1"/>
  <c r="Y15" i="30" s="1"/>
  <c r="X15" i="30"/>
  <c r="AE16" i="30" a="1"/>
  <c r="AE16" i="30" s="1"/>
  <c r="AD16" i="30"/>
  <c r="AB16" i="30" a="1"/>
  <c r="AB16" i="30" s="1"/>
  <c r="AA16" i="30"/>
  <c r="Y16" i="30" a="1"/>
  <c r="Y16" i="30" s="1"/>
  <c r="X16" i="30"/>
  <c r="AE17" i="30" a="1"/>
  <c r="AE17" i="30" s="1"/>
  <c r="AD17" i="30"/>
  <c r="AB17" i="30" a="1"/>
  <c r="AB17" i="30" s="1"/>
  <c r="AA17" i="30"/>
  <c r="Y17" i="30" a="1"/>
  <c r="Y17" i="30" s="1"/>
  <c r="X17" i="30"/>
  <c r="AM18" i="30"/>
  <c r="AE18" i="30" a="1"/>
  <c r="AE18" i="30" s="1"/>
  <c r="AB18" i="30" a="1"/>
  <c r="AB18" i="30" s="1"/>
  <c r="AA18" i="30"/>
  <c r="Y18" i="30" a="1"/>
  <c r="Y18" i="30" s="1"/>
  <c r="X18" i="30"/>
  <c r="AM19" i="30"/>
  <c r="AH19" i="30" a="1"/>
  <c r="AH19" i="30" s="1"/>
  <c r="AE19" i="30" a="1"/>
  <c r="AE19" i="30" s="1"/>
  <c r="AD19" i="30"/>
  <c r="AB19" i="30" a="1"/>
  <c r="AB19" i="30" s="1"/>
  <c r="AA19" i="30"/>
  <c r="Y19" i="30" a="1"/>
  <c r="Y19" i="30" s="1"/>
  <c r="X19" i="30"/>
  <c r="AE20" i="30" a="1"/>
  <c r="AE20" i="30" s="1"/>
  <c r="AD20" i="30"/>
  <c r="AB20" i="30" a="1"/>
  <c r="AB20" i="30" s="1"/>
  <c r="AA20" i="30"/>
  <c r="Y20" i="30" a="1"/>
  <c r="Y20" i="30" s="1"/>
  <c r="X20" i="30"/>
  <c r="AE21" i="30" a="1"/>
  <c r="AE21" i="30" s="1"/>
  <c r="AD21" i="30"/>
  <c r="AB21" i="30" a="1"/>
  <c r="AB21" i="30" s="1"/>
  <c r="AA21" i="30"/>
  <c r="Y21" i="30" a="1"/>
  <c r="Y21" i="30" s="1"/>
  <c r="X21" i="30"/>
  <c r="AM22" i="30"/>
  <c r="AE22" i="30" a="1"/>
  <c r="AE22" i="30" s="1"/>
  <c r="AD22" i="30"/>
  <c r="AB22" i="30" a="1"/>
  <c r="AB22" i="30" s="1"/>
  <c r="AA22" i="30"/>
  <c r="Y22" i="30" a="1"/>
  <c r="Y22" i="30" s="1"/>
  <c r="X22" i="30"/>
  <c r="AM23" i="30"/>
  <c r="AH23" i="30" a="1"/>
  <c r="AH23" i="30" s="1"/>
  <c r="AE23" i="30" a="1"/>
  <c r="AE23" i="30" s="1"/>
  <c r="AD23" i="30"/>
  <c r="AB23" i="30" a="1"/>
  <c r="AB23" i="30" s="1"/>
  <c r="AA23" i="30"/>
  <c r="Y23" i="30" a="1"/>
  <c r="Y23" i="30" s="1"/>
  <c r="X23" i="30"/>
  <c r="AM24" i="30"/>
  <c r="AE24" i="30" a="1"/>
  <c r="AE24" i="30" s="1"/>
  <c r="AD24" i="30"/>
  <c r="AB24" i="30" a="1"/>
  <c r="AB24" i="30" s="1"/>
  <c r="AA24" i="30"/>
  <c r="Y24" i="30" a="1"/>
  <c r="Y24" i="30" s="1"/>
  <c r="X24" i="30"/>
  <c r="AM25" i="30"/>
  <c r="AE25" i="30" a="1"/>
  <c r="AE25" i="30" s="1"/>
  <c r="AD25" i="30"/>
  <c r="AB25" i="30" a="1"/>
  <c r="AB25" i="30" s="1"/>
  <c r="AA25" i="30"/>
  <c r="Y25" i="30" a="1"/>
  <c r="Y25" i="30" s="1"/>
  <c r="X25" i="30"/>
  <c r="AM26" i="30"/>
  <c r="AE26" i="30" a="1"/>
  <c r="AE26" i="30" s="1"/>
  <c r="AD26" i="30"/>
  <c r="AB26" i="30" a="1"/>
  <c r="AB26" i="30" s="1"/>
  <c r="AA26" i="30"/>
  <c r="Y26" i="30" a="1"/>
  <c r="Y26" i="30" s="1"/>
  <c r="X26" i="30"/>
  <c r="AM27" i="30"/>
  <c r="AH27" i="30" a="1"/>
  <c r="AH27" i="30" s="1"/>
  <c r="AE27" i="30" a="1"/>
  <c r="AE27" i="30" s="1"/>
  <c r="AD27" i="30"/>
  <c r="AB27" i="30" a="1"/>
  <c r="AB27" i="30" s="1"/>
  <c r="AA27" i="30"/>
  <c r="Y27" i="30" a="1"/>
  <c r="Y27" i="30" s="1"/>
  <c r="X27" i="30"/>
  <c r="AM28" i="30"/>
  <c r="AE28" i="30" a="1"/>
  <c r="AE28" i="30" s="1"/>
  <c r="AD28" i="30"/>
  <c r="AB28" i="30" a="1"/>
  <c r="AB28" i="30" s="1"/>
  <c r="AA28" i="30"/>
  <c r="Y28" i="30" a="1"/>
  <c r="Y28" i="30" s="1"/>
  <c r="X28" i="30"/>
  <c r="AM29" i="30"/>
  <c r="AE29" i="30" a="1"/>
  <c r="AE29" i="30" s="1"/>
  <c r="AD29" i="30"/>
  <c r="AB29" i="30" a="1"/>
  <c r="AB29" i="30" s="1"/>
  <c r="AA29" i="30"/>
  <c r="Y29" i="30" a="1"/>
  <c r="Y29" i="30" s="1"/>
  <c r="X29" i="30"/>
  <c r="AM30" i="30"/>
  <c r="AE30" i="30" a="1"/>
  <c r="AE30" i="30" s="1"/>
  <c r="AD30" i="30"/>
  <c r="AB30" i="30" a="1"/>
  <c r="AB30" i="30" s="1"/>
  <c r="AA30" i="30"/>
  <c r="Y30" i="30" a="1"/>
  <c r="Y30" i="30" s="1"/>
  <c r="X30" i="30"/>
  <c r="AM31" i="30"/>
  <c r="AH31" i="30" a="1"/>
  <c r="AH31" i="30" s="1"/>
  <c r="AE31" i="30" a="1"/>
  <c r="AE31" i="30" s="1"/>
  <c r="AD31" i="30"/>
  <c r="AB31" i="30" a="1"/>
  <c r="AB31" i="30" s="1"/>
  <c r="AA31" i="30"/>
  <c r="Y31" i="30" a="1"/>
  <c r="Y31" i="30" s="1"/>
  <c r="X31" i="30"/>
  <c r="AM32" i="30"/>
  <c r="AE32" i="30" a="1"/>
  <c r="AE32" i="30" s="1"/>
  <c r="AD32" i="30"/>
  <c r="AB32" i="30" a="1"/>
  <c r="AB32" i="30" s="1"/>
  <c r="AA32" i="30"/>
  <c r="Y32" i="30" a="1"/>
  <c r="Y32" i="30" s="1"/>
  <c r="X32" i="30"/>
  <c r="AM33" i="30"/>
  <c r="AE33" i="30" a="1"/>
  <c r="AE33" i="30" s="1"/>
  <c r="AD33" i="30"/>
  <c r="AB33" i="30" a="1"/>
  <c r="AB33" i="30" s="1"/>
  <c r="AA33" i="30"/>
  <c r="Y33" i="30" a="1"/>
  <c r="Y33" i="30" s="1"/>
  <c r="X33" i="30"/>
  <c r="AM34" i="30"/>
  <c r="AE34" i="30" a="1"/>
  <c r="AE34" i="30" s="1"/>
  <c r="AD34" i="30"/>
  <c r="AB34" i="30" a="1"/>
  <c r="AB34" i="30" s="1"/>
  <c r="AA34" i="30"/>
  <c r="Y34" i="30" a="1"/>
  <c r="Y34" i="30" s="1"/>
  <c r="X34" i="30"/>
  <c r="AM35" i="30"/>
  <c r="AH35" i="30" a="1"/>
  <c r="AH35" i="30" s="1"/>
  <c r="AE35" i="30" a="1"/>
  <c r="AE35" i="30" s="1"/>
  <c r="AD35" i="30"/>
  <c r="AB35" i="30" a="1"/>
  <c r="AB35" i="30" s="1"/>
  <c r="AA35" i="30"/>
  <c r="Y35" i="30" a="1"/>
  <c r="Y35" i="30" s="1"/>
  <c r="X35" i="30"/>
  <c r="AM36" i="30"/>
  <c r="AE36" i="30" a="1"/>
  <c r="AE36" i="30" s="1"/>
  <c r="AD36" i="30"/>
  <c r="AB36" i="30" a="1"/>
  <c r="AB36" i="30" s="1"/>
  <c r="AA36" i="30"/>
  <c r="Y36" i="30" a="1"/>
  <c r="Y36" i="30" s="1"/>
  <c r="X36" i="30"/>
  <c r="AM37" i="30"/>
  <c r="AE37" i="30" a="1"/>
  <c r="AE37" i="30" s="1"/>
  <c r="AD37" i="30"/>
  <c r="AB37" i="30" a="1"/>
  <c r="AB37" i="30" s="1"/>
  <c r="AA37" i="30"/>
  <c r="Y37" i="30" a="1"/>
  <c r="Y37" i="30" s="1"/>
  <c r="X37" i="30"/>
  <c r="AM38" i="30"/>
  <c r="AE38" i="30" a="1"/>
  <c r="AE38" i="30" s="1"/>
  <c r="AD38" i="30"/>
  <c r="AB38" i="30" a="1"/>
  <c r="AB38" i="30" s="1"/>
  <c r="AA38" i="30"/>
  <c r="Y38" i="30" a="1"/>
  <c r="Y38" i="30" s="1"/>
  <c r="X38" i="30"/>
  <c r="AM39" i="30"/>
  <c r="AE39" i="30" a="1"/>
  <c r="AE39" i="30" s="1"/>
  <c r="AD39" i="30"/>
  <c r="AB39" i="30" a="1"/>
  <c r="AB39" i="30" s="1"/>
  <c r="AA39" i="30"/>
  <c r="Y39" i="30" a="1"/>
  <c r="Y39" i="30" s="1"/>
  <c r="X39" i="30"/>
  <c r="AM40" i="30"/>
  <c r="AE40" i="30" a="1"/>
  <c r="AE40" i="30" s="1"/>
  <c r="AD40" i="30"/>
  <c r="AB40" i="30" a="1"/>
  <c r="AB40" i="30" s="1"/>
  <c r="AA40" i="30"/>
  <c r="Y40" i="30" a="1"/>
  <c r="Y40" i="30" s="1"/>
  <c r="X40" i="30"/>
  <c r="AM41" i="30"/>
  <c r="AE41" i="30" a="1"/>
  <c r="AE41" i="30" s="1"/>
  <c r="AD41" i="30"/>
  <c r="AB41" i="30" a="1"/>
  <c r="AB41" i="30" s="1"/>
  <c r="AA41" i="30"/>
  <c r="Y41" i="30" a="1"/>
  <c r="Y41" i="30" s="1"/>
  <c r="X41" i="30"/>
  <c r="AM42" i="30"/>
  <c r="AE42" i="30" a="1"/>
  <c r="AE42" i="30" s="1"/>
  <c r="AD42" i="30"/>
  <c r="AB42" i="30" a="1"/>
  <c r="AB42" i="30" s="1"/>
  <c r="AA42" i="30"/>
  <c r="Y42" i="30" a="1"/>
  <c r="Y42" i="30" s="1"/>
  <c r="X42" i="30"/>
  <c r="AM43" i="30"/>
  <c r="AH43" i="30" a="1"/>
  <c r="AH43" i="30" s="1"/>
  <c r="AE43" i="30" a="1"/>
  <c r="AE43" i="30" s="1"/>
  <c r="AD43" i="30"/>
  <c r="AB43" i="30" a="1"/>
  <c r="AB43" i="30" s="1"/>
  <c r="AA43" i="30"/>
  <c r="Y43" i="30" a="1"/>
  <c r="Y43" i="30" s="1"/>
  <c r="X43" i="30"/>
  <c r="AM44" i="30"/>
  <c r="AH44" i="30" a="1"/>
  <c r="AH44" i="30" s="1"/>
  <c r="AG44" i="30"/>
  <c r="AE44" i="30" a="1"/>
  <c r="AE44" i="30" s="1"/>
  <c r="AD44" i="30"/>
  <c r="AB44" i="30" a="1"/>
  <c r="AB44" i="30" s="1"/>
  <c r="AA44" i="30"/>
  <c r="Y44" i="30" a="1"/>
  <c r="Y44" i="30" s="1"/>
  <c r="X44" i="30"/>
  <c r="AM45" i="30"/>
  <c r="AE45" i="30" a="1"/>
  <c r="AE45" i="30" s="1"/>
  <c r="AD45" i="30"/>
  <c r="AB45" i="30" a="1"/>
  <c r="AB45" i="30" s="1"/>
  <c r="AA45" i="30"/>
  <c r="Y45" i="30" a="1"/>
  <c r="Y45" i="30" s="1"/>
  <c r="X45" i="30"/>
  <c r="AM46" i="30"/>
  <c r="AE46" i="30" a="1"/>
  <c r="AE46" i="30" s="1"/>
  <c r="AD46" i="30"/>
  <c r="AB46" i="30" a="1"/>
  <c r="AB46" i="30" s="1"/>
  <c r="AA46" i="30"/>
  <c r="Y46" i="30" a="1"/>
  <c r="Y46" i="30" s="1"/>
  <c r="X46" i="30"/>
  <c r="AM47" i="30"/>
  <c r="AH47" i="30" a="1"/>
  <c r="AH47" i="30" s="1"/>
  <c r="AE47" i="30" a="1"/>
  <c r="AE47" i="30" s="1"/>
  <c r="AD47" i="30"/>
  <c r="AB47" i="30" a="1"/>
  <c r="AB47" i="30" s="1"/>
  <c r="AA47" i="30"/>
  <c r="Y47" i="30" a="1"/>
  <c r="Y47" i="30" s="1"/>
  <c r="X47" i="30"/>
  <c r="AM48" i="30"/>
  <c r="AH48" i="30" a="1"/>
  <c r="AH48" i="30" s="1"/>
  <c r="AG48" i="30"/>
  <c r="AE48" i="30" a="1"/>
  <c r="AE48" i="30" s="1"/>
  <c r="AD48" i="30"/>
  <c r="AB48" i="30" a="1"/>
  <c r="AB48" i="30" s="1"/>
  <c r="AA48" i="30"/>
  <c r="Y48" i="30" a="1"/>
  <c r="Y48" i="30" s="1"/>
  <c r="X48" i="30"/>
  <c r="AM49" i="30"/>
  <c r="AE49" i="30" a="1"/>
  <c r="AE49" i="30" s="1"/>
  <c r="AD49" i="30"/>
  <c r="AB49" i="30" a="1"/>
  <c r="AB49" i="30" s="1"/>
  <c r="AA49" i="30"/>
  <c r="Y49" i="30" a="1"/>
  <c r="Y49" i="30" s="1"/>
  <c r="X49" i="30"/>
  <c r="AM50" i="30"/>
  <c r="AE50" i="30" a="1"/>
  <c r="AE50" i="30" s="1"/>
  <c r="AD50" i="30"/>
  <c r="AB50" i="30" a="1"/>
  <c r="AB50" i="30" s="1"/>
  <c r="AA50" i="30"/>
  <c r="Y50" i="30" a="1"/>
  <c r="Y50" i="30" s="1"/>
  <c r="X50" i="30"/>
  <c r="AM51" i="30"/>
  <c r="AE51" i="30" a="1"/>
  <c r="AE51" i="30" s="1"/>
  <c r="AD51" i="30"/>
  <c r="AB51" i="30" a="1"/>
  <c r="AB51" i="30" s="1"/>
  <c r="AA51" i="30"/>
  <c r="Y51" i="30" a="1"/>
  <c r="Y51" i="30" s="1"/>
  <c r="X51" i="30"/>
  <c r="AM52" i="30"/>
  <c r="AH52" i="30" a="1"/>
  <c r="AH52" i="30" s="1"/>
  <c r="AE52" i="30" a="1"/>
  <c r="AE52" i="30" s="1"/>
  <c r="AD52" i="30"/>
  <c r="AB52" i="30" a="1"/>
  <c r="AB52" i="30" s="1"/>
  <c r="AA52" i="30"/>
  <c r="Y52" i="30" a="1"/>
  <c r="Y52" i="30" s="1"/>
  <c r="X52" i="30"/>
  <c r="AM53" i="30"/>
  <c r="AE53" i="30" a="1"/>
  <c r="AE53" i="30" s="1"/>
  <c r="AD53" i="30"/>
  <c r="AB53" i="30" a="1"/>
  <c r="AB53" i="30" s="1"/>
  <c r="AA53" i="30"/>
  <c r="Y53" i="30" a="1"/>
  <c r="Y53" i="30" s="1"/>
  <c r="X53" i="30"/>
  <c r="AM54" i="30"/>
  <c r="AE54" i="30" a="1"/>
  <c r="AE54" i="30" s="1"/>
  <c r="AD54" i="30"/>
  <c r="AB54" i="30" a="1"/>
  <c r="AB54" i="30" s="1"/>
  <c r="AA54" i="30"/>
  <c r="Y54" i="30" a="1"/>
  <c r="Y54" i="30" s="1"/>
  <c r="X54" i="30"/>
  <c r="AM55" i="30"/>
  <c r="AE55" i="30" a="1"/>
  <c r="AE55" i="30" s="1"/>
  <c r="AD55" i="30"/>
  <c r="AB55" i="30" a="1"/>
  <c r="AB55" i="30" s="1"/>
  <c r="AA55" i="30"/>
  <c r="Y55" i="30" a="1"/>
  <c r="Y55" i="30" s="1"/>
  <c r="X55" i="30"/>
  <c r="AM56" i="30"/>
  <c r="AG56" i="30"/>
  <c r="AE56" i="30" a="1"/>
  <c r="AE56" i="30" s="1"/>
  <c r="AD56" i="30"/>
  <c r="AB56" i="30" a="1"/>
  <c r="AB56" i="30" s="1"/>
  <c r="AA56" i="30"/>
  <c r="Y56" i="30" a="1"/>
  <c r="Y56" i="30" s="1"/>
  <c r="X56" i="30"/>
  <c r="AM57" i="30"/>
  <c r="AE57" i="30" a="1"/>
  <c r="AE57" i="30" s="1"/>
  <c r="AD57" i="30"/>
  <c r="AB57" i="30" a="1"/>
  <c r="AB57" i="30" s="1"/>
  <c r="AA57" i="30"/>
  <c r="Y57" i="30" a="1"/>
  <c r="Y57" i="30" s="1"/>
  <c r="X57" i="30"/>
  <c r="AM58" i="30"/>
  <c r="AE58" i="30" a="1"/>
  <c r="AE58" i="30" s="1"/>
  <c r="AD58" i="30"/>
  <c r="AB58" i="30" a="1"/>
  <c r="AB58" i="30" s="1"/>
  <c r="AA58" i="30"/>
  <c r="Y58" i="30" a="1"/>
  <c r="Y58" i="30" s="1"/>
  <c r="X58" i="30"/>
  <c r="AM59" i="30"/>
  <c r="AE59" i="30" a="1"/>
  <c r="AE59" i="30" s="1"/>
  <c r="AD59" i="30"/>
  <c r="AB59" i="30" a="1"/>
  <c r="AB59" i="30" s="1"/>
  <c r="AA59" i="30"/>
  <c r="Y59" i="30" a="1"/>
  <c r="Y59" i="30" s="1"/>
  <c r="X59" i="30"/>
  <c r="AM60" i="30"/>
  <c r="AG60" i="30"/>
  <c r="AE60" i="30" a="1"/>
  <c r="AE60" i="30" s="1"/>
  <c r="AD60" i="30"/>
  <c r="AB60" i="30" a="1"/>
  <c r="AB60" i="30" s="1"/>
  <c r="AA60" i="30"/>
  <c r="Y60" i="30" a="1"/>
  <c r="Y60" i="30" s="1"/>
  <c r="X60" i="30"/>
  <c r="AM61" i="30"/>
  <c r="AE61" i="30" a="1"/>
  <c r="AE61" i="30" s="1"/>
  <c r="AD61" i="30"/>
  <c r="AB61" i="30" a="1"/>
  <c r="AB61" i="30" s="1"/>
  <c r="AA61" i="30"/>
  <c r="Y61" i="30" a="1"/>
  <c r="Y61" i="30" s="1"/>
  <c r="X61" i="30"/>
  <c r="AM62" i="30"/>
  <c r="AE62" i="30" a="1"/>
  <c r="AE62" i="30" s="1"/>
  <c r="AD62" i="30"/>
  <c r="AB62" i="30" a="1"/>
  <c r="AB62" i="30" s="1"/>
  <c r="AA62" i="30"/>
  <c r="Y62" i="30" a="1"/>
  <c r="Y62" i="30" s="1"/>
  <c r="X62" i="30"/>
  <c r="AM63" i="30"/>
  <c r="AE63" i="30" a="1"/>
  <c r="AE63" i="30" s="1"/>
  <c r="AD63" i="30"/>
  <c r="AB63" i="30" a="1"/>
  <c r="AB63" i="30" s="1"/>
  <c r="AA63" i="30"/>
  <c r="Y63" i="30" a="1"/>
  <c r="Y63" i="30" s="1"/>
  <c r="X63" i="30"/>
  <c r="AN64" i="30" a="1"/>
  <c r="AN64" i="30" s="1"/>
  <c r="AM64" i="30"/>
  <c r="AH64" i="30" a="1"/>
  <c r="AH64" i="30" s="1"/>
  <c r="AE64" i="30" a="1"/>
  <c r="AE64" i="30" s="1"/>
  <c r="AD64" i="30"/>
  <c r="AB64" i="30" a="1"/>
  <c r="AB64" i="30" s="1"/>
  <c r="AA64" i="30"/>
  <c r="Y64" i="30" a="1"/>
  <c r="Y64" i="30" s="1"/>
  <c r="X64" i="30"/>
  <c r="AM65" i="30"/>
  <c r="AH65" i="30" a="1"/>
  <c r="AH65" i="30" s="1"/>
  <c r="AE65" i="30" a="1"/>
  <c r="AE65" i="30" s="1"/>
  <c r="AD65" i="30"/>
  <c r="AB65" i="30" a="1"/>
  <c r="AB65" i="30" s="1"/>
  <c r="AA65" i="30"/>
  <c r="Y65" i="30" a="1"/>
  <c r="Y65" i="30" s="1"/>
  <c r="X65" i="30"/>
  <c r="AM66" i="30"/>
  <c r="AE66" i="30" a="1"/>
  <c r="AE66" i="30" s="1"/>
  <c r="AD66" i="30"/>
  <c r="AB66" i="30" a="1"/>
  <c r="AB66" i="30" s="1"/>
  <c r="AA66" i="30"/>
  <c r="Y66" i="30" a="1"/>
  <c r="Y66" i="30" s="1"/>
  <c r="X66" i="30"/>
  <c r="AM67" i="30"/>
  <c r="AE67" i="30" a="1"/>
  <c r="AE67" i="30" s="1"/>
  <c r="AD67" i="30"/>
  <c r="AB67" i="30" a="1"/>
  <c r="AB67" i="30" s="1"/>
  <c r="AA67" i="30"/>
  <c r="Y67" i="30" a="1"/>
  <c r="Y67" i="30" s="1"/>
  <c r="X67" i="30"/>
  <c r="AM68" i="30"/>
  <c r="AE68" i="30" a="1"/>
  <c r="AE68" i="30" s="1"/>
  <c r="AD68" i="30"/>
  <c r="AB68" i="30" a="1"/>
  <c r="AB68" i="30" s="1"/>
  <c r="AA68" i="30"/>
  <c r="Y68" i="30" a="1"/>
  <c r="Y68" i="30" s="1"/>
  <c r="X68" i="30"/>
  <c r="AM69" i="30"/>
  <c r="AH69" i="30" a="1"/>
  <c r="AH69" i="30" s="1"/>
  <c r="AG69" i="30"/>
  <c r="AE69" i="30" a="1"/>
  <c r="AE69" i="30" s="1"/>
  <c r="AD69" i="30"/>
  <c r="AB69" i="30" a="1"/>
  <c r="AB69" i="30" s="1"/>
  <c r="AA69" i="30"/>
  <c r="Y69" i="30" a="1"/>
  <c r="Y69" i="30" s="1"/>
  <c r="X69" i="30"/>
  <c r="AM70" i="30"/>
  <c r="AH70" i="30" a="1"/>
  <c r="AH70" i="30" s="1"/>
  <c r="AG70" i="30"/>
  <c r="AE70" i="30" a="1"/>
  <c r="AE70" i="30" s="1"/>
  <c r="AD70" i="30"/>
  <c r="AB70" i="30" a="1"/>
  <c r="AB70" i="30" s="1"/>
  <c r="AA70" i="30"/>
  <c r="Y70" i="30" a="1"/>
  <c r="Y70" i="30" s="1"/>
  <c r="X70" i="30"/>
  <c r="AM71" i="30"/>
  <c r="AE71" i="30" a="1"/>
  <c r="AE71" i="30" s="1"/>
  <c r="AD71" i="30"/>
  <c r="AB71" i="30" a="1"/>
  <c r="AB71" i="30" s="1"/>
  <c r="AA71" i="30"/>
  <c r="Y71" i="30" a="1"/>
  <c r="Y71" i="30" s="1"/>
  <c r="X71" i="30"/>
  <c r="AM72" i="30"/>
  <c r="AE72" i="30" a="1"/>
  <c r="AE72" i="30" s="1"/>
  <c r="AD72" i="30"/>
  <c r="AB72" i="30" a="1"/>
  <c r="AB72" i="30" s="1"/>
  <c r="AA72" i="30"/>
  <c r="Y72" i="30" a="1"/>
  <c r="Y72" i="30" s="1"/>
  <c r="X72" i="30"/>
  <c r="AN73" i="30" a="1"/>
  <c r="AN73" i="30" s="1"/>
  <c r="AM73" i="30"/>
  <c r="AH73" i="30" a="1"/>
  <c r="AH73" i="30" s="1"/>
  <c r="AG73" i="30"/>
  <c r="AE73" i="30" a="1"/>
  <c r="AE73" i="30" s="1"/>
  <c r="AD73" i="30"/>
  <c r="AB73" i="30" a="1"/>
  <c r="AB73" i="30" s="1"/>
  <c r="AA73" i="30"/>
  <c r="Y73" i="30" a="1"/>
  <c r="Y73" i="30" s="1"/>
  <c r="X73" i="30"/>
  <c r="AM74" i="30"/>
  <c r="AH74" i="30" a="1"/>
  <c r="AH74" i="30" s="1"/>
  <c r="AE74" i="30" a="1"/>
  <c r="AE74" i="30" s="1"/>
  <c r="AD74" i="30"/>
  <c r="AB74" i="30" a="1"/>
  <c r="AB74" i="30" s="1"/>
  <c r="AA74" i="30"/>
  <c r="Y74" i="30" a="1"/>
  <c r="Y74" i="30" s="1"/>
  <c r="X74" i="30"/>
  <c r="AM75" i="30"/>
  <c r="AE75" i="30" a="1"/>
  <c r="AE75" i="30" s="1"/>
  <c r="AD75" i="30"/>
  <c r="AB75" i="30" a="1"/>
  <c r="AB75" i="30" s="1"/>
  <c r="AA75" i="30"/>
  <c r="Y75" i="30" a="1"/>
  <c r="Y75" i="30" s="1"/>
  <c r="X75" i="30"/>
  <c r="AN76" i="30" a="1"/>
  <c r="AN76" i="30" s="1"/>
  <c r="AM76" i="30"/>
  <c r="AE76" i="30" a="1"/>
  <c r="AE76" i="30" s="1"/>
  <c r="AD76" i="30"/>
  <c r="AB76" i="30" a="1"/>
  <c r="AB76" i="30" s="1"/>
  <c r="AA76" i="30"/>
  <c r="Y76" i="30" a="1"/>
  <c r="Y76" i="30" s="1"/>
  <c r="X76" i="30"/>
  <c r="AM77" i="30"/>
  <c r="AE77" i="30" a="1"/>
  <c r="AE77" i="30" s="1"/>
  <c r="AD77" i="30"/>
  <c r="AB77" i="30" a="1"/>
  <c r="AB77" i="30" s="1"/>
  <c r="AA77" i="30"/>
  <c r="Y77" i="30" a="1"/>
  <c r="Y77" i="30" s="1"/>
  <c r="X77" i="30"/>
  <c r="AM78" i="30"/>
  <c r="AE78" i="30" a="1"/>
  <c r="AE78" i="30" s="1"/>
  <c r="AD78" i="30"/>
  <c r="AB78" i="30" a="1"/>
  <c r="AB78" i="30" s="1"/>
  <c r="AA78" i="30"/>
  <c r="Y78" i="30" a="1"/>
  <c r="Y78" i="30" s="1"/>
  <c r="X78" i="30"/>
  <c r="AM79" i="30"/>
  <c r="AJ79" i="30"/>
  <c r="AH79" i="30" a="1"/>
  <c r="AH79" i="30" s="1"/>
  <c r="AG79" i="30"/>
  <c r="AE79" i="30" a="1"/>
  <c r="AE79" i="30" s="1"/>
  <c r="AD79" i="30"/>
  <c r="AB79" i="30" a="1"/>
  <c r="AB79" i="30" s="1"/>
  <c r="AA79" i="30"/>
  <c r="Y79" i="30" a="1"/>
  <c r="Y79" i="30" s="1"/>
  <c r="X79" i="30"/>
  <c r="AJ63" i="30" l="1"/>
  <c r="AJ78" i="30"/>
  <c r="AM8" i="30"/>
  <c r="AJ55" i="30"/>
  <c r="AB3" i="30"/>
  <c r="AH51" i="30" a="1"/>
  <c r="AH51" i="30" s="1"/>
  <c r="AG47" i="30"/>
  <c r="AG43" i="30"/>
  <c r="AH34" i="30" a="1"/>
  <c r="AH34" i="30" s="1"/>
  <c r="AH30" i="30" a="1"/>
  <c r="AH30" i="30" s="1"/>
  <c r="AH26" i="30" a="1"/>
  <c r="AH26" i="30" s="1"/>
  <c r="AH22" i="30" a="1"/>
  <c r="AH22" i="30" s="1"/>
  <c r="AH18" i="30" a="1"/>
  <c r="AH18" i="30" s="1"/>
  <c r="AH14" i="30" a="1"/>
  <c r="AH14" i="30" s="1"/>
  <c r="AD11" i="30"/>
  <c r="AH10" i="30" a="1"/>
  <c r="AH10" i="30" s="1"/>
  <c r="AG39" i="30"/>
  <c r="AG74" i="30"/>
  <c r="AG65" i="30"/>
  <c r="AH60" i="30" a="1"/>
  <c r="AH60" i="30" s="1"/>
  <c r="AH56" i="30" a="1"/>
  <c r="AH56" i="30" s="1"/>
  <c r="AG52" i="30"/>
  <c r="AJ43" i="30"/>
  <c r="AH39" i="30" a="1"/>
  <c r="AH39" i="30" s="1"/>
  <c r="AG35" i="30"/>
  <c r="AG31" i="30"/>
  <c r="AG27" i="30"/>
  <c r="AG23" i="30"/>
  <c r="AG19" i="30"/>
  <c r="AG15" i="30"/>
  <c r="AG11" i="30"/>
  <c r="AG57" i="30"/>
  <c r="AH66" i="30" a="1"/>
  <c r="AH66" i="30" s="1"/>
  <c r="AG49" i="30"/>
  <c r="AH40" i="30" a="1"/>
  <c r="AH40" i="30" s="1"/>
  <c r="AG36" i="30"/>
  <c r="AG32" i="30"/>
  <c r="AG28" i="30"/>
  <c r="AG24" i="30"/>
  <c r="AG20" i="30"/>
  <c r="AG16" i="30"/>
  <c r="AG12" i="30"/>
  <c r="AE3" i="30"/>
  <c r="AG71" i="30"/>
  <c r="AG67" i="30"/>
  <c r="AJ66" i="30"/>
  <c r="AH53" i="30" a="1"/>
  <c r="AH53" i="30" s="1"/>
  <c r="AH49" i="30" a="1"/>
  <c r="AH49" i="30" s="1"/>
  <c r="AG45" i="30"/>
  <c r="AH36" i="30" a="1"/>
  <c r="AH36" i="30" s="1"/>
  <c r="AH32" i="30" a="1"/>
  <c r="AH32" i="30" s="1"/>
  <c r="AH28" i="30" a="1"/>
  <c r="AH28" i="30" s="1"/>
  <c r="AH24" i="30" a="1"/>
  <c r="AH24" i="30" s="1"/>
  <c r="AH20" i="30" a="1"/>
  <c r="AH20" i="30" s="1"/>
  <c r="AH16" i="30" a="1"/>
  <c r="AH16" i="30" s="1"/>
  <c r="AD13" i="30"/>
  <c r="AH12" i="30" a="1"/>
  <c r="AH12" i="30" s="1"/>
  <c r="AG6" i="30"/>
  <c r="AG77" i="30"/>
  <c r="AJ76" i="30"/>
  <c r="AH71" i="30" a="1"/>
  <c r="AH71" i="30" s="1"/>
  <c r="AH67" i="30" a="1"/>
  <c r="AH67" i="30" s="1"/>
  <c r="AG62" i="30"/>
  <c r="AG58" i="30"/>
  <c r="AJ49" i="30"/>
  <c r="AH45" i="30" a="1"/>
  <c r="AH45" i="30" s="1"/>
  <c r="AG41" i="30"/>
  <c r="AG37" i="30"/>
  <c r="AM20" i="30"/>
  <c r="AM16" i="30"/>
  <c r="AM12" i="30"/>
  <c r="AG9" i="30"/>
  <c r="AH75" i="30" a="1"/>
  <c r="AH75" i="30" s="1"/>
  <c r="AG53" i="30"/>
  <c r="AJ75" i="30"/>
  <c r="AH77" i="30" a="1"/>
  <c r="AH77" i="30" s="1"/>
  <c r="AJ67" i="30"/>
  <c r="AH62" i="30" a="1"/>
  <c r="AH62" i="30" s="1"/>
  <c r="AH58" i="30" a="1"/>
  <c r="AH58" i="30" s="1"/>
  <c r="AG54" i="30"/>
  <c r="AG50" i="30"/>
  <c r="AH41" i="30" a="1"/>
  <c r="AH41" i="30" s="1"/>
  <c r="AH37" i="30" a="1"/>
  <c r="AH37" i="30" s="1"/>
  <c r="AG33" i="30"/>
  <c r="AG29" i="30"/>
  <c r="AG25" i="30"/>
  <c r="AG21" i="30"/>
  <c r="AG17" i="30"/>
  <c r="AG13" i="30"/>
  <c r="AH9" i="30" a="1"/>
  <c r="AH9" i="30" s="1"/>
  <c r="AG75" i="30"/>
  <c r="AG40" i="30"/>
  <c r="AG76" i="30"/>
  <c r="AH61" i="30" a="1"/>
  <c r="AH61" i="30" s="1"/>
  <c r="AH76" i="30" a="1"/>
  <c r="AH76" i="30" s="1"/>
  <c r="AG78" i="30"/>
  <c r="AJ77" i="30"/>
  <c r="AG72" i="30"/>
  <c r="AG68" i="30"/>
  <c r="AG63" i="30"/>
  <c r="AH54" i="30" a="1"/>
  <c r="AH54" i="30" s="1"/>
  <c r="AH50" i="30" a="1"/>
  <c r="AH50" i="30" s="1"/>
  <c r="AG46" i="30"/>
  <c r="AJ37" i="30"/>
  <c r="AH33" i="30" a="1"/>
  <c r="AH33" i="30" s="1"/>
  <c r="AH29" i="30" a="1"/>
  <c r="AH29" i="30" s="1"/>
  <c r="AH25" i="30" a="1"/>
  <c r="AH25" i="30" s="1"/>
  <c r="AH21" i="30" a="1"/>
  <c r="AH21" i="30" s="1"/>
  <c r="AD18" i="30"/>
  <c r="AH17" i="30" a="1"/>
  <c r="AH17" i="30" s="1"/>
  <c r="AD14" i="30"/>
  <c r="AH13" i="30" a="1"/>
  <c r="AH13" i="30" s="1"/>
  <c r="AD10" i="30"/>
  <c r="AM9" i="30"/>
  <c r="AG66" i="30"/>
  <c r="AG61" i="30"/>
  <c r="AH57" i="30" a="1"/>
  <c r="AH57" i="30" s="1"/>
  <c r="AH78" i="30" a="1"/>
  <c r="AH78" i="30" s="1"/>
  <c r="AH72" i="30" a="1"/>
  <c r="AH72" i="30" s="1"/>
  <c r="AH68" i="30" a="1"/>
  <c r="AH68" i="30" s="1"/>
  <c r="AH63" i="30" a="1"/>
  <c r="AH63" i="30" s="1"/>
  <c r="AG59" i="30"/>
  <c r="AG55" i="30"/>
  <c r="AH46" i="30" a="1"/>
  <c r="AH46" i="30" s="1"/>
  <c r="AG42" i="30"/>
  <c r="AG38" i="30"/>
  <c r="AM21" i="30"/>
  <c r="AM17" i="30"/>
  <c r="AM13" i="30"/>
  <c r="AD7" i="30"/>
  <c r="AG64" i="30"/>
  <c r="AH59" i="30" a="1"/>
  <c r="AH59" i="30" s="1"/>
  <c r="AH55" i="30" a="1"/>
  <c r="AH55" i="30" s="1"/>
  <c r="AG51" i="30"/>
  <c r="AH42" i="30" a="1"/>
  <c r="AH42" i="30" s="1"/>
  <c r="AH38" i="30" a="1"/>
  <c r="AH38" i="30" s="1"/>
  <c r="AG34" i="30"/>
  <c r="AG30" i="30"/>
  <c r="AG26" i="30"/>
  <c r="AG22" i="30"/>
  <c r="AG18" i="30"/>
  <c r="AG14" i="30"/>
  <c r="AG10" i="30"/>
  <c r="Y3" i="30"/>
  <c r="X3" i="30"/>
  <c r="AA3" i="30"/>
  <c r="AN75" i="30" a="1"/>
  <c r="AN75" i="30" s="1"/>
  <c r="AJ65" i="30"/>
  <c r="AN63" i="30" a="1"/>
  <c r="AN63" i="30" s="1"/>
  <c r="AJ68" i="30"/>
  <c r="AN66" i="30" a="1"/>
  <c r="AN66" i="30" s="1"/>
  <c r="AJ56" i="30"/>
  <c r="AJ50" i="30"/>
  <c r="AJ44" i="30"/>
  <c r="AJ38" i="30"/>
  <c r="AN65" i="30" a="1"/>
  <c r="AN65" i="30" s="1"/>
  <c r="AN78" i="30" a="1"/>
  <c r="AN78" i="30" s="1"/>
  <c r="AN79" i="30" a="1"/>
  <c r="AN79" i="30" s="1"/>
  <c r="AJ69" i="30"/>
  <c r="AN67" i="30" a="1"/>
  <c r="AN67" i="30" s="1"/>
  <c r="AJ57" i="30"/>
  <c r="AJ58" i="30"/>
  <c r="AJ51" i="30"/>
  <c r="AJ45" i="30"/>
  <c r="AJ39" i="30"/>
  <c r="AN77" i="30" a="1"/>
  <c r="AN77" i="30" s="1"/>
  <c r="AJ70" i="30"/>
  <c r="AJ71" i="30"/>
  <c r="AN69" i="30" a="1"/>
  <c r="AN69" i="30" s="1"/>
  <c r="AJ59" i="30"/>
  <c r="AN57" i="30" a="1"/>
  <c r="AN57" i="30" s="1"/>
  <c r="AH6" i="30" a="1"/>
  <c r="AH6" i="30" s="1"/>
  <c r="AN68" i="30" a="1"/>
  <c r="AN68" i="30" s="1"/>
  <c r="AJ72" i="30"/>
  <c r="AN70" i="30" a="1"/>
  <c r="AN70" i="30" s="1"/>
  <c r="AJ60" i="30"/>
  <c r="AN58" i="30" a="1"/>
  <c r="AN58" i="30" s="1"/>
  <c r="AJ52" i="30"/>
  <c r="AJ46" i="30"/>
  <c r="AJ40" i="30"/>
  <c r="AM10" i="30"/>
  <c r="AM6" i="30"/>
  <c r="AM3" i="30" s="1"/>
  <c r="AJ73" i="30"/>
  <c r="AN71" i="30" a="1"/>
  <c r="AN71" i="30" s="1"/>
  <c r="AJ61" i="30"/>
  <c r="AN59" i="30" a="1"/>
  <c r="AN59" i="30" s="1"/>
  <c r="AJ74" i="30"/>
  <c r="AN72" i="30" a="1"/>
  <c r="AN72" i="30" s="1"/>
  <c r="AJ62" i="30"/>
  <c r="AN60" i="30" a="1"/>
  <c r="AN60" i="30" s="1"/>
  <c r="AJ53" i="30"/>
  <c r="AJ47" i="30"/>
  <c r="AJ41" i="30"/>
  <c r="AJ35" i="30"/>
  <c r="AN61" i="30" a="1"/>
  <c r="AN61" i="30" s="1"/>
  <c r="AN74" i="30" a="1"/>
  <c r="AN74" i="30" s="1"/>
  <c r="AJ64" i="30"/>
  <c r="AN62" i="30" a="1"/>
  <c r="AN62" i="30" s="1"/>
  <c r="AJ54" i="30"/>
  <c r="AJ48" i="30"/>
  <c r="AJ42" i="30"/>
  <c r="AJ36" i="30"/>
  <c r="AJ34" i="30"/>
  <c r="AJ33" i="30"/>
  <c r="AJ32" i="30"/>
  <c r="AJ31" i="30"/>
  <c r="AJ30" i="30"/>
  <c r="AJ29" i="30"/>
  <c r="AJ28" i="30"/>
  <c r="AJ27" i="30"/>
  <c r="AJ26" i="30"/>
  <c r="AJ25" i="30"/>
  <c r="AJ24" i="30"/>
  <c r="AJ23" i="30"/>
  <c r="AJ22" i="30"/>
  <c r="AJ21" i="30"/>
  <c r="AJ20" i="30"/>
  <c r="AJ19" i="30"/>
  <c r="AJ18" i="30"/>
  <c r="AJ17" i="30"/>
  <c r="AJ16" i="30"/>
  <c r="AJ15" i="30"/>
  <c r="AJ14" i="30"/>
  <c r="AJ13" i="30"/>
  <c r="AJ12" i="30"/>
  <c r="AJ11" i="30"/>
  <c r="AJ10" i="30"/>
  <c r="AJ9" i="30"/>
  <c r="AJ8" i="30"/>
  <c r="AJ7" i="30"/>
  <c r="AJ3" i="30" s="1"/>
  <c r="AK79" i="30" a="1"/>
  <c r="AK79" i="30" s="1"/>
  <c r="AK78" i="30" a="1"/>
  <c r="AK78" i="30" s="1"/>
  <c r="AK77" i="30" a="1"/>
  <c r="AK77" i="30" s="1"/>
  <c r="AK76" i="30" a="1"/>
  <c r="AK76" i="30" s="1"/>
  <c r="AK75" i="30" a="1"/>
  <c r="AK75" i="30" s="1"/>
  <c r="AK74" i="30" a="1"/>
  <c r="AK74" i="30" s="1"/>
  <c r="AK73" i="30" a="1"/>
  <c r="AK73" i="30" s="1"/>
  <c r="AK72" i="30" a="1"/>
  <c r="AK72" i="30" s="1"/>
  <c r="AK71" i="30" a="1"/>
  <c r="AK71" i="30" s="1"/>
  <c r="AK70" i="30" a="1"/>
  <c r="AK70" i="30" s="1"/>
  <c r="AK69" i="30" a="1"/>
  <c r="AK69" i="30" s="1"/>
  <c r="AK68" i="30" a="1"/>
  <c r="AK68" i="30" s="1"/>
  <c r="AK67" i="30" a="1"/>
  <c r="AK67" i="30" s="1"/>
  <c r="AK66" i="30" a="1"/>
  <c r="AK66" i="30" s="1"/>
  <c r="AK65" i="30" a="1"/>
  <c r="AK65" i="30" s="1"/>
  <c r="AK64" i="30" a="1"/>
  <c r="AK64" i="30" s="1"/>
  <c r="AK63" i="30" a="1"/>
  <c r="AK63" i="30" s="1"/>
  <c r="AK62" i="30" a="1"/>
  <c r="AK62" i="30" s="1"/>
  <c r="AK61" i="30" a="1"/>
  <c r="AK61" i="30" s="1"/>
  <c r="AK60" i="30" a="1"/>
  <c r="AK60" i="30" s="1"/>
  <c r="AK59" i="30" a="1"/>
  <c r="AK59" i="30" s="1"/>
  <c r="AK58" i="30" a="1"/>
  <c r="AK58" i="30" s="1"/>
  <c r="AK57" i="30" a="1"/>
  <c r="AK57" i="30" s="1"/>
  <c r="AK56" i="30" a="1"/>
  <c r="AK56" i="30" s="1"/>
  <c r="AK55" i="30" a="1"/>
  <c r="AK55" i="30" s="1"/>
  <c r="AK54" i="30" a="1"/>
  <c r="AK54" i="30" s="1"/>
  <c r="AK53" i="30" a="1"/>
  <c r="AK53" i="30" s="1"/>
  <c r="AK52" i="30" a="1"/>
  <c r="AK52" i="30" s="1"/>
  <c r="AK51" i="30" a="1"/>
  <c r="AK51" i="30" s="1"/>
  <c r="AK50" i="30" a="1"/>
  <c r="AK50" i="30" s="1"/>
  <c r="AK49" i="30" a="1"/>
  <c r="AK49" i="30" s="1"/>
  <c r="AK48" i="30" a="1"/>
  <c r="AK48" i="30" s="1"/>
  <c r="AK47" i="30" a="1"/>
  <c r="AK47" i="30" s="1"/>
  <c r="AK46" i="30" a="1"/>
  <c r="AK46" i="30" s="1"/>
  <c r="AK45" i="30" a="1"/>
  <c r="AK45" i="30" s="1"/>
  <c r="AK44" i="30" a="1"/>
  <c r="AK44" i="30" s="1"/>
  <c r="AK43" i="30" a="1"/>
  <c r="AK43" i="30" s="1"/>
  <c r="AK42" i="30" a="1"/>
  <c r="AK42" i="30" s="1"/>
  <c r="AK41" i="30" a="1"/>
  <c r="AK41" i="30" s="1"/>
  <c r="AK40" i="30" a="1"/>
  <c r="AK40" i="30" s="1"/>
  <c r="AK39" i="30" a="1"/>
  <c r="AK39" i="30" s="1"/>
  <c r="AK38" i="30" a="1"/>
  <c r="AK38" i="30" s="1"/>
  <c r="AK37" i="30" a="1"/>
  <c r="AK37" i="30" s="1"/>
  <c r="AK36" i="30" a="1"/>
  <c r="AK36" i="30" s="1"/>
  <c r="AK35" i="30" a="1"/>
  <c r="AK35" i="30" s="1"/>
  <c r="AK34" i="30" a="1"/>
  <c r="AK34" i="30" s="1"/>
  <c r="AK33" i="30" a="1"/>
  <c r="AK33" i="30" s="1"/>
  <c r="AK32" i="30" a="1"/>
  <c r="AK32" i="30" s="1"/>
  <c r="AK31" i="30" a="1"/>
  <c r="AK31" i="30" s="1"/>
  <c r="AK30" i="30" a="1"/>
  <c r="AK30" i="30" s="1"/>
  <c r="AK29" i="30" a="1"/>
  <c r="AK29" i="30" s="1"/>
  <c r="AK28" i="30" a="1"/>
  <c r="AK28" i="30" s="1"/>
  <c r="AK27" i="30" a="1"/>
  <c r="AK27" i="30" s="1"/>
  <c r="AK26" i="30" a="1"/>
  <c r="AK26" i="30" s="1"/>
  <c r="AK25" i="30" a="1"/>
  <c r="AK25" i="30" s="1"/>
  <c r="AK24" i="30" a="1"/>
  <c r="AK24" i="30" s="1"/>
  <c r="AK23" i="30" a="1"/>
  <c r="AK23" i="30" s="1"/>
  <c r="AK22" i="30" a="1"/>
  <c r="AK22" i="30" s="1"/>
  <c r="AK21" i="30" a="1"/>
  <c r="AK21" i="30" s="1"/>
  <c r="AK20" i="30" a="1"/>
  <c r="AK20" i="30" s="1"/>
  <c r="AK19" i="30" a="1"/>
  <c r="AK19" i="30" s="1"/>
  <c r="AK18" i="30" a="1"/>
  <c r="AK18" i="30" s="1"/>
  <c r="AK17" i="30" a="1"/>
  <c r="AK17" i="30" s="1"/>
  <c r="AK16" i="30" a="1"/>
  <c r="AK16" i="30" s="1"/>
  <c r="AK15" i="30" a="1"/>
  <c r="AK15" i="30" s="1"/>
  <c r="AK14" i="30" a="1"/>
  <c r="AK14" i="30" s="1"/>
  <c r="AK13" i="30" a="1"/>
  <c r="AK13" i="30" s="1"/>
  <c r="AK12" i="30" a="1"/>
  <c r="AK12" i="30" s="1"/>
  <c r="AK11" i="30" a="1"/>
  <c r="AK11" i="30" s="1"/>
  <c r="AK10" i="30" a="1"/>
  <c r="AK10" i="30" s="1"/>
  <c r="AK9" i="30" a="1"/>
  <c r="AK9" i="30" s="1"/>
  <c r="AK8" i="30" a="1"/>
  <c r="AK8" i="30" s="1"/>
  <c r="AK7" i="30" a="1"/>
  <c r="AK7" i="30" s="1"/>
  <c r="AN56" i="30" a="1"/>
  <c r="AN56" i="30" s="1"/>
  <c r="AN55" i="30" a="1"/>
  <c r="AN55" i="30" s="1"/>
  <c r="AN54" i="30" a="1"/>
  <c r="AN54" i="30" s="1"/>
  <c r="AN53" i="30" a="1"/>
  <c r="AN53" i="30" s="1"/>
  <c r="AN52" i="30" a="1"/>
  <c r="AN52" i="30" s="1"/>
  <c r="AN51" i="30" a="1"/>
  <c r="AN51" i="30" s="1"/>
  <c r="AN50" i="30" a="1"/>
  <c r="AN50" i="30" s="1"/>
  <c r="AN49" i="30" a="1"/>
  <c r="AN49" i="30" s="1"/>
  <c r="AN48" i="30" a="1"/>
  <c r="AN48" i="30" s="1"/>
  <c r="AN47" i="30" a="1"/>
  <c r="AN47" i="30" s="1"/>
  <c r="AN46" i="30" a="1"/>
  <c r="AN46" i="30" s="1"/>
  <c r="AN45" i="30" a="1"/>
  <c r="AN45" i="30" s="1"/>
  <c r="AN44" i="30" a="1"/>
  <c r="AN44" i="30" s="1"/>
  <c r="AN43" i="30" a="1"/>
  <c r="AN43" i="30" s="1"/>
  <c r="AN42" i="30" a="1"/>
  <c r="AN42" i="30" s="1"/>
  <c r="AN41" i="30" a="1"/>
  <c r="AN41" i="30" s="1"/>
  <c r="AN40" i="30" a="1"/>
  <c r="AN40" i="30" s="1"/>
  <c r="AN39" i="30" a="1"/>
  <c r="AN39" i="30" s="1"/>
  <c r="AN38" i="30" a="1"/>
  <c r="AN38" i="30" s="1"/>
  <c r="AN37" i="30" a="1"/>
  <c r="AN37" i="30" s="1"/>
  <c r="AN36" i="30" a="1"/>
  <c r="AN36" i="30" s="1"/>
  <c r="AN35" i="30" a="1"/>
  <c r="AN35" i="30" s="1"/>
  <c r="AN34" i="30" a="1"/>
  <c r="AN34" i="30" s="1"/>
  <c r="AN33" i="30" a="1"/>
  <c r="AN33" i="30" s="1"/>
  <c r="AN32" i="30" a="1"/>
  <c r="AN32" i="30" s="1"/>
  <c r="AN31" i="30" a="1"/>
  <c r="AN31" i="30" s="1"/>
  <c r="AN30" i="30" a="1"/>
  <c r="AN30" i="30" s="1"/>
  <c r="AN29" i="30" a="1"/>
  <c r="AN29" i="30" s="1"/>
  <c r="AN28" i="30" a="1"/>
  <c r="AN28" i="30" s="1"/>
  <c r="AN27" i="30" a="1"/>
  <c r="AN27" i="30" s="1"/>
  <c r="AN26" i="30" a="1"/>
  <c r="AN26" i="30" s="1"/>
  <c r="AN25" i="30" a="1"/>
  <c r="AN25" i="30" s="1"/>
  <c r="AN24" i="30" a="1"/>
  <c r="AN24" i="30" s="1"/>
  <c r="AN23" i="30" a="1"/>
  <c r="AN23" i="30" s="1"/>
  <c r="AN22" i="30" a="1"/>
  <c r="AN22" i="30" s="1"/>
  <c r="AN21" i="30" a="1"/>
  <c r="AN21" i="30" s="1"/>
  <c r="AN20" i="30" a="1"/>
  <c r="AN20" i="30" s="1"/>
  <c r="AN19" i="30" a="1"/>
  <c r="AN19" i="30" s="1"/>
  <c r="AN18" i="30" a="1"/>
  <c r="AN18" i="30" s="1"/>
  <c r="AN17" i="30" a="1"/>
  <c r="AN17" i="30" s="1"/>
  <c r="AN16" i="30" a="1"/>
  <c r="AN16" i="30" s="1"/>
  <c r="AN15" i="30" a="1"/>
  <c r="AN15" i="30" s="1"/>
  <c r="AN14" i="30" a="1"/>
  <c r="AN14" i="30" s="1"/>
  <c r="AN13" i="30" a="1"/>
  <c r="AN13" i="30" s="1"/>
  <c r="AN12" i="30" a="1"/>
  <c r="AN12" i="30" s="1"/>
  <c r="AN11" i="30" a="1"/>
  <c r="AN11" i="30" s="1"/>
  <c r="AN10" i="30" a="1"/>
  <c r="AN10" i="30" s="1"/>
  <c r="AN9" i="30" a="1"/>
  <c r="AN9" i="30" s="1"/>
  <c r="AN8" i="30" a="1"/>
  <c r="AN8" i="30" s="1"/>
  <c r="AN7" i="30" a="1"/>
  <c r="AN7" i="30" s="1"/>
  <c r="AG3" i="30" l="1"/>
  <c r="AN3" i="30"/>
  <c r="AD3" i="30"/>
  <c r="AK3" i="30"/>
  <c r="AH3" i="30"/>
  <c r="AF439" i="1"/>
  <c r="D437" i="1"/>
  <c r="D441" i="1"/>
  <c r="D389" i="1"/>
  <c r="AT360" i="1"/>
  <c r="AT258" i="1"/>
  <c r="AQ166" i="1"/>
  <c r="AP166" i="1" s="1"/>
  <c r="AT143" i="1"/>
  <c r="AT137" i="1"/>
  <c r="AT45" i="1"/>
  <c r="AS258" i="1" l="1"/>
  <c r="AS256" i="1"/>
  <c r="AS257" i="1"/>
  <c r="T619" i="2"/>
  <c r="S619" i="2"/>
  <c r="R619" i="2"/>
  <c r="S618" i="2"/>
  <c r="T618" i="2" s="1"/>
  <c r="R618" i="2"/>
  <c r="T617" i="2"/>
  <c r="S617" i="2"/>
  <c r="R617" i="2"/>
  <c r="S616" i="2"/>
  <c r="T616" i="2" s="1"/>
  <c r="R616" i="2"/>
  <c r="T615" i="2"/>
  <c r="S615" i="2"/>
  <c r="R615" i="2"/>
  <c r="S614" i="2"/>
  <c r="T614" i="2" s="1"/>
  <c r="R614" i="2"/>
  <c r="T613" i="2"/>
  <c r="S613" i="2"/>
  <c r="R613" i="2"/>
  <c r="S612" i="2"/>
  <c r="T612" i="2" s="1"/>
  <c r="R622" i="2" s="1" a="1"/>
  <c r="R612" i="2"/>
  <c r="T611" i="2"/>
  <c r="S611" i="2"/>
  <c r="R611" i="2"/>
  <c r="T601" i="2"/>
  <c r="Q601" i="2"/>
  <c r="R601" i="2" s="1"/>
  <c r="T600" i="2"/>
  <c r="Q600" i="2"/>
  <c r="R600" i="2" s="1"/>
  <c r="T599" i="2"/>
  <c r="R599" i="2"/>
  <c r="Q599" i="2"/>
  <c r="T598" i="2"/>
  <c r="Q598" i="2"/>
  <c r="R598" i="2" s="1"/>
  <c r="T597" i="2"/>
  <c r="Q597" i="2"/>
  <c r="R597" i="2" s="1"/>
  <c r="T596" i="2"/>
  <c r="Q596" i="2"/>
  <c r="R596" i="2" s="1"/>
  <c r="T595" i="2"/>
  <c r="R595" i="2"/>
  <c r="Q595" i="2"/>
  <c r="T594" i="2"/>
  <c r="Q594" i="2"/>
  <c r="R594" i="2" s="1"/>
  <c r="T593" i="2"/>
  <c r="Q593" i="2"/>
  <c r="R593" i="2" s="1"/>
  <c r="T592" i="2"/>
  <c r="Q592" i="2"/>
  <c r="R592" i="2" s="1"/>
  <c r="T591" i="2"/>
  <c r="R591" i="2"/>
  <c r="Q591" i="2"/>
  <c r="T590" i="2"/>
  <c r="Q590" i="2"/>
  <c r="R590" i="2" s="1"/>
  <c r="T589" i="2"/>
  <c r="Q589" i="2"/>
  <c r="R589" i="2" s="1"/>
  <c r="T588" i="2"/>
  <c r="Q588" i="2"/>
  <c r="R588" i="2" s="1"/>
  <c r="T587" i="2"/>
  <c r="R587" i="2"/>
  <c r="Q587" i="2"/>
  <c r="T586" i="2"/>
  <c r="Q586" i="2"/>
  <c r="R586" i="2" s="1"/>
  <c r="T585" i="2"/>
  <c r="Q585" i="2"/>
  <c r="R585" i="2" s="1"/>
  <c r="T575" i="2"/>
  <c r="Q575" i="2"/>
  <c r="R575" i="2" s="1"/>
  <c r="T574" i="2"/>
  <c r="R574" i="2"/>
  <c r="Q574" i="2"/>
  <c r="T573" i="2"/>
  <c r="Q573" i="2"/>
  <c r="R573" i="2" s="1"/>
  <c r="T572" i="2"/>
  <c r="Q572" i="2"/>
  <c r="R572" i="2" s="1"/>
  <c r="T571" i="2"/>
  <c r="Q571" i="2"/>
  <c r="R571" i="2" s="1"/>
  <c r="T570" i="2"/>
  <c r="R570" i="2"/>
  <c r="Q570" i="2"/>
  <c r="T569" i="2"/>
  <c r="Q569" i="2"/>
  <c r="R569" i="2" s="1"/>
  <c r="T568" i="2"/>
  <c r="Q568" i="2"/>
  <c r="R568" i="2" s="1"/>
  <c r="T567" i="2"/>
  <c r="Q567" i="2"/>
  <c r="R567" i="2" s="1"/>
  <c r="T566" i="2"/>
  <c r="R566" i="2"/>
  <c r="Q566" i="2"/>
  <c r="T565" i="2"/>
  <c r="Q565" i="2"/>
  <c r="R565" i="2" s="1"/>
  <c r="T564" i="2"/>
  <c r="Q564" i="2"/>
  <c r="R564" i="2" s="1"/>
  <c r="T563" i="2"/>
  <c r="Q563" i="2"/>
  <c r="R563" i="2" s="1"/>
  <c r="T562" i="2"/>
  <c r="R562" i="2"/>
  <c r="Q562" i="2"/>
  <c r="T561" i="2"/>
  <c r="Q561" i="2"/>
  <c r="R561" i="2" s="1"/>
  <c r="T560" i="2"/>
  <c r="Q560" i="2"/>
  <c r="R560" i="2" s="1"/>
  <c r="T559" i="2"/>
  <c r="Q559" i="2"/>
  <c r="R559" i="2" s="1"/>
  <c r="T558" i="2"/>
  <c r="R558" i="2"/>
  <c r="Q558" i="2"/>
  <c r="T557" i="2"/>
  <c r="Q557" i="2"/>
  <c r="R557" i="2" s="1"/>
  <c r="T544" i="2"/>
  <c r="R544" i="2"/>
  <c r="T543" i="2"/>
  <c r="R543" i="2"/>
  <c r="T542" i="2"/>
  <c r="R542" i="2"/>
  <c r="T541" i="2"/>
  <c r="R541" i="2"/>
  <c r="R547" i="2" s="1" a="1"/>
  <c r="T540" i="2"/>
  <c r="R540" i="2"/>
  <c r="D245" i="1"/>
  <c r="D23" i="1"/>
  <c r="D527" i="1"/>
  <c r="F541" i="2"/>
  <c r="G541" i="2" s="1"/>
  <c r="F540" i="2"/>
  <c r="G540" i="2" s="1"/>
  <c r="J535" i="2"/>
  <c r="C21" i="1" l="1"/>
  <c r="C20" i="1"/>
  <c r="C22" i="1"/>
  <c r="R604" i="2" a="1"/>
  <c r="R549" i="2"/>
  <c r="R547" i="2"/>
  <c r="U546" i="2" s="1"/>
  <c r="E537" i="2" s="1"/>
  <c r="J537" i="2" s="1"/>
  <c r="S548" i="2"/>
  <c r="S549" i="2"/>
  <c r="S547" i="2"/>
  <c r="R548" i="2"/>
  <c r="R578" i="2" a="1"/>
  <c r="S624" i="2"/>
  <c r="S622" i="2"/>
  <c r="R624" i="2"/>
  <c r="R622" i="2"/>
  <c r="U621" i="2" s="1"/>
  <c r="J542" i="2" s="1"/>
  <c r="E542" i="2" s="1"/>
  <c r="R623" i="2"/>
  <c r="S623" i="2"/>
  <c r="S579" i="2" l="1"/>
  <c r="R579" i="2"/>
  <c r="S580" i="2"/>
  <c r="R580" i="2"/>
  <c r="R578" i="2"/>
  <c r="S578" i="2"/>
  <c r="R606" i="2"/>
  <c r="R604" i="2"/>
  <c r="U603" i="2" s="1"/>
  <c r="S605" i="2"/>
  <c r="S606" i="2"/>
  <c r="S604" i="2"/>
  <c r="R605" i="2"/>
  <c r="J538" i="2" l="1"/>
  <c r="D397" i="1" s="1"/>
  <c r="E538" i="2"/>
  <c r="J539" i="2"/>
  <c r="E539" i="2"/>
  <c r="D419" i="1" l="1"/>
  <c r="D420" i="1"/>
  <c r="D421" i="1"/>
  <c r="C419" i="1" l="1"/>
  <c r="U231" i="1" l="1"/>
  <c r="U230" i="1"/>
  <c r="U227" i="1"/>
  <c r="U226" i="1"/>
  <c r="U225" i="1"/>
  <c r="U209" i="1"/>
  <c r="U208" i="1"/>
  <c r="U199" i="1"/>
  <c r="U200" i="1"/>
  <c r="U167" i="1"/>
  <c r="U166" i="1"/>
  <c r="U160" i="1"/>
  <c r="U147" i="1"/>
  <c r="U146" i="1"/>
  <c r="U145" i="1"/>
  <c r="AE147" i="1"/>
  <c r="AE146" i="1"/>
  <c r="AE145" i="1"/>
  <c r="AE159" i="1"/>
  <c r="AE161" i="1"/>
  <c r="AE160" i="1"/>
  <c r="AE168" i="1"/>
  <c r="AE167" i="1"/>
  <c r="AE166" i="1"/>
  <c r="AE201" i="1"/>
  <c r="AE200" i="1"/>
  <c r="AE199" i="1"/>
  <c r="AE227" i="1"/>
  <c r="AE226" i="1"/>
  <c r="AE225" i="1"/>
  <c r="C227" i="1"/>
  <c r="E533" i="2"/>
  <c r="J533" i="2" s="1"/>
  <c r="AF155" i="1" s="1"/>
  <c r="E532" i="2"/>
  <c r="J532" i="2" s="1"/>
  <c r="D154" i="1" s="1"/>
  <c r="L147" i="1"/>
  <c r="E531" i="2"/>
  <c r="J531" i="2" s="1"/>
  <c r="M154" i="1" s="1"/>
  <c r="U201" i="1"/>
  <c r="U210" i="1"/>
  <c r="U159" i="1"/>
  <c r="U161" i="1"/>
  <c r="E530" i="2"/>
  <c r="J530" i="2" s="1"/>
  <c r="V154" i="1" s="1"/>
  <c r="U153" i="1" s="1"/>
  <c r="L154" i="1" l="1"/>
  <c r="L152" i="1"/>
  <c r="L153" i="1"/>
  <c r="C153" i="1"/>
  <c r="C152" i="1"/>
  <c r="U152" i="1"/>
  <c r="U154" i="1"/>
  <c r="AE153" i="1"/>
  <c r="AE152" i="1"/>
  <c r="AE154" i="1"/>
  <c r="AC386" i="1"/>
  <c r="AB386" i="1" s="1"/>
  <c r="AC366" i="1"/>
  <c r="AB366" i="1" s="1"/>
  <c r="AC134" i="1"/>
  <c r="AB134" i="1" s="1"/>
  <c r="X134" i="1" l="1"/>
  <c r="X132" i="1"/>
  <c r="Y104" i="1"/>
  <c r="X118" i="1"/>
  <c r="X116" i="1"/>
  <c r="X103" i="1"/>
  <c r="X101" i="1"/>
  <c r="AF488" i="1" l="1"/>
  <c r="AF500" i="1"/>
  <c r="E527" i="2"/>
  <c r="J527" i="2" s="1"/>
  <c r="AF395" i="1" s="1"/>
  <c r="E526" i="2"/>
  <c r="AF370" i="1" s="1"/>
  <c r="D525" i="2"/>
  <c r="J522" i="2" l="1"/>
  <c r="J521" i="2"/>
  <c r="AF419" i="1"/>
  <c r="AF438" i="1"/>
  <c r="AS385" i="2"/>
  <c r="AU385" i="2"/>
  <c r="AV385" i="2" s="1"/>
  <c r="AW385" i="2" s="1"/>
  <c r="AX385" i="2"/>
  <c r="AS387" i="2"/>
  <c r="AU387" i="2"/>
  <c r="AV387" i="2" s="1"/>
  <c r="AW387" i="2" s="1"/>
  <c r="AX387" i="2"/>
  <c r="AS399" i="2"/>
  <c r="AU399" i="2"/>
  <c r="AV399" i="2" s="1"/>
  <c r="AW399" i="2" s="1"/>
  <c r="AU400" i="2"/>
  <c r="AV400" i="2" s="1"/>
  <c r="AW400" i="2" s="1"/>
  <c r="AU398" i="2"/>
  <c r="AV398" i="2" s="1"/>
  <c r="AW398" i="2" s="1"/>
  <c r="AU397" i="2"/>
  <c r="AV397" i="2" s="1"/>
  <c r="AW397" i="2" s="1"/>
  <c r="AU396" i="2"/>
  <c r="AV396" i="2" s="1"/>
  <c r="AV394" i="2" s="1"/>
  <c r="AX386" i="2"/>
  <c r="AX384" i="2"/>
  <c r="AU386" i="2"/>
  <c r="AV386" i="2" s="1"/>
  <c r="AW386" i="2" s="1"/>
  <c r="AU384" i="2"/>
  <c r="AV384" i="2" s="1"/>
  <c r="AS400" i="2"/>
  <c r="AS398" i="2"/>
  <c r="AS397" i="2"/>
  <c r="AS396" i="2"/>
  <c r="AS386" i="2"/>
  <c r="AS384" i="2"/>
  <c r="AE421" i="1" l="1"/>
  <c r="AV381" i="2"/>
  <c r="AW384" i="2"/>
  <c r="E519" i="2"/>
  <c r="J519" i="2" s="1"/>
  <c r="AI439" i="1" s="1"/>
  <c r="AJ439" i="1" s="1"/>
  <c r="E520" i="2"/>
  <c r="J520" i="2" s="1"/>
  <c r="AI422" i="1" s="1"/>
  <c r="AJ422" i="1" s="1"/>
  <c r="AW396" i="2"/>
  <c r="AE419" i="1"/>
  <c r="AS403" i="2" a="1"/>
  <c r="AS403" i="2" s="1"/>
  <c r="E518" i="2" s="1"/>
  <c r="J518" i="2" s="1"/>
  <c r="AS390" i="2" a="1"/>
  <c r="AS390" i="2" s="1"/>
  <c r="E517" i="2" s="1"/>
  <c r="J517" i="2" s="1"/>
  <c r="F433" i="1" l="1"/>
  <c r="F421" i="1"/>
  <c r="AT405" i="2"/>
  <c r="AS405" i="2"/>
  <c r="AT390" i="2"/>
  <c r="AS391" i="2"/>
  <c r="AT403" i="2"/>
  <c r="AS404" i="2"/>
  <c r="AT404" i="2"/>
  <c r="AT392" i="2"/>
  <c r="AT391" i="2"/>
  <c r="AS392" i="2"/>
  <c r="G514" i="2" l="1"/>
  <c r="G515" i="2"/>
  <c r="G516" i="2"/>
  <c r="G513" i="2"/>
  <c r="G512" i="2"/>
  <c r="G511" i="2"/>
  <c r="AS368" i="1"/>
  <c r="AS367" i="1"/>
  <c r="AS366" i="1"/>
  <c r="AT391" i="1"/>
  <c r="AS388" i="1" s="1"/>
  <c r="AS408" i="1"/>
  <c r="AS406" i="1"/>
  <c r="AS433" i="1"/>
  <c r="AS432" i="1"/>
  <c r="AS431" i="1"/>
  <c r="AS472" i="1"/>
  <c r="AS470" i="1"/>
  <c r="AS483" i="1"/>
  <c r="AS482" i="1"/>
  <c r="AS481" i="1"/>
  <c r="AS500" i="1"/>
  <c r="AS499" i="1"/>
  <c r="AS498" i="1"/>
  <c r="AS511" i="1"/>
  <c r="AS510" i="1"/>
  <c r="AS509" i="1"/>
  <c r="AI498" i="1"/>
  <c r="AI499" i="1"/>
  <c r="AI500" i="1"/>
  <c r="AI502" i="1"/>
  <c r="AJ502" i="1" s="1"/>
  <c r="J510" i="2"/>
  <c r="AJ503" i="1" s="1"/>
  <c r="AI503" i="1" s="1"/>
  <c r="F509" i="2"/>
  <c r="F406" i="2"/>
  <c r="J507" i="2"/>
  <c r="AJ468" i="1" s="1"/>
  <c r="J506" i="2"/>
  <c r="J504" i="2"/>
  <c r="AJ443" i="1" s="1"/>
  <c r="J505" i="2"/>
  <c r="AJ444" i="1" s="1"/>
  <c r="J503" i="2"/>
  <c r="AJ440" i="1" s="1"/>
  <c r="E362" i="2"/>
  <c r="J362" i="2" s="1"/>
  <c r="J502" i="2"/>
  <c r="E501" i="2"/>
  <c r="J501" i="2" s="1"/>
  <c r="AF516" i="1" s="1"/>
  <c r="G500" i="2"/>
  <c r="D500" i="2"/>
  <c r="AF515" i="1"/>
  <c r="AF514" i="1"/>
  <c r="AF513" i="1"/>
  <c r="AF512" i="1"/>
  <c r="AF511" i="1"/>
  <c r="AI259" i="1"/>
  <c r="AI254" i="1"/>
  <c r="E499" i="2"/>
  <c r="J499" i="2" s="1"/>
  <c r="D499" i="2"/>
  <c r="E432" i="2"/>
  <c r="J432" i="2" s="1"/>
  <c r="AF460" i="1"/>
  <c r="E498" i="2"/>
  <c r="AF454" i="1"/>
  <c r="D377" i="2"/>
  <c r="E497" i="2"/>
  <c r="J497" i="2" s="1"/>
  <c r="E496" i="2"/>
  <c r="J496" i="2" s="1"/>
  <c r="AF451" i="1" s="1"/>
  <c r="AF452" i="1"/>
  <c r="AS386" i="1" l="1"/>
  <c r="AS387" i="1"/>
  <c r="E495" i="2"/>
  <c r="J495" i="2" s="1"/>
  <c r="E421" i="2"/>
  <c r="E411" i="2"/>
  <c r="E402" i="2"/>
  <c r="E398" i="2"/>
  <c r="E350" i="2"/>
  <c r="E343" i="2"/>
  <c r="E342" i="2"/>
  <c r="E341" i="2"/>
  <c r="E340" i="2"/>
  <c r="X500" i="1"/>
  <c r="X499" i="1"/>
  <c r="X498" i="1"/>
  <c r="E494" i="2"/>
  <c r="J494" i="2" s="1"/>
  <c r="Y510" i="1" s="1"/>
  <c r="E429" i="2"/>
  <c r="E426" i="2"/>
  <c r="J493" i="2"/>
  <c r="Y490" i="1"/>
  <c r="X470" i="1"/>
  <c r="X472" i="1"/>
  <c r="J492" i="2"/>
  <c r="J491" i="2"/>
  <c r="J490" i="2"/>
  <c r="J489" i="2"/>
  <c r="C408" i="1" l="1"/>
  <c r="C406" i="1"/>
  <c r="D392" i="1"/>
  <c r="AF481" i="1"/>
  <c r="AF392" i="1"/>
  <c r="D488" i="1"/>
  <c r="D442" i="1"/>
  <c r="D395" i="1"/>
  <c r="AF498" i="1"/>
  <c r="AF491" i="1"/>
  <c r="AF459" i="1"/>
  <c r="AF391" i="1"/>
  <c r="D458" i="1"/>
  <c r="D484" i="1"/>
  <c r="D498" i="1"/>
  <c r="D435" i="1"/>
  <c r="D369" i="1"/>
  <c r="D388" i="1"/>
  <c r="P358" i="2"/>
  <c r="P341" i="2"/>
  <c r="S358" i="2"/>
  <c r="AC406" i="1"/>
  <c r="AA388" i="1"/>
  <c r="AA368" i="1"/>
  <c r="E62" i="30"/>
  <c r="G62" i="30" a="1"/>
  <c r="G62" i="30" s="1"/>
  <c r="E63" i="30"/>
  <c r="G63" i="30" a="1"/>
  <c r="G63" i="30" s="1"/>
  <c r="E64" i="30"/>
  <c r="G64" i="30" a="1"/>
  <c r="G64" i="30" s="1"/>
  <c r="E65" i="30"/>
  <c r="G65" i="30" a="1"/>
  <c r="G65" i="30" s="1"/>
  <c r="E66" i="30"/>
  <c r="G66" i="30" a="1"/>
  <c r="G66" i="30" s="1"/>
  <c r="E67" i="30"/>
  <c r="G67" i="30" a="1"/>
  <c r="G67" i="30" s="1"/>
  <c r="E68" i="30"/>
  <c r="G68" i="30" a="1"/>
  <c r="G68" i="30" s="1"/>
  <c r="E69" i="30"/>
  <c r="G69" i="30" a="1"/>
  <c r="G69" i="30" s="1"/>
  <c r="E70" i="30"/>
  <c r="G70" i="30" a="1"/>
  <c r="G70" i="30" s="1"/>
  <c r="E71" i="30"/>
  <c r="G71" i="30" a="1"/>
  <c r="G71" i="30" s="1"/>
  <c r="C387" i="1" l="1"/>
  <c r="C388" i="1"/>
  <c r="C386" i="1"/>
  <c r="C367" i="1"/>
  <c r="C368" i="1"/>
  <c r="C366" i="1"/>
  <c r="C431" i="1"/>
  <c r="C433" i="1"/>
  <c r="C432" i="1"/>
  <c r="C498" i="1"/>
  <c r="C499" i="1"/>
  <c r="C500" i="1"/>
  <c r="C459" i="1"/>
  <c r="C460" i="1"/>
  <c r="C458" i="1"/>
  <c r="J335" i="2" l="1"/>
  <c r="E336" i="2"/>
  <c r="G336" i="2"/>
  <c r="G340" i="2"/>
  <c r="G341" i="2"/>
  <c r="R341" i="2"/>
  <c r="S341" i="2"/>
  <c r="T341" i="2" s="1"/>
  <c r="G342" i="2"/>
  <c r="R342" i="2"/>
  <c r="S342" i="2"/>
  <c r="T342" i="2" s="1"/>
  <c r="G343" i="2"/>
  <c r="R343" i="2"/>
  <c r="S343" i="2"/>
  <c r="T343" i="2" s="1"/>
  <c r="G344" i="2"/>
  <c r="R344" i="2"/>
  <c r="T344" i="2"/>
  <c r="E345" i="2"/>
  <c r="G345" i="2"/>
  <c r="R345" i="2"/>
  <c r="T345" i="2"/>
  <c r="G346" i="2"/>
  <c r="R346" i="2"/>
  <c r="T346" i="2"/>
  <c r="G347" i="2"/>
  <c r="R347" i="2"/>
  <c r="T347" i="2"/>
  <c r="G348" i="2"/>
  <c r="R348" i="2"/>
  <c r="T348" i="2"/>
  <c r="G349" i="2"/>
  <c r="R349" i="2"/>
  <c r="T349" i="2"/>
  <c r="G350" i="2"/>
  <c r="R350" i="2"/>
  <c r="T350" i="2"/>
  <c r="G351" i="2"/>
  <c r="R351" i="2"/>
  <c r="T351" i="2"/>
  <c r="E352" i="2"/>
  <c r="J352" i="2"/>
  <c r="R352" i="2"/>
  <c r="T352" i="2"/>
  <c r="G353" i="2"/>
  <c r="R353" i="2"/>
  <c r="T353" i="2"/>
  <c r="G354" i="2"/>
  <c r="R354" i="2"/>
  <c r="T354" i="2"/>
  <c r="R355" i="2"/>
  <c r="T355" i="2"/>
  <c r="J356" i="2"/>
  <c r="R356" i="2"/>
  <c r="T356" i="2"/>
  <c r="J357" i="2"/>
  <c r="R357" i="2"/>
  <c r="T357" i="2"/>
  <c r="E358" i="2"/>
  <c r="G358" i="2"/>
  <c r="R358" i="2"/>
  <c r="T358" i="2"/>
  <c r="E359" i="2"/>
  <c r="G359" i="2"/>
  <c r="E360" i="2"/>
  <c r="G360" i="2"/>
  <c r="E361" i="2"/>
  <c r="G361" i="2"/>
  <c r="E363" i="2"/>
  <c r="G363" i="2"/>
  <c r="G364" i="2"/>
  <c r="G366" i="2"/>
  <c r="G367" i="2"/>
  <c r="G368" i="2"/>
  <c r="G369" i="2"/>
  <c r="G370" i="2"/>
  <c r="R370" i="2"/>
  <c r="T370" i="2"/>
  <c r="G371" i="2"/>
  <c r="R371" i="2"/>
  <c r="T371" i="2"/>
  <c r="G372" i="2"/>
  <c r="R372" i="2"/>
  <c r="T372" i="2"/>
  <c r="G373" i="2"/>
  <c r="R373" i="2"/>
  <c r="T373" i="2"/>
  <c r="R374" i="2"/>
  <c r="T374" i="2"/>
  <c r="G376" i="2"/>
  <c r="G378" i="2"/>
  <c r="G380" i="2"/>
  <c r="G381" i="2"/>
  <c r="G383" i="2"/>
  <c r="G384" i="2"/>
  <c r="AE384" i="2"/>
  <c r="AG384" i="2"/>
  <c r="G385" i="2"/>
  <c r="AE385" i="2"/>
  <c r="AG385" i="2"/>
  <c r="G386" i="2"/>
  <c r="R386" i="2"/>
  <c r="T386" i="2"/>
  <c r="AE386" i="2"/>
  <c r="AG386" i="2"/>
  <c r="G387" i="2"/>
  <c r="R387" i="2"/>
  <c r="T387" i="2"/>
  <c r="AE387" i="2"/>
  <c r="AG387" i="2"/>
  <c r="G388" i="2"/>
  <c r="R388" i="2"/>
  <c r="T388" i="2"/>
  <c r="AE388" i="2"/>
  <c r="AG388" i="2"/>
  <c r="R389" i="2"/>
  <c r="T389" i="2"/>
  <c r="AE389" i="2"/>
  <c r="AG389" i="2"/>
  <c r="R390" i="2"/>
  <c r="T390" i="2"/>
  <c r="AE390" i="2"/>
  <c r="AG390" i="2"/>
  <c r="G391" i="2"/>
  <c r="R391" i="2"/>
  <c r="T391" i="2"/>
  <c r="R392" i="2"/>
  <c r="T392" i="2"/>
  <c r="R393" i="2"/>
  <c r="T393" i="2"/>
  <c r="G394" i="2"/>
  <c r="G396" i="2"/>
  <c r="G398" i="2"/>
  <c r="G401" i="2"/>
  <c r="G402" i="2"/>
  <c r="R403" i="2"/>
  <c r="T403" i="2"/>
  <c r="AF403" i="2"/>
  <c r="AG403" i="2"/>
  <c r="AH403" i="2" s="1"/>
  <c r="G404" i="2"/>
  <c r="R404" i="2"/>
  <c r="T404" i="2"/>
  <c r="AF404" i="2"/>
  <c r="AG404" i="2"/>
  <c r="AH404" i="2" s="1"/>
  <c r="F405" i="2"/>
  <c r="R405" i="2"/>
  <c r="T405" i="2"/>
  <c r="AF405" i="2"/>
  <c r="AG405" i="2"/>
  <c r="AH405" i="2" s="1"/>
  <c r="R406" i="2"/>
  <c r="T406" i="2"/>
  <c r="AF406" i="2"/>
  <c r="AG406" i="2"/>
  <c r="AH406" i="2" s="1"/>
  <c r="G407" i="2"/>
  <c r="R407" i="2"/>
  <c r="T407" i="2"/>
  <c r="AF407" i="2"/>
  <c r="AG407" i="2"/>
  <c r="AH407" i="2" s="1"/>
  <c r="G408" i="2"/>
  <c r="R408" i="2"/>
  <c r="T408" i="2"/>
  <c r="AF408" i="2"/>
  <c r="AG408" i="2"/>
  <c r="AH408" i="2" s="1"/>
  <c r="R409" i="2"/>
  <c r="T409" i="2"/>
  <c r="AF409" i="2"/>
  <c r="AG409" i="2"/>
  <c r="AH409" i="2" s="1"/>
  <c r="R410" i="2"/>
  <c r="T410" i="2"/>
  <c r="AF410" i="2"/>
  <c r="AG410" i="2"/>
  <c r="AH410" i="2" s="1"/>
  <c r="G411" i="2"/>
  <c r="R411" i="2"/>
  <c r="T411" i="2"/>
  <c r="G412" i="2"/>
  <c r="R412" i="2"/>
  <c r="T412" i="2"/>
  <c r="R413" i="2"/>
  <c r="T413" i="2"/>
  <c r="G415" i="2"/>
  <c r="G416" i="2"/>
  <c r="G418" i="2"/>
  <c r="G419" i="2"/>
  <c r="G420" i="2"/>
  <c r="G421" i="2"/>
  <c r="G422" i="2"/>
  <c r="G423" i="2"/>
  <c r="E425" i="2"/>
  <c r="G425" i="2"/>
  <c r="G426" i="2"/>
  <c r="G427" i="2"/>
  <c r="G429" i="2"/>
  <c r="G430" i="2"/>
  <c r="G431" i="2"/>
  <c r="Y366" i="1"/>
  <c r="AC367" i="1"/>
  <c r="AF366" i="1"/>
  <c r="AJ373" i="1"/>
  <c r="AI373" i="1" s="1"/>
  <c r="AU366" i="1"/>
  <c r="Y367" i="1"/>
  <c r="AA366" i="1"/>
  <c r="AF372" i="1"/>
  <c r="AU367" i="1"/>
  <c r="AF367" i="1"/>
  <c r="AU368" i="1"/>
  <c r="AF369" i="1"/>
  <c r="AU369" i="1"/>
  <c r="AI367" i="1"/>
  <c r="AU371" i="1"/>
  <c r="AF368" i="1"/>
  <c r="AU370" i="1"/>
  <c r="AI368" i="1"/>
  <c r="AI371" i="1"/>
  <c r="AJ371" i="1" s="1"/>
  <c r="AC387" i="1"/>
  <c r="AF386" i="1"/>
  <c r="AU386" i="1"/>
  <c r="AA386" i="1"/>
  <c r="AF393" i="1"/>
  <c r="AI387" i="1"/>
  <c r="AU392" i="1"/>
  <c r="AF387" i="1"/>
  <c r="AI388" i="1"/>
  <c r="AU393" i="1"/>
  <c r="AJ394" i="1"/>
  <c r="AI394" i="1" s="1"/>
  <c r="AU387" i="1"/>
  <c r="AU394" i="1"/>
  <c r="AU388" i="1"/>
  <c r="AU389" i="1"/>
  <c r="AI392" i="1"/>
  <c r="AJ392" i="1" s="1"/>
  <c r="AU390" i="1"/>
  <c r="AF397" i="1"/>
  <c r="AI396" i="1"/>
  <c r="AF390" i="1"/>
  <c r="AI390" i="1"/>
  <c r="AI397" i="1"/>
  <c r="AJ397" i="1" s="1"/>
  <c r="AF406" i="1"/>
  <c r="AU406" i="1"/>
  <c r="AF407" i="1"/>
  <c r="AI407" i="1"/>
  <c r="AJ407" i="1" s="1"/>
  <c r="AC419" i="1"/>
  <c r="AU419" i="1"/>
  <c r="AT420" i="1"/>
  <c r="AI420" i="1"/>
  <c r="AU421" i="1"/>
  <c r="AI423" i="1"/>
  <c r="AJ423" i="1" s="1"/>
  <c r="AU422" i="1"/>
  <c r="AI421" i="1"/>
  <c r="AU423" i="1"/>
  <c r="AC432" i="1"/>
  <c r="AF431" i="1"/>
  <c r="AU431" i="1"/>
  <c r="AB431" i="1"/>
  <c r="AF432" i="1"/>
  <c r="AI432" i="1"/>
  <c r="AU432" i="1"/>
  <c r="AI433" i="1"/>
  <c r="AU433" i="1"/>
  <c r="AU434" i="1"/>
  <c r="AU435" i="1"/>
  <c r="AI443" i="1"/>
  <c r="Y437" i="1"/>
  <c r="AI436" i="1"/>
  <c r="AI444" i="1"/>
  <c r="AI437" i="1"/>
  <c r="AI438" i="1"/>
  <c r="AI440" i="1"/>
  <c r="AI441" i="1"/>
  <c r="AJ441" i="1" s="1"/>
  <c r="AF436" i="1"/>
  <c r="AI435" i="1"/>
  <c r="AF442" i="1"/>
  <c r="AF437" i="1"/>
  <c r="Y458" i="1"/>
  <c r="AC458" i="1"/>
  <c r="AF458" i="1"/>
  <c r="AI458" i="1"/>
  <c r="AT458" i="1"/>
  <c r="Y465" i="1"/>
  <c r="AI463" i="1"/>
  <c r="AU460" i="1"/>
  <c r="AF463" i="1"/>
  <c r="AJ464" i="1"/>
  <c r="AI464" i="1" s="1"/>
  <c r="AU459" i="1"/>
  <c r="AF461" i="1"/>
  <c r="AI459" i="1"/>
  <c r="AF464" i="1"/>
  <c r="AI468" i="1"/>
  <c r="Y467" i="1"/>
  <c r="AJ465" i="1"/>
  <c r="AI465" i="1" s="1"/>
  <c r="AI462" i="1"/>
  <c r="AJ462" i="1" s="1"/>
  <c r="AU470" i="1"/>
  <c r="Y489" i="1"/>
  <c r="AC481" i="1"/>
  <c r="AF496" i="1"/>
  <c r="AU481" i="1"/>
  <c r="AF482" i="1"/>
  <c r="AI482" i="1"/>
  <c r="AU482" i="1"/>
  <c r="AF483" i="1"/>
  <c r="AI483" i="1"/>
  <c r="AU483" i="1"/>
  <c r="AI488" i="1"/>
  <c r="AU484" i="1"/>
  <c r="AU485" i="1"/>
  <c r="AF486" i="1"/>
  <c r="AJ492" i="1"/>
  <c r="AI492" i="1" s="1"/>
  <c r="AI485" i="1"/>
  <c r="AI486" i="1"/>
  <c r="AF494" i="1"/>
  <c r="AI489" i="1"/>
  <c r="AJ489" i="1" s="1"/>
  <c r="AI487" i="1"/>
  <c r="AF489" i="1"/>
  <c r="AC498" i="1"/>
  <c r="AU498" i="1"/>
  <c r="AU499" i="1"/>
  <c r="AF502" i="1"/>
  <c r="AU502" i="1"/>
  <c r="AU500" i="1"/>
  <c r="AU503" i="1"/>
  <c r="AU504" i="1"/>
  <c r="AU501" i="1"/>
  <c r="AF509" i="1"/>
  <c r="AI511" i="1"/>
  <c r="AU509" i="1"/>
  <c r="AU511" i="1"/>
  <c r="AU510" i="1"/>
  <c r="AE459" i="1" l="1"/>
  <c r="AE460" i="1"/>
  <c r="AE458" i="1"/>
  <c r="AE367" i="1"/>
  <c r="AE366" i="1"/>
  <c r="AU458" i="1"/>
  <c r="AS460" i="1"/>
  <c r="AS459" i="1"/>
  <c r="AS458" i="1"/>
  <c r="AU420" i="1"/>
  <c r="AS420" i="1"/>
  <c r="AS419" i="1"/>
  <c r="AS421" i="1"/>
  <c r="AE406" i="1"/>
  <c r="AE408" i="1"/>
  <c r="AE368" i="1"/>
  <c r="AJ445" i="1"/>
  <c r="AI445" i="1" s="1"/>
  <c r="R378" i="2" a="1"/>
  <c r="R379" i="2" s="1"/>
  <c r="AI369" i="1"/>
  <c r="AJ369" i="1" s="1"/>
  <c r="AC431" i="1"/>
  <c r="AA431" i="1" s="1"/>
  <c r="AA433" i="1"/>
  <c r="R417" i="2" a="1"/>
  <c r="R417" i="2" s="1"/>
  <c r="U416" i="2" s="1"/>
  <c r="E414" i="2" s="1"/>
  <c r="J414" i="2" s="1"/>
  <c r="R396" i="2" a="1"/>
  <c r="R397" i="2" s="1"/>
  <c r="AE394" i="2" a="1"/>
  <c r="AE395" i="2" s="1"/>
  <c r="R362" i="2" a="1"/>
  <c r="AF413" i="2" a="1"/>
  <c r="R419" i="2" l="1"/>
  <c r="S396" i="2"/>
  <c r="R378" i="2"/>
  <c r="U377" i="2" s="1"/>
  <c r="E410" i="2" s="1"/>
  <c r="J410" i="2" s="1"/>
  <c r="D394" i="1" s="1"/>
  <c r="S380" i="2"/>
  <c r="R380" i="2"/>
  <c r="S398" i="2"/>
  <c r="R398" i="2"/>
  <c r="S379" i="2"/>
  <c r="S397" i="2"/>
  <c r="S378" i="2"/>
  <c r="R396" i="2"/>
  <c r="U395" i="2" s="1"/>
  <c r="E413" i="2" s="1"/>
  <c r="J413" i="2" s="1"/>
  <c r="AF396" i="2"/>
  <c r="AF394" i="2"/>
  <c r="AE394" i="2"/>
  <c r="AH393" i="2" s="1"/>
  <c r="E417" i="2" s="1"/>
  <c r="J417" i="2" s="1"/>
  <c r="AE396" i="2"/>
  <c r="AF395" i="2"/>
  <c r="S417" i="2"/>
  <c r="S418" i="2"/>
  <c r="R418" i="2"/>
  <c r="S419" i="2"/>
  <c r="R363" i="2"/>
  <c r="S363" i="2"/>
  <c r="R362" i="2"/>
  <c r="U361" i="2" s="1"/>
  <c r="E409" i="2" s="1"/>
  <c r="J409" i="2" s="1"/>
  <c r="S362" i="2"/>
  <c r="R364" i="2"/>
  <c r="S364" i="2"/>
  <c r="AG413" i="2"/>
  <c r="AF414" i="2"/>
  <c r="AG414" i="2"/>
  <c r="AF415" i="2"/>
  <c r="AF413" i="2"/>
  <c r="AI412" i="2" s="1"/>
  <c r="E424" i="2" s="1"/>
  <c r="J424" i="2" s="1"/>
  <c r="AG415" i="2"/>
  <c r="Y257" i="1" l="1"/>
  <c r="X258" i="1" s="1"/>
  <c r="AF258" i="1"/>
  <c r="X257" i="1" l="1"/>
  <c r="X256" i="1"/>
  <c r="E487" i="2"/>
  <c r="AC241" i="1"/>
  <c r="AB241" i="1" s="1"/>
  <c r="Y241" i="1"/>
  <c r="AB256" i="1"/>
  <c r="AN256" i="1"/>
  <c r="AJ256" i="1"/>
  <c r="AI241" i="1"/>
  <c r="AJ241" i="1" s="1"/>
  <c r="AJ240" i="1"/>
  <c r="AN240" i="1"/>
  <c r="AB240" i="1"/>
  <c r="G486" i="2"/>
  <c r="E486" i="2"/>
  <c r="D244" i="1"/>
  <c r="D259" i="1"/>
  <c r="AF260" i="1"/>
  <c r="AE256" i="1" s="1"/>
  <c r="AF248" i="1"/>
  <c r="AF247" i="1"/>
  <c r="E485" i="2"/>
  <c r="J485" i="2" s="1"/>
  <c r="AF245" i="1"/>
  <c r="AF249" i="1"/>
  <c r="X191" i="2"/>
  <c r="X192" i="2"/>
  <c r="X193" i="2"/>
  <c r="X194" i="2"/>
  <c r="X190" i="2"/>
  <c r="V193" i="2"/>
  <c r="V194" i="2"/>
  <c r="V192" i="2"/>
  <c r="V191" i="2"/>
  <c r="V190" i="2"/>
  <c r="E478" i="2"/>
  <c r="W198" i="2" l="1" a="1"/>
  <c r="X200" i="2" s="1"/>
  <c r="AE257" i="1"/>
  <c r="AE258" i="1"/>
  <c r="W200" i="2"/>
  <c r="X199" i="2"/>
  <c r="W199" i="2"/>
  <c r="X198" i="2"/>
  <c r="W198" i="2"/>
  <c r="X197" i="2" s="1"/>
  <c r="E474" i="2"/>
  <c r="E469" i="2"/>
  <c r="E470" i="2"/>
  <c r="H42" i="2"/>
  <c r="E466" i="2"/>
  <c r="E465" i="2"/>
  <c r="E464" i="2"/>
  <c r="J464" i="2" s="1"/>
  <c r="AT259" i="1" s="1"/>
  <c r="AU259" i="1" s="1"/>
  <c r="AU245" i="1"/>
  <c r="AU244" i="1"/>
  <c r="AQ241" i="1" s="1"/>
  <c r="G463" i="2"/>
  <c r="E463" i="2"/>
  <c r="E90" i="2" l="1"/>
  <c r="G90" i="2"/>
  <c r="G462" i="2"/>
  <c r="E462" i="2"/>
  <c r="E89" i="2"/>
  <c r="E85" i="2"/>
  <c r="E86" i="2" l="1"/>
  <c r="AA178" i="2"/>
  <c r="AB178" i="2" s="1"/>
  <c r="AA177" i="2"/>
  <c r="AB177" i="2" s="1"/>
  <c r="AA176" i="2"/>
  <c r="AB176" i="2" s="1"/>
  <c r="Y178" i="2"/>
  <c r="Y177" i="2"/>
  <c r="Y176" i="2"/>
  <c r="W178" i="2"/>
  <c r="W177" i="2"/>
  <c r="W176" i="2"/>
  <c r="X176" i="2" s="1"/>
  <c r="V178" i="2"/>
  <c r="V177" i="2"/>
  <c r="V176" i="2"/>
  <c r="G458" i="2"/>
  <c r="G457" i="2"/>
  <c r="E458" i="2"/>
  <c r="E457" i="2"/>
  <c r="E96" i="2"/>
  <c r="G456" i="2"/>
  <c r="E456" i="2"/>
  <c r="G455" i="2"/>
  <c r="E455" i="2"/>
  <c r="AC242" i="1"/>
  <c r="AB242" i="1" s="1"/>
  <c r="AF122" i="1"/>
  <c r="AF121" i="1"/>
  <c r="G454" i="2"/>
  <c r="AA182" i="2" l="1" a="1"/>
  <c r="AA184" i="2" s="1"/>
  <c r="E99" i="2"/>
  <c r="E451" i="2"/>
  <c r="J450" i="2"/>
  <c r="V134" i="1" s="1"/>
  <c r="AC166" i="2"/>
  <c r="W161" i="2"/>
  <c r="W159" i="2"/>
  <c r="V164" i="2"/>
  <c r="V163" i="2"/>
  <c r="V162" i="2"/>
  <c r="V161" i="2"/>
  <c r="W147" i="2"/>
  <c r="W144" i="2"/>
  <c r="W142" i="2"/>
  <c r="V151" i="2"/>
  <c r="V150" i="2"/>
  <c r="V149" i="2"/>
  <c r="V148" i="2"/>
  <c r="V147" i="2"/>
  <c r="V146" i="2"/>
  <c r="V145" i="2"/>
  <c r="V144" i="2"/>
  <c r="E106" i="2"/>
  <c r="V136" i="2"/>
  <c r="X135" i="2"/>
  <c r="V135" i="2"/>
  <c r="X134" i="2"/>
  <c r="V134" i="2"/>
  <c r="X133" i="2"/>
  <c r="V133" i="2"/>
  <c r="X132" i="2"/>
  <c r="V132" i="2"/>
  <c r="X131" i="2"/>
  <c r="V131" i="2"/>
  <c r="X130" i="2"/>
  <c r="V130" i="2"/>
  <c r="X129" i="2"/>
  <c r="V129" i="2"/>
  <c r="J206" i="2"/>
  <c r="AQ132" i="1" s="1"/>
  <c r="E441" i="2"/>
  <c r="J441" i="2" s="1"/>
  <c r="AQ103" i="1" s="1"/>
  <c r="E440" i="2"/>
  <c r="J440" i="2" s="1"/>
  <c r="AQ133" i="1" s="1"/>
  <c r="AT136" i="1"/>
  <c r="AT104" i="1"/>
  <c r="AQ127" i="1"/>
  <c r="AT128" i="1"/>
  <c r="AQ116" i="1"/>
  <c r="AQ117" i="1"/>
  <c r="AT121" i="1"/>
  <c r="AT103" i="1"/>
  <c r="AQ102" i="1"/>
  <c r="AQ101" i="1"/>
  <c r="C278" i="2"/>
  <c r="C279" i="2"/>
  <c r="E439" i="2"/>
  <c r="J439" i="2" s="1"/>
  <c r="D302" i="1" s="1"/>
  <c r="E438" i="2"/>
  <c r="J438" i="2" s="1"/>
  <c r="D267" i="1" s="1"/>
  <c r="E248" i="2"/>
  <c r="J248" i="2" s="1"/>
  <c r="AI269" i="1" s="1"/>
  <c r="AJ269" i="1" s="1"/>
  <c r="J9" i="2"/>
  <c r="J10" i="2"/>
  <c r="J11" i="2"/>
  <c r="J12" i="2"/>
  <c r="J13" i="2"/>
  <c r="J15" i="2"/>
  <c r="J16" i="2"/>
  <c r="J21" i="2"/>
  <c r="J22" i="2"/>
  <c r="J23" i="2"/>
  <c r="J24" i="2"/>
  <c r="J25" i="2"/>
  <c r="J27" i="2"/>
  <c r="J28" i="2"/>
  <c r="J8" i="2"/>
  <c r="C300" i="1" l="1"/>
  <c r="C299" i="1"/>
  <c r="C298" i="1"/>
  <c r="C265" i="1"/>
  <c r="C264" i="1"/>
  <c r="C263" i="1"/>
  <c r="AB182" i="2"/>
  <c r="AB184" i="2"/>
  <c r="AB183" i="2"/>
  <c r="AA183" i="2"/>
  <c r="AA182" i="2"/>
  <c r="AB181" i="2" s="1"/>
  <c r="AP117" i="1"/>
  <c r="X150" i="2"/>
  <c r="Y150" i="2" s="1"/>
  <c r="X178" i="2"/>
  <c r="Z177" i="2"/>
  <c r="X177" i="2"/>
  <c r="Z176" i="2"/>
  <c r="Z178" i="2"/>
  <c r="AA163" i="2"/>
  <c r="AB163" i="2" s="1"/>
  <c r="AA164" i="2"/>
  <c r="AB164" i="2" s="1"/>
  <c r="AD161" i="2"/>
  <c r="AE161" i="2" s="1"/>
  <c r="AD164" i="2"/>
  <c r="AE164" i="2" s="1"/>
  <c r="AA162" i="2"/>
  <c r="AB162" i="2" s="1"/>
  <c r="AD162" i="2"/>
  <c r="AE162" i="2" s="1"/>
  <c r="AD163" i="2"/>
  <c r="AE163" i="2" s="1"/>
  <c r="AG161" i="2"/>
  <c r="AH161" i="2" s="1"/>
  <c r="AG162" i="2"/>
  <c r="AH162" i="2" s="1"/>
  <c r="AG163" i="2"/>
  <c r="AH163" i="2" s="1"/>
  <c r="AG164" i="2"/>
  <c r="AH164" i="2" s="1"/>
  <c r="AA161" i="2"/>
  <c r="AB161" i="2" s="1"/>
  <c r="X144" i="2"/>
  <c r="Y144" i="2" s="1"/>
  <c r="X147" i="2"/>
  <c r="Y147" i="2" s="1"/>
  <c r="X161" i="2"/>
  <c r="Y161" i="2" s="1"/>
  <c r="X162" i="2"/>
  <c r="Y162" i="2" s="1"/>
  <c r="X145" i="2"/>
  <c r="Y145" i="2" s="1"/>
  <c r="X146" i="2"/>
  <c r="Y146" i="2" s="1"/>
  <c r="X163" i="2"/>
  <c r="Y163" i="2" s="1"/>
  <c r="X148" i="2"/>
  <c r="Y148" i="2" s="1"/>
  <c r="X149" i="2"/>
  <c r="Y149" i="2" s="1"/>
  <c r="X164" i="2"/>
  <c r="Y164" i="2" s="1"/>
  <c r="AP134" i="1"/>
  <c r="V138" i="2" a="1"/>
  <c r="W139" i="2" s="1"/>
  <c r="AP132" i="1"/>
  <c r="AP133" i="1"/>
  <c r="Y182" i="2" l="1" a="1"/>
  <c r="Y183" i="2" s="1"/>
  <c r="W182" i="2" a="1"/>
  <c r="W182" i="2" s="1"/>
  <c r="X181" i="2" s="1"/>
  <c r="Z184" i="2"/>
  <c r="Z168" i="2" a="1"/>
  <c r="AA169" i="2" s="1"/>
  <c r="AF168" i="2" a="1"/>
  <c r="AF170" i="2" s="1"/>
  <c r="AC168" i="2" a="1"/>
  <c r="AD170" i="2" s="1"/>
  <c r="W168" i="2" a="1"/>
  <c r="X170" i="2" s="1"/>
  <c r="U154" i="2" a="1"/>
  <c r="W138" i="2"/>
  <c r="V140" i="2"/>
  <c r="W140" i="2"/>
  <c r="V139" i="2"/>
  <c r="V138" i="2"/>
  <c r="Y137" i="2" s="1"/>
  <c r="Y154" i="2" a="1"/>
  <c r="Y154" i="2" s="1"/>
  <c r="Z153" i="2" s="1"/>
  <c r="W154" i="2" a="1"/>
  <c r="X154" i="2" s="1"/>
  <c r="AJ346" i="1"/>
  <c r="Z182" i="2" l="1"/>
  <c r="Y184" i="2"/>
  <c r="Z183" i="2"/>
  <c r="Y182" i="2"/>
  <c r="Z181" i="2" s="1"/>
  <c r="W184" i="2"/>
  <c r="X182" i="2"/>
  <c r="W183" i="2"/>
  <c r="X183" i="2"/>
  <c r="X184" i="2"/>
  <c r="Z170" i="2"/>
  <c r="AA170" i="2"/>
  <c r="Z169" i="2"/>
  <c r="Z168" i="2"/>
  <c r="AA167" i="2" s="1"/>
  <c r="AA168" i="2"/>
  <c r="AG169" i="2"/>
  <c r="AG168" i="2"/>
  <c r="AF169" i="2"/>
  <c r="AF168" i="2"/>
  <c r="AG167" i="2" s="1"/>
  <c r="AG170" i="2"/>
  <c r="AC168" i="2"/>
  <c r="AD167" i="2" s="1"/>
  <c r="AC170" i="2"/>
  <c r="AD169" i="2"/>
  <c r="AC169" i="2"/>
  <c r="AD168" i="2"/>
  <c r="W168" i="2"/>
  <c r="X167" i="2" s="1"/>
  <c r="W170" i="2"/>
  <c r="X169" i="2"/>
  <c r="W169" i="2"/>
  <c r="X168" i="2"/>
  <c r="X136" i="2"/>
  <c r="W136" i="2" s="1"/>
  <c r="E105" i="2" s="1"/>
  <c r="W154" i="2"/>
  <c r="X153" i="2" s="1"/>
  <c r="U154" i="2"/>
  <c r="V153" i="2" s="1"/>
  <c r="U156" i="2"/>
  <c r="V154" i="2"/>
  <c r="V155" i="2"/>
  <c r="U155" i="2"/>
  <c r="V156" i="2"/>
  <c r="X155" i="2"/>
  <c r="Z154" i="2"/>
  <c r="Y151" i="2" s="1"/>
  <c r="W151" i="2" s="1"/>
  <c r="Z156" i="2"/>
  <c r="Y156" i="2"/>
  <c r="Y155" i="2"/>
  <c r="X156" i="2"/>
  <c r="W155" i="2"/>
  <c r="Z155" i="2"/>
  <c r="W156" i="2"/>
  <c r="AA64" i="1"/>
  <c r="Y136" i="2" l="1"/>
  <c r="AA134" i="1"/>
  <c r="AC236" i="1" l="1"/>
  <c r="AQ524" i="1" l="1"/>
  <c r="G437" i="2" l="1"/>
  <c r="E437" i="2"/>
  <c r="G436" i="2"/>
  <c r="E436" i="2"/>
  <c r="G435" i="2"/>
  <c r="G434" i="2"/>
  <c r="G433" i="2"/>
  <c r="E433" i="2"/>
  <c r="AS551" i="1" l="1"/>
  <c r="L336" i="1"/>
  <c r="AB263" i="1" l="1"/>
  <c r="P299" i="1" l="1"/>
  <c r="P290" i="1"/>
  <c r="P264" i="1"/>
  <c r="P142" i="1"/>
  <c r="P141" i="1"/>
  <c r="P132" i="1"/>
  <c r="P116" i="1"/>
  <c r="P101" i="1"/>
  <c r="P102" i="1"/>
  <c r="J331" i="2"/>
  <c r="J317" i="2"/>
  <c r="J263" i="2"/>
  <c r="J262" i="2"/>
  <c r="AC135" i="1"/>
  <c r="P105" i="2"/>
  <c r="O116" i="1" l="1"/>
  <c r="O117" i="1" s="1"/>
  <c r="O118" i="1"/>
  <c r="O134" i="1"/>
  <c r="O132" i="1"/>
  <c r="O133" i="1" s="1"/>
  <c r="O289" i="1"/>
  <c r="O290" i="1" s="1"/>
  <c r="O291" i="1"/>
  <c r="O300" i="1"/>
  <c r="O298" i="1"/>
  <c r="O299" i="1" s="1"/>
  <c r="O143" i="1"/>
  <c r="O142" i="1"/>
  <c r="O141" i="1"/>
  <c r="O265" i="1"/>
  <c r="O263" i="1"/>
  <c r="O264" i="1" s="1"/>
  <c r="O103" i="1"/>
  <c r="O101" i="1"/>
  <c r="O102" i="1"/>
  <c r="AB177" i="1"/>
  <c r="AB322" i="1"/>
  <c r="R49" i="59" l="1"/>
  <c r="R28" i="59"/>
  <c r="R48" i="59"/>
  <c r="R45" i="59"/>
  <c r="R26" i="59"/>
  <c r="AJ208" i="1"/>
  <c r="E315" i="2"/>
  <c r="J315" i="2" s="1"/>
  <c r="E323" i="2"/>
  <c r="J323" i="2" s="1"/>
  <c r="E313" i="2"/>
  <c r="J313" i="2" s="1"/>
  <c r="E310" i="2"/>
  <c r="J310" i="2" s="1"/>
  <c r="E308" i="2"/>
  <c r="J308" i="2" s="1"/>
  <c r="E305" i="2"/>
  <c r="J305" i="2" s="1"/>
  <c r="E306" i="2"/>
  <c r="J306" i="2" s="1"/>
  <c r="AF340" i="1"/>
  <c r="E299" i="2"/>
  <c r="J299" i="2" s="1"/>
  <c r="J292" i="2"/>
  <c r="J290" i="2"/>
  <c r="E285" i="2"/>
  <c r="J285" i="2" s="1"/>
  <c r="E278" i="2"/>
  <c r="J278" i="2" s="1"/>
  <c r="E272" i="2"/>
  <c r="J272" i="2"/>
  <c r="J269" i="2"/>
  <c r="J264" i="2"/>
  <c r="J260" i="2"/>
  <c r="J252" i="2"/>
  <c r="J254" i="2"/>
  <c r="J253" i="2"/>
  <c r="AI286" i="1"/>
  <c r="AF273" i="1"/>
  <c r="J242" i="2"/>
  <c r="J234" i="2"/>
  <c r="AT521" i="1"/>
  <c r="AS520" i="1" s="1"/>
  <c r="J233" i="2"/>
  <c r="E231" i="2"/>
  <c r="J231" i="2" s="1"/>
  <c r="E230" i="2"/>
  <c r="J230" i="2" s="1"/>
  <c r="J229" i="2"/>
  <c r="J226" i="2"/>
  <c r="E224" i="2"/>
  <c r="J224" i="2" s="1"/>
  <c r="E223" i="2"/>
  <c r="J221" i="2"/>
  <c r="AS154" i="1"/>
  <c r="AS153" i="1"/>
  <c r="AS152" i="1"/>
  <c r="J220" i="2"/>
  <c r="J218" i="2"/>
  <c r="J219" i="2"/>
  <c r="J217" i="2"/>
  <c r="J216" i="2"/>
  <c r="J215" i="2"/>
  <c r="J205" i="2"/>
  <c r="E203" i="2"/>
  <c r="E202" i="2"/>
  <c r="E156" i="2"/>
  <c r="E151" i="2"/>
  <c r="E147" i="2"/>
  <c r="E143" i="2"/>
  <c r="E137" i="2"/>
  <c r="E136" i="2"/>
  <c r="J135" i="2"/>
  <c r="E134" i="2"/>
  <c r="G131" i="2"/>
  <c r="J125" i="2"/>
  <c r="J122" i="2"/>
  <c r="E117" i="2"/>
  <c r="J114" i="2"/>
  <c r="J113" i="2"/>
  <c r="AC104" i="1"/>
  <c r="E110" i="2"/>
  <c r="Y148" i="1" l="1"/>
  <c r="AT218" i="1"/>
  <c r="AF272" i="1"/>
  <c r="AF309" i="1"/>
  <c r="Y269" i="1"/>
  <c r="Y154" i="1"/>
  <c r="AF149" i="1"/>
  <c r="AF216" i="1"/>
  <c r="AF251" i="1"/>
  <c r="AF150" i="1"/>
  <c r="AT186" i="1"/>
  <c r="AU186" i="1" s="1"/>
  <c r="AF250" i="1"/>
  <c r="Y149" i="1"/>
  <c r="AT195" i="1"/>
  <c r="AT263" i="1"/>
  <c r="Y147" i="1"/>
  <c r="AT154" i="1"/>
  <c r="AU521" i="1"/>
  <c r="AS521" i="1"/>
  <c r="E109" i="2"/>
  <c r="E108" i="2"/>
  <c r="E101" i="2"/>
  <c r="E100" i="2"/>
  <c r="E95" i="2"/>
  <c r="E93" i="2"/>
  <c r="E92" i="2"/>
  <c r="E91" i="2"/>
  <c r="G81" i="2"/>
  <c r="E75" i="2"/>
  <c r="E73" i="2"/>
  <c r="E71" i="2"/>
  <c r="E69" i="2"/>
  <c r="E67" i="2"/>
  <c r="E65" i="2"/>
  <c r="E64" i="2"/>
  <c r="H10" i="2"/>
  <c r="AE112" i="1"/>
  <c r="AE113" i="1"/>
  <c r="G60" i="2"/>
  <c r="G57" i="2"/>
  <c r="G56" i="2"/>
  <c r="G55" i="2"/>
  <c r="AF197" i="1"/>
  <c r="AF189" i="1"/>
  <c r="AF180" i="1"/>
  <c r="G54" i="2" l="1"/>
  <c r="G53" i="2" l="1"/>
  <c r="M4" i="30"/>
  <c r="L4" i="30"/>
  <c r="V4" i="30"/>
  <c r="U4" i="30"/>
  <c r="S4" i="30"/>
  <c r="R4" i="30"/>
  <c r="P4" i="30"/>
  <c r="O4" i="30"/>
  <c r="J4" i="30"/>
  <c r="I4" i="30"/>
  <c r="E79" i="30"/>
  <c r="E78" i="30"/>
  <c r="E77" i="30"/>
  <c r="E76" i="30"/>
  <c r="E75" i="30"/>
  <c r="E74" i="30"/>
  <c r="E73" i="30"/>
  <c r="E72" i="30"/>
  <c r="E61" i="30"/>
  <c r="E60" i="30"/>
  <c r="E59" i="30"/>
  <c r="E58" i="30"/>
  <c r="E57" i="30"/>
  <c r="E56" i="30"/>
  <c r="E55" i="30"/>
  <c r="E54" i="30"/>
  <c r="E53" i="30"/>
  <c r="E52" i="30"/>
  <c r="E51" i="30"/>
  <c r="E50" i="30"/>
  <c r="E49" i="30"/>
  <c r="E48" i="30"/>
  <c r="E47" i="30"/>
  <c r="E46" i="30"/>
  <c r="E45" i="30"/>
  <c r="E44" i="30"/>
  <c r="E43" i="30"/>
  <c r="E42" i="30"/>
  <c r="E41" i="30"/>
  <c r="E40" i="30"/>
  <c r="E39" i="30"/>
  <c r="E38" i="30"/>
  <c r="E37" i="30"/>
  <c r="E36" i="30"/>
  <c r="E35" i="30"/>
  <c r="E34" i="30"/>
  <c r="E33" i="30"/>
  <c r="E32" i="30"/>
  <c r="E31" i="30"/>
  <c r="E30" i="30"/>
  <c r="E29" i="30"/>
  <c r="E28" i="30"/>
  <c r="E27" i="30"/>
  <c r="E26" i="30"/>
  <c r="E25" i="30"/>
  <c r="E24" i="30"/>
  <c r="E23" i="30"/>
  <c r="E22" i="30"/>
  <c r="E21" i="30"/>
  <c r="E20" i="30"/>
  <c r="E19" i="30"/>
  <c r="E18" i="30"/>
  <c r="E17" i="30"/>
  <c r="E16" i="30"/>
  <c r="E15" i="30"/>
  <c r="E14" i="30"/>
  <c r="E13" i="30"/>
  <c r="E12" i="30"/>
  <c r="E11" i="30"/>
  <c r="E10" i="30"/>
  <c r="E9" i="30"/>
  <c r="E8" i="30"/>
  <c r="E7" i="30"/>
  <c r="E6" i="30"/>
  <c r="F1" i="30"/>
  <c r="G1" i="30" s="1"/>
  <c r="H1" i="30" s="1"/>
  <c r="I1" i="30" s="1"/>
  <c r="J1" i="30" s="1"/>
  <c r="K1" i="30" s="1"/>
  <c r="L1" i="30" s="1"/>
  <c r="M1" i="30" s="1"/>
  <c r="N1" i="30" s="1"/>
  <c r="O1" i="30" s="1"/>
  <c r="P1" i="30" s="1"/>
  <c r="Q1" i="30" s="1"/>
  <c r="R1" i="30" s="1"/>
  <c r="S1" i="30" s="1"/>
  <c r="T1" i="30" s="1"/>
  <c r="U1" i="30" s="1"/>
  <c r="V1" i="30" s="1"/>
  <c r="W1" i="30" s="1"/>
  <c r="X1" i="30" s="1"/>
  <c r="Y1" i="30" s="1"/>
  <c r="Z1" i="30" s="1"/>
  <c r="AA1" i="30" s="1"/>
  <c r="AB1" i="30" s="1"/>
  <c r="AC1" i="30" s="1"/>
  <c r="AD1" i="30" s="1"/>
  <c r="AE1" i="30" s="1"/>
  <c r="AF1" i="30" s="1"/>
  <c r="AG1" i="30" s="1"/>
  <c r="AH1" i="30" s="1"/>
  <c r="AI1" i="30" s="1"/>
  <c r="AJ1" i="30" s="1"/>
  <c r="AK1" i="30" s="1"/>
  <c r="AL1" i="30" s="1"/>
  <c r="AM1" i="30" s="1"/>
  <c r="AN1" i="30" s="1"/>
  <c r="AO1" i="30" s="1"/>
  <c r="AP1" i="30" s="1"/>
  <c r="AQ1" i="30" s="1"/>
  <c r="AR1" i="30" s="1"/>
  <c r="AS1" i="30" s="1"/>
  <c r="AT1" i="30" s="1"/>
  <c r="AU1" i="30" s="1"/>
  <c r="G61" i="30" a="1"/>
  <c r="G61" i="30" s="1"/>
  <c r="F61" i="30"/>
  <c r="G8" i="30" a="1"/>
  <c r="G8" i="30" s="1"/>
  <c r="G14" i="30" a="1"/>
  <c r="G14" i="30" s="1"/>
  <c r="G17" i="30" a="1"/>
  <c r="G17" i="30" s="1"/>
  <c r="G18" i="30" a="1"/>
  <c r="G18" i="30" s="1"/>
  <c r="G52" i="30" a="1"/>
  <c r="G52" i="30" s="1"/>
  <c r="F52" i="30"/>
  <c r="F48" i="30"/>
  <c r="F46" i="30"/>
  <c r="F18" i="30"/>
  <c r="F17" i="30"/>
  <c r="F14" i="30"/>
  <c r="F12" i="30"/>
  <c r="F8" i="30"/>
  <c r="E3" i="30" l="1"/>
  <c r="O64" i="30"/>
  <c r="R63" i="30"/>
  <c r="I69" i="30"/>
  <c r="I66" i="30"/>
  <c r="F71" i="30"/>
  <c r="I70" i="30"/>
  <c r="O68" i="30"/>
  <c r="U67" i="30"/>
  <c r="I64" i="30"/>
  <c r="O63" i="30"/>
  <c r="O71" i="30"/>
  <c r="I67" i="30"/>
  <c r="U64" i="30"/>
  <c r="R70" i="30"/>
  <c r="I65" i="30"/>
  <c r="F68" i="30"/>
  <c r="U71" i="30"/>
  <c r="U68" i="30"/>
  <c r="U65" i="30"/>
  <c r="U62" i="30"/>
  <c r="U70" i="30"/>
  <c r="O62" i="30"/>
  <c r="I68" i="30"/>
  <c r="R64" i="30"/>
  <c r="R67" i="30"/>
  <c r="I63" i="30"/>
  <c r="R66" i="30"/>
  <c r="O66" i="30"/>
  <c r="R71" i="30"/>
  <c r="R68" i="30"/>
  <c r="U66" i="30"/>
  <c r="R65" i="30"/>
  <c r="R62" i="30"/>
  <c r="R69" i="30"/>
  <c r="I71" i="30"/>
  <c r="I62" i="30"/>
  <c r="O67" i="30"/>
  <c r="O65" i="30"/>
  <c r="O69" i="30"/>
  <c r="J8" i="30" a="1"/>
  <c r="J8" i="30" s="1"/>
  <c r="J14" i="30" a="1"/>
  <c r="J14" i="30" s="1"/>
  <c r="J18" i="30" a="1"/>
  <c r="J18" i="30" s="1"/>
  <c r="J12" i="30" a="1"/>
  <c r="J12" i="30" s="1"/>
  <c r="J52" i="30" a="1"/>
  <c r="J52" i="30" s="1"/>
  <c r="J17" i="30" a="1"/>
  <c r="J17" i="30" s="1"/>
  <c r="J61" i="30" a="1"/>
  <c r="J61" i="30" s="1"/>
  <c r="M68" i="30" a="1"/>
  <c r="M68" i="30" s="1"/>
  <c r="M66" i="30" a="1"/>
  <c r="M66" i="30" s="1"/>
  <c r="M71" i="30" a="1"/>
  <c r="M71" i="30" s="1"/>
  <c r="M64" i="30" a="1"/>
  <c r="M64" i="30" s="1"/>
  <c r="M69" i="30" a="1"/>
  <c r="M69" i="30" s="1"/>
  <c r="M62" i="30" a="1"/>
  <c r="M62" i="30" s="1"/>
  <c r="M67" i="30" a="1"/>
  <c r="M67" i="30" s="1"/>
  <c r="M65" i="30" a="1"/>
  <c r="M65" i="30" s="1"/>
  <c r="M70" i="30" a="1"/>
  <c r="M70" i="30" s="1"/>
  <c r="M63" i="30" a="1"/>
  <c r="M63" i="30" s="1"/>
  <c r="J66" i="30" a="1"/>
  <c r="J66" i="30" s="1"/>
  <c r="J71" i="30" a="1"/>
  <c r="J71" i="30" s="1"/>
  <c r="J64" i="30" a="1"/>
  <c r="J64" i="30" s="1"/>
  <c r="J69" i="30" a="1"/>
  <c r="J69" i="30" s="1"/>
  <c r="J62" i="30" a="1"/>
  <c r="J62" i="30" s="1"/>
  <c r="J67" i="30" a="1"/>
  <c r="J67" i="30" s="1"/>
  <c r="J65" i="30" a="1"/>
  <c r="J65" i="30" s="1"/>
  <c r="J70" i="30" a="1"/>
  <c r="J70" i="30" s="1"/>
  <c r="J68" i="30" a="1"/>
  <c r="J68" i="30" s="1"/>
  <c r="J63" i="30" a="1"/>
  <c r="J63" i="30" s="1"/>
  <c r="P70" i="30" a="1"/>
  <c r="P70" i="30" s="1"/>
  <c r="P63" i="30" a="1"/>
  <c r="P63" i="30" s="1"/>
  <c r="P68" i="30" a="1"/>
  <c r="P68" i="30" s="1"/>
  <c r="P66" i="30" a="1"/>
  <c r="P66" i="30" s="1"/>
  <c r="P71" i="30" a="1"/>
  <c r="P71" i="30" s="1"/>
  <c r="P64" i="30" a="1"/>
  <c r="P64" i="30" s="1"/>
  <c r="P69" i="30" a="1"/>
  <c r="P69" i="30" s="1"/>
  <c r="P62" i="30" a="1"/>
  <c r="P62" i="30" s="1"/>
  <c r="P67" i="30" a="1"/>
  <c r="P67" i="30" s="1"/>
  <c r="P65" i="30" a="1"/>
  <c r="P65" i="30" s="1"/>
  <c r="I52" i="30"/>
  <c r="V62" i="30" a="1"/>
  <c r="V62" i="30" s="1"/>
  <c r="V67" i="30" a="1"/>
  <c r="V67" i="30" s="1"/>
  <c r="V65" i="30" a="1"/>
  <c r="V65" i="30" s="1"/>
  <c r="V70" i="30" a="1"/>
  <c r="V70" i="30" s="1"/>
  <c r="V63" i="30" a="1"/>
  <c r="V63" i="30" s="1"/>
  <c r="V64" i="30" a="1"/>
  <c r="V64" i="30" s="1"/>
  <c r="V68" i="30" a="1"/>
  <c r="V68" i="30" s="1"/>
  <c r="V66" i="30" a="1"/>
  <c r="V66" i="30" s="1"/>
  <c r="V71" i="30" a="1"/>
  <c r="V71" i="30" s="1"/>
  <c r="V69" i="30" a="1"/>
  <c r="V69" i="30" s="1"/>
  <c r="S65" i="30" a="1"/>
  <c r="S65" i="30" s="1"/>
  <c r="S70" i="30" a="1"/>
  <c r="S70" i="30" s="1"/>
  <c r="S63" i="30" a="1"/>
  <c r="S63" i="30" s="1"/>
  <c r="S68" i="30" a="1"/>
  <c r="S68" i="30" s="1"/>
  <c r="S66" i="30" a="1"/>
  <c r="S66" i="30" s="1"/>
  <c r="S71" i="30" a="1"/>
  <c r="S71" i="30" s="1"/>
  <c r="S64" i="30" a="1"/>
  <c r="S64" i="30" s="1"/>
  <c r="S62" i="30" a="1"/>
  <c r="S62" i="30" s="1"/>
  <c r="S69" i="30" a="1"/>
  <c r="S69" i="30" s="1"/>
  <c r="S67" i="30" a="1"/>
  <c r="S67" i="30" s="1"/>
  <c r="J48" i="30" a="1"/>
  <c r="J48" i="30" s="1"/>
  <c r="I48" i="30"/>
  <c r="G48" i="30" a="1"/>
  <c r="G48" i="30" s="1"/>
  <c r="H402" i="2" a="1"/>
  <c r="H366" i="2" a="1"/>
  <c r="H350" i="2" a="1"/>
  <c r="H421" i="2" a="1"/>
  <c r="H340" i="2" a="1"/>
  <c r="H348" i="2" a="1"/>
  <c r="H380" i="2" a="1"/>
  <c r="H359" i="2" a="1"/>
  <c r="H509" i="2" a="1"/>
  <c r="H427" i="2" a="1"/>
  <c r="H383" i="2" a="1"/>
  <c r="H345" i="2" a="1"/>
  <c r="H429" i="2" a="1"/>
  <c r="H381" i="2" a="1"/>
  <c r="H353" i="2" a="1"/>
  <c r="H412" i="2" a="1"/>
  <c r="H342" i="2" a="1"/>
  <c r="H336" i="2" a="1"/>
  <c r="H398" i="2" a="1"/>
  <c r="H344" i="2" a="1"/>
  <c r="H346" i="2" a="1"/>
  <c r="H376" i="2" a="1"/>
  <c r="H430" i="2" a="1"/>
  <c r="H358" i="2" a="1"/>
  <c r="H349" i="2" a="1"/>
  <c r="H391" i="2" a="1"/>
  <c r="H360" i="2" a="1"/>
  <c r="H394" i="2" a="1"/>
  <c r="H401" i="2" a="1"/>
  <c r="H363" i="2" a="1"/>
  <c r="H431" i="2" a="1"/>
  <c r="H423" i="2" a="1"/>
  <c r="H361" i="2" a="1"/>
  <c r="H351" i="2" a="1"/>
  <c r="H422" i="2" a="1"/>
  <c r="H343" i="2" a="1"/>
  <c r="H347" i="2" a="1"/>
  <c r="H354" i="2" a="1"/>
  <c r="H509" i="2" l="1"/>
  <c r="I509" i="2" s="1"/>
  <c r="J509" i="2" s="1"/>
  <c r="L69" i="30"/>
  <c r="L63" i="30"/>
  <c r="U69" i="30"/>
  <c r="L70" i="30"/>
  <c r="L66" i="30"/>
  <c r="U63" i="30"/>
  <c r="L65" i="30"/>
  <c r="L64" i="30"/>
  <c r="L71" i="30"/>
  <c r="O70" i="30"/>
  <c r="L62" i="30"/>
  <c r="L68" i="30"/>
  <c r="L67" i="30"/>
  <c r="H342" i="2"/>
  <c r="I342" i="2" s="1"/>
  <c r="J342" i="2" s="1"/>
  <c r="H347" i="2"/>
  <c r="I347" i="2" s="1"/>
  <c r="H376" i="2"/>
  <c r="H354" i="2"/>
  <c r="H336" i="2"/>
  <c r="I336" i="2" s="1"/>
  <c r="H401" i="2"/>
  <c r="H344" i="2"/>
  <c r="I344" i="2" s="1"/>
  <c r="H351" i="2"/>
  <c r="I351" i="2" s="1"/>
  <c r="J351" i="2" s="1"/>
  <c r="H353" i="2"/>
  <c r="H381" i="2"/>
  <c r="I381" i="2" s="1"/>
  <c r="H363" i="2"/>
  <c r="H427" i="2"/>
  <c r="H349" i="2"/>
  <c r="I349" i="2" s="1"/>
  <c r="H383" i="2"/>
  <c r="H346" i="2"/>
  <c r="I346" i="2" s="1"/>
  <c r="J346" i="2" s="1"/>
  <c r="H430" i="2"/>
  <c r="H431" i="2"/>
  <c r="H391" i="2"/>
  <c r="H394" i="2"/>
  <c r="H343" i="2"/>
  <c r="I343" i="2" s="1"/>
  <c r="J343" i="2" s="1"/>
  <c r="H429" i="2"/>
  <c r="H350" i="2"/>
  <c r="I350" i="2" s="1"/>
  <c r="J350" i="2" s="1"/>
  <c r="H421" i="2"/>
  <c r="H398" i="2"/>
  <c r="H361" i="2"/>
  <c r="H366" i="2"/>
  <c r="H348" i="2"/>
  <c r="I348" i="2" s="1"/>
  <c r="H423" i="2"/>
  <c r="H422" i="2"/>
  <c r="H360" i="2"/>
  <c r="H412" i="2"/>
  <c r="H345" i="2"/>
  <c r="I345" i="2" s="1"/>
  <c r="J345" i="2" s="1"/>
  <c r="H359" i="2"/>
  <c r="I359" i="2" s="1"/>
  <c r="J359" i="2" s="1"/>
  <c r="H358" i="2"/>
  <c r="H340" i="2"/>
  <c r="I340" i="2" s="1"/>
  <c r="J340" i="2" s="1"/>
  <c r="H402" i="2"/>
  <c r="H380" i="2"/>
  <c r="I380" i="2" s="1"/>
  <c r="V52" i="30" a="1"/>
  <c r="V52" i="30" s="1"/>
  <c r="V12" i="30" a="1"/>
  <c r="V12" i="30" s="1"/>
  <c r="R17" i="30"/>
  <c r="V48" i="30" a="1"/>
  <c r="V48" i="30" s="1"/>
  <c r="L14" i="30"/>
  <c r="L18" i="30"/>
  <c r="V14" i="30" a="1"/>
  <c r="V14" i="30" s="1"/>
  <c r="L8" i="30"/>
  <c r="V8" i="30" a="1"/>
  <c r="V8" i="30" s="1"/>
  <c r="S14" i="30" a="1"/>
  <c r="S14" i="30" s="1"/>
  <c r="S18" i="30" a="1"/>
  <c r="S18" i="30" s="1"/>
  <c r="M18" i="30" a="1"/>
  <c r="M18" i="30" s="1"/>
  <c r="S17" i="30" a="1"/>
  <c r="S17" i="30" s="1"/>
  <c r="V17" i="30" a="1"/>
  <c r="V17" i="30" s="1"/>
  <c r="V61" i="30" a="1"/>
  <c r="V61" i="30" s="1"/>
  <c r="S8" i="30" a="1"/>
  <c r="S8" i="30" s="1"/>
  <c r="M14" i="30" a="1"/>
  <c r="M14" i="30" s="1"/>
  <c r="L17" i="30"/>
  <c r="M17" i="30" a="1"/>
  <c r="M17" i="30" s="1"/>
  <c r="M8" i="30" a="1"/>
  <c r="M8" i="30" s="1"/>
  <c r="V18" i="30" a="1"/>
  <c r="V18" i="30" s="1"/>
  <c r="V46" i="30" a="1"/>
  <c r="V46" i="30" s="1"/>
  <c r="L12" i="30"/>
  <c r="L48" i="30"/>
  <c r="S12" i="30" a="1"/>
  <c r="S12" i="30" s="1"/>
  <c r="S48" i="30" a="1"/>
  <c r="S48" i="30" s="1"/>
  <c r="M46" i="30" a="1"/>
  <c r="M46" i="30" s="1"/>
  <c r="L46" i="30"/>
  <c r="S61" i="30" a="1"/>
  <c r="S61" i="30" s="1"/>
  <c r="S52" i="30" a="1"/>
  <c r="S52" i="30" s="1"/>
  <c r="L61" i="30"/>
  <c r="M61" i="30" a="1"/>
  <c r="M61" i="30" s="1"/>
  <c r="M12" i="30" a="1"/>
  <c r="M12" i="30" s="1"/>
  <c r="L52" i="30"/>
  <c r="G12" i="30" a="1"/>
  <c r="G12" i="30" s="1"/>
  <c r="R46" i="30"/>
  <c r="S46" i="30" a="1"/>
  <c r="S46" i="30" s="1"/>
  <c r="M48" i="30" a="1"/>
  <c r="M48" i="30" s="1"/>
  <c r="F76" i="30"/>
  <c r="M52" i="30" a="1"/>
  <c r="M52" i="30" s="1"/>
  <c r="P17" i="30" a="1"/>
  <c r="P17" i="30" s="1"/>
  <c r="P52" i="30" a="1"/>
  <c r="P52" i="30" s="1"/>
  <c r="P12" i="30" a="1"/>
  <c r="P12" i="30" s="1"/>
  <c r="P14" i="30" a="1"/>
  <c r="P14" i="30" s="1"/>
  <c r="P18" i="30" a="1"/>
  <c r="P18" i="30" s="1"/>
  <c r="P61" i="30" a="1"/>
  <c r="P61" i="30" s="1"/>
  <c r="O48" i="30"/>
  <c r="P8" i="30" a="1"/>
  <c r="P8" i="30" s="1"/>
  <c r="O12" i="30"/>
  <c r="P48" i="30" a="1"/>
  <c r="P48" i="30" s="1"/>
  <c r="P46" i="30" a="1"/>
  <c r="P46" i="30" s="1"/>
  <c r="O17" i="30"/>
  <c r="O46" i="30"/>
  <c r="R8" i="30"/>
  <c r="O8" i="30"/>
  <c r="R18" i="30"/>
  <c r="U17" i="30"/>
  <c r="U52" i="30"/>
  <c r="I61" i="30"/>
  <c r="O18" i="30"/>
  <c r="R52" i="30"/>
  <c r="F79" i="30"/>
  <c r="I17" i="30"/>
  <c r="O52" i="30"/>
  <c r="R14" i="30"/>
  <c r="U61" i="30"/>
  <c r="R61" i="30"/>
  <c r="O14" i="30"/>
  <c r="R48" i="30"/>
  <c r="R12" i="30"/>
  <c r="O61" i="30"/>
  <c r="U14" i="30"/>
  <c r="U48" i="30"/>
  <c r="U12" i="30"/>
  <c r="U46" i="30"/>
  <c r="U8" i="30"/>
  <c r="U18" i="30"/>
  <c r="I14" i="30"/>
  <c r="I12" i="30"/>
  <c r="I8" i="30"/>
  <c r="I18" i="30"/>
  <c r="O53" i="30"/>
  <c r="O57" i="30"/>
  <c r="O75" i="30"/>
  <c r="O74" i="30"/>
  <c r="O78" i="30"/>
  <c r="F77" i="30"/>
  <c r="I74" i="30"/>
  <c r="F78" i="30"/>
  <c r="O77" i="30"/>
  <c r="F75" i="30"/>
  <c r="O73" i="30"/>
  <c r="F72" i="30"/>
  <c r="F74" i="30"/>
  <c r="F73" i="30"/>
  <c r="I51" i="30"/>
  <c r="O59" i="30"/>
  <c r="F58" i="30"/>
  <c r="I54" i="30"/>
  <c r="F55" i="30"/>
  <c r="O58" i="30"/>
  <c r="F56" i="30"/>
  <c r="F60" i="30"/>
  <c r="F59" i="30"/>
  <c r="P57" i="30" a="1"/>
  <c r="P57" i="30" s="1"/>
  <c r="O51" i="30"/>
  <c r="F53" i="30"/>
  <c r="F57" i="30"/>
  <c r="I53" i="30"/>
  <c r="O56" i="30"/>
  <c r="F54" i="30"/>
  <c r="P51" i="30" a="1"/>
  <c r="P51" i="30" s="1"/>
  <c r="F50" i="30"/>
  <c r="F51" i="30"/>
  <c r="I50" i="30"/>
  <c r="I46" i="30"/>
  <c r="F49" i="30"/>
  <c r="F45" i="30"/>
  <c r="F47" i="30"/>
  <c r="P47" i="30" a="1"/>
  <c r="P47" i="30" s="1"/>
  <c r="F44" i="30"/>
  <c r="J46" i="30" a="1"/>
  <c r="J46" i="30" s="1"/>
  <c r="G46" i="30" a="1"/>
  <c r="G46" i="30" s="1"/>
  <c r="O44" i="30"/>
  <c r="O36" i="30"/>
  <c r="O42" i="30"/>
  <c r="O40" i="30"/>
  <c r="F39" i="30"/>
  <c r="F43" i="30"/>
  <c r="O27" i="30"/>
  <c r="O31" i="30"/>
  <c r="F36" i="30"/>
  <c r="I39" i="30"/>
  <c r="F37" i="30"/>
  <c r="U38" i="30"/>
  <c r="F35" i="30"/>
  <c r="F42" i="30"/>
  <c r="I35" i="30"/>
  <c r="O39" i="30"/>
  <c r="O34" i="30"/>
  <c r="F28" i="30"/>
  <c r="F32" i="30"/>
  <c r="F33" i="30"/>
  <c r="F40" i="30"/>
  <c r="I34" i="30"/>
  <c r="P36" i="30" a="1"/>
  <c r="P36" i="30" s="1"/>
  <c r="I37" i="30"/>
  <c r="F41" i="30"/>
  <c r="O43" i="30"/>
  <c r="F34" i="30"/>
  <c r="I36" i="30"/>
  <c r="F38" i="30"/>
  <c r="I38" i="30"/>
  <c r="F31" i="30"/>
  <c r="I31" i="30"/>
  <c r="F29" i="30"/>
  <c r="I29" i="30"/>
  <c r="O28" i="30"/>
  <c r="P25" i="30" a="1"/>
  <c r="P25" i="30" s="1"/>
  <c r="F23" i="30"/>
  <c r="F27" i="30"/>
  <c r="F30" i="30"/>
  <c r="I30" i="30"/>
  <c r="F20" i="30"/>
  <c r="F25" i="30"/>
  <c r="F22" i="30"/>
  <c r="F24" i="30"/>
  <c r="F21" i="30"/>
  <c r="O23" i="30"/>
  <c r="O21" i="30"/>
  <c r="I19" i="30"/>
  <c r="O22" i="30"/>
  <c r="P20" i="30" a="1"/>
  <c r="P20" i="30" s="1"/>
  <c r="I21" i="30"/>
  <c r="P23" i="30" a="1"/>
  <c r="P23" i="30" s="1"/>
  <c r="F19" i="30"/>
  <c r="F26" i="30"/>
  <c r="P19" i="30" a="1"/>
  <c r="P19" i="30" s="1"/>
  <c r="I20" i="30"/>
  <c r="I13" i="30"/>
  <c r="F9" i="30"/>
  <c r="I16" i="30"/>
  <c r="P15" i="30" a="1"/>
  <c r="P15" i="30" s="1"/>
  <c r="F15" i="30"/>
  <c r="I15" i="30"/>
  <c r="F16" i="30"/>
  <c r="O11" i="30"/>
  <c r="F13" i="30"/>
  <c r="O13" i="30"/>
  <c r="O7" i="30"/>
  <c r="I11" i="30"/>
  <c r="F11" i="30"/>
  <c r="F10" i="30"/>
  <c r="I7" i="30"/>
  <c r="O10" i="30"/>
  <c r="P7" i="30" a="1"/>
  <c r="P7" i="30" s="1"/>
  <c r="O9" i="30"/>
  <c r="F7" i="30"/>
  <c r="P10" i="30" a="1"/>
  <c r="P10" i="30" s="1"/>
  <c r="I9" i="30"/>
  <c r="I10" i="30"/>
  <c r="I6" i="30"/>
  <c r="F6" i="30"/>
  <c r="H513" i="2" a="1"/>
  <c r="H516" i="2" a="1"/>
  <c r="H426" i="2" a="1"/>
  <c r="H411" i="2" a="1"/>
  <c r="H341" i="2" a="1"/>
  <c r="Y406" i="1" l="1"/>
  <c r="AJ460" i="1"/>
  <c r="AI460" i="1" s="1"/>
  <c r="Y419" i="1"/>
  <c r="H516" i="2"/>
  <c r="I516" i="2" s="1"/>
  <c r="J516" i="2" s="1"/>
  <c r="H513" i="2"/>
  <c r="I513" i="2" s="1"/>
  <c r="J513" i="2" s="1"/>
  <c r="I429" i="2"/>
  <c r="J429" i="2" s="1"/>
  <c r="I431" i="2"/>
  <c r="J431" i="2" s="1"/>
  <c r="I430" i="2"/>
  <c r="J430" i="2" s="1"/>
  <c r="I427" i="2"/>
  <c r="J427" i="2" s="1"/>
  <c r="I422" i="2"/>
  <c r="J422" i="2" s="1"/>
  <c r="I423" i="2"/>
  <c r="J423" i="2" s="1"/>
  <c r="I421" i="2"/>
  <c r="J421" i="2" s="1"/>
  <c r="I412" i="2"/>
  <c r="J412" i="2" s="1"/>
  <c r="I401" i="2"/>
  <c r="J401" i="2" s="1"/>
  <c r="I402" i="2"/>
  <c r="J402" i="2" s="1"/>
  <c r="I398" i="2"/>
  <c r="J398" i="2" s="1"/>
  <c r="I394" i="2"/>
  <c r="J394" i="2" s="1"/>
  <c r="I391" i="2"/>
  <c r="J391" i="2" s="1"/>
  <c r="I383" i="2"/>
  <c r="J383" i="2" s="1"/>
  <c r="J381" i="2"/>
  <c r="J380" i="2"/>
  <c r="I376" i="2"/>
  <c r="J376" i="2" s="1"/>
  <c r="I366" i="2"/>
  <c r="J366" i="2" s="1"/>
  <c r="I363" i="2"/>
  <c r="J363" i="2" s="1"/>
  <c r="I358" i="2"/>
  <c r="J358" i="2" s="1"/>
  <c r="I360" i="2"/>
  <c r="J360" i="2" s="1"/>
  <c r="I361" i="2"/>
  <c r="J361" i="2" s="1"/>
  <c r="I353" i="2"/>
  <c r="J353" i="2" s="1"/>
  <c r="I354" i="2"/>
  <c r="J354" i="2" s="1"/>
  <c r="J344" i="2"/>
  <c r="J348" i="2"/>
  <c r="J347" i="2"/>
  <c r="J349" i="2"/>
  <c r="J336" i="2"/>
  <c r="H426" i="2"/>
  <c r="H341" i="2"/>
  <c r="I341" i="2" s="1"/>
  <c r="J341" i="2" s="1"/>
  <c r="H411" i="2"/>
  <c r="V77" i="30" a="1"/>
  <c r="V77" i="30" s="1"/>
  <c r="U16" i="30"/>
  <c r="U76" i="30"/>
  <c r="S54" i="30" a="1"/>
  <c r="S54" i="30" s="1"/>
  <c r="S30" i="30" a="1"/>
  <c r="S30" i="30" s="1"/>
  <c r="S29" i="30" a="1"/>
  <c r="S29" i="30" s="1"/>
  <c r="U31" i="30"/>
  <c r="V49" i="30" a="1"/>
  <c r="V49" i="30" s="1"/>
  <c r="V51" i="30" a="1"/>
  <c r="V51" i="30" s="1"/>
  <c r="S21" i="30" a="1"/>
  <c r="S21" i="30" s="1"/>
  <c r="V55" i="30" a="1"/>
  <c r="V55" i="30" s="1"/>
  <c r="S35" i="30" a="1"/>
  <c r="S35" i="30" s="1"/>
  <c r="S9" i="30" a="1"/>
  <c r="S9" i="30" s="1"/>
  <c r="U13" i="30"/>
  <c r="U36" i="30"/>
  <c r="S39" i="30" a="1"/>
  <c r="S39" i="30" s="1"/>
  <c r="S16" i="30" a="1"/>
  <c r="S16" i="30" s="1"/>
  <c r="V37" i="30" a="1"/>
  <c r="V37" i="30" s="1"/>
  <c r="V43" i="30" a="1"/>
  <c r="V43" i="30" s="1"/>
  <c r="U7" i="30"/>
  <c r="U6" i="30"/>
  <c r="U11" i="30"/>
  <c r="V23" i="30" a="1"/>
  <c r="V23" i="30" s="1"/>
  <c r="U27" i="30"/>
  <c r="U29" i="30"/>
  <c r="U40" i="30"/>
  <c r="V7" i="30" a="1"/>
  <c r="V7" i="30" s="1"/>
  <c r="V10" i="30" a="1"/>
  <c r="V10" i="30" s="1"/>
  <c r="S31" i="30" a="1"/>
  <c r="S31" i="30" s="1"/>
  <c r="V32" i="30" a="1"/>
  <c r="V32" i="30" s="1"/>
  <c r="U15" i="30"/>
  <c r="V22" i="30" a="1"/>
  <c r="V22" i="30" s="1"/>
  <c r="S50" i="30" a="1"/>
  <c r="S50" i="30" s="1"/>
  <c r="V38" i="30" a="1"/>
  <c r="V38" i="30" s="1"/>
  <c r="S6" i="30" a="1"/>
  <c r="S6" i="30" s="1"/>
  <c r="V21" i="30" a="1"/>
  <c r="V21" i="30" s="1"/>
  <c r="V28" i="30" a="1"/>
  <c r="V28" i="30" s="1"/>
  <c r="V75" i="30" a="1"/>
  <c r="V75" i="30" s="1"/>
  <c r="V40" i="30" a="1"/>
  <c r="V40" i="30" s="1"/>
  <c r="U50" i="30"/>
  <c r="S53" i="30" a="1"/>
  <c r="S53" i="30" s="1"/>
  <c r="V78" i="30" a="1"/>
  <c r="V78" i="30" s="1"/>
  <c r="P54" i="30" a="1"/>
  <c r="P54" i="30" s="1"/>
  <c r="U21" i="30"/>
  <c r="U28" i="30"/>
  <c r="S34" i="30" a="1"/>
  <c r="S34" i="30" s="1"/>
  <c r="V33" i="30" a="1"/>
  <c r="V33" i="30" s="1"/>
  <c r="V45" i="30" a="1"/>
  <c r="V45" i="30" s="1"/>
  <c r="V57" i="30" a="1"/>
  <c r="V57" i="30" s="1"/>
  <c r="V79" i="30" a="1"/>
  <c r="V79" i="30" s="1"/>
  <c r="V73" i="30" a="1"/>
  <c r="V73" i="30" s="1"/>
  <c r="V76" i="30" a="1"/>
  <c r="V76" i="30" s="1"/>
  <c r="U20" i="30"/>
  <c r="S38" i="30" a="1"/>
  <c r="S38" i="30" s="1"/>
  <c r="U45" i="30"/>
  <c r="V72" i="30" a="1"/>
  <c r="V72" i="30" s="1"/>
  <c r="P16" i="30" a="1"/>
  <c r="P16" i="30" s="1"/>
  <c r="U42" i="30"/>
  <c r="U60" i="30"/>
  <c r="P50" i="30" a="1"/>
  <c r="P50" i="30" s="1"/>
  <c r="S11" i="30" a="1"/>
  <c r="S11" i="30" s="1"/>
  <c r="V16" i="30" a="1"/>
  <c r="V16" i="30" s="1"/>
  <c r="S36" i="30" a="1"/>
  <c r="S36" i="30" s="1"/>
  <c r="V34" i="30" a="1"/>
  <c r="V34" i="30" s="1"/>
  <c r="R29" i="30"/>
  <c r="L29" i="30"/>
  <c r="G34" i="30" a="1"/>
  <c r="G34" i="30" s="1"/>
  <c r="M34" i="30" a="1"/>
  <c r="M34" i="30" s="1"/>
  <c r="R38" i="30"/>
  <c r="L38" i="30"/>
  <c r="V44" i="30" a="1"/>
  <c r="V44" i="30" s="1"/>
  <c r="G38" i="30" a="1"/>
  <c r="G38" i="30" s="1"/>
  <c r="M38" i="30" a="1"/>
  <c r="M38" i="30" s="1"/>
  <c r="R31" i="30"/>
  <c r="L31" i="30"/>
  <c r="U59" i="30"/>
  <c r="V59" i="30" a="1"/>
  <c r="V59" i="30" s="1"/>
  <c r="R74" i="30"/>
  <c r="L74" i="30"/>
  <c r="P38" i="30" a="1"/>
  <c r="P38" i="30" s="1"/>
  <c r="O29" i="30"/>
  <c r="P30" i="30" a="1"/>
  <c r="P30" i="30" s="1"/>
  <c r="P21" i="30" a="1"/>
  <c r="P21" i="30" s="1"/>
  <c r="V74" i="30" a="1"/>
  <c r="V74" i="30" s="1"/>
  <c r="G6" i="30" a="1"/>
  <c r="G6" i="30" s="1"/>
  <c r="M6" i="30" a="1"/>
  <c r="M6" i="30" s="1"/>
  <c r="S7" i="30" a="1"/>
  <c r="S7" i="30" s="1"/>
  <c r="R15" i="30"/>
  <c r="L15" i="30"/>
  <c r="J6" i="30" a="1"/>
  <c r="J6" i="30" s="1"/>
  <c r="V9" i="30" a="1"/>
  <c r="V9" i="30" s="1"/>
  <c r="U10" i="30"/>
  <c r="G13" i="30" a="1"/>
  <c r="G13" i="30" s="1"/>
  <c r="M13" i="30" a="1"/>
  <c r="M13" i="30" s="1"/>
  <c r="G15" i="30" a="1"/>
  <c r="G15" i="30" s="1"/>
  <c r="M15" i="30" a="1"/>
  <c r="M15" i="30" s="1"/>
  <c r="G20" i="30" a="1"/>
  <c r="G20" i="30" s="1"/>
  <c r="M20" i="30" a="1"/>
  <c r="M20" i="30" s="1"/>
  <c r="U24" i="30"/>
  <c r="U23" i="30"/>
  <c r="V31" i="30" a="1"/>
  <c r="V31" i="30" s="1"/>
  <c r="V29" i="30" a="1"/>
  <c r="V29" i="30" s="1"/>
  <c r="J39" i="30" a="1"/>
  <c r="J39" i="30" s="1"/>
  <c r="R39" i="30"/>
  <c r="L39" i="30"/>
  <c r="R37" i="30"/>
  <c r="L37" i="30"/>
  <c r="J36" i="30" a="1"/>
  <c r="J36" i="30" s="1"/>
  <c r="V30" i="30" a="1"/>
  <c r="V30" i="30" s="1"/>
  <c r="U47" i="30"/>
  <c r="R54" i="30"/>
  <c r="L54" i="30"/>
  <c r="V60" i="30" a="1"/>
  <c r="V60" i="30" s="1"/>
  <c r="U77" i="30"/>
  <c r="J13" i="30" a="1"/>
  <c r="J13" i="30" s="1"/>
  <c r="J51" i="30" a="1"/>
  <c r="J51" i="30" s="1"/>
  <c r="V11" i="30" a="1"/>
  <c r="V11" i="30" s="1"/>
  <c r="R19" i="30"/>
  <c r="L19" i="30"/>
  <c r="U26" i="30"/>
  <c r="J20" i="30" a="1"/>
  <c r="J20" i="30" s="1"/>
  <c r="U32" i="30"/>
  <c r="V42" i="30" a="1"/>
  <c r="V42" i="30" s="1"/>
  <c r="J31" i="30" a="1"/>
  <c r="J31" i="30" s="1"/>
  <c r="S37" i="30" a="1"/>
  <c r="S37" i="30" s="1"/>
  <c r="V36" i="30" a="1"/>
  <c r="V36" i="30" s="1"/>
  <c r="V50" i="30" a="1"/>
  <c r="V50" i="30" s="1"/>
  <c r="J53" i="30" a="1"/>
  <c r="J53" i="30" s="1"/>
  <c r="U57" i="30"/>
  <c r="V53" i="30" a="1"/>
  <c r="V53" i="30" s="1"/>
  <c r="U72" i="30"/>
  <c r="U74" i="30"/>
  <c r="O37" i="30"/>
  <c r="P9" i="30" a="1"/>
  <c r="P9" i="30" s="1"/>
  <c r="P34" i="30" a="1"/>
  <c r="P34" i="30" s="1"/>
  <c r="G54" i="30" a="1"/>
  <c r="G54" i="30" s="1"/>
  <c r="M54" i="30" a="1"/>
  <c r="M54" i="30" s="1"/>
  <c r="G31" i="30" a="1"/>
  <c r="G31" i="30" s="1"/>
  <c r="M31" i="30" a="1"/>
  <c r="M31" i="30" s="1"/>
  <c r="P6" i="30" a="1"/>
  <c r="P6" i="30" s="1"/>
  <c r="P39" i="30" a="1"/>
  <c r="P39" i="30" s="1"/>
  <c r="V15" i="30" a="1"/>
  <c r="V15" i="30" s="1"/>
  <c r="R30" i="30"/>
  <c r="L30" i="30"/>
  <c r="R6" i="30"/>
  <c r="L6" i="30"/>
  <c r="J9" i="30" a="1"/>
  <c r="J9" i="30" s="1"/>
  <c r="J7" i="30" a="1"/>
  <c r="J7" i="30" s="1"/>
  <c r="J10" i="30" a="1"/>
  <c r="J10" i="30" s="1"/>
  <c r="S13" i="30" a="1"/>
  <c r="S13" i="30" s="1"/>
  <c r="U19" i="30"/>
  <c r="J21" i="30" a="1"/>
  <c r="J21" i="30" s="1"/>
  <c r="U39" i="30"/>
  <c r="U30" i="30"/>
  <c r="V39" i="30" a="1"/>
  <c r="V39" i="30" s="1"/>
  <c r="G50" i="30" a="1"/>
  <c r="G50" i="30" s="1"/>
  <c r="M50" i="30" a="1"/>
  <c r="M50" i="30" s="1"/>
  <c r="V58" i="30" a="1"/>
  <c r="V58" i="30" s="1"/>
  <c r="U79" i="30"/>
  <c r="U75" i="30"/>
  <c r="V56" i="30" a="1"/>
  <c r="V56" i="30" s="1"/>
  <c r="O19" i="30"/>
  <c r="P35" i="30" a="1"/>
  <c r="P35" i="30" s="1"/>
  <c r="R21" i="30"/>
  <c r="L21" i="30"/>
  <c r="U53" i="30"/>
  <c r="G11" i="30" a="1"/>
  <c r="G11" i="30" s="1"/>
  <c r="M11" i="30" a="1"/>
  <c r="M11" i="30" s="1"/>
  <c r="G16" i="30" a="1"/>
  <c r="G16" i="30" s="1"/>
  <c r="M16" i="30" a="1"/>
  <c r="M16" i="30" s="1"/>
  <c r="G19" i="30" a="1"/>
  <c r="G19" i="30" s="1"/>
  <c r="M19" i="30" a="1"/>
  <c r="M19" i="30" s="1"/>
  <c r="V20" i="30" a="1"/>
  <c r="V20" i="30" s="1"/>
  <c r="U22" i="30"/>
  <c r="G30" i="30" a="1"/>
  <c r="G30" i="30" s="1"/>
  <c r="M30" i="30" a="1"/>
  <c r="M30" i="30" s="1"/>
  <c r="J34" i="30" a="1"/>
  <c r="J34" i="30" s="1"/>
  <c r="U44" i="30"/>
  <c r="J38" i="30" a="1"/>
  <c r="J38" i="30" s="1"/>
  <c r="R35" i="30"/>
  <c r="L35" i="30"/>
  <c r="J37" i="30" a="1"/>
  <c r="J37" i="30" s="1"/>
  <c r="V47" i="30" a="1"/>
  <c r="V47" i="30" s="1"/>
  <c r="U58" i="30"/>
  <c r="V54" i="30" a="1"/>
  <c r="V54" i="30" s="1"/>
  <c r="U34" i="30"/>
  <c r="P31" i="30" a="1"/>
  <c r="P31" i="30" s="1"/>
  <c r="P37" i="30" a="1"/>
  <c r="P37" i="30" s="1"/>
  <c r="G9" i="30" a="1"/>
  <c r="G9" i="30" s="1"/>
  <c r="M9" i="30" a="1"/>
  <c r="M9" i="30" s="1"/>
  <c r="J54" i="30" a="1"/>
  <c r="J54" i="30" s="1"/>
  <c r="G36" i="30" a="1"/>
  <c r="G36" i="30" s="1"/>
  <c r="M36" i="30" a="1"/>
  <c r="M36" i="30" s="1"/>
  <c r="R51" i="30"/>
  <c r="L51" i="30"/>
  <c r="G74" i="30" a="1"/>
  <c r="G74" i="30" s="1"/>
  <c r="M74" i="30" a="1"/>
  <c r="M74" i="30" s="1"/>
  <c r="R53" i="30"/>
  <c r="L53" i="30"/>
  <c r="S10" i="30" a="1"/>
  <c r="S10" i="30" s="1"/>
  <c r="R10" i="30"/>
  <c r="L10" i="30"/>
  <c r="R7" i="30"/>
  <c r="L7" i="30"/>
  <c r="R16" i="30"/>
  <c r="L16" i="30"/>
  <c r="V24" i="30" a="1"/>
  <c r="V24" i="30" s="1"/>
  <c r="J29" i="30" a="1"/>
  <c r="J29" i="30" s="1"/>
  <c r="J30" i="30" a="1"/>
  <c r="J30" i="30" s="1"/>
  <c r="U37" i="30"/>
  <c r="G51" i="30" a="1"/>
  <c r="G51" i="30" s="1"/>
  <c r="M51" i="30" a="1"/>
  <c r="M51" i="30" s="1"/>
  <c r="O38" i="30"/>
  <c r="O6" i="30"/>
  <c r="P11" i="30" a="1"/>
  <c r="P11" i="30" s="1"/>
  <c r="R50" i="30"/>
  <c r="L50" i="30"/>
  <c r="V41" i="30" a="1"/>
  <c r="V41" i="30" s="1"/>
  <c r="P13" i="30" a="1"/>
  <c r="P13" i="30" s="1"/>
  <c r="G7" i="30" a="1"/>
  <c r="G7" i="30" s="1"/>
  <c r="M7" i="30" a="1"/>
  <c r="M7" i="30" s="1"/>
  <c r="J11" i="30" a="1"/>
  <c r="J11" i="30" s="1"/>
  <c r="G29" i="30" a="1"/>
  <c r="G29" i="30" s="1"/>
  <c r="M29" i="30" a="1"/>
  <c r="M29" i="30" s="1"/>
  <c r="U41" i="30"/>
  <c r="G37" i="30" a="1"/>
  <c r="G37" i="30" s="1"/>
  <c r="M37" i="30" a="1"/>
  <c r="M37" i="30" s="1"/>
  <c r="J50" i="30" a="1"/>
  <c r="J50" i="30" s="1"/>
  <c r="O50" i="30"/>
  <c r="V6" i="30" a="1"/>
  <c r="V6" i="30" s="1"/>
  <c r="G10" i="30" a="1"/>
  <c r="G10" i="30" s="1"/>
  <c r="M10" i="30" a="1"/>
  <c r="M10" i="30" s="1"/>
  <c r="U9" i="30"/>
  <c r="V13" i="30" a="1"/>
  <c r="V13" i="30" s="1"/>
  <c r="S15" i="30" a="1"/>
  <c r="S15" i="30" s="1"/>
  <c r="S19" i="30" a="1"/>
  <c r="S19" i="30" s="1"/>
  <c r="V26" i="30" a="1"/>
  <c r="V26" i="30" s="1"/>
  <c r="S20" i="30" a="1"/>
  <c r="S20" i="30" s="1"/>
  <c r="R20" i="30"/>
  <c r="L20" i="30"/>
  <c r="V25" i="30" a="1"/>
  <c r="V25" i="30" s="1"/>
  <c r="U35" i="30"/>
  <c r="G35" i="30" a="1"/>
  <c r="G35" i="30" s="1"/>
  <c r="M35" i="30" a="1"/>
  <c r="M35" i="30" s="1"/>
  <c r="G39" i="30" a="1"/>
  <c r="G39" i="30" s="1"/>
  <c r="M39" i="30" a="1"/>
  <c r="M39" i="30" s="1"/>
  <c r="R36" i="30"/>
  <c r="L36" i="30"/>
  <c r="U51" i="30"/>
  <c r="S51" i="30" a="1"/>
  <c r="S51" i="30" s="1"/>
  <c r="U55" i="30"/>
  <c r="U54" i="30"/>
  <c r="U56" i="30"/>
  <c r="S74" i="30" a="1"/>
  <c r="S74" i="30" s="1"/>
  <c r="J74" i="30" a="1"/>
  <c r="J74" i="30" s="1"/>
  <c r="U78" i="30"/>
  <c r="O16" i="30"/>
  <c r="O30" i="30"/>
  <c r="J16" i="30" a="1"/>
  <c r="J16" i="30" s="1"/>
  <c r="G21" i="30" a="1"/>
  <c r="G21" i="30" s="1"/>
  <c r="M21" i="30" a="1"/>
  <c r="M21" i="30" s="1"/>
  <c r="J35" i="30" a="1"/>
  <c r="J35" i="30" s="1"/>
  <c r="U43" i="30"/>
  <c r="R9" i="30"/>
  <c r="L9" i="30"/>
  <c r="R13" i="30"/>
  <c r="L13" i="30"/>
  <c r="R11" i="30"/>
  <c r="L11" i="30"/>
  <c r="J15" i="30" a="1"/>
  <c r="J15" i="30" s="1"/>
  <c r="J19" i="30" a="1"/>
  <c r="J19" i="30" s="1"/>
  <c r="V19" i="30" a="1"/>
  <c r="V19" i="30" s="1"/>
  <c r="U25" i="30"/>
  <c r="V27" i="30" a="1"/>
  <c r="V27" i="30" s="1"/>
  <c r="U33" i="30"/>
  <c r="R34" i="30"/>
  <c r="L34" i="30"/>
  <c r="V35" i="30" a="1"/>
  <c r="V35" i="30" s="1"/>
  <c r="G53" i="30" a="1"/>
  <c r="G53" i="30" s="1"/>
  <c r="M53" i="30" a="1"/>
  <c r="M53" i="30" s="1"/>
  <c r="U73" i="30"/>
  <c r="U49" i="30"/>
  <c r="O35" i="30"/>
  <c r="O15" i="30"/>
  <c r="O54" i="30"/>
  <c r="O20" i="30"/>
  <c r="P53" i="30" a="1"/>
  <c r="P53" i="30" s="1"/>
  <c r="P29" i="30" a="1"/>
  <c r="P29" i="30" s="1"/>
  <c r="P74" i="30" a="1"/>
  <c r="P74" i="30" s="1"/>
  <c r="S27" i="30" a="1"/>
  <c r="S27" i="30" s="1"/>
  <c r="S28" i="30" a="1"/>
  <c r="S28" i="30" s="1"/>
  <c r="S60" i="30" a="1"/>
  <c r="S60" i="30" s="1"/>
  <c r="S73" i="30" a="1"/>
  <c r="S73" i="30" s="1"/>
  <c r="S42" i="30" a="1"/>
  <c r="S42" i="30" s="1"/>
  <c r="S41" i="30" a="1"/>
  <c r="S41" i="30" s="1"/>
  <c r="L72" i="30"/>
  <c r="S59" i="30" a="1"/>
  <c r="S59" i="30" s="1"/>
  <c r="S77" i="30" a="1"/>
  <c r="S77" i="30" s="1"/>
  <c r="P77" i="30" a="1"/>
  <c r="P77" i="30" s="1"/>
  <c r="R60" i="30"/>
  <c r="S72" i="30" a="1"/>
  <c r="S72" i="30" s="1"/>
  <c r="J43" i="30" a="1"/>
  <c r="J43" i="30" s="1"/>
  <c r="J22" i="30" a="1"/>
  <c r="J22" i="30" s="1"/>
  <c r="S24" i="30" a="1"/>
  <c r="S24" i="30" s="1"/>
  <c r="S26" i="30" a="1"/>
  <c r="S26" i="30" s="1"/>
  <c r="S22" i="30" a="1"/>
  <c r="S22" i="30" s="1"/>
  <c r="S25" i="30" a="1"/>
  <c r="S25" i="30" s="1"/>
  <c r="S32" i="30" a="1"/>
  <c r="S32" i="30" s="1"/>
  <c r="S44" i="30" a="1"/>
  <c r="S44" i="30" s="1"/>
  <c r="J40" i="30" a="1"/>
  <c r="J40" i="30" s="1"/>
  <c r="J32" i="30" a="1"/>
  <c r="J32" i="30" s="1"/>
  <c r="S33" i="30" a="1"/>
  <c r="S33" i="30" s="1"/>
  <c r="R49" i="30"/>
  <c r="L49" i="30"/>
  <c r="G56" i="30" a="1"/>
  <c r="G56" i="30" s="1"/>
  <c r="M56" i="30" a="1"/>
  <c r="M56" i="30" s="1"/>
  <c r="S79" i="30" a="1"/>
  <c r="S79" i="30" s="1"/>
  <c r="S75" i="30" a="1"/>
  <c r="S75" i="30" s="1"/>
  <c r="J79" i="30" a="1"/>
  <c r="J79" i="30" s="1"/>
  <c r="O49" i="30"/>
  <c r="R72" i="30"/>
  <c r="P75" i="30" a="1"/>
  <c r="P75" i="30" s="1"/>
  <c r="P33" i="30" a="1"/>
  <c r="P33" i="30" s="1"/>
  <c r="G23" i="30" a="1"/>
  <c r="G23" i="30" s="1"/>
  <c r="M23" i="30" a="1"/>
  <c r="M23" i="30" s="1"/>
  <c r="J27" i="30" a="1"/>
  <c r="J27" i="30" s="1"/>
  <c r="I40" i="30"/>
  <c r="S40" i="30" a="1"/>
  <c r="S40" i="30" s="1"/>
  <c r="R33" i="30"/>
  <c r="L33" i="30"/>
  <c r="J45" i="30" a="1"/>
  <c r="J45" i="30" s="1"/>
  <c r="R47" i="30"/>
  <c r="L47" i="30"/>
  <c r="S45" i="30" a="1"/>
  <c r="S45" i="30" s="1"/>
  <c r="L45" i="30"/>
  <c r="J59" i="30" a="1"/>
  <c r="J59" i="30" s="1"/>
  <c r="R55" i="30"/>
  <c r="L55" i="30"/>
  <c r="S76" i="30" a="1"/>
  <c r="S76" i="30" s="1"/>
  <c r="R76" i="30"/>
  <c r="L76" i="30"/>
  <c r="J72" i="30" a="1"/>
  <c r="J72" i="30" s="1"/>
  <c r="P42" i="30" a="1"/>
  <c r="P42" i="30" s="1"/>
  <c r="P73" i="30" a="1"/>
  <c r="P73" i="30" s="1"/>
  <c r="R41" i="30"/>
  <c r="L41" i="30"/>
  <c r="I59" i="30"/>
  <c r="G55" i="30" a="1"/>
  <c r="G55" i="30" s="1"/>
  <c r="M55" i="30" a="1"/>
  <c r="M55" i="30" s="1"/>
  <c r="I77" i="30"/>
  <c r="J75" i="30" a="1"/>
  <c r="J75" i="30" s="1"/>
  <c r="I72" i="30"/>
  <c r="I78" i="30"/>
  <c r="J78" i="30" a="1"/>
  <c r="J78" i="30" s="1"/>
  <c r="R45" i="30"/>
  <c r="O55" i="30"/>
  <c r="G25" i="30" a="1"/>
  <c r="G25" i="30" s="1"/>
  <c r="M25" i="30" a="1"/>
  <c r="M25" i="30" s="1"/>
  <c r="I27" i="30"/>
  <c r="R32" i="30"/>
  <c r="L32" i="30"/>
  <c r="R25" i="30"/>
  <c r="L25" i="30"/>
  <c r="I41" i="30"/>
  <c r="I23" i="30"/>
  <c r="S23" i="30" a="1"/>
  <c r="S23" i="30" s="1"/>
  <c r="I24" i="30"/>
  <c r="J23" i="30" a="1"/>
  <c r="J23" i="30" s="1"/>
  <c r="R24" i="30"/>
  <c r="L24" i="30"/>
  <c r="G26" i="30" a="1"/>
  <c r="G26" i="30" s="1"/>
  <c r="M26" i="30" a="1"/>
  <c r="M26" i="30" s="1"/>
  <c r="J28" i="30" a="1"/>
  <c r="J28" i="30" s="1"/>
  <c r="J42" i="30" a="1"/>
  <c r="J42" i="30" s="1"/>
  <c r="R42" i="30"/>
  <c r="L42" i="30"/>
  <c r="J44" i="30" a="1"/>
  <c r="J44" i="30" s="1"/>
  <c r="S58" i="30" a="1"/>
  <c r="S58" i="30" s="1"/>
  <c r="G77" i="30" a="1"/>
  <c r="G77" i="30" s="1"/>
  <c r="M77" i="30" a="1"/>
  <c r="M77" i="30" s="1"/>
  <c r="G73" i="30" a="1"/>
  <c r="G73" i="30" s="1"/>
  <c r="M73" i="30" a="1"/>
  <c r="M73" i="30" s="1"/>
  <c r="R79" i="30"/>
  <c r="L79" i="30"/>
  <c r="O24" i="30"/>
  <c r="P76" i="30" a="1"/>
  <c r="P76" i="30" s="1"/>
  <c r="I76" i="30"/>
  <c r="I22" i="30"/>
  <c r="R28" i="30"/>
  <c r="L28" i="30"/>
  <c r="J41" i="30" a="1"/>
  <c r="J41" i="30" s="1"/>
  <c r="S43" i="30" a="1"/>
  <c r="S43" i="30" s="1"/>
  <c r="I33" i="30"/>
  <c r="I60" i="30"/>
  <c r="J55" i="30" a="1"/>
  <c r="J55" i="30" s="1"/>
  <c r="G57" i="30" a="1"/>
  <c r="G57" i="30" s="1"/>
  <c r="M57" i="30" a="1"/>
  <c r="M57" i="30" s="1"/>
  <c r="R78" i="30"/>
  <c r="L78" i="30"/>
  <c r="G76" i="30" a="1"/>
  <c r="G76" i="30" s="1"/>
  <c r="M76" i="30" a="1"/>
  <c r="M76" i="30" s="1"/>
  <c r="I32" i="30"/>
  <c r="O47" i="30"/>
  <c r="O41" i="30"/>
  <c r="P44" i="30" a="1"/>
  <c r="P44" i="30" s="1"/>
  <c r="R26" i="30"/>
  <c r="L26" i="30"/>
  <c r="J26" i="30" a="1"/>
  <c r="J26" i="30" s="1"/>
  <c r="G24" i="30" a="1"/>
  <c r="G24" i="30" s="1"/>
  <c r="M24" i="30" a="1"/>
  <c r="M24" i="30" s="1"/>
  <c r="G43" i="30" a="1"/>
  <c r="G43" i="30" s="1"/>
  <c r="M43" i="30" a="1"/>
  <c r="M43" i="30" s="1"/>
  <c r="J47" i="30" a="1"/>
  <c r="J47" i="30" s="1"/>
  <c r="S49" i="30" a="1"/>
  <c r="S49" i="30" s="1"/>
  <c r="I45" i="30"/>
  <c r="I57" i="30"/>
  <c r="G58" i="30" a="1"/>
  <c r="G58" i="30" s="1"/>
  <c r="M58" i="30" a="1"/>
  <c r="M58" i="30" s="1"/>
  <c r="I73" i="30"/>
  <c r="R75" i="30"/>
  <c r="L75" i="30"/>
  <c r="I79" i="30"/>
  <c r="O26" i="30"/>
  <c r="O76" i="30"/>
  <c r="O33" i="30"/>
  <c r="P26" i="30" a="1"/>
  <c r="P26" i="30" s="1"/>
  <c r="P49" i="30" a="1"/>
  <c r="P49" i="30" s="1"/>
  <c r="P27" i="30" a="1"/>
  <c r="P27" i="30" s="1"/>
  <c r="P72" i="30" a="1"/>
  <c r="P72" i="30" s="1"/>
  <c r="I47" i="30"/>
  <c r="J49" i="30" a="1"/>
  <c r="J49" i="30" s="1"/>
  <c r="J24" i="30" a="1"/>
  <c r="J24" i="30" s="1"/>
  <c r="R22" i="30"/>
  <c r="L22" i="30"/>
  <c r="R23" i="30"/>
  <c r="L23" i="30"/>
  <c r="J33" i="30" a="1"/>
  <c r="J33" i="30" s="1"/>
  <c r="G32" i="30" a="1"/>
  <c r="G32" i="30" s="1"/>
  <c r="M32" i="30" a="1"/>
  <c r="M32" i="30" s="1"/>
  <c r="I42" i="30"/>
  <c r="S56" i="30" a="1"/>
  <c r="S56" i="30" s="1"/>
  <c r="G59" i="30" a="1"/>
  <c r="G59" i="30" s="1"/>
  <c r="M59" i="30" a="1"/>
  <c r="M59" i="30" s="1"/>
  <c r="J60" i="30" a="1"/>
  <c r="J60" i="30" s="1"/>
  <c r="L60" i="30"/>
  <c r="S78" i="30" a="1"/>
  <c r="S78" i="30" s="1"/>
  <c r="G75" i="30" a="1"/>
  <c r="G75" i="30" s="1"/>
  <c r="M75" i="30" a="1"/>
  <c r="M75" i="30" s="1"/>
  <c r="O45" i="30"/>
  <c r="P79" i="30" a="1"/>
  <c r="P79" i="30" s="1"/>
  <c r="P43" i="30" a="1"/>
  <c r="P43" i="30" s="1"/>
  <c r="P28" i="30" a="1"/>
  <c r="P28" i="30" s="1"/>
  <c r="P60" i="30" a="1"/>
  <c r="P60" i="30" s="1"/>
  <c r="G47" i="30" a="1"/>
  <c r="G47" i="30" s="1"/>
  <c r="M47" i="30" a="1"/>
  <c r="M47" i="30" s="1"/>
  <c r="J56" i="30" a="1"/>
  <c r="J56" i="30" s="1"/>
  <c r="R44" i="30"/>
  <c r="L44" i="30"/>
  <c r="S47" i="30" a="1"/>
  <c r="S47" i="30" s="1"/>
  <c r="R58" i="30"/>
  <c r="L58" i="30"/>
  <c r="G72" i="30" a="1"/>
  <c r="G72" i="30" s="1"/>
  <c r="M72" i="30" a="1"/>
  <c r="M72" i="30" s="1"/>
  <c r="P40" i="30" a="1"/>
  <c r="P40" i="30" s="1"/>
  <c r="P59" i="30" a="1"/>
  <c r="P59" i="30" s="1"/>
  <c r="P58" i="30" a="1"/>
  <c r="P58" i="30" s="1"/>
  <c r="I26" i="30"/>
  <c r="I49" i="30"/>
  <c r="R56" i="30"/>
  <c r="L56" i="30"/>
  <c r="G22" i="30" a="1"/>
  <c r="G22" i="30" s="1"/>
  <c r="M22" i="30" a="1"/>
  <c r="M22" i="30" s="1"/>
  <c r="R43" i="30"/>
  <c r="L43" i="30"/>
  <c r="G42" i="30" a="1"/>
  <c r="G42" i="30" s="1"/>
  <c r="M42" i="30" a="1"/>
  <c r="M42" i="30" s="1"/>
  <c r="G41" i="30" a="1"/>
  <c r="G41" i="30" s="1"/>
  <c r="M41" i="30" a="1"/>
  <c r="M41" i="30" s="1"/>
  <c r="G49" i="30" a="1"/>
  <c r="G49" i="30" s="1"/>
  <c r="M49" i="30" a="1"/>
  <c r="M49" i="30" s="1"/>
  <c r="I56" i="30"/>
  <c r="I58" i="30"/>
  <c r="J58" i="30" a="1"/>
  <c r="J58" i="30" s="1"/>
  <c r="G60" i="30" a="1"/>
  <c r="G60" i="30" s="1"/>
  <c r="M60" i="30" a="1"/>
  <c r="M60" i="30" s="1"/>
  <c r="J73" i="30" a="1"/>
  <c r="J73" i="30" s="1"/>
  <c r="R77" i="30"/>
  <c r="L77" i="30"/>
  <c r="O72" i="30"/>
  <c r="O79" i="30"/>
  <c r="O60" i="30"/>
  <c r="P24" i="30" a="1"/>
  <c r="P24" i="30" s="1"/>
  <c r="P45" i="30" a="1"/>
  <c r="P45" i="30" s="1"/>
  <c r="P78" i="30" a="1"/>
  <c r="P78" i="30" s="1"/>
  <c r="P56" i="30" a="1"/>
  <c r="P56" i="30" s="1"/>
  <c r="R27" i="30"/>
  <c r="L27" i="30"/>
  <c r="I44" i="30"/>
  <c r="J57" i="30" a="1"/>
  <c r="J57" i="30" s="1"/>
  <c r="I55" i="30"/>
  <c r="I75" i="30"/>
  <c r="G79" i="30" a="1"/>
  <c r="G79" i="30" s="1"/>
  <c r="M79" i="30" a="1"/>
  <c r="M79" i="30" s="1"/>
  <c r="J25" i="30" a="1"/>
  <c r="J25" i="30" s="1"/>
  <c r="G44" i="30" a="1"/>
  <c r="G44" i="30" s="1"/>
  <c r="M44" i="30" a="1"/>
  <c r="M44" i="30" s="1"/>
  <c r="G40" i="30" a="1"/>
  <c r="G40" i="30" s="1"/>
  <c r="M40" i="30" a="1"/>
  <c r="M40" i="30" s="1"/>
  <c r="I28" i="30"/>
  <c r="I25" i="30"/>
  <c r="G33" i="30" a="1"/>
  <c r="G33" i="30" s="1"/>
  <c r="M33" i="30" a="1"/>
  <c r="M33" i="30" s="1"/>
  <c r="G27" i="30" a="1"/>
  <c r="G27" i="30" s="1"/>
  <c r="M27" i="30" a="1"/>
  <c r="M27" i="30" s="1"/>
  <c r="I43" i="30"/>
  <c r="G28" i="30" a="1"/>
  <c r="G28" i="30" s="1"/>
  <c r="M28" i="30" a="1"/>
  <c r="M28" i="30" s="1"/>
  <c r="R40" i="30"/>
  <c r="L40" i="30"/>
  <c r="G45" i="30" a="1"/>
  <c r="G45" i="30" s="1"/>
  <c r="M45" i="30" a="1"/>
  <c r="M45" i="30" s="1"/>
  <c r="S55" i="30" a="1"/>
  <c r="S55" i="30" s="1"/>
  <c r="S57" i="30" a="1"/>
  <c r="S57" i="30" s="1"/>
  <c r="R59" i="30"/>
  <c r="L59" i="30"/>
  <c r="R73" i="30"/>
  <c r="L73" i="30"/>
  <c r="J77" i="30" a="1"/>
  <c r="J77" i="30" s="1"/>
  <c r="J76" i="30" a="1"/>
  <c r="J76" i="30" s="1"/>
  <c r="G78" i="30" a="1"/>
  <c r="G78" i="30" s="1"/>
  <c r="M78" i="30" a="1"/>
  <c r="M78" i="30" s="1"/>
  <c r="R57" i="30"/>
  <c r="L57" i="30"/>
  <c r="O25" i="30"/>
  <c r="O32" i="30"/>
  <c r="P22" i="30" a="1"/>
  <c r="P22" i="30" s="1"/>
  <c r="P32" i="30" a="1"/>
  <c r="P32" i="30" s="1"/>
  <c r="P55" i="30" a="1"/>
  <c r="P55" i="30" s="1"/>
  <c r="P41" i="30" a="1"/>
  <c r="P41" i="30" s="1"/>
  <c r="H74" i="2" a="1"/>
  <c r="H144" i="2" a="1"/>
  <c r="H104" i="2" a="1"/>
  <c r="H151" i="2" a="1"/>
  <c r="H89" i="2" a="1"/>
  <c r="H157" i="2" a="1"/>
  <c r="H91" i="2" a="1"/>
  <c r="H72" i="2" a="1"/>
  <c r="H66" i="2" a="1"/>
  <c r="H511" i="2" a="1"/>
  <c r="H435" i="2" a="1"/>
  <c r="H454" i="2" a="1"/>
  <c r="H92" i="2" a="1"/>
  <c r="H302" i="2" a="1"/>
  <c r="H140" i="2" a="1"/>
  <c r="H148" i="2" a="1"/>
  <c r="H457" i="2" a="1"/>
  <c r="H123" i="2" a="1"/>
  <c r="H293" i="2" a="1"/>
  <c r="H212" i="2" a="1"/>
  <c r="H434" i="2" a="1"/>
  <c r="H134" i="2" a="1"/>
  <c r="H64" i="2" a="1"/>
  <c r="H436" i="2" a="1"/>
  <c r="H101" i="2" a="1"/>
  <c r="H486" i="2" a="1"/>
  <c r="H211" i="2" a="1"/>
  <c r="H300" i="2" a="1"/>
  <c r="H149" i="2" a="1"/>
  <c r="H85" i="2" a="1"/>
  <c r="H433" i="2" a="1"/>
  <c r="H108" i="2" a="1"/>
  <c r="H318" i="2" a="1"/>
  <c r="H324" i="2" a="1"/>
  <c r="H62" i="2" a="1"/>
  <c r="H129" i="2" a="1"/>
  <c r="H95" i="2" a="1"/>
  <c r="H202" i="2" a="1"/>
  <c r="H515" i="2" a="1"/>
  <c r="H156" i="2" a="1"/>
  <c r="H71" i="2" a="1"/>
  <c r="H316" i="2" a="1"/>
  <c r="H119" i="2" a="1"/>
  <c r="H128" i="2" a="1"/>
  <c r="H110" i="2" a="1"/>
  <c r="H69" i="2" a="1"/>
  <c r="H90" i="2" a="1"/>
  <c r="H75" i="2" a="1"/>
  <c r="H326" i="2" a="1"/>
  <c r="H120" i="2" a="1"/>
  <c r="H111" i="2" a="1"/>
  <c r="H67" i="2" a="1"/>
  <c r="H81" i="2" a="1"/>
  <c r="H65" i="2" a="1"/>
  <c r="H455" i="2" a="1"/>
  <c r="H514" i="2" a="1"/>
  <c r="H63" i="2" a="1"/>
  <c r="H124" i="2" a="1"/>
  <c r="H152" i="2" a="1"/>
  <c r="H223" i="2" a="1"/>
  <c r="H117" i="2" a="1"/>
  <c r="H327" i="2" a="1"/>
  <c r="H103" i="2" a="1"/>
  <c r="H241" i="2" a="1"/>
  <c r="H68" i="2" a="1"/>
  <c r="H121" i="2" a="1"/>
  <c r="H136" i="2" a="1"/>
  <c r="H130" i="2" a="1"/>
  <c r="H203" i="2" a="1"/>
  <c r="H137" i="2" a="1"/>
  <c r="H284" i="2" a="1"/>
  <c r="H512" i="2" a="1"/>
  <c r="H322" i="2" a="1"/>
  <c r="H100" i="2" a="1"/>
  <c r="H73" i="2" a="1"/>
  <c r="H154" i="2" a="1"/>
  <c r="H456" i="2" a="1"/>
  <c r="H53" i="2" a="1"/>
  <c r="H84" i="2" a="1"/>
  <c r="H60" i="2" a="1"/>
  <c r="H437" i="2" a="1"/>
  <c r="H158" i="2" a="1"/>
  <c r="H303" i="2" a="1"/>
  <c r="H132" i="2" a="1"/>
  <c r="H458" i="2" a="1"/>
  <c r="H83" i="2" a="1"/>
  <c r="H126" i="2" a="1"/>
  <c r="H147" i="2" a="1"/>
  <c r="H139" i="2" a="1"/>
  <c r="H118" i="2" a="1"/>
  <c r="H93" i="2" a="1"/>
  <c r="H70" i="2" a="1"/>
  <c r="H82" i="2" a="1"/>
  <c r="H54" i="2" a="1"/>
  <c r="H321" i="2" a="1"/>
  <c r="H112" i="2" a="1"/>
  <c r="H109" i="2" a="1"/>
  <c r="H143" i="2" a="1"/>
  <c r="H133" i="2" a="1"/>
  <c r="H462" i="2" a="1"/>
  <c r="H314" i="2" a="1"/>
  <c r="H96" i="2" a="1"/>
  <c r="H325" i="2" a="1"/>
  <c r="H153" i="2" a="1"/>
  <c r="H296" i="2" a="1"/>
  <c r="H462" i="2" l="1"/>
  <c r="I462" i="2" s="1"/>
  <c r="H70" i="2"/>
  <c r="H458" i="2"/>
  <c r="I458" i="2" s="1"/>
  <c r="H53" i="2"/>
  <c r="I53" i="2" s="1"/>
  <c r="J53" i="2" s="1"/>
  <c r="AF53" i="1" s="1"/>
  <c r="H284" i="2"/>
  <c r="H241" i="2"/>
  <c r="H514" i="2"/>
  <c r="I514" i="2" s="1"/>
  <c r="J514" i="2" s="1"/>
  <c r="Y67" i="1" s="1"/>
  <c r="H75" i="2"/>
  <c r="H71" i="2"/>
  <c r="H324" i="2"/>
  <c r="H486" i="2"/>
  <c r="I486" i="2" s="1"/>
  <c r="J486" i="2" s="1"/>
  <c r="H293" i="2"/>
  <c r="H511" i="2"/>
  <c r="I511" i="2" s="1"/>
  <c r="J511" i="2" s="1"/>
  <c r="H74" i="2"/>
  <c r="H54" i="2"/>
  <c r="I54" i="2" s="1"/>
  <c r="J54" i="2" s="1"/>
  <c r="AF171" i="1" s="1"/>
  <c r="H126" i="2"/>
  <c r="H60" i="2"/>
  <c r="H322" i="2"/>
  <c r="H121" i="2"/>
  <c r="H124" i="2"/>
  <c r="H120" i="2"/>
  <c r="H119" i="2"/>
  <c r="H129" i="2"/>
  <c r="H300" i="2"/>
  <c r="H434" i="2"/>
  <c r="J434" i="2" s="1"/>
  <c r="AJ307" i="1" s="1"/>
  <c r="AI307" i="1" s="1"/>
  <c r="H454" i="2"/>
  <c r="H104" i="2"/>
  <c r="H103" i="2"/>
  <c r="H72" i="2"/>
  <c r="H314" i="2"/>
  <c r="H82" i="2"/>
  <c r="H83" i="2"/>
  <c r="H84" i="2"/>
  <c r="H512" i="2"/>
  <c r="I512" i="2" s="1"/>
  <c r="J512" i="2" s="1"/>
  <c r="AJ55" i="1" s="1"/>
  <c r="AI55" i="1" s="1"/>
  <c r="AH55" i="1" s="1"/>
  <c r="AI12" i="61" s="1"/>
  <c r="H68" i="2"/>
  <c r="H63" i="2"/>
  <c r="H326" i="2"/>
  <c r="H316" i="2"/>
  <c r="H62" i="2"/>
  <c r="H211" i="2"/>
  <c r="H212" i="2"/>
  <c r="H435" i="2"/>
  <c r="I435" i="2" s="1"/>
  <c r="J435" i="2" s="1"/>
  <c r="AF308" i="1" s="1"/>
  <c r="H144" i="2"/>
  <c r="H66" i="2"/>
  <c r="H318" i="2"/>
  <c r="V3" i="30"/>
  <c r="S3" i="30"/>
  <c r="U3" i="30"/>
  <c r="R3" i="30"/>
  <c r="X407" i="1"/>
  <c r="Z61" i="61" s="1"/>
  <c r="X408" i="1"/>
  <c r="AA61" i="61" s="1"/>
  <c r="X406" i="1"/>
  <c r="X419" i="1"/>
  <c r="X421" i="1"/>
  <c r="AA62" i="61" s="1"/>
  <c r="X420" i="1"/>
  <c r="Z62" i="61" s="1"/>
  <c r="AJ501" i="1"/>
  <c r="AI501" i="1" s="1"/>
  <c r="AH498" i="1" s="1"/>
  <c r="AJ466" i="1"/>
  <c r="AJ26" i="1"/>
  <c r="AI26" i="1" s="1"/>
  <c r="AH28" i="1" s="1"/>
  <c r="AK5" i="61" s="1"/>
  <c r="Y26" i="1"/>
  <c r="Y386" i="1"/>
  <c r="H515" i="2"/>
  <c r="I515" i="2" s="1"/>
  <c r="J515" i="2" s="1"/>
  <c r="I426" i="2"/>
  <c r="J426" i="2" s="1"/>
  <c r="I411" i="2"/>
  <c r="J411" i="2" s="1"/>
  <c r="H433" i="2"/>
  <c r="I433" i="2" s="1"/>
  <c r="J433" i="2" s="1"/>
  <c r="H436" i="2"/>
  <c r="I436" i="2" s="1"/>
  <c r="J436" i="2" s="1"/>
  <c r="H437" i="2"/>
  <c r="I437" i="2" s="1"/>
  <c r="J437" i="2" s="1"/>
  <c r="H90" i="2"/>
  <c r="I90" i="2" s="1"/>
  <c r="J90" i="2" s="1"/>
  <c r="H457" i="2"/>
  <c r="I457" i="2" s="1"/>
  <c r="H96" i="2"/>
  <c r="H456" i="2"/>
  <c r="I456" i="2" s="1"/>
  <c r="J456" i="2" s="1"/>
  <c r="H455" i="2"/>
  <c r="I455" i="2" s="1"/>
  <c r="J455" i="2" s="1"/>
  <c r="H147" i="2"/>
  <c r="H109" i="2"/>
  <c r="H108" i="2"/>
  <c r="H73" i="2"/>
  <c r="H100" i="2"/>
  <c r="H101" i="2"/>
  <c r="H93" i="2"/>
  <c r="H91" i="2"/>
  <c r="H92" i="2"/>
  <c r="H95" i="2"/>
  <c r="H69" i="2"/>
  <c r="H65" i="2"/>
  <c r="H64" i="2"/>
  <c r="H202" i="2"/>
  <c r="H203" i="2"/>
  <c r="H67" i="2"/>
  <c r="H156" i="2"/>
  <c r="H117" i="2"/>
  <c r="H223" i="2"/>
  <c r="H136" i="2"/>
  <c r="H143" i="2"/>
  <c r="H137" i="2"/>
  <c r="H151" i="2"/>
  <c r="H302" i="2"/>
  <c r="H327" i="2"/>
  <c r="H325" i="2"/>
  <c r="H321" i="2"/>
  <c r="H303" i="2"/>
  <c r="H296" i="2"/>
  <c r="H158" i="2"/>
  <c r="H157" i="2"/>
  <c r="H154" i="2"/>
  <c r="H153" i="2"/>
  <c r="H152" i="2"/>
  <c r="H149" i="2"/>
  <c r="H148" i="2"/>
  <c r="H140" i="2"/>
  <c r="H139" i="2"/>
  <c r="H134" i="2"/>
  <c r="H133" i="2"/>
  <c r="H132" i="2"/>
  <c r="H130" i="2"/>
  <c r="H128" i="2"/>
  <c r="H123" i="2"/>
  <c r="H118" i="2"/>
  <c r="H112" i="2"/>
  <c r="H111" i="2"/>
  <c r="H110" i="2"/>
  <c r="H89" i="2"/>
  <c r="H85" i="2"/>
  <c r="H81" i="2"/>
  <c r="Z62" i="59" l="1"/>
  <c r="AI12" i="59"/>
  <c r="AA62" i="59"/>
  <c r="AK5" i="59"/>
  <c r="AA61" i="59"/>
  <c r="Z61" i="59"/>
  <c r="Y246" i="1"/>
  <c r="AH26" i="1"/>
  <c r="AI5" i="61" s="1"/>
  <c r="X26" i="1"/>
  <c r="Z5" i="61" s="1"/>
  <c r="X28" i="1"/>
  <c r="AB5" i="61" s="1"/>
  <c r="AH57" i="1"/>
  <c r="AK12" i="61" s="1"/>
  <c r="AH500" i="1"/>
  <c r="AJ67" i="61" s="1"/>
  <c r="AH499" i="1"/>
  <c r="AI67" i="61" s="1"/>
  <c r="AJ67" i="1"/>
  <c r="AI67" i="1" s="1"/>
  <c r="AH67" i="1" s="1"/>
  <c r="AI15" i="61" s="1"/>
  <c r="Y55" i="1"/>
  <c r="Y121" i="1"/>
  <c r="Y338" i="1"/>
  <c r="X67" i="1"/>
  <c r="Z15" i="61" s="1"/>
  <c r="AC348" i="1"/>
  <c r="AB348" i="1" s="1"/>
  <c r="AA350" i="1" s="1"/>
  <c r="AE57" i="61" s="1"/>
  <c r="AC308" i="1"/>
  <c r="AA307" i="1" s="1"/>
  <c r="AC50" i="61" s="1"/>
  <c r="AC328" i="1"/>
  <c r="AA327" i="1" s="1"/>
  <c r="AC54" i="61" s="1"/>
  <c r="AI67" i="59" l="1"/>
  <c r="AK12" i="59"/>
  <c r="AB5" i="59"/>
  <c r="AJ67" i="59"/>
  <c r="AC54" i="59"/>
  <c r="Z5" i="59"/>
  <c r="AC50" i="59"/>
  <c r="AI5" i="59"/>
  <c r="Z15" i="59"/>
  <c r="AI15" i="59"/>
  <c r="AE57" i="59"/>
  <c r="X241" i="1"/>
  <c r="AA43" i="61" s="1"/>
  <c r="X242" i="1"/>
  <c r="AB43" i="61" s="1"/>
  <c r="X240" i="1"/>
  <c r="Z43" i="61" s="1"/>
  <c r="X55" i="1"/>
  <c r="Z12" i="61" s="1"/>
  <c r="AA348" i="1"/>
  <c r="AC57" i="61" s="1"/>
  <c r="AB328" i="1"/>
  <c r="AB308" i="1"/>
  <c r="AB43" i="59" l="1"/>
  <c r="AA43" i="59"/>
  <c r="AC57" i="59"/>
  <c r="Z12" i="59"/>
  <c r="Z43" i="59"/>
  <c r="AM544" i="1"/>
  <c r="AB345" i="1" l="1"/>
  <c r="AA347" i="1" s="1"/>
  <c r="AE56" i="59" l="1"/>
  <c r="U299" i="1"/>
  <c r="U257" i="1"/>
  <c r="U241" i="1"/>
  <c r="U134" i="1"/>
  <c r="U133" i="1"/>
  <c r="U132" i="1"/>
  <c r="U124" i="1"/>
  <c r="U116" i="1"/>
  <c r="U117" i="1"/>
  <c r="U118" i="1"/>
  <c r="U113" i="1"/>
  <c r="U102" i="1"/>
  <c r="AE2" i="30" l="1"/>
  <c r="AE240" i="1" l="1"/>
  <c r="AE241" i="1"/>
  <c r="AS28" i="1" l="1"/>
  <c r="AS37" i="1"/>
  <c r="AS42" i="1"/>
  <c r="AS45" i="1"/>
  <c r="AS50" i="1"/>
  <c r="AS53" i="1"/>
  <c r="AS57" i="1"/>
  <c r="AS64" i="1"/>
  <c r="AS69" i="1"/>
  <c r="AS99" i="1"/>
  <c r="AS147" i="1"/>
  <c r="AS161" i="1"/>
  <c r="AS179" i="1"/>
  <c r="AS187" i="1"/>
  <c r="AS194" i="1"/>
  <c r="AS201" i="1"/>
  <c r="AS210" i="1"/>
  <c r="AS220" i="1"/>
  <c r="AS232" i="1"/>
  <c r="AS238" i="1"/>
  <c r="AS242" i="1"/>
  <c r="AS522" i="1"/>
  <c r="AS533" i="1"/>
  <c r="AP336" i="1"/>
  <c r="AL546" i="1"/>
  <c r="AE114" i="1"/>
  <c r="AE28" i="1"/>
  <c r="AE42" i="1"/>
  <c r="AE50" i="1"/>
  <c r="AE53" i="1"/>
  <c r="AH11" i="61" s="1"/>
  <c r="AE57" i="1"/>
  <c r="AA60" i="1"/>
  <c r="AE64" i="1"/>
  <c r="AE69" i="1"/>
  <c r="AE75" i="1"/>
  <c r="AE78" i="1"/>
  <c r="AE81" i="1"/>
  <c r="AE85" i="1"/>
  <c r="AE89" i="1"/>
  <c r="AE92" i="1"/>
  <c r="AE96" i="1"/>
  <c r="AE99" i="1"/>
  <c r="AE177" i="1"/>
  <c r="AE179" i="1"/>
  <c r="AE185" i="1"/>
  <c r="AE187" i="1"/>
  <c r="AE194" i="1"/>
  <c r="AE220" i="1"/>
  <c r="AE238" i="1"/>
  <c r="AA232" i="1"/>
  <c r="AE288" i="1"/>
  <c r="AE347" i="1"/>
  <c r="AE522" i="1"/>
  <c r="AE537" i="1"/>
  <c r="AE551" i="1"/>
  <c r="X238" i="1"/>
  <c r="X201" i="1"/>
  <c r="X154" i="1"/>
  <c r="X143" i="1"/>
  <c r="X92" i="1"/>
  <c r="X75" i="1"/>
  <c r="X64" i="1"/>
  <c r="X60" i="1"/>
  <c r="X37" i="1"/>
  <c r="U12" i="1"/>
  <c r="U28" i="1"/>
  <c r="U33" i="1"/>
  <c r="U37" i="1"/>
  <c r="U42" i="1"/>
  <c r="U45" i="1"/>
  <c r="U50" i="1"/>
  <c r="U53" i="1"/>
  <c r="U57" i="1"/>
  <c r="U60" i="1"/>
  <c r="U64" i="1"/>
  <c r="U69" i="1"/>
  <c r="U75" i="1"/>
  <c r="U78" i="1"/>
  <c r="U81" i="1"/>
  <c r="U85" i="1"/>
  <c r="U89" i="1"/>
  <c r="U103" i="1"/>
  <c r="U114" i="1"/>
  <c r="U126" i="1"/>
  <c r="U143" i="1"/>
  <c r="U168" i="1"/>
  <c r="U179" i="1"/>
  <c r="U187" i="1"/>
  <c r="U194" i="1"/>
  <c r="U232" i="1"/>
  <c r="X265" i="1"/>
  <c r="U242" i="1"/>
  <c r="U258" i="1"/>
  <c r="X291" i="1"/>
  <c r="U265" i="1"/>
  <c r="U283" i="1"/>
  <c r="U288" i="1"/>
  <c r="U291" i="1"/>
  <c r="X300" i="1"/>
  <c r="U300" i="1"/>
  <c r="U309" i="1"/>
  <c r="X316" i="1"/>
  <c r="U316" i="1"/>
  <c r="U320" i="1"/>
  <c r="X350" i="1"/>
  <c r="U522" i="1"/>
  <c r="U526" i="1"/>
  <c r="U533" i="1"/>
  <c r="U537" i="1"/>
  <c r="U551" i="1"/>
  <c r="R242" i="1"/>
  <c r="R92" i="1"/>
  <c r="L537" i="1"/>
  <c r="L533" i="1"/>
  <c r="L526" i="1"/>
  <c r="L522" i="1"/>
  <c r="L357" i="1"/>
  <c r="L350" i="1"/>
  <c r="L347" i="1"/>
  <c r="L329" i="1"/>
  <c r="L324" i="1"/>
  <c r="L309" i="1"/>
  <c r="L288" i="1"/>
  <c r="L242" i="1"/>
  <c r="L134" i="1"/>
  <c r="L81" i="1"/>
  <c r="L78" i="1"/>
  <c r="L45" i="1"/>
  <c r="L12" i="1"/>
  <c r="F336" i="1"/>
  <c r="F320" i="1"/>
  <c r="F309" i="1"/>
  <c r="C551" i="1"/>
  <c r="C537" i="1"/>
  <c r="C533" i="1"/>
  <c r="C522" i="1"/>
  <c r="C347" i="1"/>
  <c r="C320" i="1"/>
  <c r="C291" i="1"/>
  <c r="C288" i="1"/>
  <c r="C238" i="1"/>
  <c r="C220" i="1"/>
  <c r="C187" i="1"/>
  <c r="C161" i="1"/>
  <c r="C154" i="1"/>
  <c r="C114" i="1"/>
  <c r="C99" i="1"/>
  <c r="C96" i="1"/>
  <c r="C92" i="1"/>
  <c r="C89" i="1"/>
  <c r="C85" i="1"/>
  <c r="C81" i="1"/>
  <c r="C78" i="1"/>
  <c r="C75" i="1"/>
  <c r="C69" i="1"/>
  <c r="C64" i="1"/>
  <c r="C57" i="1"/>
  <c r="C53" i="1"/>
  <c r="C50" i="1"/>
  <c r="C45" i="1"/>
  <c r="C42" i="1"/>
  <c r="C33" i="1"/>
  <c r="C28" i="1"/>
  <c r="G17" i="59" l="1"/>
  <c r="AH11" i="59"/>
  <c r="AH17" i="59"/>
  <c r="AH22" i="59"/>
  <c r="G16" i="59"/>
  <c r="G22" i="59"/>
  <c r="P17" i="59"/>
  <c r="G8" i="59"/>
  <c r="P47" i="59"/>
  <c r="P56" i="59"/>
  <c r="G72" i="59"/>
  <c r="AH16" i="59"/>
  <c r="S2" i="30" l="1"/>
  <c r="I3" i="30" l="1"/>
  <c r="L3" i="30" l="1"/>
  <c r="E188" i="2"/>
  <c r="X264" i="1"/>
  <c r="X263" i="1"/>
  <c r="M3" i="30" l="1"/>
  <c r="M2" i="30"/>
  <c r="AF51" i="2" l="1"/>
  <c r="AF50" i="2"/>
  <c r="AF48" i="2"/>
  <c r="AS542" i="1" l="1"/>
  <c r="AS536" i="1"/>
  <c r="AI237" i="1"/>
  <c r="AI236" i="1"/>
  <c r="AI231" i="1"/>
  <c r="E316" i="2"/>
  <c r="G316" i="2"/>
  <c r="X349" i="1"/>
  <c r="X348" i="1"/>
  <c r="AF350" i="1"/>
  <c r="G314" i="2"/>
  <c r="H40" i="2"/>
  <c r="G327" i="2"/>
  <c r="E326" i="2"/>
  <c r="G326" i="2"/>
  <c r="AE345" i="1"/>
  <c r="G325" i="2"/>
  <c r="J325" i="2" s="1"/>
  <c r="AT327" i="1"/>
  <c r="H39" i="2"/>
  <c r="E324" i="2"/>
  <c r="G324" i="2"/>
  <c r="Y328" i="1"/>
  <c r="AB327" i="1"/>
  <c r="G322" i="2"/>
  <c r="G321" i="2"/>
  <c r="H38" i="2"/>
  <c r="H37" i="2"/>
  <c r="E319" i="2"/>
  <c r="E318" i="2"/>
  <c r="G318" i="2"/>
  <c r="Y323" i="1"/>
  <c r="AC322" i="1"/>
  <c r="AF323" i="1"/>
  <c r="H36" i="2"/>
  <c r="E311" i="2"/>
  <c r="AT324" i="1"/>
  <c r="AU324" i="1" s="1"/>
  <c r="U318" i="1"/>
  <c r="Y318" i="1"/>
  <c r="AB318" i="1"/>
  <c r="AB314" i="1"/>
  <c r="AU315" i="1"/>
  <c r="U314" i="1"/>
  <c r="X314" i="1"/>
  <c r="H35" i="2"/>
  <c r="U307" i="1"/>
  <c r="Y308" i="1"/>
  <c r="E307" i="2"/>
  <c r="J307" i="2" s="1"/>
  <c r="AF329" i="1"/>
  <c r="AF320" i="1"/>
  <c r="AF315" i="1"/>
  <c r="AF310" i="1"/>
  <c r="H34" i="2"/>
  <c r="E304" i="2"/>
  <c r="G303" i="2"/>
  <c r="G302" i="2"/>
  <c r="AB307" i="1"/>
  <c r="AA309" i="1" s="1"/>
  <c r="AE50" i="61" s="1"/>
  <c r="AC345" i="1"/>
  <c r="AA345" i="1" s="1"/>
  <c r="AB335" i="1"/>
  <c r="E301" i="2"/>
  <c r="J301" i="2" s="1"/>
  <c r="D357" i="1"/>
  <c r="D349" i="1"/>
  <c r="D328" i="1"/>
  <c r="D323" i="1"/>
  <c r="D315" i="1"/>
  <c r="D308" i="1"/>
  <c r="D335" i="1"/>
  <c r="E300" i="2"/>
  <c r="G300" i="2"/>
  <c r="AF337" i="1"/>
  <c r="AF322" i="1"/>
  <c r="AF314" i="1"/>
  <c r="AF307" i="1"/>
  <c r="AF353" i="1"/>
  <c r="AF352" i="1"/>
  <c r="AF332" i="1"/>
  <c r="AF331" i="1"/>
  <c r="AF312" i="1"/>
  <c r="AF311" i="1"/>
  <c r="AF325" i="1"/>
  <c r="AF324" i="1"/>
  <c r="AF339" i="1"/>
  <c r="AF338" i="1"/>
  <c r="AF335" i="1"/>
  <c r="AP334" i="1"/>
  <c r="H33" i="2" s="1"/>
  <c r="G296" i="2"/>
  <c r="I296" i="2" s="1"/>
  <c r="E295" i="2"/>
  <c r="AJ102" i="1"/>
  <c r="AF102" i="1"/>
  <c r="AC102" i="1"/>
  <c r="Y102" i="1"/>
  <c r="V102" i="1"/>
  <c r="V334" i="1"/>
  <c r="Y334" i="1"/>
  <c r="AC334" i="1"/>
  <c r="AB334" i="1" s="1"/>
  <c r="AM334" i="1"/>
  <c r="AN334" i="1" s="1"/>
  <c r="AF334" i="1"/>
  <c r="AI334" i="1"/>
  <c r="AJ334" i="1" s="1"/>
  <c r="E293" i="2"/>
  <c r="G293" i="2"/>
  <c r="Y361" i="1"/>
  <c r="J291" i="2"/>
  <c r="AE50" i="59" l="1"/>
  <c r="AS72" i="59"/>
  <c r="AS74" i="59"/>
  <c r="C335" i="1"/>
  <c r="C334" i="1"/>
  <c r="C308" i="1"/>
  <c r="C307" i="1"/>
  <c r="C315" i="1"/>
  <c r="C314" i="1"/>
  <c r="C316" i="1"/>
  <c r="C324" i="1"/>
  <c r="C323" i="1"/>
  <c r="C322" i="1"/>
  <c r="C327" i="1"/>
  <c r="C329" i="1"/>
  <c r="C328" i="1"/>
  <c r="C349" i="1"/>
  <c r="C348" i="1"/>
  <c r="AH238" i="1"/>
  <c r="AE309" i="1"/>
  <c r="AH50" i="61" s="1"/>
  <c r="AE308" i="1"/>
  <c r="AG50" i="61" s="1"/>
  <c r="AE307" i="1"/>
  <c r="AF50" i="61" s="1"/>
  <c r="Y337" i="1"/>
  <c r="Y359" i="1"/>
  <c r="AE336" i="1"/>
  <c r="AC327" i="1"/>
  <c r="AA329" i="1"/>
  <c r="AE54" i="61" s="1"/>
  <c r="AE314" i="1"/>
  <c r="AE316" i="1"/>
  <c r="AC307" i="1"/>
  <c r="AE323" i="1"/>
  <c r="AE324" i="1"/>
  <c r="AC335" i="1"/>
  <c r="AA336" i="1"/>
  <c r="AE319" i="1"/>
  <c r="AE320" i="1"/>
  <c r="AC318" i="1"/>
  <c r="AA318" i="1" s="1"/>
  <c r="AA320" i="1"/>
  <c r="AU327" i="1"/>
  <c r="AS329" i="1"/>
  <c r="AC314" i="1"/>
  <c r="AA314" i="1" s="1"/>
  <c r="AA316" i="1"/>
  <c r="X328" i="1"/>
  <c r="X329" i="1"/>
  <c r="X322" i="1"/>
  <c r="X323" i="1"/>
  <c r="X324" i="1"/>
  <c r="X318" i="1"/>
  <c r="X320" i="1"/>
  <c r="AE349" i="1"/>
  <c r="AE350" i="1"/>
  <c r="X308" i="1"/>
  <c r="X309" i="1"/>
  <c r="C350" i="1"/>
  <c r="J293" i="2"/>
  <c r="X315" i="1"/>
  <c r="C336" i="1"/>
  <c r="C309" i="1"/>
  <c r="AE348" i="1"/>
  <c r="AS327" i="1"/>
  <c r="AE318" i="1"/>
  <c r="AE315" i="1"/>
  <c r="I318" i="2"/>
  <c r="AE322" i="1"/>
  <c r="X327" i="1"/>
  <c r="I324" i="2"/>
  <c r="J324" i="2" s="1"/>
  <c r="AE334" i="1"/>
  <c r="X307" i="1"/>
  <c r="I300" i="2"/>
  <c r="J300" i="2" s="1"/>
  <c r="J302" i="2"/>
  <c r="J303" i="2"/>
  <c r="AE335" i="1"/>
  <c r="AH50" i="59" l="1"/>
  <c r="AE54" i="59"/>
  <c r="AG50" i="59"/>
  <c r="AA51" i="59"/>
  <c r="AF50" i="59"/>
  <c r="X356" i="1"/>
  <c r="X334" i="1"/>
  <c r="X355" i="1"/>
  <c r="X357" i="1"/>
  <c r="X336" i="1"/>
  <c r="AA308" i="1"/>
  <c r="AD50" i="61" s="1"/>
  <c r="AA328" i="1"/>
  <c r="AD54" i="61" s="1"/>
  <c r="X335" i="1"/>
  <c r="AB319" i="1"/>
  <c r="AC319" i="1" s="1"/>
  <c r="V336" i="1"/>
  <c r="AB309" i="1"/>
  <c r="AC309" i="1" s="1"/>
  <c r="V328" i="1"/>
  <c r="V356" i="1"/>
  <c r="X319" i="1"/>
  <c r="J318" i="2"/>
  <c r="F38" i="2"/>
  <c r="G38" i="2" s="1"/>
  <c r="J38" i="2" s="1"/>
  <c r="AA52" i="59" l="1"/>
  <c r="AD54" i="59"/>
  <c r="AD50" i="59"/>
  <c r="U355" i="1"/>
  <c r="W58" i="61" s="1"/>
  <c r="U336" i="1"/>
  <c r="Y55" i="61" s="1"/>
  <c r="U327" i="1"/>
  <c r="W54" i="61" s="1"/>
  <c r="I38" i="2"/>
  <c r="K38" i="2" s="1"/>
  <c r="U357" i="1"/>
  <c r="Y58" i="61" s="1"/>
  <c r="U328" i="1"/>
  <c r="X54" i="61" s="1"/>
  <c r="U329" i="1"/>
  <c r="Y54" i="61" s="1"/>
  <c r="U356" i="1"/>
  <c r="X58" i="61" s="1"/>
  <c r="U335" i="1"/>
  <c r="X55" i="61" s="1"/>
  <c r="U334" i="1"/>
  <c r="W55" i="61" s="1"/>
  <c r="V323" i="1"/>
  <c r="AF357" i="1"/>
  <c r="AF360" i="1"/>
  <c r="AF359" i="1"/>
  <c r="E288" i="2"/>
  <c r="AF355" i="1"/>
  <c r="AP526" i="1"/>
  <c r="Y55" i="59" l="1"/>
  <c r="X54" i="59"/>
  <c r="W58" i="59"/>
  <c r="Y58" i="59"/>
  <c r="X55" i="59"/>
  <c r="X58" i="59"/>
  <c r="W54" i="59"/>
  <c r="W55" i="59"/>
  <c r="Y54" i="59"/>
  <c r="U323" i="1"/>
  <c r="X53" i="61" s="1"/>
  <c r="J320" i="2"/>
  <c r="U322" i="1"/>
  <c r="W53" i="61" s="1"/>
  <c r="U324" i="1"/>
  <c r="Y53" i="61" s="1"/>
  <c r="AT361" i="1"/>
  <c r="AU361" i="1" s="1"/>
  <c r="AQ356" i="1" s="1"/>
  <c r="G355" i="1"/>
  <c r="F355" i="1" s="1"/>
  <c r="F356" i="1" s="1"/>
  <c r="G284" i="2"/>
  <c r="E283" i="2"/>
  <c r="X53" i="59" l="1"/>
  <c r="Y53" i="59"/>
  <c r="I58" i="59"/>
  <c r="W53" i="59"/>
  <c r="AJ327" i="1"/>
  <c r="AI327" i="1" s="1"/>
  <c r="F357" i="1"/>
  <c r="E282" i="2"/>
  <c r="AQ355" i="1"/>
  <c r="AP357" i="1" s="1"/>
  <c r="AT357" i="1"/>
  <c r="AS357" i="1" s="1"/>
  <c r="E280" i="2"/>
  <c r="E279" i="2"/>
  <c r="AI293" i="1"/>
  <c r="AJ286" i="1"/>
  <c r="AI281" i="1"/>
  <c r="AJ281" i="1" s="1"/>
  <c r="AU356" i="1"/>
  <c r="AU323" i="1"/>
  <c r="AT322" i="1"/>
  <c r="AS324" i="1" s="1"/>
  <c r="AT307" i="1"/>
  <c r="AS309" i="1" s="1"/>
  <c r="AT314" i="1"/>
  <c r="AS316" i="1" s="1"/>
  <c r="AT318" i="1"/>
  <c r="AS320" i="1" s="1"/>
  <c r="AT348" i="1"/>
  <c r="AS350" i="1" s="1"/>
  <c r="AT345" i="1"/>
  <c r="AS347" i="1" s="1"/>
  <c r="AU334" i="1"/>
  <c r="AT335" i="1"/>
  <c r="AU336" i="1"/>
  <c r="AI338" i="1"/>
  <c r="AJ338" i="1" s="1"/>
  <c r="U298" i="1"/>
  <c r="X299" i="1"/>
  <c r="X298" i="1"/>
  <c r="AC303" i="1"/>
  <c r="AC302" i="1"/>
  <c r="AB298" i="1"/>
  <c r="AC299" i="1"/>
  <c r="AF305" i="1"/>
  <c r="AF303" i="1"/>
  <c r="G299" i="1"/>
  <c r="E275" i="2"/>
  <c r="AI298" i="1"/>
  <c r="AJ298" i="1" s="1"/>
  <c r="U264" i="1"/>
  <c r="U282" i="1"/>
  <c r="X290" i="1"/>
  <c r="U290" i="1"/>
  <c r="U289" i="1"/>
  <c r="X289" i="1"/>
  <c r="AF292" i="1"/>
  <c r="AF284" i="1"/>
  <c r="H30" i="2"/>
  <c r="AU289" i="1"/>
  <c r="AU300" i="1"/>
  <c r="AT290" i="1"/>
  <c r="AT298" i="1"/>
  <c r="AT265" i="1"/>
  <c r="AE286" i="1"/>
  <c r="U286" i="1"/>
  <c r="U281" i="1"/>
  <c r="V281" i="1"/>
  <c r="AC282" i="1"/>
  <c r="AC281" i="1"/>
  <c r="H29" i="2"/>
  <c r="E269" i="2"/>
  <c r="AT281" i="1"/>
  <c r="D263" i="1"/>
  <c r="U263" i="1"/>
  <c r="G264" i="1"/>
  <c r="AT56" i="59" l="1"/>
  <c r="F300" i="1"/>
  <c r="F298" i="1"/>
  <c r="F299" i="1" s="1"/>
  <c r="F265" i="1"/>
  <c r="F263" i="1"/>
  <c r="F264" i="1" s="1"/>
  <c r="AU335" i="1"/>
  <c r="AS336" i="1"/>
  <c r="AU281" i="1"/>
  <c r="AS283" i="1"/>
  <c r="AS290" i="1"/>
  <c r="AS289" i="1"/>
  <c r="AS291" i="1"/>
  <c r="AE282" i="1"/>
  <c r="AE283" i="1"/>
  <c r="AU298" i="1"/>
  <c r="I284" i="2"/>
  <c r="AU345" i="1"/>
  <c r="AS345" i="1"/>
  <c r="AU348" i="1"/>
  <c r="AS348" i="1"/>
  <c r="AU318" i="1"/>
  <c r="AS318" i="1"/>
  <c r="AU314" i="1"/>
  <c r="AS315" i="1"/>
  <c r="AS314" i="1"/>
  <c r="AU322" i="1"/>
  <c r="AS323" i="1"/>
  <c r="AS322" i="1"/>
  <c r="AU307" i="1"/>
  <c r="AS307" i="1"/>
  <c r="AS356" i="1"/>
  <c r="AS355" i="1"/>
  <c r="AS334" i="1"/>
  <c r="AS335" i="1"/>
  <c r="AP356" i="1"/>
  <c r="AP355" i="1"/>
  <c r="AE281" i="1"/>
  <c r="AS281" i="1"/>
  <c r="AU290" i="1"/>
  <c r="AQ298" i="1"/>
  <c r="J261" i="2"/>
  <c r="AR57" i="59" l="1"/>
  <c r="I45" i="59"/>
  <c r="I49" i="59"/>
  <c r="D298" i="1"/>
  <c r="AP298" i="1"/>
  <c r="AP300" i="1"/>
  <c r="F39" i="2"/>
  <c r="G39" i="2" s="1"/>
  <c r="J39" i="2" s="1"/>
  <c r="F34" i="2"/>
  <c r="G34" i="2" s="1"/>
  <c r="J34" i="2" s="1"/>
  <c r="F29" i="2"/>
  <c r="G29" i="2" s="1"/>
  <c r="J29" i="2" s="1"/>
  <c r="F36" i="2"/>
  <c r="G36" i="2" s="1"/>
  <c r="J36" i="2" s="1"/>
  <c r="F32" i="2"/>
  <c r="G32" i="2" s="1"/>
  <c r="J32" i="2" s="1"/>
  <c r="F33" i="2"/>
  <c r="G33" i="2" s="1"/>
  <c r="J33" i="2" s="1"/>
  <c r="F30" i="2"/>
  <c r="G30" i="2" s="1"/>
  <c r="J30" i="2" s="1"/>
  <c r="F35" i="2"/>
  <c r="G35" i="2" s="1"/>
  <c r="J35" i="2" s="1"/>
  <c r="F37" i="2"/>
  <c r="G37" i="2" s="1"/>
  <c r="J37" i="2" s="1"/>
  <c r="F40" i="2"/>
  <c r="G40" i="2" s="1"/>
  <c r="J40" i="2" s="1"/>
  <c r="J288" i="2"/>
  <c r="H32" i="2"/>
  <c r="H31" i="2"/>
  <c r="C345" i="1"/>
  <c r="C286" i="1"/>
  <c r="I34" i="2" l="1"/>
  <c r="I39" i="2"/>
  <c r="K39" i="2" s="1"/>
  <c r="I40" i="2"/>
  <c r="K40" i="2" s="1"/>
  <c r="I37" i="2"/>
  <c r="K37" i="2" s="1"/>
  <c r="I35" i="2"/>
  <c r="K35" i="2" s="1"/>
  <c r="I30" i="2"/>
  <c r="K30" i="2" s="1"/>
  <c r="I33" i="2"/>
  <c r="K33" i="2" s="1"/>
  <c r="I36" i="2"/>
  <c r="K36" i="2" s="1"/>
  <c r="I29" i="2"/>
  <c r="K29" i="2" s="1"/>
  <c r="I32" i="2"/>
  <c r="K32" i="2" s="1"/>
  <c r="J462" i="2" s="1"/>
  <c r="D356" i="1"/>
  <c r="I326" i="2"/>
  <c r="J326" i="2" s="1"/>
  <c r="I316" i="2"/>
  <c r="J321" i="2"/>
  <c r="I322" i="2"/>
  <c r="J322" i="2" s="1"/>
  <c r="AC270" i="1"/>
  <c r="AC266" i="1"/>
  <c r="AC265" i="1"/>
  <c r="AQ263" i="1"/>
  <c r="AU257" i="1"/>
  <c r="AU256" i="1"/>
  <c r="U256" i="1"/>
  <c r="U240" i="1"/>
  <c r="E252" i="2"/>
  <c r="AT264" i="1"/>
  <c r="AF265" i="1"/>
  <c r="AF270" i="1"/>
  <c r="AF267" i="1"/>
  <c r="AF266" i="1"/>
  <c r="C355" i="1" l="1"/>
  <c r="AM355" i="1"/>
  <c r="C357" i="1"/>
  <c r="K34" i="2"/>
  <c r="J304" i="2" s="1"/>
  <c r="E468" i="2"/>
  <c r="J468" i="2" s="1"/>
  <c r="D260" i="1" s="1"/>
  <c r="F42" i="2"/>
  <c r="G42" i="2" s="1"/>
  <c r="J270" i="2"/>
  <c r="J309" i="2"/>
  <c r="J319" i="2"/>
  <c r="J268" i="2"/>
  <c r="L40" i="2"/>
  <c r="J312" i="2"/>
  <c r="J295" i="2"/>
  <c r="J280" i="2"/>
  <c r="C356" i="1"/>
  <c r="V346" i="1"/>
  <c r="AJ345" i="1"/>
  <c r="AI345" i="1" s="1"/>
  <c r="AJ328" i="1"/>
  <c r="AI328" i="1" s="1"/>
  <c r="AS265" i="1"/>
  <c r="AP265" i="1"/>
  <c r="J316" i="2"/>
  <c r="J284" i="2"/>
  <c r="J286" i="2"/>
  <c r="J279" i="2"/>
  <c r="J282" i="2"/>
  <c r="J283" i="2"/>
  <c r="J287" i="2"/>
  <c r="J281" i="2"/>
  <c r="J327" i="2"/>
  <c r="I314" i="2"/>
  <c r="J314" i="2" s="1"/>
  <c r="AS263" i="1"/>
  <c r="AU263" i="1"/>
  <c r="AS264" i="1"/>
  <c r="AP263" i="1"/>
  <c r="J42" i="2" l="1"/>
  <c r="I42" i="2"/>
  <c r="C257" i="1"/>
  <c r="C256" i="1"/>
  <c r="C258" i="1"/>
  <c r="AH329" i="1"/>
  <c r="AK54" i="61" s="1"/>
  <c r="U347" i="1"/>
  <c r="Y56" i="61" s="1"/>
  <c r="J271" i="2"/>
  <c r="J296" i="2"/>
  <c r="J328" i="2"/>
  <c r="AJ349" i="1" s="1"/>
  <c r="AI349" i="1" s="1"/>
  <c r="AJ314" i="1"/>
  <c r="AJ323" i="1"/>
  <c r="AI323" i="1" s="1"/>
  <c r="AJ291" i="1"/>
  <c r="AI291" i="1" s="1"/>
  <c r="J311" i="2"/>
  <c r="AJ308" i="1"/>
  <c r="AI308" i="1" s="1"/>
  <c r="AH309" i="1" s="1"/>
  <c r="AK50" i="61" s="1"/>
  <c r="J294" i="2"/>
  <c r="AJ318" i="1"/>
  <c r="AI356" i="1"/>
  <c r="AJ356" i="1" s="1"/>
  <c r="AJ335" i="1"/>
  <c r="AI335" i="1" s="1"/>
  <c r="AH345" i="1"/>
  <c r="AI56" i="61" s="1"/>
  <c r="AH347" i="1"/>
  <c r="AK56" i="61" s="1"/>
  <c r="U345" i="1"/>
  <c r="W56" i="61" s="1"/>
  <c r="AH327" i="1"/>
  <c r="AI54" i="61" s="1"/>
  <c r="U346" i="1"/>
  <c r="X56" i="61" s="1"/>
  <c r="AH328" i="1"/>
  <c r="AJ54" i="61" s="1"/>
  <c r="AJ361" i="1"/>
  <c r="AI361" i="1" s="1"/>
  <c r="AI355" i="1"/>
  <c r="AJ355" i="1" s="1"/>
  <c r="AJ359" i="1"/>
  <c r="AI359" i="1" s="1"/>
  <c r="AJ360" i="1"/>
  <c r="AI360" i="1" s="1"/>
  <c r="AF356" i="1"/>
  <c r="AJ358" i="1"/>
  <c r="AI358" i="1" s="1"/>
  <c r="AJ357" i="1"/>
  <c r="AI357" i="1" s="1"/>
  <c r="AF330" i="1"/>
  <c r="AE327" i="1" s="1"/>
  <c r="AF54" i="61" s="1"/>
  <c r="V349" i="1"/>
  <c r="AF351" i="1"/>
  <c r="AJ348" i="1"/>
  <c r="AI348" i="1" s="1"/>
  <c r="H28" i="2"/>
  <c r="F28" i="2"/>
  <c r="G28" i="2" s="1"/>
  <c r="AJ282" i="1"/>
  <c r="AI282" i="1" s="1"/>
  <c r="AH283" i="1" s="1"/>
  <c r="AK46" i="61" s="1"/>
  <c r="AK54" i="59" l="1"/>
  <c r="AI54" i="59"/>
  <c r="AF54" i="59"/>
  <c r="Y56" i="59"/>
  <c r="X56" i="59"/>
  <c r="W56" i="59"/>
  <c r="AK56" i="59"/>
  <c r="AI56" i="59"/>
  <c r="AK46" i="59"/>
  <c r="AK50" i="59"/>
  <c r="AJ54" i="59"/>
  <c r="AI314" i="1"/>
  <c r="AH314" i="1" s="1"/>
  <c r="AI51" i="61" s="1"/>
  <c r="AI318" i="1"/>
  <c r="AH318" i="1" s="1"/>
  <c r="AI52" i="61" s="1"/>
  <c r="U349" i="1"/>
  <c r="X57" i="61" s="1"/>
  <c r="AE357" i="1"/>
  <c r="AH58" i="61" s="1"/>
  <c r="K42" i="2"/>
  <c r="AH308" i="1"/>
  <c r="AJ50" i="61" s="1"/>
  <c r="AI292" i="1"/>
  <c r="AJ292" i="1" s="1"/>
  <c r="AJ337" i="1"/>
  <c r="AI337" i="1" s="1"/>
  <c r="AH307" i="1"/>
  <c r="AI50" i="61" s="1"/>
  <c r="AJ322" i="1"/>
  <c r="AI322" i="1" s="1"/>
  <c r="AJ336" i="1"/>
  <c r="AI336" i="1" s="1"/>
  <c r="I28" i="2"/>
  <c r="K28" i="2" s="1"/>
  <c r="J255" i="2" s="1"/>
  <c r="AE329" i="1"/>
  <c r="AH54" i="61" s="1"/>
  <c r="AE328" i="1"/>
  <c r="AG54" i="61" s="1"/>
  <c r="AE356" i="1"/>
  <c r="AG58" i="61" s="1"/>
  <c r="AH348" i="1"/>
  <c r="AI57" i="61" s="1"/>
  <c r="AH349" i="1"/>
  <c r="AJ57" i="61" s="1"/>
  <c r="AH350" i="1"/>
  <c r="AK57" i="61" s="1"/>
  <c r="AE355" i="1"/>
  <c r="AF58" i="61" s="1"/>
  <c r="AH356" i="1"/>
  <c r="AJ58" i="61" s="1"/>
  <c r="U350" i="1"/>
  <c r="Y57" i="61" s="1"/>
  <c r="AH355" i="1"/>
  <c r="AI58" i="61" s="1"/>
  <c r="AH357" i="1"/>
  <c r="AK58" i="61" s="1"/>
  <c r="U348" i="1"/>
  <c r="W57" i="61" s="1"/>
  <c r="AI52" i="59" l="1"/>
  <c r="W57" i="59"/>
  <c r="AG54" i="59"/>
  <c r="AK58" i="59"/>
  <c r="AI51" i="59"/>
  <c r="AH54" i="59"/>
  <c r="Y57" i="59"/>
  <c r="AJ58" i="59"/>
  <c r="AF58" i="59"/>
  <c r="AJ50" i="59"/>
  <c r="AI50" i="59"/>
  <c r="AK57" i="59"/>
  <c r="AJ57" i="59"/>
  <c r="AI57" i="59"/>
  <c r="AH58" i="59"/>
  <c r="AI58" i="59"/>
  <c r="AG58" i="59"/>
  <c r="X57" i="59"/>
  <c r="AH316" i="1"/>
  <c r="AK51" i="61" s="1"/>
  <c r="I466" i="2"/>
  <c r="J466" i="2" s="1"/>
  <c r="AF261" i="1" s="1"/>
  <c r="J487" i="2"/>
  <c r="AI258" i="1" s="1"/>
  <c r="AJ258" i="1" s="1"/>
  <c r="J470" i="2"/>
  <c r="L42" i="2"/>
  <c r="AH291" i="1"/>
  <c r="AK48" i="61" s="1"/>
  <c r="AH289" i="1"/>
  <c r="AI48" i="61" s="1"/>
  <c r="AH290" i="1"/>
  <c r="AJ48" i="61" s="1"/>
  <c r="AH336" i="1"/>
  <c r="AK55" i="61" s="1"/>
  <c r="J257" i="2"/>
  <c r="AH335" i="1"/>
  <c r="AJ55" i="61" s="1"/>
  <c r="AH334" i="1"/>
  <c r="AI55" i="61" s="1"/>
  <c r="AH323" i="1"/>
  <c r="AJ53" i="61" s="1"/>
  <c r="AH324" i="1"/>
  <c r="AK53" i="61" s="1"/>
  <c r="AH322" i="1"/>
  <c r="AI53" i="61" s="1"/>
  <c r="J256" i="2"/>
  <c r="J258" i="2"/>
  <c r="AJ265" i="1" s="1"/>
  <c r="AI265" i="1" s="1"/>
  <c r="AJ48" i="59" l="1"/>
  <c r="AI55" i="59"/>
  <c r="AI48" i="59"/>
  <c r="AJ55" i="59"/>
  <c r="AK55" i="59"/>
  <c r="AK48" i="59"/>
  <c r="AI53" i="59"/>
  <c r="AK53" i="59"/>
  <c r="AJ53" i="59"/>
  <c r="AK51" i="59"/>
  <c r="AJ257" i="1"/>
  <c r="AI257" i="1" s="1"/>
  <c r="AH257" i="1" s="1"/>
  <c r="AJ44" i="61" s="1"/>
  <c r="AJ268" i="1"/>
  <c r="AI268" i="1" s="1"/>
  <c r="AJ266" i="1"/>
  <c r="AI266" i="1" s="1"/>
  <c r="AJ267" i="1"/>
  <c r="AI267" i="1" s="1"/>
  <c r="AJ44" i="59" l="1"/>
  <c r="AH258" i="1"/>
  <c r="AK44" i="61" s="1"/>
  <c r="AH256" i="1"/>
  <c r="AI44" i="61" s="1"/>
  <c r="AN298" i="1"/>
  <c r="AN289" i="1"/>
  <c r="AN286" i="1"/>
  <c r="AN281" i="1"/>
  <c r="AN263" i="1"/>
  <c r="AF286" i="1"/>
  <c r="AC286" i="1"/>
  <c r="V286" i="1"/>
  <c r="Y286" i="1"/>
  <c r="Y281" i="1"/>
  <c r="AI290" i="1"/>
  <c r="AJ290" i="1" s="1"/>
  <c r="AI299" i="1"/>
  <c r="AJ299" i="1" s="1"/>
  <c r="AI264" i="1"/>
  <c r="AC264" i="1"/>
  <c r="AF293" i="1"/>
  <c r="AC290" i="1"/>
  <c r="AC301" i="1"/>
  <c r="AC300" i="1"/>
  <c r="AC291" i="1"/>
  <c r="AF302" i="1"/>
  <c r="AF300" i="1"/>
  <c r="AF281" i="1"/>
  <c r="AF269" i="1"/>
  <c r="AI44" i="59" l="1"/>
  <c r="AK44" i="59"/>
  <c r="AE291" i="1"/>
  <c r="AE290" i="1"/>
  <c r="AE289" i="1"/>
  <c r="AE300" i="1"/>
  <c r="AE264" i="1"/>
  <c r="AE263" i="1"/>
  <c r="AE265" i="1"/>
  <c r="AE299" i="1"/>
  <c r="AE298" i="1"/>
  <c r="AJ264" i="1"/>
  <c r="AH281" i="1"/>
  <c r="AI46" i="61" s="1"/>
  <c r="AU337" i="1"/>
  <c r="AU355" i="1"/>
  <c r="AU301" i="1"/>
  <c r="AI46" i="59" l="1"/>
  <c r="AI289" i="1"/>
  <c r="AJ289" i="1" s="1"/>
  <c r="AI263" i="1"/>
  <c r="AJ263" i="1" s="1"/>
  <c r="AB296" i="1"/>
  <c r="AB295" i="1"/>
  <c r="AB268" i="1"/>
  <c r="AB267" i="1"/>
  <c r="AC269" i="1"/>
  <c r="AB289" i="1"/>
  <c r="AC293" i="1"/>
  <c r="AC294" i="1"/>
  <c r="AC292" i="1"/>
  <c r="H25" i="2" l="1"/>
  <c r="H24" i="2"/>
  <c r="H23" i="2"/>
  <c r="H22" i="2"/>
  <c r="H20" i="2"/>
  <c r="H17" i="2"/>
  <c r="H16" i="2"/>
  <c r="H15" i="2"/>
  <c r="H13" i="2"/>
  <c r="AH265" i="1" l="1"/>
  <c r="AK45" i="61" s="1"/>
  <c r="AU243" i="1"/>
  <c r="AQ240" i="1" s="1"/>
  <c r="AU242" i="1"/>
  <c r="AU241" i="1"/>
  <c r="AU240" i="1"/>
  <c r="AS241" i="1"/>
  <c r="AS240" i="1"/>
  <c r="G241" i="2"/>
  <c r="V120" i="2"/>
  <c r="X119" i="2"/>
  <c r="V119" i="2"/>
  <c r="X118" i="2"/>
  <c r="V118" i="2"/>
  <c r="X117" i="2"/>
  <c r="V117" i="2"/>
  <c r="X116" i="2"/>
  <c r="V116" i="2"/>
  <c r="X115" i="2"/>
  <c r="V115" i="2"/>
  <c r="X114" i="2"/>
  <c r="V114" i="2"/>
  <c r="V105" i="2"/>
  <c r="V104" i="2"/>
  <c r="X104" i="2"/>
  <c r="X103" i="2"/>
  <c r="X102" i="2"/>
  <c r="X101" i="2"/>
  <c r="X100" i="2"/>
  <c r="X99" i="2"/>
  <c r="V103" i="2"/>
  <c r="V102" i="2"/>
  <c r="V101" i="2"/>
  <c r="V100" i="2"/>
  <c r="V99" i="2"/>
  <c r="U520" i="1"/>
  <c r="U524" i="1"/>
  <c r="U531" i="1"/>
  <c r="U535" i="1"/>
  <c r="U550" i="1"/>
  <c r="U549" i="1"/>
  <c r="AE550" i="1"/>
  <c r="AE549" i="1"/>
  <c r="AE536" i="1"/>
  <c r="AE535" i="1"/>
  <c r="AE520" i="1"/>
  <c r="AI535" i="1"/>
  <c r="AL544" i="1"/>
  <c r="AS549" i="1"/>
  <c r="AU549" i="1"/>
  <c r="AU550" i="1"/>
  <c r="AT547" i="1"/>
  <c r="AU545" i="1"/>
  <c r="AU546" i="1"/>
  <c r="AU544" i="1"/>
  <c r="AS538" i="1"/>
  <c r="AU538" i="1"/>
  <c r="AS531" i="1"/>
  <c r="AU531" i="1"/>
  <c r="AU529" i="1"/>
  <c r="AU528" i="1"/>
  <c r="AU527" i="1"/>
  <c r="AU526" i="1"/>
  <c r="AU525" i="1"/>
  <c r="AP524" i="1"/>
  <c r="AT524" i="1"/>
  <c r="AT522" i="1"/>
  <c r="AU522" i="1" s="1"/>
  <c r="AU520" i="1"/>
  <c r="AS236" i="1"/>
  <c r="AU236" i="1"/>
  <c r="AS231" i="1"/>
  <c r="AS230" i="1"/>
  <c r="AU231" i="1"/>
  <c r="AU230" i="1"/>
  <c r="AU219" i="1"/>
  <c r="AS219" i="1"/>
  <c r="AS209" i="1"/>
  <c r="AS208" i="1"/>
  <c r="AU209" i="1"/>
  <c r="AU208" i="1"/>
  <c r="AS199" i="1"/>
  <c r="AU199" i="1"/>
  <c r="AS193" i="1"/>
  <c r="AU194" i="1"/>
  <c r="AU172" i="1"/>
  <c r="AU193" i="1"/>
  <c r="AU171" i="1"/>
  <c r="AU192" i="1"/>
  <c r="AS185" i="1"/>
  <c r="AU185" i="1"/>
  <c r="AS177" i="1"/>
  <c r="AR73" i="59" l="1"/>
  <c r="AK45" i="59"/>
  <c r="AP32" i="30"/>
  <c r="AP42" i="30"/>
  <c r="AQ44" i="30" a="1"/>
  <c r="AQ44" i="30" s="1"/>
  <c r="AP47" i="30"/>
  <c r="AQ50" i="30" a="1"/>
  <c r="AQ50" i="30" s="1"/>
  <c r="AQ53" i="30" a="1"/>
  <c r="AQ53" i="30" s="1"/>
  <c r="AQ59" i="30" a="1"/>
  <c r="AQ59" i="30" s="1"/>
  <c r="AP62" i="30"/>
  <c r="AP64" i="30"/>
  <c r="AT67" i="30" a="1"/>
  <c r="AT67" i="30" s="1"/>
  <c r="AQ70" i="30" a="1"/>
  <c r="AQ70" i="30" s="1"/>
  <c r="AS72" i="30"/>
  <c r="AQ11" i="30" a="1"/>
  <c r="AQ11" i="30" s="1"/>
  <c r="AP44" i="30"/>
  <c r="AP50" i="30"/>
  <c r="AT51" i="30" a="1"/>
  <c r="AT51" i="30" s="1"/>
  <c r="AP53" i="30"/>
  <c r="AP59" i="30"/>
  <c r="AS60" i="30"/>
  <c r="AT65" i="30" a="1"/>
  <c r="AT65" i="30" s="1"/>
  <c r="AS67" i="30"/>
  <c r="AP70" i="30"/>
  <c r="AQ72" i="30" a="1"/>
  <c r="AQ72" i="30" s="1"/>
  <c r="AP11" i="30"/>
  <c r="AQ13" i="30" a="1"/>
  <c r="AQ13" i="30" s="1"/>
  <c r="AQ35" i="30" a="1"/>
  <c r="AQ35" i="30" s="1"/>
  <c r="AQ38" i="30" a="1"/>
  <c r="AQ38" i="30" s="1"/>
  <c r="AQ40" i="30" a="1"/>
  <c r="AQ40" i="30" s="1"/>
  <c r="AT43" i="30" a="1"/>
  <c r="AT43" i="30" s="1"/>
  <c r="AS51" i="30"/>
  <c r="AT56" i="30" a="1"/>
  <c r="AT56" i="30" s="1"/>
  <c r="AQ60" i="30" a="1"/>
  <c r="AQ60" i="30" s="1"/>
  <c r="AS65" i="30"/>
  <c r="AQ67" i="30" a="1"/>
  <c r="AQ67" i="30" s="1"/>
  <c r="AP72" i="30"/>
  <c r="AQ76" i="30" a="1"/>
  <c r="AQ76" i="30" s="1"/>
  <c r="AQ8" i="30" a="1"/>
  <c r="AQ8" i="30" s="1"/>
  <c r="AP13" i="30"/>
  <c r="AS17" i="30"/>
  <c r="AP35" i="30"/>
  <c r="AP38" i="30"/>
  <c r="AP40" i="30"/>
  <c r="AS43" i="30"/>
  <c r="AT48" i="30" a="1"/>
  <c r="AT48" i="30" s="1"/>
  <c r="AQ51" i="30" a="1"/>
  <c r="AQ51" i="30" s="1"/>
  <c r="AS56" i="30"/>
  <c r="AP60" i="30"/>
  <c r="AQ65" i="30" a="1"/>
  <c r="AQ65" i="30" s="1"/>
  <c r="AP67" i="30"/>
  <c r="AP76" i="30"/>
  <c r="AT77" i="30" a="1"/>
  <c r="AT77" i="30" s="1"/>
  <c r="AP8" i="30"/>
  <c r="AQ10" i="30" a="1"/>
  <c r="AQ10" i="30" s="1"/>
  <c r="AQ17" i="30" a="1"/>
  <c r="AQ17" i="30" s="1"/>
  <c r="AQ18" i="30" a="1"/>
  <c r="AQ18" i="30" s="1"/>
  <c r="AQ24" i="30" a="1"/>
  <c r="AQ24" i="30" s="1"/>
  <c r="AQ26" i="30" a="1"/>
  <c r="AQ26" i="30" s="1"/>
  <c r="AQ43" i="30" a="1"/>
  <c r="AQ43" i="30" s="1"/>
  <c r="AS48" i="30"/>
  <c r="AP51" i="30"/>
  <c r="AT54" i="30" a="1"/>
  <c r="AT54" i="30" s="1"/>
  <c r="AQ56" i="30" a="1"/>
  <c r="AQ56" i="30" s="1"/>
  <c r="AT61" i="30" a="1"/>
  <c r="AT61" i="30" s="1"/>
  <c r="AT63" i="30" a="1"/>
  <c r="AT63" i="30" s="1"/>
  <c r="AP65" i="30"/>
  <c r="AS68" i="30"/>
  <c r="AS77" i="30"/>
  <c r="AP10" i="30"/>
  <c r="AP17" i="30"/>
  <c r="AP18" i="30"/>
  <c r="AQ21" i="30" a="1"/>
  <c r="AQ21" i="30" s="1"/>
  <c r="AP24" i="30"/>
  <c r="AP26" i="30"/>
  <c r="AP43" i="30"/>
  <c r="AQ45" i="30" a="1"/>
  <c r="AQ45" i="30" s="1"/>
  <c r="AP48" i="30"/>
  <c r="AS54" i="30"/>
  <c r="AP56" i="30"/>
  <c r="AS57" i="30"/>
  <c r="AS61" i="30"/>
  <c r="AS63" i="30"/>
  <c r="AQ68" i="30" a="1"/>
  <c r="AQ68" i="30" s="1"/>
  <c r="AT69" i="30" a="1"/>
  <c r="AT69" i="30" s="1"/>
  <c r="AT71" i="30" a="1"/>
  <c r="AT71" i="30" s="1"/>
  <c r="AQ19" i="30" a="1"/>
  <c r="AQ19" i="30" s="1"/>
  <c r="AP21" i="30"/>
  <c r="AQ41" i="30" a="1"/>
  <c r="AQ41" i="30" s="1"/>
  <c r="AP45" i="30"/>
  <c r="AS49" i="30"/>
  <c r="AQ54" i="30" a="1"/>
  <c r="AQ54" i="30" s="1"/>
  <c r="AQ57" i="30" a="1"/>
  <c r="AQ57" i="30" s="1"/>
  <c r="AQ61" i="30" a="1"/>
  <c r="AQ61" i="30" s="1"/>
  <c r="AT66" i="30" a="1"/>
  <c r="AT66" i="30" s="1"/>
  <c r="AP68" i="30"/>
  <c r="AS69" i="30"/>
  <c r="AS71" i="30"/>
  <c r="AP77" i="30"/>
  <c r="AP79" i="30"/>
  <c r="AQ16" i="30" a="1"/>
  <c r="AQ16" i="30" s="1"/>
  <c r="AP19" i="30"/>
  <c r="AT25" i="30" a="1"/>
  <c r="AT25" i="30" s="1"/>
  <c r="AQ34" i="30" a="1"/>
  <c r="AQ34" i="30" s="1"/>
  <c r="AP41" i="30"/>
  <c r="AQ49" i="30" a="1"/>
  <c r="AQ49" i="30" s="1"/>
  <c r="AP54" i="30"/>
  <c r="AP57" i="30"/>
  <c r="AT58" i="30" a="1"/>
  <c r="AT58" i="30" s="1"/>
  <c r="AP61" i="30"/>
  <c r="AS66" i="30"/>
  <c r="AQ69" i="30" a="1"/>
  <c r="AQ69" i="30" s="1"/>
  <c r="AQ71" i="30" a="1"/>
  <c r="AQ71" i="30" s="1"/>
  <c r="AQ12" i="30" a="1"/>
  <c r="AQ12" i="30" s="1"/>
  <c r="AP16" i="30"/>
  <c r="AS25" i="30"/>
  <c r="AP34" i="30"/>
  <c r="AP49" i="30"/>
  <c r="AP52" i="30"/>
  <c r="AS58" i="30"/>
  <c r="AQ66" i="30" a="1"/>
  <c r="AQ66" i="30" s="1"/>
  <c r="AP69" i="30"/>
  <c r="AP71" i="30"/>
  <c r="AQ74" i="30" a="1"/>
  <c r="AQ74" i="30" s="1"/>
  <c r="AT75" i="30" a="1"/>
  <c r="AT75" i="30" s="1"/>
  <c r="AP78" i="30"/>
  <c r="AP14" i="30"/>
  <c r="AP20" i="30"/>
  <c r="AQ32" i="30" a="1"/>
  <c r="AQ32" i="30" s="1"/>
  <c r="AP33" i="30"/>
  <c r="AP39" i="30"/>
  <c r="AQ42" i="30" a="1"/>
  <c r="AQ42" i="30" s="1"/>
  <c r="AQ47" i="30" a="1"/>
  <c r="AQ47" i="30" s="1"/>
  <c r="AS50" i="30"/>
  <c r="AS53" i="30"/>
  <c r="AP55" i="30"/>
  <c r="AS59" i="30"/>
  <c r="AQ64" i="30" a="1"/>
  <c r="AQ64" i="30" s="1"/>
  <c r="AS70" i="30"/>
  <c r="AT72" i="30" a="1"/>
  <c r="AT72" i="30" s="1"/>
  <c r="AP75" i="30"/>
  <c r="AQ25" i="30" a="1"/>
  <c r="AQ25" i="30" s="1"/>
  <c r="AS75" i="30"/>
  <c r="AP25" i="30"/>
  <c r="AT50" i="30" a="1"/>
  <c r="AT50" i="30" s="1"/>
  <c r="AT62" i="30" a="1"/>
  <c r="AT62" i="30" s="1"/>
  <c r="AP74" i="30"/>
  <c r="AQ75" i="30" a="1"/>
  <c r="AQ75" i="30" s="1"/>
  <c r="AQ77" i="30" a="1"/>
  <c r="AQ77" i="30" s="1"/>
  <c r="AQ78" i="30" a="1"/>
  <c r="AQ78" i="30" s="1"/>
  <c r="AQ39" i="30" a="1"/>
  <c r="AQ39" i="30" s="1"/>
  <c r="AS62" i="30"/>
  <c r="AQ14" i="30" a="1"/>
  <c r="AQ14" i="30" s="1"/>
  <c r="AP58" i="30"/>
  <c r="AQ79" i="30" a="1"/>
  <c r="AQ79" i="30" s="1"/>
  <c r="AS55" i="30"/>
  <c r="AQ33" i="30" a="1"/>
  <c r="AQ33" i="30" s="1"/>
  <c r="AQ55" i="30" a="1"/>
  <c r="AQ55" i="30" s="1"/>
  <c r="AP12" i="30"/>
  <c r="AQ37" i="30" a="1"/>
  <c r="AQ37" i="30" s="1"/>
  <c r="AP66" i="30"/>
  <c r="AP37" i="30"/>
  <c r="AT47" i="30" a="1"/>
  <c r="AT47" i="30" s="1"/>
  <c r="AS64" i="30"/>
  <c r="AT70" i="30" a="1"/>
  <c r="AT70" i="30" s="1"/>
  <c r="AQ15" i="30" a="1"/>
  <c r="AQ15" i="30" s="1"/>
  <c r="AQ20" i="30" a="1"/>
  <c r="AQ20" i="30" s="1"/>
  <c r="AS47" i="30"/>
  <c r="AP15" i="30"/>
  <c r="AP73" i="30"/>
  <c r="AP241" i="1"/>
  <c r="AP240" i="1"/>
  <c r="AB185" i="2" s="1"/>
  <c r="AH535" i="1"/>
  <c r="AH537" i="1"/>
  <c r="AS545" i="1"/>
  <c r="AS546" i="1"/>
  <c r="AS525" i="1"/>
  <c r="AS526" i="1"/>
  <c r="AP242" i="1"/>
  <c r="V108" i="2" a="1"/>
  <c r="V108" i="2" s="1"/>
  <c r="Y107" i="2" s="1"/>
  <c r="J238" i="2" s="1"/>
  <c r="V123" i="2" a="1"/>
  <c r="V123" i="2" s="1"/>
  <c r="Y122" i="2" s="1"/>
  <c r="AL545" i="1"/>
  <c r="F27" i="2"/>
  <c r="AT44" i="30" a="1"/>
  <c r="AT44" i="30" s="1"/>
  <c r="AT46" i="30" a="1"/>
  <c r="AT46" i="30" s="1"/>
  <c r="F13" i="2"/>
  <c r="AT39" i="30" a="1"/>
  <c r="AT39" i="30" s="1"/>
  <c r="AT41" i="30" a="1"/>
  <c r="AT41" i="30" s="1"/>
  <c r="AT42" i="30" a="1"/>
  <c r="AT42" i="30" s="1"/>
  <c r="AS539" i="1"/>
  <c r="AH263" i="1"/>
  <c r="AI45" i="61" s="1"/>
  <c r="AH264" i="1"/>
  <c r="AJ45" i="61" s="1"/>
  <c r="H27" i="2"/>
  <c r="AS544" i="1"/>
  <c r="AS524" i="1"/>
  <c r="AU547" i="1"/>
  <c r="H21" i="2"/>
  <c r="I21" i="2" s="1"/>
  <c r="K21" i="2" s="1"/>
  <c r="H12" i="2"/>
  <c r="AU195" i="1"/>
  <c r="AS192" i="1"/>
  <c r="AU218" i="1"/>
  <c r="AS218" i="1"/>
  <c r="AU177" i="1"/>
  <c r="AI230" i="1"/>
  <c r="AI210" i="1"/>
  <c r="AI211" i="1"/>
  <c r="AI208" i="1"/>
  <c r="AE236" i="1"/>
  <c r="AF213" i="1"/>
  <c r="V90" i="2"/>
  <c r="V91" i="2"/>
  <c r="X89" i="2"/>
  <c r="X88" i="2"/>
  <c r="X87" i="2"/>
  <c r="X86" i="2"/>
  <c r="X85" i="2"/>
  <c r="X84" i="2"/>
  <c r="X83" i="2"/>
  <c r="X82" i="2"/>
  <c r="X81" i="2"/>
  <c r="X80" i="2"/>
  <c r="V89" i="2"/>
  <c r="V88" i="2"/>
  <c r="V87" i="2"/>
  <c r="V86" i="2"/>
  <c r="V85" i="2"/>
  <c r="V84" i="2"/>
  <c r="V83" i="2"/>
  <c r="V82" i="2"/>
  <c r="V81" i="2"/>
  <c r="V80" i="2"/>
  <c r="V79" i="2"/>
  <c r="X79" i="2"/>
  <c r="AE218" i="1"/>
  <c r="AE193" i="1"/>
  <c r="AE192" i="1"/>
  <c r="AE186" i="1"/>
  <c r="AE178" i="1"/>
  <c r="X237" i="1"/>
  <c r="X236" i="1"/>
  <c r="X200" i="1"/>
  <c r="X199" i="1"/>
  <c r="U192" i="1"/>
  <c r="U185" i="1"/>
  <c r="U177" i="1"/>
  <c r="AS73" i="59" l="1"/>
  <c r="AM75" i="59"/>
  <c r="AJ45" i="59"/>
  <c r="AI45" i="59"/>
  <c r="AS41" i="30"/>
  <c r="AS74" i="30"/>
  <c r="AS45" i="30"/>
  <c r="AS46" i="30"/>
  <c r="AS79" i="30"/>
  <c r="AS44" i="30"/>
  <c r="AS38" i="30"/>
  <c r="AS37" i="30"/>
  <c r="AS76" i="30"/>
  <c r="AS40" i="30"/>
  <c r="AE208" i="1"/>
  <c r="AE209" i="1"/>
  <c r="AE210" i="1"/>
  <c r="AP46" i="30"/>
  <c r="F66" i="30"/>
  <c r="F70" i="30"/>
  <c r="F67" i="30"/>
  <c r="F63" i="30"/>
  <c r="F64" i="30"/>
  <c r="F62" i="30"/>
  <c r="AT73" i="30" a="1"/>
  <c r="AT73" i="30" s="1"/>
  <c r="AT78" i="30" a="1"/>
  <c r="AT78" i="30" s="1"/>
  <c r="AT76" i="30" a="1"/>
  <c r="AT76" i="30" s="1"/>
  <c r="E467" i="2"/>
  <c r="J467" i="2" s="1"/>
  <c r="D243" i="1" s="1"/>
  <c r="E481" i="2"/>
  <c r="J481" i="2" s="1"/>
  <c r="G241" i="1" s="1"/>
  <c r="E475" i="2"/>
  <c r="J475" i="2" s="1"/>
  <c r="G240" i="1" s="1"/>
  <c r="X201" i="2"/>
  <c r="E483" i="2" s="1"/>
  <c r="J483" i="2" s="1"/>
  <c r="G242" i="1" s="1"/>
  <c r="J461" i="2"/>
  <c r="J240" i="1" s="1"/>
  <c r="I240" i="1" s="1"/>
  <c r="E461" i="2"/>
  <c r="I27" i="2"/>
  <c r="P240" i="1"/>
  <c r="O240" i="1" s="1"/>
  <c r="O241" i="1" s="1"/>
  <c r="W125" i="2"/>
  <c r="V124" i="2"/>
  <c r="W124" i="2"/>
  <c r="V125" i="2"/>
  <c r="W123" i="2"/>
  <c r="W109" i="2"/>
  <c r="V110" i="2"/>
  <c r="W108" i="2"/>
  <c r="X105" i="2" s="1"/>
  <c r="W105" i="2" s="1"/>
  <c r="J237" i="2" s="1"/>
  <c r="V109" i="2"/>
  <c r="W110" i="2"/>
  <c r="AN2" i="30"/>
  <c r="F12" i="2"/>
  <c r="F21" i="2"/>
  <c r="F22" i="2"/>
  <c r="V93" i="2" a="1"/>
  <c r="V95" i="2" s="1"/>
  <c r="AH237" i="1"/>
  <c r="AH236" i="1"/>
  <c r="H404" i="2" a="1"/>
  <c r="H405" i="2" a="1"/>
  <c r="H367" i="2" a="1"/>
  <c r="H370" i="2" a="1"/>
  <c r="H407" i="2" a="1"/>
  <c r="H420" i="2" a="1"/>
  <c r="H368" i="2" a="1"/>
  <c r="H364" i="2" a="1"/>
  <c r="H396" i="2" a="1"/>
  <c r="H369" i="2" a="1"/>
  <c r="H372" i="2" a="1"/>
  <c r="H419" i="2" a="1"/>
  <c r="H408" i="2" a="1"/>
  <c r="H406" i="2" a="1"/>
  <c r="H373" i="2" a="1"/>
  <c r="H540" i="2" a="1"/>
  <c r="H378" i="2" a="1"/>
  <c r="H541" i="2" a="1"/>
  <c r="H371" i="2" a="1"/>
  <c r="R43" i="59" l="1"/>
  <c r="F242" i="1"/>
  <c r="F241" i="1"/>
  <c r="F240" i="1"/>
  <c r="AS39" i="30"/>
  <c r="AS42" i="30"/>
  <c r="AS73" i="30"/>
  <c r="AS78" i="30"/>
  <c r="H541" i="2"/>
  <c r="I541" i="2" s="1"/>
  <c r="J541" i="2" s="1"/>
  <c r="H540" i="2"/>
  <c r="I540" i="2" s="1"/>
  <c r="J540" i="2" s="1"/>
  <c r="H404" i="2"/>
  <c r="H406" i="2"/>
  <c r="H364" i="2"/>
  <c r="H396" i="2"/>
  <c r="H407" i="2"/>
  <c r="H368" i="2"/>
  <c r="H408" i="2"/>
  <c r="H372" i="2"/>
  <c r="H405" i="2"/>
  <c r="H370" i="2"/>
  <c r="H371" i="2"/>
  <c r="H369" i="2"/>
  <c r="H420" i="2"/>
  <c r="H378" i="2"/>
  <c r="H367" i="2"/>
  <c r="H419" i="2"/>
  <c r="H373" i="2"/>
  <c r="K27" i="2"/>
  <c r="J484" i="2" s="1"/>
  <c r="AI252" i="1" s="1"/>
  <c r="AJ252" i="1" s="1"/>
  <c r="I242" i="1"/>
  <c r="L21" i="2"/>
  <c r="AB243" i="1"/>
  <c r="V93" i="2"/>
  <c r="Y92" i="2" s="1"/>
  <c r="E227" i="2" s="1"/>
  <c r="J227" i="2" s="1"/>
  <c r="W93" i="2"/>
  <c r="W94" i="2"/>
  <c r="O242" i="1"/>
  <c r="AF399" i="1" l="1"/>
  <c r="AF455" i="1"/>
  <c r="I419" i="2"/>
  <c r="J419" i="2" s="1"/>
  <c r="I420" i="2"/>
  <c r="J420" i="2" s="1"/>
  <c r="I406" i="2"/>
  <c r="J406" i="2" s="1"/>
  <c r="I404" i="2"/>
  <c r="J404" i="2" s="1"/>
  <c r="I407" i="2"/>
  <c r="J407" i="2" s="1"/>
  <c r="I405" i="2"/>
  <c r="J405" i="2" s="1"/>
  <c r="I408" i="2"/>
  <c r="J408" i="2" s="1"/>
  <c r="I396" i="2"/>
  <c r="J396" i="2" s="1"/>
  <c r="I378" i="2"/>
  <c r="J378" i="2" s="1"/>
  <c r="I368" i="2"/>
  <c r="J368" i="2" s="1"/>
  <c r="I373" i="2"/>
  <c r="J373" i="2" s="1"/>
  <c r="I367" i="2"/>
  <c r="J367" i="2" s="1"/>
  <c r="I369" i="2"/>
  <c r="J369" i="2" s="1"/>
  <c r="I371" i="2"/>
  <c r="J371" i="2" s="1"/>
  <c r="I370" i="2"/>
  <c r="J370" i="2" s="1"/>
  <c r="I372" i="2"/>
  <c r="J372" i="2" s="1"/>
  <c r="I364" i="2"/>
  <c r="J364" i="2" s="1"/>
  <c r="J482" i="2"/>
  <c r="AI251" i="1" s="1"/>
  <c r="AJ251" i="1" s="1"/>
  <c r="J479" i="2"/>
  <c r="AJ249" i="1" s="1"/>
  <c r="AI249" i="1" s="1"/>
  <c r="J480" i="2"/>
  <c r="AI250" i="1" s="1"/>
  <c r="AJ250" i="1" s="1"/>
  <c r="J478" i="2"/>
  <c r="AI248" i="1" s="1"/>
  <c r="AJ248" i="1" s="1"/>
  <c r="J474" i="2"/>
  <c r="AI253" i="1" s="1"/>
  <c r="AJ253" i="1" s="1"/>
  <c r="J476" i="2"/>
  <c r="AN356" i="1" s="1"/>
  <c r="AM356" i="1" s="1"/>
  <c r="AL357" i="1" s="1"/>
  <c r="AN58" i="61" s="1"/>
  <c r="J472" i="2"/>
  <c r="AI246" i="1" s="1"/>
  <c r="AJ246" i="1" s="1"/>
  <c r="J473" i="2"/>
  <c r="AJ247" i="1" s="1"/>
  <c r="AI247" i="1" s="1"/>
  <c r="J469" i="2"/>
  <c r="AJ244" i="1" s="1"/>
  <c r="AI244" i="1" s="1"/>
  <c r="J471" i="2"/>
  <c r="L27" i="2"/>
  <c r="J463" i="2"/>
  <c r="AJ243" i="1" s="1"/>
  <c r="AI243" i="1" s="1"/>
  <c r="J458" i="2"/>
  <c r="I465" i="2"/>
  <c r="J465" i="2" s="1"/>
  <c r="AF244" i="1" s="1"/>
  <c r="I241" i="1"/>
  <c r="AC243" i="1"/>
  <c r="L43" i="59" l="1"/>
  <c r="AN58" i="59"/>
  <c r="AF499" i="1"/>
  <c r="AF389" i="1"/>
  <c r="AM241" i="1"/>
  <c r="AL240" i="1" s="1"/>
  <c r="AL43" i="61" s="1"/>
  <c r="AE242" i="1"/>
  <c r="AH43" i="61" s="1"/>
  <c r="AL356" i="1"/>
  <c r="AM58" i="61" s="1"/>
  <c r="AL355" i="1"/>
  <c r="AL58" i="61" s="1"/>
  <c r="AJ245" i="1"/>
  <c r="AI245" i="1" s="1"/>
  <c r="X90" i="2"/>
  <c r="W90" i="2" s="1"/>
  <c r="Y90" i="2" s="1"/>
  <c r="V94" i="2"/>
  <c r="W95" i="2"/>
  <c r="X120" i="2"/>
  <c r="W120" i="2" s="1"/>
  <c r="J239" i="2" s="1"/>
  <c r="J240" i="2"/>
  <c r="D211" i="1"/>
  <c r="AH43" i="59" l="1"/>
  <c r="AL58" i="59"/>
  <c r="AM58" i="59"/>
  <c r="AL241" i="1"/>
  <c r="AM43" i="61" s="1"/>
  <c r="AL43" i="59"/>
  <c r="AE500" i="1"/>
  <c r="AG67" i="61" s="1"/>
  <c r="AE499" i="1"/>
  <c r="AF67" i="61" s="1"/>
  <c r="AE498" i="1"/>
  <c r="C209" i="1"/>
  <c r="C208" i="1"/>
  <c r="C210" i="1"/>
  <c r="AL242" i="1"/>
  <c r="AN43" i="61" s="1"/>
  <c r="AN241" i="1"/>
  <c r="P256" i="1"/>
  <c r="AB257" i="1"/>
  <c r="AC257" i="1" s="1"/>
  <c r="AI168" i="1"/>
  <c r="AI166" i="1"/>
  <c r="AF67" i="59" l="1"/>
  <c r="AG67" i="59"/>
  <c r="AM43" i="59"/>
  <c r="AN43" i="59"/>
  <c r="O258" i="1"/>
  <c r="O256" i="1"/>
  <c r="O257" i="1" s="1"/>
  <c r="AQ83" i="1"/>
  <c r="AP85" i="1" s="1"/>
  <c r="AU169" i="1"/>
  <c r="AU168" i="1"/>
  <c r="AU167" i="1"/>
  <c r="AU166" i="1"/>
  <c r="AT170" i="1"/>
  <c r="AS168" i="1" s="1"/>
  <c r="G223" i="2"/>
  <c r="I223" i="2" s="1"/>
  <c r="J223" i="2" s="1"/>
  <c r="AI161" i="1"/>
  <c r="AI160" i="1"/>
  <c r="AS159" i="1"/>
  <c r="AU159" i="1"/>
  <c r="X153" i="1"/>
  <c r="X152" i="1"/>
  <c r="AI153" i="1"/>
  <c r="AU153" i="1"/>
  <c r="AU152" i="1"/>
  <c r="R44" i="59" l="1"/>
  <c r="AS160" i="1"/>
  <c r="AS166" i="1"/>
  <c r="AS167" i="1"/>
  <c r="AU170" i="1"/>
  <c r="AS32" i="59" l="1"/>
  <c r="AS34" i="30"/>
  <c r="AS35" i="30"/>
  <c r="E225" i="2"/>
  <c r="J225" i="2" s="1"/>
  <c r="AT36" i="30" a="1"/>
  <c r="AT36" i="30" s="1"/>
  <c r="AT34" i="30" a="1"/>
  <c r="AT34" i="30" s="1"/>
  <c r="AT35" i="30" a="1"/>
  <c r="AT35" i="30" s="1"/>
  <c r="Y161" i="1"/>
  <c r="AS146" i="1"/>
  <c r="AS145" i="1"/>
  <c r="AU146" i="1"/>
  <c r="AU145" i="1"/>
  <c r="AS36" i="30" l="1"/>
  <c r="AQ167" i="1"/>
  <c r="AT33" i="30" a="1"/>
  <c r="AT33" i="30" s="1"/>
  <c r="X141" i="1"/>
  <c r="U142" i="1"/>
  <c r="U141" i="1"/>
  <c r="AS33" i="30" l="1"/>
  <c r="AP168" i="1"/>
  <c r="AP36" i="30"/>
  <c r="X142" i="1"/>
  <c r="J214" i="2"/>
  <c r="J213" i="2"/>
  <c r="AA29" i="59" l="1"/>
  <c r="AT142" i="1"/>
  <c r="AU142" i="1" s="1"/>
  <c r="AT141" i="1"/>
  <c r="G212" i="2"/>
  <c r="G211" i="2"/>
  <c r="AU141" i="1" l="1"/>
  <c r="AS141" i="1"/>
  <c r="AS143" i="1"/>
  <c r="AS142" i="1"/>
  <c r="I212" i="2"/>
  <c r="AT32" i="30" l="1" a="1"/>
  <c r="AT32" i="30" s="1"/>
  <c r="AT135" i="1"/>
  <c r="AU135" i="1" s="1"/>
  <c r="AU133" i="1"/>
  <c r="AT134" i="1"/>
  <c r="AU134" i="1" s="1"/>
  <c r="J207" i="2"/>
  <c r="AT132" i="1"/>
  <c r="U125" i="1"/>
  <c r="AS32" i="30" l="1"/>
  <c r="AS134" i="1"/>
  <c r="AS133" i="1"/>
  <c r="AS132" i="1"/>
  <c r="AU127" i="1"/>
  <c r="AU126" i="1"/>
  <c r="AU120" i="1"/>
  <c r="AU119" i="1"/>
  <c r="AU118" i="1"/>
  <c r="G203" i="2"/>
  <c r="I203" i="2" s="1"/>
  <c r="J203" i="2" s="1"/>
  <c r="G202" i="2"/>
  <c r="I202" i="2" s="1"/>
  <c r="J202" i="2" s="1"/>
  <c r="AT114" i="1"/>
  <c r="AU114" i="1" s="1"/>
  <c r="AT117" i="1"/>
  <c r="AU117" i="1" s="1"/>
  <c r="AT125" i="1"/>
  <c r="AU125" i="1" s="1"/>
  <c r="AT116" i="1"/>
  <c r="AT113" i="1"/>
  <c r="AQ112" i="1"/>
  <c r="AQ126" i="1"/>
  <c r="AT124" i="1"/>
  <c r="AT102" i="1"/>
  <c r="D247" i="1"/>
  <c r="D133" i="1"/>
  <c r="D142" i="1"/>
  <c r="D125" i="1"/>
  <c r="U112" i="1"/>
  <c r="D118" i="1"/>
  <c r="U101" i="1"/>
  <c r="AU112" i="1"/>
  <c r="AI64" i="1"/>
  <c r="AI63" i="1"/>
  <c r="AI62" i="1"/>
  <c r="AU105" i="1"/>
  <c r="AU101" i="1"/>
  <c r="AS97" i="1"/>
  <c r="AU97" i="1"/>
  <c r="X91" i="1"/>
  <c r="X90" i="1"/>
  <c r="AU91" i="1"/>
  <c r="AT90" i="1"/>
  <c r="AQ87" i="1"/>
  <c r="AP83" i="1"/>
  <c r="AT87" i="1"/>
  <c r="AU83" i="1"/>
  <c r="AU79" i="1"/>
  <c r="AU68" i="1"/>
  <c r="AU67" i="1"/>
  <c r="AT84" i="1"/>
  <c r="AT81" i="1"/>
  <c r="AU81" i="1" s="1"/>
  <c r="AT80" i="1"/>
  <c r="AE88" i="1"/>
  <c r="AE87" i="1"/>
  <c r="AE84" i="1"/>
  <c r="AE83" i="1"/>
  <c r="AE97" i="1"/>
  <c r="AE94" i="1"/>
  <c r="AE90" i="1"/>
  <c r="AE79" i="1"/>
  <c r="U87" i="1"/>
  <c r="U84" i="1"/>
  <c r="U83" i="1"/>
  <c r="U79" i="1"/>
  <c r="C88" i="1"/>
  <c r="C87" i="1"/>
  <c r="U76" i="1"/>
  <c r="AE76" i="1"/>
  <c r="AT76" i="1"/>
  <c r="C73" i="1"/>
  <c r="U73" i="1"/>
  <c r="X74" i="1"/>
  <c r="AE73" i="1"/>
  <c r="AT74" i="1"/>
  <c r="AU74" i="1" s="1"/>
  <c r="AT73" i="1"/>
  <c r="C67" i="1"/>
  <c r="U68" i="1"/>
  <c r="U67" i="1"/>
  <c r="AE68" i="1"/>
  <c r="AE67" i="1"/>
  <c r="U63" i="1"/>
  <c r="U62" i="1"/>
  <c r="AE63" i="1"/>
  <c r="AE62" i="1"/>
  <c r="AU63" i="1"/>
  <c r="AS63" i="1"/>
  <c r="U58" i="1"/>
  <c r="X62" i="1"/>
  <c r="X63" i="1"/>
  <c r="X59" i="1"/>
  <c r="X58" i="1"/>
  <c r="AC62" i="1"/>
  <c r="AA62" i="1" s="1"/>
  <c r="AC58" i="1"/>
  <c r="AA58" i="1" s="1"/>
  <c r="AU59" i="1"/>
  <c r="AU58" i="1"/>
  <c r="C51" i="1"/>
  <c r="C55" i="1"/>
  <c r="U56" i="1"/>
  <c r="U55" i="1"/>
  <c r="AE52" i="1"/>
  <c r="AG11" i="61" s="1"/>
  <c r="AE51" i="1"/>
  <c r="AF11" i="61" s="1"/>
  <c r="AE55" i="1"/>
  <c r="AE56" i="1"/>
  <c r="AS55" i="1"/>
  <c r="AU55" i="1"/>
  <c r="U52" i="1"/>
  <c r="U51" i="1"/>
  <c r="AS51" i="1"/>
  <c r="U48" i="1"/>
  <c r="AE49" i="1"/>
  <c r="AE48" i="1"/>
  <c r="AS48" i="1"/>
  <c r="AU48" i="1"/>
  <c r="C43" i="1"/>
  <c r="U44" i="1"/>
  <c r="U43" i="1"/>
  <c r="E51" i="2"/>
  <c r="AS44" i="1"/>
  <c r="AS43" i="1"/>
  <c r="AU44" i="1"/>
  <c r="AU43" i="1"/>
  <c r="C40" i="1"/>
  <c r="U40" i="1"/>
  <c r="AE40" i="1"/>
  <c r="AE41" i="1"/>
  <c r="AS41" i="1"/>
  <c r="AS40" i="1"/>
  <c r="AU41" i="1"/>
  <c r="AU40" i="1"/>
  <c r="U35" i="1"/>
  <c r="X35" i="1"/>
  <c r="AS35" i="1"/>
  <c r="AS36" i="1"/>
  <c r="AU37" i="1"/>
  <c r="AU36" i="1"/>
  <c r="AU35" i="1"/>
  <c r="U31" i="1"/>
  <c r="AU32" i="1"/>
  <c r="AE27" i="1"/>
  <c r="AE26" i="1"/>
  <c r="U27" i="1"/>
  <c r="U26" i="1"/>
  <c r="E189" i="2"/>
  <c r="J189" i="2" s="1"/>
  <c r="J188" i="2"/>
  <c r="E187" i="2"/>
  <c r="J187" i="2" s="1"/>
  <c r="E186" i="2"/>
  <c r="J186" i="2" s="1"/>
  <c r="E185" i="2"/>
  <c r="J185" i="2" s="1"/>
  <c r="E184" i="2"/>
  <c r="J184" i="2" s="1"/>
  <c r="E183" i="2"/>
  <c r="J183" i="2" s="1"/>
  <c r="E182" i="2"/>
  <c r="J182" i="2" s="1"/>
  <c r="E181" i="2"/>
  <c r="J181" i="2" s="1"/>
  <c r="E180" i="2"/>
  <c r="J180" i="2" s="1"/>
  <c r="E179" i="2"/>
  <c r="J179" i="2" s="1"/>
  <c r="E178" i="2"/>
  <c r="J178" i="2" s="1"/>
  <c r="E177" i="2"/>
  <c r="J177" i="2" s="1"/>
  <c r="E176" i="2"/>
  <c r="J176" i="2" s="1"/>
  <c r="E175" i="2"/>
  <c r="J175" i="2" s="1"/>
  <c r="E174" i="2"/>
  <c r="J174" i="2" s="1"/>
  <c r="G22" i="2"/>
  <c r="AS68" i="1"/>
  <c r="AS67" i="1"/>
  <c r="AG51" i="2"/>
  <c r="AI30" i="2" s="1"/>
  <c r="AG50" i="2"/>
  <c r="AI29" i="2" s="1"/>
  <c r="AG49" i="2"/>
  <c r="AI28" i="2" s="1"/>
  <c r="AG48" i="2"/>
  <c r="AI27" i="2" s="1"/>
  <c r="AH27" i="2"/>
  <c r="AS14" i="59" l="1"/>
  <c r="AA16" i="59"/>
  <c r="AF23" i="59"/>
  <c r="E9" i="59"/>
  <c r="AF11" i="59"/>
  <c r="AF18" i="59"/>
  <c r="AF17" i="59"/>
  <c r="AG11" i="59"/>
  <c r="C242" i="1"/>
  <c r="C241" i="1"/>
  <c r="C240" i="1"/>
  <c r="C116" i="1"/>
  <c r="C117" i="1"/>
  <c r="C118" i="1"/>
  <c r="C124" i="1"/>
  <c r="C125" i="1"/>
  <c r="C141" i="1"/>
  <c r="C142" i="1"/>
  <c r="AH62" i="1"/>
  <c r="AH63" i="1"/>
  <c r="AH64" i="1"/>
  <c r="Z157" i="2"/>
  <c r="E443" i="2"/>
  <c r="J443" i="2" s="1"/>
  <c r="D134" i="1" s="1"/>
  <c r="V157" i="2"/>
  <c r="E444" i="2" s="1"/>
  <c r="J444" i="2" s="1"/>
  <c r="G132" i="1" s="1"/>
  <c r="AG171" i="2"/>
  <c r="E449" i="2" s="1"/>
  <c r="J449" i="2" s="1"/>
  <c r="G101" i="1" s="1"/>
  <c r="X157" i="2"/>
  <c r="E445" i="2" s="1"/>
  <c r="J445" i="2" s="1"/>
  <c r="G133" i="1" s="1"/>
  <c r="AP126" i="1"/>
  <c r="AP125" i="1"/>
  <c r="AP124" i="1"/>
  <c r="I22" i="2"/>
  <c r="K22" i="2" s="1"/>
  <c r="O3" i="30"/>
  <c r="AU73" i="1"/>
  <c r="AS75" i="1"/>
  <c r="AU80" i="1"/>
  <c r="AS81" i="1"/>
  <c r="AS102" i="1"/>
  <c r="AS103" i="1"/>
  <c r="AS126" i="1"/>
  <c r="AU84" i="1"/>
  <c r="F10" i="2"/>
  <c r="G10" i="2" s="1"/>
  <c r="AP112" i="1"/>
  <c r="AP28" i="30" s="1"/>
  <c r="AP114" i="1"/>
  <c r="AP101" i="1"/>
  <c r="AP103" i="1"/>
  <c r="AS114" i="1"/>
  <c r="AS76" i="1"/>
  <c r="AS78" i="1"/>
  <c r="AS118" i="1"/>
  <c r="AS87" i="1"/>
  <c r="AS89" i="1"/>
  <c r="AP116" i="1"/>
  <c r="AP29" i="30" s="1"/>
  <c r="AP118" i="1"/>
  <c r="AP87" i="1"/>
  <c r="AP23" i="30" s="1"/>
  <c r="AP89" i="1"/>
  <c r="AU90" i="1"/>
  <c r="AS92" i="1"/>
  <c r="Y2" i="30"/>
  <c r="F24" i="2"/>
  <c r="G24" i="2" s="1"/>
  <c r="AT10" i="30" a="1"/>
  <c r="AT10" i="30" s="1"/>
  <c r="F25" i="2"/>
  <c r="G25" i="2" s="1"/>
  <c r="AT31" i="30" a="1"/>
  <c r="AT31" i="30" s="1"/>
  <c r="AT16" i="30" a="1"/>
  <c r="AT16" i="30" s="1"/>
  <c r="F26" i="2"/>
  <c r="G26" i="2" s="1"/>
  <c r="J26" i="2" s="1"/>
  <c r="AT12" i="30" a="1"/>
  <c r="AT12" i="30" s="1"/>
  <c r="AT11" i="30" a="1"/>
  <c r="AT11" i="30" s="1"/>
  <c r="I211" i="2"/>
  <c r="AT18" i="30" a="1"/>
  <c r="AT18" i="30" s="1"/>
  <c r="F15" i="2"/>
  <c r="F17" i="2"/>
  <c r="C126" i="1"/>
  <c r="C143" i="1"/>
  <c r="AT17" i="30" a="1"/>
  <c r="AT17" i="30" s="1"/>
  <c r="S67" i="1"/>
  <c r="R67" i="1" s="1"/>
  <c r="R68" i="1" s="1"/>
  <c r="Y44" i="1"/>
  <c r="S51" i="1"/>
  <c r="Y36" i="1"/>
  <c r="S26" i="1"/>
  <c r="Y52" i="1"/>
  <c r="S55" i="1"/>
  <c r="Y60" i="1"/>
  <c r="Y27" i="1"/>
  <c r="Y68" i="1"/>
  <c r="S62" i="1"/>
  <c r="R62" i="1" s="1"/>
  <c r="R63" i="1" s="1"/>
  <c r="S35" i="1"/>
  <c r="Y56" i="1"/>
  <c r="S43" i="1"/>
  <c r="Y64" i="1"/>
  <c r="S58" i="1"/>
  <c r="R58" i="1" s="1"/>
  <c r="AS101" i="1"/>
  <c r="F14" i="2" s="1"/>
  <c r="G14" i="2" s="1"/>
  <c r="J14" i="2" s="1"/>
  <c r="AS117" i="1"/>
  <c r="AS113" i="1"/>
  <c r="H18" i="2"/>
  <c r="AS98" i="1"/>
  <c r="AS52" i="1"/>
  <c r="AS56" i="1"/>
  <c r="AP22" i="30"/>
  <c r="X36" i="1"/>
  <c r="AS125" i="1"/>
  <c r="AP102" i="1"/>
  <c r="AS116" i="1"/>
  <c r="F41" i="2" s="1"/>
  <c r="G41" i="2" s="1"/>
  <c r="J41" i="2" s="1"/>
  <c r="AS112" i="1"/>
  <c r="AS124" i="1"/>
  <c r="AQ134" i="1"/>
  <c r="AU76" i="1"/>
  <c r="AS73" i="1"/>
  <c r="AS74" i="1"/>
  <c r="AS91" i="1"/>
  <c r="AS79" i="1"/>
  <c r="AS80" i="1"/>
  <c r="AS90" i="1"/>
  <c r="U53" i="2"/>
  <c r="U52" i="2"/>
  <c r="U51" i="2"/>
  <c r="AH30" i="2"/>
  <c r="AH29" i="2"/>
  <c r="AF49" i="2"/>
  <c r="AH28" i="2" s="1"/>
  <c r="AM51" i="2"/>
  <c r="AO30" i="2" s="1"/>
  <c r="AL51" i="2"/>
  <c r="AN30" i="2" s="1"/>
  <c r="AK51" i="2"/>
  <c r="AM30" i="2" s="1"/>
  <c r="AJ51" i="2"/>
  <c r="AL30" i="2" s="1"/>
  <c r="AI51" i="2"/>
  <c r="AK30" i="2" s="1"/>
  <c r="AH51" i="2"/>
  <c r="AJ30" i="2" s="1"/>
  <c r="AM50" i="2"/>
  <c r="AO29" i="2" s="1"/>
  <c r="AL50" i="2"/>
  <c r="AN29" i="2" s="1"/>
  <c r="AK50" i="2"/>
  <c r="AM29" i="2" s="1"/>
  <c r="AJ50" i="2"/>
  <c r="AL29" i="2" s="1"/>
  <c r="AI50" i="2"/>
  <c r="AK29" i="2" s="1"/>
  <c r="AH50" i="2"/>
  <c r="AJ29" i="2" s="1"/>
  <c r="AM49" i="2"/>
  <c r="AO28" i="2" s="1"/>
  <c r="AL49" i="2"/>
  <c r="AN28" i="2" s="1"/>
  <c r="AK49" i="2"/>
  <c r="AM28" i="2" s="1"/>
  <c r="AJ49" i="2"/>
  <c r="AL28" i="2" s="1"/>
  <c r="AI49" i="2"/>
  <c r="AK28" i="2" s="1"/>
  <c r="AH49" i="2"/>
  <c r="AJ28" i="2" s="1"/>
  <c r="AM48" i="2"/>
  <c r="AO27" i="2" s="1"/>
  <c r="AL48" i="2"/>
  <c r="AN27" i="2" s="1"/>
  <c r="AK48" i="2"/>
  <c r="AM27" i="2" s="1"/>
  <c r="AJ48" i="2"/>
  <c r="AL27" i="2" s="1"/>
  <c r="AI48" i="2"/>
  <c r="AK27" i="2" s="1"/>
  <c r="AH48" i="2"/>
  <c r="AJ27" i="2" s="1"/>
  <c r="U50" i="2"/>
  <c r="U49" i="2"/>
  <c r="U48" i="2"/>
  <c r="AS27" i="1"/>
  <c r="AS26" i="1"/>
  <c r="AU29" i="1"/>
  <c r="AU28" i="1"/>
  <c r="AU27" i="1"/>
  <c r="AU26" i="1"/>
  <c r="AQ20" i="1"/>
  <c r="AT24" i="1"/>
  <c r="AU23" i="1"/>
  <c r="AU22" i="1"/>
  <c r="AU21" i="1"/>
  <c r="AU20" i="1"/>
  <c r="U11" i="2"/>
  <c r="U4" i="2"/>
  <c r="U10" i="1"/>
  <c r="W5" i="2"/>
  <c r="Y5" i="2"/>
  <c r="AA7" i="59" l="1"/>
  <c r="U15" i="59"/>
  <c r="AS12" i="59"/>
  <c r="U14" i="59"/>
  <c r="AS11" i="59"/>
  <c r="AS23" i="59"/>
  <c r="R59" i="1"/>
  <c r="T13" i="59"/>
  <c r="R37" i="1"/>
  <c r="R35" i="1"/>
  <c r="R36" i="1" s="1"/>
  <c r="R57" i="1"/>
  <c r="R55" i="1"/>
  <c r="R56" i="1" s="1"/>
  <c r="R28" i="1"/>
  <c r="R26" i="1"/>
  <c r="R27" i="1" s="1"/>
  <c r="R51" i="1"/>
  <c r="R52" i="1" s="1"/>
  <c r="R53" i="1"/>
  <c r="R45" i="1"/>
  <c r="R43" i="1"/>
  <c r="R44" i="1" s="1"/>
  <c r="F103" i="1"/>
  <c r="F101" i="1"/>
  <c r="F102" i="1" s="1"/>
  <c r="F132" i="1"/>
  <c r="F133" i="1"/>
  <c r="AS16" i="30"/>
  <c r="AS13" i="30"/>
  <c r="AS15" i="30"/>
  <c r="AS12" i="30"/>
  <c r="AS31" i="30"/>
  <c r="AS10" i="30"/>
  <c r="AS11" i="30"/>
  <c r="AS20" i="30"/>
  <c r="AS14" i="30"/>
  <c r="AS26" i="30"/>
  <c r="AS18" i="30"/>
  <c r="AS23" i="30"/>
  <c r="AP20" i="1"/>
  <c r="AP22" i="1"/>
  <c r="C134" i="1"/>
  <c r="C132" i="1"/>
  <c r="C133" i="1"/>
  <c r="AQ30" i="30" a="1"/>
  <c r="AQ30" i="30" s="1"/>
  <c r="AT27" i="30" a="1"/>
  <c r="AT27" i="30" s="1"/>
  <c r="AS77" i="1"/>
  <c r="Z185" i="2"/>
  <c r="E460" i="2" s="1"/>
  <c r="X185" i="2"/>
  <c r="AA171" i="2"/>
  <c r="E447" i="2" s="1"/>
  <c r="J447" i="2" s="1"/>
  <c r="G112" i="1" s="1"/>
  <c r="F112" i="1" s="1"/>
  <c r="F113" i="1" s="1"/>
  <c r="H41" i="2"/>
  <c r="I41" i="2" s="1"/>
  <c r="K41" i="2" s="1"/>
  <c r="L41" i="2" s="1"/>
  <c r="AD171" i="2"/>
  <c r="E448" i="2" s="1"/>
  <c r="J448" i="2" s="1"/>
  <c r="G116" i="1" s="1"/>
  <c r="X171" i="2"/>
  <c r="E446" i="2" s="1"/>
  <c r="J446" i="2" s="1"/>
  <c r="G124" i="1" s="1"/>
  <c r="F124" i="1" s="1"/>
  <c r="F134" i="1"/>
  <c r="AP27" i="30"/>
  <c r="H14" i="2"/>
  <c r="I14" i="2" s="1"/>
  <c r="K14" i="2" s="1"/>
  <c r="L22" i="2"/>
  <c r="I25" i="2"/>
  <c r="K25" i="2" s="1"/>
  <c r="I24" i="2"/>
  <c r="K24" i="2" s="1"/>
  <c r="I10" i="2"/>
  <c r="K10" i="2" s="1"/>
  <c r="AS20" i="1"/>
  <c r="AS22" i="1"/>
  <c r="AF55" i="2" a="1"/>
  <c r="V55" i="2" a="1"/>
  <c r="AJ55" i="2" a="1"/>
  <c r="AH55" i="2" a="1"/>
  <c r="AF53" i="2"/>
  <c r="AE53" i="2" s="1"/>
  <c r="AD55" i="2" a="1"/>
  <c r="AB55" i="2" a="1"/>
  <c r="X55" i="2" a="1"/>
  <c r="Z55" i="2" a="1"/>
  <c r="R69" i="1"/>
  <c r="R60" i="1"/>
  <c r="X57" i="1"/>
  <c r="R64" i="1"/>
  <c r="X69" i="1"/>
  <c r="AB15" i="61" s="1"/>
  <c r="P3" i="30"/>
  <c r="P2" i="30"/>
  <c r="F20" i="2"/>
  <c r="F23" i="2"/>
  <c r="G23" i="2" s="1"/>
  <c r="F19" i="2"/>
  <c r="AT21" i="30" a="1"/>
  <c r="AT21" i="30" s="1"/>
  <c r="AT8" i="30" a="1"/>
  <c r="AT8" i="30" s="1"/>
  <c r="F18" i="2"/>
  <c r="AT28" i="30" a="1"/>
  <c r="AT28" i="30" s="1"/>
  <c r="AT24" i="30" a="1"/>
  <c r="AT24" i="30" s="1"/>
  <c r="AT29" i="30" a="1"/>
  <c r="AT29" i="30" s="1"/>
  <c r="AT19" i="30" a="1"/>
  <c r="AT19" i="30" s="1"/>
  <c r="AQ27" i="30" a="1"/>
  <c r="AQ27" i="30" s="1"/>
  <c r="F16" i="2"/>
  <c r="AT30" i="30" a="1"/>
  <c r="AT30" i="30" s="1"/>
  <c r="F11" i="2"/>
  <c r="H11" i="2"/>
  <c r="AT26" i="30" a="1"/>
  <c r="AT26" i="30" s="1"/>
  <c r="AT15" i="30" a="1"/>
  <c r="AT15" i="30" s="1"/>
  <c r="AT14" i="30" a="1"/>
  <c r="AT14" i="30" s="1"/>
  <c r="Y125" i="1"/>
  <c r="Y112" i="1"/>
  <c r="I241" i="2"/>
  <c r="J241" i="2" s="1"/>
  <c r="AP31" i="30"/>
  <c r="H26" i="2"/>
  <c r="I26" i="2" s="1"/>
  <c r="AP30" i="30"/>
  <c r="H19" i="2"/>
  <c r="AP7" i="30"/>
  <c r="AS21" i="1"/>
  <c r="U5" i="59" l="1"/>
  <c r="AB15" i="59"/>
  <c r="V12" i="59"/>
  <c r="U7" i="59"/>
  <c r="U11" i="59"/>
  <c r="I25" i="59"/>
  <c r="I24" i="59"/>
  <c r="U12" i="59"/>
  <c r="AS17" i="59"/>
  <c r="U9" i="59"/>
  <c r="U13" i="59"/>
  <c r="F118" i="1"/>
  <c r="F116" i="1"/>
  <c r="F117" i="1" s="1"/>
  <c r="AS21" i="30"/>
  <c r="AS30" i="30"/>
  <c r="AS7" i="30"/>
  <c r="AS27" i="30"/>
  <c r="AS8" i="30"/>
  <c r="AS28" i="30"/>
  <c r="AS24" i="30"/>
  <c r="AS19" i="30"/>
  <c r="AS29" i="30"/>
  <c r="AT20" i="30" a="1"/>
  <c r="AT20" i="30" s="1"/>
  <c r="X126" i="1"/>
  <c r="AB27" i="61" s="1"/>
  <c r="X114" i="1"/>
  <c r="AB25" i="61" s="1"/>
  <c r="J460" i="2"/>
  <c r="J101" i="1" s="1"/>
  <c r="J459" i="2"/>
  <c r="J124" i="1" s="1"/>
  <c r="I124" i="1" s="1"/>
  <c r="I125" i="1" s="1"/>
  <c r="E459" i="2"/>
  <c r="J88" i="2"/>
  <c r="AI105" i="1" s="1"/>
  <c r="AJ105" i="1" s="1"/>
  <c r="J87" i="2"/>
  <c r="J86" i="2"/>
  <c r="F126" i="1"/>
  <c r="J453" i="2"/>
  <c r="AI119" i="1" s="1"/>
  <c r="AJ119" i="1" s="1"/>
  <c r="J451" i="2"/>
  <c r="AI117" i="1" s="1"/>
  <c r="AJ117" i="1" s="1"/>
  <c r="J99" i="2"/>
  <c r="J454" i="2"/>
  <c r="F114" i="1"/>
  <c r="K26" i="2"/>
  <c r="J211" i="2" s="1"/>
  <c r="I155" i="2"/>
  <c r="L24" i="2"/>
  <c r="J190" i="2"/>
  <c r="I51" i="2"/>
  <c r="J51" i="2" s="1"/>
  <c r="I52" i="2"/>
  <c r="I23" i="2"/>
  <c r="K23" i="2" s="1"/>
  <c r="Z56" i="2"/>
  <c r="Z55" i="2"/>
  <c r="Z58" i="2" s="1"/>
  <c r="E169" i="2" s="1"/>
  <c r="J169" i="2" s="1"/>
  <c r="AA55" i="2"/>
  <c r="AA56" i="2"/>
  <c r="AA57" i="2"/>
  <c r="Z57" i="2"/>
  <c r="X57" i="2"/>
  <c r="X55" i="2"/>
  <c r="Y56" i="2"/>
  <c r="X56" i="2"/>
  <c r="Y55" i="2"/>
  <c r="Y57" i="2"/>
  <c r="AB55" i="2"/>
  <c r="AB58" i="2" s="1"/>
  <c r="E170" i="2" s="1"/>
  <c r="J170" i="2" s="1"/>
  <c r="AC55" i="2"/>
  <c r="AB56" i="2"/>
  <c r="AC57" i="2"/>
  <c r="AB57" i="2"/>
  <c r="AC56" i="2"/>
  <c r="AE57" i="2"/>
  <c r="AD57" i="2"/>
  <c r="AE56" i="2"/>
  <c r="AE55" i="2"/>
  <c r="AD55" i="2"/>
  <c r="AD58" i="2" s="1"/>
  <c r="E171" i="2" s="1"/>
  <c r="J171" i="2" s="1"/>
  <c r="AD56" i="2"/>
  <c r="AI57" i="2"/>
  <c r="AH55" i="2"/>
  <c r="AH58" i="2" s="1"/>
  <c r="AH57" i="2"/>
  <c r="AI55" i="2"/>
  <c r="AH56" i="2"/>
  <c r="AI56" i="2"/>
  <c r="AJ55" i="2"/>
  <c r="AJ58" i="2" s="1"/>
  <c r="AJ56" i="2"/>
  <c r="AK55" i="2"/>
  <c r="AK57" i="2"/>
  <c r="AJ57" i="2"/>
  <c r="AK56" i="2"/>
  <c r="V55" i="2"/>
  <c r="V58" i="2" s="1"/>
  <c r="V57" i="2"/>
  <c r="W56" i="2"/>
  <c r="V56" i="2"/>
  <c r="W55" i="2"/>
  <c r="W57" i="2"/>
  <c r="AG55" i="2"/>
  <c r="AF55" i="2"/>
  <c r="AF58" i="2" s="1"/>
  <c r="E172" i="2" s="1"/>
  <c r="J172" i="2" s="1"/>
  <c r="AG57" i="2"/>
  <c r="AF57" i="2"/>
  <c r="AG56" i="2"/>
  <c r="AF56" i="2"/>
  <c r="AT7" i="30" a="1"/>
  <c r="AT7" i="30" s="1"/>
  <c r="AQ31" i="30" a="1"/>
  <c r="AQ31" i="30" s="1"/>
  <c r="X124" i="1"/>
  <c r="Z27" i="61" s="1"/>
  <c r="X125" i="1"/>
  <c r="AA27" i="61" s="1"/>
  <c r="AJ242" i="1"/>
  <c r="AB25" i="59" l="1"/>
  <c r="I26" i="59"/>
  <c r="AA27" i="59"/>
  <c r="Z27" i="59"/>
  <c r="AB27" i="59"/>
  <c r="L27" i="59"/>
  <c r="I103" i="1"/>
  <c r="I101" i="1"/>
  <c r="I102" i="1" s="1"/>
  <c r="AF120" i="1"/>
  <c r="I126" i="1"/>
  <c r="AI107" i="1"/>
  <c r="AJ107" i="1" s="1"/>
  <c r="AI104" i="1"/>
  <c r="AJ104" i="1" s="1"/>
  <c r="J212" i="2"/>
  <c r="AI118" i="1"/>
  <c r="AJ118" i="1" s="1"/>
  <c r="F125" i="1"/>
  <c r="J107" i="2"/>
  <c r="J106" i="2"/>
  <c r="I105" i="2"/>
  <c r="J105" i="2" s="1"/>
  <c r="I442" i="2"/>
  <c r="J442" i="2" s="1"/>
  <c r="AF134" i="1" s="1"/>
  <c r="L23" i="2"/>
  <c r="AJ58" i="1"/>
  <c r="AI58" i="1" s="1"/>
  <c r="AH58" i="1" s="1"/>
  <c r="AI13" i="61" s="1"/>
  <c r="I191" i="2"/>
  <c r="J191" i="2" s="1"/>
  <c r="L10" i="2"/>
  <c r="L25" i="2"/>
  <c r="AF44" i="1"/>
  <c r="AI52" i="2"/>
  <c r="E163" i="2" s="1"/>
  <c r="J163" i="2" s="1"/>
  <c r="AK52" i="2"/>
  <c r="E165" i="2" s="1"/>
  <c r="J165" i="2" s="1"/>
  <c r="X58" i="2"/>
  <c r="E168" i="2" s="1"/>
  <c r="J168" i="2" s="1"/>
  <c r="AG52" i="2"/>
  <c r="E161" i="2" s="1"/>
  <c r="J161" i="2" s="1"/>
  <c r="E167" i="2"/>
  <c r="J167" i="2" s="1"/>
  <c r="AF52" i="2"/>
  <c r="AE52" i="2" s="1"/>
  <c r="AI242" i="1"/>
  <c r="G35" i="1"/>
  <c r="G58" i="1"/>
  <c r="G26" i="1"/>
  <c r="G51" i="1"/>
  <c r="AJ135" i="1"/>
  <c r="AI135" i="1" s="1"/>
  <c r="AJ52" i="2"/>
  <c r="E164" i="2" s="1"/>
  <c r="J164" i="2" s="1"/>
  <c r="AH52" i="2"/>
  <c r="E162" i="2" s="1"/>
  <c r="AM52" i="2"/>
  <c r="E166" i="2" s="1"/>
  <c r="J166" i="2" s="1"/>
  <c r="E173" i="2"/>
  <c r="J173" i="2" s="1"/>
  <c r="I27" i="59" l="1"/>
  <c r="AI13" i="59"/>
  <c r="L24" i="59"/>
  <c r="F26" i="1"/>
  <c r="F27" i="1" s="1"/>
  <c r="F28" i="1"/>
  <c r="F37" i="1"/>
  <c r="F35" i="1"/>
  <c r="F36" i="1" s="1"/>
  <c r="AE116" i="1"/>
  <c r="AF26" i="61" s="1"/>
  <c r="AE117" i="1"/>
  <c r="AG26" i="61" s="1"/>
  <c r="AE118" i="1"/>
  <c r="AH26" i="61" s="1"/>
  <c r="AJ136" i="1"/>
  <c r="AI136" i="1" s="1"/>
  <c r="AE43" i="1"/>
  <c r="AF9" i="61" s="1"/>
  <c r="AH241" i="1"/>
  <c r="AJ43" i="61" s="1"/>
  <c r="AH242" i="1"/>
  <c r="AK43" i="61" s="1"/>
  <c r="AH240" i="1"/>
  <c r="AI43" i="61" s="1"/>
  <c r="AJ133" i="1"/>
  <c r="AI133" i="1" s="1"/>
  <c r="AE45" i="1"/>
  <c r="AH9" i="61" s="1"/>
  <c r="AE44" i="1"/>
  <c r="AG9" i="61" s="1"/>
  <c r="AF58" i="1"/>
  <c r="G43" i="1"/>
  <c r="G62" i="1"/>
  <c r="AH60" i="1"/>
  <c r="AK13" i="61" s="1"/>
  <c r="AJ27" i="1"/>
  <c r="AI27" i="1" s="1"/>
  <c r="AG9" i="59" l="1"/>
  <c r="AG26" i="59"/>
  <c r="AH9" i="59"/>
  <c r="I5" i="59"/>
  <c r="I7" i="59"/>
  <c r="AK43" i="59"/>
  <c r="AJ43" i="59"/>
  <c r="AF9" i="59"/>
  <c r="AF26" i="59"/>
  <c r="AI43" i="59"/>
  <c r="AK13" i="59"/>
  <c r="AH26" i="59"/>
  <c r="F62" i="1"/>
  <c r="F63" i="1" s="1"/>
  <c r="F64" i="1"/>
  <c r="F45" i="1"/>
  <c r="F43" i="1"/>
  <c r="F44" i="1" s="1"/>
  <c r="AE58" i="1"/>
  <c r="AF13" i="61" s="1"/>
  <c r="AE60" i="1"/>
  <c r="AH13" i="61" s="1"/>
  <c r="F58" i="1"/>
  <c r="F60" i="1"/>
  <c r="F51" i="1"/>
  <c r="F53" i="1"/>
  <c r="AJ52" i="1"/>
  <c r="AI52" i="1" s="1"/>
  <c r="G67" i="1"/>
  <c r="AJ59" i="1"/>
  <c r="AI59" i="1" s="1"/>
  <c r="AJ68" i="1"/>
  <c r="E160" i="2"/>
  <c r="J160" i="2" s="1"/>
  <c r="W12" i="2"/>
  <c r="Y11" i="2"/>
  <c r="Y10" i="2"/>
  <c r="Y9" i="2"/>
  <c r="Y8" i="2"/>
  <c r="Y7" i="2"/>
  <c r="Y6" i="2"/>
  <c r="Y4" i="2"/>
  <c r="W11" i="2"/>
  <c r="W10" i="2"/>
  <c r="W9" i="2"/>
  <c r="W8" i="2"/>
  <c r="W6" i="2"/>
  <c r="W7" i="2"/>
  <c r="W4" i="2"/>
  <c r="AU18" i="1"/>
  <c r="AQ11" i="1" s="1"/>
  <c r="AP12" i="1" s="1"/>
  <c r="AU14" i="1"/>
  <c r="AT17" i="1"/>
  <c r="AU17" i="1" s="1"/>
  <c r="AT16" i="1"/>
  <c r="AU11" i="1"/>
  <c r="AU12" i="1"/>
  <c r="AU13" i="1"/>
  <c r="AU10" i="1"/>
  <c r="I9" i="59" l="1"/>
  <c r="AF13" i="59"/>
  <c r="AH13" i="59"/>
  <c r="I14" i="59"/>
  <c r="F67" i="1"/>
  <c r="F68" i="1" s="1"/>
  <c r="F69" i="1"/>
  <c r="AS12" i="1"/>
  <c r="F59" i="1"/>
  <c r="F52" i="1"/>
  <c r="AU16" i="1"/>
  <c r="AS10" i="1"/>
  <c r="AJ65" i="1"/>
  <c r="AI65" i="1" s="1"/>
  <c r="AI68" i="1"/>
  <c r="AH69" i="1" s="1"/>
  <c r="AK15" i="61" s="1"/>
  <c r="W14" i="2" a="1"/>
  <c r="X15" i="2" s="1"/>
  <c r="AS11" i="1"/>
  <c r="AP11" i="1"/>
  <c r="AP10" i="1"/>
  <c r="I13" i="59" l="1"/>
  <c r="AK15" i="59"/>
  <c r="I15" i="59"/>
  <c r="I11" i="59"/>
  <c r="J529" i="2"/>
  <c r="D13" i="1" s="1"/>
  <c r="J528" i="2"/>
  <c r="D12" i="1" s="1"/>
  <c r="J3" i="30"/>
  <c r="J2" i="30"/>
  <c r="AQ6" i="30" a="1"/>
  <c r="AQ6" i="30" s="1"/>
  <c r="F8" i="2"/>
  <c r="AT6" i="30" a="1"/>
  <c r="AT6" i="30" s="1"/>
  <c r="H8" i="2"/>
  <c r="X16" i="2"/>
  <c r="W15" i="2"/>
  <c r="W16" i="2"/>
  <c r="X14" i="2"/>
  <c r="W14" i="2"/>
  <c r="AP6" i="30"/>
  <c r="AS6" i="30" l="1"/>
  <c r="Y12" i="2"/>
  <c r="X12" i="2" s="1"/>
  <c r="Y13" i="2"/>
  <c r="X62" i="2"/>
  <c r="Y20" i="2"/>
  <c r="G158" i="2"/>
  <c r="E157" i="2"/>
  <c r="G157" i="2"/>
  <c r="G156" i="2"/>
  <c r="J155" i="2"/>
  <c r="D11" i="1" l="1"/>
  <c r="AF544" i="1"/>
  <c r="AE546" i="1" s="1"/>
  <c r="AH75" i="61" s="1"/>
  <c r="I156" i="2"/>
  <c r="J156" i="2" s="1"/>
  <c r="J158" i="2"/>
  <c r="E48" i="2"/>
  <c r="J48" i="2" s="1"/>
  <c r="J157" i="2"/>
  <c r="G154" i="2"/>
  <c r="I154" i="2" s="1"/>
  <c r="J154" i="2" s="1"/>
  <c r="G153" i="2"/>
  <c r="I153" i="2" s="1"/>
  <c r="G152" i="2"/>
  <c r="J152" i="2" s="1"/>
  <c r="G151" i="2"/>
  <c r="I151" i="2" s="1"/>
  <c r="J151" i="2" s="1"/>
  <c r="V64" i="2"/>
  <c r="X64" i="2"/>
  <c r="X63" i="2"/>
  <c r="V63" i="2"/>
  <c r="V62" i="2"/>
  <c r="AF541" i="1"/>
  <c r="G149" i="2"/>
  <c r="AH75" i="59" l="1"/>
  <c r="C11" i="1"/>
  <c r="C10" i="1"/>
  <c r="C12" i="1"/>
  <c r="Y549" i="1"/>
  <c r="AJ550" i="1"/>
  <c r="AI550" i="1" s="1"/>
  <c r="AF11" i="1"/>
  <c r="AE541" i="1"/>
  <c r="AE543" i="1"/>
  <c r="AJ549" i="1"/>
  <c r="AI549" i="1" s="1"/>
  <c r="V66" i="2" a="1"/>
  <c r="W67" i="2" s="1"/>
  <c r="AJ544" i="1"/>
  <c r="J153" i="2"/>
  <c r="G148" i="2"/>
  <c r="E148" i="2"/>
  <c r="G147" i="2"/>
  <c r="I147" i="2" s="1"/>
  <c r="J147" i="2" s="1"/>
  <c r="AF539" i="1"/>
  <c r="G146" i="2"/>
  <c r="G145" i="2"/>
  <c r="X24" i="2"/>
  <c r="Y24" i="2" s="1"/>
  <c r="X23" i="2"/>
  <c r="Y23" i="2" s="1"/>
  <c r="V23" i="2"/>
  <c r="V24" i="2" s="1"/>
  <c r="W24" i="2" s="1"/>
  <c r="X22" i="2"/>
  <c r="Y22" i="2" s="1"/>
  <c r="X21" i="2"/>
  <c r="Y21" i="2" s="1"/>
  <c r="W25" i="2"/>
  <c r="W21" i="2"/>
  <c r="W22" i="2"/>
  <c r="W20" i="2"/>
  <c r="G144" i="2"/>
  <c r="I144" i="2" s="1"/>
  <c r="G143" i="2"/>
  <c r="I143" i="2" s="1"/>
  <c r="J143" i="2" s="1"/>
  <c r="AH74" i="59" l="1"/>
  <c r="AF74" i="59"/>
  <c r="X549" i="1"/>
  <c r="Z76" i="61" s="1"/>
  <c r="X551" i="1"/>
  <c r="AB76" i="61" s="1"/>
  <c r="AH551" i="1"/>
  <c r="AK76" i="61" s="1"/>
  <c r="V67" i="2"/>
  <c r="W68" i="2"/>
  <c r="Y541" i="1"/>
  <c r="W66" i="2"/>
  <c r="V68" i="2"/>
  <c r="V66" i="2"/>
  <c r="Y65" i="2" s="1"/>
  <c r="E150" i="2" s="1"/>
  <c r="J150" i="2" s="1"/>
  <c r="AH549" i="1"/>
  <c r="AI76" i="61" s="1"/>
  <c r="AH550" i="1"/>
  <c r="AJ76" i="61" s="1"/>
  <c r="Y544" i="1"/>
  <c r="AI544" i="1"/>
  <c r="W23" i="2"/>
  <c r="W27" i="2" s="1" a="1"/>
  <c r="W29" i="2" s="1"/>
  <c r="E142" i="2"/>
  <c r="J142" i="2" s="1"/>
  <c r="E141" i="2"/>
  <c r="I141" i="2" s="1"/>
  <c r="G140" i="2"/>
  <c r="E140" i="2"/>
  <c r="Y524" i="1"/>
  <c r="J138" i="2"/>
  <c r="G139" i="2"/>
  <c r="AK76" i="59" l="1"/>
  <c r="AB76" i="59"/>
  <c r="Z76" i="59"/>
  <c r="AJ76" i="59"/>
  <c r="AI76" i="59"/>
  <c r="X526" i="1"/>
  <c r="X550" i="1"/>
  <c r="AA76" i="61" s="1"/>
  <c r="X541" i="1"/>
  <c r="Z74" i="61" s="1"/>
  <c r="X543" i="1"/>
  <c r="AB74" i="61" s="1"/>
  <c r="AH544" i="1"/>
  <c r="AI75" i="61" s="1"/>
  <c r="AH546" i="1"/>
  <c r="AK75" i="61" s="1"/>
  <c r="Y538" i="1"/>
  <c r="Y531" i="1"/>
  <c r="D541" i="1"/>
  <c r="X29" i="2"/>
  <c r="W27" i="2"/>
  <c r="Y26" i="2" s="1"/>
  <c r="J146" i="2" s="1"/>
  <c r="X27" i="2"/>
  <c r="X28" i="2"/>
  <c r="W28" i="2"/>
  <c r="J141" i="2"/>
  <c r="I139" i="2"/>
  <c r="AJ524" i="1"/>
  <c r="AI524" i="1" s="1"/>
  <c r="G138" i="2"/>
  <c r="G137" i="2"/>
  <c r="I137" i="2" s="1"/>
  <c r="J137" i="2" s="1"/>
  <c r="G136" i="2"/>
  <c r="I136" i="2" s="1"/>
  <c r="J136" i="2" s="1"/>
  <c r="G116" i="2"/>
  <c r="G115" i="2"/>
  <c r="G84" i="2"/>
  <c r="J84" i="2" s="1"/>
  <c r="G83" i="2"/>
  <c r="J83" i="2" s="1"/>
  <c r="G82" i="2"/>
  <c r="J82" i="2" s="1"/>
  <c r="G75" i="2"/>
  <c r="I75" i="2" s="1"/>
  <c r="J75" i="2" s="1"/>
  <c r="G74" i="2"/>
  <c r="J74" i="2" s="1"/>
  <c r="G73" i="2"/>
  <c r="I73" i="2" s="1"/>
  <c r="J73" i="2" s="1"/>
  <c r="G72" i="2"/>
  <c r="G71" i="2"/>
  <c r="I71" i="2" s="1"/>
  <c r="J71" i="2" s="1"/>
  <c r="G70" i="2"/>
  <c r="G69" i="2"/>
  <c r="I69" i="2" s="1"/>
  <c r="J69" i="2" s="1"/>
  <c r="G68" i="2"/>
  <c r="J68" i="2" s="1"/>
  <c r="G67" i="2"/>
  <c r="I67" i="2" s="1"/>
  <c r="J67" i="2" s="1"/>
  <c r="G66" i="2"/>
  <c r="I66" i="2" s="1"/>
  <c r="G65" i="2"/>
  <c r="I65" i="2" s="1"/>
  <c r="J65" i="2" s="1"/>
  <c r="G64" i="2"/>
  <c r="I64" i="2" s="1"/>
  <c r="G63" i="2"/>
  <c r="G62" i="2"/>
  <c r="I62" i="2" s="1"/>
  <c r="AB230" i="1"/>
  <c r="AC230" i="1" s="1"/>
  <c r="AA230" i="1" s="1"/>
  <c r="AC231" i="1"/>
  <c r="D231" i="1"/>
  <c r="AF233" i="1"/>
  <c r="AF231" i="1"/>
  <c r="G134" i="2"/>
  <c r="J134" i="2" s="1"/>
  <c r="G133" i="2"/>
  <c r="J133" i="2" s="1"/>
  <c r="G132" i="2"/>
  <c r="E132" i="2"/>
  <c r="G130" i="2"/>
  <c r="G129" i="2"/>
  <c r="G128" i="2"/>
  <c r="AC232" i="1"/>
  <c r="AC177" i="1"/>
  <c r="AJ192" i="1"/>
  <c r="G127" i="2"/>
  <c r="AC166" i="1"/>
  <c r="Y167" i="1"/>
  <c r="G126" i="2"/>
  <c r="E126" i="2"/>
  <c r="AJ169" i="1"/>
  <c r="AI169" i="1" s="1"/>
  <c r="G125" i="2"/>
  <c r="Y230" i="1"/>
  <c r="Y166" i="1"/>
  <c r="G124" i="2"/>
  <c r="J124" i="2" s="1"/>
  <c r="G123" i="2"/>
  <c r="J123" i="2" s="1"/>
  <c r="G122" i="2"/>
  <c r="AC159" i="1"/>
  <c r="G121" i="2"/>
  <c r="AC152" i="1"/>
  <c r="G120" i="2"/>
  <c r="G119" i="2"/>
  <c r="G118" i="2"/>
  <c r="J118" i="2" s="1"/>
  <c r="AC146" i="1"/>
  <c r="AC145" i="1"/>
  <c r="G117" i="2"/>
  <c r="I117" i="2" s="1"/>
  <c r="J117" i="2" s="1"/>
  <c r="Y208" i="1"/>
  <c r="AC199" i="1"/>
  <c r="G20" i="2"/>
  <c r="J20" i="2" s="1"/>
  <c r="G112" i="2"/>
  <c r="G111" i="2"/>
  <c r="Y159" i="1"/>
  <c r="AA76" i="59" l="1"/>
  <c r="AK75" i="59"/>
  <c r="AI75" i="59"/>
  <c r="AB74" i="59"/>
  <c r="Z74" i="59"/>
  <c r="C230" i="1"/>
  <c r="C231" i="1"/>
  <c r="C232" i="1"/>
  <c r="AE231" i="1"/>
  <c r="AE232" i="1"/>
  <c r="AE230" i="1"/>
  <c r="X232" i="1"/>
  <c r="X161" i="1"/>
  <c r="AB32" i="61" s="1"/>
  <c r="I20" i="2"/>
  <c r="K20" i="2" s="1"/>
  <c r="D538" i="1"/>
  <c r="L36" i="2"/>
  <c r="L33" i="2"/>
  <c r="L30" i="2"/>
  <c r="L37" i="2"/>
  <c r="L29" i="2"/>
  <c r="L35" i="2"/>
  <c r="AJ232" i="1"/>
  <c r="AI232" i="1" s="1"/>
  <c r="AH232" i="1" s="1"/>
  <c r="Y31" i="1"/>
  <c r="Y51" i="1"/>
  <c r="X542" i="1"/>
  <c r="AA74" i="61" s="1"/>
  <c r="X168" i="1"/>
  <c r="X208" i="1"/>
  <c r="X210" i="1"/>
  <c r="X209" i="1"/>
  <c r="J139" i="2"/>
  <c r="J64" i="2"/>
  <c r="X531" i="1"/>
  <c r="Z71" i="61" s="1"/>
  <c r="X533" i="1"/>
  <c r="AB71" i="61" s="1"/>
  <c r="X538" i="1"/>
  <c r="Z73" i="61" s="1"/>
  <c r="X540" i="1"/>
  <c r="AB73" i="61" s="1"/>
  <c r="C541" i="1"/>
  <c r="C543" i="1"/>
  <c r="AI192" i="1"/>
  <c r="AF526" i="1"/>
  <c r="D526" i="1"/>
  <c r="X231" i="1"/>
  <c r="X230" i="1"/>
  <c r="X167" i="1"/>
  <c r="X166" i="1"/>
  <c r="X159" i="1"/>
  <c r="Z32" i="61" s="1"/>
  <c r="X160" i="1"/>
  <c r="AA32" i="61" s="1"/>
  <c r="Y25" i="2"/>
  <c r="J145" i="2" s="1"/>
  <c r="J130" i="2"/>
  <c r="J126" i="2"/>
  <c r="J129" i="2"/>
  <c r="J132" i="2"/>
  <c r="J120" i="2"/>
  <c r="J128" i="2"/>
  <c r="I112" i="2"/>
  <c r="J119" i="2"/>
  <c r="J121" i="2"/>
  <c r="J111" i="2"/>
  <c r="AB32" i="59" l="1"/>
  <c r="E74" i="59"/>
  <c r="AB73" i="59"/>
  <c r="AA32" i="59"/>
  <c r="Z73" i="59"/>
  <c r="AB71" i="59"/>
  <c r="AA74" i="59"/>
  <c r="Z32" i="59"/>
  <c r="Z71" i="59"/>
  <c r="C526" i="1"/>
  <c r="G70" i="61" s="1"/>
  <c r="C538" i="1"/>
  <c r="C524" i="1"/>
  <c r="E70" i="61" s="1"/>
  <c r="C525" i="1"/>
  <c r="F70" i="61" s="1"/>
  <c r="C540" i="1"/>
  <c r="L26" i="2"/>
  <c r="AH230" i="1"/>
  <c r="AI41" i="61" s="1"/>
  <c r="AH231" i="1"/>
  <c r="AJ41" i="61" s="1"/>
  <c r="Y20" i="1"/>
  <c r="X532" i="1"/>
  <c r="AA71" i="61" s="1"/>
  <c r="AJ525" i="1"/>
  <c r="AI525" i="1" s="1"/>
  <c r="X539" i="1"/>
  <c r="AA73" i="61" s="1"/>
  <c r="AH192" i="1"/>
  <c r="AH194" i="1"/>
  <c r="Y146" i="1"/>
  <c r="Y535" i="1"/>
  <c r="Y527" i="1"/>
  <c r="AF538" i="1"/>
  <c r="I140" i="2"/>
  <c r="J140" i="2" s="1"/>
  <c r="AJ162" i="1"/>
  <c r="AI162" i="1" s="1"/>
  <c r="AJ200" i="1"/>
  <c r="AI200" i="1" s="1"/>
  <c r="AJ199" i="1"/>
  <c r="AI199" i="1" s="1"/>
  <c r="AJ541" i="1"/>
  <c r="AI541" i="1" s="1"/>
  <c r="AJ154" i="1"/>
  <c r="AI154" i="1" s="1"/>
  <c r="AJ185" i="1"/>
  <c r="AJ167" i="1"/>
  <c r="AI167" i="1" s="1"/>
  <c r="AJ159" i="1"/>
  <c r="AI159" i="1" s="1"/>
  <c r="AJ147" i="1"/>
  <c r="AI147" i="1" s="1"/>
  <c r="AJ209" i="1"/>
  <c r="AJ145" i="1"/>
  <c r="AI145" i="1" s="1"/>
  <c r="AJ146" i="1"/>
  <c r="AI146" i="1" s="1"/>
  <c r="AJ152" i="1"/>
  <c r="AI152" i="1" s="1"/>
  <c r="X525" i="1"/>
  <c r="X524" i="1"/>
  <c r="AF143" i="1"/>
  <c r="AC141" i="1"/>
  <c r="AC118" i="1"/>
  <c r="G110" i="2"/>
  <c r="I110" i="2" s="1"/>
  <c r="J110" i="2" s="1"/>
  <c r="AC105" i="1"/>
  <c r="AC142" i="1"/>
  <c r="G109" i="2"/>
  <c r="I109" i="2" s="1"/>
  <c r="J109" i="2" s="1"/>
  <c r="G108" i="2"/>
  <c r="I108" i="2" s="1"/>
  <c r="J108" i="2" s="1"/>
  <c r="AC132" i="1"/>
  <c r="AC133" i="1"/>
  <c r="AC136" i="1"/>
  <c r="AJ132" i="1"/>
  <c r="AI132" i="1" s="1"/>
  <c r="AF132" i="1"/>
  <c r="AF128" i="1"/>
  <c r="AF127" i="1"/>
  <c r="AF126" i="1"/>
  <c r="G104" i="2"/>
  <c r="G103" i="2"/>
  <c r="G19" i="2"/>
  <c r="J19" i="2" s="1"/>
  <c r="G101" i="2"/>
  <c r="I101" i="2" s="1"/>
  <c r="J101" i="2" s="1"/>
  <c r="G100" i="2"/>
  <c r="I100" i="2" s="1"/>
  <c r="J100" i="2" s="1"/>
  <c r="AC116" i="1"/>
  <c r="AC117" i="1"/>
  <c r="AJ116" i="1"/>
  <c r="AI116" i="1" s="1"/>
  <c r="G18" i="2"/>
  <c r="J18" i="2" s="1"/>
  <c r="G96" i="2"/>
  <c r="J96" i="2" s="1"/>
  <c r="AN101" i="1"/>
  <c r="AM101" i="1" s="1"/>
  <c r="E70" i="59" l="1"/>
  <c r="F70" i="59"/>
  <c r="E73" i="59"/>
  <c r="G70" i="59"/>
  <c r="G73" i="59"/>
  <c r="AA73" i="59"/>
  <c r="AA71" i="59"/>
  <c r="AJ41" i="59"/>
  <c r="AI41" i="59"/>
  <c r="AM102" i="1"/>
  <c r="AN102" i="1" s="1"/>
  <c r="Y118" i="1"/>
  <c r="AE143" i="1"/>
  <c r="AA132" i="1"/>
  <c r="I18" i="2"/>
  <c r="K18" i="2" s="1"/>
  <c r="J115" i="2"/>
  <c r="J116" i="2"/>
  <c r="I19" i="2"/>
  <c r="K19" i="2" s="1"/>
  <c r="J112" i="2"/>
  <c r="AC106" i="1"/>
  <c r="AB106" i="1" s="1"/>
  <c r="AH193" i="1"/>
  <c r="AH526" i="1"/>
  <c r="AK70" i="61" s="1"/>
  <c r="AH525" i="1"/>
  <c r="AJ70" i="61" s="1"/>
  <c r="X535" i="1"/>
  <c r="Z72" i="61" s="1"/>
  <c r="X537" i="1"/>
  <c r="AB72" i="61" s="1"/>
  <c r="AE538" i="1"/>
  <c r="AE540" i="1"/>
  <c r="X145" i="1"/>
  <c r="Z30" i="61" s="1"/>
  <c r="X147" i="1"/>
  <c r="AB30" i="61" s="1"/>
  <c r="AH201" i="1"/>
  <c r="AK37" i="61" s="1"/>
  <c r="AH541" i="1"/>
  <c r="AI74" i="61" s="1"/>
  <c r="AH543" i="1"/>
  <c r="AK74" i="61" s="1"/>
  <c r="AH152" i="1"/>
  <c r="AI31" i="61" s="1"/>
  <c r="AH154" i="1"/>
  <c r="AK31" i="61" s="1"/>
  <c r="AH167" i="1"/>
  <c r="AJ33" i="61" s="1"/>
  <c r="AH168" i="1"/>
  <c r="AK33" i="61" s="1"/>
  <c r="AH159" i="1"/>
  <c r="AI32" i="61" s="1"/>
  <c r="AH161" i="1"/>
  <c r="AK32" i="61" s="1"/>
  <c r="AH145" i="1"/>
  <c r="AI30" i="61" s="1"/>
  <c r="AH147" i="1"/>
  <c r="AK30" i="61" s="1"/>
  <c r="AI209" i="1"/>
  <c r="AI185" i="1"/>
  <c r="X146" i="1"/>
  <c r="AA30" i="61" s="1"/>
  <c r="AJ134" i="1"/>
  <c r="AI134" i="1" s="1"/>
  <c r="AH166" i="1"/>
  <c r="AI33" i="61" s="1"/>
  <c r="AH200" i="1"/>
  <c r="AJ37" i="61" s="1"/>
  <c r="AH160" i="1"/>
  <c r="AJ32" i="61" s="1"/>
  <c r="AJ526" i="1"/>
  <c r="AI526" i="1" s="1"/>
  <c r="AH524" i="1" s="1"/>
  <c r="AI70" i="61" s="1"/>
  <c r="AH199" i="1"/>
  <c r="AI37" i="61" s="1"/>
  <c r="AH153" i="1"/>
  <c r="AJ31" i="61" s="1"/>
  <c r="AH146" i="1"/>
  <c r="AJ30" i="61" s="1"/>
  <c r="AE142" i="1"/>
  <c r="AE141" i="1"/>
  <c r="J148" i="2"/>
  <c r="J149" i="2"/>
  <c r="I103" i="2"/>
  <c r="I104" i="2"/>
  <c r="Z30" i="59" l="1"/>
  <c r="AH73" i="59"/>
  <c r="AI37" i="59"/>
  <c r="AI32" i="59"/>
  <c r="AB72" i="59"/>
  <c r="AK30" i="59"/>
  <c r="AJ33" i="59"/>
  <c r="AJ31" i="59"/>
  <c r="AJ32" i="59"/>
  <c r="AJ70" i="59"/>
  <c r="AJ37" i="59"/>
  <c r="AK31" i="59"/>
  <c r="AK70" i="59"/>
  <c r="Z72" i="59"/>
  <c r="AI33" i="59"/>
  <c r="AI31" i="59"/>
  <c r="AJ36" i="59"/>
  <c r="AJ30" i="59"/>
  <c r="AK32" i="59"/>
  <c r="AK74" i="59"/>
  <c r="AI70" i="59"/>
  <c r="AA30" i="59"/>
  <c r="AI30" i="59"/>
  <c r="AK37" i="59"/>
  <c r="AK33" i="59"/>
  <c r="AI74" i="59"/>
  <c r="AB30" i="59"/>
  <c r="AH208" i="1"/>
  <c r="AI38" i="61" s="1"/>
  <c r="AH209" i="1"/>
  <c r="AJ38" i="61" s="1"/>
  <c r="J457" i="2"/>
  <c r="J102" i="2"/>
  <c r="AH133" i="1"/>
  <c r="AJ28" i="61" s="1"/>
  <c r="AH134" i="1"/>
  <c r="AK28" i="61" s="1"/>
  <c r="AJ91" i="1"/>
  <c r="AI91" i="1" s="1"/>
  <c r="AJ92" i="1"/>
  <c r="AI92" i="1" s="1"/>
  <c r="AJ90" i="1"/>
  <c r="AI90" i="1" s="1"/>
  <c r="AJ28" i="59" l="1"/>
  <c r="AJ38" i="59"/>
  <c r="AI38" i="59"/>
  <c r="AK28" i="59"/>
  <c r="AH92" i="1"/>
  <c r="AK21" i="61" s="1"/>
  <c r="AH90" i="1"/>
  <c r="AI21" i="61" s="1"/>
  <c r="AM124" i="1"/>
  <c r="AL126" i="1" s="1"/>
  <c r="AN27" i="61" s="1"/>
  <c r="AH91" i="1"/>
  <c r="AJ21" i="61" s="1"/>
  <c r="L19" i="2"/>
  <c r="J103" i="2"/>
  <c r="L18" i="2"/>
  <c r="X536" i="1"/>
  <c r="AA72" i="61" s="1"/>
  <c r="J104" i="2"/>
  <c r="AH116" i="1"/>
  <c r="AI26" i="61" s="1"/>
  <c r="AH118" i="1"/>
  <c r="AK26" i="61" s="1"/>
  <c r="AH185" i="1"/>
  <c r="AI35" i="61" s="1"/>
  <c r="AH187" i="1"/>
  <c r="AK35" i="61" s="1"/>
  <c r="AH210" i="1"/>
  <c r="AK38" i="61" s="1"/>
  <c r="AH117" i="1"/>
  <c r="AJ26" i="61" s="1"/>
  <c r="AH132" i="1"/>
  <c r="AI28" i="61" s="1"/>
  <c r="AF138" i="1"/>
  <c r="Y134" i="1"/>
  <c r="Y119" i="1"/>
  <c r="Y135" i="1"/>
  <c r="AJ539" i="1"/>
  <c r="AI539" i="1" s="1"/>
  <c r="AJ538" i="1"/>
  <c r="AI538" i="1" s="1"/>
  <c r="AJ124" i="1"/>
  <c r="AI124" i="1" s="1"/>
  <c r="AB102" i="1"/>
  <c r="AI102" i="1"/>
  <c r="G95" i="2"/>
  <c r="I95" i="2" s="1"/>
  <c r="J95" i="2" s="1"/>
  <c r="G93" i="2"/>
  <c r="I93" i="2" s="1"/>
  <c r="J93" i="2" s="1"/>
  <c r="G92" i="2"/>
  <c r="I92" i="2" s="1"/>
  <c r="J92" i="2" s="1"/>
  <c r="G91" i="2"/>
  <c r="I91" i="2" s="1"/>
  <c r="J91" i="2" s="1"/>
  <c r="AJ101" i="1"/>
  <c r="AI101" i="1" s="1"/>
  <c r="G89" i="2"/>
  <c r="I89" i="2" s="1"/>
  <c r="G88" i="2"/>
  <c r="G87" i="2"/>
  <c r="G86" i="2"/>
  <c r="G85" i="2"/>
  <c r="I85" i="2" s="1"/>
  <c r="AC101" i="1"/>
  <c r="AC103" i="1"/>
  <c r="E80" i="2"/>
  <c r="G17" i="2"/>
  <c r="J17" i="2" s="1"/>
  <c r="AJ21" i="59" l="1"/>
  <c r="AK38" i="59"/>
  <c r="AI21" i="59"/>
  <c r="AK35" i="59"/>
  <c r="AK21" i="59"/>
  <c r="AJ26" i="59"/>
  <c r="AK26" i="59"/>
  <c r="AI26" i="59"/>
  <c r="AA72" i="59"/>
  <c r="AI35" i="59"/>
  <c r="AN27" i="59"/>
  <c r="AI28" i="59"/>
  <c r="J89" i="2"/>
  <c r="J85" i="2"/>
  <c r="AN124" i="1"/>
  <c r="AL124" i="1"/>
  <c r="AL27" i="61" s="1"/>
  <c r="AE132" i="1"/>
  <c r="AF28" i="61" s="1"/>
  <c r="AA101" i="1"/>
  <c r="AF124" i="1"/>
  <c r="AE133" i="1"/>
  <c r="AG28" i="61" s="1"/>
  <c r="AE134" i="1"/>
  <c r="AH28" i="61" s="1"/>
  <c r="I17" i="2"/>
  <c r="K17" i="2" s="1"/>
  <c r="AF125" i="1"/>
  <c r="AH186" i="1"/>
  <c r="AJ35" i="61" s="1"/>
  <c r="AL101" i="1"/>
  <c r="AL24" i="61" s="1"/>
  <c r="AL103" i="1"/>
  <c r="AN24" i="61" s="1"/>
  <c r="AH540" i="1"/>
  <c r="AK73" i="61" s="1"/>
  <c r="AH124" i="1"/>
  <c r="AI27" i="61" s="1"/>
  <c r="AH126" i="1"/>
  <c r="AK27" i="61" s="1"/>
  <c r="Y107" i="1"/>
  <c r="AF107" i="1"/>
  <c r="AH538" i="1"/>
  <c r="AI73" i="61" s="1"/>
  <c r="AH539" i="1"/>
  <c r="AJ73" i="61" s="1"/>
  <c r="AH28" i="59" l="1"/>
  <c r="AG28" i="59"/>
  <c r="AI73" i="59"/>
  <c r="AK27" i="59"/>
  <c r="AF28" i="59"/>
  <c r="AI27" i="59"/>
  <c r="AK73" i="59"/>
  <c r="AJ35" i="59"/>
  <c r="AJ73" i="59"/>
  <c r="AN24" i="59"/>
  <c r="AL24" i="59"/>
  <c r="AL125" i="1"/>
  <c r="AM27" i="61" s="1"/>
  <c r="AL27" i="59"/>
  <c r="AJ103" i="1"/>
  <c r="AI103" i="1" s="1"/>
  <c r="AI106" i="1"/>
  <c r="AJ106" i="1" s="1"/>
  <c r="AE126" i="1"/>
  <c r="AH27" i="61" s="1"/>
  <c r="L17" i="2"/>
  <c r="AE125" i="1"/>
  <c r="AG27" i="61" s="1"/>
  <c r="AE124" i="1"/>
  <c r="AF27" i="61" s="1"/>
  <c r="AL102" i="1"/>
  <c r="AM24" i="61" s="1"/>
  <c r="AF105" i="1"/>
  <c r="Y105" i="1"/>
  <c r="AF106" i="1"/>
  <c r="Y108" i="1"/>
  <c r="Y106" i="1"/>
  <c r="Y109" i="1"/>
  <c r="G16" i="2"/>
  <c r="AM27" i="59" l="1"/>
  <c r="AM24" i="59"/>
  <c r="AG27" i="59"/>
  <c r="AH27" i="59"/>
  <c r="AF27" i="59"/>
  <c r="AH103" i="1"/>
  <c r="AK24" i="61" s="1"/>
  <c r="AH102" i="1"/>
  <c r="AJ24" i="61" s="1"/>
  <c r="AH101" i="1"/>
  <c r="AI24" i="61" s="1"/>
  <c r="I16" i="2"/>
  <c r="K16" i="2" s="1"/>
  <c r="J81" i="2"/>
  <c r="J80" i="2"/>
  <c r="AK24" i="59" l="1"/>
  <c r="AJ24" i="59"/>
  <c r="AI24" i="59"/>
  <c r="L16" i="2"/>
  <c r="AJ97" i="1"/>
  <c r="AI97" i="1" s="1"/>
  <c r="AJ98" i="1"/>
  <c r="AE103" i="1"/>
  <c r="AH24" i="61" s="1"/>
  <c r="G3" i="30"/>
  <c r="G2" i="30"/>
  <c r="AE102" i="1"/>
  <c r="AG24" i="61" s="1"/>
  <c r="AE101" i="1"/>
  <c r="AF24" i="61" s="1"/>
  <c r="J79" i="2"/>
  <c r="G15" i="2"/>
  <c r="AH24" i="59" l="1"/>
  <c r="AF24" i="59"/>
  <c r="AG24" i="59"/>
  <c r="I15" i="2"/>
  <c r="K15" i="2" s="1"/>
  <c r="AH99" i="1"/>
  <c r="AK23" i="61" s="1"/>
  <c r="AH97" i="1"/>
  <c r="AI23" i="61" s="1"/>
  <c r="X51" i="1"/>
  <c r="Z11" i="61" s="1"/>
  <c r="X53" i="1"/>
  <c r="AB11" i="61" s="1"/>
  <c r="AJ51" i="1"/>
  <c r="AI51" i="1" s="1"/>
  <c r="AJ73" i="1"/>
  <c r="AI73" i="1" s="1"/>
  <c r="AH75" i="1" s="1"/>
  <c r="AK16" i="61" s="1"/>
  <c r="I70" i="2"/>
  <c r="J70" i="2" s="1"/>
  <c r="I63" i="2"/>
  <c r="G13" i="2"/>
  <c r="G12" i="2"/>
  <c r="G11" i="2"/>
  <c r="G8" i="2"/>
  <c r="Z11" i="59" l="1"/>
  <c r="AI23" i="59"/>
  <c r="AK23" i="59"/>
  <c r="AB11" i="59"/>
  <c r="AK16" i="59"/>
  <c r="L15" i="2"/>
  <c r="I11" i="2"/>
  <c r="K11" i="2" s="1"/>
  <c r="I12" i="2"/>
  <c r="K12" i="2" s="1"/>
  <c r="I13" i="2"/>
  <c r="K13" i="2" s="1"/>
  <c r="AH98" i="1"/>
  <c r="AJ23" i="61" s="1"/>
  <c r="I8" i="2"/>
  <c r="K8" i="2" s="1"/>
  <c r="L32" i="2"/>
  <c r="X52" i="1"/>
  <c r="AA11" i="61" s="1"/>
  <c r="X31" i="1"/>
  <c r="Z6" i="61" s="1"/>
  <c r="X33" i="1"/>
  <c r="AB6" i="61" s="1"/>
  <c r="AH51" i="1"/>
  <c r="AI11" i="61" s="1"/>
  <c r="AH53" i="1"/>
  <c r="AK11" i="61" s="1"/>
  <c r="AH73" i="1"/>
  <c r="AI16" i="61" s="1"/>
  <c r="Y10" i="1"/>
  <c r="AJ40" i="1"/>
  <c r="AI40" i="1" s="1"/>
  <c r="Y43" i="1"/>
  <c r="Y40" i="1"/>
  <c r="Y48" i="1"/>
  <c r="J72" i="2"/>
  <c r="Z6" i="59" l="1"/>
  <c r="AJ23" i="59"/>
  <c r="AB6" i="59"/>
  <c r="AA11" i="59"/>
  <c r="AI16" i="59"/>
  <c r="AK11" i="59"/>
  <c r="AI11" i="59"/>
  <c r="J97" i="2"/>
  <c r="J98" i="2"/>
  <c r="L11" i="2"/>
  <c r="I58" i="2"/>
  <c r="J58" i="2" s="1"/>
  <c r="L13" i="2"/>
  <c r="I60" i="2"/>
  <c r="J60" i="2" s="1"/>
  <c r="J162" i="2"/>
  <c r="I76" i="2"/>
  <c r="J76" i="2" s="1"/>
  <c r="J77" i="2"/>
  <c r="AJ35" i="1" s="1"/>
  <c r="AI35" i="1" s="1"/>
  <c r="AH37" i="1" s="1"/>
  <c r="AK7" i="61" s="1"/>
  <c r="L38" i="2"/>
  <c r="L34" i="2"/>
  <c r="X32" i="1"/>
  <c r="AA6" i="61" s="1"/>
  <c r="I61" i="2"/>
  <c r="J61" i="2" s="1"/>
  <c r="X20" i="1"/>
  <c r="Z4" i="61" s="1"/>
  <c r="X22" i="1"/>
  <c r="AB4" i="61" s="1"/>
  <c r="AH40" i="1"/>
  <c r="AI8" i="61" s="1"/>
  <c r="AH42" i="1"/>
  <c r="AK8" i="61" s="1"/>
  <c r="X10" i="1"/>
  <c r="Z3" i="61" s="1"/>
  <c r="X12" i="1"/>
  <c r="AB3" i="61" s="1"/>
  <c r="X48" i="1"/>
  <c r="Z10" i="61" s="1"/>
  <c r="X50" i="1"/>
  <c r="AB10" i="61" s="1"/>
  <c r="X40" i="1"/>
  <c r="Z8" i="61" s="1"/>
  <c r="X42" i="1"/>
  <c r="AB8" i="61" s="1"/>
  <c r="X43" i="1"/>
  <c r="Z9" i="61" s="1"/>
  <c r="X45" i="1"/>
  <c r="AB9" i="61" s="1"/>
  <c r="AJ48" i="1"/>
  <c r="AI48" i="1" s="1"/>
  <c r="J62" i="2"/>
  <c r="I59" i="2"/>
  <c r="J59" i="2" s="1"/>
  <c r="J144" i="2"/>
  <c r="AB4" i="59" l="1"/>
  <c r="Z4" i="59"/>
  <c r="AB10" i="59"/>
  <c r="AB3" i="59"/>
  <c r="AK8" i="59"/>
  <c r="AB9" i="59"/>
  <c r="Z8" i="59"/>
  <c r="Z10" i="59"/>
  <c r="Z3" i="59"/>
  <c r="Z9" i="59"/>
  <c r="AA6" i="59"/>
  <c r="AK7" i="59"/>
  <c r="AI8" i="59"/>
  <c r="AB8" i="59"/>
  <c r="AH35" i="1"/>
  <c r="AI7" i="61" s="1"/>
  <c r="AJ113" i="1"/>
  <c r="AI113" i="1" s="1"/>
  <c r="AJ112" i="1"/>
  <c r="AI112" i="1" s="1"/>
  <c r="AF525" i="1"/>
  <c r="L12" i="2"/>
  <c r="AF35" i="1"/>
  <c r="AJ36" i="1"/>
  <c r="AI36" i="1" s="1"/>
  <c r="L20" i="2"/>
  <c r="L39" i="2"/>
  <c r="AF532" i="1"/>
  <c r="AF20" i="1"/>
  <c r="AF114" i="1"/>
  <c r="X11" i="1"/>
  <c r="AA3" i="61" s="1"/>
  <c r="X41" i="1"/>
  <c r="AA8" i="61" s="1"/>
  <c r="X44" i="1"/>
  <c r="AA9" i="61" s="1"/>
  <c r="X49" i="1"/>
  <c r="AA10" i="61" s="1"/>
  <c r="X21" i="1"/>
  <c r="AA4" i="61" s="1"/>
  <c r="AH48" i="1"/>
  <c r="AI10" i="61" s="1"/>
  <c r="AH50" i="1"/>
  <c r="AK10" i="61" s="1"/>
  <c r="AJ20" i="1"/>
  <c r="AI20" i="1" s="1"/>
  <c r="AJ44" i="1"/>
  <c r="AI44" i="1" s="1"/>
  <c r="AJ531" i="1"/>
  <c r="AI531" i="1" s="1"/>
  <c r="AH533" i="1" s="1"/>
  <c r="AK71" i="61" s="1"/>
  <c r="J52" i="2"/>
  <c r="AI10" i="59" l="1"/>
  <c r="AA10" i="59"/>
  <c r="AK10" i="59"/>
  <c r="AA9" i="59"/>
  <c r="AI7" i="59"/>
  <c r="AA4" i="59"/>
  <c r="AA8" i="59"/>
  <c r="AK71" i="59"/>
  <c r="AA3" i="59"/>
  <c r="AE524" i="1"/>
  <c r="AF70" i="61" s="1"/>
  <c r="AE533" i="1"/>
  <c r="AH71" i="61" s="1"/>
  <c r="AE22" i="1"/>
  <c r="AH4" i="61" s="1"/>
  <c r="AE20" i="1"/>
  <c r="AF4" i="61" s="1"/>
  <c r="AE21" i="1"/>
  <c r="AG4" i="61" s="1"/>
  <c r="AH114" i="1"/>
  <c r="AK25" i="61" s="1"/>
  <c r="AH112" i="1"/>
  <c r="AI25" i="61" s="1"/>
  <c r="AE525" i="1"/>
  <c r="AG70" i="61" s="1"/>
  <c r="AE526" i="1"/>
  <c r="AH70" i="61" s="1"/>
  <c r="AE35" i="1"/>
  <c r="AF7" i="61" s="1"/>
  <c r="AE37" i="1"/>
  <c r="AH7" i="61" s="1"/>
  <c r="AE531" i="1"/>
  <c r="AF71" i="61" s="1"/>
  <c r="AE532" i="1"/>
  <c r="AG71" i="61" s="1"/>
  <c r="AH531" i="1"/>
  <c r="AI71" i="61" s="1"/>
  <c r="AH20" i="1"/>
  <c r="AI4" i="61" s="1"/>
  <c r="AH22" i="1"/>
  <c r="AK4" i="61" s="1"/>
  <c r="AF46" i="1"/>
  <c r="AJ43" i="1"/>
  <c r="AI43" i="1" s="1"/>
  <c r="AH4" i="59" l="1"/>
  <c r="AK25" i="59"/>
  <c r="AK4" i="59"/>
  <c r="AI71" i="59"/>
  <c r="AH71" i="59"/>
  <c r="AF4" i="59"/>
  <c r="AG4" i="59"/>
  <c r="AG71" i="59"/>
  <c r="AF71" i="59"/>
  <c r="AG70" i="59"/>
  <c r="AI4" i="59"/>
  <c r="AF70" i="59"/>
  <c r="AH7" i="59"/>
  <c r="AF7" i="59"/>
  <c r="AH70" i="59"/>
  <c r="AI25" i="59"/>
  <c r="L14" i="2"/>
  <c r="AH43" i="1" l="1"/>
  <c r="AI9" i="61" s="1"/>
  <c r="AH45" i="1"/>
  <c r="AK9" i="61" s="1"/>
  <c r="AK9" i="59" l="1"/>
  <c r="AI9" i="59"/>
  <c r="AQ31" i="1"/>
  <c r="AT31" i="1"/>
  <c r="AS33" i="1" s="1"/>
  <c r="AP31" i="1" l="1"/>
  <c r="AP33" i="1"/>
  <c r="AH2" i="30"/>
  <c r="AS32" i="1"/>
  <c r="AS31" i="1"/>
  <c r="AP9" i="30" l="1"/>
  <c r="H9" i="2"/>
  <c r="F9" i="2"/>
  <c r="G9" i="2" s="1"/>
  <c r="AT9" i="30" a="1"/>
  <c r="AT9" i="30" s="1"/>
  <c r="AT85" i="1"/>
  <c r="AS85" i="1" s="1"/>
  <c r="AS9" i="30" l="1"/>
  <c r="I9" i="2"/>
  <c r="K9" i="2" s="1"/>
  <c r="AS84" i="1"/>
  <c r="AS83" i="1"/>
  <c r="X112" i="1"/>
  <c r="Z25" i="61" s="1"/>
  <c r="Z25" i="59" l="1"/>
  <c r="L9" i="2"/>
  <c r="L28" i="2"/>
  <c r="AT22" i="30" a="1"/>
  <c r="AT22" i="30" s="1"/>
  <c r="X113" i="1"/>
  <c r="AA25" i="61" s="1"/>
  <c r="AA25" i="59" l="1"/>
  <c r="AS22" i="30"/>
  <c r="J66" i="2"/>
  <c r="I50" i="2"/>
  <c r="J50" i="2" s="1"/>
  <c r="AB2" i="30"/>
  <c r="AF33" i="1" l="1"/>
  <c r="AJ31" i="1"/>
  <c r="AI31" i="1" s="1"/>
  <c r="AT299" i="1"/>
  <c r="AS299" i="1" s="1"/>
  <c r="AT52" i="30" l="1" a="1"/>
  <c r="AT52" i="30" s="1"/>
  <c r="AH31" i="1"/>
  <c r="AI6" i="61" s="1"/>
  <c r="AH33" i="1"/>
  <c r="AK6" i="61" s="1"/>
  <c r="AE33" i="1"/>
  <c r="AH6" i="61" s="1"/>
  <c r="AE31" i="1"/>
  <c r="AF6" i="61" s="1"/>
  <c r="AE32" i="1"/>
  <c r="AG6" i="61" s="1"/>
  <c r="AG6" i="59" l="1"/>
  <c r="AH6" i="59"/>
  <c r="AF6" i="59"/>
  <c r="AK6" i="59"/>
  <c r="AI6" i="59"/>
  <c r="AS298" i="1"/>
  <c r="F31" i="2" s="1"/>
  <c r="G31" i="2" s="1"/>
  <c r="J31" i="2" s="1"/>
  <c r="AS300" i="1"/>
  <c r="I31" i="2" l="1"/>
  <c r="K31" i="2" s="1"/>
  <c r="AS52" i="30" l="1"/>
  <c r="AS3" i="30" s="1"/>
  <c r="AN355" i="1"/>
  <c r="L31" i="2"/>
  <c r="J275" i="2" l="1"/>
  <c r="J277" i="2"/>
  <c r="J276" i="2"/>
  <c r="AJ301" i="1" l="1"/>
  <c r="AI301" i="1" s="1"/>
  <c r="AJ302" i="1"/>
  <c r="AI302" i="1" s="1"/>
  <c r="AJ300" i="1"/>
  <c r="AI300" i="1" s="1"/>
  <c r="AK2" i="30"/>
  <c r="AH299" i="1" l="1"/>
  <c r="AJ49" i="61" s="1"/>
  <c r="AH298" i="1"/>
  <c r="AI49" i="61" s="1"/>
  <c r="AH300" i="1"/>
  <c r="AK49" i="61" s="1"/>
  <c r="AI49" i="59" l="1"/>
  <c r="AK49" i="59"/>
  <c r="AJ49" i="59"/>
  <c r="V2" i="30" l="1"/>
  <c r="AS328" i="1" l="1"/>
  <c r="AS471" i="1"/>
  <c r="AS407" i="1"/>
  <c r="AS319" i="1"/>
  <c r="AS349" i="1"/>
  <c r="AS237" i="1"/>
  <c r="AS532" i="1"/>
  <c r="AS186" i="1"/>
  <c r="AS178" i="1"/>
  <c r="AS200" i="1"/>
  <c r="AS88" i="1"/>
  <c r="AS550" i="1"/>
  <c r="AS49" i="1"/>
  <c r="AS282" i="1"/>
  <c r="AS308" i="1"/>
  <c r="AS346" i="1"/>
  <c r="AS56" i="59" l="1"/>
  <c r="AS34" i="59"/>
  <c r="AR61" i="59"/>
  <c r="AS76" i="59"/>
  <c r="AS37" i="59"/>
  <c r="AS35" i="59"/>
  <c r="AS57" i="59"/>
  <c r="AR65" i="59"/>
  <c r="AS20" i="59"/>
  <c r="AS71" i="59"/>
  <c r="AS42" i="59"/>
  <c r="AS52" i="59"/>
  <c r="AS50" i="59"/>
  <c r="AS46" i="59"/>
  <c r="AS10" i="59"/>
  <c r="AS54" i="59"/>
  <c r="AT23" i="30" a="1"/>
  <c r="AT23" i="30" s="1"/>
  <c r="AT37" i="30" a="1"/>
  <c r="AT37" i="30" s="1"/>
  <c r="AT68" i="30" a="1"/>
  <c r="AT68" i="30" s="1"/>
  <c r="AT53" i="30" a="1"/>
  <c r="AT53" i="30" s="1"/>
  <c r="AT74" i="30" a="1"/>
  <c r="AT74" i="30" s="1"/>
  <c r="AT38" i="30" a="1"/>
  <c r="AT38" i="30" s="1"/>
  <c r="AT13" i="30" a="1"/>
  <c r="AT13" i="30" s="1"/>
  <c r="AT3" i="30" s="1"/>
  <c r="AT79" i="30" a="1"/>
  <c r="AT79" i="30" s="1"/>
  <c r="AT64" i="30" a="1"/>
  <c r="AT64" i="30" s="1"/>
  <c r="AT45" i="30" a="1"/>
  <c r="AT45" i="30" s="1"/>
  <c r="AT49" i="30" a="1"/>
  <c r="AT49" i="30" s="1"/>
  <c r="AT60" i="30" a="1"/>
  <c r="AT60" i="30" s="1"/>
  <c r="AT55" i="30" a="1"/>
  <c r="AT55" i="30" s="1"/>
  <c r="AT59" i="30" a="1"/>
  <c r="AT59" i="30" s="1"/>
  <c r="AT40" i="30" a="1"/>
  <c r="AT40" i="30" s="1"/>
  <c r="AT57" i="30" a="1"/>
  <c r="AT57" i="30" s="1"/>
  <c r="AT2" i="30" l="1"/>
  <c r="I49" i="2" l="1"/>
  <c r="J49" i="2" s="1"/>
  <c r="AF12" i="1" l="1"/>
  <c r="AE10" i="1" l="1"/>
  <c r="AF3" i="61" s="1"/>
  <c r="AE11" i="1"/>
  <c r="AG3" i="61" s="1"/>
  <c r="AE12" i="1"/>
  <c r="AH3" i="61" s="1"/>
  <c r="AG3" i="59" l="1"/>
  <c r="AH3" i="59"/>
  <c r="AF3" i="59"/>
  <c r="L8" i="2"/>
  <c r="J63" i="2"/>
  <c r="AJ10" i="1" l="1"/>
  <c r="AI10" i="1" s="1"/>
  <c r="AH10" i="1" l="1"/>
  <c r="AI3" i="61" s="1"/>
  <c r="AH12" i="1"/>
  <c r="AK3" i="61" s="1"/>
  <c r="AK3" i="59" l="1"/>
  <c r="AI3" i="59"/>
  <c r="AQ29" i="30" a="1"/>
  <c r="AQ29" i="30" s="1"/>
  <c r="AQ46" i="30" l="1" a="1"/>
  <c r="AQ46" i="30" s="1"/>
  <c r="AJ510" i="1" l="1"/>
  <c r="AI510" i="1" s="1"/>
  <c r="Y509" i="1"/>
  <c r="AJ490" i="1"/>
  <c r="AI490" i="1" s="1"/>
  <c r="Y492" i="1"/>
  <c r="X483" i="1" s="1"/>
  <c r="X510" i="1" l="1"/>
  <c r="Z68" i="61" s="1"/>
  <c r="X481" i="1"/>
  <c r="X482" i="1"/>
  <c r="X511" i="1"/>
  <c r="AA68" i="61" s="1"/>
  <c r="X509" i="1"/>
  <c r="AJ467" i="1"/>
  <c r="AI467" i="1" s="1"/>
  <c r="AA68" i="59" l="1"/>
  <c r="Z68" i="59"/>
  <c r="AI466" i="1"/>
  <c r="Y444" i="1"/>
  <c r="AF443" i="1"/>
  <c r="AF450" i="1"/>
  <c r="D483" i="1" l="1"/>
  <c r="C482" i="1" l="1"/>
  <c r="C483" i="1"/>
  <c r="C481" i="1"/>
  <c r="C420" i="1"/>
  <c r="AJ391" i="1"/>
  <c r="AI391" i="1" s="1"/>
  <c r="Y395" i="1"/>
  <c r="X386" i="1" s="1"/>
  <c r="X388" i="1" l="1"/>
  <c r="AA60" i="61" s="1"/>
  <c r="X387" i="1"/>
  <c r="Z60" i="61" s="1"/>
  <c r="C421" i="1"/>
  <c r="D374" i="1"/>
  <c r="AF444" i="1"/>
  <c r="Z60" i="59" l="1"/>
  <c r="AA60" i="59"/>
  <c r="AF449" i="1"/>
  <c r="F65" i="30" l="1"/>
  <c r="F3" i="30" s="1"/>
  <c r="F69" i="30"/>
  <c r="Y375" i="1"/>
  <c r="AJ370" i="1"/>
  <c r="AI370" i="1" s="1"/>
  <c r="H415" i="2" a="1"/>
  <c r="H388" i="2" a="1"/>
  <c r="H416" i="2" a="1"/>
  <c r="H386" i="2" a="1"/>
  <c r="H418" i="2" a="1"/>
  <c r="H500" i="2" a="1"/>
  <c r="H385" i="2" a="1"/>
  <c r="H425" i="2" a="1"/>
  <c r="H387" i="2" a="1"/>
  <c r="H384" i="2" a="1"/>
  <c r="H500" i="2" l="1"/>
  <c r="I500" i="2" s="1"/>
  <c r="J500" i="2" s="1"/>
  <c r="H385" i="2"/>
  <c r="H388" i="2"/>
  <c r="H387" i="2"/>
  <c r="H425" i="2"/>
  <c r="H384" i="2"/>
  <c r="H386" i="2"/>
  <c r="H415" i="2"/>
  <c r="H416" i="2"/>
  <c r="H418" i="2"/>
  <c r="Y462" i="1"/>
  <c r="AF465" i="1"/>
  <c r="AJ461" i="1"/>
  <c r="AI461" i="1" s="1"/>
  <c r="AH460" i="1" s="1"/>
  <c r="AJ64" i="61" s="1"/>
  <c r="AJ509" i="1"/>
  <c r="AI509" i="1" s="1"/>
  <c r="AH510" i="1" s="1"/>
  <c r="AI68" i="61" s="1"/>
  <c r="AI68" i="59" l="1"/>
  <c r="AJ64" i="59"/>
  <c r="AF510" i="1"/>
  <c r="AE511" i="1" s="1"/>
  <c r="AG68" i="61" s="1"/>
  <c r="AH509" i="1"/>
  <c r="AH511" i="1"/>
  <c r="AJ68" i="61" s="1"/>
  <c r="AH458" i="1"/>
  <c r="AH459" i="1"/>
  <c r="AI64" i="61" s="1"/>
  <c r="X458" i="1"/>
  <c r="X459" i="1"/>
  <c r="Z64" i="61" s="1"/>
  <c r="I425" i="2"/>
  <c r="J425" i="2" s="1"/>
  <c r="I418" i="2"/>
  <c r="J418" i="2" s="1"/>
  <c r="I416" i="2"/>
  <c r="J416" i="2" s="1"/>
  <c r="I415" i="2"/>
  <c r="J415" i="2" s="1"/>
  <c r="I386" i="2"/>
  <c r="J386" i="2" s="1"/>
  <c r="I384" i="2"/>
  <c r="J384" i="2" s="1"/>
  <c r="I387" i="2"/>
  <c r="J387" i="2" s="1"/>
  <c r="I388" i="2"/>
  <c r="J388" i="2" s="1"/>
  <c r="I385" i="2"/>
  <c r="J385" i="2" s="1"/>
  <c r="X460" i="1"/>
  <c r="AA64" i="61" s="1"/>
  <c r="AJ493" i="1"/>
  <c r="AI493" i="1" s="1"/>
  <c r="AJ491" i="1"/>
  <c r="AI491" i="1" s="1"/>
  <c r="AJ68" i="59" l="1"/>
  <c r="Z64" i="59"/>
  <c r="AI64" i="59"/>
  <c r="AG68" i="59"/>
  <c r="AA64" i="59"/>
  <c r="AE510" i="1"/>
  <c r="AF68" i="61" s="1"/>
  <c r="AE509" i="1"/>
  <c r="AF495" i="1"/>
  <c r="AF422" i="1"/>
  <c r="AF420" i="1"/>
  <c r="AF421" i="1"/>
  <c r="AF492" i="1"/>
  <c r="AF485" i="1"/>
  <c r="AF493" i="1"/>
  <c r="AF487" i="1"/>
  <c r="AF484" i="1"/>
  <c r="AF447" i="1"/>
  <c r="AJ424" i="1"/>
  <c r="AI424" i="1" s="1"/>
  <c r="AF68" i="59" l="1"/>
  <c r="AE483" i="1"/>
  <c r="AG66" i="61" s="1"/>
  <c r="AE482" i="1"/>
  <c r="AF66" i="61" s="1"/>
  <c r="AE481" i="1"/>
  <c r="AF435" i="1"/>
  <c r="AF434" i="1"/>
  <c r="AF433" i="1"/>
  <c r="AF448" i="1"/>
  <c r="AF446" i="1"/>
  <c r="AF445" i="1"/>
  <c r="AF66" i="59" l="1"/>
  <c r="AG66" i="59"/>
  <c r="AE433" i="1"/>
  <c r="AG63" i="61" s="1"/>
  <c r="AE432" i="1"/>
  <c r="AF63" i="61" s="1"/>
  <c r="AE431" i="1"/>
  <c r="AF441" i="1"/>
  <c r="AJ442" i="1"/>
  <c r="AI442" i="1" s="1"/>
  <c r="AG63" i="59" l="1"/>
  <c r="AF63" i="59"/>
  <c r="AF388" i="1"/>
  <c r="AE388" i="1" l="1"/>
  <c r="AG60" i="61" s="1"/>
  <c r="AE386" i="1"/>
  <c r="AE387" i="1"/>
  <c r="AF60" i="61" s="1"/>
  <c r="AI484" i="1"/>
  <c r="AJ484" i="1" s="1"/>
  <c r="AI434" i="1"/>
  <c r="AJ434" i="1" s="1"/>
  <c r="AI389" i="1"/>
  <c r="AJ389" i="1" s="1"/>
  <c r="AI395" i="1"/>
  <c r="AJ395" i="1" s="1"/>
  <c r="AF60" i="59" l="1"/>
  <c r="AG60" i="59"/>
  <c r="AI393" i="1"/>
  <c r="AJ393" i="1" s="1"/>
  <c r="AJ376" i="1"/>
  <c r="AI376" i="1" s="1"/>
  <c r="AJ375" i="1"/>
  <c r="AI375" i="1" s="1"/>
  <c r="AJ481" i="1"/>
  <c r="AI481" i="1" s="1"/>
  <c r="AH483" i="1" s="1"/>
  <c r="AJ66" i="61" s="1"/>
  <c r="AJ431" i="1"/>
  <c r="AI431" i="1" s="1"/>
  <c r="AJ419" i="1"/>
  <c r="AI419" i="1" s="1"/>
  <c r="AH420" i="1" s="1"/>
  <c r="AI62" i="61" s="1"/>
  <c r="AJ406" i="1"/>
  <c r="AI62" i="59" l="1"/>
  <c r="AJ66" i="59"/>
  <c r="AH421" i="1"/>
  <c r="AJ62" i="61" s="1"/>
  <c r="AH419" i="1"/>
  <c r="AH481" i="1"/>
  <c r="AH482" i="1"/>
  <c r="AI66" i="61" s="1"/>
  <c r="AH431" i="1"/>
  <c r="AH432" i="1"/>
  <c r="AI63" i="61" s="1"/>
  <c r="AH433" i="1"/>
  <c r="AJ63" i="61" s="1"/>
  <c r="AI406" i="1"/>
  <c r="AH406" i="1" s="1"/>
  <c r="AH408" i="1"/>
  <c r="AJ61" i="61" s="1"/>
  <c r="AJ372" i="1"/>
  <c r="AI372" i="1" s="1"/>
  <c r="Y431" i="1"/>
  <c r="AI386" i="1"/>
  <c r="AH386" i="1" s="1"/>
  <c r="AJ366" i="1"/>
  <c r="AI366" i="1" s="1"/>
  <c r="AH368" i="1" s="1"/>
  <c r="AJ59" i="61" s="1"/>
  <c r="AI63" i="59" l="1"/>
  <c r="AI66" i="59"/>
  <c r="AJ62" i="59"/>
  <c r="AJ63" i="59"/>
  <c r="AJ59" i="59"/>
  <c r="AJ61" i="59"/>
  <c r="X431" i="1"/>
  <c r="X432" i="1"/>
  <c r="Z63" i="61" s="1"/>
  <c r="AH387" i="1"/>
  <c r="AI60" i="61" s="1"/>
  <c r="AH388" i="1"/>
  <c r="AJ60" i="61" s="1"/>
  <c r="AJ386" i="1"/>
  <c r="AH366" i="1"/>
  <c r="AH367" i="1"/>
  <c r="AI59" i="61" s="1"/>
  <c r="X433" i="1"/>
  <c r="AA63" i="61" s="1"/>
  <c r="Y368" i="1"/>
  <c r="AA63" i="59" l="1"/>
  <c r="AI59" i="59"/>
  <c r="AJ60" i="59"/>
  <c r="Z63" i="59"/>
  <c r="AI60" i="59"/>
  <c r="X366" i="1"/>
  <c r="X367" i="1"/>
  <c r="Z59" i="61" s="1"/>
  <c r="X368" i="1"/>
  <c r="AA59" i="61" s="1"/>
  <c r="AI374" i="1"/>
  <c r="Z59" i="59" l="1"/>
  <c r="AA59" i="59"/>
  <c r="AJ374" i="1"/>
  <c r="AF398" i="1"/>
  <c r="C237" i="1" l="1"/>
  <c r="F42" i="59" l="1"/>
  <c r="C407" i="1"/>
  <c r="C219" i="1"/>
  <c r="C27" i="1"/>
  <c r="C521" i="1"/>
  <c r="C41" i="1"/>
  <c r="C84" i="1"/>
  <c r="C95" i="1"/>
  <c r="C77" i="1"/>
  <c r="C80" i="1"/>
  <c r="C52" i="1"/>
  <c r="C91" i="1"/>
  <c r="C287" i="1"/>
  <c r="C536" i="1"/>
  <c r="C532" i="1"/>
  <c r="C319" i="1"/>
  <c r="C74" i="1"/>
  <c r="C68" i="1"/>
  <c r="C44" i="1"/>
  <c r="C346" i="1"/>
  <c r="C539" i="1"/>
  <c r="C98" i="1"/>
  <c r="C542" i="1"/>
  <c r="C56" i="1"/>
  <c r="F73" i="59" l="1"/>
  <c r="F74" i="59"/>
  <c r="F12" i="59"/>
  <c r="F5" i="59"/>
  <c r="F11" i="59"/>
  <c r="F18" i="59"/>
  <c r="F17" i="59"/>
  <c r="F22" i="59"/>
  <c r="F9" i="59"/>
  <c r="F15" i="59"/>
  <c r="F69" i="59"/>
  <c r="F39" i="59"/>
  <c r="F21" i="59"/>
  <c r="F23" i="59"/>
  <c r="F56" i="59"/>
  <c r="F19" i="59"/>
  <c r="F8" i="59"/>
  <c r="F16" i="59"/>
  <c r="F52" i="59"/>
  <c r="F71" i="59"/>
  <c r="F72" i="59"/>
  <c r="E61" i="59"/>
  <c r="F47" i="59"/>
  <c r="E377" i="2"/>
  <c r="I377" i="2" s="1"/>
  <c r="J498" i="2"/>
  <c r="AF453" i="1" s="1"/>
  <c r="X102" i="1" l="1"/>
  <c r="AA24" i="59" l="1"/>
  <c r="X133" i="1"/>
  <c r="X471" i="1"/>
  <c r="X27" i="1"/>
  <c r="AA5" i="61" s="1"/>
  <c r="X117" i="1"/>
  <c r="X68" i="1"/>
  <c r="AA15" i="61" s="1"/>
  <c r="X56" i="1"/>
  <c r="AA12" i="61" s="1"/>
  <c r="AA26" i="59" l="1"/>
  <c r="AA5" i="59"/>
  <c r="Z65" i="59"/>
  <c r="AA12" i="59"/>
  <c r="AA15" i="59"/>
  <c r="AA28" i="59"/>
  <c r="U499" i="1"/>
  <c r="U459" i="1"/>
  <c r="U432" i="1"/>
  <c r="U482" i="1"/>
  <c r="U367" i="1"/>
  <c r="U387" i="1"/>
  <c r="U74" i="1" a="1"/>
  <c r="U74" i="1" s="1"/>
  <c r="U308" i="1" a="1"/>
  <c r="U308" i="1" s="1"/>
  <c r="U178" i="1" a="1"/>
  <c r="U178" i="1" s="1"/>
  <c r="U287" i="1" a="1"/>
  <c r="U287" i="1" s="1"/>
  <c r="U11" i="1" a="1"/>
  <c r="U11" i="1" s="1"/>
  <c r="U532" i="1" a="1"/>
  <c r="U532" i="1" s="1"/>
  <c r="U319" i="1" a="1"/>
  <c r="U319" i="1" s="1"/>
  <c r="U521" i="1" a="1"/>
  <c r="U521" i="1" s="1"/>
  <c r="U49" i="1" a="1"/>
  <c r="U49" i="1" s="1"/>
  <c r="U536" i="1" a="1"/>
  <c r="U536" i="1" s="1"/>
  <c r="U525" i="1" a="1"/>
  <c r="U525" i="1" s="1"/>
  <c r="U36" i="1" a="1"/>
  <c r="U36" i="1" s="1"/>
  <c r="U315" i="1" a="1"/>
  <c r="U315" i="1" s="1"/>
  <c r="U186" i="1" a="1"/>
  <c r="U186" i="1" s="1"/>
  <c r="U32" i="1" a="1"/>
  <c r="U32" i="1" s="1"/>
  <c r="U59" i="1" a="1"/>
  <c r="U59" i="1" s="1"/>
  <c r="U77" i="1" a="1"/>
  <c r="U77" i="1" s="1"/>
  <c r="U80" i="1" a="1"/>
  <c r="U80" i="1" s="1"/>
  <c r="U88" i="1" a="1"/>
  <c r="U88" i="1" s="1"/>
  <c r="U41" i="1" a="1"/>
  <c r="U41" i="1" s="1"/>
  <c r="U193" i="1" a="1"/>
  <c r="U193" i="1" s="1"/>
  <c r="X3" i="59" l="1"/>
  <c r="X35" i="59"/>
  <c r="X18" i="59"/>
  <c r="X17" i="59"/>
  <c r="X13" i="59"/>
  <c r="X51" i="59"/>
  <c r="X16" i="59"/>
  <c r="X7" i="59"/>
  <c r="W60" i="59"/>
  <c r="W59" i="59"/>
  <c r="X50" i="59"/>
  <c r="W66" i="59"/>
  <c r="X34" i="59"/>
  <c r="X36" i="59"/>
  <c r="X10" i="59"/>
  <c r="W63" i="59"/>
  <c r="X71" i="59"/>
  <c r="X6" i="59"/>
  <c r="X70" i="59"/>
  <c r="X8" i="59"/>
  <c r="X69" i="59"/>
  <c r="W64" i="59"/>
  <c r="X47" i="59"/>
  <c r="X72" i="59"/>
  <c r="X20" i="59"/>
  <c r="X52" i="59"/>
  <c r="W67" i="59"/>
  <c r="AH320" i="1"/>
  <c r="AK52" i="61" s="1"/>
  <c r="AK52" i="59" l="1"/>
  <c r="AH11" i="1"/>
  <c r="AJ3" i="61" s="1"/>
  <c r="AH41" i="1"/>
  <c r="AJ8" i="61" s="1"/>
  <c r="AH407" i="1"/>
  <c r="AI61" i="61" s="1"/>
  <c r="AH346" i="1"/>
  <c r="AJ56" i="61" s="1"/>
  <c r="AH315" i="1"/>
  <c r="AJ51" i="61" s="1"/>
  <c r="AH44" i="1"/>
  <c r="AJ9" i="61" s="1"/>
  <c r="AH59" i="1"/>
  <c r="AJ13" i="61" s="1"/>
  <c r="AH32" i="1"/>
  <c r="AJ6" i="61" s="1"/>
  <c r="AH74" i="1"/>
  <c r="AJ16" i="61" s="1"/>
  <c r="AH125" i="1"/>
  <c r="AJ27" i="61" s="1"/>
  <c r="AH542" i="1"/>
  <c r="AJ74" i="61" s="1"/>
  <c r="AH68" i="1"/>
  <c r="AJ15" i="61" s="1"/>
  <c r="AH282" i="1"/>
  <c r="AJ46" i="61" s="1"/>
  <c r="AH319" i="1"/>
  <c r="AJ52" i="61" s="1"/>
  <c r="AH532" i="1"/>
  <c r="AJ71" i="61" s="1"/>
  <c r="AH49" i="1"/>
  <c r="AJ10" i="61" s="1"/>
  <c r="AH52" i="1"/>
  <c r="AJ11" i="61" s="1"/>
  <c r="AH536" i="1"/>
  <c r="AH56" i="1"/>
  <c r="AJ12" i="61" s="1"/>
  <c r="AH21" i="1"/>
  <c r="AJ4" i="61" s="1"/>
  <c r="AH27" i="1"/>
  <c r="AJ5" i="61" s="1"/>
  <c r="AH545" i="1"/>
  <c r="AJ75" i="61" s="1"/>
  <c r="AH36" i="1"/>
  <c r="AJ7" i="61" s="1"/>
  <c r="AH113" i="1"/>
  <c r="AJ25" i="61" s="1"/>
  <c r="AJ75" i="59" l="1"/>
  <c r="AJ51" i="59"/>
  <c r="AJ12" i="59"/>
  <c r="AJ56" i="59"/>
  <c r="AJ16" i="59"/>
  <c r="AJ6" i="59"/>
  <c r="AJ9" i="59"/>
  <c r="AJ71" i="59"/>
  <c r="AI61" i="59"/>
  <c r="AJ72" i="59"/>
  <c r="AJ52" i="59"/>
  <c r="AJ8" i="59"/>
  <c r="AJ5" i="59"/>
  <c r="AJ13" i="59"/>
  <c r="AJ11" i="59"/>
  <c r="AJ10" i="59"/>
  <c r="AJ46" i="59"/>
  <c r="AJ3" i="59"/>
  <c r="AJ27" i="59"/>
  <c r="AJ4" i="59"/>
  <c r="AJ25" i="59"/>
  <c r="AJ15" i="59"/>
  <c r="AJ7" i="59"/>
  <c r="AJ74" i="59"/>
  <c r="AE420" i="1"/>
  <c r="AF62" i="59" l="1"/>
  <c r="AE521" i="1"/>
  <c r="AE539" i="1"/>
  <c r="AE545" i="1"/>
  <c r="AE287" i="1"/>
  <c r="AE95" i="1"/>
  <c r="AE74" i="1"/>
  <c r="AE80" i="1"/>
  <c r="AE77" i="1"/>
  <c r="AE36" i="1"/>
  <c r="AG7" i="61" s="1"/>
  <c r="AE219" i="1"/>
  <c r="AE346" i="1"/>
  <c r="AE98" i="1"/>
  <c r="AE59" i="1"/>
  <c r="AG13" i="61" s="1"/>
  <c r="AE407" i="1"/>
  <c r="AE237" i="1"/>
  <c r="AE542" i="1"/>
  <c r="AE91" i="1"/>
  <c r="AG75" i="59" l="1"/>
  <c r="AG39" i="59"/>
  <c r="AG17" i="59"/>
  <c r="AG21" i="59"/>
  <c r="AF61" i="59"/>
  <c r="AG73" i="59"/>
  <c r="AG18" i="59"/>
  <c r="AG22" i="59"/>
  <c r="AG47" i="59"/>
  <c r="AG42" i="59"/>
  <c r="AG13" i="59"/>
  <c r="AG69" i="59"/>
  <c r="AG7" i="59"/>
  <c r="AG23" i="59"/>
  <c r="AG16" i="59"/>
  <c r="AG74" i="59"/>
  <c r="AG56" i="59"/>
  <c r="AP63" i="30"/>
  <c r="AP3" i="30" s="1"/>
  <c r="L387" i="1" l="1"/>
  <c r="L367" i="1"/>
  <c r="L482" i="1"/>
  <c r="L459" i="1"/>
  <c r="L432" i="1"/>
  <c r="L499" i="1"/>
  <c r="L536" i="1"/>
  <c r="L525" i="1"/>
  <c r="L532" i="1"/>
  <c r="L356" i="1"/>
  <c r="L521" i="1"/>
  <c r="L346" i="1"/>
  <c r="L349" i="1"/>
  <c r="L328" i="1"/>
  <c r="L335" i="1"/>
  <c r="L319" i="1"/>
  <c r="L323" i="1"/>
  <c r="L290" i="1"/>
  <c r="L315" i="1"/>
  <c r="L282" i="1"/>
  <c r="L287" i="1"/>
  <c r="L186" i="1"/>
  <c r="L193" i="1"/>
  <c r="L178" i="1"/>
  <c r="L133" i="1"/>
  <c r="L142" i="1"/>
  <c r="L84" i="1"/>
  <c r="L88" i="1"/>
  <c r="L77" i="1"/>
  <c r="L80" i="1"/>
  <c r="L59" i="1"/>
  <c r="L74" i="1"/>
  <c r="L49" i="1"/>
  <c r="L52" i="1"/>
  <c r="L36" i="1"/>
  <c r="L41" i="1"/>
  <c r="L32" i="1"/>
  <c r="L11" i="1"/>
  <c r="L308" i="1"/>
  <c r="O53" i="59" l="1"/>
  <c r="O56" i="59"/>
  <c r="O7" i="59"/>
  <c r="O11" i="59"/>
  <c r="O10" i="59"/>
  <c r="O16" i="59"/>
  <c r="O51" i="59"/>
  <c r="N64" i="59"/>
  <c r="O34" i="59"/>
  <c r="O36" i="59"/>
  <c r="O35" i="59"/>
  <c r="O47" i="59"/>
  <c r="O46" i="59"/>
  <c r="O72" i="59"/>
  <c r="O18" i="59"/>
  <c r="O17" i="59"/>
  <c r="O19" i="59"/>
  <c r="N66" i="59"/>
  <c r="O8" i="59"/>
  <c r="O69" i="59"/>
  <c r="O71" i="59"/>
  <c r="O13" i="59"/>
  <c r="O48" i="59"/>
  <c r="N63" i="59"/>
  <c r="O52" i="59"/>
  <c r="O3" i="59"/>
  <c r="O54" i="59"/>
  <c r="N59" i="59"/>
  <c r="O58" i="59"/>
  <c r="O70" i="59"/>
  <c r="N67" i="59"/>
  <c r="O20" i="59"/>
  <c r="O50" i="59"/>
  <c r="O55" i="59"/>
  <c r="O29" i="59"/>
  <c r="O6" i="59"/>
  <c r="O28" i="59"/>
  <c r="O57" i="59"/>
  <c r="N60" i="59"/>
  <c r="AP21" i="1"/>
  <c r="AQ7" i="30" l="1" a="1"/>
  <c r="AQ7" i="30" s="1"/>
  <c r="AP4" i="59"/>
  <c r="AP367" i="1"/>
  <c r="AP525" i="1"/>
  <c r="AP88" i="1"/>
  <c r="AP299" i="1"/>
  <c r="AP335" i="1"/>
  <c r="AP167" i="1"/>
  <c r="AP32" i="1"/>
  <c r="AP387" i="1"/>
  <c r="AP113" i="1"/>
  <c r="AP84" i="1"/>
  <c r="AP264" i="1"/>
  <c r="AP25" i="59" l="1"/>
  <c r="AP6" i="59"/>
  <c r="AP33" i="59"/>
  <c r="AQ23" i="30" a="1"/>
  <c r="AQ23" i="30" s="1"/>
  <c r="AP20" i="59"/>
  <c r="AO60" i="59"/>
  <c r="AP55" i="59"/>
  <c r="AP49" i="59"/>
  <c r="AP70" i="59"/>
  <c r="AQ62" i="30" a="1"/>
  <c r="AQ62" i="30" s="1"/>
  <c r="AO59" i="59"/>
  <c r="AP45" i="59"/>
  <c r="AP19" i="59"/>
  <c r="AQ73" i="30" a="1"/>
  <c r="AQ73" i="30" s="1"/>
  <c r="AQ22" i="30" a="1"/>
  <c r="AQ22" i="30" s="1"/>
  <c r="AQ58" i="30" a="1"/>
  <c r="AQ58" i="30" s="1"/>
  <c r="AQ52" i="30" a="1"/>
  <c r="AQ52" i="30" s="1"/>
  <c r="AQ48" i="30" a="1"/>
  <c r="AQ48" i="30" s="1"/>
  <c r="AQ28" i="30" a="1"/>
  <c r="AQ28" i="30" s="1"/>
  <c r="AQ63" i="30" a="1"/>
  <c r="AQ63" i="30" s="1"/>
  <c r="AQ36" i="30" a="1"/>
  <c r="AQ36" i="30" s="1"/>
  <c r="AQ9" i="30" l="1" a="1"/>
  <c r="AQ9" i="30" s="1"/>
  <c r="AQ3" i="30" s="1"/>
  <c r="AQ2" i="30" l="1"/>
  <c r="AA241" i="1" l="1"/>
  <c r="AA335" i="1"/>
  <c r="AA59" i="1"/>
  <c r="AA63" i="1"/>
  <c r="AA315" i="1"/>
  <c r="AA346" i="1"/>
  <c r="AA432" i="1"/>
  <c r="AA367" i="1"/>
  <c r="AA102" i="1"/>
  <c r="AA319" i="1"/>
  <c r="AA349" i="1"/>
  <c r="AD57" i="61" s="1"/>
  <c r="AA387" i="1"/>
  <c r="AA117" i="1"/>
  <c r="AC59" i="59" l="1"/>
  <c r="AD13" i="59"/>
  <c r="AC60" i="59"/>
  <c r="AD52" i="59"/>
  <c r="AD56" i="59"/>
  <c r="AD55" i="59"/>
  <c r="AD57" i="59"/>
  <c r="AD24" i="59"/>
  <c r="AC63" i="59"/>
  <c r="AD51" i="59"/>
  <c r="AD14" i="59"/>
  <c r="AD26" i="59"/>
  <c r="AD4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tc={21FC0158-16C5-4709-AA6C-9505B12A2195}</author>
    <author>tc={4F1B54CB-EF67-459D-9437-4A711A8FC4BA}</author>
    <author>tc={E13CA91D-C501-4499-AE64-37DD99262A8A}</author>
    <author>tc={26CA527B-B0DB-4160-B12A-D7763DD7056C}</author>
    <author>tc={9C5D8E82-3B3C-4EF5-9009-8E1D589B2651}</author>
    <author>tc={0A6A919D-DB74-4143-83C7-8964981F3036}</author>
    <author>tc={0A0E11EF-180B-4CE8-94F7-7EFBBA8E4B59}</author>
    <author>tc={34F8BF93-3998-4688-B94B-61D4FD4E1DDD}</author>
    <author>tc={D32E1AAE-BDB0-467D-966E-5B42AAD1CCD1}</author>
    <author>tc={6DC96CD9-F3AD-4D78-9584-E22F32F67D87}</author>
    <author>tc={0F984FCA-6620-48A0-80F3-DFB6C7267D72}</author>
    <author>tc={E05E498C-76D6-4D56-9014-2175B80C2B1D}</author>
    <author>tc={4C24C232-4C0C-420F-911E-FA33E7CA49F4}</author>
    <author>tc={453BDE10-E7C9-407A-9245-2184E1FBFD19}</author>
    <author>tc={A9D70D4F-3F0E-4D23-840C-97DA522F1680}</author>
    <author>tc={F168A8D8-0050-46BA-9552-8930720168AE}</author>
    <author>tc={3FA0754E-0491-4465-9217-5F6DE121A2F8}</author>
    <author>tc={CBB72E7C-77C9-42A5-8E09-8E38DFB8E6B4}</author>
    <author>tc={FC516A43-0B47-41A5-83F8-2D5D834055D8}</author>
    <author>tc={36E21CCF-152A-4C01-BF71-E939FCB20F95}</author>
    <author>tc={48736F91-5AAF-4CAD-AA79-C7C901AB8ADB}</author>
  </authors>
  <commentList>
    <comment ref="AV15" authorId="0" shapeId="0" xr:uid="{21FC0158-16C5-4709-AA6C-9505B12A21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to check in stacks - other source has 338.5K</t>
        </r>
      </text>
    </comment>
    <comment ref="AK43" authorId="1" shapeId="0" xr:uid="{4F1B54CB-EF67-459D-9437-4A711A8FC4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Is flask same as shake flask?</t>
        </r>
      </text>
    </comment>
    <comment ref="AG44" authorId="2" shapeId="0" xr:uid="{E13CA91D-C501-4499-AE64-37DD99262A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Reference states that the value was measured by PFW (1997), but that the values were published in Balk &amp; Ford 1997 - looks like the values were never published, but probably the same method was used.</t>
        </r>
      </text>
    </comment>
    <comment ref="AG46" authorId="3" shapeId="0" xr:uid="{26CA527B-B0DB-4160-B12A-D7763DD705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From the ECHA database, they have 2 reported values as the same at 20°C and 40°C so not sure how reliable this is - I have excluded it from the average in the table</t>
        </r>
      </text>
    </comment>
    <comment ref="AD58" authorId="4" shapeId="0" xr:uid="{9C5D8E82-3B3C-4EF5-9009-8E1D589B265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headspace autosampler? not sure what the method would be called</t>
        </r>
      </text>
    </comment>
    <comment ref="AK64" authorId="5" shapeId="0" xr:uid="{0A6A919D-DB74-4143-83C7-8964981F30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Value cited is from a thesis that I couldn't find, the authors had published several other papers without using this number so I feel it is suspicious</t>
        </r>
      </text>
    </comment>
    <comment ref="AT76" authorId="6" shapeId="0" xr:uid="{0A0E11EF-180B-4CE8-94F7-7EFBBA8E4B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to confirm, from CAS database</t>
        </r>
      </text>
    </comment>
    <comment ref="W84" authorId="7" shapeId="0" xr:uid="{34F8BF93-3998-4688-B94B-61D4FD4E1D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HD is not defined below the table</t>
        </r>
      </text>
    </comment>
    <comment ref="A101" authorId="8" shapeId="0" xr:uid="{D32E1AAE-BDB0-467D-966E-5B42AAD1CC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Kyle - please get the refs &amp; methods for all of the SW-a propertis</t>
        </r>
      </text>
    </comment>
    <comment ref="AR134" authorId="9" shapeId="0" xr:uid="{6DC96CD9-F3AD-4D78-9584-E22F32F67D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Gerstein Tx501.R472 Reviews of env., cont &amp; toxic 1988 v. 103 pp 1 -60</t>
        </r>
      </text>
    </comment>
    <comment ref="AV142" authorId="10" shapeId="0" xr:uid="{0F984FCA-6620-48A0-80F3-DFB6C7267D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Requested scanned article</t>
        </r>
      </text>
    </comment>
    <comment ref="AK152" authorId="11" shapeId="0" xr:uid="{E05E498C-76D6-4D56-9014-2175B80C2B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RAR had 1080 @ 20C, which is more trustworthy?</t>
        </r>
      </text>
    </comment>
    <comment ref="AK161" authorId="12" shapeId="0" xr:uid="{4C24C232-4C0C-420F-911E-FA33E7CA49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These Ho values seem inconsistent with everything else. Method is an extrapolation from mixtures with different levels of organic solvents, is this an acceptable source?</t>
        </r>
      </text>
    </comment>
    <comment ref="AS230" authorId="13" shapeId="0" xr:uid="{453BDE10-E7C9-407A-9245-2184E1FBFD1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Could be over-estimating uncertainty? Muir value has no reference that I can find</t>
        </r>
      </text>
    </comment>
    <comment ref="AK460" authorId="14" shapeId="0" xr:uid="{A9D70D4F-3F0E-4D23-840C-97DA522F168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If possible could you double check this one? I went with what Mackay had, but when I was reading through the paper, it looks like they may have measured at 20C instead of 25C (so it may need the temp conversion).
Reply:
    @Kyle Girdhari you were correct it is at 20C thanks for pointing it out!</t>
        </r>
      </text>
    </comment>
    <comment ref="AG532" authorId="15" shapeId="0" xr:uid="{F168A8D8-0050-46BA-9552-8930720168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Recalculated this one too using the ECHA measured melting point</t>
        </r>
      </text>
    </comment>
    <comment ref="AS536" authorId="16" shapeId="0" xr:uid="{3FA0754E-0491-4465-9217-5F6DE121A2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Probably will not use? No other value though unfortunately. Ec3 says "It is not required to determine the accurate freezing point which is below -20C"</t>
        </r>
      </text>
    </comment>
    <comment ref="AG539" authorId="17" shapeId="0" xr:uid="{CBB72E7C-77C9-42A5-8E09-8E38DFB8E6B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information on study is given</t>
        </r>
      </text>
    </comment>
    <comment ref="AS542" authorId="18" shapeId="0" xr:uid="{FC516A43-0B47-41A5-83F8-2D5D834055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Probably will not use? No other value though unfortunately. Ec3 says "It is not required to determine the accurate freezing point which is below -20C"</t>
        </r>
      </text>
    </comment>
    <comment ref="Y544" authorId="19" shapeId="0" xr:uid="{36E21CCF-152A-4C01-BF71-E939FCB20F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Ask Joe about this paper : 10.1002/jssc.201400535</t>
        </r>
      </text>
    </comment>
    <comment ref="B556" authorId="20" shapeId="0" xr:uid="{48736F91-5AAF-4CAD-AA79-C7C901AB8A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For properties with only one measurement, we assume a relative standard deviation based on the measurement type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tc={96232B74-9343-4167-A1C2-AC23EEA41FA3}</author>
    <author>tc={FC950783-594F-456C-A50C-DCB644703DE1}</author>
  </authors>
  <commentList>
    <comment ref="Y13" authorId="0" shapeId="0" xr:uid="{96232B74-9343-4167-A1C2-AC23EEA41F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Slope of CC plot = dU/R -&gt; dU = R*slope</t>
        </r>
      </text>
    </comment>
    <comment ref="L148" authorId="1" shapeId="0" xr:uid="{FC950783-594F-456C-A50C-DCB644703D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Check this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tc={0C4A0C0E-BE19-46B9-AF70-8D8E77CD58D0}</author>
    <author>tc={53269661-20C5-4C31-A9BD-2C8B2F96F130}</author>
    <author>tc={F682CF4B-06C1-409F-B502-DE3055C75B94}</author>
    <author>tc={1623BC7C-4F71-4893-A5D0-27E7B47D747B}</author>
  </authors>
  <commentList>
    <comment ref="A118" authorId="0" shapeId="0" xr:uid="{0C4A0C0E-BE19-46B9-AF70-8D8E77CD58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Kyle - please get the refs &amp; methods for all of the SW-a propertis</t>
        </r>
      </text>
    </comment>
    <comment ref="A222" authorId="1" shapeId="0" xr:uid="{53269661-20C5-4C31-A9BD-2C8B2F96F1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BaP dU RAVs are the PAVs not the LDVs - additional information from modeled values &amp; compounds that were "left-out" of the FAV calculation (as they weren't part of a consistent set) show that the three partition coefficient dUs have an artificially low uncertainty, and don't match with the vapour pressure. Also, the PAVs are a thermodynamically consistent set.</t>
        </r>
      </text>
    </comment>
    <comment ref="A257" authorId="2" shapeId="0" xr:uid="{F682CF4B-06C1-409F-B502-DE3055C75B9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BDE-99 dU RAVs are the PAVs not the LDVs - additional information from modeled values &amp; compounds that were "left-out" of the FAV calculation (as they weren't part of a consistent set) allow the uncertainty to be reduced, and the PAVs are a thermodynamically consistent set.</t>
        </r>
      </text>
    </comment>
    <comment ref="B395" authorId="3" shapeId="0" xr:uid="{1623BC7C-4F71-4893-A5D0-27E7B47D74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ECHA entry is for CAS 83834-59-7, the trans isomer, which looks the same to me? Need to confirm these are actually the same, under the ECHA registration for CAS 83834-59-7 it states that it was previosuly registered under this CAS no.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tc={C81FB4FC-467A-4D15-ABD6-D4BAF8BA1E2D}</author>
    <author>tc={45921D39-168D-4838-BF60-7242EB564374}</author>
    <author>tc={BD4E2203-9259-4AEE-9EB3-8AE0A1A8CD04}</author>
    <author>tc={9B252F62-6248-432B-B412-E20CA2351541}</author>
  </authors>
  <commentList>
    <comment ref="A231" authorId="0" shapeId="0" xr:uid="{C81FB4FC-467A-4D15-ABD6-D4BAF8BA1E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accessible for free, so could not verify any of the data from this source</t>
        </r>
      </text>
    </comment>
    <comment ref="A232" authorId="1" shapeId="0" xr:uid="{45921D39-168D-4838-BF60-7242EB56437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Could not find original</t>
        </r>
      </text>
    </comment>
    <comment ref="A233" authorId="2" shapeId="0" xr:uid="{BD4E2203-9259-4AEE-9EB3-8AE0A1A8CD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Original not accessible</t>
        </r>
      </text>
    </comment>
    <comment ref="A235" authorId="3" shapeId="0" xr:uid="{9B252F62-6248-432B-B412-E20CA23515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Could not find original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tc={F3119604-C509-4610-AEA8-4586AC6CE3BC}</author>
    <author>tc={D1D13B78-E890-42DE-88C9-E285A87C3741}</author>
    <author>tc={2F9483CC-3BF7-4EB5-A9D4-E58D47165151}</author>
    <author>tc={0B62F2E1-D66C-4B7E-BCB9-E753D9D72134}</author>
    <author>tc={9D0116C3-22A7-48B8-AC4B-0068AE867FBF}</author>
  </authors>
  <commentList>
    <comment ref="A178" authorId="0" shapeId="0" xr:uid="{F3119604-C509-4610-AEA8-4586AC6CE3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Kyle - please get the refs &amp; methods for all of the SW-a propertis</t>
        </r>
      </text>
    </comment>
    <comment ref="B595" authorId="1" shapeId="0" xr:uid="{D1D13B78-E890-42DE-88C9-E285A87C37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ECHA entry is for CAS 83834-59-7, the trans isomer, which looks the same to me? Need to confirm these are actually the same, under the ECHA registration for CAS 83834-59-7 it states that it was previosuly registered under this CAS no.</t>
        </r>
      </text>
    </comment>
    <comment ref="B606" authorId="2" shapeId="0" xr:uid="{2F9483CC-3BF7-4EB5-A9D4-E58D4716515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For properties with only one measurement, we assume a relative standard deviation based on the measurement type</t>
        </r>
      </text>
    </comment>
    <comment ref="S607" authorId="3" shapeId="0" xr:uid="{0B62F2E1-D66C-4B7E-BCB9-E753D9D721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used the ppLFER RMSEN without musks, as it was only for musks that it was quite bad.
Reply:
    0.4102131477587657</t>
        </r>
      </text>
    </comment>
    <comment ref="S611" authorId="4" shapeId="0" xr:uid="{9D0116C3-22A7-48B8-AC4B-0068AE867F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used the ppLFER RMSEN without musks, as it was only for musks that it was quite bad.
Reply:
    0.4102131477587657</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<sst xmlns="http://schemas.openxmlformats.org/spreadsheetml/2006/main" count="15852" uniqueCount="3110">
  <si>
    <t>Enthalpies</t>
  </si>
  <si>
    <r>
      <t xml:space="preserve">Log </t>
    </r>
    <r>
      <rPr>
        <b/>
        <i/>
        <sz val="14"/>
        <color rgb="FF000000"/>
        <rFont val="Times New Roman"/>
        <family val="1"/>
      </rPr>
      <t>p</t>
    </r>
    <r>
      <rPr>
        <b/>
        <i/>
        <vertAlign val="subscript"/>
        <sz val="14"/>
        <color rgb="FF000000"/>
        <rFont val="Times New Roman"/>
        <family val="1"/>
      </rPr>
      <t>L</t>
    </r>
    <r>
      <rPr>
        <b/>
        <i/>
        <vertAlign val="superscript"/>
        <sz val="14"/>
        <color rgb="FF000000"/>
        <rFont val="Times New Roman"/>
        <family val="1"/>
      </rPr>
      <t>298</t>
    </r>
    <r>
      <rPr>
        <b/>
        <sz val="14"/>
        <color rgb="FF000000"/>
        <rFont val="Times New Roman"/>
        <family val="1"/>
      </rPr>
      <t>/Pa</t>
    </r>
  </si>
  <si>
    <r>
      <t xml:space="preserve">Log </t>
    </r>
    <r>
      <rPr>
        <b/>
        <i/>
        <sz val="14"/>
        <color theme="1"/>
        <rFont val="Times New Roman"/>
        <family val="1"/>
      </rPr>
      <t>K</t>
    </r>
    <r>
      <rPr>
        <b/>
        <i/>
        <vertAlign val="subscript"/>
        <sz val="14"/>
        <color theme="1"/>
        <rFont val="Times New Roman"/>
        <family val="1"/>
      </rPr>
      <t>OA</t>
    </r>
  </si>
  <si>
    <t>Compound</t>
  </si>
  <si>
    <t>Lit</t>
  </si>
  <si>
    <r>
      <t>Method &amp; Ref</t>
    </r>
    <r>
      <rPr>
        <b/>
        <vertAlign val="superscript"/>
        <sz val="11"/>
        <color theme="1"/>
        <rFont val="Times New Roman"/>
        <family val="1"/>
      </rPr>
      <t>*</t>
    </r>
  </si>
  <si>
    <t>Method &amp; Ref*</t>
  </si>
  <si>
    <t>Musks</t>
  </si>
  <si>
    <t>cyclopentadecanone</t>
  </si>
  <si>
    <t>502-72-7</t>
  </si>
  <si>
    <r>
      <t>E (Ec4)</t>
    </r>
    <r>
      <rPr>
        <vertAlign val="superscript"/>
        <sz val="11"/>
        <color rgb="FF000000"/>
        <rFont val="Times New Roman"/>
        <family val="1"/>
      </rPr>
      <t>a</t>
    </r>
  </si>
  <si>
    <t>Musk Ambrette</t>
  </si>
  <si>
    <t>83-66-9</t>
  </si>
  <si>
    <t>GC-RT (Öz)</t>
  </si>
  <si>
    <t>16-hexadecanolide</t>
  </si>
  <si>
    <t>109-29-5</t>
  </si>
  <si>
    <t>GS (Em)</t>
  </si>
  <si>
    <t>Muskonate</t>
  </si>
  <si>
    <t>54982-83-1</t>
  </si>
  <si>
    <t>It (Ec1)</t>
  </si>
  <si>
    <t/>
  </si>
  <si>
    <t>Phantolide</t>
  </si>
  <si>
    <t>15323-35-0</t>
  </si>
  <si>
    <t>Cervolide</t>
  </si>
  <si>
    <t>6707-60-4</t>
  </si>
  <si>
    <t>E (Ec5)</t>
  </si>
  <si>
    <t>Traseolide</t>
  </si>
  <si>
    <t>68140-48-7</t>
  </si>
  <si>
    <t>Moskene</t>
  </si>
  <si>
    <t>116-66-5</t>
  </si>
  <si>
    <t>Galaxolide 1</t>
  </si>
  <si>
    <t>1222-05-5</t>
  </si>
  <si>
    <t>Musk Tibetene</t>
  </si>
  <si>
    <t>145-39-1</t>
  </si>
  <si>
    <t>Novel Brominated Flame Retardants</t>
  </si>
  <si>
    <t>TBP-AE</t>
  </si>
  <si>
    <t>3278-89-5</t>
  </si>
  <si>
    <t>β-TBCO</t>
  </si>
  <si>
    <t>3194-57-8</t>
  </si>
  <si>
    <t>PBBZ</t>
  </si>
  <si>
    <t>608-90-2</t>
  </si>
  <si>
    <t>PBEB</t>
  </si>
  <si>
    <t>85-22-3</t>
  </si>
  <si>
    <t>HD (LK)</t>
  </si>
  <si>
    <t>DPTE</t>
  </si>
  <si>
    <t>35109-60-5</t>
  </si>
  <si>
    <t>β-HBCDD</t>
  </si>
  <si>
    <t>134237-51-7</t>
  </si>
  <si>
    <r>
      <rPr>
        <b/>
        <i/>
        <sz val="11"/>
        <color rgb="FF000000"/>
        <rFont val="Times New Roman"/>
        <family val="1"/>
      </rPr>
      <t>anti</t>
    </r>
    <r>
      <rPr>
        <b/>
        <sz val="11"/>
        <color rgb="FF000000"/>
        <rFont val="Times New Roman"/>
        <family val="1"/>
      </rPr>
      <t>-DDC-CO</t>
    </r>
  </si>
  <si>
    <t>13560-92-4</t>
  </si>
  <si>
    <r>
      <rPr>
        <b/>
        <i/>
        <sz val="11"/>
        <color rgb="FF000000"/>
        <rFont val="Times New Roman"/>
        <family val="1"/>
      </rPr>
      <t>syn</t>
    </r>
    <r>
      <rPr>
        <b/>
        <sz val="11"/>
        <color rgb="FF000000"/>
        <rFont val="Times New Roman"/>
        <family val="1"/>
      </rPr>
      <t>-DDC-CO</t>
    </r>
  </si>
  <si>
    <t>13560-89-9</t>
  </si>
  <si>
    <t>Organochlorine Pesticides</t>
  </si>
  <si>
    <r>
      <rPr>
        <b/>
        <i/>
        <sz val="11"/>
        <color rgb="FF000000"/>
        <rFont val="Times New Roman"/>
        <family val="1"/>
      </rPr>
      <t>p,p</t>
    </r>
    <r>
      <rPr>
        <b/>
        <sz val="11"/>
        <color rgb="FF000000"/>
        <rFont val="Times New Roman"/>
        <family val="1"/>
      </rPr>
      <t>'- DDE</t>
    </r>
  </si>
  <si>
    <t>72-55-9</t>
  </si>
  <si>
    <t>FAV (SW)</t>
  </si>
  <si>
    <r>
      <rPr>
        <b/>
        <i/>
        <sz val="11"/>
        <color rgb="FF000000"/>
        <rFont val="Times New Roman"/>
        <family val="1"/>
      </rPr>
      <t>o,p'</t>
    </r>
    <r>
      <rPr>
        <b/>
        <sz val="11"/>
        <color rgb="FF000000"/>
        <rFont val="Times New Roman"/>
        <family val="1"/>
      </rPr>
      <t>-DDD</t>
    </r>
  </si>
  <si>
    <t>53-19-0</t>
  </si>
  <si>
    <r>
      <rPr>
        <b/>
        <i/>
        <sz val="11"/>
        <color rgb="FF000000"/>
        <rFont val="Times New Roman"/>
        <family val="1"/>
      </rPr>
      <t>p,p</t>
    </r>
    <r>
      <rPr>
        <b/>
        <sz val="11"/>
        <color rgb="FF000000"/>
        <rFont val="Times New Roman"/>
        <family val="1"/>
      </rPr>
      <t>'-DDD</t>
    </r>
  </si>
  <si>
    <t>72-54-8</t>
  </si>
  <si>
    <r>
      <rPr>
        <b/>
        <i/>
        <sz val="11"/>
        <color rgb="FF000000"/>
        <rFont val="Times New Roman"/>
        <family val="1"/>
      </rPr>
      <t>o,p'</t>
    </r>
    <r>
      <rPr>
        <b/>
        <sz val="11"/>
        <color rgb="FF000000"/>
        <rFont val="Times New Roman"/>
        <family val="1"/>
      </rPr>
      <t>-DDT</t>
    </r>
  </si>
  <si>
    <t>789-02-6</t>
  </si>
  <si>
    <t>aldrin</t>
  </si>
  <si>
    <t>309-00-2</t>
  </si>
  <si>
    <t>TN</t>
  </si>
  <si>
    <t>39765-80-5</t>
  </si>
  <si>
    <t>GC-RT (Hi)</t>
  </si>
  <si>
    <t>Organophosphate Esters</t>
  </si>
  <si>
    <t>TCEP</t>
  </si>
  <si>
    <t>115-96-8</t>
  </si>
  <si>
    <t>GC-RT (Br)</t>
  </si>
  <si>
    <t>GC-RT (Wa2)</t>
  </si>
  <si>
    <t>GC-RT (Wa1)</t>
  </si>
  <si>
    <t>TCiPP</t>
  </si>
  <si>
    <t>13674-84-5</t>
  </si>
  <si>
    <t>TDCiPP</t>
  </si>
  <si>
    <t>13674-87-8</t>
  </si>
  <si>
    <t>TPhP</t>
  </si>
  <si>
    <t>115-86-6</t>
  </si>
  <si>
    <t>TmCP</t>
  </si>
  <si>
    <t>563-04-2</t>
  </si>
  <si>
    <t>ToCP</t>
  </si>
  <si>
    <t>78-30-8</t>
  </si>
  <si>
    <t>TpCP</t>
  </si>
  <si>
    <t>78-32-0</t>
  </si>
  <si>
    <t>TBOEP</t>
  </si>
  <si>
    <t>78-51-3</t>
  </si>
  <si>
    <t>TEHP</t>
  </si>
  <si>
    <t>78-42-2</t>
  </si>
  <si>
    <t>TTBPP</t>
  </si>
  <si>
    <t>78-33-1</t>
  </si>
  <si>
    <t>T2iPPP</t>
  </si>
  <si>
    <t>64532-95-2</t>
  </si>
  <si>
    <t>TDBPP</t>
  </si>
  <si>
    <t>126-72-7</t>
  </si>
  <si>
    <t>Polycyclic Aromatic Hydrocarbons</t>
  </si>
  <si>
    <r>
      <t>benzo[</t>
    </r>
    <r>
      <rPr>
        <b/>
        <i/>
        <sz val="11"/>
        <color rgb="FF000000"/>
        <rFont val="Times New Roman"/>
        <family val="1"/>
      </rPr>
      <t>a</t>
    </r>
    <r>
      <rPr>
        <b/>
        <sz val="11"/>
        <color rgb="FF000000"/>
        <rFont val="Times New Roman"/>
        <family val="1"/>
      </rPr>
      <t>]pyrene</t>
    </r>
  </si>
  <si>
    <t>50-32-8</t>
  </si>
  <si>
    <t>FAV (Be)</t>
  </si>
  <si>
    <r>
      <t>benzo[</t>
    </r>
    <r>
      <rPr>
        <b/>
        <i/>
        <sz val="11"/>
        <color rgb="FF000000"/>
        <rFont val="Times New Roman"/>
        <family val="1"/>
      </rPr>
      <t>k</t>
    </r>
    <r>
      <rPr>
        <b/>
        <sz val="11"/>
        <color rgb="FF000000"/>
        <rFont val="Times New Roman"/>
        <family val="1"/>
      </rPr>
      <t>]fluoranthene</t>
    </r>
  </si>
  <si>
    <t>207-08-09</t>
  </si>
  <si>
    <t>GC-RT (Lei)</t>
  </si>
  <si>
    <t>Polybrominated Diphenyl Ethers</t>
  </si>
  <si>
    <t>BDE-47</t>
  </si>
  <si>
    <t>5436-43-1</t>
  </si>
  <si>
    <t>GC-RT (Ti)</t>
  </si>
  <si>
    <t>FAV (Yue)</t>
  </si>
  <si>
    <t>GC-RT (Wo)</t>
  </si>
  <si>
    <t>BDE-66</t>
  </si>
  <si>
    <t>189084-61-5</t>
  </si>
  <si>
    <t>BDE-71</t>
  </si>
  <si>
    <t>189084-62-6</t>
  </si>
  <si>
    <t>BDE-100</t>
  </si>
  <si>
    <t>189084-64-8</t>
  </si>
  <si>
    <t>GS (HS)</t>
  </si>
  <si>
    <t>BDE-99</t>
  </si>
  <si>
    <t>60348-60-9</t>
  </si>
  <si>
    <t>Polychlorinated Biphenyls</t>
  </si>
  <si>
    <t>PCB-19</t>
  </si>
  <si>
    <t>38444-73-4</t>
  </si>
  <si>
    <t>PCB-34</t>
  </si>
  <si>
    <t>37680-68-5</t>
  </si>
  <si>
    <t>PCB-119</t>
  </si>
  <si>
    <t>56558-17-9</t>
  </si>
  <si>
    <t>GC-RT (FB)</t>
  </si>
  <si>
    <t>PCB-11</t>
  </si>
  <si>
    <t>2050-67-1</t>
  </si>
  <si>
    <t>PCB-131</t>
  </si>
  <si>
    <t>61798-70-7</t>
  </si>
  <si>
    <t>PCB-47</t>
  </si>
  <si>
    <t>2437-79-8</t>
  </si>
  <si>
    <t>PCB-173</t>
  </si>
  <si>
    <t>68194-16-1</t>
  </si>
  <si>
    <t>PCB-176</t>
  </si>
  <si>
    <t>52663-65-7</t>
  </si>
  <si>
    <t>PCB-209</t>
  </si>
  <si>
    <t>2051-24-3</t>
  </si>
  <si>
    <t>Ultraviolet Filters</t>
  </si>
  <si>
    <t>benzophenone-D10</t>
  </si>
  <si>
    <t>22583-75-1</t>
  </si>
  <si>
    <t>Oxybenzone</t>
  </si>
  <si>
    <t>131-57-7</t>
  </si>
  <si>
    <t>3-(4-methylbenzilidine) camphor</t>
  </si>
  <si>
    <t>36861-47-9</t>
  </si>
  <si>
    <t>Homosolate</t>
  </si>
  <si>
    <t>‎118-56-9</t>
  </si>
  <si>
    <t>Octinoxate</t>
  </si>
  <si>
    <t>5466-77-3</t>
  </si>
  <si>
    <t>Empty cells signify unavailable values</t>
  </si>
  <si>
    <t xml:space="preserve">References </t>
  </si>
  <si>
    <t>Be = Beyer, A.; Wania, F.; Gouin, T.; Mackay, D.; Matthies, M. Selecting Internally Consistent Physicochemical Properties of Organic Compounds. Environ. Toxicol. Chem. 2002, 21 (5), 941–953.</t>
  </si>
  <si>
    <t xml:space="preserve">Bi = Bidleman, T. F. Estimation of Vapor Pressures for Nonpolar Organic Compounds by Capillary Gas Chromatography. Anal. Chem. 1984, 56 (13), 2490–2496. </t>
  </si>
  <si>
    <t>Hi = Hinckley, D. A.; Bidleman, T. F.; Foreman, W. T.; Tuschall, J. R. Determination of Vapor Pressures for Nonpolar and Semipolar Organic Compounds from Gas Chromatograhic Retention Data. J. Chem. Eng. Data 1990, 35 (3), 232–237.</t>
  </si>
  <si>
    <t>Ti = Tittlemier, S. A.; Halldorson, T.; Stern, G. A.; Tomy, G. T. Vapor Pressures, Aqueous Solubilities, and Henry’s Law Constants of Some Brominated Flame Retardants. Environ. Toxicol. Chem. 2002, 21 (9), 1804–1810.</t>
  </si>
  <si>
    <t>Br = Brommer, S.; Jantunen, L. M.; Bidleman, T. F.; Harrad, S.; Diamond, M. L. Determination of Vapor Pressures for Organophosphate Esters. J. Chem. Eng. Data 2014, 59 (5), 1441–1447.</t>
  </si>
  <si>
    <t>Wa1=Wang, Q.; Zhao, H.; Wang, Y.; Xie, Q.; Chen, J.; Quan, X. Determination and Prediction for Vapor Pressures of Organophosphate Flame Retardants by Gas Chromatography. Chinese J. Chromatogr. (Se Pu) 2017.</t>
  </si>
  <si>
    <t>Wa2= Wang, Q.; Zhao, H.; Wang, Y.; Xie, Q.; Chen, J.; Quan, X. Determination and Prediction of Octanol-Air Partition Coefficients for Organophosphate Flame Retardants. Ecotoxicol. Environ. Saf. 2017, 145, 283–288.</t>
  </si>
  <si>
    <t>FB = Falconer, R.L.; Bidleman, T.F. 1994. Vapor pressures and predicted particle/gas distributions of polychlorinated biphenyl congeners as functions of temperature and ortho-chlorine substitution. Atmos. Environ. 28, 547-554.</t>
  </si>
  <si>
    <t>Öz = Özcan, Ç.2013. Determination of gas-particle partitioning parameters and indoor air concentrations of synthetic musk compounds. 'MS Thesis, İzmir Institute of Technology, Turkey. http://openaccess.iyte.edu.tr/bitstream/handle/11147/3588/10011343.pdf;sequence=1</t>
  </si>
  <si>
    <t xml:space="preserve">He = HERA report, 2004 (http://www.heraproject.com/files/28-E-36551E10-F8EF-E807-E4199B9BB0076A9F.pdf). </t>
  </si>
  <si>
    <t>Ec1: https://echa.europa.eu/registration-dossier/-/registered-dossier/2219/4/7</t>
  </si>
  <si>
    <t>Ec2: https://echa.europa.eu/registration-dossier/-/registered-dossier/5515/4/3</t>
  </si>
  <si>
    <t>Ec3: https://echa.europa.eu/registration-dossier/-/registered-dossier/13246/4/7</t>
  </si>
  <si>
    <t>Ec4: https://echa.europa.eu/registration-dossier/-/registered-dossier/24075/4/7</t>
  </si>
  <si>
    <t>Ec5: https://echa.europa.eu/registration-dossier/-/registered-dossier/20729</t>
  </si>
  <si>
    <t>Ec6: https://echa.europa.eu/registration-dossier/-/registered-dossier/25426</t>
  </si>
  <si>
    <t>Ec7: https://echa.europa.eu/registration-dossier/-/registered-dossier/24539/4/7</t>
  </si>
  <si>
    <t xml:space="preserve">Br-a = Literature values (non-GC-RT, non-in-silico except for EpiSuite, ) from SI of the above Brommer et al. paper </t>
  </si>
  <si>
    <t>p,p'-DDD</t>
  </si>
  <si>
    <t>548–683 IT,A (AC)</t>
  </si>
  <si>
    <t>383–413 GC-RT (AC)</t>
  </si>
  <si>
    <t>398–530  A (AC)</t>
  </si>
  <si>
    <t>293–700 I,A (AC)</t>
  </si>
  <si>
    <t>388–530 A (AC)</t>
  </si>
  <si>
    <t>298 CGC (Ro)</t>
  </si>
  <si>
    <t>405–475 CGC (AC)</t>
  </si>
  <si>
    <t>337–413 A,UV (AC)</t>
  </si>
  <si>
    <r>
      <rPr>
        <b/>
        <i/>
        <sz val="11"/>
        <color rgb="FF000000"/>
        <rFont val="Times New Roman"/>
        <family val="1"/>
      </rPr>
      <t>T</t>
    </r>
    <r>
      <rPr>
        <b/>
        <sz val="11"/>
        <color rgb="FF000000"/>
        <rFont val="Times New Roman"/>
        <family val="1"/>
      </rPr>
      <t>=K , Method &amp; Ref</t>
    </r>
  </si>
  <si>
    <t>AC = Acree, W.; Chickos, J. S. Phase Transition Enthalpy Measurements of Organic and Organometallic Compounds and Ionic Liquids. Sublimation, Vaporization, and Fusion Enthalpies from 1880 to 2015. Part 2. C 11 –C 192. J. Phys. Chem. Ref. Data 2017, 46 (1), 013104.</t>
  </si>
  <si>
    <t>Ro = Roux, M. V.; Temprado, M.; Chickos, J. S.; Nagano, Y. Critically Evaluated Thermochemical Properties of Polycyclic Aromatic Hydrocarbons. J. Phys. Chem. Ref. Data 2008, 37 (4), 1855–1996.</t>
  </si>
  <si>
    <t xml:space="preserve">Yui=Yui, K.;Motoki, T.; Kato, H.; Kuramochi, H.; Tsuji, T.; Sakai, S.; et al. Measurement of Vapor Pressures and Melting Properties of Five Polybrominated Aromatic Flame Retardants. J Chem Eng Data [Internet]. 2018, 63(7),2578–85. </t>
  </si>
  <si>
    <t>GS (Yui)</t>
  </si>
  <si>
    <t>bp extrap, EpS (Br-a)</t>
  </si>
  <si>
    <t>E (Br-a)</t>
  </si>
  <si>
    <t>bp extrap (Br-a)</t>
  </si>
  <si>
    <t>FAV(Be)</t>
  </si>
  <si>
    <t>FAV (Ma)</t>
  </si>
  <si>
    <t xml:space="preserve">SW =Shen, L.;, Wania, F. Compilation, Evaluation, and Selection of Physical−Chemical Property Data for Organochlorine Pesticides. J Chem Eng Data. 2005, 50(3):742–68. </t>
  </si>
  <si>
    <t>Ec8: https://echa.europa.eu/registration-dossier/-/registered-dossier/24078/4/7</t>
  </si>
  <si>
    <t>16-Hexadecanolide</t>
  </si>
  <si>
    <t>Tm (K)</t>
  </si>
  <si>
    <t>PL</t>
  </si>
  <si>
    <t>Ref</t>
  </si>
  <si>
    <t xml:space="preserve">Ji = Jimenez, P.; Roux, M.V.; D´avalos, J.Z.; Mart´ın-Luengo, M.A.; Abboud, J.-L.M. Structural effects on the thermochemical properties of cycloalkanones II. Enthalpy of combustion, vapour pressures, enthalpy of sublimation, and standard molar enthalpy of formation in the gaseous phase of cyclopentadecanone J. Chem. Thermodynamics 1997, 29, 1281-1288. </t>
  </si>
  <si>
    <r>
      <t>KE (Ji)</t>
    </r>
    <r>
      <rPr>
        <vertAlign val="superscript"/>
        <sz val="11"/>
        <color rgb="FF000000"/>
        <rFont val="Times New Roman"/>
        <family val="1"/>
      </rPr>
      <t>b</t>
    </r>
  </si>
  <si>
    <t>b</t>
  </si>
  <si>
    <t>c</t>
  </si>
  <si>
    <t>Superscript</t>
  </si>
  <si>
    <r>
      <t>E (Ec8)</t>
    </r>
    <r>
      <rPr>
        <vertAlign val="superscript"/>
        <sz val="11"/>
        <color rgb="FF000000"/>
        <rFont val="Times New Roman"/>
        <family val="1"/>
      </rPr>
      <t>c</t>
    </r>
  </si>
  <si>
    <t>d</t>
  </si>
  <si>
    <r>
      <t>GS (He)</t>
    </r>
    <r>
      <rPr>
        <vertAlign val="superscript"/>
        <sz val="11"/>
        <color rgb="FF000000"/>
        <rFont val="Times New Roman"/>
        <family val="1"/>
      </rPr>
      <t>d</t>
    </r>
  </si>
  <si>
    <t>Ec9: https://echa.europa.eu/registration-dossier/-/registered-dossier/24989/4/7</t>
  </si>
  <si>
    <t>Notes</t>
  </si>
  <si>
    <r>
      <t>GS (Ec7)</t>
    </r>
    <r>
      <rPr>
        <vertAlign val="superscript"/>
        <sz val="11"/>
        <color rgb="FF000000"/>
        <rFont val="Times New Roman"/>
        <family val="1"/>
      </rPr>
      <t>f</t>
    </r>
  </si>
  <si>
    <t>CD1: https://comptox.epa.gov/dashboard/dsstoxdb/results?search=DTXSID8027373#properties</t>
  </si>
  <si>
    <t>GS (BF, He, Ec10, CD1)</t>
  </si>
  <si>
    <t>298 CGC (Wk)</t>
  </si>
  <si>
    <t>403–463A (AC)</t>
  </si>
  <si>
    <t>403–46 A (AC)</t>
  </si>
  <si>
    <t>Is (CD2)</t>
  </si>
  <si>
    <t>CD2: https://comptox.epa.gov/dashboard/dsstoxdb/results?search=DTXSID1021952#properties</t>
  </si>
  <si>
    <t>E (Sm)</t>
  </si>
  <si>
    <t>Sm = Small P. A.; Small,  K. W.; Cowley, P. The vapour pressures of some high boiling esters. Trans. Faraday Soc., 1948, 44, 810-816</t>
  </si>
  <si>
    <t>E (Ec11)</t>
  </si>
  <si>
    <t>E (Tr)</t>
  </si>
  <si>
    <t>Tr = Tremain, S. TDCP: Determination of Vapour Pressure Report 1613/003; SafePharm Laboratories, Derby, UK, 2002</t>
  </si>
  <si>
    <t>Is (Do)</t>
  </si>
  <si>
    <t>Do = Dobry, A.; Keller, R. Vapor Pressures of Some Phosphate and Phosphonate Esters. J. Phys. Chem. 1957, 61 (10), 1448–1449.</t>
  </si>
  <si>
    <t>Per = Perry, E. S.; Weber, W. H. Vapor Pressures of Phlegmatic Liquids. II. High Molecular Weight Esters and Silicone Oils. J. Am. Chem. Soc. 1949, 71 (11), 3726–3730.</t>
  </si>
  <si>
    <t>pend.tens. (Per)</t>
  </si>
  <si>
    <t>bp extrap, (Br-a)</t>
  </si>
  <si>
    <t>E (Ec12)</t>
  </si>
  <si>
    <t>Indust data (Br-a)</t>
  </si>
  <si>
    <t>KE (Ec13)</t>
  </si>
  <si>
    <t>370- 430 E (Sm)</t>
  </si>
  <si>
    <t>278–308 GC-RT (Wa1)</t>
  </si>
  <si>
    <t>370–430 E (Sm)</t>
  </si>
  <si>
    <t>278–308 GC-RT (Wa2)</t>
  </si>
  <si>
    <t>Sc = Schenker, U.; Soltermann, F.; Scheringer, M.; Hungerbühler, K. Modeling the Environmental Fate of Polybrominated Diphenyl Ethers (PBDEs): The Importance of Photolysis for the Formation of Lighter PBDEs. Environ. Sci. Technol. 2008, 42 (24), 9244–9249.</t>
  </si>
  <si>
    <t>FAV (Sc)</t>
  </si>
  <si>
    <t>298 CGC, GC (AC)</t>
  </si>
  <si>
    <r>
      <t>GS (Ec2)</t>
    </r>
    <r>
      <rPr>
        <vertAlign val="superscript"/>
        <sz val="11"/>
        <color rgb="FF000000"/>
        <rFont val="Times New Roman"/>
        <family val="1"/>
      </rPr>
      <t>k</t>
    </r>
  </si>
  <si>
    <t>Based on Mackay (2000) melting point estimation</t>
  </si>
  <si>
    <t>k</t>
  </si>
  <si>
    <t>l</t>
  </si>
  <si>
    <r>
      <t>E (Ec6)</t>
    </r>
    <r>
      <rPr>
        <vertAlign val="superscript"/>
        <sz val="11"/>
        <color rgb="FF000000"/>
        <rFont val="Times New Roman"/>
        <family val="1"/>
      </rPr>
      <t>l</t>
    </r>
  </si>
  <si>
    <t>m</t>
  </si>
  <si>
    <t>GS (Ec3)</t>
  </si>
  <si>
    <r>
      <t xml:space="preserve">Log </t>
    </r>
    <r>
      <rPr>
        <b/>
        <i/>
        <sz val="14"/>
        <color theme="1"/>
        <rFont val="Times New Roman"/>
        <family val="1"/>
      </rPr>
      <t>K</t>
    </r>
    <r>
      <rPr>
        <b/>
        <i/>
        <vertAlign val="subscript"/>
        <sz val="14"/>
        <color theme="1"/>
        <rFont val="Times New Roman"/>
        <family val="1"/>
      </rPr>
      <t>OW</t>
    </r>
  </si>
  <si>
    <r>
      <t xml:space="preserve">Log </t>
    </r>
    <r>
      <rPr>
        <b/>
        <i/>
        <sz val="14"/>
        <color theme="1"/>
        <rFont val="Times New Roman"/>
        <family val="1"/>
      </rPr>
      <t>K</t>
    </r>
    <r>
      <rPr>
        <b/>
        <i/>
        <vertAlign val="subscript"/>
        <sz val="14"/>
        <color theme="1"/>
        <rFont val="Times New Roman"/>
        <family val="1"/>
      </rPr>
      <t>AW</t>
    </r>
  </si>
  <si>
    <t>343-363 GC-RT (Ok)</t>
  </si>
  <si>
    <t>343-373 GC-RT (Ok)</t>
  </si>
  <si>
    <t>333-373 GC-RT (Ok)</t>
  </si>
  <si>
    <t>333-363 GC-RT (Ok)</t>
  </si>
  <si>
    <t>373-393 GC-RT (Ok)</t>
  </si>
  <si>
    <t>363-383 GC-RT (Ok)</t>
  </si>
  <si>
    <t>343-368 GC-RT (Ok)</t>
  </si>
  <si>
    <t>353-373 GC-RT (Ok)</t>
  </si>
  <si>
    <t>363-403 GC-RT (Ok)</t>
  </si>
  <si>
    <t>383-413 GC-RT (Ok)</t>
  </si>
  <si>
    <t>373-403 GC-RT (Ok)</t>
  </si>
  <si>
    <t>363-413 GC-RT (Ok)</t>
  </si>
  <si>
    <t>373-413 GC-RT (Ok)</t>
  </si>
  <si>
    <t>323-353 GC-RT (Ok)</t>
  </si>
  <si>
    <t>383-403 GC-RT (Ok)</t>
  </si>
  <si>
    <t>443-473 GC-RT (Ok)</t>
  </si>
  <si>
    <t>GC-RT (Ok)</t>
  </si>
  <si>
    <r>
      <t>∆</t>
    </r>
    <r>
      <rPr>
        <b/>
        <vertAlign val="subscript"/>
        <sz val="10"/>
        <color rgb="FF000000"/>
        <rFont val="Times New Roman"/>
        <family val="1"/>
      </rPr>
      <t>AW</t>
    </r>
    <r>
      <rPr>
        <b/>
        <sz val="10"/>
        <color rgb="FF000000"/>
        <rFont val="Times New Roman"/>
        <family val="1"/>
      </rPr>
      <t>U/kJ·mol</t>
    </r>
    <r>
      <rPr>
        <b/>
        <vertAlign val="superscript"/>
        <sz val="10"/>
        <color rgb="FF000000"/>
        <rFont val="Times New Roman"/>
        <family val="1"/>
      </rPr>
      <t>-1</t>
    </r>
    <r>
      <rPr>
        <b/>
        <sz val="10"/>
        <color rgb="FF000000"/>
        <rFont val="Times New Roman"/>
        <family val="1"/>
      </rPr>
      <t xml:space="preserve"> </t>
    </r>
  </si>
  <si>
    <t>Partition Coefficients</t>
  </si>
  <si>
    <t>Solubilities</t>
  </si>
  <si>
    <t>106-02-5</t>
  </si>
  <si>
    <t>n</t>
  </si>
  <si>
    <r>
      <t>E (Ec14)</t>
    </r>
    <r>
      <rPr>
        <vertAlign val="superscript"/>
        <sz val="11"/>
        <color rgb="FF000000"/>
        <rFont val="Times New Roman"/>
        <family val="1"/>
      </rPr>
      <t>n</t>
    </r>
  </si>
  <si>
    <t>o</t>
  </si>
  <si>
    <t>15-pentadecanolide</t>
  </si>
  <si>
    <r>
      <t>Lit Log K</t>
    </r>
    <r>
      <rPr>
        <b/>
        <vertAlign val="subscript"/>
        <sz val="10"/>
        <color rgb="FF000000"/>
        <rFont val="Times New Roman"/>
        <family val="1"/>
      </rPr>
      <t>AW</t>
    </r>
  </si>
  <si>
    <t>318 - 378 GS (Em)</t>
  </si>
  <si>
    <t xml:space="preserve">T2 = </t>
  </si>
  <si>
    <t>K</t>
  </si>
  <si>
    <t>J/mol/K</t>
  </si>
  <si>
    <t>363-443 A (AC)</t>
  </si>
  <si>
    <t>310-320 KE (Ac)</t>
  </si>
  <si>
    <t>318-378 GS (Em)</t>
  </si>
  <si>
    <t>Property</t>
  </si>
  <si>
    <t>Sw</t>
  </si>
  <si>
    <t>HLC</t>
  </si>
  <si>
    <t>MW</t>
  </si>
  <si>
    <t>p</t>
  </si>
  <si>
    <r>
      <t>SS (Ec14)</t>
    </r>
    <r>
      <rPr>
        <vertAlign val="superscript"/>
        <sz val="11"/>
        <color rgb="FF000000"/>
        <rFont val="Times New Roman"/>
        <family val="1"/>
      </rPr>
      <t>o</t>
    </r>
  </si>
  <si>
    <r>
      <t>CE (Ec4)</t>
    </r>
    <r>
      <rPr>
        <vertAlign val="superscript"/>
        <sz val="11"/>
        <color rgb="FF000000"/>
        <rFont val="Times New Roman"/>
        <family val="1"/>
      </rPr>
      <t>p</t>
    </r>
  </si>
  <si>
    <t>q</t>
  </si>
  <si>
    <t>Kow</t>
  </si>
  <si>
    <r>
      <t>SS (Ec14)</t>
    </r>
    <r>
      <rPr>
        <vertAlign val="superscript"/>
        <sz val="11"/>
        <color rgb="FF000000"/>
        <rFont val="Times New Roman"/>
        <family val="1"/>
      </rPr>
      <t>q</t>
    </r>
  </si>
  <si>
    <t>r</t>
  </si>
  <si>
    <t>Ec(4) identified a range from 3.3-5.9 for Kow, with 5.6 representing the major peak (44% of area)</t>
  </si>
  <si>
    <r>
      <t>HPLC (Ec4)</t>
    </r>
    <r>
      <rPr>
        <vertAlign val="superscript"/>
        <sz val="11"/>
        <color rgb="FF000000"/>
        <rFont val="Times New Roman"/>
        <family val="1"/>
      </rPr>
      <t>r</t>
    </r>
  </si>
  <si>
    <t>s</t>
  </si>
  <si>
    <r>
      <t>CE (Ec8)</t>
    </r>
    <r>
      <rPr>
        <vertAlign val="superscript"/>
        <sz val="11"/>
        <color rgb="FF000000"/>
        <rFont val="Times New Roman"/>
        <family val="1"/>
      </rPr>
      <t>s</t>
    </r>
  </si>
  <si>
    <t>t</t>
  </si>
  <si>
    <r>
      <t>HPLC (Ec8)</t>
    </r>
    <r>
      <rPr>
        <vertAlign val="superscript"/>
        <sz val="11"/>
        <color rgb="FF000000"/>
        <rFont val="Times New Roman"/>
        <family val="1"/>
      </rPr>
      <t>t</t>
    </r>
  </si>
  <si>
    <t>muskonate</t>
  </si>
  <si>
    <t>u</t>
  </si>
  <si>
    <r>
      <t>SF (Ec1)</t>
    </r>
    <r>
      <rPr>
        <vertAlign val="superscript"/>
        <sz val="11"/>
        <color rgb="FF000000"/>
        <rFont val="Times New Roman"/>
        <family val="1"/>
      </rPr>
      <t>u</t>
    </r>
  </si>
  <si>
    <t>v</t>
  </si>
  <si>
    <r>
      <t>HPLC (Ec1)</t>
    </r>
    <r>
      <rPr>
        <vertAlign val="superscript"/>
        <sz val="11"/>
        <color rgb="FF000000"/>
        <rFont val="Times New Roman"/>
        <family val="1"/>
      </rPr>
      <t>v</t>
    </r>
  </si>
  <si>
    <t>w</t>
  </si>
  <si>
    <t>x</t>
  </si>
  <si>
    <r>
      <t>HPLC (Ec9)</t>
    </r>
    <r>
      <rPr>
        <vertAlign val="superscript"/>
        <sz val="11"/>
        <color rgb="FF000000"/>
        <rFont val="Times New Roman"/>
        <family val="1"/>
      </rPr>
      <t>x</t>
    </r>
  </si>
  <si>
    <r>
      <t>SF (Ec9)</t>
    </r>
    <r>
      <rPr>
        <vertAlign val="superscript"/>
        <sz val="11"/>
        <color rgb="FF000000"/>
        <rFont val="Times New Roman"/>
        <family val="1"/>
      </rPr>
      <t>w</t>
    </r>
  </si>
  <si>
    <t>y</t>
  </si>
  <si>
    <r>
      <t>HPLC (Ec5)</t>
    </r>
    <r>
      <rPr>
        <vertAlign val="superscript"/>
        <sz val="11"/>
        <color rgb="FF000000"/>
        <rFont val="Times New Roman"/>
        <family val="1"/>
      </rPr>
      <t>z</t>
    </r>
  </si>
  <si>
    <r>
      <t>SS (Ec5)</t>
    </r>
    <r>
      <rPr>
        <vertAlign val="superscript"/>
        <sz val="11"/>
        <color rgb="FF000000"/>
        <rFont val="Times New Roman"/>
        <family val="1"/>
      </rPr>
      <t>y</t>
    </r>
  </si>
  <si>
    <t>z</t>
  </si>
  <si>
    <t>aa</t>
  </si>
  <si>
    <t>ab</t>
  </si>
  <si>
    <r>
      <t>HPLC (Ec7)</t>
    </r>
    <r>
      <rPr>
        <vertAlign val="superscript"/>
        <sz val="11"/>
        <color rgb="FF000000"/>
        <rFont val="Times New Roman"/>
        <family val="1"/>
      </rPr>
      <t>ab</t>
    </r>
  </si>
  <si>
    <r>
      <t>SF (Ec7)</t>
    </r>
    <r>
      <rPr>
        <vertAlign val="superscript"/>
        <sz val="11"/>
        <color rgb="FF000000"/>
        <rFont val="Times New Roman"/>
        <family val="1"/>
      </rPr>
      <t>aa</t>
    </r>
  </si>
  <si>
    <t>SS (Ar)</t>
  </si>
  <si>
    <t>HPLC (Ec10)</t>
  </si>
  <si>
    <t>SF (Ec10)</t>
  </si>
  <si>
    <t>SF (BF)</t>
  </si>
  <si>
    <t>CE (Ec10)</t>
  </si>
  <si>
    <t>Celestolide</t>
  </si>
  <si>
    <t>13171-00-1</t>
  </si>
  <si>
    <t>Ec15: https://echa.europa.eu/registration-dossier/-/registered-dossier/23248/4/7</t>
  </si>
  <si>
    <t>ac</t>
  </si>
  <si>
    <r>
      <t>GS (Ec15)</t>
    </r>
    <r>
      <rPr>
        <vertAlign val="superscript"/>
        <sz val="11"/>
        <color rgb="FF000000"/>
        <rFont val="Times New Roman"/>
        <family val="1"/>
      </rPr>
      <t>ac</t>
    </r>
  </si>
  <si>
    <t>ad</t>
  </si>
  <si>
    <t>@ 24°C, did not convert</t>
  </si>
  <si>
    <t>Ec15</t>
  </si>
  <si>
    <t>HPLC (Ec15)</t>
  </si>
  <si>
    <t>ae</t>
  </si>
  <si>
    <t>Tonalide</t>
  </si>
  <si>
    <t>21145-77-7</t>
  </si>
  <si>
    <t>Ec16: https://echa.europa.eu/registration-dossier/-/registered-dossier/12808/4/7/</t>
  </si>
  <si>
    <t>Ar1 = Artola-Garicano, E.; Hermens, J. L. M.; Vaes, W. H. J. Evaluation of Simple Treat 3.0 for Two Hydrophobic and Slowly Biodegradable Chemicals: Polycyclic Musks HHCB and AHTN. Water Res. 2003, 37 (18), 4377–4384.</t>
  </si>
  <si>
    <t>ECHC = Environment Canada; Health Canada. Draft State of the Science Report Certain Organic Flame Retardants Substance Grouping (ATE) Chemical Abstracts Service Registry Number 3278-89-5. 2016.</t>
  </si>
  <si>
    <t>&gt;4.86</t>
  </si>
  <si>
    <t>af</t>
  </si>
  <si>
    <t>s-DDC-CO</t>
  </si>
  <si>
    <t>ag</t>
  </si>
  <si>
    <r>
      <t>(CD5)</t>
    </r>
    <r>
      <rPr>
        <vertAlign val="superscript"/>
        <sz val="11"/>
        <color theme="1"/>
        <rFont val="Times New Roman"/>
        <family val="1"/>
      </rPr>
      <t>ag</t>
    </r>
  </si>
  <si>
    <r>
      <t>HPLC (Ec16)</t>
    </r>
    <r>
      <rPr>
        <vertAlign val="superscript"/>
        <sz val="11"/>
        <color theme="1"/>
        <rFont val="Times New Roman"/>
        <family val="1"/>
      </rPr>
      <t>ae</t>
    </r>
  </si>
  <si>
    <t>ah</t>
  </si>
  <si>
    <t>Al = Altschuh, J.; Brüggemann, R.; Santl, H.; Eichinger, G.; Piringer, O. G. Henry’s Law Constants for a Diverse Set of Organic Chemicals: Experimental Determination and Comparison of Estimation Methods. Chemosphere 1999, 39 (11), 1871–1887.</t>
  </si>
  <si>
    <t>p,p'- DDE</t>
  </si>
  <si>
    <t>GC-RT (Bi)</t>
  </si>
  <si>
    <t>ai</t>
  </si>
  <si>
    <t>aj</t>
  </si>
  <si>
    <t>ak</t>
  </si>
  <si>
    <t>We2 = Westcott, J. W.; Bidleman, T. F. Determination of Plychlorinated Biphenyl Vapor Pressures by Capillary Gas Chromatography. J. Chromatogr. A 1981, 210 (2), 331–336.</t>
  </si>
  <si>
    <t>GC-RT (We2)</t>
  </si>
  <si>
    <t>We1 = Westcott, J. W.; Simon, C. G.; Bidleman, T. F. Determination of Polychlorinated Biphenyl Vapor Pressures by a Semimicro Gas Saturation Method. Environ. Sci. Technol. 1981, 15 (11), 1375–1378.</t>
  </si>
  <si>
    <t>T1 (°C)</t>
  </si>
  <si>
    <t>T1 (K)</t>
  </si>
  <si>
    <t>al</t>
  </si>
  <si>
    <t>am</t>
  </si>
  <si>
    <t>an</t>
  </si>
  <si>
    <t>ao</t>
  </si>
  <si>
    <t>ap</t>
  </si>
  <si>
    <t>aq</t>
  </si>
  <si>
    <t>Ch = Chin, Y. P.; Weber, W. J.; Voice, T. C. Determination of Partition Coefficients and Aqueous Solubilities by Reverse Phase Chromatography-II. Evaluation of Partitioning and Solubility Models. Water Res. 1986, 20 (11), 1443–1450.</t>
  </si>
  <si>
    <t>FAV (Sw)</t>
  </si>
  <si>
    <r>
      <t>HPLC (Ch)</t>
    </r>
    <r>
      <rPr>
        <vertAlign val="superscript"/>
        <sz val="11"/>
        <color rgb="FF000000"/>
        <rFont val="Times New Roman"/>
        <family val="1"/>
      </rPr>
      <t>ap</t>
    </r>
  </si>
  <si>
    <t>ar</t>
  </si>
  <si>
    <t>as</t>
  </si>
  <si>
    <t>at</t>
  </si>
  <si>
    <t>au</t>
  </si>
  <si>
    <t>av</t>
  </si>
  <si>
    <t>So</t>
  </si>
  <si>
    <t>aw</t>
  </si>
  <si>
    <t>ax</t>
  </si>
  <si>
    <t>o,p'-DDD</t>
  </si>
  <si>
    <t>Mac = Mackay handbook of physical- etc</t>
  </si>
  <si>
    <t>ay</t>
  </si>
  <si>
    <t>(Mac)</t>
  </si>
  <si>
    <t>az</t>
  </si>
  <si>
    <t>ba</t>
  </si>
  <si>
    <t>bb</t>
  </si>
  <si>
    <t>bc</t>
  </si>
  <si>
    <t>o,p'-DDT</t>
  </si>
  <si>
    <t>bd</t>
  </si>
  <si>
    <r>
      <t>GS (We1)</t>
    </r>
    <r>
      <rPr>
        <vertAlign val="superscript"/>
        <sz val="11"/>
        <color rgb="FF000000"/>
        <rFont val="Times New Roman"/>
        <family val="1"/>
      </rPr>
      <t>aj</t>
    </r>
  </si>
  <si>
    <r>
      <t>GC-RT (We2)</t>
    </r>
    <r>
      <rPr>
        <vertAlign val="superscript"/>
        <sz val="11"/>
        <color rgb="FF000000"/>
        <rFont val="Times New Roman"/>
        <family val="1"/>
      </rPr>
      <t>ak</t>
    </r>
  </si>
  <si>
    <t>be</t>
  </si>
  <si>
    <r>
      <t>GS (We1)</t>
    </r>
    <r>
      <rPr>
        <vertAlign val="superscript"/>
        <sz val="11"/>
        <color rgb="FF000000"/>
        <rFont val="Times New Roman"/>
        <family val="1"/>
      </rPr>
      <t>be</t>
    </r>
  </si>
  <si>
    <t>bf</t>
  </si>
  <si>
    <t>bg</t>
  </si>
  <si>
    <t>bh</t>
  </si>
  <si>
    <t>bi</t>
  </si>
  <si>
    <t>bj</t>
  </si>
  <si>
    <t>BS (Ja)</t>
  </si>
  <si>
    <t>JB = Jantunen, L. M.; Bidleman, T. F. Henry’s Law Constants for Hexachlorobenzene, p,P′-DDE and Components of Technical Chlordane and Estimates of Gas Exchange for Lake Ontario. Chemosphere 2006, 62 (10), 1689–1696.</t>
  </si>
  <si>
    <t>BS (JB)</t>
  </si>
  <si>
    <t>bk</t>
  </si>
  <si>
    <t>At = Atlas, E.; Foster, R.; Giam, C. S. Air-Sea Exchange of High Molecular Weight Organic Pollutants: Laboratory Studies. Environ. Sci. Technol. 1982, 16 (5), 283–286.</t>
  </si>
  <si>
    <t>BS (Ce)</t>
  </si>
  <si>
    <t>Ce = Cetin, B.; Ozer, S.; Sofuoglu, A.; Odabasi, M. Determination of Henry’s Law Constants of Organochlorine Pesticides in Deionized and Saline Water as a Function of Temperature. Atmos. Environ. 2006, 40 (24), 4538–4546.</t>
  </si>
  <si>
    <t>TM (Al)</t>
  </si>
  <si>
    <t>GC-RT (Pa2)</t>
  </si>
  <si>
    <t>Pa2 = Paasivirta, J.; Sinkkonen, S.; Mikkelson, P.; Rantio, T.; Wania, F. Estimation of Vapor Pressures, Solubilities and Henry’s Law Constants of Selected Persistent Organic Pollutants as Functions of Temperature. Chemosphere 1999, 39 (5), 811–832.</t>
  </si>
  <si>
    <t>SS (Si)</t>
  </si>
  <si>
    <t>Si = Simpson, C. D.; Wilcock, R. J.; Smith, T. J.; Wilkins, A. L.; Langdon, A. G. Determination of Octanol-Water Partition Coefficients for the Major Components of Technical Chlordane. Bull. Environ. Contam. Toxicol. 1995, 55 (1), 149–153.</t>
  </si>
  <si>
    <t>Sa = Sasaki, K.; Takeda, M.; Uchiyama, M. Toxicity, Absorption and Elimination of Phosphoric Acid Triesters by Killifish and Goldfish. Bull. Environ. Contam. Toxicol. 1981, 27 (1), 775–782.</t>
  </si>
  <si>
    <t>SF (Sa)</t>
  </si>
  <si>
    <t>bl</t>
  </si>
  <si>
    <t>El = Eldefrawi, A. T.; Mansour, N. A.; Brattsten, L. B.; Ahrens, V. D.; Lisk, D. J. Further Toxicologic Studies with Commercial and Candidate Flame Retardant Chemicals. Part II. Bull. Environ. Contam. Toxicol. 1977, 17 (6), 720–726.</t>
  </si>
  <si>
    <t>Ec18: https://echa.europa.eu/registration-dossier/-/registered-dossier/5193/4/9</t>
  </si>
  <si>
    <t>HPLC (Ha)</t>
  </si>
  <si>
    <t>Ha = Hayward, S. J.; Lei, Y. D.; Wania, F. Comparative Evaluation of Three High-Performance Liquid Chromatography-Based Kow Estimation Methods for Highly Hydrophobic Organic Compounds: Polybrominated Diphenyl Ethers and Hexabromocyclododecane. Environ. Toxicol. Chem. 2006, 25 (8), 2018–2027.</t>
  </si>
  <si>
    <t>bm</t>
  </si>
  <si>
    <r>
      <t>FM (Ec18)</t>
    </r>
    <r>
      <rPr>
        <vertAlign val="superscript"/>
        <sz val="11"/>
        <color rgb="FF000000"/>
        <rFont val="Times New Roman"/>
        <family val="1"/>
      </rPr>
      <t>bl</t>
    </r>
  </si>
  <si>
    <t>bn</t>
  </si>
  <si>
    <t>bo</t>
  </si>
  <si>
    <t>bp</t>
  </si>
  <si>
    <t>bq</t>
  </si>
  <si>
    <t>Ku2 = Kuramochi, H.; Suzuki, S.; Kawamoto, K.; Osako, M.; Sakai, S. Measurements of Water Solubility and 1-Octanol/Water Partition Coefficient of Three Hexabromocyclododecane Diastereoisomers. Abstr. Present. BFR 2007, No. September 2014.</t>
  </si>
  <si>
    <t>Ku2, carried out without the presence of other HBCDD isomers</t>
  </si>
  <si>
    <r>
      <t>SS (Ku2)</t>
    </r>
    <r>
      <rPr>
        <vertAlign val="superscript"/>
        <sz val="11"/>
        <color theme="1"/>
        <rFont val="Times New Roman"/>
        <family val="1"/>
      </rPr>
      <t>bn</t>
    </r>
  </si>
  <si>
    <t>Ku2, carried out without the presence of other HBCDD isomers. Converted to subcooled liquid.</t>
  </si>
  <si>
    <t>EHDPP</t>
  </si>
  <si>
    <t>Sae = Saeger, V. W.; Hicks, O.; Kaley, R. G.; Michael, P. R.; Mieure, J. P.; Tucker, E. S. Environmental Fate of Selected Phosphate Esters. Environ. Sci. Technol. 1979, 13 (7), 840–844.</t>
  </si>
  <si>
    <t>SF (Sae)</t>
  </si>
  <si>
    <t>br</t>
  </si>
  <si>
    <t>RAR1 = EC. Risk Assessment Report for Tris(2-Chloroethyl)Phosphate, TCEP (CAS No. 115-96-8). 2009, No. July.</t>
  </si>
  <si>
    <t>Re = Reemtsma, T.; García-López, M.; Rodríguez, I.; Quintana, J. B.; Rodil, R. Organophosphorus Flame Retardants and Plasticizers in Water and Air I. Occurrence and Fate. TrAC - Trends Anal. Chem. 2008, 27 (9), 727–737.</t>
  </si>
  <si>
    <t>bs</t>
  </si>
  <si>
    <r>
      <t>FM (RAR1)</t>
    </r>
    <r>
      <rPr>
        <vertAlign val="superscript"/>
        <sz val="11"/>
        <color rgb="FF000000"/>
        <rFont val="Times New Roman"/>
        <family val="1"/>
      </rPr>
      <t>bs</t>
    </r>
  </si>
  <si>
    <t>HPLC (Ec11)</t>
  </si>
  <si>
    <t>bt</t>
  </si>
  <si>
    <t>(CD7)</t>
  </si>
  <si>
    <t>bu</t>
  </si>
  <si>
    <r>
      <t>(Ec11)</t>
    </r>
    <r>
      <rPr>
        <vertAlign val="superscript"/>
        <sz val="11"/>
        <color theme="1"/>
        <rFont val="Times New Roman"/>
        <family val="1"/>
      </rPr>
      <t>bu</t>
    </r>
  </si>
  <si>
    <t>RAR2 = EU. European Union Risk Assessment Report TRIS(2-CHLORO-1-METHYLETHYL) PHOSPHATE (TCPP) (CAS No. 13674-84-5); 2008.</t>
  </si>
  <si>
    <r>
      <t>FM (Ec11, RAR2)</t>
    </r>
    <r>
      <rPr>
        <b/>
        <vertAlign val="superscript"/>
        <sz val="11"/>
        <color rgb="FF000000"/>
        <rFont val="Times New Roman"/>
        <family val="1"/>
      </rPr>
      <t>bt</t>
    </r>
  </si>
  <si>
    <t>bv</t>
  </si>
  <si>
    <t>Ec20/RAR3 (Sw),  dUaw from ppLFER (Mintz, 2008) , dUvap average of lit vals. Not in ECHA database so possibly discarded at some point?. EC11 had same value of 1080 mg/L but at 25°c, used RAR as it had more info on study.</t>
  </si>
  <si>
    <r>
      <t>FM (Ec20)</t>
    </r>
    <r>
      <rPr>
        <vertAlign val="superscript"/>
        <sz val="11"/>
        <color rgb="FF000000"/>
        <rFont val="Times New Roman"/>
        <family val="1"/>
      </rPr>
      <t>bv</t>
    </r>
  </si>
  <si>
    <t>CD8: https://comptox.epa.gov/dashboard/dsstoxdb/results?search=DTXSID9026261</t>
  </si>
  <si>
    <t>Ho = Hollifield, H. C. Rapid Nephelometric Estimate of Water Solubility of Highly Insoluble Organic Chemicals of Environmental Interest. Bull. Environ. Contam. Toxicol. 1979, 23 (1), 579–586.</t>
  </si>
  <si>
    <t>bw</t>
  </si>
  <si>
    <t>Ho</t>
  </si>
  <si>
    <t>Value is at 24°C and unconverted</t>
  </si>
  <si>
    <t>bx</t>
  </si>
  <si>
    <r>
      <t>(El)</t>
    </r>
    <r>
      <rPr>
        <vertAlign val="superscript"/>
        <sz val="11"/>
        <color rgb="FF000000"/>
        <rFont val="Times New Roman"/>
        <family val="1"/>
      </rPr>
      <t>bx</t>
    </r>
  </si>
  <si>
    <t>by</t>
  </si>
  <si>
    <t>(Ec20)</t>
  </si>
  <si>
    <t>1241-94-7</t>
  </si>
  <si>
    <t>bz</t>
  </si>
  <si>
    <t>How = Howard, P. H.; Deo, P. G. Degradation of Aryl Phosphates in Aquatic Environments. Bull. Environ. Contam. Toxicol. 1979, 22 (1), 337–344.</t>
  </si>
  <si>
    <t>ca</t>
  </si>
  <si>
    <t>(CD2)</t>
  </si>
  <si>
    <r>
      <t>SF (How)</t>
    </r>
    <r>
      <rPr>
        <vertAlign val="superscript"/>
        <sz val="11"/>
        <color theme="1"/>
        <rFont val="Times New Roman"/>
        <family val="1"/>
      </rPr>
      <t>ca</t>
    </r>
  </si>
  <si>
    <t>cb</t>
  </si>
  <si>
    <t>Mu1 = Muir, D. C. G. Phosphate Esters. In: Anthropogenic Compounds. The Handbook of Environmental Chemistry, Vol 3 / 3C.; 1984.</t>
  </si>
  <si>
    <t>Mu2 = Muir, D. C. G.; Lint, D.; Grift, N. P. Fate of Three Phosphate Ester Flame Retardants in Small Ponds. Environ. Toxicol. Chem. 1985, 4 (5), 663–675.</t>
  </si>
  <si>
    <t>(Mu1)</t>
  </si>
  <si>
    <t>cc</t>
  </si>
  <si>
    <r>
      <t>FM (Ec12)</t>
    </r>
    <r>
      <rPr>
        <vertAlign val="superscript"/>
        <sz val="11"/>
        <color rgb="FF000000"/>
        <rFont val="Times New Roman"/>
        <family val="1"/>
      </rPr>
      <t>cc</t>
    </r>
  </si>
  <si>
    <t>cd</t>
  </si>
  <si>
    <r>
      <t>(El)</t>
    </r>
    <r>
      <rPr>
        <vertAlign val="superscript"/>
        <sz val="11"/>
        <color rgb="FF000000"/>
        <rFont val="Times New Roman"/>
        <family val="1"/>
      </rPr>
      <t>cd</t>
    </r>
  </si>
  <si>
    <t>(Ec12)</t>
  </si>
  <si>
    <t>ce</t>
  </si>
  <si>
    <r>
      <t>(Ec12)</t>
    </r>
    <r>
      <rPr>
        <vertAlign val="superscript"/>
        <sz val="11"/>
        <color rgb="FF000000"/>
        <rFont val="Times New Roman"/>
        <family val="1"/>
      </rPr>
      <t>ce</t>
    </r>
  </si>
  <si>
    <t>HPLC (Ec12)</t>
  </si>
  <si>
    <t>CD9: https://comptox.epa.gov/dashboard/dsstoxdb/results?search=DTXSID5021758</t>
  </si>
  <si>
    <t>cf</t>
  </si>
  <si>
    <t>&lt;1.0</t>
  </si>
  <si>
    <t>cg</t>
  </si>
  <si>
    <r>
      <t>FM (Ec13)</t>
    </r>
    <r>
      <rPr>
        <vertAlign val="superscript"/>
        <sz val="11"/>
        <color theme="1"/>
        <rFont val="Times New Roman"/>
        <family val="1"/>
      </rPr>
      <t>cg</t>
    </r>
  </si>
  <si>
    <t>ch</t>
  </si>
  <si>
    <t>&lt; 8.32E-04</t>
  </si>
  <si>
    <t>&gt;6.26</t>
  </si>
  <si>
    <t>SS (Ec13)</t>
  </si>
  <si>
    <t>(Ec13)</t>
  </si>
  <si>
    <t>Ren = Renberg, L.; Sundström, G.; Sundh-Nygård, K. Partition Coefficients of Organic Chemicals Derived from Reversed Phase Thin Layer Chromatography. Evaluation of Methods and Application on Phosphate Esters, Polychlorinated Paraffins and Some PCB-Substitutes. Chemosphere 1980, 9 (11), 683–691.</t>
  </si>
  <si>
    <t>RP-HPLC (Ren)</t>
  </si>
  <si>
    <t>Ec21 = https://echa.europa.eu/registration-dossier/-/registered-dossier/2152/</t>
  </si>
  <si>
    <t>ci</t>
  </si>
  <si>
    <t>Ec21</t>
  </si>
  <si>
    <t>SS (Ec21)</t>
  </si>
  <si>
    <t>CD10: https://comptox.epa.gov/dashboard/dsstoxdb/results?search=DTXSID1025300</t>
  </si>
  <si>
    <t>(CD10)</t>
  </si>
  <si>
    <t>423–473 A (RAR3)</t>
  </si>
  <si>
    <t>RAR3 = Environment Agency. Environmental Risk Evaluation Report: 2-Ethylhexyl Diphenyl Phosphate (CAS No. 1241-94-7). 2009, No. 1241.</t>
  </si>
  <si>
    <t>bp-extrap, (RAR3)</t>
  </si>
  <si>
    <t>HPLC (Ve)</t>
  </si>
  <si>
    <t>Ve = Veith, G. D.; DeFoe, D. L.; Bergstedt, B. V. Measuring and Estimating the Bioconcentration Factor of Chemicals in Fish. J. Fish. Res. Board Canada 1979, 36 (9), 1040–1048.</t>
  </si>
  <si>
    <t>T</t>
  </si>
  <si>
    <t>cj</t>
  </si>
  <si>
    <t>FM (Ec3)</t>
  </si>
  <si>
    <t>ck</t>
  </si>
  <si>
    <r>
      <t>HPLC (Ec3)</t>
    </r>
    <r>
      <rPr>
        <vertAlign val="superscript"/>
        <sz val="11"/>
        <color theme="1"/>
        <rFont val="Times New Roman"/>
        <family val="1"/>
      </rPr>
      <t>ck</t>
    </r>
  </si>
  <si>
    <t>Avobenzone</t>
  </si>
  <si>
    <t>70356-09-1</t>
  </si>
  <si>
    <t>2-ethylhexyl salicylate</t>
  </si>
  <si>
    <t>118-60-5</t>
  </si>
  <si>
    <t>Octocrylene</t>
  </si>
  <si>
    <t>6197-30-4</t>
  </si>
  <si>
    <t>cl</t>
  </si>
  <si>
    <t>oxybenzone</t>
  </si>
  <si>
    <r>
      <t>FM (Ec2)</t>
    </r>
    <r>
      <rPr>
        <vertAlign val="superscript"/>
        <sz val="11"/>
        <color theme="1"/>
        <rFont val="Times New Roman"/>
        <family val="1"/>
      </rPr>
      <t>cm</t>
    </r>
  </si>
  <si>
    <t>cm</t>
  </si>
  <si>
    <t>cn</t>
  </si>
  <si>
    <t>CD11: https://comptox.epa.gov/dashboard/dsstoxdb/results?search=DTXSID3022405</t>
  </si>
  <si>
    <t>SF (Ec2)</t>
  </si>
  <si>
    <t>Fe = Felton, L. A.; Wiley, C. J.; Godwin, D. A. Influence of Hydroxypropyl-β-Cyclodextrin on the Transdermal Permeation and Skin Accumulation of Oxybenzone. Drug Dev. Ind. Pharm. 2002, 28 (9), 1117–1124.</t>
  </si>
  <si>
    <t>dS</t>
  </si>
  <si>
    <t>co</t>
  </si>
  <si>
    <t>cp</t>
  </si>
  <si>
    <t>La = Lago, A. F.; Jimenez, P.; Herrero, R.; Dávalos, J. Z.; Abboud, J. L. M. Thermochemistry and Gas-Phase Ion Energetics of 2-Hydroxy-4-Methoxy- Benzophenone (Oxybenzone). J. Phys. Chem. A 2008, 112 (14), 3201–3208.</t>
  </si>
  <si>
    <t>cq</t>
  </si>
  <si>
    <t>dHvap</t>
  </si>
  <si>
    <r>
      <t>306.5–320.46 KE (La)</t>
    </r>
    <r>
      <rPr>
        <vertAlign val="superscript"/>
        <sz val="10"/>
        <color rgb="FF000000"/>
        <rFont val="Times New Roman"/>
        <family val="1"/>
      </rPr>
      <t>cq</t>
    </r>
  </si>
  <si>
    <r>
      <t>E (Ec6)</t>
    </r>
    <r>
      <rPr>
        <vertAlign val="superscript"/>
        <sz val="11"/>
        <color rgb="FF000000"/>
        <rFont val="Times New Roman"/>
        <family val="1"/>
      </rPr>
      <t>cr</t>
    </r>
  </si>
  <si>
    <t>cr</t>
  </si>
  <si>
    <t>cs</t>
  </si>
  <si>
    <r>
      <t>CE (Ec6)</t>
    </r>
    <r>
      <rPr>
        <vertAlign val="superscript"/>
        <sz val="11"/>
        <color rgb="FF000000"/>
        <rFont val="Times New Roman"/>
        <family val="1"/>
      </rPr>
      <t>cs</t>
    </r>
  </si>
  <si>
    <t>ct</t>
  </si>
  <si>
    <t>octocrylene</t>
  </si>
  <si>
    <t>1/T</t>
  </si>
  <si>
    <t>VP (Pa)</t>
  </si>
  <si>
    <t>Octocrylene regression from Ec21</t>
  </si>
  <si>
    <t>Ec22: https://echa.europa.eu/fi/registration-dossier/-/registered-dossier/14858</t>
  </si>
  <si>
    <t>Regression</t>
  </si>
  <si>
    <t>Ec22</t>
  </si>
  <si>
    <t>See regression, calculated from 3 study reports using the dynamic method with argon and nitrogen.</t>
  </si>
  <si>
    <t>cu</t>
  </si>
  <si>
    <t>10C above transition tempo</t>
  </si>
  <si>
    <t>20C above transition temp (287C)</t>
  </si>
  <si>
    <r>
      <t>452-580 DM (Ec22)</t>
    </r>
    <r>
      <rPr>
        <vertAlign val="superscript"/>
        <sz val="10"/>
        <color rgb="FF000000"/>
        <rFont val="Times New Roman"/>
        <family val="1"/>
      </rPr>
      <t>cu</t>
    </r>
  </si>
  <si>
    <t>(Ec22)</t>
  </si>
  <si>
    <r>
      <t>HPLC (Ec22)</t>
    </r>
    <r>
      <rPr>
        <vertAlign val="superscript"/>
        <sz val="11"/>
        <color theme="1"/>
        <rFont val="Times New Roman"/>
        <family val="1"/>
      </rPr>
      <t>cv</t>
    </r>
  </si>
  <si>
    <t>cv</t>
  </si>
  <si>
    <t>cw</t>
  </si>
  <si>
    <t>Paw = Pawlowski, S.; Lanzinger, A. C.; Dolich, T.; Füßl, S.; Salinas, E. R.; Zok, S.; Weiss, B.; Hefner, N.; Van Sloun, P.; Hombeck, H.; et al. Evaluation of the Bioaccumulation of Octocrylene after Dietary and Aqueous Exposure. Sci. Total Environ. 2019, 672, 669–679.</t>
  </si>
  <si>
    <t>cx</t>
  </si>
  <si>
    <r>
      <t>FM (Ec22)</t>
    </r>
    <r>
      <rPr>
        <vertAlign val="superscript"/>
        <sz val="11"/>
        <color rgb="FF000000"/>
        <rFont val="Times New Roman"/>
        <family val="1"/>
      </rPr>
      <t>cw</t>
    </r>
  </si>
  <si>
    <r>
      <t>SF (Paw)</t>
    </r>
    <r>
      <rPr>
        <vertAlign val="superscript"/>
        <sz val="11"/>
        <color rgb="FF000000"/>
        <rFont val="Times New Roman"/>
        <family val="1"/>
      </rPr>
      <t>cx</t>
    </r>
  </si>
  <si>
    <t>Miscible at any ratio</t>
  </si>
  <si>
    <r>
      <t>TM (Ec22)</t>
    </r>
    <r>
      <rPr>
        <vertAlign val="superscript"/>
        <sz val="11"/>
        <color rgb="FF000000"/>
        <rFont val="Times New Roman"/>
        <family val="1"/>
      </rPr>
      <t>ct</t>
    </r>
  </si>
  <si>
    <t>E (Ec23)</t>
  </si>
  <si>
    <t>cy</t>
  </si>
  <si>
    <t>Ec23</t>
  </si>
  <si>
    <t>Ec23: https://echa.europa.eu/fi/registration-dossier/-/registered-dossier/14203</t>
  </si>
  <si>
    <r>
      <t>293-343 E (Ec23)</t>
    </r>
    <r>
      <rPr>
        <vertAlign val="superscript"/>
        <sz val="11"/>
        <color rgb="FF000000"/>
        <rFont val="Times New Roman"/>
        <family val="1"/>
      </rPr>
      <t>cy</t>
    </r>
  </si>
  <si>
    <r>
      <t>HPLC (Ec23)</t>
    </r>
    <r>
      <rPr>
        <vertAlign val="superscript"/>
        <sz val="11"/>
        <color theme="1"/>
        <rFont val="Times New Roman"/>
        <family val="1"/>
      </rPr>
      <t>cz</t>
    </r>
  </si>
  <si>
    <t>cz</t>
  </si>
  <si>
    <t>da</t>
  </si>
  <si>
    <t>Reported as &lt; 0.5, LOD for the test</t>
  </si>
  <si>
    <r>
      <t>CE (Ec23)</t>
    </r>
    <r>
      <rPr>
        <vertAlign val="superscript"/>
        <sz val="11"/>
        <color rgb="FF000000"/>
        <rFont val="Times New Roman"/>
        <family val="1"/>
      </rPr>
      <t>da</t>
    </r>
  </si>
  <si>
    <t>Ec24: https://echa.europa.eu/fi/registration-dossier/-/registered-dossier/14835</t>
  </si>
  <si>
    <t>db</t>
  </si>
  <si>
    <t>dc</t>
  </si>
  <si>
    <t>dd</t>
  </si>
  <si>
    <r>
      <t>GS (Ec24)</t>
    </r>
    <r>
      <rPr>
        <vertAlign val="superscript"/>
        <sz val="11"/>
        <color rgb="FF000000"/>
        <rFont val="Times New Roman"/>
        <family val="1"/>
      </rPr>
      <t>dd</t>
    </r>
  </si>
  <si>
    <r>
      <t>CE (Ec24)</t>
    </r>
    <r>
      <rPr>
        <vertAlign val="superscript"/>
        <sz val="11"/>
        <color rgb="FF000000"/>
        <rFont val="Times New Roman"/>
        <family val="1"/>
      </rPr>
      <t>db</t>
    </r>
  </si>
  <si>
    <r>
      <t>SF (Ec24)</t>
    </r>
    <r>
      <rPr>
        <vertAlign val="superscript"/>
        <sz val="11"/>
        <color rgb="FF000000"/>
        <rFont val="Times New Roman"/>
        <family val="1"/>
      </rPr>
      <t>dc</t>
    </r>
  </si>
  <si>
    <t>de</t>
  </si>
  <si>
    <t>df</t>
  </si>
  <si>
    <t>Results in the study did not agree, they gave 0.22 - 0.75 mg/L I have taken the average</t>
  </si>
  <si>
    <t>dg</t>
  </si>
  <si>
    <t>dH =</t>
  </si>
  <si>
    <t>lnP</t>
  </si>
  <si>
    <t>Tm/K</t>
  </si>
  <si>
    <t>Melting Point</t>
  </si>
  <si>
    <t>Entropy of Fusion</t>
  </si>
  <si>
    <t>Lit °C</t>
  </si>
  <si>
    <t>LDV</t>
  </si>
  <si>
    <t>CD12: https://comptox.epa.gov/dashboard/dsstoxdb/results?search=DTXSID2047141</t>
  </si>
  <si>
    <t>DSC ( Ec4)</t>
  </si>
  <si>
    <t>Indust. data (CD12 - JCD)</t>
  </si>
  <si>
    <t>Indust. data (CD12 - TCI)</t>
  </si>
  <si>
    <t>Indust. data (CD12 - MM)</t>
  </si>
  <si>
    <t>LDV/°C    LDV SD/°C</t>
  </si>
  <si>
    <t>Fel = Feldhues, M.; Schäfer, H. J. Selective Mixed Coupling of Carboxylic Acids - III. Tetrahedron 1986, 42 (5), 1285–1290.</t>
  </si>
  <si>
    <t>Gir = Giral, Francisco; Anales de la Real Sociedad Espanola de Fisica y Quimica 1935, V33, P438-44</t>
  </si>
  <si>
    <t>(Gir)</t>
  </si>
  <si>
    <t>dh</t>
  </si>
  <si>
    <t>Tm</t>
  </si>
  <si>
    <t>Fel</t>
  </si>
  <si>
    <t>Average of range given 65 - 66 °C</t>
  </si>
  <si>
    <r>
      <t>KHS (Fel)</t>
    </r>
    <r>
      <rPr>
        <vertAlign val="superscript"/>
        <sz val="11"/>
        <color theme="1"/>
        <rFont val="Times New Roman"/>
        <family val="1"/>
      </rPr>
      <t>dh</t>
    </r>
  </si>
  <si>
    <r>
      <t>(Zin)</t>
    </r>
    <r>
      <rPr>
        <vertAlign val="superscript"/>
        <sz val="11"/>
        <color theme="1"/>
        <rFont val="Times New Roman"/>
        <family val="1"/>
      </rPr>
      <t>di</t>
    </r>
  </si>
  <si>
    <t>Indust. data (CD13 - JCD)</t>
  </si>
  <si>
    <t>Indust. data (CD13 - TCI)</t>
  </si>
  <si>
    <t>Indust. data (CD13 - AA)</t>
  </si>
  <si>
    <t>Indust. data (CD13 - JCD, AA)</t>
  </si>
  <si>
    <t>Is = Isaoka, S.; Yoshida, M.; Kumanotani, J. Dielectric Behaviours of Some Cyclic Compounds. Kolloid-Zeitschrift Zeitschrift für Polym. 1970, 242 (1–2), 1180–1185.</t>
  </si>
  <si>
    <t>DSC (Is)</t>
  </si>
  <si>
    <t>LDV             LDV SD</t>
  </si>
  <si>
    <t>a</t>
  </si>
  <si>
    <t>T (°C)</t>
  </si>
  <si>
    <t>1/T (K)</t>
  </si>
  <si>
    <t>Van't Hoff Regressions</t>
  </si>
  <si>
    <t>(Ji)</t>
  </si>
  <si>
    <t>DSC (Ji)</t>
  </si>
  <si>
    <t>dU (kJ/mol)</t>
  </si>
  <si>
    <t>cyclopentadecanone regression from Ec4</t>
  </si>
  <si>
    <t xml:space="preserve">Lit HLC/ Pa·m³·mol-1 </t>
  </si>
  <si>
    <t>Assumed Uncertainty</t>
  </si>
  <si>
    <t>Conventional Measurement</t>
  </si>
  <si>
    <t>Inference Method (e.x. GC-RT, HPLC etc.)</t>
  </si>
  <si>
    <t>Unreliable measurement</t>
  </si>
  <si>
    <t>Relative Standard Deviation</t>
  </si>
  <si>
    <t>T=K , Method &amp; Ref</t>
  </si>
  <si>
    <t>343-373 E (Ec4)</t>
  </si>
  <si>
    <t>DSC (Ec14)</t>
  </si>
  <si>
    <t>Ec4 (VPs). See regression at right</t>
  </si>
  <si>
    <t>DSC (Em)</t>
  </si>
  <si>
    <t>CD14: https://comptox.epa.gov/dashboard/dsstoxdb/results?search=DTXSID7025689</t>
  </si>
  <si>
    <t>CD13: https://comptox.epa.gov/dashboard/dsstoxdb/results?search=DTXSID6044359</t>
  </si>
  <si>
    <t>CD4: https://comptox.epa.gov/dashboard/dsstoxdb/results?search=DTXSID4047541#properties</t>
  </si>
  <si>
    <t>CD5: https://comptox.epa.gov/dashboard/dsstoxdb/results?search=DTXSID9020372#properties</t>
  </si>
  <si>
    <t>CD6: https://comptox.epa.gov/dashboard/dsstoxdb/results?search=DTXSID6022345</t>
  </si>
  <si>
    <t>CD7: https://comptox.epa.gov/dashboard/dsstoxdb/results?search=DTXSID5026259</t>
  </si>
  <si>
    <t>TCI: Tokyo Chemical Industry http://www.tcichemicals.com/</t>
  </si>
  <si>
    <t>MM: Merck Millipore http://www.emdmillipore.com/CA/en?bd=1</t>
  </si>
  <si>
    <t>JCD: Jean Claude Bradley Open Melting Point Dataset https://figshare.com/articles/Jean_Claude_Bradley_Open_Melting_Point_Datset/1031637 (accessed Oct 18, 2019).</t>
  </si>
  <si>
    <t>AA: Alfa Aesar https://www.alfa.com/en/</t>
  </si>
  <si>
    <t>(Ca)</t>
  </si>
  <si>
    <t>Ca = Carpenter, M. S.; Easter, W. M.; Wood, T. F. Nitro Musks. I. Isomers, Homologs, and Analogs of Musk Ambrette. J. Org. Chem. 1951, 16 (4), 586–617.</t>
  </si>
  <si>
    <t>Saf = Safaei-Ghomi, J.; Bamoniri, A. MODIFIED AND CONVENIENT METHODS FOR THE PREPARATION OF SOME NTTRO MUSKS. Org. Prep. Proced. Int. 2004, 36 (2), 188–191.</t>
  </si>
  <si>
    <t>GMA (Saf)</t>
  </si>
  <si>
    <t>Celestolide Sw</t>
  </si>
  <si>
    <t>Phantolide Sw</t>
  </si>
  <si>
    <t>Tonalide Sw</t>
  </si>
  <si>
    <t>Traseolide Sw</t>
  </si>
  <si>
    <t>Ambrette Sw</t>
  </si>
  <si>
    <t>Moskene Sw</t>
  </si>
  <si>
    <t>Tibetine Sw</t>
  </si>
  <si>
    <t>Galaxolide 1 Sw</t>
  </si>
  <si>
    <t>Galaxolide RRT</t>
  </si>
  <si>
    <t>Phantolide RRT</t>
  </si>
  <si>
    <t>Celestolide RRT</t>
  </si>
  <si>
    <t>Tonalide RRT</t>
  </si>
  <si>
    <t>Traseolide RRT</t>
  </si>
  <si>
    <t>Ambrette RRT</t>
  </si>
  <si>
    <t>Moskene RRT</t>
  </si>
  <si>
    <t>Tibetine RRT</t>
  </si>
  <si>
    <t>Art (Sw)</t>
  </si>
  <si>
    <t>Brt (Sw)</t>
  </si>
  <si>
    <t>Galaxolide</t>
  </si>
  <si>
    <t>Phantolide (Regression over 10-20°C)</t>
  </si>
  <si>
    <t>Celestolide (Regression over 10-20°C)</t>
  </si>
  <si>
    <t>Tonalide (Regression over 10-20°C)</t>
  </si>
  <si>
    <t>Traseolide (Regression over 10-20°C)</t>
  </si>
  <si>
    <t>Ambrette</t>
  </si>
  <si>
    <t>Moskene (Not used, bad regression)</t>
  </si>
  <si>
    <t>Tibetine</t>
  </si>
  <si>
    <t>dUw (kJ/mol)</t>
  </si>
  <si>
    <t>di</t>
  </si>
  <si>
    <t>dj</t>
  </si>
  <si>
    <t>dk</t>
  </si>
  <si>
    <t>dl</t>
  </si>
  <si>
    <t>dm</t>
  </si>
  <si>
    <t>dn</t>
  </si>
  <si>
    <t>do</t>
  </si>
  <si>
    <t>dp</t>
  </si>
  <si>
    <t>dq</t>
  </si>
  <si>
    <t>25 (my regression)</t>
  </si>
  <si>
    <t>25 (Pa1 regression)</t>
  </si>
  <si>
    <t>NA</t>
  </si>
  <si>
    <t>dUw</t>
  </si>
  <si>
    <t>Galaxolide I</t>
  </si>
  <si>
    <t>1/T K</t>
  </si>
  <si>
    <t>dr</t>
  </si>
  <si>
    <t>ds</t>
  </si>
  <si>
    <t>dt</t>
  </si>
  <si>
    <t>du</t>
  </si>
  <si>
    <t>dv</t>
  </si>
  <si>
    <t>Solubility (log mol/m³), Kow &amp; VP Regressions from Pa1</t>
  </si>
  <si>
    <t xml:space="preserve">Pa (Sw) from regression. </t>
  </si>
  <si>
    <t>Musk Tibetine</t>
  </si>
  <si>
    <t>CD15: https://comptox.epa.gov/dashboard/dsstoxdb/results?search=DTXSID9044582</t>
  </si>
  <si>
    <t>Indust. data (CD15 - SQ)</t>
  </si>
  <si>
    <t>SQ: SynQuest http://www.synquestlabs.com/</t>
  </si>
  <si>
    <t>Indust. data (CD15 - JCD)</t>
  </si>
  <si>
    <t>Pa (Sw) derived from regression of HPLC based results</t>
  </si>
  <si>
    <r>
      <t>HPLC (Pa)</t>
    </r>
    <r>
      <rPr>
        <i/>
        <vertAlign val="superscript"/>
        <sz val="11"/>
        <color theme="1"/>
        <rFont val="Times New Roman"/>
        <family val="1"/>
      </rPr>
      <t>dm</t>
    </r>
  </si>
  <si>
    <r>
      <t>HPLC (Pa)</t>
    </r>
    <r>
      <rPr>
        <i/>
        <vertAlign val="superscript"/>
        <sz val="11"/>
        <color theme="1"/>
        <rFont val="Times New Roman"/>
        <family val="1"/>
      </rPr>
      <t>dl</t>
    </r>
  </si>
  <si>
    <r>
      <t>HPLC (Pa)</t>
    </r>
    <r>
      <rPr>
        <i/>
        <vertAlign val="superscript"/>
        <sz val="11"/>
        <color theme="1"/>
        <rFont val="Times New Roman"/>
        <family val="1"/>
      </rPr>
      <t>di</t>
    </r>
  </si>
  <si>
    <r>
      <t>HPLC (Pa)</t>
    </r>
    <r>
      <rPr>
        <i/>
        <vertAlign val="superscript"/>
        <sz val="11"/>
        <color theme="1"/>
        <rFont val="Times New Roman"/>
        <family val="1"/>
      </rPr>
      <t>dj</t>
    </r>
  </si>
  <si>
    <r>
      <t>HPLC (Pa)</t>
    </r>
    <r>
      <rPr>
        <i/>
        <vertAlign val="superscript"/>
        <sz val="11"/>
        <color theme="1"/>
        <rFont val="Times New Roman"/>
        <family val="1"/>
      </rPr>
      <t>dk</t>
    </r>
  </si>
  <si>
    <t>dUow</t>
  </si>
  <si>
    <t>dw</t>
  </si>
  <si>
    <t>ew</t>
  </si>
  <si>
    <t>dx</t>
  </si>
  <si>
    <t>dy</t>
  </si>
  <si>
    <t>dz</t>
  </si>
  <si>
    <t>ea</t>
  </si>
  <si>
    <t>eb</t>
  </si>
  <si>
    <t>ec</t>
  </si>
  <si>
    <t>ed</t>
  </si>
  <si>
    <t>ef</t>
  </si>
  <si>
    <t>ee</t>
  </si>
  <si>
    <t>eg</t>
  </si>
  <si>
    <t>eh</t>
  </si>
  <si>
    <t>ei</t>
  </si>
  <si>
    <t>ej</t>
  </si>
  <si>
    <t>ek</t>
  </si>
  <si>
    <t>el</t>
  </si>
  <si>
    <t>em</t>
  </si>
  <si>
    <t>Pa from provided equation logKow = A-B/T</t>
  </si>
  <si>
    <r>
      <t>HPLC (Pa)</t>
    </r>
    <r>
      <rPr>
        <i/>
        <vertAlign val="superscript"/>
        <sz val="11"/>
        <color theme="1"/>
        <rFont val="Times New Roman"/>
        <family val="1"/>
      </rPr>
      <t>dw</t>
    </r>
  </si>
  <si>
    <r>
      <t>HPLC (Pa)</t>
    </r>
    <r>
      <rPr>
        <i/>
        <vertAlign val="superscript"/>
        <sz val="11"/>
        <color theme="1"/>
        <rFont val="Times New Roman"/>
        <family val="1"/>
      </rPr>
      <t>dz</t>
    </r>
  </si>
  <si>
    <r>
      <t>HPLC (Pa)</t>
    </r>
    <r>
      <rPr>
        <i/>
        <vertAlign val="superscript"/>
        <sz val="11"/>
        <color theme="1"/>
        <rFont val="Times New Roman"/>
        <family val="1"/>
      </rPr>
      <t>ea</t>
    </r>
  </si>
  <si>
    <r>
      <t>HPLC (Pa)</t>
    </r>
    <r>
      <rPr>
        <i/>
        <vertAlign val="superscript"/>
        <sz val="11"/>
        <color theme="1"/>
        <rFont val="Times New Roman"/>
        <family val="1"/>
      </rPr>
      <t>dx</t>
    </r>
  </si>
  <si>
    <r>
      <t>HPLC (Pa)</t>
    </r>
    <r>
      <rPr>
        <i/>
        <vertAlign val="superscript"/>
        <sz val="11"/>
        <color theme="1"/>
        <rFont val="Times New Roman"/>
        <family val="1"/>
      </rPr>
      <t>dy</t>
    </r>
  </si>
  <si>
    <t>GC-RT (Pa)</t>
  </si>
  <si>
    <t>DSC (Ec8)</t>
  </si>
  <si>
    <t>CD16: https://comptox.epa.gov/dashboard/dsstoxdb/results?search=DTXSID9044536</t>
  </si>
  <si>
    <t>Indust. data (CD16 - TCI)</t>
  </si>
  <si>
    <t>Indust. data (CD16 - SQ)</t>
  </si>
  <si>
    <t>DSC (Ec15)</t>
  </si>
  <si>
    <r>
      <t>FM (Ec15)</t>
    </r>
    <r>
      <rPr>
        <vertAlign val="superscript"/>
        <sz val="11"/>
        <color rgb="FF000000"/>
        <rFont val="Times New Roman"/>
        <family val="1"/>
      </rPr>
      <t>ad</t>
    </r>
  </si>
  <si>
    <t>DSC (Ec1)</t>
  </si>
  <si>
    <t>Indust. data (CD17 - JCD)</t>
  </si>
  <si>
    <t>DSC (Ec9)</t>
  </si>
  <si>
    <t>Gr = Grampoloff, A. V. Sur Des Substances à Odeur Musquée Dérivant d’indanes Substitués. Helv. Chim. Acta 1955, 38 (5), 1263–1268.</t>
  </si>
  <si>
    <t>(Gr)</t>
  </si>
  <si>
    <t>e</t>
  </si>
  <si>
    <r>
      <t>GS (Ec9)</t>
    </r>
    <r>
      <rPr>
        <i/>
        <vertAlign val="superscript"/>
        <sz val="11"/>
        <color rgb="FF000000"/>
        <rFont val="Times New Roman"/>
        <family val="1"/>
      </rPr>
      <t>e</t>
    </r>
  </si>
  <si>
    <t>CM (Ec9)</t>
  </si>
  <si>
    <t>CM (Ec7)</t>
  </si>
  <si>
    <t>Indust. Data (CD17 - JCD)</t>
  </si>
  <si>
    <t>CM (Ec16)</t>
  </si>
  <si>
    <t>Indust. data (CD18 - JCD)</t>
  </si>
  <si>
    <t>CD18: https://comptox.epa.gov/dashboard/dsstoxdb/results?search=DTXSID7041544</t>
  </si>
  <si>
    <t>CD17: https://comptox.epa.gov/dashboard/dsstoxdb/results?search=DTXSID6044519</t>
  </si>
  <si>
    <t>Pa (Sw) from regression. Converted to subcooled liquid</t>
  </si>
  <si>
    <r>
      <t>SF (Ec16)</t>
    </r>
    <r>
      <rPr>
        <vertAlign val="superscript"/>
        <sz val="11"/>
        <color rgb="FF000000"/>
        <rFont val="Times New Roman"/>
        <family val="1"/>
      </rPr>
      <t>em</t>
    </r>
  </si>
  <si>
    <r>
      <t>GS (BF, Ec16)</t>
    </r>
    <r>
      <rPr>
        <vertAlign val="superscript"/>
        <sz val="11"/>
        <color rgb="FF000000"/>
        <rFont val="Times New Roman"/>
        <family val="1"/>
      </rPr>
      <t>en</t>
    </r>
  </si>
  <si>
    <t>Ec10: https://echa.europa.eu/registration-dossier/-/registered-dossier/14504</t>
  </si>
  <si>
    <t>Ec11: https://echa.europa.eu/registration-dossier/-/registered-dossier/1355</t>
  </si>
  <si>
    <t>Ec12: https://echa.europa.eu/registration-dossier/-/registered-dossier/14166</t>
  </si>
  <si>
    <t>Ec13: https://echa.europa.eu/registration-dossier/-/registered-dossier/14220</t>
  </si>
  <si>
    <t>Ec14: https://echa.europa.eu/registration-dossier/-/registered-dossier/5937</t>
  </si>
  <si>
    <t>Ec17: https://echa.europa.eu/registration-dossier/-/registered-dossier/11906</t>
  </si>
  <si>
    <t>Ec19: https://echa.europa.eu/registration-dossier/-/registered-dossier/15003</t>
  </si>
  <si>
    <t>Ec20: https://echa.europa.eu/registration-dossier/-/registered-dossier/14365</t>
  </si>
  <si>
    <t>DSC (Ec10)</t>
  </si>
  <si>
    <t>&lt; 253</t>
  </si>
  <si>
    <t>&lt; -20</t>
  </si>
  <si>
    <t>&lt; -50</t>
  </si>
  <si>
    <t>&lt; 223.15</t>
  </si>
  <si>
    <t>ep</t>
  </si>
  <si>
    <t>Exluded as not consistent with other results</t>
  </si>
  <si>
    <t>en</t>
  </si>
  <si>
    <t>eo</t>
  </si>
  <si>
    <t>Average of range given 74 -76 °C</t>
  </si>
  <si>
    <t>eq</t>
  </si>
  <si>
    <t>Average of range given 74 -77.6 °C</t>
  </si>
  <si>
    <t>Indust. Data (ECHC)</t>
  </si>
  <si>
    <r>
      <t>Indust. Data (ECHC)</t>
    </r>
    <r>
      <rPr>
        <vertAlign val="superscript"/>
        <sz val="11"/>
        <color theme="1"/>
        <rFont val="Times New Roman"/>
        <family val="1"/>
      </rPr>
      <t>ep</t>
    </r>
  </si>
  <si>
    <r>
      <t>Indust. Data (ECHC)</t>
    </r>
    <r>
      <rPr>
        <vertAlign val="superscript"/>
        <sz val="11"/>
        <color theme="1"/>
        <rFont val="Times New Roman"/>
        <family val="1"/>
      </rPr>
      <t>eq</t>
    </r>
  </si>
  <si>
    <r>
      <t>Indust. Data (ECHC)</t>
    </r>
    <r>
      <rPr>
        <vertAlign val="superscript"/>
        <sz val="11"/>
        <color theme="1"/>
        <rFont val="Times New Roman"/>
        <family val="1"/>
      </rPr>
      <t>af</t>
    </r>
  </si>
  <si>
    <t>Eg = Eglinton, G.; Raphael, R. A.; Willis, R. G. Synthesis of Benzocyclobutene from Cyclooctane Derivatives. Proc. Chem. Soc. London 1962, 334.</t>
  </si>
  <si>
    <r>
      <t>(Eg)</t>
    </r>
    <r>
      <rPr>
        <vertAlign val="superscript"/>
        <sz val="11"/>
        <color theme="1"/>
        <rFont val="Times New Roman"/>
        <family val="1"/>
      </rPr>
      <t>er</t>
    </r>
  </si>
  <si>
    <t>Indust. data (CD20 - JCD)</t>
  </si>
  <si>
    <t>Ko = Kornblum, N.; Kelley, A. E.; Cooper, G. D. The Chemistry of Diazo Compounds. III. The Reduction of Diazonium Salts by Phosphorous Acid. J. Am. Chem. Soc. 1952, 74 (12), 3074–3076.</t>
  </si>
  <si>
    <t>Eck = Eckert, A. Pentabromobenzene. J. fuer Prakt. Chemie 1921, 102, 362.</t>
  </si>
  <si>
    <t>er</t>
  </si>
  <si>
    <t>Eg</t>
  </si>
  <si>
    <t>ECHC</t>
  </si>
  <si>
    <t>Ko</t>
  </si>
  <si>
    <t>Eck</t>
  </si>
  <si>
    <t>es</t>
  </si>
  <si>
    <t>et</t>
  </si>
  <si>
    <t>eu</t>
  </si>
  <si>
    <t>Average of range given 159 - 160 °C</t>
  </si>
  <si>
    <t>Average of range given 158 - 159°C</t>
  </si>
  <si>
    <t>Average of range given 147-148°C</t>
  </si>
  <si>
    <r>
      <t>(Ko)</t>
    </r>
    <r>
      <rPr>
        <vertAlign val="superscript"/>
        <sz val="11"/>
        <color theme="1"/>
        <rFont val="Times New Roman"/>
        <family val="1"/>
      </rPr>
      <t>es</t>
    </r>
  </si>
  <si>
    <r>
      <t>(Eck)</t>
    </r>
    <r>
      <rPr>
        <vertAlign val="superscript"/>
        <sz val="11"/>
        <color theme="1"/>
        <rFont val="Times New Roman"/>
        <family val="1"/>
      </rPr>
      <t>et</t>
    </r>
  </si>
  <si>
    <t>Indust. data (CD21 - JCD)</t>
  </si>
  <si>
    <t>CD19: https://comptox.epa.gov/dashboard/dsstoxdb/results?search=DTXSID8027373</t>
  </si>
  <si>
    <t>CD20: https://comptox.epa.gov/dashboard/dsstoxdb/results?search=DTXSID90209646</t>
  </si>
  <si>
    <t>CD21: https://comptox.epa.gov/dashboard/dsstoxdb/results?search=DTXSID7021782</t>
  </si>
  <si>
    <t>Za = Zavgorodnii, S. V.; Sigova, V. I. Synthesis of 1-​Ethyl-​4-​Isopropylbenzene and Some of Its Transformations. Izv. Vyss. Uchebnykh Zaved. Khimiya i Khimicheskaya Tekhnologiya 1961, 4 (1), 99–101.</t>
  </si>
  <si>
    <t>Za</t>
  </si>
  <si>
    <t>Average of range given 137 - 138.5 °C</t>
  </si>
  <si>
    <t>DSC (Yui)</t>
  </si>
  <si>
    <t>Smi = Smith, K.; Liu, C.-H.; El-Hiti, G. A.; Kang, G. S.; Jones, E.; Clement, S. G.; Checquer, A. D.; Howarth, O. W.; Hursthouse, M. B.; Coles, S. J. An Extensive Study of Bromination of Cis,Trans,Trans-1,5,9-Cyclododecatriene: Product Structures and Conformations. Org. Biomol. Chem. 2005, 3 (10), 1880.</t>
  </si>
  <si>
    <t>ev</t>
  </si>
  <si>
    <t>Smi</t>
  </si>
  <si>
    <t>Average of range given 170 - 172 °C.</t>
  </si>
  <si>
    <r>
      <t>DMA (Smi)</t>
    </r>
    <r>
      <rPr>
        <vertAlign val="superscript"/>
        <sz val="11"/>
        <color theme="1"/>
        <rFont val="Times New Roman"/>
        <family val="1"/>
      </rPr>
      <t>ev</t>
    </r>
  </si>
  <si>
    <t>Pel = Peled, M.; Scharia, R.; Sondack, D. Thermal Rearrangement of Hexabromo-Cyclododecane (HBCD); 1995; Vol. 2, pp 92–99.</t>
  </si>
  <si>
    <r>
      <t>(Pel)</t>
    </r>
    <r>
      <rPr>
        <vertAlign val="superscript"/>
        <sz val="11"/>
        <color theme="1"/>
        <rFont val="Times New Roman"/>
        <family val="1"/>
      </rPr>
      <t>ew</t>
    </r>
  </si>
  <si>
    <t>BHBCDD</t>
  </si>
  <si>
    <t>Pel</t>
  </si>
  <si>
    <t>Average of range given 169-170 °C.</t>
  </si>
  <si>
    <t>Ku2, in the presence of other HBCDD isomers, and so excluded.</t>
  </si>
  <si>
    <r>
      <t>SS (Ku2)</t>
    </r>
    <r>
      <rPr>
        <i/>
        <vertAlign val="superscript"/>
        <sz val="11"/>
        <color theme="1"/>
        <rFont val="Times New Roman"/>
        <family val="1"/>
      </rPr>
      <t>bo</t>
    </r>
  </si>
  <si>
    <r>
      <t>(Ec17)</t>
    </r>
    <r>
      <rPr>
        <vertAlign val="superscript"/>
        <sz val="11"/>
        <color theme="1"/>
        <rFont val="Times New Roman"/>
        <family val="1"/>
      </rPr>
      <t>ex</t>
    </r>
  </si>
  <si>
    <t>ex</t>
  </si>
  <si>
    <t>Ec17</t>
  </si>
  <si>
    <t>No melting observed, decomposition at 380°C so excluded</t>
  </si>
  <si>
    <r>
      <t>CE (Ec17)</t>
    </r>
    <r>
      <rPr>
        <i/>
        <vertAlign val="superscript"/>
        <sz val="11"/>
        <color theme="1"/>
        <rFont val="Times New Roman"/>
        <family val="1"/>
      </rPr>
      <t>ah</t>
    </r>
  </si>
  <si>
    <r>
      <t>Gen. Col (SW-a)</t>
    </r>
    <r>
      <rPr>
        <vertAlign val="superscript"/>
        <sz val="11"/>
        <color rgb="FF000000"/>
        <rFont val="Times New Roman"/>
        <family val="1"/>
      </rPr>
      <t>an</t>
    </r>
  </si>
  <si>
    <t>Indust. data (CD22 - JCD, TCI)</t>
  </si>
  <si>
    <t>CD22: https://comptox.epa.gov/dashboard/dsstoxdb/results?search=DTXSID9020374</t>
  </si>
  <si>
    <r>
      <t>Lit mg L</t>
    </r>
    <r>
      <rPr>
        <b/>
        <vertAlign val="superscript"/>
        <sz val="11"/>
        <color theme="1"/>
        <rFont val="Times New Roman"/>
        <family val="1"/>
      </rPr>
      <t>-1</t>
    </r>
  </si>
  <si>
    <r>
      <t>Log Lit /mol m</t>
    </r>
    <r>
      <rPr>
        <b/>
        <vertAlign val="superscript"/>
        <sz val="11"/>
        <color theme="1"/>
        <rFont val="Times New Roman"/>
        <family val="1"/>
      </rPr>
      <t>-3</t>
    </r>
  </si>
  <si>
    <r>
      <t>CAS                           Molar Mass /g mol</t>
    </r>
    <r>
      <rPr>
        <b/>
        <vertAlign val="superscript"/>
        <sz val="11"/>
        <color rgb="FF000000"/>
        <rFont val="Times New Roman"/>
        <family val="1"/>
      </rPr>
      <t>-1</t>
    </r>
  </si>
  <si>
    <r>
      <t>Log S</t>
    </r>
    <r>
      <rPr>
        <b/>
        <i/>
        <vertAlign val="subscript"/>
        <sz val="14"/>
        <color theme="1"/>
        <rFont val="Times New Roman"/>
        <family val="1"/>
      </rPr>
      <t xml:space="preserve">WL </t>
    </r>
    <r>
      <rPr>
        <b/>
        <i/>
        <sz val="14"/>
        <color theme="1"/>
        <rFont val="Times New Roman"/>
        <family val="1"/>
      </rPr>
      <t>/mol m</t>
    </r>
    <r>
      <rPr>
        <b/>
        <i/>
        <vertAlign val="superscript"/>
        <sz val="14"/>
        <color theme="1"/>
        <rFont val="Times New Roman"/>
        <family val="1"/>
      </rPr>
      <t>-3</t>
    </r>
  </si>
  <si>
    <r>
      <t>BS (At)</t>
    </r>
    <r>
      <rPr>
        <i/>
        <vertAlign val="superscript"/>
        <sz val="11"/>
        <color theme="1"/>
        <rFont val="Times New Roman"/>
        <family val="1"/>
      </rPr>
      <t>bk</t>
    </r>
  </si>
  <si>
    <t>Rejected as inconsistent with other properties</t>
  </si>
  <si>
    <r>
      <t>(CD5)</t>
    </r>
    <r>
      <rPr>
        <i/>
        <vertAlign val="superscript"/>
        <sz val="11"/>
        <color theme="1"/>
        <rFont val="Times New Roman"/>
        <family val="1"/>
      </rPr>
      <t>ax</t>
    </r>
  </si>
  <si>
    <t>Indust. data (CD5 - JCD, TCI)</t>
  </si>
  <si>
    <t>Zh = Zhang, N.; Yang, Y.; Liu, Y.; Tao, S. Determination of Octanol-Air Partition Coefficients and Supercooled Liquid Vapor Pressures of Organochlorine Pesticides. J. Environ. Sci. Heal. - Part B Pestic. Food Contam. Agric. Wastes 2009, 44 (7), 649–656.</t>
  </si>
  <si>
    <t>GC-RT (Zh)</t>
  </si>
  <si>
    <t>353-403 GC-RT (Zh)</t>
  </si>
  <si>
    <t>DSC (Hi)</t>
  </si>
  <si>
    <t>343–453 GC-RT (Hi)</t>
  </si>
  <si>
    <t>343–453 DSC (AC)</t>
  </si>
  <si>
    <t>DSC (Pl)</t>
  </si>
  <si>
    <t>Pl = Plato, C.; Glasgow, A. R. Differential Scanning Calorimetry as a General Method for Determining the Purity and Heat of Fusion of High-Purity Organic Chemicals. Application to 95 Compounds. Anal. Chem. 1969, 41 (2), 330–336.</t>
  </si>
  <si>
    <t>Hal = Haller, H. L.; Bartlett, P. D.; Drake, N. L.; Newman, M. S.; Cristol, S. J.; Eaker, C. M.; Hayes, R. A.; Kilmer, G. W.; Magerlein, B.; Mueller, G. P.; et al. The Chemical Composition of Technical DDT 1. J. Am. Chem. Soc. 1945, 67 (9), 1591–1602.</t>
  </si>
  <si>
    <t>OB (Hal)</t>
  </si>
  <si>
    <t>ey</t>
  </si>
  <si>
    <t>Assumed 23°C as no temperature given</t>
  </si>
  <si>
    <t>ez</t>
  </si>
  <si>
    <r>
      <t>HPLC (Fi)</t>
    </r>
    <r>
      <rPr>
        <vertAlign val="superscript"/>
        <sz val="11"/>
        <color theme="1"/>
        <rFont val="Times New Roman"/>
        <family val="1"/>
      </rPr>
      <t>ey</t>
    </r>
  </si>
  <si>
    <r>
      <t>HPLC (Fi)</t>
    </r>
    <r>
      <rPr>
        <vertAlign val="superscript"/>
        <sz val="11"/>
        <color theme="1"/>
        <rFont val="Times New Roman"/>
        <family val="1"/>
      </rPr>
      <t>ez</t>
    </r>
  </si>
  <si>
    <t>fa</t>
  </si>
  <si>
    <t>Fi = Finizio, A.; Vighi, M.; Sandroni, D. Determination of N-Octanol/Water Partition Coefficient (Kow) of Pesticide Critical Review and Comparison of Methods. Chemosphere 1997, 34 (1), 131–161.</t>
  </si>
  <si>
    <t>HPLC (McD)</t>
  </si>
  <si>
    <t>McD = McDuffie, B. Estimation of Octanol/Water Partition Coefficients for Organic Pollutants Using Reverse-Phase HPLC. Chemosphere 1981, 10 (1), 73–83.</t>
  </si>
  <si>
    <r>
      <t>(Mac)</t>
    </r>
    <r>
      <rPr>
        <i/>
        <vertAlign val="superscript"/>
        <sz val="11"/>
        <color theme="1"/>
        <rFont val="Times New Roman"/>
        <family val="1"/>
      </rPr>
      <t>fa</t>
    </r>
  </si>
  <si>
    <t>O'B</t>
  </si>
  <si>
    <t>Not selected as authors state that this is a calculated value, without explanation of calculation method.</t>
  </si>
  <si>
    <t>fb</t>
  </si>
  <si>
    <t>Sc-a</t>
  </si>
  <si>
    <t>368 - 438 GC-RT (Ti)</t>
  </si>
  <si>
    <t>363–473 GC (Wo)</t>
  </si>
  <si>
    <t>Indust. data (CD23 - JCD)</t>
  </si>
  <si>
    <t>Indust. data (CD23 -TCI)</t>
  </si>
  <si>
    <t>CD24: https://comptox.epa.gov/dashboard/dsstoxdb/results?search=DTXSID6022345</t>
  </si>
  <si>
    <t>CD23: https://comptox.epa.gov/dashboard/dsstoxdb/results?search=DTXSID4020373</t>
  </si>
  <si>
    <t>Indust. data (CD24 - JCD)</t>
  </si>
  <si>
    <t>fc</t>
  </si>
  <si>
    <t>Sf</t>
  </si>
  <si>
    <t>fd</t>
  </si>
  <si>
    <t>Os</t>
  </si>
  <si>
    <t>Os = OSWALD, A. A.; NOEL, F. Organic Sulfur Compounds. IV. 1a Some Addition and Co-Oxidation Reactions of 4-Chlorobenzenethiol with Dicyclopentadiene and Aldrin. J. Org. Chem. 1961, 26 (10), 3948–3957.</t>
  </si>
  <si>
    <t>(Da)</t>
  </si>
  <si>
    <t>Su</t>
  </si>
  <si>
    <t>Ri = Richardson, L. T.; Miller, D. M. FUNGITOXICITY OF CHLORINATED HYDROCARBON INSECTICIDES IN RELATION TO WATER SOLUBILITY AND VAPOR PRESSURE. Can. J. Bot. 1960, 38 (2), 163–175.</t>
  </si>
  <si>
    <t>fh</t>
  </si>
  <si>
    <t>Aldrin</t>
  </si>
  <si>
    <t>Par = Park, K. S.; Bruce, W. N. The Determination of the Water Solubility of Aldrin, Dieldrin, Heptachlor, and Heptachlor Epoxide. J. Econ. Entomol. 1968, 61 (3), 770–774.</t>
  </si>
  <si>
    <t>Par</t>
  </si>
  <si>
    <r>
      <t>SF (Par)</t>
    </r>
    <r>
      <rPr>
        <i/>
        <vertAlign val="superscript"/>
        <sz val="11"/>
        <color rgb="FF000000"/>
        <rFont val="Times New Roman"/>
        <family val="1"/>
      </rPr>
      <t>fh</t>
    </r>
  </si>
  <si>
    <r>
      <t>Indust. data (Par)</t>
    </r>
    <r>
      <rPr>
        <i/>
        <vertAlign val="superscript"/>
        <sz val="11"/>
        <color rgb="FF000000"/>
        <rFont val="Times New Roman"/>
        <family val="1"/>
      </rPr>
      <t>fi</t>
    </r>
  </si>
  <si>
    <t>fi</t>
  </si>
  <si>
    <t>Rejected as inconsistent and no information on methods</t>
  </si>
  <si>
    <t>Chi = Chien, D. H. T.; Heys, J. R. Synthesis and Mass Spectra of 37Cl6-Hexachlorocylopentadiene and Derived Organochlorine Insecticides. J. Agric. Food Chem. 1982, 30 (2), 396–399.</t>
  </si>
  <si>
    <t>tran-nonachlor</t>
  </si>
  <si>
    <t>fj</t>
  </si>
  <si>
    <t>fk</t>
  </si>
  <si>
    <t>Chi</t>
  </si>
  <si>
    <t>Hoover Thomas Capillary melting point apparatus</t>
  </si>
  <si>
    <r>
      <t>MPA (Chi)</t>
    </r>
    <r>
      <rPr>
        <vertAlign val="superscript"/>
        <sz val="11"/>
        <color theme="1"/>
        <rFont val="Times New Roman"/>
        <family val="1"/>
      </rPr>
      <t>fj</t>
    </r>
  </si>
  <si>
    <r>
      <t>(Law)</t>
    </r>
    <r>
      <rPr>
        <vertAlign val="superscript"/>
        <sz val="11"/>
        <color theme="1"/>
        <rFont val="Times New Roman"/>
        <family val="1"/>
      </rPr>
      <t>fk</t>
    </r>
  </si>
  <si>
    <t>GC-RT (Od)</t>
  </si>
  <si>
    <t>Od = Odabasi, M.; Cetin, E.; Sofuoglu, A. Determination of Octanol-Air Partition Coefficients and Supercooled Liquid Vapor Pressures of PAHs as a Function of Temperature: Application to Gas-Particle Partitioning in an Urban Atmosphere. Atmos. Environ. 2006, 40 (34), 6615–6625.</t>
  </si>
  <si>
    <t>323–573 GC-RT (Od)</t>
  </si>
  <si>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(Mu1)</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</si>
  <si>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(RAR1)</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</si>
  <si>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(RAR2)</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</si>
  <si>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(Ec20)</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</si>
  <si>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(Ec12)</t>
    </r>
  </si>
  <si>
    <t>CD25: https://comptox.epa.gov/dashboard/dsstoxdb/results?search=DTXSID5021411</t>
  </si>
  <si>
    <t>fl</t>
  </si>
  <si>
    <t>fm</t>
  </si>
  <si>
    <t>Rejected as EPI Suite evaluated independently</t>
  </si>
  <si>
    <t>Rejected as inconsistent with other values &amp; no methodology given</t>
  </si>
  <si>
    <r>
      <t>bp extrap, EpS (Br-a)</t>
    </r>
    <r>
      <rPr>
        <i/>
        <vertAlign val="superscript"/>
        <sz val="11"/>
        <rFont val="Times New Roman"/>
        <family val="1"/>
      </rPr>
      <t>fl</t>
    </r>
  </si>
  <si>
    <r>
      <t>Indust data (Br-a)</t>
    </r>
    <r>
      <rPr>
        <i/>
        <vertAlign val="superscript"/>
        <sz val="11"/>
        <rFont val="Times New Roman"/>
        <family val="1"/>
      </rPr>
      <t>fm</t>
    </r>
  </si>
  <si>
    <r>
      <t>(Ec18)</t>
    </r>
    <r>
      <rPr>
        <i/>
        <vertAlign val="superscript"/>
        <sz val="11"/>
        <color theme="1"/>
        <rFont val="Times New Roman"/>
        <family val="1"/>
      </rPr>
      <t>fn</t>
    </r>
  </si>
  <si>
    <r>
      <t>(Mu1)</t>
    </r>
    <r>
      <rPr>
        <i/>
        <vertAlign val="superscript"/>
        <sz val="11"/>
        <color theme="1"/>
        <rFont val="Times New Roman"/>
        <family val="1"/>
      </rPr>
      <t>fp</t>
    </r>
  </si>
  <si>
    <t>fn</t>
  </si>
  <si>
    <t>fo</t>
  </si>
  <si>
    <t>fp</t>
  </si>
  <si>
    <r>
      <t>SF (Ec18)</t>
    </r>
    <r>
      <rPr>
        <vertAlign val="superscript"/>
        <sz val="11"/>
        <color rgb="FF000000"/>
        <rFont val="Times New Roman"/>
        <family val="1"/>
      </rPr>
      <t>br</t>
    </r>
  </si>
  <si>
    <r>
      <t>SF (RAR1)</t>
    </r>
    <r>
      <rPr>
        <vertAlign val="superscript"/>
        <sz val="11"/>
        <color theme="1"/>
        <rFont val="Times New Roman"/>
        <family val="1"/>
      </rPr>
      <t>fo</t>
    </r>
  </si>
  <si>
    <t>Could not find quoted source, included as temperature &amp; method were provided</t>
  </si>
  <si>
    <t>Included as method was provided. Sourced from industrial data</t>
  </si>
  <si>
    <t>Rejected as could not find the original quoted source, no method given</t>
  </si>
  <si>
    <t>Indust. Data (JCD)</t>
  </si>
  <si>
    <t>Indust. Data (CD25)</t>
  </si>
  <si>
    <t>Indust. Data (CD25 - JCD)</t>
  </si>
  <si>
    <t>Indust. Data (CD7 - JCD)</t>
  </si>
  <si>
    <t>ASTM D97 (Ec11)</t>
  </si>
  <si>
    <t>&lt;-20</t>
  </si>
  <si>
    <t>&lt; 253.2</t>
  </si>
  <si>
    <t>fq</t>
  </si>
  <si>
    <t>fr</t>
  </si>
  <si>
    <t>Rejected in RAR, no information on methods and inconsistent with other values</t>
  </si>
  <si>
    <r>
      <t>(RAR2)</t>
    </r>
    <r>
      <rPr>
        <i/>
        <vertAlign val="superscript"/>
        <sz val="11"/>
        <color rgb="FF000000"/>
        <rFont val="Times New Roman"/>
        <family val="1"/>
      </rPr>
      <t>fr</t>
    </r>
  </si>
  <si>
    <t>CD26: https://comptox.epa.gov/dashboard/dsstoxdb/results?search=DTXSID9026261</t>
  </si>
  <si>
    <t>Indust. Data (CD26 - JCD)</t>
  </si>
  <si>
    <t>fs</t>
  </si>
  <si>
    <t>Rejected. Reference states that "TDCP exists as a supercooled liquid, it can crystallise at temperatures below 27 degrees Celsius, however crystallisation is difficult to induce and only occurs under abnormal conditions"</t>
  </si>
  <si>
    <r>
      <t>(El)</t>
    </r>
    <r>
      <rPr>
        <i/>
        <vertAlign val="superscript"/>
        <sz val="11"/>
        <color rgb="FF000000"/>
        <rFont val="Times New Roman"/>
        <family val="1"/>
      </rPr>
      <t>by</t>
    </r>
  </si>
  <si>
    <t>ft</t>
  </si>
  <si>
    <t>RAR4 = EC. Environmental Risk Evaluation Report: TRIS[2-CHLORO-1-(CHLOROMETHYL)ETHYL] PHOSPHATE (TDCP) (CAS No. 13674-87-8). 2008.</t>
  </si>
  <si>
    <t>Indust. Data (CD2 - JCD)</t>
  </si>
  <si>
    <t>Indust. Data (CD2 - TCI)</t>
  </si>
  <si>
    <t>Indust. Data (CD2 - MM)</t>
  </si>
  <si>
    <t>Indust. Data (CD2 - AA)</t>
  </si>
  <si>
    <t>Ec25: https://echa.europa.eu/fi/registration-dossier/-/registered-dossier/15972</t>
  </si>
  <si>
    <t>fu</t>
  </si>
  <si>
    <t>Average of 49.5 - 50°C</t>
  </si>
  <si>
    <r>
      <t>(Ec25)</t>
    </r>
    <r>
      <rPr>
        <vertAlign val="superscript"/>
        <sz val="11"/>
        <color theme="1"/>
        <rFont val="Times New Roman"/>
        <family val="1"/>
      </rPr>
      <t>fu</t>
    </r>
  </si>
  <si>
    <t>Ya = Yaws, C. L.; Lin, S.-C. Enthalpy of Fusion at Freezing Point—Organic Compounds. In Thermophysical Properties of Chemicals and Hydrocarbons; Elsevier, 2009; pp 552–591.</t>
  </si>
  <si>
    <t>fv</t>
  </si>
  <si>
    <t>Ya</t>
  </si>
  <si>
    <r>
      <t>SF-N (Ho)</t>
    </r>
    <r>
      <rPr>
        <vertAlign val="superscript"/>
        <sz val="11"/>
        <color rgb="FF000000"/>
        <rFont val="Times New Roman"/>
        <family val="1"/>
      </rPr>
      <t>bz</t>
    </r>
  </si>
  <si>
    <t xml:space="preserve">Value is at 24°C and unconverted. </t>
  </si>
  <si>
    <t>Value is at 24°C and unconverted.</t>
  </si>
  <si>
    <r>
      <t>SF-N (Ho)</t>
    </r>
    <r>
      <rPr>
        <vertAlign val="superscript"/>
        <sz val="11"/>
        <color rgb="FF000000"/>
        <rFont val="Times New Roman"/>
        <family val="1"/>
      </rPr>
      <t>bw</t>
    </r>
  </si>
  <si>
    <r>
      <t>bp extrap (Br-a)</t>
    </r>
    <r>
      <rPr>
        <i/>
        <vertAlign val="superscript"/>
        <sz val="11"/>
        <rFont val="Times New Roman"/>
        <family val="1"/>
      </rPr>
      <t>h</t>
    </r>
  </si>
  <si>
    <r>
      <t>bp extrap (Br-a)</t>
    </r>
    <r>
      <rPr>
        <i/>
        <vertAlign val="superscript"/>
        <sz val="11"/>
        <rFont val="Times New Roman"/>
        <family val="1"/>
      </rPr>
      <t>i</t>
    </r>
  </si>
  <si>
    <r>
      <t>bp extrap (Br-a)</t>
    </r>
    <r>
      <rPr>
        <i/>
        <vertAlign val="superscript"/>
        <sz val="11"/>
        <rFont val="Times New Roman"/>
        <family val="1"/>
      </rPr>
      <t>j</t>
    </r>
  </si>
  <si>
    <t>fw</t>
  </si>
  <si>
    <t>Br-a</t>
  </si>
  <si>
    <r>
      <t>Indust data (Br-a)</t>
    </r>
    <r>
      <rPr>
        <i/>
        <vertAlign val="superscript"/>
        <sz val="11"/>
        <rFont val="Times New Roman"/>
        <family val="1"/>
      </rPr>
      <t>fw</t>
    </r>
  </si>
  <si>
    <t>Ec13</t>
  </si>
  <si>
    <t>Ref: Ec13</t>
  </si>
  <si>
    <t>fx</t>
  </si>
  <si>
    <t>LogP</t>
  </si>
  <si>
    <t>Excluded as "they showed a typical devaition caused by volatile impurities at the beginning of a measurement)</t>
  </si>
  <si>
    <t>25 (Ec13 regression)</t>
  </si>
  <si>
    <t>Used reported value</t>
  </si>
  <si>
    <r>
      <t>SF-N (Ho)</t>
    </r>
    <r>
      <rPr>
        <vertAlign val="superscript"/>
        <sz val="11"/>
        <color rgb="FF000000"/>
        <rFont val="Times New Roman"/>
        <family val="1"/>
      </rPr>
      <t>cb</t>
    </r>
  </si>
  <si>
    <r>
      <t>SF-N (Ho)</t>
    </r>
    <r>
      <rPr>
        <vertAlign val="superscript"/>
        <sz val="11"/>
        <color rgb="FF000000"/>
        <rFont val="Times New Roman"/>
        <family val="1"/>
      </rPr>
      <t>cj</t>
    </r>
  </si>
  <si>
    <r>
      <t>348 - 373 KE (Ec13)</t>
    </r>
    <r>
      <rPr>
        <vertAlign val="superscript"/>
        <sz val="10"/>
        <color rgb="FF000000"/>
        <rFont val="Times New Roman"/>
        <family val="1"/>
      </rPr>
      <t>fx</t>
    </r>
  </si>
  <si>
    <r>
      <t>SF (Sae)</t>
    </r>
    <r>
      <rPr>
        <i/>
        <vertAlign val="superscript"/>
        <sz val="11"/>
        <color rgb="FF000000"/>
        <rFont val="Times New Roman"/>
        <family val="1"/>
      </rPr>
      <t>fy</t>
    </r>
  </si>
  <si>
    <t>Sae</t>
  </si>
  <si>
    <t>Rejected as authors only provided a lower limit, and measured values below that limit were available</t>
  </si>
  <si>
    <r>
      <t>FM (Ec13)</t>
    </r>
    <r>
      <rPr>
        <i/>
        <vertAlign val="superscript"/>
        <sz val="11"/>
        <color theme="1"/>
        <rFont val="Times New Roman"/>
        <family val="1"/>
      </rPr>
      <t>ch</t>
    </r>
  </si>
  <si>
    <t>CD27: https://comptox.epa.gov/dashboard/dsstoxdb/results?search=DTXSID4026216</t>
  </si>
  <si>
    <t>Indust. Data (CD27 - NIOSH)</t>
  </si>
  <si>
    <t>Indust. Data (CD28 - NIOSH)</t>
  </si>
  <si>
    <t>NIOSH: National Institute for Occupational Safety and Health (US) http://www.cdc.gov/niosh/</t>
  </si>
  <si>
    <r>
      <t>Indust. Data (CD28 - JCD)</t>
    </r>
    <r>
      <rPr>
        <i/>
        <vertAlign val="superscript"/>
        <sz val="11"/>
        <color rgb="FF000000"/>
        <rFont val="Times New Roman"/>
        <family val="1"/>
      </rPr>
      <t>fz</t>
    </r>
  </si>
  <si>
    <t>fy</t>
  </si>
  <si>
    <t>fz</t>
  </si>
  <si>
    <t>CD28-JCD</t>
  </si>
  <si>
    <t>ga</t>
  </si>
  <si>
    <t>Indust. Data (CD29 - JCD)</t>
  </si>
  <si>
    <t>(Il)</t>
  </si>
  <si>
    <t>Il = Ilia, G.; Iliescu, S.; Popa, A. A New Method for the Synthesis of Triaryl Phosphates. Green Chem. 2005, 7 (4), 217.</t>
  </si>
  <si>
    <t>Kr1 = Krishnakumar, V. K.; Sharma, M. M. Synthesis of Triaryl Phosphates via Phase-Transfer Catalysis. Synthesis (Stuttg). 1983, 1983 (07), 558–559.</t>
  </si>
  <si>
    <t>Kr2 = Krishnakumar, V. K. Synthesis of Tpiaryl Phosphates Catalysed by Polyethylene Glycols in a Two-Phase System : Phase Transfer Catalysis. Synth. Commun. 1984, 14 (2), 189–196.</t>
  </si>
  <si>
    <t>(Kr1, Kr2)</t>
  </si>
  <si>
    <t>Th = Thompson, Q. E. Ozone Oxidation of Nucleophilic Substances. I. Tertiary Phosphite Esters 1. J. Am. Chem. Soc. 1961, 83 (4), 845–851.</t>
  </si>
  <si>
    <r>
      <t>(Th)</t>
    </r>
    <r>
      <rPr>
        <vertAlign val="superscript"/>
        <sz val="11"/>
        <color theme="1"/>
        <rFont val="Times New Roman"/>
        <family val="1"/>
      </rPr>
      <t>ga</t>
    </r>
  </si>
  <si>
    <t>Th</t>
  </si>
  <si>
    <t>Average of 75 - 77 reported as m.p.</t>
  </si>
  <si>
    <t>CD28: https://comptox.epa.gov/dashboard/dsstoxdb/results?search=DTXSID6032192</t>
  </si>
  <si>
    <t>CD29: https://comptox.epa.gov/dashboard/dsstoxdb/results?search=DTXSID5052676</t>
  </si>
  <si>
    <t>CD30: https://comptox.epa.gov/dashboard/dsstoxdb/results?search=DTXSID5021758</t>
  </si>
  <si>
    <t>gb</t>
  </si>
  <si>
    <t>Indust. Data (CD31 - JCD)</t>
  </si>
  <si>
    <t>Indust. Data (CD31 - JCD, Ec13)</t>
  </si>
  <si>
    <t>CD31: https://comptox.epa.gov/dashboard/dsstoxdb/results?search=DTXSID0021414</t>
  </si>
  <si>
    <t>Indust. Data (CD30 - JCD, Ec12)</t>
  </si>
  <si>
    <r>
      <t>(Th)</t>
    </r>
    <r>
      <rPr>
        <vertAlign val="superscript"/>
        <sz val="11"/>
        <color theme="1"/>
        <rFont val="Times New Roman"/>
        <family val="1"/>
      </rPr>
      <t>gb</t>
    </r>
  </si>
  <si>
    <t>Average of 99-100 reported as m.p.</t>
  </si>
  <si>
    <t>Ga = Gamrath, Harry R.; Craver, J. K. Plasticized Polyvinyl Chloride Resins. US 2557089, 1951.</t>
  </si>
  <si>
    <t>&lt; 243.15</t>
  </si>
  <si>
    <r>
      <t>Indust. Data (Ga, Ec13)</t>
    </r>
    <r>
      <rPr>
        <i/>
        <vertAlign val="superscript"/>
        <sz val="11"/>
        <color rgb="FF000000"/>
        <rFont val="Times New Roman"/>
        <family val="1"/>
      </rPr>
      <t>gc</t>
    </r>
  </si>
  <si>
    <t>gc</t>
  </si>
  <si>
    <t>Ga, Ec13</t>
  </si>
  <si>
    <t>Indust. Data (CD33 - JCD)</t>
  </si>
  <si>
    <r>
      <t>S</t>
    </r>
    <r>
      <rPr>
        <i/>
        <vertAlign val="subscript"/>
        <sz val="11"/>
        <color theme="1"/>
        <rFont val="Times New Roman"/>
        <family val="1"/>
      </rPr>
      <t>OL</t>
    </r>
    <r>
      <rPr>
        <i/>
        <sz val="11"/>
        <color theme="1"/>
        <rFont val="Times New Roman"/>
        <family val="1"/>
      </rPr>
      <t>/S</t>
    </r>
    <r>
      <rPr>
        <i/>
        <vertAlign val="subscript"/>
        <sz val="11"/>
        <color theme="1"/>
        <rFont val="Times New Roman"/>
        <family val="1"/>
      </rPr>
      <t xml:space="preserve">WL </t>
    </r>
    <r>
      <rPr>
        <i/>
        <sz val="11"/>
        <color theme="1"/>
        <rFont val="Times New Roman"/>
        <family val="1"/>
      </rPr>
      <t>(Ec24)</t>
    </r>
  </si>
  <si>
    <t>Indust. Data (CD34 - JCD)</t>
  </si>
  <si>
    <t>CD34: https://comptox.epa.gov/dashboard/dsstoxdb/results?search=DTXSID50177110</t>
  </si>
  <si>
    <t>CD33: https://comptox.epa.gov/dashboard/dsstoxdb/results?search=DTXSID5021413</t>
  </si>
  <si>
    <r>
      <t>(Bu)</t>
    </r>
    <r>
      <rPr>
        <i/>
        <vertAlign val="superscript"/>
        <sz val="11"/>
        <color theme="1"/>
        <rFont val="Times New Roman"/>
        <family val="1"/>
      </rPr>
      <t>gd</t>
    </r>
  </si>
  <si>
    <t>gd</t>
  </si>
  <si>
    <t>Bu</t>
  </si>
  <si>
    <t>Bu = Buu-Hoi, Nguyen P.; Xuong, Nguyen D.; Beauvillain, Andre; Bac, N. V. Difference between the Estrogenic Activities of Bromotriphenylethylene and One of Its Decadeuterated Analogs. C. R. Hebd. Seances Acad. Sci. 1962, 255 (2), 3490.</t>
  </si>
  <si>
    <t>DSC (La)</t>
  </si>
  <si>
    <t>Indust. Data (CD35 - JCD)</t>
  </si>
  <si>
    <t>Indust. Data (CD35 - TCI)</t>
  </si>
  <si>
    <t>Indust. Data (CD35 - AA)</t>
  </si>
  <si>
    <t>MPA (Ec2)</t>
  </si>
  <si>
    <t>DSC (Ec6)</t>
  </si>
  <si>
    <t>&lt; 253.15</t>
  </si>
  <si>
    <t>(Ec3)</t>
  </si>
  <si>
    <t>CD36: https://comptox.epa.gov/dashboard/dsstoxdb/results?search=DTXSID9025299</t>
  </si>
  <si>
    <t>CD35: https://comptox.epa.gov/dashboard/dsstoxdb/results?search=DTXSID3022405</t>
  </si>
  <si>
    <t>&gt; -80</t>
  </si>
  <si>
    <t>&gt; 193.15</t>
  </si>
  <si>
    <t>(Ec23)</t>
  </si>
  <si>
    <t>CD37: https://comptox.epa.gov/dashboard/dsstoxdb/results?search=DTXSID9044829</t>
  </si>
  <si>
    <t>BS: Biosynth https://www.biosynth.com/</t>
  </si>
  <si>
    <t>Indust. Data (CD36 - TCI, Ec22)</t>
  </si>
  <si>
    <t>Indust. Data (CD37 - TCI)</t>
  </si>
  <si>
    <t>Indust. Data (CD37 - BS)</t>
  </si>
  <si>
    <t>*Methods: FAV = thermodynamically consistent "final adjusted value". A= Calculated from the vapor pressure data reported by the method of least squares. GC-RT = GC-retention time, GC= gas chromatography, CGC=correlation GC, UV: Ultra-violet spectroscopy, KE: Knudsen-effusion, GS: gas saturation, IT: isoteniscope. E: effusion, Be = Beyer et al., 2002. Bi = Supporting information of Bidleman, 1984, summary of non-GC literature values. , SS = Slow stirring, HPLC = high performance liquid chromatography method, SF = shake flask, WWGC = wall wetted column GC; TM = thermodynamic method, FM = flask method, DSC = Differential scanning calorimetry, KHS - Koffler hot-stage, GMA = Gallenkamp melting point apparatus, CM = Capillary Method, DMA = Digital melting point apparatus, N = nephelometric, HB = heated bath</t>
  </si>
  <si>
    <r>
      <t>HB (Ec24)</t>
    </r>
    <r>
      <rPr>
        <vertAlign val="superscript"/>
        <sz val="11"/>
        <color theme="1"/>
        <rFont val="Times New Roman"/>
        <family val="1"/>
      </rPr>
      <t>ge</t>
    </r>
  </si>
  <si>
    <t>ge</t>
  </si>
  <si>
    <t>Ec24</t>
  </si>
  <si>
    <t>Average of 81 - 86 reported as m.p.</t>
  </si>
  <si>
    <t>Indust. Data (CD37 - JCD, Ec24)</t>
  </si>
  <si>
    <t>CD38: https://comptox.epa.gov/dashboard/dsstoxdb/results?search=DTXSID1025302</t>
  </si>
  <si>
    <t>Ec26: https://echa.europa.eu/fi/registration-dossier/-/registered-dossier/15876/</t>
  </si>
  <si>
    <r>
      <t>FM (Ec26)</t>
    </r>
    <r>
      <rPr>
        <vertAlign val="superscript"/>
        <sz val="11"/>
        <color theme="1"/>
        <rFont val="Times New Roman"/>
        <family val="1"/>
      </rPr>
      <t>df</t>
    </r>
  </si>
  <si>
    <r>
      <t>CE (Ec26)</t>
    </r>
    <r>
      <rPr>
        <vertAlign val="superscript"/>
        <sz val="11"/>
        <color theme="1"/>
        <rFont val="Times New Roman"/>
        <family val="1"/>
      </rPr>
      <t>dg</t>
    </r>
  </si>
  <si>
    <r>
      <t>HPLC (Ec26)</t>
    </r>
    <r>
      <rPr>
        <vertAlign val="superscript"/>
        <sz val="11"/>
        <color theme="1"/>
        <rFont val="Times New Roman"/>
        <family val="1"/>
      </rPr>
      <t>de</t>
    </r>
  </si>
  <si>
    <t>HB (Ec26)</t>
  </si>
  <si>
    <r>
      <t>Indust. Data (CD38 - BS)</t>
    </r>
    <r>
      <rPr>
        <i/>
        <vertAlign val="superscript"/>
        <sz val="11"/>
        <color theme="1"/>
        <rFont val="Times New Roman"/>
        <family val="1"/>
      </rPr>
      <t>gf</t>
    </r>
  </si>
  <si>
    <t>gf</t>
  </si>
  <si>
    <t>CD38</t>
  </si>
  <si>
    <t>gg</t>
  </si>
  <si>
    <t xml:space="preserve">Rejected as no information on method or temperature given, may be a calculation. </t>
  </si>
  <si>
    <r>
      <t>Log S</t>
    </r>
    <r>
      <rPr>
        <b/>
        <i/>
        <vertAlign val="subscript"/>
        <sz val="14"/>
        <color theme="1"/>
        <rFont val="Times New Roman"/>
        <family val="1"/>
      </rPr>
      <t>OL</t>
    </r>
    <r>
      <rPr>
        <b/>
        <i/>
        <sz val="14"/>
        <color theme="1"/>
        <rFont val="Times New Roman"/>
        <family val="1"/>
      </rPr>
      <t xml:space="preserve"> /mol m</t>
    </r>
    <r>
      <rPr>
        <b/>
        <i/>
        <vertAlign val="superscript"/>
        <sz val="14"/>
        <color theme="1"/>
        <rFont val="Times New Roman"/>
        <family val="1"/>
      </rPr>
      <t>-3</t>
    </r>
  </si>
  <si>
    <t>anti-DDC-CO</t>
  </si>
  <si>
    <t>syn-DDC-CO</t>
  </si>
  <si>
    <t>benzo[a]pyrene</t>
  </si>
  <si>
    <t>benzo[k]fluoranthene</t>
  </si>
  <si>
    <t>Order</t>
  </si>
  <si>
    <t>Class</t>
  </si>
  <si>
    <t>Musk</t>
  </si>
  <si>
    <t>NBFR</t>
  </si>
  <si>
    <t>OCP</t>
  </si>
  <si>
    <t>OPE</t>
  </si>
  <si>
    <t>PAH</t>
  </si>
  <si>
    <t>PBDE</t>
  </si>
  <si>
    <t>PCB</t>
  </si>
  <si>
    <t>UV Filter</t>
  </si>
  <si>
    <t>Compound Name</t>
  </si>
  <si>
    <t>Column Ref:</t>
  </si>
  <si>
    <t>CAS No.</t>
  </si>
  <si>
    <r>
      <t>∆</t>
    </r>
    <r>
      <rPr>
        <b/>
        <vertAlign val="subscript"/>
        <sz val="11"/>
        <color theme="0"/>
        <rFont val="Calibri"/>
        <family val="2"/>
        <scheme val="minor"/>
      </rPr>
      <t>VAP</t>
    </r>
    <r>
      <rPr>
        <b/>
        <sz val="11"/>
        <color theme="0"/>
        <rFont val="Calibri"/>
        <family val="2"/>
        <scheme val="minor"/>
      </rPr>
      <t>H/kJ·mol-1</t>
    </r>
  </si>
  <si>
    <r>
      <t>∆</t>
    </r>
    <r>
      <rPr>
        <b/>
        <vertAlign val="subscript"/>
        <sz val="11"/>
        <color theme="0"/>
        <rFont val="Calibri"/>
        <family val="2"/>
        <scheme val="minor"/>
      </rPr>
      <t>VAP</t>
    </r>
    <r>
      <rPr>
        <b/>
        <sz val="11"/>
        <color theme="0"/>
        <rFont val="Calibri"/>
        <family val="2"/>
        <scheme val="minor"/>
      </rPr>
      <t>H SD</t>
    </r>
  </si>
  <si>
    <r>
      <t>∆</t>
    </r>
    <r>
      <rPr>
        <b/>
        <vertAlign val="subscript"/>
        <sz val="11"/>
        <color theme="0"/>
        <rFont val="Calibri"/>
        <family val="2"/>
        <scheme val="minor"/>
      </rPr>
      <t>W</t>
    </r>
    <r>
      <rPr>
        <b/>
        <sz val="11"/>
        <color theme="0"/>
        <rFont val="Calibri"/>
        <family val="2"/>
        <scheme val="minor"/>
      </rPr>
      <t>H/kJ·mol-1</t>
    </r>
  </si>
  <si>
    <r>
      <t>∆</t>
    </r>
    <r>
      <rPr>
        <b/>
        <vertAlign val="subscript"/>
        <sz val="11"/>
        <color theme="0"/>
        <rFont val="Calibri"/>
        <family val="2"/>
        <scheme val="minor"/>
      </rPr>
      <t>W</t>
    </r>
    <r>
      <rPr>
        <b/>
        <sz val="11"/>
        <color theme="0"/>
        <rFont val="Calibri"/>
        <family val="2"/>
        <scheme val="minor"/>
      </rPr>
      <t>H SD</t>
    </r>
  </si>
  <si>
    <r>
      <t>∆</t>
    </r>
    <r>
      <rPr>
        <b/>
        <vertAlign val="subscript"/>
        <sz val="11"/>
        <color theme="0"/>
        <rFont val="Calibri"/>
        <family val="2"/>
        <scheme val="minor"/>
      </rPr>
      <t>O</t>
    </r>
    <r>
      <rPr>
        <b/>
        <sz val="11"/>
        <color theme="0"/>
        <rFont val="Calibri"/>
        <family val="2"/>
        <scheme val="minor"/>
      </rPr>
      <t>H/kJ·mol-1</t>
    </r>
  </si>
  <si>
    <r>
      <t>∆</t>
    </r>
    <r>
      <rPr>
        <b/>
        <vertAlign val="subscript"/>
        <sz val="11"/>
        <color theme="0"/>
        <rFont val="Calibri"/>
        <family val="2"/>
        <scheme val="minor"/>
      </rPr>
      <t>O</t>
    </r>
    <r>
      <rPr>
        <b/>
        <sz val="11"/>
        <color theme="0"/>
        <rFont val="Calibri"/>
        <family val="2"/>
        <scheme val="minor"/>
      </rPr>
      <t>H SD</t>
    </r>
  </si>
  <si>
    <r>
      <t>∆</t>
    </r>
    <r>
      <rPr>
        <b/>
        <vertAlign val="subscript"/>
        <sz val="11"/>
        <color theme="0"/>
        <rFont val="Calibri"/>
        <family val="2"/>
        <scheme val="minor"/>
      </rPr>
      <t>OA</t>
    </r>
    <r>
      <rPr>
        <b/>
        <sz val="11"/>
        <color theme="0"/>
        <rFont val="Calibri"/>
        <family val="2"/>
        <scheme val="minor"/>
      </rPr>
      <t>U/kJ·mol-1</t>
    </r>
  </si>
  <si>
    <r>
      <t>∆</t>
    </r>
    <r>
      <rPr>
        <b/>
        <vertAlign val="subscript"/>
        <sz val="11"/>
        <color theme="0"/>
        <rFont val="Calibri"/>
        <family val="2"/>
        <scheme val="minor"/>
      </rPr>
      <t>OA</t>
    </r>
    <r>
      <rPr>
        <b/>
        <sz val="11"/>
        <color theme="0"/>
        <rFont val="Calibri"/>
        <family val="2"/>
        <scheme val="minor"/>
      </rPr>
      <t>U SD</t>
    </r>
  </si>
  <si>
    <t>LDV Count:</t>
  </si>
  <si>
    <r>
      <t>∆</t>
    </r>
    <r>
      <rPr>
        <b/>
        <vertAlign val="subscript"/>
        <sz val="11"/>
        <color theme="0"/>
        <rFont val="Calibri"/>
        <family val="2"/>
        <scheme val="minor"/>
      </rPr>
      <t>AW</t>
    </r>
    <r>
      <rPr>
        <b/>
        <sz val="11"/>
        <color theme="0"/>
        <rFont val="Calibri"/>
        <family val="2"/>
        <scheme val="minor"/>
      </rPr>
      <t>U SD</t>
    </r>
  </si>
  <si>
    <r>
      <t>∆</t>
    </r>
    <r>
      <rPr>
        <b/>
        <vertAlign val="subscript"/>
        <sz val="11"/>
        <color theme="0"/>
        <rFont val="Calibri"/>
        <family val="2"/>
        <scheme val="minor"/>
      </rPr>
      <t>AW</t>
    </r>
    <r>
      <rPr>
        <b/>
        <sz val="11"/>
        <color theme="0"/>
        <rFont val="Calibri"/>
        <family val="2"/>
        <scheme val="minor"/>
      </rPr>
      <t>/kJ·mol-1</t>
    </r>
  </si>
  <si>
    <r>
      <t>∆</t>
    </r>
    <r>
      <rPr>
        <b/>
        <vertAlign val="subscript"/>
        <sz val="11"/>
        <color theme="0"/>
        <rFont val="Calibri"/>
        <family val="2"/>
        <scheme val="minor"/>
      </rPr>
      <t>OW</t>
    </r>
    <r>
      <rPr>
        <b/>
        <sz val="11"/>
        <color theme="0"/>
        <rFont val="Calibri"/>
        <family val="2"/>
        <scheme val="minor"/>
      </rPr>
      <t>/kJ·mol-1</t>
    </r>
  </si>
  <si>
    <r>
      <t>∆</t>
    </r>
    <r>
      <rPr>
        <b/>
        <vertAlign val="subscript"/>
        <sz val="11"/>
        <color theme="0"/>
        <rFont val="Calibri"/>
        <family val="2"/>
        <scheme val="minor"/>
      </rPr>
      <t>OW</t>
    </r>
    <r>
      <rPr>
        <b/>
        <sz val="11"/>
        <color theme="0"/>
        <rFont val="Calibri"/>
        <family val="2"/>
        <scheme val="minor"/>
      </rPr>
      <t>U SD</t>
    </r>
  </si>
  <si>
    <r>
      <t>LogK</t>
    </r>
    <r>
      <rPr>
        <b/>
        <vertAlign val="subscript"/>
        <sz val="11"/>
        <color theme="0"/>
        <rFont val="Calibri"/>
        <family val="2"/>
        <scheme val="minor"/>
      </rPr>
      <t>OA</t>
    </r>
    <r>
      <rPr>
        <b/>
        <sz val="11"/>
        <color theme="0"/>
        <rFont val="Calibri"/>
        <family val="2"/>
        <scheme val="minor"/>
      </rPr>
      <t xml:space="preserve"> SD</t>
    </r>
  </si>
  <si>
    <r>
      <t>LogK</t>
    </r>
    <r>
      <rPr>
        <b/>
        <vertAlign val="subscript"/>
        <sz val="11"/>
        <color theme="0"/>
        <rFont val="Calibri"/>
        <family val="2"/>
        <scheme val="minor"/>
      </rPr>
      <t>OA</t>
    </r>
  </si>
  <si>
    <r>
      <t>LogK</t>
    </r>
    <r>
      <rPr>
        <b/>
        <vertAlign val="subscript"/>
        <sz val="11"/>
        <color theme="0"/>
        <rFont val="Calibri"/>
        <family val="2"/>
        <scheme val="minor"/>
      </rPr>
      <t>OW</t>
    </r>
  </si>
  <si>
    <r>
      <t>LogK</t>
    </r>
    <r>
      <rPr>
        <b/>
        <vertAlign val="subscript"/>
        <sz val="11"/>
        <color theme="0"/>
        <rFont val="Calibri"/>
        <family val="2"/>
        <scheme val="minor"/>
      </rPr>
      <t>OW</t>
    </r>
    <r>
      <rPr>
        <b/>
        <sz val="11"/>
        <color theme="0"/>
        <rFont val="Calibri"/>
        <family val="2"/>
        <scheme val="minor"/>
      </rPr>
      <t xml:space="preserve"> SD</t>
    </r>
  </si>
  <si>
    <r>
      <t>LogK</t>
    </r>
    <r>
      <rPr>
        <b/>
        <vertAlign val="subscript"/>
        <sz val="11"/>
        <color theme="0"/>
        <rFont val="Calibri"/>
        <family val="2"/>
        <scheme val="minor"/>
      </rPr>
      <t>AW</t>
    </r>
  </si>
  <si>
    <r>
      <t>LogK</t>
    </r>
    <r>
      <rPr>
        <b/>
        <vertAlign val="subscript"/>
        <sz val="11"/>
        <color theme="0"/>
        <rFont val="Calibri"/>
        <family val="2"/>
        <scheme val="minor"/>
      </rPr>
      <t>AW</t>
    </r>
    <r>
      <rPr>
        <b/>
        <sz val="11"/>
        <color theme="0"/>
        <rFont val="Calibri"/>
        <family val="2"/>
        <scheme val="minor"/>
      </rPr>
      <t xml:space="preserve"> SD</t>
    </r>
  </si>
  <si>
    <r>
      <t>LogP</t>
    </r>
    <r>
      <rPr>
        <b/>
        <vertAlign val="subscript"/>
        <sz val="11"/>
        <color theme="0"/>
        <rFont val="Calibri"/>
        <family val="2"/>
        <scheme val="minor"/>
      </rPr>
      <t>L</t>
    </r>
  </si>
  <si>
    <r>
      <t>LogP</t>
    </r>
    <r>
      <rPr>
        <b/>
        <vertAlign val="subscript"/>
        <sz val="11"/>
        <color theme="0"/>
        <rFont val="Calibri"/>
        <family val="2"/>
        <scheme val="minor"/>
      </rPr>
      <t>L</t>
    </r>
    <r>
      <rPr>
        <b/>
        <sz val="11"/>
        <color theme="0"/>
        <rFont val="Calibri"/>
        <family val="2"/>
        <scheme val="minor"/>
      </rPr>
      <t xml:space="preserve"> SD</t>
    </r>
  </si>
  <si>
    <r>
      <t>LogS</t>
    </r>
    <r>
      <rPr>
        <b/>
        <vertAlign val="subscript"/>
        <sz val="11"/>
        <color theme="0"/>
        <rFont val="Calibri"/>
        <family val="2"/>
        <scheme val="minor"/>
      </rPr>
      <t>WL</t>
    </r>
  </si>
  <si>
    <r>
      <t>LogS</t>
    </r>
    <r>
      <rPr>
        <b/>
        <vertAlign val="subscript"/>
        <sz val="11"/>
        <color theme="0"/>
        <rFont val="Calibri"/>
        <family val="2"/>
        <scheme val="minor"/>
      </rPr>
      <t>WL</t>
    </r>
    <r>
      <rPr>
        <b/>
        <sz val="11"/>
        <color theme="0"/>
        <rFont val="Calibri"/>
        <family val="2"/>
        <scheme val="minor"/>
      </rPr>
      <t xml:space="preserve"> SD</t>
    </r>
  </si>
  <si>
    <r>
      <t>LogS</t>
    </r>
    <r>
      <rPr>
        <b/>
        <vertAlign val="subscript"/>
        <sz val="11"/>
        <color theme="0"/>
        <rFont val="Calibri"/>
        <family val="2"/>
        <scheme val="minor"/>
      </rPr>
      <t>OL</t>
    </r>
  </si>
  <si>
    <r>
      <t>LogS</t>
    </r>
    <r>
      <rPr>
        <b/>
        <vertAlign val="subscript"/>
        <sz val="11"/>
        <color theme="0"/>
        <rFont val="Calibri"/>
        <family val="2"/>
        <scheme val="minor"/>
      </rPr>
      <t>OL</t>
    </r>
    <r>
      <rPr>
        <b/>
        <sz val="11"/>
        <color theme="0"/>
        <rFont val="Calibri"/>
        <family val="2"/>
        <scheme val="minor"/>
      </rPr>
      <t xml:space="preserve"> SD</t>
    </r>
  </si>
  <si>
    <r>
      <t>∆</t>
    </r>
    <r>
      <rPr>
        <b/>
        <vertAlign val="subscript"/>
        <sz val="11"/>
        <color theme="0"/>
        <rFont val="Calibri"/>
        <family val="2"/>
        <scheme val="minor"/>
      </rPr>
      <t>fus</t>
    </r>
    <r>
      <rPr>
        <b/>
        <sz val="11"/>
        <color theme="0"/>
        <rFont val="Calibri"/>
        <family val="2"/>
        <scheme val="minor"/>
      </rPr>
      <t>S</t>
    </r>
  </si>
  <si>
    <r>
      <t>∆</t>
    </r>
    <r>
      <rPr>
        <b/>
        <vertAlign val="subscript"/>
        <sz val="11"/>
        <color theme="0"/>
        <rFont val="Calibri"/>
        <family val="2"/>
        <scheme val="minor"/>
      </rPr>
      <t>fus</t>
    </r>
    <r>
      <rPr>
        <b/>
        <sz val="11"/>
        <color theme="0"/>
        <rFont val="Calibri"/>
        <family val="2"/>
        <scheme val="minor"/>
      </rPr>
      <t>S SD</t>
    </r>
  </si>
  <si>
    <r>
      <t>T</t>
    </r>
    <r>
      <rPr>
        <b/>
        <vertAlign val="subscript"/>
        <sz val="11"/>
        <color theme="0"/>
        <rFont val="Calibri"/>
        <family val="2"/>
        <scheme val="minor"/>
      </rPr>
      <t>m</t>
    </r>
  </si>
  <si>
    <r>
      <t>T</t>
    </r>
    <r>
      <rPr>
        <b/>
        <vertAlign val="subscript"/>
        <sz val="11"/>
        <color theme="0"/>
        <rFont val="Calibri"/>
        <family val="2"/>
        <scheme val="minor"/>
      </rPr>
      <t>m</t>
    </r>
    <r>
      <rPr>
        <b/>
        <sz val="11"/>
        <color theme="0"/>
        <rFont val="Calibri"/>
        <family val="2"/>
        <scheme val="minor"/>
      </rPr>
      <t xml:space="preserve"> SD</t>
    </r>
  </si>
  <si>
    <t>CD39: https://comptox.epa.gov/dashboard/dsstoxdb/results?search=DTXSID2020139</t>
  </si>
  <si>
    <t>Ref: Hu</t>
  </si>
  <si>
    <t>Henrys Law (H)</t>
  </si>
  <si>
    <t>lnH</t>
  </si>
  <si>
    <t>dUAW =</t>
  </si>
  <si>
    <t>gh</t>
  </si>
  <si>
    <t>Henry's law</t>
  </si>
  <si>
    <t>Hu</t>
  </si>
  <si>
    <t>From regression at right</t>
  </si>
  <si>
    <t>gi</t>
  </si>
  <si>
    <t>dUaw</t>
  </si>
  <si>
    <t>gj</t>
  </si>
  <si>
    <t>gk</t>
  </si>
  <si>
    <t>gl</t>
  </si>
  <si>
    <t>Da</t>
  </si>
  <si>
    <t>Da = Davis, W. W.; Krahl, M. E.; Clowes, G. H. A. Solubility of Carcinogenic and Related Hydrocarbons in Water. J. Am. Chem. Soc. 1942, 64 (1), 108–110.</t>
  </si>
  <si>
    <t>Indust. Data (CD39 - JCD)</t>
  </si>
  <si>
    <t>Indust. Data (CD39 - JCD, TCI)</t>
  </si>
  <si>
    <t>Indust. Data (CD39 - AA)</t>
  </si>
  <si>
    <t>gm</t>
  </si>
  <si>
    <t>All HPLC results from Pa rejected as they were not comparable with other measured properties, unless they were the only value, in which case they were given an "unreliable" RSD</t>
  </si>
  <si>
    <t>Inlcuded as only value, despite rejection of other Pa HPLC values</t>
  </si>
  <si>
    <r>
      <t>278-293 HPLC (Pa)</t>
    </r>
    <r>
      <rPr>
        <vertAlign val="superscript"/>
        <sz val="10"/>
        <color theme="1"/>
        <rFont val="Times New Roman"/>
        <family val="1"/>
      </rPr>
      <t>du</t>
    </r>
  </si>
  <si>
    <r>
      <t>283-293 HPLC (Pa)</t>
    </r>
    <r>
      <rPr>
        <vertAlign val="superscript"/>
        <sz val="10"/>
        <color theme="1"/>
        <rFont val="Times New Roman"/>
        <family val="1"/>
      </rPr>
      <t>dr</t>
    </r>
  </si>
  <si>
    <r>
      <t>283-293 HPLC (Pa)</t>
    </r>
    <r>
      <rPr>
        <vertAlign val="superscript"/>
        <sz val="10"/>
        <color theme="1"/>
        <rFont val="Times New Roman"/>
        <family val="1"/>
      </rPr>
      <t>dt</t>
    </r>
  </si>
  <si>
    <r>
      <t>278-293 HPLC (Pa)</t>
    </r>
    <r>
      <rPr>
        <vertAlign val="superscript"/>
        <sz val="10"/>
        <color theme="1"/>
        <rFont val="Times New Roman"/>
        <family val="1"/>
      </rPr>
      <t>dp</t>
    </r>
  </si>
  <si>
    <r>
      <t>278-293 HPLC (Pa)</t>
    </r>
    <r>
      <rPr>
        <vertAlign val="superscript"/>
        <sz val="10"/>
        <color theme="1"/>
        <rFont val="Times New Roman"/>
        <family val="1"/>
      </rPr>
      <t>dv</t>
    </r>
  </si>
  <si>
    <r>
      <t>283-293 HPLC (Pa)</t>
    </r>
    <r>
      <rPr>
        <vertAlign val="superscript"/>
        <sz val="10"/>
        <color theme="1"/>
        <rFont val="Times New Roman"/>
        <family val="1"/>
      </rPr>
      <t>ds</t>
    </r>
  </si>
  <si>
    <r>
      <t>283-293 HPLC (Pa)</t>
    </r>
    <r>
      <rPr>
        <vertAlign val="superscript"/>
        <sz val="10"/>
        <color theme="1"/>
        <rFont val="Times New Roman"/>
        <family val="1"/>
      </rPr>
      <t>dq</t>
    </r>
  </si>
  <si>
    <r>
      <t>HPLC (Ec2)</t>
    </r>
    <r>
      <rPr>
        <i/>
        <vertAlign val="superscript"/>
        <sz val="11"/>
        <color theme="1"/>
        <rFont val="Times New Roman"/>
        <family val="1"/>
      </rPr>
      <t>cl</t>
    </r>
  </si>
  <si>
    <t>Rejected as outside of ideal range for conversion</t>
  </si>
  <si>
    <t>Outside of ideal range for conversion, but included with an "unreliable" RSD as the only measured value</t>
  </si>
  <si>
    <t>Reported with the caveat that HPLC method not considered reliable above 6, for regulatory purposes just uses "&gt;6". Included despite being outside of optimal temperature conversion range as only value, with "unreliable" RSD</t>
  </si>
  <si>
    <t xml:space="preserve">R = </t>
  </si>
  <si>
    <t>Bra = Braekevelt, E.; Tittlemier, S. A.; Tomy, G. T., Direct measurement of octanol-water
partition coefficients of some environmentally relevant brominated diphenyl ether congeners.
Chemosphere 2003, 51, 563-567</t>
  </si>
  <si>
    <t>SS (Bra)</t>
  </si>
  <si>
    <t xml:space="preserve">SS (Bra) </t>
  </si>
  <si>
    <t>gn</t>
  </si>
  <si>
    <t>go</t>
  </si>
  <si>
    <t>gp</t>
  </si>
  <si>
    <r>
      <t>(Sc-a)</t>
    </r>
    <r>
      <rPr>
        <i/>
        <vertAlign val="superscript"/>
        <sz val="11"/>
        <color theme="1"/>
        <rFont val="Times New Roman"/>
        <family val="1"/>
      </rPr>
      <t>gn</t>
    </r>
  </si>
  <si>
    <r>
      <t>(Sc-a)</t>
    </r>
    <r>
      <rPr>
        <i/>
        <vertAlign val="superscript"/>
        <sz val="11"/>
        <color theme="1"/>
        <rFont val="Times New Roman"/>
        <family val="1"/>
      </rPr>
      <t>go</t>
    </r>
  </si>
  <si>
    <t>Lau</t>
  </si>
  <si>
    <t>gq</t>
  </si>
  <si>
    <t>gr</t>
  </si>
  <si>
    <t>gs</t>
  </si>
  <si>
    <t>gt</t>
  </si>
  <si>
    <t xml:space="preserve">rejected as based on linearization of lit. data </t>
  </si>
  <si>
    <t xml:space="preserve">FAV (Sc) </t>
  </si>
  <si>
    <t>368-438 GC-RT (Ti)</t>
  </si>
  <si>
    <t>GC-RT (Wan1)</t>
  </si>
  <si>
    <t>gu</t>
  </si>
  <si>
    <t>Wan2</t>
  </si>
  <si>
    <t>CD40: https://comptox.epa.gov/dashboard/dsstoxdb/results?search=DTXSID3030056</t>
  </si>
  <si>
    <t>(Alc)</t>
  </si>
  <si>
    <t>Wan1 = Estimating Octanol−Air Partition Coefficients of Nonpolar Semivolatile Organic Compounds from Gas Chromatographic Retention Times https://doi.org/10.1021/ac0256033</t>
  </si>
  <si>
    <t>CD41: https://comptox.epa.gov/dashboard/dsstoxdb/results?search=DTXSID9030048</t>
  </si>
  <si>
    <t>Indust. Data (CD41 - JCD)</t>
  </si>
  <si>
    <t>PP: PhysPropNCCT</t>
  </si>
  <si>
    <t>CD42: https://comptox.epa.gov/dashboard/dsstoxdb/results?search=DTXSID4047541</t>
  </si>
  <si>
    <t>Indust. Data (CD42 - PP)</t>
  </si>
  <si>
    <t>CD43: https://comptox.epa.gov/dashboard/dsstoxdb/results?search=DTXSID0022513</t>
  </si>
  <si>
    <t>Indust. Data (CD43 - NIOSH)</t>
  </si>
  <si>
    <t>gv</t>
  </si>
  <si>
    <t>Yue</t>
  </si>
  <si>
    <t>MDV</t>
  </si>
  <si>
    <t>SPARC</t>
  </si>
  <si>
    <t>COSMO</t>
  </si>
  <si>
    <t>gw</t>
  </si>
  <si>
    <t>Ti</t>
  </si>
  <si>
    <t>Average of 83.5 and 84.5</t>
  </si>
  <si>
    <r>
      <t>SF-N (Da)</t>
    </r>
    <r>
      <rPr>
        <vertAlign val="superscript"/>
        <sz val="11"/>
        <color rgb="FF000000"/>
        <rFont val="Times New Roman"/>
        <family val="1"/>
      </rPr>
      <t>gl</t>
    </r>
  </si>
  <si>
    <t>gx</t>
  </si>
  <si>
    <t>gy</t>
  </si>
  <si>
    <t>CD39</t>
  </si>
  <si>
    <t>ECCC1</t>
  </si>
  <si>
    <t>Rejected as no information on method or temperature given</t>
  </si>
  <si>
    <t>CD44: https://comptox.epa.gov/dashboard/dsstoxdb/results?search=DTXSID0023909</t>
  </si>
  <si>
    <t>Indust. Data (CD44 - JCD)</t>
  </si>
  <si>
    <t>gz</t>
  </si>
  <si>
    <r>
      <t xml:space="preserve"> gen. column (Ti)</t>
    </r>
    <r>
      <rPr>
        <vertAlign val="superscript"/>
        <sz val="11"/>
        <color theme="1"/>
        <rFont val="Times New Roman"/>
        <family val="1"/>
      </rPr>
      <t>gz</t>
    </r>
  </si>
  <si>
    <t>Converted to subcooled liquid water solubility with LDV dS fus</t>
  </si>
  <si>
    <t>ha</t>
  </si>
  <si>
    <t>RAR5 = EC. European Union Risk Assessment Report: Diphenyl Ether, Pentabromo Derivative (Pentabromodiphenyl Ether); 2001.</t>
  </si>
  <si>
    <t>RAR5</t>
  </si>
  <si>
    <t xml:space="preserve">Ku = Kuramochi, H.;Takigami, H.; Scheringer, M.; Sakai, S. Measurement of vapor pressures of selected PBDEs, hexabromobenzene, and 1,2-bis(2,4,6-tribromophenoxy) ethane at elevated temperatures. J. Chem. Eng. Data 2014, 59(1), 8–15. </t>
  </si>
  <si>
    <t>GS (Ku)</t>
  </si>
  <si>
    <t>DSC (Ku)</t>
  </si>
  <si>
    <t>Ku3</t>
  </si>
  <si>
    <t>Ti2 = Tittlemier, S. A.; Tomy, G. T. Vapor Pressures of Six Brominated Diphenyl Ether Congeners. Environ. Toxicol. Chem. 2001, 20 (1), 146–148.</t>
  </si>
  <si>
    <t>hb</t>
  </si>
  <si>
    <t>hc</t>
  </si>
  <si>
    <t>hd</t>
  </si>
  <si>
    <t>Ti2</t>
  </si>
  <si>
    <t>Rejected as superseded by a later paper from same group (Ti)</t>
  </si>
  <si>
    <r>
      <t>(CD40)</t>
    </r>
    <r>
      <rPr>
        <i/>
        <vertAlign val="superscript"/>
        <sz val="11"/>
        <color rgb="FF000000"/>
        <rFont val="Times New Roman"/>
        <family val="1"/>
      </rPr>
      <t>he</t>
    </r>
  </si>
  <si>
    <t>he</t>
  </si>
  <si>
    <t>CD40</t>
  </si>
  <si>
    <t>Lau = Lau, F. K.; Charles, M. J.; Cahill, T. M., . J. Chem. Eng. Data 2006, 51, 871-878</t>
  </si>
  <si>
    <t>gen. column (Ku3)</t>
  </si>
  <si>
    <t>hf</t>
  </si>
  <si>
    <t>Sc</t>
  </si>
  <si>
    <t>Used Value</t>
  </si>
  <si>
    <r>
      <t>FAV (Sc)</t>
    </r>
    <r>
      <rPr>
        <i/>
        <vertAlign val="superscript"/>
        <sz val="10"/>
        <color rgb="FF000000"/>
        <rFont val="Times New Roman"/>
        <family val="1"/>
      </rPr>
      <t>hf</t>
    </r>
  </si>
  <si>
    <t>Converted from dU(air) to dH by adding 2,391 J/mol</t>
  </si>
  <si>
    <t>333-383 GC-RT (Wan1)</t>
  </si>
  <si>
    <t xml:space="preserve">HS = Harner, T.; Shoeib, M. Measurements of octanol-air partition coefficients (KOA) for polybrominated diphenyl ethers (PBDEs): predicting partitioning in the environment. J. Chem. Eng. Data 2002, 47, 228–232. </t>
  </si>
  <si>
    <t>Ku3 = Kuramochi, H.; Maeda, K.; Kawamoto, K., Physicochemical properties of selected polybrominated diphenyl ethers and extension of the UNIFAC model to brominated aromatic compounds. Chemoshere 2007, 67, 1858-1865</t>
  </si>
  <si>
    <t>Converted from solid to subcooled liquid by subtracting dHfus from same study</t>
  </si>
  <si>
    <t>Ce2 = Cetin, B.; Odabasi, M., Measurement of Henry's law constants of seven polybrominated diphenyl ether (PBDE) congeners as a function of temperature. Atmos. Environ. 2005, 39, 5273-5280</t>
  </si>
  <si>
    <t xml:space="preserve">Wat = Watanabe, I., Tatsukawa, R., Anthropogenic brominated aromatics in the Japanese environment. Proceedings to Workshop on brominated aromatic flame retardants, Skokloster, Sweden, 1989 </t>
  </si>
  <si>
    <t>To = Tomy, G.; Tittlemier, S.; Braekevelt, E.; Halldorson, T.; Stern, G., 2001. The Physico- Chemical Properties of Some Brominated Flame Retardants. Second Int. Work. Brominated Flame Retard. 2001.</t>
  </si>
  <si>
    <t>hi</t>
  </si>
  <si>
    <t>hj</t>
  </si>
  <si>
    <t>To</t>
  </si>
  <si>
    <t>Superseded by another value from the same group (Bra)</t>
  </si>
  <si>
    <t>GC-RT (Wat)</t>
  </si>
  <si>
    <r>
      <t>HPLC-RT (Wat)</t>
    </r>
    <r>
      <rPr>
        <vertAlign val="superscript"/>
        <sz val="11"/>
        <color theme="1"/>
        <rFont val="Times New Roman"/>
        <family val="1"/>
      </rPr>
      <t>hk</t>
    </r>
  </si>
  <si>
    <t>hk</t>
  </si>
  <si>
    <t>Wat</t>
  </si>
  <si>
    <t xml:space="preserve">Mean value of measured range. </t>
  </si>
  <si>
    <r>
      <t>SS (To)</t>
    </r>
    <r>
      <rPr>
        <i/>
        <vertAlign val="superscript"/>
        <sz val="11"/>
        <color theme="1"/>
        <rFont val="Times New Roman"/>
        <family val="1"/>
      </rPr>
      <t>hj</t>
    </r>
  </si>
  <si>
    <r>
      <t>exp. (Ti2)</t>
    </r>
    <r>
      <rPr>
        <i/>
        <vertAlign val="superscript"/>
        <sz val="11"/>
        <color theme="1"/>
        <rFont val="Times New Roman"/>
        <family val="1"/>
      </rPr>
      <t>hd</t>
    </r>
  </si>
  <si>
    <t>Wan2 = Wania, F.; Dugani, C. B., Assessing the long-range transport potential of polybrominated diphenyl ethers: A comparison of four multimedia models. Environ. Toxicol. Chem. 2003, 22, 1252-1261</t>
  </si>
  <si>
    <t>MPA (Ti)</t>
  </si>
  <si>
    <t>hl</t>
  </si>
  <si>
    <t>Yue-a (Wan2)</t>
  </si>
  <si>
    <t>Authors of Yue-a confirmed that original value in Wan2 of 110 was a typo, correct value is 100.5</t>
  </si>
  <si>
    <r>
      <t>FAV (Yue)</t>
    </r>
    <r>
      <rPr>
        <i/>
        <vertAlign val="superscript"/>
        <sz val="11"/>
        <color theme="1"/>
        <rFont val="Times New Roman"/>
        <family val="1"/>
      </rPr>
      <t>gv</t>
    </r>
  </si>
  <si>
    <t>hm</t>
  </si>
  <si>
    <r>
      <t>gen. column (Ti)</t>
    </r>
    <r>
      <rPr>
        <vertAlign val="superscript"/>
        <sz val="11"/>
        <color theme="1"/>
        <rFont val="Times New Roman"/>
        <family val="1"/>
      </rPr>
      <t>hm</t>
    </r>
  </si>
  <si>
    <t>hn</t>
  </si>
  <si>
    <t>Average of measured range</t>
  </si>
  <si>
    <t>Converted from subcooled liquid</t>
  </si>
  <si>
    <r>
      <t>MPA (Ti)</t>
    </r>
    <r>
      <rPr>
        <vertAlign val="superscript"/>
        <sz val="11"/>
        <color theme="1"/>
        <rFont val="Times New Roman"/>
        <family val="1"/>
      </rPr>
      <t>hn</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</si>
  <si>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(Ti)</t>
    </r>
  </si>
  <si>
    <t>MPA (Te)</t>
  </si>
  <si>
    <r>
      <t>gen. column (Ti)</t>
    </r>
    <r>
      <rPr>
        <vertAlign val="superscript"/>
        <sz val="11"/>
        <color theme="1"/>
        <rFont val="Times New Roman"/>
        <family val="1"/>
      </rPr>
      <t>ho</t>
    </r>
  </si>
  <si>
    <t>ho</t>
  </si>
  <si>
    <t>Converted to subcooled liquid</t>
  </si>
  <si>
    <t>mol/m³. Could not find original reference. Referenced by Wan2 as: Physicochemical preperties of selected organic pollutants. Environmental chemistry and ecotoxicology research group, environmental science department, Lancaster University</t>
  </si>
  <si>
    <t>hp</t>
  </si>
  <si>
    <t>hq</t>
  </si>
  <si>
    <r>
      <t>(Wan2)</t>
    </r>
    <r>
      <rPr>
        <vertAlign val="superscript"/>
        <sz val="11"/>
        <color theme="1"/>
        <rFont val="Times New Roman"/>
        <family val="1"/>
      </rPr>
      <t>hp</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</si>
  <si>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(Ti)</t>
    </r>
    <r>
      <rPr>
        <i/>
        <vertAlign val="superscript"/>
        <sz val="11"/>
        <color theme="1"/>
        <rFont val="Times New Roman"/>
        <family val="1"/>
      </rPr>
      <t>gq</t>
    </r>
  </si>
  <si>
    <t>BDE-47; BDE-100</t>
  </si>
  <si>
    <t>hr</t>
  </si>
  <si>
    <t>dUAW</t>
  </si>
  <si>
    <t>BDE-47,-99,-100</t>
  </si>
  <si>
    <t>hs</t>
  </si>
  <si>
    <t>Koa</t>
  </si>
  <si>
    <t>Ok</t>
  </si>
  <si>
    <t>Rejected as inconsistent with other values</t>
  </si>
  <si>
    <r>
      <t>GC-RT (Ok)</t>
    </r>
    <r>
      <rPr>
        <i/>
        <vertAlign val="superscript"/>
        <sz val="11"/>
        <color theme="1"/>
        <rFont val="Times New Roman"/>
        <family val="1"/>
      </rPr>
      <t>hs</t>
    </r>
  </si>
  <si>
    <r>
      <t>383-413 GC-RT (Ok)</t>
    </r>
    <r>
      <rPr>
        <i/>
        <vertAlign val="superscript"/>
        <sz val="10"/>
        <color theme="1"/>
        <rFont val="Times New Roman"/>
        <family val="1"/>
      </rPr>
      <t>hs</t>
    </r>
  </si>
  <si>
    <r>
      <t>gen. column (Ti)</t>
    </r>
    <r>
      <rPr>
        <vertAlign val="superscript"/>
        <sz val="11"/>
        <color theme="1"/>
        <rFont val="Times New Roman"/>
        <family val="1"/>
      </rPr>
      <t>ht</t>
    </r>
  </si>
  <si>
    <r>
      <t>(Wan2)</t>
    </r>
    <r>
      <rPr>
        <vertAlign val="superscript"/>
        <sz val="11"/>
        <color theme="1"/>
        <rFont val="Times New Roman"/>
        <family val="1"/>
      </rPr>
      <t>hu</t>
    </r>
  </si>
  <si>
    <t>hu</t>
  </si>
  <si>
    <t xml:space="preserve">Converted to subcooled liquid. Quoted, reference is to Stenzel and Markley (1997) </t>
  </si>
  <si>
    <t>hv</t>
  </si>
  <si>
    <t>hw</t>
  </si>
  <si>
    <r>
      <t xml:space="preserve"> gen. column (Ku3)</t>
    </r>
    <r>
      <rPr>
        <vertAlign val="superscript"/>
        <sz val="11"/>
        <color theme="1"/>
        <rFont val="Times New Roman"/>
        <family val="1"/>
      </rPr>
      <t>hv</t>
    </r>
  </si>
  <si>
    <r>
      <t>GC-RT (Ti2)</t>
    </r>
    <r>
      <rPr>
        <i/>
        <vertAlign val="superscript"/>
        <sz val="11"/>
        <color theme="1"/>
        <rFont val="Times New Roman"/>
        <family val="1"/>
      </rPr>
      <t>hd</t>
    </r>
  </si>
  <si>
    <t>BDE-47; BDE-99</t>
  </si>
  <si>
    <r>
      <t>gen. column (Ku3)</t>
    </r>
    <r>
      <rPr>
        <vertAlign val="superscript"/>
        <sz val="10"/>
        <color theme="1"/>
        <rFont val="Times New Roman"/>
        <family val="1"/>
      </rPr>
      <t>hw</t>
    </r>
  </si>
  <si>
    <r>
      <t>gen. column (Ku3)</t>
    </r>
    <r>
      <rPr>
        <vertAlign val="superscript"/>
        <sz val="10"/>
        <color theme="1"/>
        <rFont val="Times New Roman"/>
        <family val="1"/>
      </rPr>
      <t>hi</t>
    </r>
  </si>
  <si>
    <t>Bro = Brodsky, J.; Ballschmiter, K. Reversed Phase Liquid Chromatography of PCBs as a Basis for the Calculation of Water Solubility and Log Kow for Polychlorobiphenyls. Fresenius’ Zeitschrift für Anal. Chemie 1988, 331 (3–4), 295–301.</t>
  </si>
  <si>
    <t>Jo = Johnstone, G. J.; Ecobichon, D. J.; Hutzinger, O. The Influence of Pure Polychlorinated Biphenyl Compounds on Hepatic Function in the Rat. Toxicol. Appl. Pharmacol. 1974, 28 (1), 66–81.</t>
  </si>
  <si>
    <t>MPA (Jo)</t>
  </si>
  <si>
    <t>Bol = Bolgar, M.; Cunningham, J.; Cooper, R.; Kozloski, R.; Hubball, J.; Miller, D. P.; Crone, T.; Kimball, H.; Janooby, A.; Miller, B.; et al. Physical, Spectral and Chromatographic Properties of All 209 Individual PCB Congeners. Chemosphere 1995, 31 (2), 2687–2705.</t>
  </si>
  <si>
    <t>MPA (Bol)</t>
  </si>
  <si>
    <t>Hall = Hall, D. M.; Minhaj, F. 921. The Relation between Configuration and Conjugation in Diphenyl Derivatives. Part IX. Some Tetrachloro-2 : 2′-Bridged Compounds. J. Chem. Soc. 1957, No. 4584, 4584–4591.</t>
  </si>
  <si>
    <t>MPA (Hall)</t>
  </si>
  <si>
    <t>2',3,5-Trichlorobiphenyl</t>
  </si>
  <si>
    <t>2,2',6-Trichlorobiphenyl</t>
  </si>
  <si>
    <t>3,3'-Dichlorobiphenyl</t>
  </si>
  <si>
    <t>Bol-1</t>
  </si>
  <si>
    <t>2,2',4,4'-Tetrachlorobiphenyl</t>
  </si>
  <si>
    <t>2,3',4, 4',6- Pentachlorobiphenyl</t>
  </si>
  <si>
    <t>2,2',3,3',4,5,6-Heptachlorobiphenyl</t>
  </si>
  <si>
    <t>2,2',3,3',4,6-Hexachlombiphenyl</t>
  </si>
  <si>
    <t>2,2',3,3',4,6,6'- Heptachlorobiphenyl</t>
  </si>
  <si>
    <t>2,2',3,3',4,4',5,5',6,6'-Decachlorobiphenyl</t>
  </si>
  <si>
    <t>Mol/m³. Converted to subcooled liquid</t>
  </si>
  <si>
    <t>hx</t>
  </si>
  <si>
    <t>hy</t>
  </si>
  <si>
    <t>hz</t>
  </si>
  <si>
    <t>ia</t>
  </si>
  <si>
    <t>Mil</t>
  </si>
  <si>
    <t>Dsc (Mil)</t>
  </si>
  <si>
    <t>DSC (Mil)</t>
  </si>
  <si>
    <t>Mac</t>
  </si>
  <si>
    <t>ib</t>
  </si>
  <si>
    <r>
      <t>gen. column (Mil)</t>
    </r>
    <r>
      <rPr>
        <vertAlign val="superscript"/>
        <sz val="11"/>
        <color theme="1"/>
        <rFont val="Times New Roman"/>
        <family val="1"/>
      </rPr>
      <t>hx</t>
    </r>
  </si>
  <si>
    <t>g/m³. Converted to subcooled liquid</t>
  </si>
  <si>
    <t>g/m³. Reference is to Wallnöfer, P.R., M. Koniger, M., Hutzinger, O. (1973) Analab Res. Notes 13(3), 14–19, which we could not find. Converted to subcooled liquid. Rejected as inconsistent with other values.</t>
  </si>
  <si>
    <r>
      <t>SF (Mac)</t>
    </r>
    <r>
      <rPr>
        <i/>
        <vertAlign val="superscript"/>
        <sz val="11"/>
        <color theme="1"/>
        <rFont val="Times New Roman"/>
        <family val="1"/>
      </rPr>
      <t>ia</t>
    </r>
  </si>
  <si>
    <t xml:space="preserve">Mol/m³. Converted to subcooled liquid.  Reference is to Weil, L., Dure, G., Quentin, K.L. (1974). Z. Wasser Abwasser Forsch. 7, 169–175., which we could not find. </t>
  </si>
  <si>
    <r>
      <t>gen. column (Mac)</t>
    </r>
    <r>
      <rPr>
        <vertAlign val="superscript"/>
        <sz val="11"/>
        <color theme="1"/>
        <rFont val="Times New Roman"/>
        <family val="1"/>
      </rPr>
      <t>hy</t>
    </r>
  </si>
  <si>
    <t>Bro</t>
  </si>
  <si>
    <t>g/m³. Average of values from Bro, each of which had different stationary phases</t>
  </si>
  <si>
    <r>
      <t>HPLC (Bro)</t>
    </r>
    <r>
      <rPr>
        <vertAlign val="superscript"/>
        <sz val="11"/>
        <color theme="1"/>
        <rFont val="Times New Roman"/>
        <family val="1"/>
      </rPr>
      <t>ib</t>
    </r>
  </si>
  <si>
    <t>ic</t>
  </si>
  <si>
    <t>Dic</t>
  </si>
  <si>
    <t>Dic = Dickhut, R. M.; Andren, A. W.; Armstrong, D. E. Aqueous Solubilities of Six Polychlorinated Biphenyl Congeners at Four Temperatures. Environ. Sci. Technol. 1986, 20 (8), 807–810.</t>
  </si>
  <si>
    <t>Dic, Mil</t>
  </si>
  <si>
    <t>Converted to subcooled from solid by subtracting enthalpy of fusion from Miller 1984</t>
  </si>
  <si>
    <t>(Opp)</t>
  </si>
  <si>
    <r>
      <t>gen. column (Opp)</t>
    </r>
    <r>
      <rPr>
        <vertAlign val="superscript"/>
        <sz val="11"/>
        <color theme="1"/>
        <rFont val="Times New Roman"/>
        <family val="1"/>
      </rPr>
      <t>ic</t>
    </r>
  </si>
  <si>
    <t>g/m³. Converted to subcooled liquid, rejected as outside other values</t>
  </si>
  <si>
    <t>Opp</t>
  </si>
  <si>
    <t>is</t>
  </si>
  <si>
    <t>id</t>
  </si>
  <si>
    <r>
      <t>298-333 GS (Dic)</t>
    </r>
    <r>
      <rPr>
        <vertAlign val="superscript"/>
        <sz val="10"/>
        <color theme="1"/>
        <rFont val="Times New Roman"/>
        <family val="1"/>
      </rPr>
      <t>id</t>
    </r>
  </si>
  <si>
    <t>ie</t>
  </si>
  <si>
    <t>Pas</t>
  </si>
  <si>
    <r>
      <t>gen. column (Pas)</t>
    </r>
    <r>
      <rPr>
        <i/>
        <vertAlign val="superscript"/>
        <sz val="11"/>
        <color theme="1"/>
        <rFont val="Times New Roman"/>
        <family val="1"/>
      </rPr>
      <t>hz</t>
    </r>
  </si>
  <si>
    <r>
      <t>gen. column (Pas)</t>
    </r>
    <r>
      <rPr>
        <vertAlign val="superscript"/>
        <sz val="11"/>
        <color theme="1"/>
        <rFont val="Times New Roman"/>
        <family val="1"/>
      </rPr>
      <t>ie</t>
    </r>
  </si>
  <si>
    <t>(Mac-Mac83)</t>
  </si>
  <si>
    <t>if</t>
  </si>
  <si>
    <t>Bur = Burkhard, L. P.; Armstrong, D. E.; Andren, A. W. Vapor Pressures for Biphenyl, 4-Chlorobiphenyl, 2,2’,3,3’,5,5’,6,6’-Octachlorobiphenyl, and Decachlorobiphenyl. J. Chem. Eng. Data 1984, 29 (3), 248–250.</t>
  </si>
  <si>
    <r>
      <t>GS (Bur)</t>
    </r>
    <r>
      <rPr>
        <vertAlign val="superscript"/>
        <sz val="11"/>
        <color rgb="FF000000"/>
        <rFont val="Times New Roman"/>
        <family val="1"/>
      </rPr>
      <t>if</t>
    </r>
  </si>
  <si>
    <t>Converted to dHvap from dHsub by subtracting enthalpy of formation</t>
  </si>
  <si>
    <r>
      <t>383-413 GS (Bur)</t>
    </r>
    <r>
      <rPr>
        <vertAlign val="superscript"/>
        <sz val="10"/>
        <color rgb="FF000000"/>
        <rFont val="Times New Roman"/>
        <family val="1"/>
      </rPr>
      <t>ig</t>
    </r>
  </si>
  <si>
    <t>ig</t>
  </si>
  <si>
    <t>Bur</t>
  </si>
  <si>
    <t>ih</t>
  </si>
  <si>
    <t>Rejected as inconsistent with other values, no info on methods. Original source: Hansch, C., Leo, A.J. (1979) Substituent Constants for Correlation Analysis in Chemistry and Biology. John Wiley &amp; Sons, New York.</t>
  </si>
  <si>
    <t>ii</t>
  </si>
  <si>
    <r>
      <t>(Mac)</t>
    </r>
    <r>
      <rPr>
        <i/>
        <vertAlign val="superscript"/>
        <sz val="11"/>
        <color theme="1"/>
        <rFont val="Times New Roman"/>
        <family val="1"/>
      </rPr>
      <t>ii</t>
    </r>
  </si>
  <si>
    <t>Gen. Column (Mil)</t>
  </si>
  <si>
    <t>Gen. Column (Wo)</t>
  </si>
  <si>
    <t>SS (BDW)</t>
  </si>
  <si>
    <t>BDW = Brooke, D. N.; Dobbs, A. J.; Williams, N. Octanol: Water Partition Coefficients (P): Measurement, Estimation, and Interpretation, Particularly for Chemicals with P &amp;gt; 105. Ecotoxicol. Environ. Saf. 1986, 11 (3), 251–260.</t>
  </si>
  <si>
    <t>DA = Doucette, W. J.; Andren, A. W. Correlation of Octanol/Water Partition Coefficients and Total Molecular Surface Area for Highly Hydrophobic Aromatic Compounds. Environ. Sci. Technol. 1987, 21 (8), 821–824.</t>
  </si>
  <si>
    <t>Gen Column (DA)</t>
  </si>
  <si>
    <t>Average of values from Bro, each of which had different stationary phases</t>
  </si>
  <si>
    <t>HPLC (Bro)</t>
  </si>
  <si>
    <t>Bru</t>
  </si>
  <si>
    <t>ij</t>
  </si>
  <si>
    <t>ik</t>
  </si>
  <si>
    <t>Bru = Bruggeman, W. A.; Van Der Steen, J.; Hutzinger, O. Reversed-Phase Thin-Layer Chromatography of Polynuclear Aromatic Hydrocarbons and Chlorinated Biphenyls. J. Chromatogr. A 1982, 238 (2), 335–346.</t>
  </si>
  <si>
    <t>SS (Pas)</t>
  </si>
  <si>
    <t>SS (Fi)</t>
  </si>
  <si>
    <t>Fis = Fisk, A. T.; Rosenberg, B.; Cymbalisty, C. D.; Stern, G. A.; Muir, D. C. G. Octanol/Water Partition Coefficients of Toxaphene Congeners Determined by the “Slow-Stirring” Method. Chemosphere 1999, 39 (14), 2549–2562.</t>
  </si>
  <si>
    <t>Rejected as inconsistent with other values.</t>
  </si>
  <si>
    <r>
      <t>RP-TLC (Bru)</t>
    </r>
    <r>
      <rPr>
        <i/>
        <vertAlign val="superscript"/>
        <sz val="11"/>
        <color theme="1"/>
        <rFont val="Times New Roman"/>
        <family val="1"/>
      </rPr>
      <t>ik</t>
    </r>
  </si>
  <si>
    <t>Zh2 = Zhang, X.; Schramm, K.-W.; Henkelmann, B.; Klimm, C.; Kaune, A.; Kettrup, A.; Lu, P. A Method To Estimate the Octanol−Air Partition Coefficient of Semivolatile Organic Compounds. Anal. Chem. 1999, 71 (17), 3834–3838.</t>
  </si>
  <si>
    <t>il</t>
  </si>
  <si>
    <r>
      <t>GC-k' (Zh2)</t>
    </r>
    <r>
      <rPr>
        <vertAlign val="superscript"/>
        <sz val="11"/>
        <color theme="1"/>
        <rFont val="Times New Roman"/>
        <family val="1"/>
      </rPr>
      <t>il</t>
    </r>
  </si>
  <si>
    <t>im</t>
  </si>
  <si>
    <t>in</t>
  </si>
  <si>
    <t>io</t>
  </si>
  <si>
    <r>
      <t>SF (Mac)</t>
    </r>
    <r>
      <rPr>
        <vertAlign val="superscript"/>
        <sz val="11"/>
        <color theme="1"/>
        <rFont val="Times New Roman"/>
        <family val="1"/>
      </rPr>
      <t>im</t>
    </r>
  </si>
  <si>
    <r>
      <t>HPLC (Bro)</t>
    </r>
    <r>
      <rPr>
        <vertAlign val="superscript"/>
        <sz val="11"/>
        <color theme="1"/>
        <rFont val="Times New Roman"/>
        <family val="1"/>
      </rPr>
      <t>in</t>
    </r>
  </si>
  <si>
    <t>ip</t>
  </si>
  <si>
    <t>295-349 Gen. column (Opp)</t>
  </si>
  <si>
    <r>
      <t>Gen. Col (Opp)</t>
    </r>
    <r>
      <rPr>
        <vertAlign val="superscript"/>
        <sz val="11"/>
        <color theme="1"/>
        <rFont val="Times New Roman"/>
        <family val="1"/>
      </rPr>
      <t>io</t>
    </r>
  </si>
  <si>
    <t>Be-a</t>
  </si>
  <si>
    <t>Rejected as could not find original source. States that the value came from Mac, but no value there matched with this one - may be due to different fugacity ratio conversions.</t>
  </si>
  <si>
    <r>
      <t>(Be-a)</t>
    </r>
    <r>
      <rPr>
        <i/>
        <vertAlign val="superscript"/>
        <sz val="11"/>
        <color theme="1"/>
        <rFont val="Times New Roman"/>
        <family val="1"/>
      </rPr>
      <t>ip</t>
    </r>
  </si>
  <si>
    <t>FoB = Foreman, W. T.; Bidleman, T. F. Vapor Pressure Estimates of Individual Polychlorinated Biphenyls and Commercial Fluids Using Gas Chromatographic Retention Data. J. Chromatogr. A 1985, 330, 203–216.</t>
  </si>
  <si>
    <t>FoB</t>
  </si>
  <si>
    <t>iq</t>
  </si>
  <si>
    <r>
      <t>GC-RT (FoB)</t>
    </r>
    <r>
      <rPr>
        <i/>
        <vertAlign val="superscript"/>
        <sz val="11"/>
        <color rgb="FF000000"/>
        <rFont val="Times New Roman"/>
        <family val="1"/>
      </rPr>
      <t>ih</t>
    </r>
  </si>
  <si>
    <t>Rejected as superseded by a later paper from same group (FB)</t>
  </si>
  <si>
    <t>Zh2</t>
  </si>
  <si>
    <t>Converted to 25 C</t>
  </si>
  <si>
    <t>CD3</t>
  </si>
  <si>
    <t>Rejected as no information on reference or method, appeared the same as Fischer</t>
  </si>
  <si>
    <t>GC-RT (Fisc)</t>
  </si>
  <si>
    <t>Fisc = Fischer, R. C.; Wittlinger, R.; Ballschmiter, K. Retention-Index Based Vapor Pressure Estimation for Polychlorobiphenyl (PCB) by Gas Chromatography. Fresenius. J. Anal. Chem. 1992, 342 (4–5), 421–425.</t>
  </si>
  <si>
    <t>ir</t>
  </si>
  <si>
    <t>Fisc</t>
  </si>
  <si>
    <t>Average of two stationary phases</t>
  </si>
  <si>
    <r>
      <t>GC-RT (Fisc)</t>
    </r>
    <r>
      <rPr>
        <vertAlign val="superscript"/>
        <sz val="11"/>
        <color theme="1"/>
        <rFont val="Times New Roman"/>
        <family val="1"/>
      </rPr>
      <t>ir</t>
    </r>
  </si>
  <si>
    <t>298 FAV (Be)</t>
  </si>
  <si>
    <t>GC-RT (FB, Ac)</t>
  </si>
  <si>
    <t>Rap = Rapaport, R. A.; Eisenreich, S. J. Chromatographic Determination of Octanol-Water Partition Coefficients (Kow’s) for 58 Polychlorinated Biphenyl Congeners. Environ. Sci. Technol. 1984, 18 (3), 163–170.</t>
  </si>
  <si>
    <t>HPLC (Rap)</t>
  </si>
  <si>
    <t>DKL = De Kock, A.; Lord, D. A. A Simple Procedure for Determining Octanol-Water Patition Coefficients Using Reverse Phase High Performance Liquid Chromatography (RPHPLC). Chemosphere 1987, 16 (1), 133–142.</t>
  </si>
  <si>
    <t>it</t>
  </si>
  <si>
    <t>Brun = Brunner, S.; Hornung, E.; Santl, H.; Wolff, E.; Piringer, O. G.; Altschuh, J.; Brüggemann, R. Henry’s Law Constants for Polychlorinated Biphenyls: Experimental–Determination and Structure–Property Relationships. Environ. Sci. Technol. 1990, 24 (11), 1751–1754.</t>
  </si>
  <si>
    <t>Bam</t>
  </si>
  <si>
    <t>Kaw</t>
  </si>
  <si>
    <t>iu</t>
  </si>
  <si>
    <t>iv</t>
  </si>
  <si>
    <t>GS (BAM)</t>
  </si>
  <si>
    <t>iw</t>
  </si>
  <si>
    <t>ix</t>
  </si>
  <si>
    <t>HLC, Pa m³ mol-1. Rejected as outside of acceptable temperature correction range.</t>
  </si>
  <si>
    <t>Gen. Column (Brun)</t>
  </si>
  <si>
    <r>
      <t>HPLC (Bro)</t>
    </r>
    <r>
      <rPr>
        <vertAlign val="superscript"/>
        <sz val="11"/>
        <color theme="1"/>
        <rFont val="Times New Roman"/>
        <family val="1"/>
      </rPr>
      <t>iw</t>
    </r>
  </si>
  <si>
    <t>Mur = Murphy, T. J.; Meyer, J. A.; Mullin, M. D. Equilibration of Polychlorinated Biphenyls and Toxaphene with Air and Water. Environ. Sci. Technol. 1987, 21 (2), 155–162.</t>
  </si>
  <si>
    <t>Original reference: Tateya, S., Tanabe, S., Tatsukawa, R. (1988) PCBs on the globe: possible trend of future levels in the open ocean environment. In: Toxic Contaminant in Large Lakes. Vol. II. Sources, Fate and Controls of Toxic Contaminants. Schmidtke, N.W., Ed., pp. 237–281, Lewis Publishers Ltd., Chelsea, MI</t>
  </si>
  <si>
    <t>iy</t>
  </si>
  <si>
    <r>
      <t>GC-RT (Fisc)</t>
    </r>
    <r>
      <rPr>
        <vertAlign val="superscript"/>
        <sz val="11"/>
        <color theme="1"/>
        <rFont val="Calibri"/>
        <family val="2"/>
        <scheme val="minor"/>
      </rPr>
      <t>iy</t>
    </r>
  </si>
  <si>
    <t>iz</t>
  </si>
  <si>
    <t>ja</t>
  </si>
  <si>
    <r>
      <t>HPLC (Bro)</t>
    </r>
    <r>
      <rPr>
        <vertAlign val="superscript"/>
        <sz val="11"/>
        <color theme="1"/>
        <rFont val="Times New Roman"/>
        <family val="1"/>
      </rPr>
      <t>ja</t>
    </r>
  </si>
  <si>
    <t>jb</t>
  </si>
  <si>
    <t>jc</t>
  </si>
  <si>
    <t>Converted to subcooloed liquid</t>
  </si>
  <si>
    <r>
      <t>HPLC (Bro)</t>
    </r>
    <r>
      <rPr>
        <vertAlign val="superscript"/>
        <sz val="11"/>
        <color theme="1"/>
        <rFont val="Times New Roman"/>
        <family val="1"/>
      </rPr>
      <t>jb</t>
    </r>
  </si>
  <si>
    <t>Nil = Nilsson, M.; Goa, J.; Colldahl, H.; Sillén, L. G.; Zaar, B.; Diczfalusy, E. Synthesis of Compounds Related to Muscarufin. III. The Ullmann Reaction with o-Chloro-Iodobenzene. Acta Chem. Scand. 1958, 12, 537–546.</t>
  </si>
  <si>
    <t>MPA (Nil)</t>
  </si>
  <si>
    <t>jd</t>
  </si>
  <si>
    <t>Average of stationary phases converted to subcooloed liquid</t>
  </si>
  <si>
    <r>
      <t>HPLC (Bro)</t>
    </r>
    <r>
      <rPr>
        <vertAlign val="superscript"/>
        <sz val="11"/>
        <color theme="1"/>
        <rFont val="Times New Roman"/>
        <family val="1"/>
      </rPr>
      <t>jd</t>
    </r>
  </si>
  <si>
    <t>Average of stationary phases</t>
  </si>
  <si>
    <t>je</t>
  </si>
  <si>
    <t>DE</t>
  </si>
  <si>
    <t>SF (Bru)</t>
  </si>
  <si>
    <t>jf</t>
  </si>
  <si>
    <r>
      <t>HPLC (Bro)</t>
    </r>
    <r>
      <rPr>
        <vertAlign val="superscript"/>
        <sz val="11"/>
        <color theme="1"/>
        <rFont val="Times New Roman"/>
        <family val="1"/>
      </rPr>
      <t>jf</t>
    </r>
  </si>
  <si>
    <t>jk</t>
  </si>
  <si>
    <r>
      <t>GC-k' (Zh2)</t>
    </r>
    <r>
      <rPr>
        <vertAlign val="superscript"/>
        <sz val="11"/>
        <color theme="1"/>
        <rFont val="Times New Roman"/>
        <family val="1"/>
      </rPr>
      <t>jk</t>
    </r>
  </si>
  <si>
    <t>jl</t>
  </si>
  <si>
    <r>
      <t>HPLC (Bro)</t>
    </r>
    <r>
      <rPr>
        <vertAlign val="superscript"/>
        <sz val="11"/>
        <color theme="1"/>
        <rFont val="Times New Roman"/>
        <family val="1"/>
      </rPr>
      <t>jl</t>
    </r>
  </si>
  <si>
    <t>jm</t>
  </si>
  <si>
    <t>jn</t>
  </si>
  <si>
    <r>
      <t>HPLC (Bro)</t>
    </r>
    <r>
      <rPr>
        <vertAlign val="superscript"/>
        <sz val="11"/>
        <color theme="1"/>
        <rFont val="Times New Roman"/>
        <family val="1"/>
      </rPr>
      <t>jm</t>
    </r>
  </si>
  <si>
    <r>
      <t>SS (Mur)</t>
    </r>
    <r>
      <rPr>
        <vertAlign val="superscript"/>
        <sz val="11"/>
        <color theme="1"/>
        <rFont val="Times New Roman"/>
        <family val="1"/>
      </rPr>
      <t>jn</t>
    </r>
  </si>
  <si>
    <t>Average of different stationary phases in (Ris)</t>
  </si>
  <si>
    <t>Ris</t>
  </si>
  <si>
    <t>Ris = Risby, T. H.; Hsu, T. B.; Sehnert, S. S.; Bhan, P. Physicochemical Parameters of Individual Hexachlorobiphenyl Congeners. Environ. Sci. Technol. 1990, 24 (11), 1680–1687.</t>
  </si>
  <si>
    <t>jo</t>
  </si>
  <si>
    <t>jp</t>
  </si>
  <si>
    <r>
      <t>GC-RT (Mur)</t>
    </r>
    <r>
      <rPr>
        <vertAlign val="superscript"/>
        <sz val="11"/>
        <color rgb="FF000000"/>
        <rFont val="Times New Roman"/>
        <family val="1"/>
      </rPr>
      <t>jo</t>
    </r>
  </si>
  <si>
    <r>
      <t>HPLC (Ris)</t>
    </r>
    <r>
      <rPr>
        <vertAlign val="superscript"/>
        <sz val="11"/>
        <color theme="1"/>
        <rFont val="Times New Roman"/>
        <family val="1"/>
      </rPr>
      <t>jp</t>
    </r>
  </si>
  <si>
    <t>jq</t>
  </si>
  <si>
    <r>
      <t>GC-k' (Zh2)</t>
    </r>
    <r>
      <rPr>
        <vertAlign val="superscript"/>
        <sz val="11"/>
        <color theme="1"/>
        <rFont val="Times New Roman"/>
        <family val="1"/>
      </rPr>
      <t>jq</t>
    </r>
  </si>
  <si>
    <t>jr</t>
  </si>
  <si>
    <t>js</t>
  </si>
  <si>
    <r>
      <t>GC-k' (Zh2)</t>
    </r>
    <r>
      <rPr>
        <vertAlign val="superscript"/>
        <sz val="11"/>
        <color theme="1"/>
        <rFont val="Times New Roman"/>
        <family val="1"/>
      </rPr>
      <t>js</t>
    </r>
  </si>
  <si>
    <t>jt</t>
  </si>
  <si>
    <t>ju</t>
  </si>
  <si>
    <r>
      <t>HPLC (Bro)</t>
    </r>
    <r>
      <rPr>
        <vertAlign val="superscript"/>
        <sz val="11"/>
        <color theme="1"/>
        <rFont val="Times New Roman"/>
        <family val="1"/>
      </rPr>
      <t>ju</t>
    </r>
  </si>
  <si>
    <r>
      <t>SS (Mur)</t>
    </r>
    <r>
      <rPr>
        <vertAlign val="superscript"/>
        <sz val="11"/>
        <color theme="1"/>
        <rFont val="Times New Roman"/>
        <family val="1"/>
      </rPr>
      <t>jt</t>
    </r>
  </si>
  <si>
    <t>Gen. Col (Lar)</t>
  </si>
  <si>
    <t>SD &lt;0 Errors?</t>
  </si>
  <si>
    <t>RMSE</t>
  </si>
  <si>
    <t>RMSEN</t>
  </si>
  <si>
    <t>MUSK</t>
  </si>
  <si>
    <t>I</t>
  </si>
  <si>
    <t>323−368 GS (Yui)</t>
  </si>
  <si>
    <t>L</t>
  </si>
  <si>
    <t>U</t>
  </si>
  <si>
    <t>ppLFER (Mintz, 2008)</t>
  </si>
  <si>
    <t>ppLFER</t>
  </si>
  <si>
    <t>S</t>
  </si>
  <si>
    <t>V</t>
  </si>
  <si>
    <t>Opp = Opperhuizen, A.; Gobas, F. A. P. C.; Van der Steen, J. M. D.; Hutzlnger, O. Aqueous Solubility of Polychlorinated Biphenyls Related to Molecular Structure. Environ. Sci. Technol. 1988, 22 (6), 638–646.</t>
  </si>
  <si>
    <t>Lar = Larsen, B.; Skejo-Andreasen, H.; Paya-Perez, A. Octanol-Water Partition Coefficients of 39 Polychlorinated Biphenyls in an Askarel Mixture. Fresenius Environ. Bull. 1992, 1 (Suppl.) (January), S13–S18.</t>
  </si>
  <si>
    <t>Lei2 = Lei, Y. D.; Wania, F.; Shiu, W. Y.; Boocock, D. G. B. HPLC-Based Method for Estimating the Temperature Dependence of n-Octanol-Water Partition Coefficients. J. Chem. Eng. Data 2000, 45 (5), 738–742.</t>
  </si>
  <si>
    <t>HPLC (Lei2)</t>
  </si>
  <si>
    <t>2,2',4,4',5-Penta</t>
  </si>
  <si>
    <t>2,2',4,4',6-penta</t>
  </si>
  <si>
    <t>2,3',4',6-Tetra</t>
  </si>
  <si>
    <t>2,3',4,4'-tetra</t>
  </si>
  <si>
    <t>2,2',4,4'-Tetra</t>
  </si>
  <si>
    <t>dUo</t>
  </si>
  <si>
    <t xml:space="preserve">Ma = Ma, Y-G.; Le,i YD.;Xiao, H, Wania, F.; Wang, W-H. Critical Review and Recommended Values for the Physical-Chemical Property Data of 15 Polycyclic Aromatic Hydrocarbons at 25 °C. J Chem Eng Data [Internet]. 2010, 55(2), 819–25. </t>
  </si>
  <si>
    <r>
      <t>278-293 HPLC (Pa)</t>
    </r>
    <r>
      <rPr>
        <vertAlign val="superscript"/>
        <sz val="11"/>
        <color theme="1"/>
        <rFont val="Times New Roman"/>
        <family val="1"/>
      </rPr>
      <t>ej</t>
    </r>
  </si>
  <si>
    <r>
      <t>278-293 HPLC (Pa)</t>
    </r>
    <r>
      <rPr>
        <vertAlign val="superscript"/>
        <sz val="11"/>
        <color theme="1"/>
        <rFont val="Times New Roman"/>
        <family val="1"/>
      </rPr>
      <t>eg</t>
    </r>
  </si>
  <si>
    <r>
      <t>278-293 HPLC (Pa)</t>
    </r>
    <r>
      <rPr>
        <vertAlign val="superscript"/>
        <sz val="11"/>
        <color theme="1"/>
        <rFont val="Times New Roman"/>
        <family val="1"/>
      </rPr>
      <t>ef</t>
    </r>
  </si>
  <si>
    <r>
      <t>278-293 HPLC (Pa)</t>
    </r>
    <r>
      <rPr>
        <vertAlign val="superscript"/>
        <sz val="11"/>
        <color theme="1"/>
        <rFont val="Times New Roman"/>
        <family val="1"/>
      </rPr>
      <t>ei</t>
    </r>
  </si>
  <si>
    <r>
      <t>278-293 HPLC (Pa)</t>
    </r>
    <r>
      <rPr>
        <vertAlign val="superscript"/>
        <sz val="11"/>
        <color theme="1"/>
        <rFont val="Times New Roman"/>
        <family val="1"/>
      </rPr>
      <t>el</t>
    </r>
  </si>
  <si>
    <r>
      <t>278-293 HPLC (Pa)</t>
    </r>
    <r>
      <rPr>
        <vertAlign val="superscript"/>
        <sz val="11"/>
        <color theme="1"/>
        <rFont val="Times New Roman"/>
        <family val="1"/>
      </rPr>
      <t>eh</t>
    </r>
  </si>
  <si>
    <r>
      <t>278-293 HPLC (Pa)</t>
    </r>
    <r>
      <rPr>
        <vertAlign val="superscript"/>
        <sz val="11"/>
        <color theme="1"/>
        <rFont val="Times New Roman"/>
        <family val="1"/>
      </rPr>
      <t>ee</t>
    </r>
  </si>
  <si>
    <r>
      <t>278-293 HPLC (Pa)</t>
    </r>
    <r>
      <rPr>
        <vertAlign val="superscript"/>
        <sz val="11"/>
        <color theme="1"/>
        <rFont val="Times New Roman"/>
        <family val="1"/>
      </rPr>
      <t>ek</t>
    </r>
  </si>
  <si>
    <t>A</t>
  </si>
  <si>
    <t>B</t>
  </si>
  <si>
    <t>Bo</t>
  </si>
  <si>
    <t>E</t>
  </si>
  <si>
    <t>dUoa</t>
  </si>
  <si>
    <t>MS</t>
  </si>
  <si>
    <t>F</t>
  </si>
  <si>
    <r>
      <t>Gen. Col (Ec19)</t>
    </r>
    <r>
      <rPr>
        <vertAlign val="superscript"/>
        <sz val="11"/>
        <color theme="1"/>
        <rFont val="Times New Roman"/>
        <family val="1"/>
      </rPr>
      <t>bm</t>
    </r>
  </si>
  <si>
    <t>R</t>
  </si>
  <si>
    <t>O</t>
  </si>
  <si>
    <t>RSD_Inf</t>
  </si>
  <si>
    <t>RSD_Con</t>
  </si>
  <si>
    <t>RSD_dHvap</t>
  </si>
  <si>
    <t>RSD_dHw</t>
  </si>
  <si>
    <t>Average of all dHvap SDs, n = 37</t>
  </si>
  <si>
    <t>RSD_dUoa</t>
  </si>
  <si>
    <t>Average of all dUoa RSDs, n = 19</t>
  </si>
  <si>
    <t>RSD_Unr</t>
  </si>
  <si>
    <t>RSD_dUaw</t>
  </si>
  <si>
    <t>No lit SDs, used default value</t>
  </si>
  <si>
    <t>RSD_dUow</t>
  </si>
  <si>
    <t>RSD_Koa</t>
  </si>
  <si>
    <t>RSD_Kow</t>
  </si>
  <si>
    <t>Average of lit SDs, n = 25</t>
  </si>
  <si>
    <t>RSD_Kaw</t>
  </si>
  <si>
    <t>Average of lit SDs, n = 48</t>
  </si>
  <si>
    <t>RSD_PL</t>
  </si>
  <si>
    <t>Average of lit SDs, n = 22</t>
  </si>
  <si>
    <t>RSD_SW</t>
  </si>
  <si>
    <t>RSD_SO</t>
  </si>
  <si>
    <t>RSD_dSf</t>
  </si>
  <si>
    <t>Average of lit SDs, n = 5</t>
  </si>
  <si>
    <t>RSD_Tm</t>
  </si>
  <si>
    <t>Average of lit SDs, n = 37</t>
  </si>
  <si>
    <t>Average of lit SDs 0.033, n = 30</t>
  </si>
  <si>
    <t>EPI Suite</t>
  </si>
  <si>
    <t>OPERA</t>
  </si>
  <si>
    <t>EPI Suite (WATERNT)</t>
  </si>
  <si>
    <t>EPI Suite (WSKOWWIN)</t>
  </si>
  <si>
    <r>
      <t>383-413 GC-RT (Ok)</t>
    </r>
    <r>
      <rPr>
        <i/>
        <vertAlign val="superscript"/>
        <sz val="10"/>
        <color rgb="FF000000"/>
        <rFont val="Times New Roman"/>
        <family val="1"/>
      </rPr>
      <t>hs</t>
    </r>
  </si>
  <si>
    <t>Combined</t>
  </si>
  <si>
    <r>
      <t>∆</t>
    </r>
    <r>
      <rPr>
        <b/>
        <vertAlign val="subscript"/>
        <sz val="11"/>
        <color rgb="FF000000"/>
        <rFont val="Times New Roman"/>
        <family val="1"/>
      </rPr>
      <t>VAP</t>
    </r>
    <r>
      <rPr>
        <b/>
        <sz val="11"/>
        <color rgb="FF000000"/>
        <rFont val="Times New Roman"/>
        <family val="1"/>
      </rPr>
      <t>H/kJ·mol-1</t>
    </r>
  </si>
  <si>
    <r>
      <rPr>
        <b/>
        <sz val="11"/>
        <color rgb="FF000000"/>
        <rFont val="Calibri"/>
        <family val="2"/>
      </rPr>
      <t>σ</t>
    </r>
    <r>
      <rPr>
        <b/>
        <sz val="11"/>
        <color rgb="FF000000"/>
        <rFont val="Times New Roman"/>
        <family val="1"/>
      </rPr>
      <t>∆</t>
    </r>
    <r>
      <rPr>
        <b/>
        <vertAlign val="subscript"/>
        <sz val="11"/>
        <color rgb="FF000000"/>
        <rFont val="Times New Roman"/>
        <family val="1"/>
      </rPr>
      <t>VAP</t>
    </r>
    <r>
      <rPr>
        <b/>
        <sz val="11"/>
        <color rgb="FF000000"/>
        <rFont val="Times New Roman"/>
        <family val="1"/>
      </rPr>
      <t>H/kJ·mol-1</t>
    </r>
  </si>
  <si>
    <r>
      <t>∆</t>
    </r>
    <r>
      <rPr>
        <b/>
        <vertAlign val="subscript"/>
        <sz val="11"/>
        <color rgb="FF000000"/>
        <rFont val="Times New Roman"/>
        <family val="1"/>
      </rPr>
      <t>W</t>
    </r>
    <r>
      <rPr>
        <b/>
        <sz val="11"/>
        <color rgb="FF000000"/>
        <rFont val="Times New Roman"/>
        <family val="1"/>
      </rPr>
      <t>U/kJ·mol</t>
    </r>
    <r>
      <rPr>
        <b/>
        <vertAlign val="superscript"/>
        <sz val="11"/>
        <color rgb="FF000000"/>
        <rFont val="Times New Roman"/>
        <family val="1"/>
      </rPr>
      <t>-1</t>
    </r>
  </si>
  <si>
    <t>Method</t>
  </si>
  <si>
    <r>
      <rPr>
        <b/>
        <sz val="11"/>
        <color rgb="FF000000"/>
        <rFont val="Calibri"/>
        <family val="2"/>
      </rPr>
      <t>σ</t>
    </r>
    <r>
      <rPr>
        <b/>
        <sz val="11"/>
        <color rgb="FF000000"/>
        <rFont val="Times New Roman"/>
        <family val="1"/>
      </rPr>
      <t>∆</t>
    </r>
    <r>
      <rPr>
        <b/>
        <vertAlign val="subscript"/>
        <sz val="11"/>
        <color rgb="FF000000"/>
        <rFont val="Times New Roman"/>
        <family val="1"/>
      </rPr>
      <t>W</t>
    </r>
    <r>
      <rPr>
        <b/>
        <sz val="11"/>
        <color rgb="FF000000"/>
        <rFont val="Times New Roman"/>
        <family val="1"/>
      </rPr>
      <t>U/kJ·mol</t>
    </r>
    <r>
      <rPr>
        <b/>
        <vertAlign val="superscript"/>
        <sz val="11"/>
        <color rgb="FF000000"/>
        <rFont val="Times New Roman"/>
        <family val="1"/>
      </rPr>
      <t>-1</t>
    </r>
  </si>
  <si>
    <r>
      <t>∆</t>
    </r>
    <r>
      <rPr>
        <b/>
        <vertAlign val="subscript"/>
        <sz val="10"/>
        <color rgb="FF000000"/>
        <rFont val="Times New Roman"/>
        <family val="1"/>
      </rPr>
      <t>OA</t>
    </r>
    <r>
      <rPr>
        <b/>
        <sz val="10"/>
        <color rgb="FF000000"/>
        <rFont val="Times New Roman"/>
        <family val="1"/>
      </rPr>
      <t>U/kJ·mol</t>
    </r>
    <r>
      <rPr>
        <b/>
        <vertAlign val="superscript"/>
        <sz val="10"/>
        <color rgb="FF000000"/>
        <rFont val="Times New Roman"/>
        <family val="1"/>
      </rPr>
      <t xml:space="preserve">-1 </t>
    </r>
  </si>
  <si>
    <r>
      <t>σ∆</t>
    </r>
    <r>
      <rPr>
        <b/>
        <vertAlign val="subscript"/>
        <sz val="10"/>
        <color rgb="FF000000"/>
        <rFont val="Times New Roman"/>
        <family val="1"/>
      </rPr>
      <t>OA</t>
    </r>
    <r>
      <rPr>
        <b/>
        <sz val="10"/>
        <color rgb="FF000000"/>
        <rFont val="Times New Roman"/>
        <family val="1"/>
      </rPr>
      <t>U/kJ·mol</t>
    </r>
    <r>
      <rPr>
        <b/>
        <vertAlign val="superscript"/>
        <sz val="10"/>
        <color rgb="FF000000"/>
        <rFont val="Times New Roman"/>
        <family val="1"/>
      </rPr>
      <t xml:space="preserve">-1 </t>
    </r>
  </si>
  <si>
    <r>
      <t>∆</t>
    </r>
    <r>
      <rPr>
        <b/>
        <vertAlign val="subscript"/>
        <sz val="10"/>
        <color rgb="FF000000"/>
        <rFont val="Times New Roman"/>
        <family val="1"/>
      </rPr>
      <t>AW</t>
    </r>
    <r>
      <rPr>
        <b/>
        <sz val="10"/>
        <color rgb="FF000000"/>
        <rFont val="Times New Roman"/>
        <family val="1"/>
      </rPr>
      <t xml:space="preserve">U/kJ·mol-1 </t>
    </r>
  </si>
  <si>
    <r>
      <rPr>
        <b/>
        <sz val="10"/>
        <color rgb="FF000000"/>
        <rFont val="Calibri"/>
        <family val="2"/>
      </rPr>
      <t>σ</t>
    </r>
    <r>
      <rPr>
        <b/>
        <sz val="10"/>
        <color rgb="FF000000"/>
        <rFont val="Times New Roman"/>
        <family val="1"/>
      </rPr>
      <t>∆</t>
    </r>
    <r>
      <rPr>
        <b/>
        <vertAlign val="subscript"/>
        <sz val="10"/>
        <color rgb="FF000000"/>
        <rFont val="Times New Roman"/>
        <family val="1"/>
      </rPr>
      <t>AW</t>
    </r>
    <r>
      <rPr>
        <b/>
        <sz val="10"/>
        <color rgb="FF000000"/>
        <rFont val="Times New Roman"/>
        <family val="1"/>
      </rPr>
      <t xml:space="preserve">U/kJ·mol-1 </t>
    </r>
  </si>
  <si>
    <r>
      <t>σ∆</t>
    </r>
    <r>
      <rPr>
        <b/>
        <vertAlign val="subscript"/>
        <sz val="10"/>
        <color rgb="FF000000"/>
        <rFont val="Times New Roman"/>
        <family val="1"/>
      </rPr>
      <t>OW</t>
    </r>
    <r>
      <rPr>
        <b/>
        <sz val="10"/>
        <color rgb="FF000000"/>
        <rFont val="Times New Roman"/>
        <family val="1"/>
      </rPr>
      <t xml:space="preserve">U/kJ·mol-1 </t>
    </r>
  </si>
  <si>
    <r>
      <t>∆</t>
    </r>
    <r>
      <rPr>
        <b/>
        <vertAlign val="subscript"/>
        <sz val="10"/>
        <color rgb="FF000000"/>
        <rFont val="Times New Roman"/>
        <family val="1"/>
      </rPr>
      <t>OW</t>
    </r>
    <r>
      <rPr>
        <b/>
        <sz val="10"/>
        <color rgb="FF000000"/>
        <rFont val="Times New Roman"/>
        <family val="1"/>
      </rPr>
      <t xml:space="preserve">U/kJ·mol-1 </t>
    </r>
  </si>
  <si>
    <t>Column1</t>
  </si>
  <si>
    <t>Column2</t>
  </si>
  <si>
    <t>Column3</t>
  </si>
  <si>
    <t>Column4</t>
  </si>
  <si>
    <t>Column5</t>
  </si>
  <si>
    <t>Column6</t>
  </si>
  <si>
    <t>Column7</t>
  </si>
  <si>
    <t>Column8</t>
  </si>
  <si>
    <t>Column9</t>
  </si>
  <si>
    <t>Column10</t>
  </si>
  <si>
    <t>Column11</t>
  </si>
  <si>
    <t>Column12</t>
  </si>
  <si>
    <t>Column13</t>
  </si>
  <si>
    <t>Column14</t>
  </si>
  <si>
    <r>
      <t>∆</t>
    </r>
    <r>
      <rPr>
        <b/>
        <vertAlign val="subscript"/>
        <sz val="11"/>
        <color rgb="FF000000"/>
        <rFont val="Times New Roman"/>
        <family val="1"/>
      </rPr>
      <t>O</t>
    </r>
    <r>
      <rPr>
        <b/>
        <sz val="11"/>
        <color rgb="FF000000"/>
        <rFont val="Times New Roman"/>
        <family val="1"/>
      </rPr>
      <t>U/kJ·mol</t>
    </r>
    <r>
      <rPr>
        <b/>
        <vertAlign val="superscript"/>
        <sz val="11"/>
        <color rgb="FF000000"/>
        <rFont val="Times New Roman"/>
        <family val="1"/>
      </rPr>
      <t>-1</t>
    </r>
  </si>
  <si>
    <r>
      <rPr>
        <b/>
        <sz val="11"/>
        <color rgb="FF000000"/>
        <rFont val="Calibri"/>
        <family val="2"/>
      </rPr>
      <t>σ</t>
    </r>
    <r>
      <rPr>
        <b/>
        <sz val="11"/>
        <color rgb="FF000000"/>
        <rFont val="Times New Roman"/>
        <family val="1"/>
      </rPr>
      <t>∆</t>
    </r>
    <r>
      <rPr>
        <b/>
        <vertAlign val="subscript"/>
        <sz val="11"/>
        <color rgb="FF000000"/>
        <rFont val="Times New Roman"/>
        <family val="1"/>
      </rPr>
      <t>O</t>
    </r>
    <r>
      <rPr>
        <b/>
        <sz val="11"/>
        <color rgb="FF000000"/>
        <rFont val="Times New Roman"/>
        <family val="1"/>
      </rPr>
      <t>U/kJ·mol</t>
    </r>
    <r>
      <rPr>
        <b/>
        <vertAlign val="superscript"/>
        <sz val="11"/>
        <color rgb="FF000000"/>
        <rFont val="Times New Roman"/>
        <family val="1"/>
      </rPr>
      <t>-1</t>
    </r>
  </si>
  <si>
    <t>∆UOA+∆UA</t>
  </si>
  <si>
    <t>∆UOW+∆UW</t>
  </si>
  <si>
    <t>Fugacity Ratio Conversions</t>
  </si>
  <si>
    <t>Ji (VPs). Converted to subcooled</t>
  </si>
  <si>
    <t>S1 or K1</t>
  </si>
  <si>
    <t>S2 or K2</t>
  </si>
  <si>
    <t>Ec8. Converted to subcooled</t>
  </si>
  <si>
    <t>He (VP)</t>
  </si>
  <si>
    <t>Ec9 (VP)</t>
  </si>
  <si>
    <t>Reported VP was 0.001Pa at 20 and 40°C, so used that value rather than temperature-correcting with enthalpy</t>
  </si>
  <si>
    <t>f</t>
  </si>
  <si>
    <t>Ec7</t>
  </si>
  <si>
    <t>g</t>
  </si>
  <si>
    <t>Sm, log(p) = 3.18mmHg. Excluded as outside of optimal temperature correction range</t>
  </si>
  <si>
    <r>
      <t>E (Sm)</t>
    </r>
    <r>
      <rPr>
        <i/>
        <vertAlign val="superscript"/>
        <sz val="11"/>
        <color rgb="FF000000"/>
        <rFont val="Times New Roman"/>
        <family val="1"/>
      </rPr>
      <t>g</t>
    </r>
  </si>
  <si>
    <t>h</t>
  </si>
  <si>
    <t>i</t>
  </si>
  <si>
    <t>j</t>
  </si>
  <si>
    <t>Adjusted from T = 293 to 298 by Ok. Rejected as not measured value</t>
  </si>
  <si>
    <t>Ec2</t>
  </si>
  <si>
    <t>Ec6</t>
  </si>
  <si>
    <t>Sp (VP)</t>
  </si>
  <si>
    <t>Sp</t>
  </si>
  <si>
    <t>dU (J)</t>
  </si>
  <si>
    <t>Rejected as column may not have been saturated, column prepared with p,p'DDE containing o,p' as impurity</t>
  </si>
  <si>
    <t>Ec14 (VP)</t>
  </si>
  <si>
    <t>Ec14 (Sw)</t>
  </si>
  <si>
    <t>RAV Column References</t>
  </si>
  <si>
    <t>SW</t>
  </si>
  <si>
    <t>Ec4 (Sw). Converted to subcooled liquid</t>
  </si>
  <si>
    <t>dH</t>
  </si>
  <si>
    <t>dHvap &amp; PL</t>
  </si>
  <si>
    <t>Koa; dUoa; PL, dHvap</t>
  </si>
  <si>
    <t>Ec8 (Sw). Converted from solid to subcooled liquid</t>
  </si>
  <si>
    <t>Ec8 (Kow)</t>
  </si>
  <si>
    <t>Ec1 (Sw)</t>
  </si>
  <si>
    <t>Ec1 (Kow)</t>
  </si>
  <si>
    <t>Ec9 (Sw). Converted from solid to subcooled liquid</t>
  </si>
  <si>
    <t>Ec9 (Kow)</t>
  </si>
  <si>
    <t>Ec5 (Sw)</t>
  </si>
  <si>
    <t>Ec5 (Kow)</t>
  </si>
  <si>
    <t>Ec7 (Sw)</t>
  </si>
  <si>
    <t>Ec7 (Kow)</t>
  </si>
  <si>
    <t>Outside of ideal range for conversion, but included with an "unreliable" RSD as the only measured value (other than Pa rejected value)</t>
  </si>
  <si>
    <t>CD5</t>
  </si>
  <si>
    <t>We1</t>
  </si>
  <si>
    <t>We2</t>
  </si>
  <si>
    <t>Ch</t>
  </si>
  <si>
    <t>Ch (Sw)</t>
  </si>
  <si>
    <t>SW-a</t>
  </si>
  <si>
    <t>Fi</t>
  </si>
  <si>
    <t>We1 (VP)</t>
  </si>
  <si>
    <t>Ri</t>
  </si>
  <si>
    <t>At</t>
  </si>
  <si>
    <t>Ec18 (Sw)</t>
  </si>
  <si>
    <t>Ku2, in the presence of other HBCDD isomers. Converted to subcooled liquid state. Excluded due to presence of other isomers</t>
  </si>
  <si>
    <t>EC19 (Sw), converted to subcooled liquid. Included despite the possible presence of other isomers (not clear from source)</t>
  </si>
  <si>
    <t>Ec18</t>
  </si>
  <si>
    <t xml:space="preserve">RAR1 </t>
  </si>
  <si>
    <t>RAR2 (Sw). EC11 had same value of 1080 mg/L but at 25°c, used RAR T as it had more info on study.</t>
  </si>
  <si>
    <t>EC11</t>
  </si>
  <si>
    <t>El</t>
  </si>
  <si>
    <t>How</t>
  </si>
  <si>
    <t xml:space="preserve"> Reference provided was a JACC report on TBOEP, value is from a safety data sheet HOECHST 1987, no information on methods given</t>
  </si>
  <si>
    <t>EC12</t>
  </si>
  <si>
    <t>EC13 Selected value</t>
  </si>
  <si>
    <t>EC13 (Sw)</t>
  </si>
  <si>
    <t>Ec3</t>
  </si>
  <si>
    <t xml:space="preserve"> Converted from solid to subcooled liquid</t>
  </si>
  <si>
    <t>Converted from solid to subcooled liquid</t>
  </si>
  <si>
    <t>EC2</t>
  </si>
  <si>
    <t>Fe</t>
  </si>
  <si>
    <t>La</t>
  </si>
  <si>
    <r>
      <t>KE (La)</t>
    </r>
    <r>
      <rPr>
        <vertAlign val="superscript"/>
        <sz val="11"/>
        <color rgb="FF000000"/>
        <rFont val="Times New Roman"/>
        <family val="1"/>
      </rPr>
      <t>cp</t>
    </r>
  </si>
  <si>
    <t>Converted from dHsub to dHvap. Using dvap = dsub - dfus. Used value n kJ/mol</t>
  </si>
  <si>
    <t>See regression, calculated from reported values from a single study.</t>
  </si>
  <si>
    <t>EC22</t>
  </si>
  <si>
    <t>Paw</t>
  </si>
  <si>
    <t>EC23</t>
  </si>
  <si>
    <t>EC24</t>
  </si>
  <si>
    <t>Reported as &lt;1e-5, used as only value with an unreliable RSD</t>
  </si>
  <si>
    <t>Converted from solid to subcooled liquid. No temperature given, assumed 23°C. Rejected as inconsistent with other values</t>
  </si>
  <si>
    <t xml:space="preserve">Pa from provided equation dUow/R = B*ln(10) </t>
  </si>
  <si>
    <t>EC16</t>
  </si>
  <si>
    <t>CD19</t>
  </si>
  <si>
    <t>Law</t>
  </si>
  <si>
    <t>Br-a EpS</t>
  </si>
  <si>
    <t>EC18</t>
  </si>
  <si>
    <t>Rejected as could not find the original quoted source, no information on method or temperature. May be the same value as from Sa</t>
  </si>
  <si>
    <t>Mu1 (quoted)</t>
  </si>
  <si>
    <t>Ec11</t>
  </si>
  <si>
    <r>
      <t>(RAR2, Ec11)</t>
    </r>
    <r>
      <rPr>
        <i/>
        <vertAlign val="superscript"/>
        <sz val="11"/>
        <color rgb="FF000000"/>
        <rFont val="Times New Roman"/>
        <family val="1"/>
      </rPr>
      <t>fq</t>
    </r>
  </si>
  <si>
    <t>Rejected as only gave upper bound.</t>
  </si>
  <si>
    <t>RAR2</t>
  </si>
  <si>
    <r>
      <t>BS 4633 (Ec20)</t>
    </r>
    <r>
      <rPr>
        <i/>
        <vertAlign val="superscript"/>
        <sz val="11"/>
        <color rgb="FF000000"/>
        <rFont val="Times New Roman"/>
        <family val="1"/>
      </rPr>
      <t>fs</t>
    </r>
  </si>
  <si>
    <t>Ec20</t>
  </si>
  <si>
    <t>Ec25</t>
  </si>
  <si>
    <r>
      <t>HPLC (Ec20, RAR4)</t>
    </r>
    <r>
      <rPr>
        <vertAlign val="superscript"/>
        <sz val="11"/>
        <color rgb="FF000000"/>
        <rFont val="Times New Roman"/>
        <family val="1"/>
      </rPr>
      <t>ft</t>
    </r>
  </si>
  <si>
    <t>EC20, RAR4</t>
  </si>
  <si>
    <t>EC25</t>
  </si>
  <si>
    <t>Rejected as inconsistent with other results, no experimental details given</t>
  </si>
  <si>
    <t>Rejected as source probably refers to mixed isomers (listed as TCP)</t>
  </si>
  <si>
    <t>&lt;-30</t>
  </si>
  <si>
    <t>MPA (Ad)</t>
  </si>
  <si>
    <t>Ad = Adjibodé, S. M.; Kasséhin, U. C.; Gbaguidi, F. A.; Poupaert, J. H. Synthesis of Icosadeuterio-Benzopinacol (Benzopinacol-D20). J. Med. Chem. Sci. 2020, 3 (1), 35–40.</t>
  </si>
  <si>
    <t>Rejected as inconsistent with other values &amp; could not find original reference, quoted from Scifinder database.</t>
  </si>
  <si>
    <t>Rejected as EC report states that the substance was solid below 25°C, this may be an upper bound rather than a precise measurement</t>
  </si>
  <si>
    <t>Rejected as all three Lau values were from the same set of experiments. Used modified GS method as the number of replicates was much higher than for the other two methods.</t>
  </si>
  <si>
    <t xml:space="preserve">BDE-47, BDE-99, BDE-100 </t>
  </si>
  <si>
    <t>Rejected Okeme values for this compound as inconsistent with other values</t>
  </si>
  <si>
    <r>
      <t>EpS (Wan2)</t>
    </r>
    <r>
      <rPr>
        <i/>
        <vertAlign val="superscript"/>
        <sz val="11"/>
        <color rgb="FF000000"/>
        <rFont val="Times New Roman"/>
        <family val="1"/>
      </rPr>
      <t>gu</t>
    </r>
  </si>
  <si>
    <t>Episuite calculated value</t>
  </si>
  <si>
    <t>Sw and So</t>
  </si>
  <si>
    <t>All BDEs</t>
  </si>
  <si>
    <t>Typo in author's table lists units as mol/L, assumed for consistency with the author's LDVs &amp; FAVs from other sources that they were mol/m³</t>
  </si>
  <si>
    <r>
      <t>(CD39)</t>
    </r>
    <r>
      <rPr>
        <i/>
        <vertAlign val="superscript"/>
        <sz val="11"/>
        <color theme="1"/>
        <rFont val="Times New Roman"/>
        <family val="1"/>
      </rPr>
      <t>gx</t>
    </r>
  </si>
  <si>
    <r>
      <t>(ECCC1)</t>
    </r>
    <r>
      <rPr>
        <i/>
        <vertAlign val="superscript"/>
        <sz val="11"/>
        <color theme="1"/>
        <rFont val="Times New Roman"/>
        <family val="1"/>
      </rPr>
      <t>gy</t>
    </r>
  </si>
  <si>
    <r>
      <t>gen. column (RAR5)</t>
    </r>
    <r>
      <rPr>
        <vertAlign val="superscript"/>
        <sz val="11"/>
        <color theme="1"/>
        <rFont val="Times New Roman"/>
        <family val="1"/>
      </rPr>
      <t>ha</t>
    </r>
  </si>
  <si>
    <r>
      <t xml:space="preserve"> gen. column (Ku3)</t>
    </r>
    <r>
      <rPr>
        <vertAlign val="superscript"/>
        <sz val="11"/>
        <color theme="1"/>
        <rFont val="Times New Roman"/>
        <family val="1"/>
      </rPr>
      <t>hc</t>
    </r>
  </si>
  <si>
    <r>
      <t>exp. (Ti2)</t>
    </r>
    <r>
      <rPr>
        <i/>
        <vertAlign val="superscript"/>
        <sz val="11"/>
        <color theme="1"/>
        <rFont val="Times New Roman"/>
        <family val="1"/>
      </rPr>
      <t>hb</t>
    </r>
  </si>
  <si>
    <t>Rejected superseded by Tittlemeir et al. (2002). Converted to subcooled.</t>
  </si>
  <si>
    <t>hg</t>
  </si>
  <si>
    <r>
      <t>MPA (Ti, Yue, Wan2)</t>
    </r>
    <r>
      <rPr>
        <vertAlign val="superscript"/>
        <sz val="11"/>
        <color theme="1"/>
        <rFont val="Times New Roman"/>
        <family val="1"/>
      </rPr>
      <t>hl</t>
    </r>
  </si>
  <si>
    <r>
      <t>FAV (Sc)</t>
    </r>
    <r>
      <rPr>
        <i/>
        <vertAlign val="superscript"/>
        <sz val="10"/>
        <color rgb="FF000000"/>
        <rFont val="Times New Roman"/>
        <family val="1"/>
      </rPr>
      <t>hr</t>
    </r>
  </si>
  <si>
    <t>ht</t>
  </si>
  <si>
    <t>-5.25,-4.88</t>
  </si>
  <si>
    <r>
      <t>HPLC (Bro)</t>
    </r>
    <r>
      <rPr>
        <vertAlign val="superscript"/>
        <sz val="11"/>
        <color theme="1"/>
        <rFont val="Times New Roman"/>
        <family val="1"/>
      </rPr>
      <t>ij</t>
    </r>
  </si>
  <si>
    <t>Converted to subcooled. Reference is to Wallnöfer, P.R., M. Koniger, M., Hutzinger, O. (1973) Analab Res. Notes 13(3), 14–19, which we could not find</t>
  </si>
  <si>
    <t>Average of values from Bro, each of which had different stationary phases. Converted to subcooled</t>
  </si>
  <si>
    <r>
      <t>HPLC (Bro)</t>
    </r>
    <r>
      <rPr>
        <vertAlign val="superscript"/>
        <sz val="11"/>
        <color theme="1"/>
        <rFont val="Times New Roman"/>
        <family val="1"/>
      </rPr>
      <t>it</t>
    </r>
  </si>
  <si>
    <t>Mac, from provided equation</t>
  </si>
  <si>
    <r>
      <t>GC-RT (Mac)</t>
    </r>
    <r>
      <rPr>
        <vertAlign val="superscript"/>
        <sz val="11"/>
        <color rgb="FF000000"/>
        <rFont val="Times New Roman"/>
        <family val="1"/>
      </rPr>
      <t>ix</t>
    </r>
  </si>
  <si>
    <r>
      <t>HPLC (Bro)</t>
    </r>
    <r>
      <rPr>
        <vertAlign val="superscript"/>
        <sz val="11"/>
        <color theme="1"/>
        <rFont val="Times New Roman"/>
        <family val="1"/>
      </rPr>
      <t>jc</t>
    </r>
  </si>
  <si>
    <r>
      <t>Gen. Column (DE)</t>
    </r>
    <r>
      <rPr>
        <vertAlign val="superscript"/>
        <sz val="11"/>
        <color theme="1"/>
        <rFont val="Times New Roman"/>
        <family val="1"/>
      </rPr>
      <t>je</t>
    </r>
  </si>
  <si>
    <t>jg</t>
  </si>
  <si>
    <t>jh</t>
  </si>
  <si>
    <t>ji</t>
  </si>
  <si>
    <t>jj</t>
  </si>
  <si>
    <t>Mur</t>
  </si>
  <si>
    <r>
      <t>SS (Mur)</t>
    </r>
    <r>
      <rPr>
        <vertAlign val="superscript"/>
        <sz val="11"/>
        <color theme="1"/>
        <rFont val="Times New Roman"/>
        <family val="1"/>
      </rPr>
      <t>jr</t>
    </r>
  </si>
  <si>
    <t xml:space="preserve">Mur. </t>
  </si>
  <si>
    <r>
      <t>GC-RT (Mur)</t>
    </r>
    <r>
      <rPr>
        <i/>
        <vertAlign val="superscript"/>
        <sz val="11"/>
        <color rgb="FF000000"/>
        <rFont val="Times New Roman"/>
        <family val="1"/>
      </rPr>
      <t>jg</t>
    </r>
  </si>
  <si>
    <r>
      <t>GC-RT (Fisc)</t>
    </r>
    <r>
      <rPr>
        <vertAlign val="superscript"/>
        <sz val="11"/>
        <color theme="1"/>
        <rFont val="Times New Roman"/>
        <family val="1"/>
      </rPr>
      <t>jh</t>
    </r>
  </si>
  <si>
    <r>
      <t>GC-k' (Zh2)</t>
    </r>
    <r>
      <rPr>
        <vertAlign val="superscript"/>
        <sz val="11"/>
        <color theme="1"/>
        <rFont val="Times New Roman"/>
        <family val="1"/>
      </rPr>
      <t>ji</t>
    </r>
  </si>
  <si>
    <r>
      <t>Gen. Col. (Ku2)</t>
    </r>
    <r>
      <rPr>
        <vertAlign val="superscript"/>
        <sz val="11"/>
        <color theme="1"/>
        <rFont val="Times New Roman"/>
        <family val="1"/>
      </rPr>
      <t>bp</t>
    </r>
  </si>
  <si>
    <r>
      <t>Gen. Col. (Ku2)</t>
    </r>
    <r>
      <rPr>
        <i/>
        <vertAlign val="superscript"/>
        <sz val="11"/>
        <color theme="1"/>
        <rFont val="Times New Roman"/>
        <family val="1"/>
      </rPr>
      <t>bq</t>
    </r>
  </si>
  <si>
    <r>
      <t>SS (Ec21)</t>
    </r>
    <r>
      <rPr>
        <vertAlign val="superscript"/>
        <sz val="11"/>
        <color theme="1"/>
        <rFont val="Times New Roman"/>
        <family val="1"/>
      </rPr>
      <t>ci</t>
    </r>
  </si>
  <si>
    <t>Rejected as inconsistent with other values, authors stated that EHDPP was unstable in water</t>
  </si>
  <si>
    <r>
      <t>FM (Ec2)</t>
    </r>
    <r>
      <rPr>
        <vertAlign val="superscript"/>
        <sz val="11"/>
        <color theme="1"/>
        <rFont val="Times New Roman"/>
        <family val="1"/>
      </rPr>
      <t>cn</t>
    </r>
  </si>
  <si>
    <r>
      <t>SF (Fe)</t>
    </r>
    <r>
      <rPr>
        <i/>
        <vertAlign val="superscript"/>
        <sz val="11"/>
        <color theme="1"/>
        <rFont val="Times New Roman"/>
        <family val="1"/>
      </rPr>
      <t>co</t>
    </r>
  </si>
  <si>
    <r>
      <t>(Za)</t>
    </r>
    <r>
      <rPr>
        <vertAlign val="superscript"/>
        <sz val="11"/>
        <color theme="1"/>
        <rFont val="Times New Roman"/>
        <family val="1"/>
      </rPr>
      <t>eu</t>
    </r>
  </si>
  <si>
    <t>Pl, SW-a</t>
  </si>
  <si>
    <r>
      <t>DSC (Pl)</t>
    </r>
    <r>
      <rPr>
        <vertAlign val="superscript"/>
        <sz val="11"/>
        <color rgb="FF000000"/>
        <rFont val="Times New Roman"/>
        <family val="1"/>
      </rPr>
      <t>fc</t>
    </r>
  </si>
  <si>
    <r>
      <t>(Os)</t>
    </r>
    <r>
      <rPr>
        <vertAlign val="superscript"/>
        <sz val="11"/>
        <color rgb="FF000000"/>
        <rFont val="Times New Roman"/>
        <family val="1"/>
      </rPr>
      <t>fd</t>
    </r>
  </si>
  <si>
    <t>fe</t>
  </si>
  <si>
    <t>ff</t>
  </si>
  <si>
    <t>fg</t>
  </si>
  <si>
    <r>
      <t>(Ec22)</t>
    </r>
    <r>
      <rPr>
        <i/>
        <vertAlign val="superscript"/>
        <sz val="11"/>
        <color rgb="FF000000"/>
        <rFont val="Times New Roman"/>
        <family val="1"/>
      </rPr>
      <t>gg</t>
    </r>
  </si>
  <si>
    <r>
      <t>MPA (Ti)</t>
    </r>
    <r>
      <rPr>
        <vertAlign val="superscript"/>
        <sz val="11"/>
        <color theme="1"/>
        <rFont val="Times New Roman"/>
        <family val="1"/>
      </rPr>
      <t>gw</t>
    </r>
  </si>
  <si>
    <t>Enthalpies (∆H) and Internal Energies (∆U)</t>
  </si>
  <si>
    <t>p,p'-DDE</t>
  </si>
  <si>
    <t>Ce</t>
  </si>
  <si>
    <t>BS (Sw-a)</t>
  </si>
  <si>
    <r>
      <t>BS (Lau)</t>
    </r>
    <r>
      <rPr>
        <i/>
        <vertAlign val="superscript"/>
        <sz val="11"/>
        <color theme="1"/>
        <rFont val="Times New Roman"/>
        <family val="1"/>
      </rPr>
      <t>gp</t>
    </r>
  </si>
  <si>
    <r>
      <t>integrated BS (Lau)</t>
    </r>
    <r>
      <rPr>
        <i/>
        <vertAlign val="superscript"/>
        <sz val="11"/>
        <color theme="1"/>
        <rFont val="Times New Roman"/>
        <family val="1"/>
      </rPr>
      <t>gp</t>
    </r>
  </si>
  <si>
    <r>
      <t>BS (Bam)</t>
    </r>
    <r>
      <rPr>
        <i/>
        <vertAlign val="superscript"/>
        <sz val="11"/>
        <color theme="1"/>
        <rFont val="Times New Roman"/>
        <family val="1"/>
      </rPr>
      <t>iu</t>
    </r>
  </si>
  <si>
    <r>
      <t>BS (Bam)</t>
    </r>
    <r>
      <rPr>
        <i/>
        <vertAlign val="superscript"/>
        <sz val="11"/>
        <color theme="1"/>
        <rFont val="Times New Roman"/>
        <family val="1"/>
      </rPr>
      <t>iv</t>
    </r>
  </si>
  <si>
    <t>Regression of given Kaw values differs from value in table (64.3), used regressed value of 44.3</t>
  </si>
  <si>
    <t>Mu2</t>
  </si>
  <si>
    <t>BS method can be biased high, as this was the only value we used it with an "unreliable" RSD</t>
  </si>
  <si>
    <t>DE = Dunnivant, F. M.; Elzerman, A. W. Aqueous Solubility and Henry’s Law Constant Data for PCB Congeners for Evaluation of Quantitative Structure-Property Relationships (QSPRs). Chemosphere 1988, 17 (3), 525–541.</t>
  </si>
  <si>
    <t>JB</t>
  </si>
  <si>
    <t>Rejected as this paper was identified to have erroneously high Kaw values (Shunthirasingham et al., 2007)</t>
  </si>
  <si>
    <r>
      <t>BS (JB)</t>
    </r>
    <r>
      <rPr>
        <i/>
        <vertAlign val="superscript"/>
        <sz val="11"/>
        <color theme="1"/>
        <rFont val="Times New Roman"/>
        <family val="1"/>
      </rPr>
      <t>hi</t>
    </r>
  </si>
  <si>
    <t>From regression at right, BS method can give high values, included but assigned an RSD of "unreliable"</t>
  </si>
  <si>
    <t>MU2</t>
  </si>
  <si>
    <t>jv</t>
  </si>
  <si>
    <r>
      <t>modified BS (Lau)</t>
    </r>
    <r>
      <rPr>
        <i/>
        <vertAlign val="superscript"/>
        <sz val="11"/>
        <color theme="1"/>
        <rFont val="Times New Roman"/>
        <family val="1"/>
      </rPr>
      <t>jv</t>
    </r>
  </si>
  <si>
    <t>jw</t>
  </si>
  <si>
    <t>Rejected as BS methods tend to be biased high, this paper was identified by Shunthirasingham et al. (2007) as one that did not agree with other values.</t>
  </si>
  <si>
    <t>BS method can be biased high, as this was the only accepted value we used it with an "unreliable" RSD. Shunthirasingham et al. (2007) noted that this paper agreed well with other measurement types, so we chose this as our LDV</t>
  </si>
  <si>
    <t>Ce2</t>
  </si>
  <si>
    <r>
      <t>modified BS (Lau)</t>
    </r>
    <r>
      <rPr>
        <i/>
        <vertAlign val="superscript"/>
        <sz val="11"/>
        <color theme="1"/>
        <rFont val="Times New Roman"/>
        <family val="1"/>
      </rPr>
      <t>gp</t>
    </r>
  </si>
  <si>
    <t>jx</t>
  </si>
  <si>
    <t>jy</t>
  </si>
  <si>
    <t>jz</t>
  </si>
  <si>
    <t>Kaw, dHaw</t>
  </si>
  <si>
    <t>ka</t>
  </si>
  <si>
    <r>
      <t>BS (Ce)</t>
    </r>
    <r>
      <rPr>
        <vertAlign val="superscript"/>
        <sz val="11"/>
        <color theme="1"/>
        <rFont val="Times New Roman"/>
        <family val="1"/>
      </rPr>
      <t>fe</t>
    </r>
  </si>
  <si>
    <r>
      <t>BS 278-313 (Ce2)</t>
    </r>
    <r>
      <rPr>
        <vertAlign val="superscript"/>
        <sz val="10"/>
        <color rgb="FF000000"/>
        <rFont val="Times New Roman"/>
        <family val="1"/>
      </rPr>
      <t>jz</t>
    </r>
  </si>
  <si>
    <r>
      <t>BS 278-313 (Ce2)</t>
    </r>
    <r>
      <rPr>
        <vertAlign val="superscript"/>
        <sz val="10"/>
        <color rgb="FF000000"/>
        <rFont val="Times New Roman"/>
        <family val="1"/>
      </rPr>
      <t>jy</t>
    </r>
  </si>
  <si>
    <r>
      <t>BS 278-313 (Ce2)</t>
    </r>
    <r>
      <rPr>
        <vertAlign val="superscript"/>
        <sz val="10"/>
        <color rgb="FF000000"/>
        <rFont val="Times New Roman"/>
        <family val="1"/>
      </rPr>
      <t>ka</t>
    </r>
  </si>
  <si>
    <t>RSD_dHo</t>
  </si>
  <si>
    <t>Using unreliable value as all are BS, method unreliable</t>
  </si>
  <si>
    <t>Default value</t>
  </si>
  <si>
    <r>
      <t>BS (Mu2)</t>
    </r>
    <r>
      <rPr>
        <i/>
        <vertAlign val="superscript"/>
        <sz val="11"/>
        <color theme="1"/>
        <rFont val="Times New Roman"/>
        <family val="1"/>
      </rPr>
      <t>ff</t>
    </r>
  </si>
  <si>
    <t>Excluded as BS method can be biased high</t>
  </si>
  <si>
    <t>kb</t>
  </si>
  <si>
    <t>kc</t>
  </si>
  <si>
    <t>kd</t>
  </si>
  <si>
    <t>ke</t>
  </si>
  <si>
    <t>kf</t>
  </si>
  <si>
    <t>Tm (°C)</t>
  </si>
  <si>
    <t>Cha = Chao, H. P., Lee, J. F. and Chiou, C. T.: Determination of the Henry’s law constants of low-volatility compounds via the measured air-phase transfer coefficients, Water Res., 120, 238–244, doi:10.1016/j.watres.2017.04.074, 2017.</t>
  </si>
  <si>
    <t>KM (Cha)</t>
  </si>
  <si>
    <t>HA (Ar1)</t>
  </si>
  <si>
    <t>(CD45)</t>
  </si>
  <si>
    <t>ppLFER (Abraham 2010, dry)</t>
  </si>
  <si>
    <t>ppLFER (Abraham 2010, wet)</t>
  </si>
  <si>
    <t>ppLFER (Abraham 2010a, dry)</t>
  </si>
  <si>
    <t>ppLFER (Abraham 2010b, wet)</t>
  </si>
  <si>
    <t>ppLFER (Abraham 2007)</t>
  </si>
  <si>
    <t>ppLFER (Van Noort 2010)</t>
  </si>
  <si>
    <t>From Van Noort (2004)</t>
  </si>
  <si>
    <t>D</t>
  </si>
  <si>
    <t>C</t>
  </si>
  <si>
    <t>Temperature corrected F</t>
  </si>
  <si>
    <t>Chloro</t>
  </si>
  <si>
    <t>Log Fest - Log F</t>
  </si>
  <si>
    <t>Conversions, notes &amp; temperature corrections</t>
  </si>
  <si>
    <t>Log F (uncorrected)</t>
  </si>
  <si>
    <t>Log F (MP Corrected)</t>
  </si>
  <si>
    <t>Literature F</t>
  </si>
  <si>
    <t>Van Noort (2006)</t>
  </si>
  <si>
    <t>Rejected as based on extrapolation from other lit. data</t>
  </si>
  <si>
    <t>Pal = Palm, A., Cousins, I. T., Mackay, D., Tysklind, M., Metcalfe, C. and Alaee, M.: Assessing the environmental fate of chemicals of emerging concern: A case study of the polybrominated diphenyl ethers, Environ. Pollut., 117(2), 195–213, doi:10.1016/S0269-7491(01)00276-7, 2002.</t>
  </si>
  <si>
    <t>Pa = Paasivirta, J., Sinkkonen, S., Rantalainen, A. L., Broman, D. and Zebühr, Y.: Temperature dependent properties of environmentally important synthetic musks, Environ. Sci. Pollut. Res., 9(5), 345–355, doi:10.1007/BF02987579, 2002.</t>
  </si>
  <si>
    <r>
      <t>(Pal)</t>
    </r>
    <r>
      <rPr>
        <i/>
        <vertAlign val="superscript"/>
        <sz val="11"/>
        <color theme="1"/>
        <rFont val="Times New Roman"/>
        <family val="1"/>
      </rPr>
      <t>gm</t>
    </r>
  </si>
  <si>
    <t>(Pal)</t>
  </si>
  <si>
    <t>Rejected as estimated based on correl. with PCB cong. Could not find original reference, given by Sc as Ellinger, S.; Hackenberg, R.; Ballschmitter, K., Determnination of log Kow values for polybromo diphenyl ether (PBDEs) by Capillary Gas Chromatography and by Total Surface Area (TSA) Correlation. Organohalogen Compd. 2003, 60-65.</t>
  </si>
  <si>
    <t xml:space="preserve">Rejected as based on PCDEs and fragment const. for Br </t>
  </si>
  <si>
    <r>
      <t>(Ti)</t>
    </r>
    <r>
      <rPr>
        <i/>
        <vertAlign val="superscript"/>
        <sz val="11"/>
        <color theme="1"/>
        <rFont val="Times New Roman"/>
        <family val="1"/>
      </rPr>
      <t>go</t>
    </r>
  </si>
  <si>
    <t xml:space="preserve">Calc. from vapour pres. and water solubility </t>
  </si>
  <si>
    <r>
      <t>(Wan2)</t>
    </r>
    <r>
      <rPr>
        <i/>
        <vertAlign val="superscript"/>
        <sz val="11"/>
        <color theme="1"/>
        <rFont val="Times New Roman"/>
        <family val="1"/>
      </rPr>
      <t>gr</t>
    </r>
  </si>
  <si>
    <t>BDE-47, BDE-100</t>
  </si>
  <si>
    <t xml:space="preserve">Based on other lit. values, adjustments </t>
  </si>
  <si>
    <t>Pal</t>
  </si>
  <si>
    <t>Converted from enthalpy change to internal energy of phase transfer. Took measured enthalpy, subrtacted the entropy of phase change, and added the 2,391J correction for enthalpy of vaporization, per Beyer (2002)</t>
  </si>
  <si>
    <r>
      <t>(Pal)</t>
    </r>
    <r>
      <rPr>
        <i/>
        <vertAlign val="superscript"/>
        <sz val="11"/>
        <color theme="1"/>
        <rFont val="Times New Roman"/>
        <family val="1"/>
      </rPr>
      <t>gs</t>
    </r>
  </si>
  <si>
    <r>
      <t>(Pal)</t>
    </r>
    <r>
      <rPr>
        <i/>
        <vertAlign val="superscript"/>
        <sz val="11"/>
        <color theme="1"/>
        <rFont val="Times New Roman"/>
        <family val="1"/>
      </rPr>
      <t>gt</t>
    </r>
  </si>
  <si>
    <t>Not selected as could not find original source</t>
  </si>
  <si>
    <t>Exp. (Mid) (Wat)</t>
  </si>
  <si>
    <t>kg</t>
  </si>
  <si>
    <t>Ku</t>
  </si>
  <si>
    <t>Enthalpy of sublimation - enthalpy of fusion</t>
  </si>
  <si>
    <t>kh</t>
  </si>
  <si>
    <r>
      <t>324 - 374 GS (Ku)</t>
    </r>
    <r>
      <rPr>
        <vertAlign val="superscript"/>
        <sz val="11"/>
        <color rgb="FF000000"/>
        <rFont val="Times New Roman"/>
        <family val="1"/>
      </rPr>
      <t>kh</t>
    </r>
  </si>
  <si>
    <t>Enthalpy of sublimation - enthalpy of fusion. Kept, although different from other values, as only non inference method</t>
  </si>
  <si>
    <t>(Hal)</t>
  </si>
  <si>
    <t>Don = Donnelly, J. R.; Drewes, L. A.; Johnson, R. L.; Munslow, W. D.; Knapp, K. K.; Sovocool, G. W. Purity and Heat of Fusion Data for Environmental Standards as Determined by Differential Scanning Calorimetry. Thermochim. Acta 1990, 167 (2), 155–187.</t>
  </si>
  <si>
    <t>DSC (Don)</t>
  </si>
  <si>
    <t>.</t>
  </si>
  <si>
    <t>DSC (Rod)</t>
  </si>
  <si>
    <t>Rod = Rodante, F., Marrosu, G. and Catalani, G.: Thermal analysis and kinetic study of decomposition processes of some pesticides, J. Therm. Anal., 38(12), 2669–2682, doi:10.1007/BF01979743, 1992.</t>
  </si>
  <si>
    <t>ki</t>
  </si>
  <si>
    <t>dSfus</t>
  </si>
  <si>
    <t>Rod</t>
  </si>
  <si>
    <t>Combined rotational &amp; translation enthalpies as per Shen &amp; Wania, 2005</t>
  </si>
  <si>
    <t>kj</t>
  </si>
  <si>
    <t>Calculated from Pl by SW accounting for transition temperature</t>
  </si>
  <si>
    <t>SW-a = Literature values from Shen &amp; Wanie, 2005</t>
  </si>
  <si>
    <t>Ref: Gra</t>
  </si>
  <si>
    <t>Gra</t>
  </si>
  <si>
    <t>See regression at right</t>
  </si>
  <si>
    <t>kk</t>
  </si>
  <si>
    <t>See regression at right, converted from sublimation to vaporization enthalpy by subtracting LDV enthalpy of fusion</t>
  </si>
  <si>
    <t>Reference to Rordorf, unpublished, method and temperature were listed so did not exclude</t>
  </si>
  <si>
    <r>
      <t>SF (Ri)</t>
    </r>
    <r>
      <rPr>
        <vertAlign val="superscript"/>
        <sz val="11"/>
        <color rgb="FF000000"/>
        <rFont val="Times New Roman"/>
        <family val="1"/>
      </rPr>
      <t>bg</t>
    </r>
  </si>
  <si>
    <t>lnSws</t>
  </si>
  <si>
    <t>Ri only</t>
  </si>
  <si>
    <r>
      <t>SF (BR)</t>
    </r>
    <r>
      <rPr>
        <vertAlign val="superscript"/>
        <sz val="11"/>
        <color rgb="FF000000"/>
        <rFont val="Times New Roman"/>
        <family val="1"/>
      </rPr>
      <t>bh</t>
    </r>
  </si>
  <si>
    <t>BR = Biggar, J. W. and Riggs, R. L.: Apparent solubility of organochlorine insecticides in water at various temperatures, Hilgardia, 42(10), 383–391, doi:10.3733/hilg.v42n10p383, 1974.</t>
  </si>
  <si>
    <t>BR</t>
  </si>
  <si>
    <t>mg/L. Converted to subcooled</t>
  </si>
  <si>
    <t>Sws (mol/m³)</t>
  </si>
  <si>
    <t>Sws (mg/L)</t>
  </si>
  <si>
    <t>dUw (kJ mol )=</t>
  </si>
  <si>
    <t>BR only</t>
  </si>
  <si>
    <t>Solid</t>
  </si>
  <si>
    <t>Subcooled Liquid</t>
  </si>
  <si>
    <t>kl</t>
  </si>
  <si>
    <t>km</t>
  </si>
  <si>
    <t>See regression at right, converted from solid to subcooled liquid by subtracting LDV enthalpy of fusion</t>
  </si>
  <si>
    <t>Temperature taken as assumed in SW. Rejected as inconsistent with other values</t>
  </si>
  <si>
    <t>Bri = Briggs, G. G.: Theoretical and Experimental Relationships between Soil Adsorption, Octanol-Water Partition Coefficients, Water Solubilities, Bioconcentration Factors, and the Parachor, J. Agric. Food Chem., 29(5), 1050–1059, doi:10.1021/jf00107a040, 1981.</t>
  </si>
  <si>
    <t>o,p'-DDT, o,p' -DDD, p,p'-DDE</t>
  </si>
  <si>
    <t>kn</t>
  </si>
  <si>
    <t>ko</t>
  </si>
  <si>
    <t>kp</t>
  </si>
  <si>
    <t>kq</t>
  </si>
  <si>
    <t>Gen. Col. (SH)</t>
  </si>
  <si>
    <t>Gen. Col (SH)</t>
  </si>
  <si>
    <t>278-308 Gen. Col (SH)</t>
  </si>
  <si>
    <t>kr</t>
  </si>
  <si>
    <t>Sw-a</t>
  </si>
  <si>
    <t>ks</t>
  </si>
  <si>
    <t>Reference to Li, unpublished. Included as method &amp; temperature were provided</t>
  </si>
  <si>
    <t>kt</t>
  </si>
  <si>
    <t>Quoted, kept as method &amp; temperature were provided. Reference to Weil, L.; Dure, G.; Quentin, K.-E. Solubility in water of insecticide
chlorinated hydrocarbons and polychlorinated biphenyls in view
of water pollution. Wasser-Abwasserforsch. 1974, 7, 169-175</t>
  </si>
  <si>
    <r>
      <t>SF (Ho)</t>
    </r>
    <r>
      <rPr>
        <vertAlign val="superscript"/>
        <sz val="11"/>
        <color rgb="FF000000"/>
        <rFont val="Times New Roman"/>
        <family val="1"/>
      </rPr>
      <t>az</t>
    </r>
  </si>
  <si>
    <t>ku</t>
  </si>
  <si>
    <t>kv</t>
  </si>
  <si>
    <t>kw</t>
  </si>
  <si>
    <t>DKL</t>
  </si>
  <si>
    <t>kx</t>
  </si>
  <si>
    <t>Ni</t>
  </si>
  <si>
    <r>
      <t>SS (Ni)</t>
    </r>
    <r>
      <rPr>
        <vertAlign val="superscript"/>
        <sz val="11"/>
        <color rgb="FF000000"/>
        <rFont val="Times New Roman"/>
        <family val="1"/>
      </rPr>
      <t>aw</t>
    </r>
  </si>
  <si>
    <t>Ni = Niimi, A. J.: Solubility of organic chemicals in octanol, triolein and cod liver oil and relationships between solubility and partition coefficients, Water Res., 25(12), 1515–1521, doi:10.1016/0043-1354(91)90182-P, 1991.</t>
  </si>
  <si>
    <t>ky</t>
  </si>
  <si>
    <t>kz</t>
  </si>
  <si>
    <t>o,p'-DDT, p,p'-DDE, B[a]P</t>
  </si>
  <si>
    <t>Sos (mol/m³)</t>
  </si>
  <si>
    <t>lnS0s</t>
  </si>
  <si>
    <t>B[a]P</t>
  </si>
  <si>
    <t>dUo (kJ mol )=</t>
  </si>
  <si>
    <t>la</t>
  </si>
  <si>
    <t>lb</t>
  </si>
  <si>
    <t>lc</t>
  </si>
  <si>
    <t>See regression at right. Kept despite low r² with "unreliable" RSD</t>
  </si>
  <si>
    <t>Used default value of 0.2</t>
  </si>
  <si>
    <t>Converted to subcooled liquid. Did not temperature correct.</t>
  </si>
  <si>
    <t xml:space="preserve">Reference is to Weil, L., Dure, G., Quentin, K.L. (1974). Z. Wasser Abwasser Forsch. 7, 169–175., which we could not find. </t>
  </si>
  <si>
    <r>
      <t>SF (Ho)</t>
    </r>
    <r>
      <rPr>
        <vertAlign val="superscript"/>
        <sz val="11"/>
        <color rgb="FF000000"/>
        <rFont val="Times New Roman"/>
        <family val="1"/>
      </rPr>
      <t>am</t>
    </r>
  </si>
  <si>
    <t>Chiou = Chiou, C. T., Freed, V. H., Schmedding, D. W. and Kohnert, R. L.: Partition coefficient and bioaccumulation of selected organic chemicals, Environ. Sci. Technol., 11(5), 475–478, doi:10.1021/es60128a001, 1977.</t>
  </si>
  <si>
    <r>
      <t>SF (Chiou)</t>
    </r>
    <r>
      <rPr>
        <vertAlign val="superscript"/>
        <sz val="11"/>
        <color rgb="FF000000"/>
        <rFont val="Times New Roman"/>
        <family val="1"/>
      </rPr>
      <t>al</t>
    </r>
  </si>
  <si>
    <t>Chiou</t>
  </si>
  <si>
    <t>SW-a (quoted)</t>
  </si>
  <si>
    <t>@ 24°C, did not convert. Converted to subcooled</t>
  </si>
  <si>
    <t>ld</t>
  </si>
  <si>
    <r>
      <t>SF (BR)</t>
    </r>
    <r>
      <rPr>
        <vertAlign val="superscript"/>
        <sz val="11"/>
        <color rgb="FF000000"/>
        <rFont val="Times New Roman"/>
        <family val="1"/>
      </rPr>
      <t>ao</t>
    </r>
  </si>
  <si>
    <t>Go</t>
  </si>
  <si>
    <t>Go = Gobas, F. A. P. C., Lahittete, J. M., Garofalo, G., Shiu, W. Y. and Mackay, D.: A Novel Method for Measuring Membrane-Water Partition Coefficients of Hydrophobic Organic Chemicals: Comparison with 1-Octanol–Water Partitioning, J. Pharm. Sci., 77(3), 265–272, doi:10.1002/jps.2600770317, 1988.</t>
  </si>
  <si>
    <r>
      <t>HPLC (DKL)</t>
    </r>
    <r>
      <rPr>
        <i/>
        <vertAlign val="superscript"/>
        <sz val="11"/>
        <color rgb="FF000000"/>
        <rFont val="Times New Roman"/>
        <family val="1"/>
      </rPr>
      <t>ar</t>
    </r>
  </si>
  <si>
    <t>Converted to subcooled liquid. Assumed 23°C</t>
  </si>
  <si>
    <r>
      <t>HPLC (Sw-a)</t>
    </r>
    <r>
      <rPr>
        <i/>
        <vertAlign val="superscript"/>
        <sz val="11"/>
        <color rgb="FF000000"/>
        <rFont val="Times New Roman"/>
        <family val="1"/>
      </rPr>
      <t>aq</t>
    </r>
  </si>
  <si>
    <t>Excluded as could not find in quoted source (Go), reference in SW may have been incorrect</t>
  </si>
  <si>
    <t>Sw = Swann, R. L., Laskowski, D. A., McCall, P. J., Kuy, K. and Dishburger, H. J.: A rapid method for the estimation of the environmental parameters octanol/water partition coefficient, soil sorption constant, water to air ratio, and water solubility, in Residue Reviews, pp. 17–28, Springer New York, New York, NY., 1983.</t>
  </si>
  <si>
    <r>
      <t>HPLC (Sw)</t>
    </r>
    <r>
      <rPr>
        <i/>
        <vertAlign val="superscript"/>
        <sz val="11"/>
        <color rgb="FF000000"/>
        <rFont val="Times New Roman"/>
        <family val="1"/>
      </rPr>
      <t>av</t>
    </r>
  </si>
  <si>
    <t>Excluded as isomer not specified</t>
  </si>
  <si>
    <r>
      <t>SF (BR)</t>
    </r>
    <r>
      <rPr>
        <vertAlign val="superscript"/>
        <sz val="11"/>
        <color rgb="FF000000"/>
        <rFont val="Times New Roman"/>
        <family val="1"/>
      </rPr>
      <t>bc</t>
    </r>
  </si>
  <si>
    <r>
      <t>SF (BR)</t>
    </r>
    <r>
      <rPr>
        <vertAlign val="superscript"/>
        <sz val="11"/>
        <color theme="1"/>
        <rFont val="Times New Roman"/>
        <family val="1"/>
      </rPr>
      <t>ay</t>
    </r>
  </si>
  <si>
    <t>HaS = Haines, R. I. S. and Sandler, S. I.: Aqueous Solubilities and Infinite Dilution Activity Coefficients of Several Polycyclic Aromatic Hydrocarbons, J. Chem. Eng. Data, 40(4), 833–836, doi:10.1021/je00020a021, 1995.</t>
  </si>
  <si>
    <t>DSC (HaS)</t>
  </si>
  <si>
    <t>le</t>
  </si>
  <si>
    <t>Cas = Casellato, F., Vecchi, C., Girelli, A. and Casu, B.: Differential calorimetric study of polycyclic aromatic hydrocarbons, Thermochim. Acta, 6(4), 361–368, doi:10.1016/0040-6031(73)87003-0, 1973.</t>
  </si>
  <si>
    <t>DSC (Cas)</t>
  </si>
  <si>
    <t>MPP = Murray, J. J., Pottie, R. F. and Pupp, C.: The Vapor Pressures and Enthalpies of Sublimation of Five Polycyclic Aromatic Hydrocarbons, Can. J. Chem., 52(4), 557–563, doi:10.1139/v74-087, 1974.</t>
  </si>
  <si>
    <t>MPA (MPP)</t>
  </si>
  <si>
    <t>lf</t>
  </si>
  <si>
    <t>HaS</t>
  </si>
  <si>
    <t>MPP</t>
  </si>
  <si>
    <t>Average of observed range, excluded as authors noted sample was impure &amp; not consistent with other results</t>
  </si>
  <si>
    <t>lg</t>
  </si>
  <si>
    <t>lh</t>
  </si>
  <si>
    <t>From equation in text.</t>
  </si>
  <si>
    <t>From equation in text. Excluded as authors noted sample was impure</t>
  </si>
  <si>
    <t>li</t>
  </si>
  <si>
    <t>lj</t>
  </si>
  <si>
    <t>lk</t>
  </si>
  <si>
    <t>lm</t>
  </si>
  <si>
    <t>ln</t>
  </si>
  <si>
    <t>lo</t>
  </si>
  <si>
    <t>lp</t>
  </si>
  <si>
    <t>lq</t>
  </si>
  <si>
    <t>lr</t>
  </si>
  <si>
    <t>ls</t>
  </si>
  <si>
    <t>lt</t>
  </si>
  <si>
    <t>From equation in text. Converted from sublimation to vaporization by subtracting enthalpy of fusion</t>
  </si>
  <si>
    <t xml:space="preserve"> DSC (Hi)</t>
  </si>
  <si>
    <t>deM</t>
  </si>
  <si>
    <t>deM = de Maagd, P. G.-J., ten Hulscher, D. T. E. M., van den Heuvel, H., Opperhuizen, A. and Sijm, D. T. H. M.: Physicochemical properties of polycyclic aromatic hydrocarbons: Aqueous solubilities, n -octanol/water partition coefficients, and Henry’s law constants, Environ. Toxicol. Chem., 17(2), 251–257, doi:10.1002/etc.5620170216, 1998.</t>
  </si>
  <si>
    <t>MS = Mackay, D. and Shiu, W. Y.: Aqueous solubility of polynuclear aromatic hydrocarbons, J. Chem. Eng. Data, 22(4), 399–402, doi:10.1021/je60075a012, 1977.</t>
  </si>
  <si>
    <t>Ba = Barone, G., Crescenzi, V., Liquori, A. M. and Quadrifoglio, F.: Solubilization of polycyclic aromatic hydrocarbons in poly(methacrylic acid) aqueous solutions, J. Phys. Chem., 71(7), 2341–2345, doi:10.1021/j100866a058, 1967.</t>
  </si>
  <si>
    <t>Ba</t>
  </si>
  <si>
    <t>Bil</t>
  </si>
  <si>
    <t>Bil = Billington, J. W., Huang, G. ‐L, Szeto, F., Shiu, W. Y. and Mackay, D.: Preparation of aqueous solutions of sparingly soluble organic substances: I. Single component systems, Environ. Toxicol. Chem., 7(2), 117–124, doi:10.1002/etc.5620070205, 1988.</t>
  </si>
  <si>
    <t>Ea</t>
  </si>
  <si>
    <t>Ea = Eadie, B. J., Morehead, N. R. and Landrum, P. F.: Three-phase partitioning of hydrophobic organic compounds in Great Lakes waters, Chemosphere, 20(1–2), 161–178, doi:10.1016/0045-6535(90)90094-A, 1990.</t>
  </si>
  <si>
    <t>Rejected as radiolabelled 3H-B[a]P, inconsistent with other results</t>
  </si>
  <si>
    <t>gen. col (Mil)</t>
  </si>
  <si>
    <t>Vel = Velapoldi, R. A., White, P. A., May, W. and Eberhardt, K. R.: Spectrofluorimetric determination of polycyclic aromatic hydrocarbons in aqueous effluents from generator columns, Anal. Chem., 55(12), 1896–1901, doi:10.1021/ac00262a014, 1983.</t>
  </si>
  <si>
    <t>Vel</t>
  </si>
  <si>
    <t>lu</t>
  </si>
  <si>
    <t>lv</t>
  </si>
  <si>
    <t>lw</t>
  </si>
  <si>
    <t>lx</t>
  </si>
  <si>
    <t>ly</t>
  </si>
  <si>
    <t>Pas = Paschke, A., Popp, P. and Schüürmann, G.: Solubility and partitioning studies with polycyclic aromatic hydrocarbons using an optimized SPME procedure, Fresenius. J. Anal. Chem., 363(4), 426–428, doi:10.1007/s002160051215, 1999.</t>
  </si>
  <si>
    <t>SF (Pas)</t>
  </si>
  <si>
    <t>May</t>
  </si>
  <si>
    <t>Subracted enthalpy of fusion for subcooled liquid</t>
  </si>
  <si>
    <t>May = May, W. E., Wasik, S. P., Miller, M. M., Tewari, Y. B., Brown-Thomas, J. M. and Goldberg, R. N.: Solution thermodynamics of some slightly soluble hydrocarbons in water, J. Chem. Eng. Data, 28(2), 197–200, doi:10.1021/je00032a021, 1983.</t>
  </si>
  <si>
    <t>Wh</t>
  </si>
  <si>
    <t>Wh = Whitehouse, B. G.: The effects of temperature and salinity on the aqueous solubility of polynuclear aromatic hydrocarbons, Mar. Chem., 14(4), 319–332, doi:10.1016/0304-4203(84)90028-8, 1984.</t>
  </si>
  <si>
    <t>ma</t>
  </si>
  <si>
    <t>RP-TLC (Bru)</t>
  </si>
  <si>
    <t>Wi</t>
  </si>
  <si>
    <t>Wi = Wise, S. A., Bonnett, W. J., Guenther, F. R. and May, W. E.: A relationship between reversed-phase C18 liquid chromatographic retention and the shape of polycyclic aromatic hydrocarbons, J. Chromatogr. Sci., 19(9), 457–465, doi:10.1093/chromsci/19.9.457, 1981.</t>
  </si>
  <si>
    <t xml:space="preserve">Subracted enthalpy of fusion for subcooled liquid. </t>
  </si>
  <si>
    <t>mb</t>
  </si>
  <si>
    <t>Rejected as inconsistent with other values./</t>
  </si>
  <si>
    <t>323 - 473 GC-RT (Lei)</t>
  </si>
  <si>
    <t>Yam = YAMASAKI, H., KUWATA, K. and KUGE, Y.: Determination of Vapor Pressure of Polycyclic Aromatic Hydrocarbons in the Supercooled Liquid Phase and Their Adsorption on Airborne Particulate Matter, Nippon KAGAKU KAISHI, 23(8), 1324–1329, doi:10.1246/nikkashi.1984.1324, 1984.</t>
  </si>
  <si>
    <t>GC-RT (Yam)</t>
  </si>
  <si>
    <t>463-543 GC-RT (Yam)</t>
  </si>
  <si>
    <t>453-543 GC-RT (Yam)</t>
  </si>
  <si>
    <r>
      <t>BS 283 - 328 (tHu)</t>
    </r>
    <r>
      <rPr>
        <vertAlign val="superscript"/>
        <sz val="10"/>
        <color theme="1"/>
        <rFont val="Times New Roman"/>
        <family val="1"/>
      </rPr>
      <t>gi</t>
    </r>
  </si>
  <si>
    <r>
      <t>BS 283 - 328 GS (tHu)</t>
    </r>
    <r>
      <rPr>
        <vertAlign val="superscript"/>
        <sz val="10"/>
        <color theme="1"/>
        <rFont val="Times New Roman"/>
        <family val="1"/>
      </rPr>
      <t>gk</t>
    </r>
  </si>
  <si>
    <t>tHu = ten Hulscher, E. M. T.; Van Der Velde, L. E.; Bruggeman, W. A. Temperature Dependence of Henry’s Law Constants for Selected Chlorobenzenes, Polychlorinated Biphenyls and Polycyclic Aromatic Hydrocarbons. Environ. Toxicol. Chem. 1992, 11 (11), 1595–1603.</t>
  </si>
  <si>
    <t>SS (DeM)</t>
  </si>
  <si>
    <t>SP = Sahu, S. K. and Pandit, G. G.: Estimation of Octanol‐Water Partition Coefficients for Polycylic Aromatic Hydrocarbons Using Reverse‐Phase HPLC, J. Liq. Chromatogr. Relat. Technol., 26(1), 135–146, doi:10.1081/JLC-120017158, 2003.</t>
  </si>
  <si>
    <t>SC = Spencer, W. F.; Cliath, M. M. Volatility of DDT and Related Compounds. J. Agric. Food Chem. 1972, 20 (3), 645–649.</t>
  </si>
  <si>
    <r>
      <t>GS (SC)</t>
    </r>
    <r>
      <rPr>
        <vertAlign val="superscript"/>
        <sz val="11"/>
        <color rgb="FF000000"/>
        <rFont val="Times New Roman"/>
        <family val="1"/>
      </rPr>
      <t>ai</t>
    </r>
  </si>
  <si>
    <r>
      <t>GS (SC)</t>
    </r>
    <r>
      <rPr>
        <i/>
        <vertAlign val="superscript"/>
        <sz val="11"/>
        <color rgb="FF000000"/>
        <rFont val="Times New Roman"/>
        <family val="1"/>
      </rPr>
      <t>m</t>
    </r>
  </si>
  <si>
    <r>
      <t>GS (SC)</t>
    </r>
    <r>
      <rPr>
        <vertAlign val="superscript"/>
        <sz val="11"/>
        <color rgb="FF000000"/>
        <rFont val="Times New Roman"/>
        <family val="1"/>
      </rPr>
      <t>bd</t>
    </r>
  </si>
  <si>
    <t>RP-HPLC (SP)</t>
  </si>
  <si>
    <t>MH = Mallon, B. J. and Harrison, F. L.: Octanol-water partition coefficient of benzo(a)pyrene: Measurement, calculation, and environmental implications, Bull. Environ. Contam. Toxicol., 32(1), 316–323, doi:10.1007/BF01607504, 1984.</t>
  </si>
  <si>
    <t>Converted to subcooled. Quoted in Wise from unpublished data, original reference: W.E. May. National Bureau of Standards, Washington, D.C., unpublished data. Method/temperature given by Mac, Ma-a</t>
  </si>
  <si>
    <t>DeM</t>
  </si>
  <si>
    <t>Low concentration value chosen.</t>
  </si>
  <si>
    <t>MH</t>
  </si>
  <si>
    <t>From equation in text. Converted from sublimation to vaporization by subtracting enthalpy of fusion. Authors noted sample was impure, included as only conventional method and value was comparable</t>
  </si>
  <si>
    <r>
      <t>GC-RT (To)</t>
    </r>
    <r>
      <rPr>
        <vertAlign val="superscript"/>
        <sz val="11"/>
        <color rgb="FF000000"/>
        <rFont val="Times New Roman"/>
        <family val="1"/>
      </rPr>
      <t>hq</t>
    </r>
  </si>
  <si>
    <r>
      <t>GC-k' (Zh2)</t>
    </r>
    <r>
      <rPr>
        <vertAlign val="superscript"/>
        <sz val="11"/>
        <color theme="1"/>
        <rFont val="Times New Roman"/>
        <family val="1"/>
      </rPr>
      <t>is</t>
    </r>
  </si>
  <si>
    <t>&lt;1.49</t>
  </si>
  <si>
    <t>&lt;-2.45</t>
  </si>
  <si>
    <t>(Sci - NIOSH)</t>
  </si>
  <si>
    <r>
      <t>GS (LX)</t>
    </r>
    <r>
      <rPr>
        <vertAlign val="superscript"/>
        <sz val="11"/>
        <color rgb="FF000000"/>
        <rFont val="Times New Roman"/>
        <family val="1"/>
      </rPr>
      <t>nu</t>
    </r>
  </si>
  <si>
    <t>pour point (Ec34)</t>
  </si>
  <si>
    <t>DiNP</t>
  </si>
  <si>
    <t>(St)</t>
  </si>
  <si>
    <t>GS (How2)</t>
  </si>
  <si>
    <r>
      <t>HPLC (Ec34)</t>
    </r>
    <r>
      <rPr>
        <vertAlign val="superscript"/>
        <sz val="11"/>
        <color theme="1"/>
        <rFont val="Times New Roman"/>
        <family val="1"/>
      </rPr>
      <t>nr</t>
    </r>
  </si>
  <si>
    <t>28553-12-0</t>
  </si>
  <si>
    <t>Diisononyl phthalate</t>
  </si>
  <si>
    <t>(Sci - NLM)</t>
  </si>
  <si>
    <t>(Sci - PP)</t>
  </si>
  <si>
    <t>(CD52)</t>
  </si>
  <si>
    <t>(CD52 - JCD)</t>
  </si>
  <si>
    <t>(CD52 - JCD, AA)</t>
  </si>
  <si>
    <r>
      <t>no-stirring (El2)</t>
    </r>
    <r>
      <rPr>
        <vertAlign val="superscript"/>
        <sz val="11"/>
        <color theme="1"/>
        <rFont val="Times New Roman"/>
        <family val="1"/>
      </rPr>
      <t>lt</t>
    </r>
  </si>
  <si>
    <t>SS (EF)</t>
  </si>
  <si>
    <r>
      <t>SS (El2)</t>
    </r>
    <r>
      <rPr>
        <vertAlign val="superscript"/>
        <sz val="11"/>
        <color theme="1"/>
        <rFont val="Times New Roman"/>
        <family val="1"/>
      </rPr>
      <t>lt</t>
    </r>
  </si>
  <si>
    <t>(Li)</t>
  </si>
  <si>
    <t>DnOP</t>
  </si>
  <si>
    <t>(FA)</t>
  </si>
  <si>
    <t>GC-RT (Gob)</t>
  </si>
  <si>
    <t>117-84-0</t>
  </si>
  <si>
    <t>Di-n-octyl phthalate</t>
  </si>
  <si>
    <t>(CD51)</t>
  </si>
  <si>
    <t>HPLC (DKL)</t>
  </si>
  <si>
    <t>(Sci - NLM, PP)</t>
  </si>
  <si>
    <t xml:space="preserve">(Sci - NIOSH) </t>
  </si>
  <si>
    <t>measured (RM)</t>
  </si>
  <si>
    <r>
      <t>(Ec33)</t>
    </r>
    <r>
      <rPr>
        <vertAlign val="superscript"/>
        <sz val="10"/>
        <color rgb="FF000000"/>
        <rFont val="Times New Roman"/>
        <family val="1"/>
      </rPr>
      <t>nm</t>
    </r>
  </si>
  <si>
    <t>(CD51 - JCD, NIOSH)</t>
  </si>
  <si>
    <t>SF (Oe)</t>
  </si>
  <si>
    <t>(CD51 - PP, JCD, AA)</t>
  </si>
  <si>
    <t>DEHP</t>
  </si>
  <si>
    <t>117-81-7</t>
  </si>
  <si>
    <t>Bis(2-ethylhexyl) phthalate</t>
  </si>
  <si>
    <t>TBPH</t>
  </si>
  <si>
    <t>pour point (Ec32)</t>
  </si>
  <si>
    <t>HPLC (Ec32)</t>
  </si>
  <si>
    <t>26040-51-7</t>
  </si>
  <si>
    <t>Bis(2-ethlyhexyl) tetrabromophthalate</t>
  </si>
  <si>
    <t>(CD50)</t>
  </si>
  <si>
    <t>SF (Ve2)</t>
  </si>
  <si>
    <t>HPLC (Ve2)</t>
  </si>
  <si>
    <t>(Sci - NIOSH, NLM)</t>
  </si>
  <si>
    <t>(CD50 - JCD, BS)</t>
  </si>
  <si>
    <t>BzBP</t>
  </si>
  <si>
    <r>
      <t>(Cal)</t>
    </r>
    <r>
      <rPr>
        <vertAlign val="superscript"/>
        <sz val="11"/>
        <color theme="1"/>
        <rFont val="Times New Roman"/>
        <family val="1"/>
      </rPr>
      <t>mg</t>
    </r>
  </si>
  <si>
    <t>85-68-7</t>
  </si>
  <si>
    <t>Benzylbutyl phthalate</t>
  </si>
  <si>
    <t>(CD49)</t>
  </si>
  <si>
    <t>turbidity inflection estimate (Def)</t>
  </si>
  <si>
    <r>
      <t>SF (HL)</t>
    </r>
    <r>
      <rPr>
        <vertAlign val="superscript"/>
        <sz val="11"/>
        <color theme="1"/>
        <rFont val="Times New Roman"/>
        <family val="1"/>
      </rPr>
      <t>lo</t>
    </r>
  </si>
  <si>
    <t>(Sci - NIOSH, NLM, PP)</t>
  </si>
  <si>
    <t>(CD49 - PP, NIOSH, JCD, AA)</t>
  </si>
  <si>
    <t>HPLC (Ha2)</t>
  </si>
  <si>
    <r>
      <t>(Ver)</t>
    </r>
    <r>
      <rPr>
        <vertAlign val="superscript"/>
        <sz val="11"/>
        <color theme="1"/>
        <rFont val="Times New Roman"/>
        <family val="1"/>
      </rPr>
      <t>lf</t>
    </r>
  </si>
  <si>
    <t>DnBP</t>
  </si>
  <si>
    <t>84-74-2</t>
  </si>
  <si>
    <t>Di-n-butyl phthalate</t>
  </si>
  <si>
    <t>&lt;298.15</t>
  </si>
  <si>
    <t>&lt;25</t>
  </si>
  <si>
    <t>(CD48)</t>
  </si>
  <si>
    <t>(CD48 - JDC, AA)</t>
  </si>
  <si>
    <r>
      <t>(St)</t>
    </r>
    <r>
      <rPr>
        <vertAlign val="superscript"/>
        <sz val="11"/>
        <color theme="1"/>
        <rFont val="Times New Roman"/>
        <family val="1"/>
      </rPr>
      <t>lp</t>
    </r>
  </si>
  <si>
    <r>
      <t>(FA)</t>
    </r>
    <r>
      <rPr>
        <vertAlign val="superscript"/>
        <sz val="11"/>
        <color theme="1"/>
        <rFont val="Times New Roman"/>
        <family val="1"/>
      </rPr>
      <t>lq</t>
    </r>
  </si>
  <si>
    <t>DiBP</t>
  </si>
  <si>
    <r>
      <t>SF-UV (LB)</t>
    </r>
    <r>
      <rPr>
        <vertAlign val="superscript"/>
        <sz val="11"/>
        <color theme="1"/>
        <rFont val="Times New Roman"/>
        <family val="1"/>
      </rPr>
      <t>kn</t>
    </r>
  </si>
  <si>
    <t>84-69-5</t>
  </si>
  <si>
    <t>Diisobutyl phthalate</t>
  </si>
  <si>
    <t>(CD47)</t>
  </si>
  <si>
    <t>HPLC (Je)</t>
  </si>
  <si>
    <t>DPP</t>
  </si>
  <si>
    <t>131-16-8</t>
  </si>
  <si>
    <t>Dipropyl phthalate</t>
  </si>
  <si>
    <t>(CD46)</t>
  </si>
  <si>
    <t>GS (Ec28)</t>
  </si>
  <si>
    <t>206.15 - 229.15</t>
  </si>
  <si>
    <t>GC-RT (Roh)</t>
  </si>
  <si>
    <t>pour point (Ec28)</t>
  </si>
  <si>
    <r>
      <t>Knudsen effusion (Roh2)</t>
    </r>
    <r>
      <rPr>
        <vertAlign val="superscript"/>
        <sz val="11"/>
        <color rgb="FF000000"/>
        <rFont val="Times New Roman"/>
        <family val="1"/>
      </rPr>
      <t>mu</t>
    </r>
  </si>
  <si>
    <t>(CD46 - JCD, AA)</t>
  </si>
  <si>
    <r>
      <t>GS (GF)</t>
    </r>
    <r>
      <rPr>
        <vertAlign val="superscript"/>
        <sz val="11"/>
        <color rgb="FF000000"/>
        <rFont val="Times New Roman"/>
        <family val="1"/>
      </rPr>
      <t>ms</t>
    </r>
  </si>
  <si>
    <t>(CD46 - JCD)</t>
  </si>
  <si>
    <t>(CD46 - NIOSH)</t>
  </si>
  <si>
    <t>(CD46 - PP, JCD)</t>
  </si>
  <si>
    <t>DEP</t>
  </si>
  <si>
    <t>84-66-2</t>
  </si>
  <si>
    <t>Diethyl phthalate</t>
  </si>
  <si>
    <t>SF (Ec27)</t>
  </si>
  <si>
    <r>
      <t>SF (Ren2)</t>
    </r>
    <r>
      <rPr>
        <vertAlign val="superscript"/>
        <sz val="11"/>
        <color theme="1"/>
        <rFont val="Times New Roman"/>
        <family val="1"/>
      </rPr>
      <t>mr</t>
    </r>
  </si>
  <si>
    <r>
      <t>HPLC (Ren2)</t>
    </r>
    <r>
      <rPr>
        <vertAlign val="superscript"/>
        <sz val="11"/>
        <color theme="1"/>
        <rFont val="Times New Roman"/>
        <family val="1"/>
      </rPr>
      <t>mr</t>
    </r>
  </si>
  <si>
    <r>
      <t>SF (Ve2)</t>
    </r>
    <r>
      <rPr>
        <vertAlign val="superscript"/>
        <sz val="11"/>
        <color theme="1"/>
        <rFont val="Times New Roman"/>
        <family val="1"/>
      </rPr>
      <t>ks</t>
    </r>
  </si>
  <si>
    <t>(Sci - NIOSH, PP, NLM)</t>
  </si>
  <si>
    <t>GS (Ec27)</t>
  </si>
  <si>
    <t>(CD45 - JCD)</t>
  </si>
  <si>
    <r>
      <t>SF (HL)</t>
    </r>
    <r>
      <rPr>
        <vertAlign val="superscript"/>
        <sz val="11"/>
        <color theme="1"/>
        <rFont val="Times New Roman"/>
        <family val="1"/>
      </rPr>
      <t>kv</t>
    </r>
  </si>
  <si>
    <t>(CD45 - JCD, AA)</t>
  </si>
  <si>
    <t>GC-RT (Roh2)</t>
  </si>
  <si>
    <t>(CD45 - NIOSH)</t>
  </si>
  <si>
    <r>
      <t>HPLC (McD)</t>
    </r>
    <r>
      <rPr>
        <vertAlign val="superscript"/>
        <sz val="11"/>
        <color theme="1"/>
        <rFont val="Times New Roman"/>
        <family val="1"/>
      </rPr>
      <t>kf</t>
    </r>
  </si>
  <si>
    <t>DMP</t>
  </si>
  <si>
    <r>
      <t>SF (Ve2)</t>
    </r>
    <r>
      <rPr>
        <vertAlign val="superscript"/>
        <sz val="11"/>
        <color theme="1"/>
        <rFont val="Times New Roman"/>
        <family val="1"/>
      </rPr>
      <t>kd</t>
    </r>
  </si>
  <si>
    <t>131-11-3</t>
  </si>
  <si>
    <t>Dimethyl phthalate</t>
  </si>
  <si>
    <t>Phthalates</t>
  </si>
  <si>
    <t>AS = Andersson, J.T., Schrăder, W. (1999) A method for measuring 1-octanol-water partition coefficients. Anal. Chem. 71, 3610–3614.</t>
  </si>
  <si>
    <t>Bal = Balson, E.W. (1958) The Measurement of Vapour Pressure by Torsion-Effusion Method: Surface Phenomena in Chemistry and Biology.
Pergamon Press, Oxford, England.</t>
  </si>
  <si>
    <t>BF = Balk, F.; Ford, F.A. 1999. Environmental risk assessment for the polycyclic musks AHTN and HHCB in the EU I. Fate and exposure assessment. Toxicol. Lett. 111, 57-79.</t>
  </si>
  <si>
    <t>Cal = Callahan, M.A., Slimak, M.W., Gabel, N.W., May, I.P., Fowler, C.F., Freed, J.R., Jennings, P., Durfee, R.L., Whitemore, F.C., Maestri, B.,
Mabey, W.R., Holt, B.R., Gould, C. (1979) Water Related Environmental Fate of 129 Priority Pollutants. EPA No. 440-4-79-029a,b.
Versar, Inc., Springfield, Virginia</t>
  </si>
  <si>
    <t>CD = Chang, R., Davis, E.J. (1976) Knudsen aerosol evaporation. J. Colloid Interface Sci. 54, 352–363.</t>
  </si>
  <si>
    <t>CM = Cousins, I., Mackay, D. (2000) Correlating the physical-chemical properties of phthalate esters using the ‘three solubility’ approach.
Chemosphere 41, 1389–1399.</t>
  </si>
  <si>
    <t>DB = Deno, N. C. and Berkheimer, H. E.: Activity Coefficients as a Function of Structure and Media, J. Chem. Eng. Data, 5(1), 1–5, doi:10.1021/je60005a001, 1960.</t>
  </si>
  <si>
    <t>Dbj = De Bruijn, J., Busser, F., Seinen, W., Hermens, J. (1989) Determination of octanol/water partition coefficients for hydrophobic organic
chemicals with the “slow-stirring” method. Environ. Toxicol. Chem. 8, 499–512.</t>
  </si>
  <si>
    <t>Dea = Dean, J.D., Editor (1985) Lange’s Handbook of Chemistry. 13th Edition, McGraw-Hill, Inc., New York.</t>
  </si>
  <si>
    <t>Def = DeFoe, D.L., Holcombe, G.W., Hammermeister, D.E. (1990) Solubility and toxicity of eight phthalate esters to four aquatic organisms.
Environ. Toxicol. Chem. 9, 623–636.</t>
  </si>
  <si>
    <t>DR = Davis, E.J., Ray, A.K. (1977) Determination of diffusion coefficients by submicron droplet evaporation. J. Chem. Phys. 67, 414–419.</t>
  </si>
  <si>
    <t>EF = Ellington, J.J., Floyd, T.L., 1996. Octanol/water partition
coecients for eight phthalate esters. United States Environmental Protection Agency: Environmental Research
Brief. Report no. EPA/600/S-96/006.</t>
  </si>
  <si>
    <t>El2 = Ellington, J.J. (1999) Octanol/water partition coefficients and water solubilities of phthalate esters. J. Chem. Eng. Data 44, 1414–1418.</t>
  </si>
  <si>
    <t>Em = Emel’yanenko, V.N.;  Verevkin, S.P.; Stepurko, E.N.; Roganov, G.N. 2011. The Thermodynamic Characteristics of 15-Pentadecanolide and 16-Hexadecanolide. Russ. J. Phys. Chem. A 85, 348-356.</t>
  </si>
  <si>
    <t>FA = Fishbein, L., Albro, P.W. (1972) Chromatographic and biological aspects of the phthalate esters. J. Chromatogr. 70, 365–412.</t>
  </si>
  <si>
    <t>Fr = Franck, A. (1969) Chem.-Ztg., Chem. Appar. 93, 668.</t>
  </si>
  <si>
    <t>GB = Gardner, G.S., Brewer, J.E. (1937) Vapor pressure of commercial high-boiling organic solvents. Ind. Eng. Chem. 29, 179–181.</t>
  </si>
  <si>
    <t>GF = Grayson, B.T., Fosbraey, L.A. (1982) Determination of the vapour pressure of pesticides. Pestic. Sci. 13, 269–278.</t>
  </si>
  <si>
    <t>Gl = Gledhill, W.E., Kaley, R.G., Adams, W.J., Hicks, O., Michael, P.R., Saeger, V.W., Leblanc, G.A. (1980) An environmental safety
assessment of butyl benzyl phthalate. Environ. Sci. Technol. 14, 301–305.</t>
  </si>
  <si>
    <t>Gob = Gobble, C., Chickos, J., Verevkin, S.P. (2014) Vapor Pressures and Vaporization Enthalpies of a Series of Dialkyl Phthalates by Correlation Gas Chromatography. J. Chem. Eng. Data 59(4), 1353-1365.</t>
  </si>
  <si>
    <t>Gü = Gückel, W., Kästel, R., Lewerenz, J., Synnatschke, G. (1982) A method for determining the volatility of active ingredients used in.
plant protection. Part III: The temperature relationship between vapour pressure and evaporation rate. Pestic. Sci. 13, 161–168.</t>
  </si>
  <si>
    <t>Ha2 = Hayward, D.S., Kenley, R.A., Jenke, D.R. (1990) Interactions between polymer containers and parenteral solutions: the correlation
of equilibrium constants for polymer-water partitioning with octanol-water partition coefficients. Int. J. Pharm. 59, 245–253.</t>
  </si>
  <si>
    <t>HL = Hansch, C., Leo, A. (1985) Medchem Project Issue No. 26. Pomona College, Claremont, California.</t>
  </si>
  <si>
    <t>How2 = Howard, P.H., Banerjee, S., Robillard, K.H. (1985) Measurement of water solubilities, octanol/water partition coefficients and vapor
pressures of commercial phthalate esters. Environ. Toxicol. Chem. 4, 653–661.</t>
  </si>
  <si>
    <t>Hu = Hulscher, T. E. M. T.; Van Der Velde, L. E.; Bruggeman, W. A. Temperature Dependence of Henry’s Law Constants for Selected Chlorobenzenes, Polychlorinated Biphenyls and Polycyclic Aromatic Hydrocarbons. Environ. Toxicol. Chem. 1992, 11 (11), 1595–1603.</t>
  </si>
  <si>
    <t>Ja = Jaber, H.M., Smith, J.H., Cwirla, A.N. (1982) Evaluation of gas saturation method to measure vapor pressures EPA contract
No. 68-01-5117, SRI International, Menlo Park, California.</t>
  </si>
  <si>
    <t>Je = Jenke, D.R., Hayward, D.S., Kenley, R.A. (1990) Liquid chromatographic measurement of solute/solvent partition coefficients:
application to solute/container interactions. J. Chromatogr. Sci. 28, 609–612.</t>
  </si>
  <si>
    <t>Kl = Klein, W., Kördel, W., Weiβ, M., Poremski, H.J. (1988) Updating of the OECD test guideline 107 “partition coefficient n-octanol/water:”
OECD laboratory intercomparison test on HPLC method. Chemosphere 17, 361–386.</t>
  </si>
  <si>
    <t>LB = Leyder, F., Boulanger, P. (1983) Ultraviolet absorption, aqueous solubility, and octanol-water partition for several phthalates. Bull.
Environ. Contam. Toxicol. 30, 152–157.</t>
  </si>
  <si>
    <t>Le = Letinski, D., Connelly, Jr.,M.J., Peterson, D.R., Parketon, T.F. (2002) Slow-stir water solubility measurements of selected alcohols
and diesters. Chemosphere 43, 257–265.</t>
  </si>
  <si>
    <t>Lei = Lei, Y.D.; Chankalal, R.; Chan, A.; Wania, F. 2002. Supercooled Liquid Vapor Pressures of the Polycyclic Aromatic Hydrocarbons. JCED 47, 801-806.</t>
  </si>
  <si>
    <t>Li = Lide, D.R., Editor (2003) Handbook of Chemistry and Physics. 84th Edition, CRC Press, LLC. Boca Raton, Florida.</t>
  </si>
  <si>
    <t>LK = Lee, H-J.; Kwon, J.-H. 2016. Evaluation of Long-Range Transport Potential of Selected Brominated Flame Retardants with Measured 1-Octanol–Air Partition Coefﬁcients. Bull. Kor. Chem. Soc. 37, 1696-1702.</t>
  </si>
  <si>
    <t xml:space="preserve">LX = Liang, Y., Xu, Y. (2014) Improved Method for Measuring and Characterizing Phthalate Emissions from Building Materials and Its Application to Exposure Assessment. Environ. Sci. Technol. 48(8), 4475-4484. </t>
  </si>
  <si>
    <t>Mak = Maksimuk, Y. V., Kabo, G. J., Simirsky, V. V., Kozyro, A. A., Sevruk, V. M. (1998) Standard Enthalpies of Formation of Some Methyl Esters of 
Benzene Carboxylic Acids J. Chem. Eng. Data 
43, 293–298.</t>
  </si>
  <si>
    <t>NB = Nielson, N.M., Bundgaard, H. (1988) Glycolamide esters as biolabile prodrugs of carboxylic acid agents: synthesis, bioconversion
and physicochemical properties. J. Pharm. Sci. 77(4), 285–298.</t>
  </si>
  <si>
    <t>Oe = OECD (1981) OECD Guidelines for Testing of Chemicals. Section 1: Physical-Chemical Properties. Organization for Economic
Co-operation and Development. OECD, Paris.</t>
  </si>
  <si>
    <t>Pe = Pegoraro, C.N.; Chiappero, M.S.; Montejano, H.A. 2015. Measurements of octanol–air partition coefﬁcients, vapor pressures and vaporization enthalpies of the (E) and (Z) isomers of the 2-ethylhexyl 4methoxycinnamate as parameters of environmental impact assessment. Chemosphere 138, 546-552.</t>
  </si>
  <si>
    <t>Pea = Peakall, D.B. (1975) Phthalate esters: Occurrence and biological effects. Residue Rev. 54, 1–41.</t>
  </si>
  <si>
    <t>Po = Poole, S.K., Durham, D., Kibbey, C. (2000) Rapid method for estimation the octanol-water partition coefficient (log POW) by microemulsion electrokinetic chromatography. J. Chromatog. B, 745, 117–126.</t>
  </si>
  <si>
    <t>Ra = Ray, A.K., Davis, E.J., Ravindran, P. (1979) Determination of ultra-low vapor pressures by submicron droplet evaporation. J. Chem.
Phys. 71, 582–587.</t>
  </si>
  <si>
    <t>Ren2 = Renberg, L.O., Sundström, S.G., Rosén-Olofsson, A-C. (1985) The determination of partition coefficients of organic compounds in
technical products and waste waters for the estimation of their bioaccumulation potential using reversed phase thin layer
chromatography. Toxicol. Environ. Chem. 10, 333–349.</t>
  </si>
  <si>
    <t>RM = Russell, D.J., McDuffie, B. (1986) Chemodynamic properties of phthalate esters: Partitioning and soil migration. Chemosphere 15,
1003–1021.</t>
  </si>
  <si>
    <t>Roh = Rohac, V., Ruzicka, K., Ruzicka, V., Zaitsau, D. H., Kabo, G. J., Diky, V., Aim, K. (2004) Vapour pressure of diethyl phthalate. J Chem Thermodyn. 36, 929-937.</t>
  </si>
  <si>
    <t xml:space="preserve">Roh2 = Rohac, V., Musgrove, J. E., Ruzicka, K., Ruzicka, V., Zabransky, M., Aim, K. (1999) Thermodynamic properties of dimethyl phthalate along the (vapour + liquid) saturation curve. J. Chem. Thermodyn. 31, 971-986. </t>
  </si>
  <si>
    <t>Sp = Spencer, W. F.; Cliath, M. M. Volatility of DDT and Related Compounds. J. Agric. Food Chem. 1972, 20 (3), 645–649.</t>
  </si>
  <si>
    <t>Ve2 = Veith, G.D., Macek, K.J., Petrocelli, S.R., Carroll, J. (1980) An evaluation of using partition coefficients and water solubility to
estimate bioconcentration factors for organic chemicals in fish. In: Aquatic Toxicology. pp. 116–129. ASTM STP 707, Eaton,
J.G., Parrish, P.R., Hendricks, A.C., Eds., pp.116–129. Am. Soc. for Testing and Materials, Philadelphia, Pennsylvania.</t>
  </si>
  <si>
    <t>Ver = Verschueren, K. (1983) Handbook of Environmental Data on Organic Chemicals. 2nd Edition, Van Nostrand Reinhold, New York.</t>
  </si>
  <si>
    <t>Wer = Werner, A.C. (1952) Vapor pressures of phthalate esters. Ind. Eng. Chem. 44, 2736–2740.</t>
  </si>
  <si>
    <t>Wk= Wootitunthipong, K.; Chickos, J.. Vaporization enthalphy and vapor pressure of (-)ambroxide and Galaxolide by correlation gas chromatography. J. Chem. Themodynamics 2019, 129, 121-129</t>
  </si>
  <si>
    <t>Wol = Wolfe, N.L., Steen, W.C., Burns, L.A. (1980b) Phthalate ester hydrolysis: Linear-energy relationships. Chemosphere 9, 403–408.</t>
  </si>
  <si>
    <t>Wol2 = Wolfe, N.L., Burns, L.A., Steen, W.C. (1980a) Use of linear free-energy relationships on an evaluative model to assess the fate and
transport of phthalate esters in aquatic environment. Chemosphere 9, 393–402.</t>
  </si>
  <si>
    <t>Yue = Yue, C.; Chan, L.Y. 2013. Filling the gap: Estimating physicochemical properties of the full array of polybrominated diphenyl ethers (PBDEs). Environ. Pollut. 180, 312-323.</t>
  </si>
  <si>
    <t>Ead = Eadsforth, C.V. (1986) Application of reverse-phase HPLC for the determination of partition coefficients. Pestic. Sci. 17, 311–325.</t>
  </si>
  <si>
    <t>HPLC (Ead)</t>
  </si>
  <si>
    <t>Goo = Goodman, M.A. (1997) Vapor pressure of agrochemicals by the Knudsen effusion method using a quartz crystal microbalance.
J. Chem. Eng. Data 42, 1227–1231.</t>
  </si>
  <si>
    <t>Hale = Hales, J.L., Cogman, R.C., Frith, W.J. (1981) A transpiration-g.l.c. apparatus for measurement of low vapour concentration. J. Chem.
Thermodyn. 13, 591–601.</t>
  </si>
  <si>
    <r>
      <t>transpiration-GC (Hale)</t>
    </r>
    <r>
      <rPr>
        <vertAlign val="superscript"/>
        <sz val="11"/>
        <color rgb="FF000000"/>
        <rFont val="Times New Roman"/>
        <family val="1"/>
      </rPr>
      <t>ll</t>
    </r>
  </si>
  <si>
    <t>Har = Harnish, M., Möckel, H.J., Schulze, G. (1983) Relationship between LOG POW shake-flask values and capacity factors derived from
reversed-phase HPLC for n-alkylbenzenes and some OECD reference substances. J. Chromatogr. 282, 315–332.</t>
  </si>
  <si>
    <t>SF (Har)</t>
  </si>
  <si>
    <t>HPLC (Har)</t>
  </si>
  <si>
    <t>Hir = Hirzy, J.W., Adams, W.J., Gledhill, W.E., Mieure, J.P. (1978) Phthalate Esters: The Environmental Issues. Unpublished seminar
document, Monsanto Industrial Chemicals Company</t>
  </si>
  <si>
    <t>HaL = Hammer, E., Lydersen, A.L. (1957) The vapour pressure of di-n-butylphthalate, di-n-butylsebacate, lauric acid and myristic acid.
Chem. Eng. Sci. 7, 66–72.</t>
  </si>
  <si>
    <t>HLe = Haky, J.E., Leja, B. (1986) Evaluation of octanol-water partition coefficients using capillary gas chromatography with cold on-column
injection. Anal. Lett. 19(1–2), 123–134.</t>
  </si>
  <si>
    <t>SM = Schwarz, F.P., Miller, J. (1980) Determination of the aqueous solubilities of organic liquids at 10.0, 20.0, 30.0°C by elution chromatography. Anal. Chem. 52, 2162–2164.</t>
  </si>
  <si>
    <r>
      <t>elution chromatography (SM)</t>
    </r>
    <r>
      <rPr>
        <vertAlign val="superscript"/>
        <sz val="11"/>
        <color theme="1"/>
        <rFont val="Times New Roman"/>
        <family val="1"/>
      </rPr>
      <t>la</t>
    </r>
  </si>
  <si>
    <t>Tho = Thomsen, M., Carlsen, L., Hvidt, S. (2001) Solubilities and surface activities of phthalates investigated by surface tension measurements. Environ. Toxicol. Chem. 20, 127–132.</t>
  </si>
  <si>
    <t>SF-surface tension (Tho)</t>
  </si>
  <si>
    <t>Ec30: https://echa.europa.eu/registration-dossier/-/registered-dossier/14862</t>
  </si>
  <si>
    <t>Ec31: https://echa.europa.eu/registration-dossier/-/registered-dossier/12721</t>
  </si>
  <si>
    <t>Ec32: https://echa.europa.eu/registration-dossier/-/registered-dossier/10235</t>
  </si>
  <si>
    <t>Ec33: https://echa.europa.eu/registration-dossier/-/registered-dossier/15358</t>
  </si>
  <si>
    <t>Ec34: https://echa.europa.eu/registration-dossier/-/registered-dossier/14959</t>
  </si>
  <si>
    <t>Ec27: https://echa.europa.eu/registration-dossier/-/registered-dossier/14997</t>
  </si>
  <si>
    <t>Ec28: https://echa.europa.eu/registration-dossier/-/registered-dossier/14869</t>
  </si>
  <si>
    <t>Ec29: https://echa.europa.eu/registration-dossier/-/registered-dossier/1730</t>
  </si>
  <si>
    <t>CD45: https://comptox.epa.gov/dashboard/dsstoxdb/results?search=DTXSID3022455</t>
  </si>
  <si>
    <t>CD46: https://comptox.epa.gov/dashboard/dsstoxdb/results?search=DTXSID7021780</t>
  </si>
  <si>
    <t>CD47: https://comptox.epa.gov/dashboard/dsstoxdb/results?search=DTXSID5031133</t>
  </si>
  <si>
    <t>CD48: https://comptox.epa.gov/dashboard/dsstoxdb/results?search=DTXSID9022522</t>
  </si>
  <si>
    <t>CD49: https://comptox.epa.gov/dashboard/dsstoxdb/results?search=DTXSID2021781</t>
  </si>
  <si>
    <t>CD50: https://comptox.epa.gov/dashboard/dsstoxdb/results?search=DTXSID3020205</t>
  </si>
  <si>
    <t>CD51: https://comptox.epa.gov/dashboard/dsstoxdb/results?search=DTXSID5020607</t>
  </si>
  <si>
    <t>CD52: https://comptox.epa.gov/dashboard/dsstoxdb/results?search=DTXSID5020607</t>
  </si>
  <si>
    <t>CD54: https://comptox.epa.gov/dashboard/dsstoxdb/results?search=DTXSID7074161</t>
  </si>
  <si>
    <t>(CD54)</t>
  </si>
  <si>
    <t>NLM = "Hazardous Substances Data Bank" data were obtained from the National Library of Medicine (US) https://www.nlm.nih.gov/</t>
  </si>
  <si>
    <t>Sci = https://scifinder.cas.org/scifinder/view/scifinder/scifinderExplore.jsf</t>
  </si>
  <si>
    <t>LX</t>
  </si>
  <si>
    <t>nu</t>
  </si>
  <si>
    <t xml:space="preserve">Converted to 25 C </t>
  </si>
  <si>
    <t>Ec34</t>
  </si>
  <si>
    <t>nt</t>
  </si>
  <si>
    <t>ns</t>
  </si>
  <si>
    <t>nr</t>
  </si>
  <si>
    <t>nq</t>
  </si>
  <si>
    <t>Ec33</t>
  </si>
  <si>
    <t>np</t>
  </si>
  <si>
    <t>no</t>
  </si>
  <si>
    <t>nn</t>
  </si>
  <si>
    <t>nm</t>
  </si>
  <si>
    <t>Ec32</t>
  </si>
  <si>
    <t>nl</t>
  </si>
  <si>
    <t>nk</t>
  </si>
  <si>
    <t>Ec30</t>
  </si>
  <si>
    <t>nj</t>
  </si>
  <si>
    <t>ni</t>
  </si>
  <si>
    <t>nh</t>
  </si>
  <si>
    <t>Ec29</t>
  </si>
  <si>
    <t>ng</t>
  </si>
  <si>
    <t>nf</t>
  </si>
  <si>
    <t>ne</t>
  </si>
  <si>
    <t>nd</t>
  </si>
  <si>
    <t>nc</t>
  </si>
  <si>
    <t>nb</t>
  </si>
  <si>
    <t>Ec28</t>
  </si>
  <si>
    <t>na</t>
  </si>
  <si>
    <t>mz</t>
  </si>
  <si>
    <t>my</t>
  </si>
  <si>
    <t>Ec27</t>
  </si>
  <si>
    <t>mx</t>
  </si>
  <si>
    <t>Wer</t>
  </si>
  <si>
    <t>mw</t>
  </si>
  <si>
    <t>mv</t>
  </si>
  <si>
    <t>Converted to 25C</t>
  </si>
  <si>
    <t>Roh2</t>
  </si>
  <si>
    <t>mu</t>
  </si>
  <si>
    <t>Gob</t>
  </si>
  <si>
    <t>mt</t>
  </si>
  <si>
    <t>GF</t>
  </si>
  <si>
    <t>ms</t>
  </si>
  <si>
    <t xml:space="preserve">These are averages from interlaboratory studies </t>
  </si>
  <si>
    <t>Ren2</t>
  </si>
  <si>
    <t>mr</t>
  </si>
  <si>
    <t>NB</t>
  </si>
  <si>
    <t>mq</t>
  </si>
  <si>
    <t>Ref: Ec33</t>
  </si>
  <si>
    <t>Ref: Ec29</t>
  </si>
  <si>
    <t>mp</t>
  </si>
  <si>
    <t>Could not find original source</t>
  </si>
  <si>
    <t>Ver</t>
  </si>
  <si>
    <t>mo</t>
  </si>
  <si>
    <t>mn</t>
  </si>
  <si>
    <t xml:space="preserve">LB </t>
  </si>
  <si>
    <t>mm</t>
  </si>
  <si>
    <t>Hi2</t>
  </si>
  <si>
    <t>ml</t>
  </si>
  <si>
    <t>Gl</t>
  </si>
  <si>
    <t>mk</t>
  </si>
  <si>
    <t>Could not find original source (paywall). Quoted in Mackay handbook as: 20C, Verschueren, K. (1983) Handbook of Environmental Data on Organic Chemicals. 2nd Edition, Van Nostrand Reinhold, New York.</t>
  </si>
  <si>
    <t>mj</t>
  </si>
  <si>
    <t>mi</t>
  </si>
  <si>
    <t>mh</t>
  </si>
  <si>
    <t>Could not find original source. Quoted in Cal as: EPA-OHMTADS</t>
  </si>
  <si>
    <t>Cal</t>
  </si>
  <si>
    <t>Mp</t>
  </si>
  <si>
    <t>mg</t>
  </si>
  <si>
    <t>Le</t>
  </si>
  <si>
    <t>mf</t>
  </si>
  <si>
    <t xml:space="preserve">me </t>
  </si>
  <si>
    <t xml:space="preserve">md </t>
  </si>
  <si>
    <t xml:space="preserve">mc </t>
  </si>
  <si>
    <t>Oe</t>
  </si>
  <si>
    <t>Ra</t>
  </si>
  <si>
    <t>DR</t>
  </si>
  <si>
    <t xml:space="preserve">lz </t>
  </si>
  <si>
    <t>PW</t>
  </si>
  <si>
    <t>Could not find original source. Quoted in Mackay handbook as: (from Monsanto Chemical Co. data sheets, Peakall 1975)</t>
  </si>
  <si>
    <t>Pea</t>
  </si>
  <si>
    <t>FA</t>
  </si>
  <si>
    <t>Temperature not given</t>
  </si>
  <si>
    <t>El2</t>
  </si>
  <si>
    <t>Could not find original source. Quoted in Staples et al. as: Data from Howard et al. (1985); ttoward et al. (I 989); Sears and Touchette (1982); and manufacturer's unpublished data.</t>
  </si>
  <si>
    <t>St</t>
  </si>
  <si>
    <t>Could not find original source. Quoted in Mackay handbook as: shake flask, Hansch &amp; Leo 1985; 1987 (Hansch, C., Leo, A. (1985) Medchem Project Issue No. 26. Pomona College, Claremont, California.)</t>
  </si>
  <si>
    <t>HL</t>
  </si>
  <si>
    <t>Gü</t>
  </si>
  <si>
    <t>Ha3</t>
  </si>
  <si>
    <t>ll</t>
  </si>
  <si>
    <t>Fr</t>
  </si>
  <si>
    <t>Ref: Ec28</t>
  </si>
  <si>
    <t>HL2</t>
  </si>
  <si>
    <t xml:space="preserve">GB </t>
  </si>
  <si>
    <t xml:space="preserve">Converted to 25 C ; could not find original source. Quoted in Mackay as: from Monsanto Chemical Co. data sheets, Peakall 1975 </t>
  </si>
  <si>
    <t>Converted to 25 C ;  could not find original source - quoted in Mackay as: 20°C, torsion-effusion method, Balson 1958 (Balson, E.W. (1958) The Measurement of Vapour Pressure by Torsion-Effusion Method: Surface Phenomena in Chemistry and Biology.
Pergamon Press, Oxford, England)</t>
  </si>
  <si>
    <t>Bal</t>
  </si>
  <si>
    <t>Th2</t>
  </si>
  <si>
    <t>Unit conversion</t>
  </si>
  <si>
    <t>Ve2</t>
  </si>
  <si>
    <t>Could not find original source. Quoted in DB as: Seidell, Atherton, “Solubilities,” Van Nostrand. New York, 1940.</t>
  </si>
  <si>
    <t>DB</t>
  </si>
  <si>
    <t xml:space="preserve">Diethyl phthalate </t>
  </si>
  <si>
    <t xml:space="preserve">Dimethyl phthalate </t>
  </si>
  <si>
    <t>dipropyl phthalate</t>
  </si>
  <si>
    <t>Ref: Ec27</t>
  </si>
  <si>
    <t>McD</t>
  </si>
  <si>
    <t xml:space="preserve">Kow </t>
  </si>
  <si>
    <r>
      <t>SH (Mur)</t>
    </r>
    <r>
      <rPr>
        <vertAlign val="superscript"/>
        <sz val="11"/>
        <rFont val="Times New Roman"/>
        <family val="1"/>
      </rPr>
      <t>nv</t>
    </r>
  </si>
  <si>
    <r>
      <t>SS (Mur)</t>
    </r>
    <r>
      <rPr>
        <vertAlign val="superscript"/>
        <sz val="11"/>
        <color theme="1"/>
        <rFont val="Times New Roman"/>
        <family val="1"/>
      </rPr>
      <t>nw</t>
    </r>
  </si>
  <si>
    <r>
      <t>GC-RT (Mur)</t>
    </r>
    <r>
      <rPr>
        <vertAlign val="superscript"/>
        <sz val="11"/>
        <color rgb="FF000000"/>
        <rFont val="Times New Roman"/>
        <family val="1"/>
      </rPr>
      <t>nx</t>
    </r>
  </si>
  <si>
    <r>
      <t>SH (Mur)</t>
    </r>
    <r>
      <rPr>
        <vertAlign val="superscript"/>
        <sz val="11"/>
        <rFont val="Times New Roman"/>
        <family val="1"/>
      </rPr>
      <t>ny</t>
    </r>
  </si>
  <si>
    <r>
      <t>SH (Mur)</t>
    </r>
    <r>
      <rPr>
        <vertAlign val="superscript"/>
        <sz val="11"/>
        <rFont val="Times New Roman"/>
        <family val="1"/>
      </rPr>
      <t>nz</t>
    </r>
  </si>
  <si>
    <r>
      <t>313 - 363 GS (Ku)</t>
    </r>
    <r>
      <rPr>
        <vertAlign val="superscript"/>
        <sz val="11"/>
        <color rgb="FF000000"/>
        <rFont val="Times New Roman"/>
        <family val="1"/>
      </rPr>
      <t>oa</t>
    </r>
  </si>
  <si>
    <r>
      <t>403–475 CGC (Ti2)</t>
    </r>
    <r>
      <rPr>
        <i/>
        <vertAlign val="superscript"/>
        <sz val="10"/>
        <color rgb="FF000000"/>
        <rFont val="Times New Roman"/>
        <family val="1"/>
      </rPr>
      <t>ob</t>
    </r>
  </si>
  <si>
    <r>
      <t>DSC (Rod)</t>
    </r>
    <r>
      <rPr>
        <vertAlign val="superscript"/>
        <sz val="11"/>
        <color theme="1"/>
        <rFont val="Times New Roman"/>
        <family val="1"/>
      </rPr>
      <t>oc</t>
    </r>
  </si>
  <si>
    <r>
      <t>DSC (Rod)</t>
    </r>
    <r>
      <rPr>
        <vertAlign val="superscript"/>
        <sz val="11"/>
        <color theme="1"/>
        <rFont val="Times New Roman"/>
        <family val="1"/>
      </rPr>
      <t>od</t>
    </r>
  </si>
  <si>
    <r>
      <t>GS (SW-a)</t>
    </r>
    <r>
      <rPr>
        <vertAlign val="superscript"/>
        <sz val="11"/>
        <color rgb="FF000000"/>
        <rFont val="Times New Roman"/>
        <family val="1"/>
      </rPr>
      <t>oe</t>
    </r>
  </si>
  <si>
    <r>
      <t>298-318 SF (Ri)</t>
    </r>
    <r>
      <rPr>
        <vertAlign val="superscript"/>
        <sz val="10"/>
        <color theme="1"/>
        <rFont val="Times New Roman"/>
        <family val="1"/>
      </rPr>
      <t>og</t>
    </r>
  </si>
  <si>
    <r>
      <t>288-318 SF (BR)</t>
    </r>
    <r>
      <rPr>
        <vertAlign val="superscript"/>
        <sz val="10"/>
        <color theme="1"/>
        <rFont val="Times New Roman"/>
        <family val="1"/>
      </rPr>
      <t>oh</t>
    </r>
  </si>
  <si>
    <r>
      <t>288-318 SF (BR)</t>
    </r>
    <r>
      <rPr>
        <vertAlign val="superscript"/>
        <sz val="10"/>
        <color theme="1"/>
        <rFont val="Times New Roman"/>
        <family val="1"/>
      </rPr>
      <t>oi</t>
    </r>
  </si>
  <si>
    <r>
      <t>288-318 SF (BR)</t>
    </r>
    <r>
      <rPr>
        <vertAlign val="superscript"/>
        <sz val="10"/>
        <color theme="1"/>
        <rFont val="Times New Roman"/>
        <family val="1"/>
      </rPr>
      <t>oj</t>
    </r>
  </si>
  <si>
    <r>
      <t>288-318 SF (BR)</t>
    </r>
    <r>
      <rPr>
        <vertAlign val="superscript"/>
        <sz val="10"/>
        <color theme="1"/>
        <rFont val="Times New Roman"/>
        <family val="1"/>
      </rPr>
      <t>ok</t>
    </r>
  </si>
  <si>
    <r>
      <t>288-318 SF (BR)</t>
    </r>
    <r>
      <rPr>
        <vertAlign val="superscript"/>
        <sz val="10"/>
        <color theme="1"/>
        <rFont val="Times New Roman"/>
        <family val="1"/>
      </rPr>
      <t>ol</t>
    </r>
  </si>
  <si>
    <r>
      <t>GC-RT (Sw-a)</t>
    </r>
    <r>
      <rPr>
        <vertAlign val="superscript"/>
        <sz val="11"/>
        <color rgb="FF000000"/>
        <rFont val="Times New Roman"/>
        <family val="1"/>
      </rPr>
      <t>om</t>
    </r>
  </si>
  <si>
    <r>
      <t>Gen. Col (Sw-a)</t>
    </r>
    <r>
      <rPr>
        <vertAlign val="superscript"/>
        <sz val="11"/>
        <color rgb="FF000000"/>
        <rFont val="Times New Roman"/>
        <family val="1"/>
      </rPr>
      <t>on</t>
    </r>
  </si>
  <si>
    <r>
      <t>SF (BR)</t>
    </r>
    <r>
      <rPr>
        <vertAlign val="superscript"/>
        <sz val="11"/>
        <color rgb="FF000000"/>
        <rFont val="Times New Roman"/>
        <family val="1"/>
      </rPr>
      <t>op</t>
    </r>
  </si>
  <si>
    <r>
      <t>GS (SC)</t>
    </r>
    <r>
      <rPr>
        <vertAlign val="superscript"/>
        <sz val="11"/>
        <color rgb="FF000000"/>
        <rFont val="Times New Roman"/>
        <family val="1"/>
      </rPr>
      <t>oq</t>
    </r>
  </si>
  <si>
    <r>
      <t>HPLC (DKL)</t>
    </r>
    <r>
      <rPr>
        <i/>
        <vertAlign val="superscript"/>
        <sz val="11"/>
        <color rgb="FF000000"/>
        <rFont val="Times New Roman"/>
        <family val="1"/>
      </rPr>
      <t>or</t>
    </r>
  </si>
  <si>
    <r>
      <t>HPLC (DKL)</t>
    </r>
    <r>
      <rPr>
        <i/>
        <vertAlign val="superscript"/>
        <sz val="11"/>
        <color theme="1"/>
        <rFont val="Times New Roman"/>
        <family val="1"/>
      </rPr>
      <t>os</t>
    </r>
  </si>
  <si>
    <r>
      <t>SS (Ni)</t>
    </r>
    <r>
      <rPr>
        <vertAlign val="superscript"/>
        <sz val="11"/>
        <color rgb="FF000000"/>
        <rFont val="Times New Roman"/>
        <family val="1"/>
      </rPr>
      <t>ot</t>
    </r>
  </si>
  <si>
    <r>
      <t>SS (Ni)</t>
    </r>
    <r>
      <rPr>
        <vertAlign val="superscript"/>
        <sz val="11"/>
        <color rgb="FF000000"/>
        <rFont val="Times New Roman"/>
        <family val="1"/>
      </rPr>
      <t>ou</t>
    </r>
  </si>
  <si>
    <r>
      <t>277-293 SS (Ni)</t>
    </r>
    <r>
      <rPr>
        <vertAlign val="superscript"/>
        <sz val="10"/>
        <color theme="1"/>
        <rFont val="Times New Roman"/>
        <family val="1"/>
      </rPr>
      <t>ov</t>
    </r>
  </si>
  <si>
    <r>
      <t>277-293 SS (Ni)</t>
    </r>
    <r>
      <rPr>
        <vertAlign val="superscript"/>
        <sz val="10"/>
        <color theme="1"/>
        <rFont val="Times New Roman"/>
        <family val="1"/>
      </rPr>
      <t>ow</t>
    </r>
  </si>
  <si>
    <r>
      <t>277-293 SS (Ni)</t>
    </r>
    <r>
      <rPr>
        <vertAlign val="superscript"/>
        <sz val="10"/>
        <color theme="1"/>
        <rFont val="Times New Roman"/>
        <family val="1"/>
      </rPr>
      <t>ox</t>
    </r>
  </si>
  <si>
    <r>
      <t>SF (Go)</t>
    </r>
    <r>
      <rPr>
        <vertAlign val="superscript"/>
        <sz val="11"/>
        <color theme="1"/>
        <rFont val="Times New Roman"/>
        <family val="1"/>
      </rPr>
      <t>oy</t>
    </r>
  </si>
  <si>
    <r>
      <t>SF (HaS)</t>
    </r>
    <r>
      <rPr>
        <vertAlign val="superscript"/>
        <sz val="11"/>
        <color theme="1"/>
        <rFont val="Times New Roman"/>
        <family val="1"/>
      </rPr>
      <t>oz</t>
    </r>
  </si>
  <si>
    <r>
      <t>MPA (MPP)</t>
    </r>
    <r>
      <rPr>
        <i/>
        <vertAlign val="superscript"/>
        <sz val="11"/>
        <color theme="1"/>
        <rFont val="Times New Roman"/>
        <family val="1"/>
      </rPr>
      <t>pa</t>
    </r>
  </si>
  <si>
    <r>
      <t>KE (MPP)</t>
    </r>
    <r>
      <rPr>
        <vertAlign val="superscript"/>
        <sz val="11"/>
        <color theme="1"/>
        <rFont val="Times New Roman"/>
        <family val="1"/>
      </rPr>
      <t>pb</t>
    </r>
  </si>
  <si>
    <r>
      <t>KE (MPP)</t>
    </r>
    <r>
      <rPr>
        <i/>
        <vertAlign val="superscript"/>
        <sz val="11"/>
        <color rgb="FF000000"/>
        <rFont val="Times New Roman"/>
        <family val="1"/>
      </rPr>
      <t>pc</t>
    </r>
  </si>
  <si>
    <r>
      <t>358-431 KE (MPP)</t>
    </r>
    <r>
      <rPr>
        <vertAlign val="superscript"/>
        <sz val="10"/>
        <color rgb="FF000000"/>
        <rFont val="Times New Roman"/>
        <family val="1"/>
      </rPr>
      <t>pd</t>
    </r>
  </si>
  <si>
    <r>
      <t>363-430 KE (MPP)</t>
    </r>
    <r>
      <rPr>
        <vertAlign val="superscript"/>
        <sz val="10"/>
        <color rgb="FF000000"/>
        <rFont val="Times New Roman"/>
        <family val="1"/>
      </rPr>
      <t>pe</t>
    </r>
  </si>
  <si>
    <r>
      <t>gen. col. (deM)</t>
    </r>
    <r>
      <rPr>
        <vertAlign val="superscript"/>
        <sz val="11"/>
        <color theme="1"/>
        <rFont val="Times New Roman"/>
        <family val="1"/>
      </rPr>
      <t>pf</t>
    </r>
  </si>
  <si>
    <r>
      <t>gen. col. (deM)</t>
    </r>
    <r>
      <rPr>
        <vertAlign val="superscript"/>
        <sz val="11"/>
        <color theme="1"/>
        <rFont val="Times New Roman"/>
        <family val="1"/>
      </rPr>
      <t>pg</t>
    </r>
  </si>
  <si>
    <r>
      <t>SF (MS)</t>
    </r>
    <r>
      <rPr>
        <vertAlign val="superscript"/>
        <sz val="11"/>
        <color theme="1"/>
        <rFont val="Times New Roman"/>
        <family val="1"/>
      </rPr>
      <t>ph</t>
    </r>
  </si>
  <si>
    <r>
      <t>SF (Ba)</t>
    </r>
    <r>
      <rPr>
        <vertAlign val="superscript"/>
        <sz val="11"/>
        <color theme="1"/>
        <rFont val="Times New Roman"/>
        <family val="1"/>
      </rPr>
      <t>pi</t>
    </r>
  </si>
  <si>
    <r>
      <t>gen. col. (Bil)</t>
    </r>
    <r>
      <rPr>
        <vertAlign val="superscript"/>
        <sz val="11"/>
        <color theme="1"/>
        <rFont val="Times New Roman"/>
        <family val="1"/>
      </rPr>
      <t>pj</t>
    </r>
  </si>
  <si>
    <r>
      <t>LSC (Ea)</t>
    </r>
    <r>
      <rPr>
        <i/>
        <vertAlign val="superscript"/>
        <sz val="11"/>
        <color theme="1"/>
        <rFont val="Times New Roman"/>
        <family val="1"/>
      </rPr>
      <t>pk</t>
    </r>
  </si>
  <si>
    <r>
      <t>288-303 gen. col. (Vel)</t>
    </r>
    <r>
      <rPr>
        <vertAlign val="superscript"/>
        <sz val="10"/>
        <color theme="1"/>
        <rFont val="Times New Roman"/>
        <family val="1"/>
      </rPr>
      <t>pl</t>
    </r>
  </si>
  <si>
    <r>
      <t>283-303 gen. col. (May)</t>
    </r>
    <r>
      <rPr>
        <vertAlign val="superscript"/>
        <sz val="10"/>
        <color theme="1"/>
        <rFont val="Times New Roman"/>
        <family val="1"/>
      </rPr>
      <t>pr</t>
    </r>
  </si>
  <si>
    <r>
      <t>283-303 gen. col. (May)</t>
    </r>
    <r>
      <rPr>
        <vertAlign val="superscript"/>
        <sz val="10"/>
        <color theme="1"/>
        <rFont val="Times New Roman"/>
        <family val="1"/>
      </rPr>
      <t>pq</t>
    </r>
  </si>
  <si>
    <r>
      <t>gen. col. (Vel)</t>
    </r>
    <r>
      <rPr>
        <vertAlign val="superscript"/>
        <sz val="11"/>
        <color theme="1"/>
        <rFont val="Times New Roman"/>
        <family val="1"/>
      </rPr>
      <t>po</t>
    </r>
  </si>
  <si>
    <r>
      <t>SF (Pas)</t>
    </r>
    <r>
      <rPr>
        <vertAlign val="superscript"/>
        <sz val="11"/>
        <color theme="1"/>
        <rFont val="Times New Roman"/>
        <family val="1"/>
      </rPr>
      <t>pp</t>
    </r>
  </si>
  <si>
    <r>
      <t>gen. col. (May)</t>
    </r>
    <r>
      <rPr>
        <vertAlign val="superscript"/>
        <sz val="11"/>
        <color theme="1"/>
        <rFont val="Times New Roman"/>
        <family val="1"/>
      </rPr>
      <t>pq</t>
    </r>
  </si>
  <si>
    <r>
      <t>gen. col. (Wh)</t>
    </r>
    <r>
      <rPr>
        <vertAlign val="superscript"/>
        <sz val="11"/>
        <color theme="1"/>
        <rFont val="Times New Roman"/>
        <family val="1"/>
      </rPr>
      <t>ps</t>
    </r>
  </si>
  <si>
    <r>
      <t>gen. col. (Wi)</t>
    </r>
    <r>
      <rPr>
        <vertAlign val="superscript"/>
        <sz val="11"/>
        <color theme="1"/>
        <rFont val="Times New Roman"/>
        <family val="1"/>
      </rPr>
      <t>pu</t>
    </r>
  </si>
  <si>
    <r>
      <t>GC-RT (Bi)</t>
    </r>
    <r>
      <rPr>
        <i/>
        <vertAlign val="superscript"/>
        <sz val="11"/>
        <color theme="1"/>
        <rFont val="Times New Roman"/>
        <family val="1"/>
      </rPr>
      <t>pv</t>
    </r>
  </si>
  <si>
    <r>
      <t>SF (MH)</t>
    </r>
    <r>
      <rPr>
        <vertAlign val="superscript"/>
        <sz val="11"/>
        <color theme="1"/>
        <rFont val="Times New Roman"/>
        <family val="1"/>
      </rPr>
      <t>pw</t>
    </r>
  </si>
  <si>
    <r>
      <t>gen. col (Wi)</t>
    </r>
    <r>
      <rPr>
        <vertAlign val="superscript"/>
        <sz val="11"/>
        <color theme="1"/>
        <rFont val="Times New Roman"/>
        <family val="1"/>
      </rPr>
      <t>px</t>
    </r>
  </si>
  <si>
    <r>
      <t>SS (DeM)</t>
    </r>
    <r>
      <rPr>
        <vertAlign val="superscript"/>
        <sz val="11"/>
        <color theme="1"/>
        <rFont val="Times New Roman"/>
        <family val="1"/>
      </rPr>
      <t>py</t>
    </r>
  </si>
  <si>
    <t>nw</t>
  </si>
  <si>
    <t>nx</t>
  </si>
  <si>
    <t>ny</t>
  </si>
  <si>
    <t>nz</t>
  </si>
  <si>
    <t>oa</t>
  </si>
  <si>
    <t>ob</t>
  </si>
  <si>
    <t>oc</t>
  </si>
  <si>
    <t>od</t>
  </si>
  <si>
    <t>oe</t>
  </si>
  <si>
    <t>of</t>
  </si>
  <si>
    <t>og</t>
  </si>
  <si>
    <t>oh</t>
  </si>
  <si>
    <t>oi</t>
  </si>
  <si>
    <t>oj</t>
  </si>
  <si>
    <t>ok</t>
  </si>
  <si>
    <t>ol</t>
  </si>
  <si>
    <t>om</t>
  </si>
  <si>
    <t>on</t>
  </si>
  <si>
    <t>op</t>
  </si>
  <si>
    <t>oq</t>
  </si>
  <si>
    <t>or</t>
  </si>
  <si>
    <t>os</t>
  </si>
  <si>
    <t>ot</t>
  </si>
  <si>
    <t>ou</t>
  </si>
  <si>
    <t>ov</t>
  </si>
  <si>
    <t>ow</t>
  </si>
  <si>
    <t>ox</t>
  </si>
  <si>
    <t>oy</t>
  </si>
  <si>
    <t>oz</t>
  </si>
  <si>
    <t>pa</t>
  </si>
  <si>
    <t>pb</t>
  </si>
  <si>
    <t>pc</t>
  </si>
  <si>
    <t>pd</t>
  </si>
  <si>
    <t>pe</t>
  </si>
  <si>
    <t>pf</t>
  </si>
  <si>
    <t>pg</t>
  </si>
  <si>
    <t>ph</t>
  </si>
  <si>
    <t>pi</t>
  </si>
  <si>
    <t>pj</t>
  </si>
  <si>
    <t>pk</t>
  </si>
  <si>
    <t>pl</t>
  </si>
  <si>
    <t>pm</t>
  </si>
  <si>
    <t>pn</t>
  </si>
  <si>
    <t>po</t>
  </si>
  <si>
    <t>pp</t>
  </si>
  <si>
    <t>pq</t>
  </si>
  <si>
    <t>pr</t>
  </si>
  <si>
    <t>ps</t>
  </si>
  <si>
    <t>pt</t>
  </si>
  <si>
    <t>pu</t>
  </si>
  <si>
    <t>pv</t>
  </si>
  <si>
    <t>pw</t>
  </si>
  <si>
    <t>px</t>
  </si>
  <si>
    <t>py</t>
  </si>
  <si>
    <t>oo</t>
  </si>
  <si>
    <t>Phthalate</t>
  </si>
  <si>
    <t>St = Staples, C.A., Peterson, D.R., Pakerton, T.F., Adams, W.J. (1997) The environmental fate of phthalate esters. A literature review. Chemosphere 35(4), 667–749.</t>
  </si>
  <si>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(St)</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</si>
  <si>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(Wol2)</t>
    </r>
  </si>
  <si>
    <t>325-365 DC (Mak)</t>
  </si>
  <si>
    <t>370-430 E (Sm)</t>
  </si>
  <si>
    <t>See regression at right. Excluded as inconsistent with other values</t>
  </si>
  <si>
    <r>
      <t>360-555 TM (Ec27)</t>
    </r>
    <r>
      <rPr>
        <i/>
        <vertAlign val="superscript"/>
        <sz val="10"/>
        <color rgb="FF000000"/>
        <rFont val="Times New Roman"/>
        <family val="1"/>
      </rPr>
      <t>mx</t>
    </r>
  </si>
  <si>
    <t>263-313 (HP)</t>
  </si>
  <si>
    <t>HP = Hoyer, H. and Peperle, W.: Dampfdruckmessungen an organischen Substanzen und ihre Sublimationswärmen, Zeitschrift für Elektrochemie, Berichte der Bunsengesellschaft für Phys. Chemie, 62(1), 61–66, doi:10.1002/bbpc.19580620109, 1958.</t>
  </si>
  <si>
    <t>298-353 (HP)</t>
  </si>
  <si>
    <t>333-393 (HP)</t>
  </si>
  <si>
    <t>293-353 (HP)</t>
  </si>
  <si>
    <r>
      <t>E (Bal)</t>
    </r>
    <r>
      <rPr>
        <vertAlign val="superscript"/>
        <sz val="11"/>
        <color rgb="FF000000"/>
        <rFont val="Times New Roman"/>
        <family val="1"/>
      </rPr>
      <t>le</t>
    </r>
  </si>
  <si>
    <t>KI = Ishii, H. and Nakayama, K.: A Simple Method of Vapour Pressure Measurement for High Boiling Liquid Substances., J. Soc. Chem. Ind. Japan, 62(3), 385–388, doi:10.1246/nikkashi1898.62.3_385, 1959.</t>
  </si>
  <si>
    <t>diethyl phthalate, Bis(2-ethylhexyl) phthalate, di-n-butyl phthalate</t>
  </si>
  <si>
    <t>various</t>
  </si>
  <si>
    <t>KI</t>
  </si>
  <si>
    <t>All KI dHvap results were rejected as t hey were consistently lower than other measurements</t>
  </si>
  <si>
    <r>
      <t>415-463 GS (KI)</t>
    </r>
    <r>
      <rPr>
        <i/>
        <vertAlign val="superscript"/>
        <sz val="10"/>
        <color rgb="FF000000"/>
        <rFont val="Times New Roman"/>
        <family val="1"/>
      </rPr>
      <t>oo</t>
    </r>
  </si>
  <si>
    <r>
      <t>481-538 GS (KI)</t>
    </r>
    <r>
      <rPr>
        <i/>
        <vertAlign val="superscript"/>
        <sz val="10"/>
        <color rgb="FF000000"/>
        <rFont val="Times New Roman"/>
        <family val="1"/>
      </rPr>
      <t>oo</t>
    </r>
  </si>
  <si>
    <t>GS (KI)</t>
  </si>
  <si>
    <t>Roh-a</t>
  </si>
  <si>
    <t>466-552 DC (Roh2)</t>
  </si>
  <si>
    <t>303-343 DC (Roh)</t>
  </si>
  <si>
    <r>
      <t>(Ec28)</t>
    </r>
    <r>
      <rPr>
        <i/>
        <vertAlign val="superscript"/>
        <sz val="10"/>
        <color rgb="FF000000"/>
        <rFont val="Times New Roman"/>
        <family val="1"/>
      </rPr>
      <t>my</t>
    </r>
  </si>
  <si>
    <t>See regression at right. Rejected as inconsistent with other values</t>
  </si>
  <si>
    <r>
      <t>TM (Ec29)</t>
    </r>
    <r>
      <rPr>
        <vertAlign val="superscript"/>
        <sz val="10"/>
        <color rgb="FF000000"/>
        <rFont val="Times New Roman"/>
        <family val="1"/>
      </rPr>
      <t>nb</t>
    </r>
  </si>
  <si>
    <r>
      <t>TM (Ec29)</t>
    </r>
    <r>
      <rPr>
        <vertAlign val="superscript"/>
        <sz val="10"/>
        <color rgb="FF000000"/>
        <rFont val="Times New Roman"/>
        <family val="1"/>
      </rPr>
      <t>nc</t>
    </r>
  </si>
  <si>
    <r>
      <t>TM (Ec29)</t>
    </r>
    <r>
      <rPr>
        <vertAlign val="superscript"/>
        <sz val="10"/>
        <color rgb="FF000000"/>
        <rFont val="Times New Roman"/>
        <family val="1"/>
      </rPr>
      <t>nf</t>
    </r>
  </si>
  <si>
    <r>
      <t>SF (LB)</t>
    </r>
    <r>
      <rPr>
        <vertAlign val="superscript"/>
        <sz val="11"/>
        <color theme="1"/>
        <rFont val="Times New Roman"/>
        <family val="1"/>
      </rPr>
      <t>kg</t>
    </r>
  </si>
  <si>
    <t>pz</t>
  </si>
  <si>
    <t>SF (How2)</t>
  </si>
  <si>
    <t>HPLC (How2)</t>
  </si>
  <si>
    <r>
      <t>SF (LB)</t>
    </r>
    <r>
      <rPr>
        <vertAlign val="superscript"/>
        <sz val="11"/>
        <color theme="1"/>
        <rFont val="Times New Roman"/>
        <family val="1"/>
      </rPr>
      <t>ki</t>
    </r>
  </si>
  <si>
    <r>
      <t>SF (LB)</t>
    </r>
    <r>
      <rPr>
        <vertAlign val="superscript"/>
        <sz val="11"/>
        <color theme="1"/>
        <rFont val="Times New Roman"/>
        <family val="1"/>
      </rPr>
      <t>kq</t>
    </r>
  </si>
  <si>
    <t>HPLC (HLe)</t>
  </si>
  <si>
    <t>SF (AS)</t>
  </si>
  <si>
    <r>
      <t>meas. (Def)</t>
    </r>
    <r>
      <rPr>
        <i/>
        <vertAlign val="superscript"/>
        <sz val="11"/>
        <color theme="1"/>
        <rFont val="Times New Roman"/>
        <family val="1"/>
      </rPr>
      <t>qa</t>
    </r>
  </si>
  <si>
    <t>qa</t>
  </si>
  <si>
    <t>Def</t>
  </si>
  <si>
    <t>Rejected as no information on methods &amp; quoted source not identified</t>
  </si>
  <si>
    <t>SF (Gl)</t>
  </si>
  <si>
    <r>
      <t>SF (LB)</t>
    </r>
    <r>
      <rPr>
        <vertAlign val="superscript"/>
        <sz val="11"/>
        <color theme="1"/>
        <rFont val="Times New Roman"/>
        <family val="1"/>
      </rPr>
      <t>mm</t>
    </r>
  </si>
  <si>
    <t>Quoted in Mackay as (Hirzy et al. 1978). Rejected as not information on experimental method or temperature provided</t>
  </si>
  <si>
    <r>
      <t>(Mac)</t>
    </r>
    <r>
      <rPr>
        <i/>
        <vertAlign val="superscript"/>
        <sz val="11"/>
        <color theme="1"/>
        <rFont val="Times New Roman"/>
        <family val="1"/>
      </rPr>
      <t>ml</t>
    </r>
  </si>
  <si>
    <r>
      <t>HPLC (How2)</t>
    </r>
    <r>
      <rPr>
        <i/>
        <vertAlign val="superscript"/>
        <sz val="11"/>
        <color theme="1"/>
        <rFont val="Times New Roman"/>
        <family val="1"/>
      </rPr>
      <t>qb</t>
    </r>
  </si>
  <si>
    <t>qb</t>
  </si>
  <si>
    <t>How2</t>
  </si>
  <si>
    <t>qc</t>
  </si>
  <si>
    <r>
      <t>SF (Ve2)</t>
    </r>
    <r>
      <rPr>
        <i/>
        <vertAlign val="superscript"/>
        <sz val="11"/>
        <color theme="1"/>
        <rFont val="Times New Roman"/>
        <family val="1"/>
      </rPr>
      <t>pz</t>
    </r>
  </si>
  <si>
    <t>Rejected, quoted source provided &amp; could not find original source. No information on measurement technique or temperature</t>
  </si>
  <si>
    <r>
      <t>(Ver)</t>
    </r>
    <r>
      <rPr>
        <i/>
        <vertAlign val="superscript"/>
        <sz val="11"/>
        <color theme="1"/>
        <rFont val="Times New Roman"/>
        <family val="1"/>
      </rPr>
      <t>mn</t>
    </r>
  </si>
  <si>
    <r>
      <t>(Ver)</t>
    </r>
    <r>
      <rPr>
        <i/>
        <vertAlign val="superscript"/>
        <sz val="11"/>
        <color rgb="FF000000"/>
        <rFont val="Times New Roman"/>
        <family val="1"/>
      </rPr>
      <t>mo</t>
    </r>
  </si>
  <si>
    <t>SS (Dbj)</t>
  </si>
  <si>
    <t>Rejected as could not find original source &amp; no information on method or temperature. Quoted in Mackay as (Hirzy et al. 1978)</t>
  </si>
  <si>
    <r>
      <t>(Mac)</t>
    </r>
    <r>
      <rPr>
        <i/>
        <vertAlign val="superscript"/>
        <sz val="11"/>
        <color theme="1"/>
        <rFont val="Times New Roman"/>
        <family val="1"/>
      </rPr>
      <t>md</t>
    </r>
  </si>
  <si>
    <t>Rejected as could not find value in original source. Quoted in Mac as Mayer, F.L. (1976) Residue dynamics of di(2-ethylhexyl) phthalate in fathead minnows (Pimephales promelas). J. Fish Res. Board Can. 33, 2610–2613.</t>
  </si>
  <si>
    <r>
      <t>(Mac)</t>
    </r>
    <r>
      <rPr>
        <i/>
        <vertAlign val="superscript"/>
        <sz val="11"/>
        <color theme="1"/>
        <rFont val="Times New Roman"/>
        <family val="1"/>
      </rPr>
      <t>me</t>
    </r>
  </si>
  <si>
    <t>HPLC (Kl)</t>
  </si>
  <si>
    <r>
      <t>SF (Oe)</t>
    </r>
    <r>
      <rPr>
        <i/>
        <vertAlign val="superscript"/>
        <sz val="11"/>
        <color theme="1"/>
        <rFont val="Times New Roman"/>
        <family val="1"/>
      </rPr>
      <t>qd</t>
    </r>
  </si>
  <si>
    <t>qd</t>
  </si>
  <si>
    <r>
      <t>HPLC (Ec33)</t>
    </r>
    <r>
      <rPr>
        <i/>
        <vertAlign val="superscript"/>
        <sz val="11"/>
        <color theme="1"/>
        <rFont val="Times New Roman"/>
        <family val="1"/>
      </rPr>
      <t>no</t>
    </r>
  </si>
  <si>
    <t>Converted to 25 C. Kept with RSD of unreliable despite being outside of temperature range for conversion as only measured value.</t>
  </si>
  <si>
    <t>qe</t>
  </si>
  <si>
    <r>
      <t>HPLC (EC34)</t>
    </r>
    <r>
      <rPr>
        <vertAlign val="superscript"/>
        <sz val="11"/>
        <color theme="1"/>
        <rFont val="Times New Roman"/>
        <family val="1"/>
      </rPr>
      <t>qe</t>
    </r>
  </si>
  <si>
    <r>
      <t>HPLC (How2)</t>
    </r>
    <r>
      <rPr>
        <i/>
        <vertAlign val="superscript"/>
        <sz val="11"/>
        <color theme="1"/>
        <rFont val="Times New Roman"/>
        <family val="1"/>
      </rPr>
      <t>qc</t>
    </r>
  </si>
  <si>
    <t>EC34</t>
  </si>
  <si>
    <t>Average of range given 8.8 - 9.7 at 25°c</t>
  </si>
  <si>
    <t>Kept, although could not find original source, as  temperature and method were provided. Quoted in McD as: S. Banerjee, Syracuse Research Corp., unpublished work, 1980</t>
  </si>
  <si>
    <t>Could not find original source, kept as temperature and method were included. Quoted in Mackay handbook as: shake flask, unpublished data, Hansch &amp; Leo 1985; 1987 (Hansch, C., Leo, A. (1985) Medchem Project Issue No. 26. Pomona College, Claremont, California.)</t>
  </si>
  <si>
    <t>KE (HP)</t>
  </si>
  <si>
    <t>qf</t>
  </si>
  <si>
    <t>MEEK (Po)</t>
  </si>
  <si>
    <r>
      <t>GC-RT (Hi)</t>
    </r>
    <r>
      <rPr>
        <i/>
        <vertAlign val="superscript"/>
        <sz val="11"/>
        <color rgb="FF000000"/>
        <rFont val="Times New Roman"/>
        <family val="1"/>
      </rPr>
      <t>qf</t>
    </r>
  </si>
  <si>
    <r>
      <t>GS (Hale)</t>
    </r>
    <r>
      <rPr>
        <vertAlign val="superscript"/>
        <sz val="11"/>
        <color rgb="FF000000"/>
        <rFont val="Times New Roman"/>
        <family val="1"/>
      </rPr>
      <t>ll</t>
    </r>
  </si>
  <si>
    <r>
      <t>TM (Oe)</t>
    </r>
    <r>
      <rPr>
        <vertAlign val="superscript"/>
        <sz val="11"/>
        <color rgb="FF000000"/>
        <rFont val="Times New Roman"/>
        <family val="1"/>
      </rPr>
      <t>lm</t>
    </r>
  </si>
  <si>
    <r>
      <t>TM (Gü)</t>
    </r>
    <r>
      <rPr>
        <vertAlign val="superscript"/>
        <sz val="11"/>
        <color rgb="FF000000"/>
        <rFont val="Times New Roman"/>
        <family val="1"/>
      </rPr>
      <t>ln</t>
    </r>
  </si>
  <si>
    <t>Converted to 25 C, rejected as outside of temperature range for conversion</t>
  </si>
  <si>
    <r>
      <t>E (GB)</t>
    </r>
    <r>
      <rPr>
        <i/>
        <vertAlign val="superscript"/>
        <sz val="11"/>
        <color rgb="FF000000"/>
        <rFont val="Times New Roman"/>
        <family val="1"/>
      </rPr>
      <t>lh</t>
    </r>
  </si>
  <si>
    <r>
      <t>(Ec30)</t>
    </r>
    <r>
      <rPr>
        <i/>
        <vertAlign val="superscript"/>
        <sz val="11"/>
        <color rgb="FF000000"/>
        <rFont val="Times New Roman"/>
        <family val="1"/>
      </rPr>
      <t>ni</t>
    </r>
  </si>
  <si>
    <t>Converted to 25 C and extrapolated, rejected as outside of temperature range</t>
  </si>
  <si>
    <r>
      <t>E (Wer)</t>
    </r>
    <r>
      <rPr>
        <i/>
        <vertAlign val="superscript"/>
        <sz val="11"/>
        <color rgb="FF000000"/>
        <rFont val="Times New Roman"/>
        <family val="1"/>
      </rPr>
      <t>mw</t>
    </r>
  </si>
  <si>
    <r>
      <t>GS (HaL)</t>
    </r>
    <r>
      <rPr>
        <i/>
        <vertAlign val="superscript"/>
        <sz val="11"/>
        <color rgb="FF000000"/>
        <rFont val="Times New Roman"/>
        <family val="1"/>
      </rPr>
      <t>li</t>
    </r>
  </si>
  <si>
    <r>
      <t>E (Fr)</t>
    </r>
    <r>
      <rPr>
        <i/>
        <vertAlign val="superscript"/>
        <sz val="11"/>
        <color rgb="FF000000"/>
        <rFont val="Times New Roman"/>
        <family val="1"/>
      </rPr>
      <t>lj</t>
    </r>
  </si>
  <si>
    <r>
      <t>(FA)</t>
    </r>
    <r>
      <rPr>
        <i/>
        <vertAlign val="superscript"/>
        <sz val="11"/>
        <color rgb="FF000000"/>
        <rFont val="Times New Roman"/>
        <family val="1"/>
      </rPr>
      <t>ls</t>
    </r>
  </si>
  <si>
    <t xml:space="preserve">Converted to 25 C, rejected as outside of temperature range; could not find original source. Quoted in Mackay as: from Monsanto Chemical Co. data sheets, Peakall 1975 </t>
  </si>
  <si>
    <r>
      <t>Indust. data (Mac)</t>
    </r>
    <r>
      <rPr>
        <i/>
        <vertAlign val="superscript"/>
        <sz val="11"/>
        <color theme="1"/>
        <rFont val="Times New Roman"/>
        <family val="1"/>
      </rPr>
      <t>kz</t>
    </r>
  </si>
  <si>
    <r>
      <t>FM (Ec28)</t>
    </r>
    <r>
      <rPr>
        <vertAlign val="superscript"/>
        <sz val="11"/>
        <color theme="1"/>
        <rFont val="Times New Roman"/>
        <family val="1"/>
      </rPr>
      <t>na</t>
    </r>
  </si>
  <si>
    <t xml:space="preserve">Converted to 25 C rejected as outside temperature range for conversion; could not find original source. Quoted in Mackay as: from Monsanto Chemical Co. data sheets, Peakall 1975 </t>
  </si>
  <si>
    <r>
      <t>Indust. data (Pea)</t>
    </r>
    <r>
      <rPr>
        <i/>
        <vertAlign val="superscript"/>
        <sz val="11"/>
        <color theme="1"/>
        <rFont val="Times New Roman"/>
        <family val="1"/>
      </rPr>
      <t>kr</t>
    </r>
  </si>
  <si>
    <r>
      <t>GS (Ra)</t>
    </r>
    <r>
      <rPr>
        <i/>
        <vertAlign val="superscript"/>
        <sz val="11"/>
        <color rgb="FF000000"/>
        <rFont val="Times New Roman"/>
        <family val="1"/>
      </rPr>
      <t>lk</t>
    </r>
  </si>
  <si>
    <r>
      <t>SDE (DR)</t>
    </r>
    <r>
      <rPr>
        <i/>
        <vertAlign val="superscript"/>
        <sz val="11"/>
        <color rgb="FF000000"/>
        <rFont val="Times New Roman"/>
        <family val="1"/>
      </rPr>
      <t>lz</t>
    </r>
  </si>
  <si>
    <r>
      <t>E (Oe)</t>
    </r>
    <r>
      <rPr>
        <vertAlign val="superscript"/>
        <sz val="11"/>
        <color rgb="FF000000"/>
        <rFont val="Times New Roman"/>
        <family val="1"/>
      </rPr>
      <t>mb</t>
    </r>
  </si>
  <si>
    <r>
      <t>SDE (Ra)</t>
    </r>
    <r>
      <rPr>
        <vertAlign val="superscript"/>
        <sz val="11"/>
        <color rgb="FF000000"/>
        <rFont val="Times New Roman"/>
        <family val="1"/>
      </rPr>
      <t>ma</t>
    </r>
  </si>
  <si>
    <t>SDE (CD)</t>
  </si>
  <si>
    <r>
      <t>KE (Goo)</t>
    </r>
    <r>
      <rPr>
        <i/>
        <vertAlign val="superscript"/>
        <sz val="11"/>
        <color rgb="FF000000"/>
        <rFont val="Times New Roman"/>
        <family val="1"/>
      </rPr>
      <t>mc</t>
    </r>
  </si>
  <si>
    <r>
      <t>GS (Gob)</t>
    </r>
    <r>
      <rPr>
        <i/>
        <vertAlign val="superscript"/>
        <sz val="11"/>
        <color rgb="FF000000"/>
        <rFont val="Times New Roman"/>
        <family val="1"/>
      </rPr>
      <t>mt</t>
    </r>
  </si>
  <si>
    <r>
      <t>KE (Roh2)</t>
    </r>
    <r>
      <rPr>
        <i/>
        <vertAlign val="superscript"/>
        <sz val="11"/>
        <color rgb="FF000000"/>
        <rFont val="Times New Roman"/>
        <family val="1"/>
      </rPr>
      <t>mu</t>
    </r>
  </si>
  <si>
    <r>
      <t>E (Wer)</t>
    </r>
    <r>
      <rPr>
        <vertAlign val="superscript"/>
        <sz val="11"/>
        <color rgb="FF000000"/>
        <rFont val="Times New Roman"/>
        <family val="1"/>
      </rPr>
      <t>mv</t>
    </r>
  </si>
  <si>
    <r>
      <t>HPLC (Ec28)</t>
    </r>
    <r>
      <rPr>
        <i/>
        <vertAlign val="superscript"/>
        <sz val="11"/>
        <color theme="1"/>
        <rFont val="Times New Roman"/>
        <family val="1"/>
      </rPr>
      <t>mz</t>
    </r>
  </si>
  <si>
    <r>
      <t>HPLC (Ec30)</t>
    </r>
    <r>
      <rPr>
        <i/>
        <vertAlign val="superscript"/>
        <sz val="11"/>
        <color theme="1"/>
        <rFont val="Times New Roman"/>
        <family val="1"/>
      </rPr>
      <t>nj</t>
    </r>
  </si>
  <si>
    <t>Converted to 25 C. Rejected as outside of temperature range for conversion</t>
  </si>
  <si>
    <t>Converted to 25 C. Rejected as inconsistent with other values</t>
  </si>
  <si>
    <r>
      <t>GS (Ec30)</t>
    </r>
    <r>
      <rPr>
        <i/>
        <vertAlign val="superscript"/>
        <sz val="11"/>
        <color rgb="FF000000"/>
        <rFont val="Times New Roman"/>
        <family val="1"/>
      </rPr>
      <t>nh</t>
    </r>
  </si>
  <si>
    <t>qg</t>
  </si>
  <si>
    <r>
      <t>KE (HP)</t>
    </r>
    <r>
      <rPr>
        <i/>
        <vertAlign val="superscript"/>
        <sz val="11"/>
        <color rgb="FF000000"/>
        <rFont val="Times New Roman"/>
        <family val="1"/>
      </rPr>
      <t>qg</t>
    </r>
  </si>
  <si>
    <t>HP</t>
  </si>
  <si>
    <r>
      <t>GS (KI)</t>
    </r>
    <r>
      <rPr>
        <i/>
        <vertAlign val="superscript"/>
        <sz val="11"/>
        <color rgb="FF000000"/>
        <rFont val="Times New Roman"/>
        <family val="1"/>
      </rPr>
      <t>qh</t>
    </r>
  </si>
  <si>
    <t>qh</t>
  </si>
  <si>
    <r>
      <t>GS (Ja)</t>
    </r>
    <r>
      <rPr>
        <i/>
        <vertAlign val="superscript"/>
        <sz val="11"/>
        <color rgb="FF000000"/>
        <rFont val="Times New Roman"/>
        <family val="1"/>
      </rPr>
      <t>qi</t>
    </r>
  </si>
  <si>
    <r>
      <t>GS (How2)</t>
    </r>
    <r>
      <rPr>
        <i/>
        <vertAlign val="superscript"/>
        <sz val="11"/>
        <color rgb="FF000000"/>
        <rFont val="Times New Roman"/>
        <family val="1"/>
      </rPr>
      <t>lr</t>
    </r>
  </si>
  <si>
    <t>qi</t>
  </si>
  <si>
    <t>Ja</t>
  </si>
  <si>
    <r>
      <t>GS (LX)</t>
    </r>
    <r>
      <rPr>
        <i/>
        <vertAlign val="superscript"/>
        <sz val="11"/>
        <color rgb="FF000000"/>
        <rFont val="Times New Roman"/>
        <family val="1"/>
      </rPr>
      <t>nu</t>
    </r>
  </si>
  <si>
    <r>
      <t>(Gl)</t>
    </r>
    <r>
      <rPr>
        <i/>
        <vertAlign val="superscript"/>
        <sz val="11"/>
        <color rgb="FF000000"/>
        <rFont val="Times New Roman"/>
        <family val="1"/>
      </rPr>
      <t>mk</t>
    </r>
  </si>
  <si>
    <t>Converted to 25 C. Rejected as no method information provided, may be quoted.</t>
  </si>
  <si>
    <t>GS (LX)</t>
  </si>
  <si>
    <r>
      <t>(Ec33)</t>
    </r>
    <r>
      <rPr>
        <i/>
        <vertAlign val="superscript"/>
        <sz val="11"/>
        <color rgb="FF000000"/>
        <rFont val="Times New Roman"/>
        <family val="1"/>
      </rPr>
      <t>nn</t>
    </r>
  </si>
  <si>
    <t>qj</t>
  </si>
  <si>
    <t>RAR6</t>
  </si>
  <si>
    <t>RAR6 = EC. European Union Risk Assessment Report: 1,2-benzenedicarboxylic acid, di-C8-10- branched alkyl esters, C9-rich and di-“isononyl” phthalate (DINP); 2002.</t>
  </si>
  <si>
    <r>
      <t>Indust. Data (RAR6)</t>
    </r>
    <r>
      <rPr>
        <vertAlign val="superscript"/>
        <sz val="11"/>
        <color rgb="FF000000"/>
        <rFont val="Times New Roman"/>
        <family val="1"/>
      </rPr>
      <t>nq</t>
    </r>
  </si>
  <si>
    <t>qk</t>
  </si>
  <si>
    <t>Industrial data from from an unpublished report: Huls (1996a)</t>
  </si>
  <si>
    <t>Industrial data measured at higher temperatures in RAR6, used their parameters for the Kirchhoff Equation to extrapolate to 25°C</t>
  </si>
  <si>
    <t>ql</t>
  </si>
  <si>
    <r>
      <t>Indust. Data (RAR6)</t>
    </r>
    <r>
      <rPr>
        <vertAlign val="superscript"/>
        <sz val="11"/>
        <color rgb="FF000000"/>
        <rFont val="Times New Roman"/>
        <family val="1"/>
      </rPr>
      <t>qk</t>
    </r>
  </si>
  <si>
    <r>
      <t>SF (LB)</t>
    </r>
    <r>
      <rPr>
        <vertAlign val="superscript"/>
        <sz val="11"/>
        <color theme="1"/>
        <rFont val="Times New Roman"/>
        <family val="1"/>
      </rPr>
      <t>kk</t>
    </r>
  </si>
  <si>
    <t>SF (Wol)</t>
  </si>
  <si>
    <r>
      <t>SF (NB)</t>
    </r>
    <r>
      <rPr>
        <vertAlign val="superscript"/>
        <sz val="11"/>
        <color theme="1"/>
        <rFont val="Times New Roman"/>
        <family val="1"/>
      </rPr>
      <t>mp</t>
    </r>
  </si>
  <si>
    <t>nv</t>
  </si>
  <si>
    <r>
      <t>(DB)</t>
    </r>
    <r>
      <rPr>
        <i/>
        <vertAlign val="superscript"/>
        <sz val="11"/>
        <color theme="1"/>
        <rFont val="Times New Roman"/>
        <family val="1"/>
      </rPr>
      <t>kb</t>
    </r>
  </si>
  <si>
    <t>Rejected as could not find original source, and no information on method or temperature provided. Quoted in DB as: Seidell, Atherton, “Solubilities,” Van Nostrand. New York, 1940.</t>
  </si>
  <si>
    <r>
      <t>(FA)</t>
    </r>
    <r>
      <rPr>
        <i/>
        <vertAlign val="superscript"/>
        <sz val="11"/>
        <color theme="1"/>
        <rFont val="Times New Roman"/>
        <family val="1"/>
      </rPr>
      <t>kc</t>
    </r>
  </si>
  <si>
    <t>Rejected as no information on methods, stated that measurements were at 20°C</t>
  </si>
  <si>
    <r>
      <t>(Ver)</t>
    </r>
    <r>
      <rPr>
        <i/>
        <vertAlign val="superscript"/>
        <sz val="11"/>
        <color theme="1"/>
        <rFont val="Times New Roman"/>
        <family val="1"/>
      </rPr>
      <t>kt</t>
    </r>
  </si>
  <si>
    <r>
      <t>(Ver)</t>
    </r>
    <r>
      <rPr>
        <i/>
        <vertAlign val="superscript"/>
        <sz val="11"/>
        <color theme="1"/>
        <rFont val="Times New Roman"/>
        <family val="1"/>
      </rPr>
      <t>ku</t>
    </r>
  </si>
  <si>
    <t>Rejected as no information on methods &amp; could not find original source. Quoted in Mackay handbook as: 20C, Verschueren, K. (1983) Handbook of Environmental Data on Organic Chemicals. 2nd Edition, Van Nostrand Reinhold, New York.</t>
  </si>
  <si>
    <r>
      <t>SF (LB)</t>
    </r>
    <r>
      <rPr>
        <vertAlign val="superscript"/>
        <sz val="11"/>
        <color theme="1"/>
        <rFont val="Times New Roman"/>
        <family val="1"/>
      </rPr>
      <t>kl</t>
    </r>
  </si>
  <si>
    <t>Rejected as no information on methods &amp; could not find original source. Quoted in DB as: Seidell, Atherton, “Solubilities,” Van Nostrand. New York, 1940.</t>
  </si>
  <si>
    <t>Rejected as no information on methods &amp; could not find original source, stated that measurements were at 20°C</t>
  </si>
  <si>
    <r>
      <t>(DB)</t>
    </r>
    <r>
      <rPr>
        <i/>
        <vertAlign val="superscript"/>
        <sz val="11"/>
        <color theme="1"/>
        <rFont val="Times New Roman"/>
        <family val="1"/>
      </rPr>
      <t>kw</t>
    </r>
  </si>
  <si>
    <r>
      <t>(FA)</t>
    </r>
    <r>
      <rPr>
        <i/>
        <vertAlign val="superscript"/>
        <sz val="11"/>
        <color theme="1"/>
        <rFont val="Times New Roman"/>
        <family val="1"/>
      </rPr>
      <t>ky</t>
    </r>
  </si>
  <si>
    <t>SF (Tho)</t>
  </si>
  <si>
    <t>qm</t>
  </si>
  <si>
    <t>RM</t>
  </si>
  <si>
    <t>Rejected as no information on methods or temperature</t>
  </si>
  <si>
    <r>
      <t>Meas. (RM)</t>
    </r>
    <r>
      <rPr>
        <i/>
        <vertAlign val="superscript"/>
        <sz val="11"/>
        <color theme="1"/>
        <rFont val="Times New Roman"/>
        <family val="1"/>
      </rPr>
      <t>qm</t>
    </r>
  </si>
  <si>
    <r>
      <t>SF (Ve2)</t>
    </r>
    <r>
      <rPr>
        <i/>
        <vertAlign val="superscript"/>
        <sz val="11"/>
        <color theme="1"/>
        <rFont val="Times New Roman"/>
        <family val="1"/>
      </rPr>
      <t>lc</t>
    </r>
  </si>
  <si>
    <t>SM</t>
  </si>
  <si>
    <r>
      <t>gen. column (SM)</t>
    </r>
    <r>
      <rPr>
        <vertAlign val="superscript"/>
        <sz val="11"/>
        <color theme="1"/>
        <rFont val="Times New Roman"/>
        <family val="1"/>
      </rPr>
      <t>la</t>
    </r>
  </si>
  <si>
    <r>
      <t>SF (LB)</t>
    </r>
    <r>
      <rPr>
        <vertAlign val="superscript"/>
        <sz val="11"/>
        <color theme="1"/>
        <rFont val="Times New Roman"/>
        <family val="1"/>
      </rPr>
      <t>km</t>
    </r>
  </si>
  <si>
    <t>SF (Ho)</t>
  </si>
  <si>
    <t>FM (Ec29)</t>
  </si>
  <si>
    <t>Converted to 25 C, rejected as no information on methods</t>
  </si>
  <si>
    <r>
      <t>gen. col. (SM)</t>
    </r>
    <r>
      <rPr>
        <vertAlign val="superscript"/>
        <sz val="11"/>
        <color theme="1"/>
        <rFont val="Times New Roman"/>
        <family val="1"/>
      </rPr>
      <t>lb</t>
    </r>
  </si>
  <si>
    <t>FM (Ec30)</t>
  </si>
  <si>
    <t>SF (Def)</t>
  </si>
  <si>
    <r>
      <t>Indust. Data (Pea)</t>
    </r>
    <r>
      <rPr>
        <i/>
        <vertAlign val="superscript"/>
        <sz val="11"/>
        <color theme="1"/>
        <rFont val="Times New Roman"/>
        <family val="1"/>
      </rPr>
      <t>lg</t>
    </r>
  </si>
  <si>
    <r>
      <t>(DB)</t>
    </r>
    <r>
      <rPr>
        <i/>
        <vertAlign val="superscript"/>
        <sz val="11"/>
        <color theme="1"/>
        <rFont val="Times New Roman"/>
        <family val="1"/>
      </rPr>
      <t>kx</t>
    </r>
  </si>
  <si>
    <t>qn</t>
  </si>
  <si>
    <r>
      <t>(FA)</t>
    </r>
    <r>
      <rPr>
        <i/>
        <vertAlign val="superscript"/>
        <sz val="11"/>
        <color theme="1"/>
        <rFont val="Times New Roman"/>
        <family val="1"/>
      </rPr>
      <t>qn</t>
    </r>
  </si>
  <si>
    <r>
      <t>measured (RM)</t>
    </r>
    <r>
      <rPr>
        <i/>
        <vertAlign val="superscript"/>
        <sz val="11"/>
        <color theme="1"/>
        <rFont val="Times New Roman"/>
        <family val="1"/>
      </rPr>
      <t>qo</t>
    </r>
  </si>
  <si>
    <r>
      <t>(Wol2)</t>
    </r>
    <r>
      <rPr>
        <i/>
        <vertAlign val="superscript"/>
        <sz val="11"/>
        <color theme="1"/>
        <rFont val="Times New Roman"/>
        <family val="1"/>
      </rPr>
      <t>qp</t>
    </r>
  </si>
  <si>
    <t>qo</t>
  </si>
  <si>
    <t>qp</t>
  </si>
  <si>
    <r>
      <t>SF (LB)</t>
    </r>
    <r>
      <rPr>
        <vertAlign val="superscript"/>
        <sz val="11"/>
        <color theme="1"/>
        <rFont val="Times New Roman"/>
        <family val="1"/>
      </rPr>
      <t>mi</t>
    </r>
  </si>
  <si>
    <r>
      <t>(Ver)</t>
    </r>
    <r>
      <rPr>
        <i/>
        <vertAlign val="superscript"/>
        <sz val="11"/>
        <color theme="1"/>
        <rFont val="Times New Roman"/>
        <family val="1"/>
      </rPr>
      <t>mj</t>
    </r>
  </si>
  <si>
    <t>Converted to 25 C ; upper limit not actual value. Rejected as not actual value</t>
  </si>
  <si>
    <t>Converted to 25 C ; Rejected as 1% acetonitrile was used as solubilizer</t>
  </si>
  <si>
    <t>qr</t>
  </si>
  <si>
    <t>qs</t>
  </si>
  <si>
    <r>
      <t>FM (Ec32)</t>
    </r>
    <r>
      <rPr>
        <i/>
        <vertAlign val="superscript"/>
        <sz val="11"/>
        <color theme="1"/>
        <rFont val="Times New Roman"/>
        <family val="1"/>
      </rPr>
      <t>nk</t>
    </r>
  </si>
  <si>
    <r>
      <t>FM (Ec32)</t>
    </r>
    <r>
      <rPr>
        <i/>
        <vertAlign val="superscript"/>
        <sz val="11"/>
        <color theme="1"/>
        <rFont val="Times New Roman"/>
        <family val="1"/>
      </rPr>
      <t>nj</t>
    </r>
  </si>
  <si>
    <r>
      <t>SF (Ve2)</t>
    </r>
    <r>
      <rPr>
        <i/>
        <vertAlign val="superscript"/>
        <sz val="11"/>
        <color theme="1"/>
        <rFont val="Times New Roman"/>
        <family val="1"/>
      </rPr>
      <t>qs</t>
    </r>
  </si>
  <si>
    <t>Rejected as no information on methods or temperature.. Quoted in Mackay as (Hirzy et al. 1978)</t>
  </si>
  <si>
    <t>qt</t>
  </si>
  <si>
    <t>Ro2 = Roux, V. M., Jimenez, P., Davalos, J., Concepcio T., Afeefy, H. Y., Liebman, J. F. (1998). Enthalpies of formation of methyl benzenecarboxylates. J. Chem. Soc., Faraday Trans. 94, 887-890</t>
  </si>
  <si>
    <r>
      <t>Indust. Data (Hir)</t>
    </r>
    <r>
      <rPr>
        <i/>
        <vertAlign val="superscript"/>
        <sz val="11"/>
        <color theme="1"/>
        <rFont val="Times New Roman"/>
        <family val="1"/>
      </rPr>
      <t>mh</t>
    </r>
  </si>
  <si>
    <t>qu</t>
  </si>
  <si>
    <r>
      <t>SF (LB)</t>
    </r>
    <r>
      <rPr>
        <vertAlign val="superscript"/>
        <sz val="11"/>
        <color theme="1"/>
        <rFont val="Times New Roman"/>
        <family val="1"/>
      </rPr>
      <t>kp</t>
    </r>
  </si>
  <si>
    <t>FM (Ec33)</t>
  </si>
  <si>
    <t>Converted to 25 C. Rejected as no information on method or source</t>
  </si>
  <si>
    <r>
      <t>SF (Tho)</t>
    </r>
    <r>
      <rPr>
        <vertAlign val="superscript"/>
        <sz val="11"/>
        <color theme="1"/>
        <rFont val="Times New Roman"/>
        <family val="1"/>
      </rPr>
      <t>ld</t>
    </r>
  </si>
  <si>
    <r>
      <t>(Ec33)</t>
    </r>
    <r>
      <rPr>
        <i/>
        <vertAlign val="superscript"/>
        <sz val="11"/>
        <color theme="1"/>
        <rFont val="Times New Roman"/>
        <family val="1"/>
      </rPr>
      <t>np</t>
    </r>
  </si>
  <si>
    <r>
      <t>(FA)</t>
    </r>
    <r>
      <rPr>
        <i/>
        <vertAlign val="superscript"/>
        <sz val="11"/>
        <color theme="1"/>
        <rFont val="Times New Roman"/>
        <family val="1"/>
      </rPr>
      <t>lv</t>
    </r>
  </si>
  <si>
    <r>
      <t>Indust. Data (Pea)</t>
    </r>
    <r>
      <rPr>
        <i/>
        <vertAlign val="superscript"/>
        <sz val="11"/>
        <color theme="1"/>
        <rFont val="Times New Roman"/>
        <family val="1"/>
      </rPr>
      <t>lw</t>
    </r>
  </si>
  <si>
    <r>
      <t>SF (Le)</t>
    </r>
    <r>
      <rPr>
        <i/>
        <vertAlign val="superscript"/>
        <sz val="11"/>
        <color theme="1"/>
        <rFont val="Times New Roman"/>
        <family val="1"/>
      </rPr>
      <t>lx</t>
    </r>
  </si>
  <si>
    <t>gen. column (Def)</t>
  </si>
  <si>
    <r>
      <t>No-Stirring (El2)</t>
    </r>
    <r>
      <rPr>
        <vertAlign val="superscript"/>
        <sz val="11"/>
        <color theme="1"/>
        <rFont val="Times New Roman"/>
        <family val="1"/>
      </rPr>
      <t>lt</t>
    </r>
  </si>
  <si>
    <r>
      <t>SF (Le)</t>
    </r>
    <r>
      <rPr>
        <vertAlign val="superscript"/>
        <sz val="11"/>
        <color theme="1"/>
        <rFont val="Times New Roman"/>
        <family val="1"/>
      </rPr>
      <t>lu</t>
    </r>
  </si>
  <si>
    <t>qv</t>
  </si>
  <si>
    <t>Wol</t>
  </si>
  <si>
    <t>Rejected as inconsistent with other results</t>
  </si>
  <si>
    <r>
      <t>SF/SS (Le)</t>
    </r>
    <r>
      <rPr>
        <vertAlign val="superscript"/>
        <sz val="11"/>
        <color theme="1"/>
        <rFont val="Times New Roman"/>
        <family val="1"/>
      </rPr>
      <t>mf</t>
    </r>
  </si>
  <si>
    <r>
      <t>gen. column (Ec34)</t>
    </r>
    <r>
      <rPr>
        <vertAlign val="superscript"/>
        <sz val="11"/>
        <color theme="1"/>
        <rFont val="Times New Roman"/>
        <family val="1"/>
      </rPr>
      <t>nt</t>
    </r>
  </si>
  <si>
    <t>298 DSC (Ro2)</t>
  </si>
  <si>
    <r>
      <t>FM (Ec34)</t>
    </r>
    <r>
      <rPr>
        <vertAlign val="superscript"/>
        <sz val="11"/>
        <color theme="1"/>
        <rFont val="Times New Roman"/>
        <family val="1"/>
      </rPr>
      <t>ns</t>
    </r>
  </si>
  <si>
    <t>Converted to 25 C. Method was listed as "OECD Test No. 105; assumed flask method as that is specified for compounds with water solubility &gt; 10e-2 g/L</t>
  </si>
  <si>
    <t>qw</t>
  </si>
  <si>
    <t>Mal = Male, K. B., Brown, R. S., Luong, J. H. T. (1995) Enzymatic oxidation of water-soluble cyclodextrin-polynuclear aromatic hydrocarbon inclusion complexes, using lignin peroxidase. Enzyme Microb. Technol. 17, 607-614.</t>
  </si>
  <si>
    <t>Sch = Schramm I, K.-W., Kaune I, A., Beck I, B., Thumm, W., Behechtu, A., Kettrup, A., Nickolova, P. (1996). ACUTE TOXICITIES OF FIVE NITROMUSK COMPOUNDS IN DAPHNIA, ALGAE AND PHOTOLUMINESCENT BACTERIA. Wat. Res. 30(10), 2247-2250</t>
  </si>
  <si>
    <t>Sch</t>
  </si>
  <si>
    <r>
      <t>HPLC (Sch)</t>
    </r>
    <r>
      <rPr>
        <vertAlign val="superscript"/>
        <sz val="11"/>
        <color theme="1"/>
        <rFont val="Times New Roman"/>
        <family val="1"/>
      </rPr>
      <t>qw</t>
    </r>
  </si>
  <si>
    <t>qx</t>
  </si>
  <si>
    <r>
      <t>HPLC (Sch)</t>
    </r>
    <r>
      <rPr>
        <vertAlign val="superscript"/>
        <sz val="11"/>
        <color theme="1"/>
        <rFont val="Times New Roman"/>
        <family val="1"/>
      </rPr>
      <t>qx</t>
    </r>
  </si>
  <si>
    <t>qy</t>
  </si>
  <si>
    <r>
      <t>HPLC (Sch)</t>
    </r>
    <r>
      <rPr>
        <vertAlign val="superscript"/>
        <sz val="11"/>
        <color theme="1"/>
        <rFont val="Times New Roman"/>
        <family val="1"/>
      </rPr>
      <t>qy</t>
    </r>
  </si>
  <si>
    <t>qz</t>
  </si>
  <si>
    <t>ra</t>
  </si>
  <si>
    <t>rb</t>
  </si>
  <si>
    <r>
      <t>HPLC (Sch)</t>
    </r>
    <r>
      <rPr>
        <vertAlign val="superscript"/>
        <sz val="11"/>
        <color theme="1"/>
        <rFont val="Times New Roman"/>
        <family val="1"/>
      </rPr>
      <t>qz</t>
    </r>
  </si>
  <si>
    <r>
      <t>HPLC (Sch)</t>
    </r>
    <r>
      <rPr>
        <vertAlign val="superscript"/>
        <sz val="11"/>
        <color theme="1"/>
        <rFont val="Times New Roman"/>
        <family val="1"/>
      </rPr>
      <t>rb</t>
    </r>
  </si>
  <si>
    <r>
      <t>HPLC (Sch)</t>
    </r>
    <r>
      <rPr>
        <vertAlign val="superscript"/>
        <sz val="11"/>
        <color theme="1"/>
        <rFont val="Times New Roman"/>
        <family val="1"/>
      </rPr>
      <t>ra</t>
    </r>
  </si>
  <si>
    <t>Mil = Miller, M. M.; Ghodbane, S.; Wasik, S. P.; Tewar, Y. B.; Martire, D. E.; Aqueous Solubilities, Octanol Water Partition Coefficients, and Entropies of Melting of Chlorinated Benzenes and Biphenyls. J. Chem. Eng. Data 1984, 29 (2), 184–190.</t>
  </si>
  <si>
    <t>Ish</t>
  </si>
  <si>
    <t>dUw =</t>
  </si>
  <si>
    <t>Sw (mol fraction)</t>
  </si>
  <si>
    <t>Sw (mol/m³)</t>
  </si>
  <si>
    <t>lnSw</t>
  </si>
  <si>
    <r>
      <t>SF (LB)</t>
    </r>
    <r>
      <rPr>
        <vertAlign val="superscript"/>
        <sz val="11"/>
        <color theme="1"/>
        <rFont val="Times New Roman"/>
        <family val="1"/>
      </rPr>
      <t>ko</t>
    </r>
  </si>
  <si>
    <t>nDnBP/nH2O</t>
  </si>
  <si>
    <t>rc</t>
  </si>
  <si>
    <t>rd</t>
  </si>
  <si>
    <t xml:space="preserve">See regression at right. </t>
  </si>
  <si>
    <t>re</t>
  </si>
  <si>
    <t>rf</t>
  </si>
  <si>
    <t>Unit conversion from mole fraction to mol/m³, see at right</t>
  </si>
  <si>
    <r>
      <t>gen. col. (Ish)</t>
    </r>
    <r>
      <rPr>
        <vertAlign val="superscript"/>
        <sz val="11"/>
        <color theme="1"/>
        <rFont val="Times New Roman"/>
        <family val="1"/>
      </rPr>
      <t>re</t>
    </r>
  </si>
  <si>
    <r>
      <t>SF (LB)</t>
    </r>
    <r>
      <rPr>
        <vertAlign val="superscript"/>
        <sz val="11"/>
        <color theme="1"/>
        <rFont val="Times New Roman"/>
        <family val="1"/>
      </rPr>
      <t>kj</t>
    </r>
  </si>
  <si>
    <t>SF (Ish)</t>
  </si>
  <si>
    <t>313-423 GS (Ish)</t>
  </si>
  <si>
    <t>GS (Ish)</t>
  </si>
  <si>
    <r>
      <t>(Ec29)</t>
    </r>
    <r>
      <rPr>
        <i/>
        <vertAlign val="superscript"/>
        <sz val="11"/>
        <color rgb="FF000000"/>
        <rFont val="Times New Roman"/>
        <family val="1"/>
      </rPr>
      <t>nd</t>
    </r>
  </si>
  <si>
    <r>
      <t>(Ec29)</t>
    </r>
    <r>
      <rPr>
        <i/>
        <vertAlign val="superscript"/>
        <sz val="11"/>
        <color rgb="FF000000"/>
        <rFont val="Times New Roman"/>
        <family val="1"/>
      </rPr>
      <t>ne</t>
    </r>
  </si>
  <si>
    <r>
      <t>(Ec29)</t>
    </r>
    <r>
      <rPr>
        <i/>
        <vertAlign val="superscript"/>
        <sz val="11"/>
        <color rgb="FF000000"/>
        <rFont val="Times New Roman"/>
        <family val="1"/>
      </rPr>
      <t>ng</t>
    </r>
  </si>
  <si>
    <t>Converted to 25 C; Rejected as outside of temperature range for conversion</t>
  </si>
  <si>
    <t>SS (Mal)</t>
  </si>
  <si>
    <t>rg</t>
  </si>
  <si>
    <t>rh</t>
  </si>
  <si>
    <t>Mal</t>
  </si>
  <si>
    <t>Rejected as inconsistent with other values &amp; no temperature provided. May not have reached saturation, authors state only that compounds were stirred in water overnight.</t>
  </si>
  <si>
    <r>
      <t>HPLC (Pa)</t>
    </r>
    <r>
      <rPr>
        <i/>
        <vertAlign val="superscript"/>
        <sz val="11"/>
        <color theme="1"/>
        <rFont val="Times New Roman"/>
        <family val="1"/>
      </rPr>
      <t>do</t>
    </r>
  </si>
  <si>
    <r>
      <t>HPLC (Pa)</t>
    </r>
    <r>
      <rPr>
        <i/>
        <vertAlign val="superscript"/>
        <sz val="11"/>
        <color theme="1"/>
        <rFont val="Times New Roman"/>
        <family val="1"/>
      </rPr>
      <t>dn</t>
    </r>
  </si>
  <si>
    <r>
      <t>HPLC (Pa)</t>
    </r>
    <r>
      <rPr>
        <i/>
        <vertAlign val="superscript"/>
        <sz val="11"/>
        <color theme="1"/>
        <rFont val="Times New Roman"/>
        <family val="1"/>
      </rPr>
      <t>ed</t>
    </r>
  </si>
  <si>
    <r>
      <t>HPLC (Pa)</t>
    </r>
    <r>
      <rPr>
        <i/>
        <vertAlign val="superscript"/>
        <sz val="11"/>
        <color theme="1"/>
        <rFont val="Times New Roman"/>
        <family val="1"/>
      </rPr>
      <t>ec</t>
    </r>
  </si>
  <si>
    <r>
      <t>HPLC (Pa)</t>
    </r>
    <r>
      <rPr>
        <i/>
        <vertAlign val="superscript"/>
        <sz val="11"/>
        <color theme="1"/>
        <rFont val="Times New Roman"/>
        <family val="1"/>
      </rPr>
      <t>eb</t>
    </r>
  </si>
  <si>
    <t>ri</t>
  </si>
  <si>
    <t>Lower limit, kept with unreliable designation as only measured value.</t>
  </si>
  <si>
    <t>308-343 GS (GF)of</t>
  </si>
  <si>
    <t>SH = Shoeib, M.; Harner, T. USING MEASURED OCTANOL-AIR PARTITION COEFFICIENTS TO EXPLAIN ENVIRONMENTAL PARTITIONING OF ORGANOCHLORINE PESTICIDES. Environ. Toxicol. Chem. 2002, 21 (5), 984.</t>
  </si>
  <si>
    <t>rj</t>
  </si>
  <si>
    <t>Enthalpies were adjusted to 298.15 by the authors. Measurements were made from 419 - 515 K in several runs, values given are averages selected by the authors.</t>
  </si>
  <si>
    <t>rk</t>
  </si>
  <si>
    <r>
      <t>298 GC-RT (Gob)</t>
    </r>
    <r>
      <rPr>
        <vertAlign val="superscript"/>
        <sz val="11"/>
        <color theme="1"/>
        <rFont val="Calibri"/>
        <family val="2"/>
        <scheme val="minor"/>
      </rPr>
      <t>rj</t>
    </r>
  </si>
  <si>
    <r>
      <t>298 GS (Gob)</t>
    </r>
    <r>
      <rPr>
        <vertAlign val="superscript"/>
        <sz val="10"/>
        <color rgb="FF000000"/>
        <rFont val="Times New Roman"/>
        <family val="1"/>
      </rPr>
      <t>rk</t>
    </r>
  </si>
  <si>
    <t>rl</t>
  </si>
  <si>
    <t>Enthalpies adjusted to 298.15 by the authors. Measurements were made from 333-378K</t>
  </si>
  <si>
    <t>Dimethyl phthalate, diethyl phthalate, di-n-butyl phthalatel, benzylbutyl phthalate, bis(2-ethylhexyl) phthalate</t>
  </si>
  <si>
    <t>rm</t>
  </si>
  <si>
    <t>Average of GC runs</t>
  </si>
  <si>
    <r>
      <t>GC-RT (Gob)</t>
    </r>
    <r>
      <rPr>
        <vertAlign val="superscript"/>
        <sz val="11"/>
        <color rgb="FF000000"/>
        <rFont val="Times New Roman"/>
        <family val="1"/>
      </rPr>
      <t>rl</t>
    </r>
  </si>
  <si>
    <r>
      <t>Tens. (Per)</t>
    </r>
    <r>
      <rPr>
        <vertAlign val="superscript"/>
        <sz val="11"/>
        <color rgb="FF000000"/>
        <rFont val="Times New Roman"/>
        <family val="1"/>
      </rPr>
      <t>ly</t>
    </r>
  </si>
  <si>
    <r>
      <t>SF (NB)</t>
    </r>
    <r>
      <rPr>
        <vertAlign val="superscript"/>
        <sz val="11"/>
        <color theme="1"/>
        <rFont val="Times New Roman"/>
        <family val="1"/>
      </rPr>
      <t>mq</t>
    </r>
  </si>
  <si>
    <r>
      <t>SF (LB)</t>
    </r>
    <r>
      <rPr>
        <vertAlign val="superscript"/>
        <sz val="11"/>
        <color theme="1"/>
        <rFont val="Times New Roman"/>
        <family val="1"/>
      </rPr>
      <t>kh</t>
    </r>
  </si>
  <si>
    <r>
      <t>HPLC (Fi)</t>
    </r>
    <r>
      <rPr>
        <i/>
        <vertAlign val="superscript"/>
        <sz val="11"/>
        <color rgb="FF000000"/>
        <rFont val="Times New Roman"/>
        <family val="1"/>
      </rPr>
      <t>as</t>
    </r>
  </si>
  <si>
    <r>
      <t>HPLC (Ch)</t>
    </r>
    <r>
      <rPr>
        <i/>
        <vertAlign val="superscript"/>
        <sz val="11"/>
        <color rgb="FF000000"/>
        <rFont val="Times New Roman"/>
        <family val="1"/>
      </rPr>
      <t>at</t>
    </r>
  </si>
  <si>
    <r>
      <t>HPLC (Fi)</t>
    </r>
    <r>
      <rPr>
        <i/>
        <vertAlign val="superscript"/>
        <sz val="11"/>
        <color rgb="FF000000"/>
        <rFont val="Times New Roman"/>
        <family val="1"/>
      </rPr>
      <t>ba</t>
    </r>
  </si>
  <si>
    <r>
      <t>HPLC (Ch)</t>
    </r>
    <r>
      <rPr>
        <i/>
        <vertAlign val="superscript"/>
        <sz val="11"/>
        <color rgb="FF000000"/>
        <rFont val="Times New Roman"/>
        <family val="1"/>
      </rPr>
      <t>bb</t>
    </r>
  </si>
  <si>
    <t>rn</t>
  </si>
  <si>
    <t>HPLC values for OCPs with conventionally measured Kows &gt; 6 were rejected, as recommended by Finizio (1997)</t>
  </si>
  <si>
    <r>
      <t>HPLC (McD)</t>
    </r>
    <r>
      <rPr>
        <i/>
        <vertAlign val="superscript"/>
        <sz val="11"/>
        <color rgb="FF000000"/>
        <rFont val="Times New Roman"/>
        <family val="1"/>
      </rPr>
      <t>au</t>
    </r>
  </si>
  <si>
    <t xml:space="preserve">p,p'- DDE, p,p'- DDD, </t>
  </si>
  <si>
    <r>
      <t>HPLC (Fi)</t>
    </r>
    <r>
      <rPr>
        <i/>
        <vertAlign val="superscript"/>
        <sz val="11"/>
        <color rgb="FF000000"/>
        <rFont val="Times New Roman"/>
        <family val="1"/>
      </rPr>
      <t>bj</t>
    </r>
  </si>
  <si>
    <r>
      <t>RP-TLC (Bri)</t>
    </r>
    <r>
      <rPr>
        <i/>
        <vertAlign val="superscript"/>
        <sz val="11"/>
        <color rgb="FF000000"/>
        <rFont val="Times New Roman"/>
        <family val="1"/>
      </rPr>
      <t>bi</t>
    </r>
  </si>
  <si>
    <t>Wo = Wong, A.; Lei, Y. D.; Alaee, M.; Wania, F. Vapor Pressures of the Polybrominated Diphenyl Ethers. J. Chem. Eng. Data 2001, 46 (2), 239–242.</t>
  </si>
  <si>
    <t>ppLFER (Kow - Sw)</t>
  </si>
  <si>
    <t>ppLFER (Koa - Sa)</t>
  </si>
  <si>
    <t>BEST</t>
  </si>
  <si>
    <t>Ji</t>
  </si>
  <si>
    <t>WW</t>
  </si>
  <si>
    <r>
      <t>296-315 KE (Ji)</t>
    </r>
    <r>
      <rPr>
        <vertAlign val="superscript"/>
        <sz val="11"/>
        <color rgb="FF000000"/>
        <rFont val="Times New Roman"/>
        <family val="1"/>
      </rPr>
      <t>rm</t>
    </r>
  </si>
  <si>
    <t>Converted from sublimation by subtracting enthalpy of fusion</t>
  </si>
  <si>
    <r>
      <t>321 (WW)</t>
    </r>
    <r>
      <rPr>
        <vertAlign val="superscript"/>
        <sz val="11"/>
        <color rgb="FF000000"/>
        <rFont val="Times New Roman"/>
        <family val="1"/>
      </rPr>
      <t>rn</t>
    </r>
  </si>
  <si>
    <t>Converted from sublimation by subtracting enthalpy of fusion. Temperature is average measurement temperature, range was not given</t>
  </si>
  <si>
    <t>YDO = Yaman, B., Dumanoglu, Y. and Odabasi, M.: Measurement and Modeling the Phase Partitioning of Organophosphate Esters Using Their Temperature-Dependent Octanol − Air Partition Coe ffi cients and Vapor Pressures, , doi:10.1021/acs.est.0c02823, 2020.</t>
  </si>
  <si>
    <t>GC-RT (YDO)</t>
  </si>
  <si>
    <t>YDO</t>
  </si>
  <si>
    <t>Average of TCiPP1 &amp;2</t>
  </si>
  <si>
    <t>ro</t>
  </si>
  <si>
    <t>rp</t>
  </si>
  <si>
    <t xml:space="preserve"> 483-523 GC-RT (YDO)</t>
  </si>
  <si>
    <t>418-453 GC-RT (YDO)</t>
  </si>
  <si>
    <t>rq</t>
  </si>
  <si>
    <t>rs</t>
  </si>
  <si>
    <t>rt</t>
  </si>
  <si>
    <r>
      <t>GC-RT (YDO)</t>
    </r>
    <r>
      <rPr>
        <vertAlign val="superscript"/>
        <sz val="11"/>
        <color rgb="FF000000"/>
        <rFont val="Times New Roman"/>
        <family val="1"/>
      </rPr>
      <t>rt</t>
    </r>
  </si>
  <si>
    <t>ru</t>
  </si>
  <si>
    <t>Wa1</t>
  </si>
  <si>
    <t>WW = Wolf, K. L., &amp; Weghofer, H. (1938). Uber sublimationswarmen. Z. Phys. Chem., 39, 194–208.</t>
  </si>
  <si>
    <t>Ok = Okeme, J. O., Rodgers, T. F. M., Parnis, J. M., Diamond, M. L., Bidleman, T. F., &amp; Jantunen, L. M. (2020). Gas Chromatographic Estimation of Vapor Pressures and Octanol-Air Partition Coefficients of Semivolatile Organic Compounds of Emerging Concern. J. Chem. Eng. Data. https://doi.org/10.1021/acs.jced.9b01126</t>
  </si>
  <si>
    <t>SF (BDW)</t>
  </si>
  <si>
    <t>Indust. Data (CD10 - JCD)</t>
  </si>
  <si>
    <t>(CD35)</t>
  </si>
  <si>
    <t>(CD24)</t>
  </si>
  <si>
    <r>
      <t>(CD43)</t>
    </r>
    <r>
      <rPr>
        <i/>
        <vertAlign val="superscript"/>
        <sz val="11"/>
        <color rgb="FF000000"/>
        <rFont val="Times New Roman"/>
        <family val="1"/>
      </rPr>
      <t>iq</t>
    </r>
  </si>
  <si>
    <t>Indust. data (CD1 - JCD)eo</t>
  </si>
  <si>
    <t>rv</t>
  </si>
  <si>
    <t>Mar</t>
  </si>
  <si>
    <t>rw</t>
  </si>
  <si>
    <t>Dav</t>
  </si>
  <si>
    <t>rx</t>
  </si>
  <si>
    <t>ry</t>
  </si>
  <si>
    <t>Kat</t>
  </si>
  <si>
    <t>rz</t>
  </si>
  <si>
    <t>sa</t>
  </si>
  <si>
    <t>sb</t>
  </si>
  <si>
    <t>sc</t>
  </si>
  <si>
    <t>BB</t>
  </si>
  <si>
    <t>See regression on right; NIST has this as 91.7 kJ/mol</t>
  </si>
  <si>
    <t>sd</t>
  </si>
  <si>
    <t>SM2</t>
  </si>
  <si>
    <t>se</t>
  </si>
  <si>
    <t>Dom</t>
  </si>
  <si>
    <t>sf</t>
  </si>
  <si>
    <t>sg</t>
  </si>
  <si>
    <t>BD</t>
  </si>
  <si>
    <t>Could not access original source; quoted on NIST as Buckingham, J.; Donaghy, S.M., Dictionary of Organic Compounds: Fifth Edition, Chapman and Hall, New York, 1982, 1.</t>
  </si>
  <si>
    <t>sh</t>
  </si>
  <si>
    <t>Rab</t>
  </si>
  <si>
    <t>Could not find original source; quoted on NIST as Rabinovich, I.B.; Pet'kov, V.I.; Zarudaeva, S.S.; Ovchinnikov, E.Yu., Specific heat and thermodynamic functions of triphenyl phosphate at 12-340K, Zh. Fiz. Khim., 1986, 60, 767.</t>
  </si>
  <si>
    <t>si</t>
  </si>
  <si>
    <t>Nas</t>
  </si>
  <si>
    <t>Ref: GF</t>
  </si>
  <si>
    <t>Ref: Kat</t>
  </si>
  <si>
    <t>T(C)</t>
  </si>
  <si>
    <t>Ref: BB</t>
  </si>
  <si>
    <t>VP (mmHg*10^5)</t>
  </si>
  <si>
    <t>Pu = Puri, S., Chickos, J. S., &amp; Welsh, W. J. (2001). Determination of vaporization enthalpies of polychlorinated biphenyls by correlation gas chromatography. Anal. Chem., 73(7), 1480–1484. https://doi.org/10.1021/ac001246p</t>
  </si>
  <si>
    <t>Mar = Martynenko, L. Y., Rabinovich, I. B., Ovchinnikov, Y. V., &amp; Maslova, V. A. (1970). Heat capacity of the systems polyvinyl chloride-dioctylphthalate and polyvinyl chloride-dibutylphthalate. Polym. Sci. U.S.S.R., 12(4), 952–961. https://doi.org/10.1016/0032-3950(70)90391-6</t>
  </si>
  <si>
    <t>Dav = Davydova, Zh.V.; Makolkin, I.A.; Bataev, P.S., Zh. Obshch. Khim., 1969, 39, 8, 1668.</t>
  </si>
  <si>
    <t>FP = Fuchs, R., Peacock, L. A. (1980). Heats of vaporization of esters by the gas chromatography–calorimetry method. Canadian Journal of Chemistry (Vol. 58, Issue 24). https://doi.org/10.1139/v80-447</t>
  </si>
  <si>
    <t>Kat = Katayama, H. (1988). Vapor Pressures of Diethyl, Diisopropyl, and Dibutyl Phthalates at Reduced Pressures. Bull. Chem. Soc. Jpn., 61(9), 3326–3328. https://doi.org/10.1246/bcsj.61.3326</t>
  </si>
  <si>
    <t>Stu = Stull, D. R. (1947). Vapor Pressure of Pure Substances ORGANIC COMPOUNDS. Industrial and Engineering Chemistry (Vol. 39, Issue 4). https://pubs.acs.org/sharingguidelines</t>
  </si>
  <si>
    <t>Ch3 = Chang, S. S., Horman, J. A., &amp; Bestul, A. B. (1967). Heat capacities and related thermal data for diethyl phthalate crystal, glass, and liquid to 360 K. J. Res. Natl. Bur. Stand. Sect. A Phys. Chem., 71A(4), 293. https://doi.org/10.6028/jres.071a.036</t>
  </si>
  <si>
    <t>BB = Birks, J., &amp; Bradley, R. S. (1949). The rate of evaporation of droplets. II. The influence of changes of temperature and of the surrounding gas on the rate of evaporation of drops of di-n-butyl phthalate. In Proceedings of the Royal Society of London. Series A. Mathematical and Physical Sciences (Vol. 198, Issue 1053). https://doi.org/10.1098/rspa.1949.0097</t>
  </si>
  <si>
    <t>SM2 = Stephenson, R. M., &amp; Malanowski, S. (1987). Handbook of the Thermodynamics of Organic Compounds. In Handbook of the Thermodynamics of Organic Compounds. Springer Netherlands. https://doi.org/10.1007/978-94-009-3173-2</t>
  </si>
  <si>
    <t xml:space="preserve">Dom = Domalski, E.S.; Evans, W.H.; Hearing, E.D., J. Phys. Chem. Ref. Data, suppl. 1, 1984. </t>
  </si>
  <si>
    <t>BD = Buckingham, J.; Donaghy, S.M., Dictionary of Organic Compounds: Fifth Edition, Chapman and Hall, New York, 1982, 1.</t>
  </si>
  <si>
    <t>Pl2 = Plato, C. (1972). Differential Scanning Calorimetry as a General Method for Determining the Purity and Heat of Fusion of High-Purity Organic Chemicals. Application to 64 Compounds. In Analytical Chemistry (Vol. 44, Issue 8). UTC. https://doi.org/10.1021/ac60271a041</t>
  </si>
  <si>
    <t>Rab = Rabinovich, I.B.; Pet'kov, V.I.; Zarudaeva, S.S.; Ovchinnikov, E.Yu., Specific heat and thermodynamic functions of triphenyl phosphate at 12-340K, Zh. Fiz. Khim., 1986, 60, 767.</t>
  </si>
  <si>
    <t>Nas = Nass, K., Lenoir, D., &amp; Kettrup, A. (1995). Calculation of the Thermodynamic Properties of Polycyclic Aromatic Hydrocarbons by an Incremental Procedure. Angew. Chemie Int. Ed. English, 34(16), 1735–1736. https://doi.org/10.1002/anie.199517351</t>
  </si>
  <si>
    <r>
      <t xml:space="preserve">RM2 = Ribicky, J., &amp; Marton, J. P. (1974). Thermal characterization of decachlorobiphenyl. In </t>
    </r>
    <r>
      <rPr>
        <i/>
        <sz val="11"/>
        <color theme="1"/>
        <rFont val="Calibri"/>
        <family val="2"/>
        <scheme val="minor"/>
      </rPr>
      <t>Thermochimica Acta</t>
    </r>
    <r>
      <rPr>
        <sz val="11"/>
        <color theme="1"/>
        <rFont val="Calibri"/>
        <family val="2"/>
        <scheme val="minor"/>
      </rPr>
      <t xml:space="preserve"> (Vol. 9, Issue 4). https://doi.org/10.1016/0040-6031(74)80044-4</t>
    </r>
  </si>
  <si>
    <r>
      <t>290-310 KE (SM2)</t>
    </r>
    <r>
      <rPr>
        <vertAlign val="superscript"/>
        <sz val="10"/>
        <color rgb="FF000000"/>
        <rFont val="Times New Roman"/>
        <family val="1"/>
      </rPr>
      <t>sf</t>
    </r>
  </si>
  <si>
    <r>
      <t>(BD)</t>
    </r>
    <r>
      <rPr>
        <vertAlign val="superscript"/>
        <sz val="11"/>
        <color theme="1"/>
        <rFont val="Times New Roman"/>
        <family val="1"/>
      </rPr>
      <t>sg</t>
    </r>
  </si>
  <si>
    <t>DSC (Pl2)</t>
  </si>
  <si>
    <t>293-445 (SM2)</t>
  </si>
  <si>
    <r>
      <t>(Rab)</t>
    </r>
    <r>
      <rPr>
        <vertAlign val="superscript"/>
        <sz val="11"/>
        <color theme="1"/>
        <rFont val="Times New Roman"/>
        <family val="1"/>
      </rPr>
      <t>sh</t>
    </r>
  </si>
  <si>
    <r>
      <t>313-453 GS (Nas)</t>
    </r>
    <r>
      <rPr>
        <vertAlign val="superscript"/>
        <sz val="10"/>
        <color rgb="FF000000"/>
        <rFont val="Times New Roman"/>
        <family val="1"/>
      </rPr>
      <t>si</t>
    </r>
  </si>
  <si>
    <t>CGC (Pu)</t>
  </si>
  <si>
    <t>DSC (RM2)</t>
  </si>
  <si>
    <r>
      <t>(Mar)</t>
    </r>
    <r>
      <rPr>
        <vertAlign val="superscript"/>
        <sz val="11"/>
        <color theme="1"/>
        <rFont val="Times New Roman"/>
        <family val="1"/>
      </rPr>
      <t>rv</t>
    </r>
  </si>
  <si>
    <r>
      <t>GS (GF)</t>
    </r>
    <r>
      <rPr>
        <vertAlign val="superscript"/>
        <sz val="10"/>
        <color rgb="FF000000"/>
        <rFont val="Times New Roman"/>
        <family val="1"/>
      </rPr>
      <t>rx</t>
    </r>
  </si>
  <si>
    <t>269.92 (Ch3)</t>
  </si>
  <si>
    <t>403-578 (SM2)</t>
  </si>
  <si>
    <r>
      <t>293.05-317.15 (BB)</t>
    </r>
    <r>
      <rPr>
        <vertAlign val="superscript"/>
        <sz val="11"/>
        <color theme="1"/>
        <rFont val="Calibri"/>
        <family val="2"/>
        <scheme val="minor"/>
      </rPr>
      <t>sc</t>
    </r>
  </si>
  <si>
    <t>468-605 (SM2)</t>
  </si>
  <si>
    <t>288-313 (SM2)</t>
  </si>
  <si>
    <t>KE (BB)</t>
  </si>
  <si>
    <t>385-440 Tens. (Per)</t>
  </si>
  <si>
    <t>383-433 Tens. (Per)</t>
  </si>
  <si>
    <t>misc</t>
  </si>
  <si>
    <r>
      <t xml:space="preserve">Log </t>
    </r>
    <r>
      <rPr>
        <b/>
        <i/>
        <sz val="10"/>
        <color theme="1"/>
        <rFont val="Times New Roman"/>
        <family val="1"/>
      </rPr>
      <t>K</t>
    </r>
    <r>
      <rPr>
        <b/>
        <i/>
        <vertAlign val="subscript"/>
        <sz val="10"/>
        <color theme="1"/>
        <rFont val="Times New Roman"/>
        <family val="1"/>
      </rPr>
      <t>OA</t>
    </r>
  </si>
  <si>
    <r>
      <rPr>
        <b/>
        <sz val="10"/>
        <color rgb="FF000000"/>
        <rFont val="Calibri"/>
        <family val="2"/>
      </rPr>
      <t xml:space="preserve">σ </t>
    </r>
    <r>
      <rPr>
        <b/>
        <sz val="10"/>
        <color rgb="FF000000"/>
        <rFont val="Times New Roman"/>
        <family val="1"/>
      </rPr>
      <t xml:space="preserve">Log </t>
    </r>
    <r>
      <rPr>
        <b/>
        <i/>
        <sz val="10"/>
        <color theme="1"/>
        <rFont val="Times New Roman"/>
        <family val="1"/>
      </rPr>
      <t>K</t>
    </r>
    <r>
      <rPr>
        <b/>
        <i/>
        <vertAlign val="subscript"/>
        <sz val="10"/>
        <color theme="1"/>
        <rFont val="Times New Roman"/>
        <family val="1"/>
      </rPr>
      <t>OA</t>
    </r>
  </si>
  <si>
    <r>
      <t xml:space="preserve">Log </t>
    </r>
    <r>
      <rPr>
        <b/>
        <i/>
        <sz val="10"/>
        <color theme="1"/>
        <rFont val="Times New Roman"/>
        <family val="1"/>
      </rPr>
      <t>K</t>
    </r>
    <r>
      <rPr>
        <b/>
        <i/>
        <vertAlign val="subscript"/>
        <sz val="10"/>
        <color theme="1"/>
        <rFont val="Times New Roman"/>
        <family val="1"/>
      </rPr>
      <t>OW</t>
    </r>
  </si>
  <si>
    <r>
      <t xml:space="preserve">Log </t>
    </r>
    <r>
      <rPr>
        <b/>
        <i/>
        <sz val="10"/>
        <color theme="1"/>
        <rFont val="Times New Roman"/>
        <family val="1"/>
      </rPr>
      <t>K</t>
    </r>
    <r>
      <rPr>
        <b/>
        <i/>
        <vertAlign val="subscript"/>
        <sz val="10"/>
        <color theme="1"/>
        <rFont val="Times New Roman"/>
        <family val="1"/>
      </rPr>
      <t>AW</t>
    </r>
  </si>
  <si>
    <r>
      <rPr>
        <b/>
        <sz val="10"/>
        <color rgb="FF000000"/>
        <rFont val="Calibri"/>
        <family val="2"/>
      </rPr>
      <t xml:space="preserve">σ </t>
    </r>
    <r>
      <rPr>
        <b/>
        <sz val="10"/>
        <color rgb="FF000000"/>
        <rFont val="Times New Roman"/>
        <family val="1"/>
      </rPr>
      <t xml:space="preserve">Log </t>
    </r>
    <r>
      <rPr>
        <b/>
        <i/>
        <sz val="10"/>
        <color theme="1"/>
        <rFont val="Times New Roman"/>
        <family val="1"/>
      </rPr>
      <t>K</t>
    </r>
    <r>
      <rPr>
        <b/>
        <i/>
        <vertAlign val="subscript"/>
        <sz val="10"/>
        <color theme="1"/>
        <rFont val="Times New Roman"/>
        <family val="1"/>
      </rPr>
      <t>AW</t>
    </r>
  </si>
  <si>
    <r>
      <rPr>
        <b/>
        <sz val="10"/>
        <color rgb="FF000000"/>
        <rFont val="Calibri"/>
        <family val="2"/>
      </rPr>
      <t xml:space="preserve">σ </t>
    </r>
    <r>
      <rPr>
        <b/>
        <sz val="10"/>
        <color rgb="FF000000"/>
        <rFont val="Times New Roman"/>
        <family val="1"/>
      </rPr>
      <t xml:space="preserve">Log </t>
    </r>
    <r>
      <rPr>
        <b/>
        <i/>
        <sz val="10"/>
        <color theme="1"/>
        <rFont val="Times New Roman"/>
        <family val="1"/>
      </rPr>
      <t>K</t>
    </r>
    <r>
      <rPr>
        <b/>
        <i/>
        <vertAlign val="subscript"/>
        <sz val="10"/>
        <color theme="1"/>
        <rFont val="Times New Roman"/>
        <family val="1"/>
      </rPr>
      <t>OW</t>
    </r>
  </si>
  <si>
    <r>
      <t xml:space="preserve">Log </t>
    </r>
    <r>
      <rPr>
        <b/>
        <i/>
        <sz val="10"/>
        <color theme="1"/>
        <rFont val="Times New Roman"/>
        <family val="1"/>
      </rPr>
      <t>P</t>
    </r>
    <r>
      <rPr>
        <b/>
        <i/>
        <vertAlign val="subscript"/>
        <sz val="10"/>
        <color theme="1"/>
        <rFont val="Times New Roman"/>
        <family val="1"/>
      </rPr>
      <t>L</t>
    </r>
  </si>
  <si>
    <r>
      <rPr>
        <b/>
        <sz val="10"/>
        <color rgb="FF000000"/>
        <rFont val="Calibri"/>
        <family val="2"/>
      </rPr>
      <t xml:space="preserve">σ </t>
    </r>
    <r>
      <rPr>
        <b/>
        <sz val="10"/>
        <color rgb="FF000000"/>
        <rFont val="Times New Roman"/>
        <family val="1"/>
      </rPr>
      <t xml:space="preserve">Log </t>
    </r>
    <r>
      <rPr>
        <b/>
        <i/>
        <sz val="10"/>
        <color theme="1"/>
        <rFont val="Times New Roman"/>
        <family val="1"/>
      </rPr>
      <t>P</t>
    </r>
    <r>
      <rPr>
        <b/>
        <i/>
        <vertAlign val="subscript"/>
        <sz val="10"/>
        <color theme="1"/>
        <rFont val="Times New Roman"/>
        <family val="1"/>
      </rPr>
      <t>L</t>
    </r>
  </si>
  <si>
    <r>
      <t xml:space="preserve">Log </t>
    </r>
    <r>
      <rPr>
        <b/>
        <i/>
        <sz val="10"/>
        <color theme="1"/>
        <rFont val="Times New Roman"/>
        <family val="1"/>
      </rPr>
      <t>S</t>
    </r>
    <r>
      <rPr>
        <b/>
        <i/>
        <vertAlign val="subscript"/>
        <sz val="10"/>
        <color theme="1"/>
        <rFont val="Times New Roman"/>
        <family val="1"/>
      </rPr>
      <t>W,L</t>
    </r>
  </si>
  <si>
    <r>
      <rPr>
        <b/>
        <sz val="10"/>
        <color rgb="FF000000"/>
        <rFont val="Calibri"/>
        <family val="2"/>
      </rPr>
      <t xml:space="preserve">σ </t>
    </r>
    <r>
      <rPr>
        <b/>
        <sz val="10"/>
        <color rgb="FF000000"/>
        <rFont val="Times New Roman"/>
        <family val="1"/>
      </rPr>
      <t xml:space="preserve">Log </t>
    </r>
    <r>
      <rPr>
        <b/>
        <i/>
        <sz val="10"/>
        <color theme="1"/>
        <rFont val="Times New Roman"/>
        <family val="1"/>
      </rPr>
      <t>S</t>
    </r>
    <r>
      <rPr>
        <b/>
        <i/>
        <vertAlign val="subscript"/>
        <sz val="10"/>
        <color theme="1"/>
        <rFont val="Times New Roman"/>
        <family val="1"/>
      </rPr>
      <t>W,L</t>
    </r>
  </si>
  <si>
    <r>
      <t>Log S</t>
    </r>
    <r>
      <rPr>
        <b/>
        <i/>
        <vertAlign val="subscript"/>
        <sz val="14"/>
        <color theme="1"/>
        <rFont val="Times New Roman"/>
        <family val="1"/>
      </rPr>
      <t xml:space="preserve">OL </t>
    </r>
    <r>
      <rPr>
        <b/>
        <i/>
        <sz val="14"/>
        <color theme="1"/>
        <rFont val="Times New Roman"/>
        <family val="1"/>
      </rPr>
      <t>/mol m</t>
    </r>
    <r>
      <rPr>
        <b/>
        <i/>
        <vertAlign val="superscript"/>
        <sz val="14"/>
        <color theme="1"/>
        <rFont val="Times New Roman"/>
        <family val="1"/>
      </rPr>
      <t>-3</t>
    </r>
  </si>
  <si>
    <r>
      <t xml:space="preserve">Log </t>
    </r>
    <r>
      <rPr>
        <b/>
        <i/>
        <sz val="10"/>
        <color theme="1"/>
        <rFont val="Times New Roman"/>
        <family val="1"/>
      </rPr>
      <t>S</t>
    </r>
    <r>
      <rPr>
        <b/>
        <i/>
        <vertAlign val="subscript"/>
        <sz val="10"/>
        <color theme="1"/>
        <rFont val="Times New Roman"/>
        <family val="1"/>
      </rPr>
      <t>O,L</t>
    </r>
  </si>
  <si>
    <r>
      <rPr>
        <b/>
        <sz val="10"/>
        <color rgb="FF000000"/>
        <rFont val="Calibri"/>
        <family val="2"/>
      </rPr>
      <t xml:space="preserve">σ </t>
    </r>
    <r>
      <rPr>
        <b/>
        <sz val="10"/>
        <color rgb="FF000000"/>
        <rFont val="Times New Roman"/>
        <family val="1"/>
      </rPr>
      <t xml:space="preserve">Log </t>
    </r>
    <r>
      <rPr>
        <b/>
        <i/>
        <sz val="10"/>
        <color theme="1"/>
        <rFont val="Times New Roman"/>
        <family val="1"/>
      </rPr>
      <t>S</t>
    </r>
    <r>
      <rPr>
        <b/>
        <i/>
        <vertAlign val="subscript"/>
        <sz val="10"/>
        <color theme="1"/>
        <rFont val="Times New Roman"/>
        <family val="1"/>
      </rPr>
      <t>O,L</t>
    </r>
  </si>
  <si>
    <r>
      <t>∆S</t>
    </r>
    <r>
      <rPr>
        <b/>
        <i/>
        <vertAlign val="subscript"/>
        <sz val="14"/>
        <color theme="1"/>
        <rFont val="Times New Roman"/>
        <family val="1"/>
      </rPr>
      <t xml:space="preserve">fus </t>
    </r>
    <r>
      <rPr>
        <b/>
        <i/>
        <sz val="14"/>
        <color theme="1"/>
        <rFont val="Times New Roman"/>
        <family val="1"/>
      </rPr>
      <t>J mol</t>
    </r>
    <r>
      <rPr>
        <b/>
        <i/>
        <vertAlign val="superscript"/>
        <sz val="14"/>
        <color theme="1"/>
        <rFont val="Times New Roman"/>
        <family val="1"/>
      </rPr>
      <t>-1</t>
    </r>
  </si>
  <si>
    <r>
      <t>T</t>
    </r>
    <r>
      <rPr>
        <b/>
        <i/>
        <vertAlign val="subscript"/>
        <sz val="14"/>
        <color theme="1"/>
        <rFont val="Times New Roman"/>
        <family val="1"/>
      </rPr>
      <t xml:space="preserve">m </t>
    </r>
    <r>
      <rPr>
        <b/>
        <i/>
        <sz val="14"/>
        <color theme="1"/>
        <rFont val="Times New Roman"/>
        <family val="1"/>
      </rPr>
      <t>K</t>
    </r>
  </si>
  <si>
    <r>
      <t>Log ∆S</t>
    </r>
    <r>
      <rPr>
        <b/>
        <i/>
        <vertAlign val="subscript"/>
        <sz val="10"/>
        <color theme="1"/>
        <rFont val="Times New Roman"/>
        <family val="1"/>
      </rPr>
      <t>fus</t>
    </r>
  </si>
  <si>
    <r>
      <rPr>
        <b/>
        <sz val="10"/>
        <color rgb="FF000000"/>
        <rFont val="Calibri"/>
        <family val="2"/>
      </rPr>
      <t xml:space="preserve">σ </t>
    </r>
    <r>
      <rPr>
        <b/>
        <sz val="10"/>
        <color rgb="FF000000"/>
        <rFont val="Times New Roman"/>
        <family val="1"/>
      </rPr>
      <t xml:space="preserve">Log </t>
    </r>
    <r>
      <rPr>
        <b/>
        <i/>
        <sz val="10"/>
        <color theme="1"/>
        <rFont val="Times New Roman"/>
        <family val="1"/>
      </rPr>
      <t>∆S</t>
    </r>
    <r>
      <rPr>
        <b/>
        <i/>
        <vertAlign val="subscript"/>
        <sz val="10"/>
        <color theme="1"/>
        <rFont val="Times New Roman"/>
        <family val="1"/>
      </rPr>
      <t>fus</t>
    </r>
  </si>
  <si>
    <r>
      <t>T</t>
    </r>
    <r>
      <rPr>
        <b/>
        <i/>
        <vertAlign val="subscript"/>
        <sz val="10"/>
        <color theme="1"/>
        <rFont val="Times New Roman"/>
        <family val="1"/>
      </rPr>
      <t>M</t>
    </r>
  </si>
  <si>
    <r>
      <rPr>
        <b/>
        <sz val="10"/>
        <color rgb="FF000000"/>
        <rFont val="Calibri"/>
        <family val="2"/>
      </rPr>
      <t xml:space="preserve">σ </t>
    </r>
    <r>
      <rPr>
        <b/>
        <sz val="10"/>
        <color rgb="FF000000"/>
        <rFont val="Times New Roman"/>
        <family val="1"/>
      </rPr>
      <t>T</t>
    </r>
    <r>
      <rPr>
        <b/>
        <i/>
        <vertAlign val="subscript"/>
        <sz val="10"/>
        <color theme="1"/>
        <rFont val="Times New Roman"/>
        <family val="1"/>
      </rPr>
      <t>M</t>
    </r>
  </si>
  <si>
    <r>
      <t>∆</t>
    </r>
    <r>
      <rPr>
        <b/>
        <vertAlign val="subscript"/>
        <sz val="14"/>
        <color rgb="FF000000"/>
        <rFont val="Times New Roman"/>
        <family val="1"/>
      </rPr>
      <t>OW</t>
    </r>
    <r>
      <rPr>
        <b/>
        <sz val="14"/>
        <color rgb="FF000000"/>
        <rFont val="Times New Roman"/>
        <family val="1"/>
      </rPr>
      <t>U/kJ·mol</t>
    </r>
    <r>
      <rPr>
        <b/>
        <vertAlign val="superscript"/>
        <sz val="14"/>
        <color rgb="FF000000"/>
        <rFont val="Times New Roman"/>
        <family val="1"/>
      </rPr>
      <t>-1</t>
    </r>
    <r>
      <rPr>
        <b/>
        <sz val="14"/>
        <color rgb="FF000000"/>
        <rFont val="Times New Roman"/>
        <family val="1"/>
      </rPr>
      <t xml:space="preserve"> </t>
    </r>
  </si>
  <si>
    <r>
      <t>∆</t>
    </r>
    <r>
      <rPr>
        <b/>
        <vertAlign val="subscript"/>
        <sz val="14"/>
        <color rgb="FF000000"/>
        <rFont val="Times New Roman"/>
        <family val="1"/>
      </rPr>
      <t>AW</t>
    </r>
    <r>
      <rPr>
        <b/>
        <sz val="14"/>
        <color rgb="FF000000"/>
        <rFont val="Times New Roman"/>
        <family val="1"/>
      </rPr>
      <t>U/kJ·mol</t>
    </r>
    <r>
      <rPr>
        <b/>
        <vertAlign val="superscript"/>
        <sz val="14"/>
        <color rgb="FF000000"/>
        <rFont val="Times New Roman"/>
        <family val="1"/>
      </rPr>
      <t>-1</t>
    </r>
    <r>
      <rPr>
        <b/>
        <sz val="14"/>
        <color rgb="FF000000"/>
        <rFont val="Times New Roman"/>
        <family val="1"/>
      </rPr>
      <t xml:space="preserve"> </t>
    </r>
  </si>
  <si>
    <r>
      <t>∆</t>
    </r>
    <r>
      <rPr>
        <b/>
        <vertAlign val="subscript"/>
        <sz val="14"/>
        <color rgb="FF000000"/>
        <rFont val="Times New Roman"/>
        <family val="1"/>
      </rPr>
      <t>VAP</t>
    </r>
    <r>
      <rPr>
        <b/>
        <i/>
        <sz val="14"/>
        <color rgb="FF000000"/>
        <rFont val="Times New Roman"/>
        <family val="1"/>
      </rPr>
      <t>H</t>
    </r>
    <r>
      <rPr>
        <b/>
        <sz val="14"/>
        <color rgb="FF000000"/>
        <rFont val="Times New Roman"/>
        <family val="1"/>
      </rPr>
      <t>/kJ·mol</t>
    </r>
    <r>
      <rPr>
        <b/>
        <vertAlign val="superscript"/>
        <sz val="14"/>
        <color rgb="FF000000"/>
        <rFont val="Times New Roman"/>
        <family val="1"/>
      </rPr>
      <t>-1</t>
    </r>
  </si>
  <si>
    <r>
      <t>∆</t>
    </r>
    <r>
      <rPr>
        <b/>
        <vertAlign val="subscript"/>
        <sz val="14"/>
        <color rgb="FF000000"/>
        <rFont val="Times New Roman"/>
        <family val="1"/>
      </rPr>
      <t>W</t>
    </r>
    <r>
      <rPr>
        <b/>
        <sz val="14"/>
        <color rgb="FF000000"/>
        <rFont val="Times New Roman"/>
        <family val="1"/>
      </rPr>
      <t>U/kJ·mol</t>
    </r>
    <r>
      <rPr>
        <b/>
        <vertAlign val="superscript"/>
        <sz val="14"/>
        <color rgb="FF000000"/>
        <rFont val="Times New Roman"/>
        <family val="1"/>
      </rPr>
      <t>-1</t>
    </r>
  </si>
  <si>
    <r>
      <t>∆</t>
    </r>
    <r>
      <rPr>
        <b/>
        <vertAlign val="subscript"/>
        <sz val="14"/>
        <color rgb="FF000000"/>
        <rFont val="Times New Roman"/>
        <family val="1"/>
      </rPr>
      <t>O</t>
    </r>
    <r>
      <rPr>
        <b/>
        <sz val="14"/>
        <color rgb="FF000000"/>
        <rFont val="Times New Roman"/>
        <family val="1"/>
      </rPr>
      <t>U/kJ·mol</t>
    </r>
    <r>
      <rPr>
        <b/>
        <vertAlign val="superscript"/>
        <sz val="14"/>
        <color rgb="FF000000"/>
        <rFont val="Times New Roman"/>
        <family val="1"/>
      </rPr>
      <t>-1</t>
    </r>
  </si>
  <si>
    <r>
      <t>∆</t>
    </r>
    <r>
      <rPr>
        <b/>
        <vertAlign val="subscript"/>
        <sz val="14"/>
        <color rgb="FF000000"/>
        <rFont val="Times New Roman"/>
        <family val="1"/>
      </rPr>
      <t>OA</t>
    </r>
    <r>
      <rPr>
        <b/>
        <sz val="14"/>
        <color rgb="FF000000"/>
        <rFont val="Times New Roman"/>
        <family val="1"/>
      </rPr>
      <t>U/kJ·mol</t>
    </r>
    <r>
      <rPr>
        <b/>
        <vertAlign val="superscript"/>
        <sz val="14"/>
        <color rgb="FF000000"/>
        <rFont val="Times New Roman"/>
        <family val="1"/>
      </rPr>
      <t>-1</t>
    </r>
    <r>
      <rPr>
        <b/>
        <sz val="14"/>
        <color rgb="FF000000"/>
        <rFont val="Times New Roman"/>
        <family val="1"/>
      </rPr>
      <t xml:space="preserve"> </t>
    </r>
  </si>
  <si>
    <t>Compound Class</t>
  </si>
  <si>
    <t>DmP</t>
  </si>
  <si>
    <t>CAS Number</t>
  </si>
  <si>
    <t>IUPAC Name</t>
  </si>
  <si>
    <t>SMILES Identifier</t>
  </si>
  <si>
    <t>Molecular Weight (g/mol)</t>
  </si>
  <si>
    <t>sj</t>
  </si>
  <si>
    <t>Handbook, could not find original source &amp; inconsistent with other values</t>
  </si>
  <si>
    <r>
      <t>371-547 (SM2)</t>
    </r>
    <r>
      <rPr>
        <i/>
        <vertAlign val="superscript"/>
        <sz val="10"/>
        <color rgb="FF000000"/>
        <rFont val="Times New Roman"/>
        <family val="1"/>
      </rPr>
      <t>sk</t>
    </r>
  </si>
  <si>
    <t>sk</t>
  </si>
  <si>
    <t>Overall</t>
  </si>
  <si>
    <t>FAVR</t>
  </si>
  <si>
    <t>FAVL</t>
  </si>
  <si>
    <r>
      <t>281-337 (SM2)</t>
    </r>
    <r>
      <rPr>
        <b/>
        <i/>
        <vertAlign val="superscript"/>
        <sz val="11"/>
        <color rgb="FF000000"/>
        <rFont val="Times New Roman"/>
        <family val="1"/>
      </rPr>
      <t>sd</t>
    </r>
  </si>
  <si>
    <t>Converted from sublimation by subtracting enthalpy of fusion. Excluded as no information on method and inconsistent with other values</t>
  </si>
  <si>
    <t>sl</t>
  </si>
  <si>
    <t>sm</t>
  </si>
  <si>
    <t>sn</t>
  </si>
  <si>
    <r>
      <t>416-516 (SM2)</t>
    </r>
    <r>
      <rPr>
        <i/>
        <vertAlign val="superscript"/>
        <sz val="10"/>
        <color rgb="FF000000"/>
        <rFont val="Times New Roman"/>
        <family val="1"/>
      </rPr>
      <t>sn</t>
    </r>
  </si>
  <si>
    <r>
      <t>423-523 (SM2)</t>
    </r>
    <r>
      <rPr>
        <i/>
        <vertAlign val="superscript"/>
        <sz val="10"/>
        <color rgb="FF000000"/>
        <rFont val="Times New Roman"/>
        <family val="1"/>
      </rPr>
      <t>sl</t>
    </r>
  </si>
  <si>
    <r>
      <t>373-660 (SM2)</t>
    </r>
    <r>
      <rPr>
        <i/>
        <vertAlign val="superscript"/>
        <sz val="10"/>
        <color rgb="FF000000"/>
        <rFont val="Times New Roman"/>
        <family val="1"/>
      </rPr>
      <t>sm</t>
    </r>
  </si>
  <si>
    <r>
      <t>438-520 BG (Kat)</t>
    </r>
    <r>
      <rPr>
        <i/>
        <vertAlign val="superscript"/>
        <sz val="10"/>
        <color rgb="FF000000"/>
        <rFont val="Times New Roman"/>
        <family val="1"/>
      </rPr>
      <t>rz</t>
    </r>
  </si>
  <si>
    <t>so</t>
  </si>
  <si>
    <t>sp</t>
  </si>
  <si>
    <t>See regression at right;</t>
  </si>
  <si>
    <t>sq</t>
  </si>
  <si>
    <r>
      <t>409 (Dav)</t>
    </r>
    <r>
      <rPr>
        <i/>
        <vertAlign val="superscript"/>
        <sz val="10"/>
        <color rgb="FF000000"/>
        <rFont val="Times New Roman"/>
        <family val="1"/>
      </rPr>
      <t>rw</t>
    </r>
  </si>
  <si>
    <t>Could not find original source; quoted on NIST as Davydova, Zh.V.; Makolkin, I.A.; Bataev, P.S., Zh. Obshch. Khim., 1969, 39, 8, 1668. Rejected as insonsistent with other values</t>
  </si>
  <si>
    <t>sr</t>
  </si>
  <si>
    <t>Bol</t>
  </si>
  <si>
    <r>
      <t>(Ya)</t>
    </r>
    <r>
      <rPr>
        <i/>
        <vertAlign val="superscript"/>
        <sz val="11"/>
        <color theme="1"/>
        <rFont val="Times New Roman"/>
        <family val="1"/>
      </rPr>
      <t>fv</t>
    </r>
  </si>
  <si>
    <t>Rejected. From a compilation of literature and experimental values. Listed as a literature value, but references were given only for overall table not for each compound.</t>
  </si>
  <si>
    <t>ss</t>
  </si>
  <si>
    <t>Pl2</t>
  </si>
  <si>
    <r>
      <t>283 (Dom)</t>
    </r>
    <r>
      <rPr>
        <i/>
        <vertAlign val="superscript"/>
        <sz val="11"/>
        <color theme="1"/>
        <rFont val="Times New Roman"/>
        <family val="1"/>
      </rPr>
      <t>se</t>
    </r>
  </si>
  <si>
    <t xml:space="preserve">Rejected as cannot find original source and insconsistent with other values. Quoted in NIST as Domalski, E.S.; Evans, W.H.; Hearing, E.D., J. Phys. Chem. Ref. Data, suppl. 1, 1984. </t>
  </si>
  <si>
    <t>st</t>
  </si>
  <si>
    <r>
      <t>323 - 473 GC-RT (Lei)</t>
    </r>
    <r>
      <rPr>
        <i/>
        <vertAlign val="superscript"/>
        <sz val="10"/>
        <color rgb="FF000000"/>
        <rFont val="Times New Roman"/>
        <family val="1"/>
      </rPr>
      <t>st</t>
    </r>
  </si>
  <si>
    <t>Lei</t>
  </si>
  <si>
    <t>SH</t>
  </si>
  <si>
    <t>Rejected as generator column value for dUoa</t>
  </si>
  <si>
    <r>
      <t>278-308 Gen. Col (SH)</t>
    </r>
    <r>
      <rPr>
        <i/>
        <vertAlign val="superscript"/>
        <sz val="10"/>
        <color theme="1"/>
        <rFont val="Times New Roman"/>
        <family val="1"/>
      </rPr>
      <t>sq</t>
    </r>
  </si>
  <si>
    <t>su</t>
  </si>
  <si>
    <r>
      <t>278-308 Gen. Col (SH)</t>
    </r>
    <r>
      <rPr>
        <i/>
        <vertAlign val="superscript"/>
        <sz val="10"/>
        <color theme="1"/>
        <rFont val="Times New Roman"/>
        <family val="1"/>
      </rPr>
      <t>su</t>
    </r>
  </si>
  <si>
    <t>sv</t>
  </si>
  <si>
    <t>sw</t>
  </si>
  <si>
    <t>sx</t>
  </si>
  <si>
    <r>
      <t>288-318 Gen. Col. (HS)</t>
    </r>
    <r>
      <rPr>
        <i/>
        <vertAlign val="superscript"/>
        <sz val="10"/>
        <color rgb="FF000000"/>
        <rFont val="Times New Roman"/>
        <family val="1"/>
      </rPr>
      <t>sx</t>
    </r>
  </si>
  <si>
    <r>
      <t>288-318 Gen. Col. (HS)</t>
    </r>
    <r>
      <rPr>
        <i/>
        <vertAlign val="superscript"/>
        <sz val="10"/>
        <color rgb="FF000000"/>
        <rFont val="Times New Roman"/>
        <family val="1"/>
      </rPr>
      <t>sy</t>
    </r>
  </si>
  <si>
    <t>sy</t>
  </si>
  <si>
    <r>
      <t>288-318 Gen. Col. (HS)</t>
    </r>
    <r>
      <rPr>
        <vertAlign val="superscript"/>
        <sz val="10"/>
        <color rgb="FF000000"/>
        <rFont val="Times New Roman"/>
        <family val="1"/>
      </rPr>
      <t>sz</t>
    </r>
  </si>
  <si>
    <t>sz</t>
  </si>
  <si>
    <t>SG</t>
  </si>
  <si>
    <t>Kept as GC-RT value from Ok was unreliable</t>
  </si>
  <si>
    <r>
      <t>Bourdon gauge (Kat)</t>
    </r>
    <r>
      <rPr>
        <i/>
        <vertAlign val="superscript"/>
        <sz val="11"/>
        <color rgb="FF000000"/>
        <rFont val="Times New Roman"/>
        <family val="1"/>
      </rPr>
      <t>sb</t>
    </r>
  </si>
  <si>
    <r>
      <t>Bourdon gage (Kat)</t>
    </r>
    <r>
      <rPr>
        <i/>
        <vertAlign val="superscript"/>
        <sz val="11"/>
        <color rgb="FF000000"/>
        <rFont val="Times New Roman"/>
        <family val="1"/>
      </rPr>
      <t>sa</t>
    </r>
  </si>
  <si>
    <t>Ish = Ishak, H., Stephan, J., Karam, R., Goutaudier, C., Mokbel, I., Saliba, C. and Saab, J.: Aqueous solubility, vapor pressure and octanol-water partition coefficient of two phthalate isomers dibutyl phthalate and di-isobutyl phthalate contaminants of recycled food packages, Fluid Phase Equilib., 427, 362–370, doi:10.1016/j.fluid.2016.07.018, 2016.</t>
  </si>
  <si>
    <r>
      <t>298 - 328 DS (Ish)</t>
    </r>
    <r>
      <rPr>
        <vertAlign val="superscript"/>
        <sz val="10"/>
        <color theme="1"/>
        <rFont val="Times New Roman"/>
        <family val="1"/>
      </rPr>
      <t>rc</t>
    </r>
  </si>
  <si>
    <r>
      <t>298 - 323 DS (Ish)</t>
    </r>
    <r>
      <rPr>
        <vertAlign val="superscript"/>
        <sz val="10"/>
        <color theme="1"/>
        <rFont val="Times New Roman"/>
        <family val="1"/>
      </rPr>
      <t>rc</t>
    </r>
  </si>
  <si>
    <t>*Methods: FAV = thermodynamically consistent "final adjusted value". A= Calculated from the vapor pressure data reported by the method of least squares. GC-RT = GC-retention time, GC= gas chromatography, CGC=correlation GC, UV: Ultra-violet spectroscopy, KE: Knudsen-effusion, GS: gas saturation, IT: isoteniscope. E: effusion, SS = Slow stirring, HPLC = high performance liquid chromatography method, SF = shake flask, WWGC = wall wetted column GC; TM = thermodynamic method, FM = flask method, DSC = Differential scanning calorimetry, KHS - Koffler hot-stage, GMA = Gallenkamp melting point apparatus, CM = Capillary Method, DMA = Digital melting point apparatus, N = nephelometric, HB = heated bath; KM = kinetic method; DC = differential calorimetry; MEEK = micro-emulsion electrokinetic chromatography-retention factor correlation; SDE = submicron droplet evaporation; TLC = thin-layer chromatrography. BG = Bourdon Gauge; DS = dynamic saturation</t>
  </si>
  <si>
    <t>dUOW</t>
  </si>
  <si>
    <t>Selected (COSMO)</t>
  </si>
  <si>
    <t>Selected (ppLFER)</t>
  </si>
  <si>
    <t>ta</t>
  </si>
  <si>
    <r>
      <t>(CD45)</t>
    </r>
    <r>
      <rPr>
        <i/>
        <vertAlign val="superscript"/>
        <sz val="11"/>
        <color rgb="FF000000"/>
        <rFont val="Times New Roman"/>
        <family val="1"/>
      </rPr>
      <t>ta</t>
    </r>
  </si>
  <si>
    <t>CD45</t>
  </si>
  <si>
    <t>Rejected as  no information on temperature or method.</t>
  </si>
  <si>
    <r>
      <t>Gen. Col (GF)</t>
    </r>
    <r>
      <rPr>
        <vertAlign val="superscript"/>
        <sz val="11"/>
        <color rgb="FF000000"/>
        <rFont val="Times New Roman"/>
        <family val="1"/>
      </rPr>
      <t>bf</t>
    </r>
  </si>
  <si>
    <t>GC-RT (Pe)</t>
  </si>
  <si>
    <t>tb</t>
  </si>
  <si>
    <t>PL, dHvap, Koa, dUoa</t>
  </si>
  <si>
    <t>Pe</t>
  </si>
  <si>
    <t>Listed in paper as dibutyl phthalate, assumed to be di-n-butyl</t>
  </si>
  <si>
    <r>
      <t>GC-RT (Pe)</t>
    </r>
    <r>
      <rPr>
        <vertAlign val="superscript"/>
        <sz val="11"/>
        <color rgb="FF000000"/>
        <rFont val="Times New Roman"/>
        <family val="1"/>
      </rPr>
      <t>tb</t>
    </r>
  </si>
  <si>
    <r>
      <t>GC-RT (Pe)</t>
    </r>
    <r>
      <rPr>
        <vertAlign val="superscript"/>
        <sz val="11"/>
        <color theme="1"/>
        <rFont val="Times New Roman"/>
        <family val="1"/>
      </rPr>
      <t>tb</t>
    </r>
  </si>
  <si>
    <r>
      <t>403-473 GC-RT (Pe)</t>
    </r>
    <r>
      <rPr>
        <vertAlign val="superscript"/>
        <sz val="10"/>
        <color rgb="FF000000"/>
        <rFont val="Times New Roman"/>
        <family val="1"/>
      </rPr>
      <t>tb</t>
    </r>
  </si>
  <si>
    <r>
      <t>383-443 GS (KI)</t>
    </r>
    <r>
      <rPr>
        <i/>
        <vertAlign val="superscript"/>
        <sz val="10"/>
        <color rgb="FF000000"/>
        <rFont val="Times New Roman"/>
        <family val="1"/>
      </rPr>
      <t>oo</t>
    </r>
  </si>
  <si>
    <t>tc</t>
  </si>
  <si>
    <t>Stu</t>
  </si>
  <si>
    <t>Rejected, could not find original source, listed as: Anschutz and Reitter, “Die Destination unter vermindertem Druck im Laboratorium”, 2nd ed., Bonn, Cohen, 1895.</t>
  </si>
  <si>
    <r>
      <t>498-520 (Roh-a)</t>
    </r>
    <r>
      <rPr>
        <i/>
        <vertAlign val="superscript"/>
        <sz val="10"/>
        <color rgb="FF000000"/>
        <rFont val="Times New Roman"/>
        <family val="1"/>
      </rPr>
      <t>pn</t>
    </r>
  </si>
  <si>
    <r>
      <t>404-520 BG (Kat)</t>
    </r>
    <r>
      <rPr>
        <i/>
        <vertAlign val="superscript"/>
        <sz val="10"/>
        <color rgb="FF000000"/>
        <rFont val="Times New Roman"/>
        <family val="1"/>
      </rPr>
      <t>ry</t>
    </r>
  </si>
  <si>
    <t>See regression at right. Rejected as value given appears to be transfer temperature, see Pegoraro et al. (2015) for more details</t>
  </si>
  <si>
    <r>
      <t>381-567 (Stu)</t>
    </r>
    <r>
      <rPr>
        <i/>
        <vertAlign val="superscript"/>
        <sz val="10"/>
        <color rgb="FF000000"/>
        <rFont val="Times New Roman"/>
        <family val="1"/>
      </rPr>
      <t>tc</t>
    </r>
  </si>
  <si>
    <r>
      <t>GC calorimtery (FP)</t>
    </r>
    <r>
      <rPr>
        <i/>
        <vertAlign val="superscript"/>
        <sz val="10"/>
        <color rgb="FF000000"/>
        <rFont val="Times New Roman"/>
        <family val="1"/>
      </rPr>
      <t>td</t>
    </r>
  </si>
  <si>
    <t>Rejected as value given appears to be transfer temperature, see Pegoraro et al. (2015) for more details</t>
  </si>
  <si>
    <t>FP</t>
  </si>
  <si>
    <t>td</t>
  </si>
  <si>
    <t>Rejected, could not find original source. Reference was to E. Schroeder, Plaste Kautsch. 11 (1964) 205–208.</t>
  </si>
  <si>
    <t>373-438 GC-RT (Pe)</t>
  </si>
  <si>
    <t>373-433 GC-RT (Pe)</t>
  </si>
  <si>
    <r>
      <t>KE (HP)</t>
    </r>
    <r>
      <rPr>
        <i/>
        <vertAlign val="superscript"/>
        <sz val="11"/>
        <color rgb="FF000000"/>
        <rFont val="Times New Roman"/>
        <family val="1"/>
      </rPr>
      <t>te</t>
    </r>
  </si>
  <si>
    <t>te</t>
  </si>
  <si>
    <t>433-493 GC-RT (Pe)</t>
  </si>
  <si>
    <t>453-503 GC-RT (Pe)</t>
  </si>
  <si>
    <t>443-493 GC-RT (Pe)</t>
  </si>
  <si>
    <r>
      <t>SF-N (Ho)</t>
    </r>
    <r>
      <rPr>
        <vertAlign val="superscript"/>
        <sz val="11"/>
        <color rgb="FF000000"/>
        <rFont val="Times New Roman"/>
        <family val="1"/>
      </rPr>
      <t>cf</t>
    </r>
  </si>
  <si>
    <t>tf</t>
  </si>
  <si>
    <t>DBP</t>
  </si>
  <si>
    <t>BBP</t>
  </si>
  <si>
    <t>DOP</t>
  </si>
  <si>
    <t>tg</t>
  </si>
  <si>
    <t>th</t>
  </si>
  <si>
    <t>ti</t>
  </si>
  <si>
    <t>tj</t>
  </si>
  <si>
    <t>tk</t>
  </si>
  <si>
    <t>Pegoraro et al. calculated dUoa as though the slope they reported was from a log 10 regression; inspection of their retention time data made it clear that the reported slopes are from a regression based on the natural log. As such, the dUoa values here are calculated from the reported slopes not as reported in the paper (which are multiplied by 2.303 to convert from log 10 to natural log)</t>
  </si>
  <si>
    <r>
      <t>373-433 GC-RT (Pe)</t>
    </r>
    <r>
      <rPr>
        <vertAlign val="superscript"/>
        <sz val="10"/>
        <color rgb="FF000000"/>
        <rFont val="Times New Roman"/>
        <family val="1"/>
      </rPr>
      <t>tf</t>
    </r>
  </si>
  <si>
    <r>
      <t>373-438 GC-RT (Pe)</t>
    </r>
    <r>
      <rPr>
        <vertAlign val="superscript"/>
        <sz val="10"/>
        <color rgb="FF000000"/>
        <rFont val="Times New Roman"/>
        <family val="1"/>
      </rPr>
      <t>tb,tg</t>
    </r>
  </si>
  <si>
    <r>
      <t>403-473 GC-RT (Pe)</t>
    </r>
    <r>
      <rPr>
        <vertAlign val="superscript"/>
        <sz val="10"/>
        <color rgb="FF000000"/>
        <rFont val="Times New Roman"/>
        <family val="1"/>
      </rPr>
      <t>tb,th</t>
    </r>
  </si>
  <si>
    <r>
      <t>433-493 GC-RT (Pe)</t>
    </r>
    <r>
      <rPr>
        <vertAlign val="superscript"/>
        <sz val="10"/>
        <color rgb="FF000000"/>
        <rFont val="Times New Roman"/>
        <family val="1"/>
      </rPr>
      <t>ti</t>
    </r>
  </si>
  <si>
    <r>
      <t>443-493 GC-RT (Pe)</t>
    </r>
    <r>
      <rPr>
        <vertAlign val="superscript"/>
        <sz val="10"/>
        <color rgb="FF000000"/>
        <rFont val="Times New Roman"/>
        <family val="1"/>
      </rPr>
      <t>tj</t>
    </r>
  </si>
  <si>
    <r>
      <t>453-503 GC-RT (Pe)</t>
    </r>
    <r>
      <rPr>
        <vertAlign val="superscript"/>
        <sz val="10"/>
        <color rgb="FF000000"/>
        <rFont val="Times New Roman"/>
        <family val="1"/>
      </rPr>
      <t>tk</t>
    </r>
  </si>
  <si>
    <t>tl</t>
  </si>
  <si>
    <t>tm</t>
  </si>
  <si>
    <r>
      <t>433-493 GC-RT (Pe)</t>
    </r>
    <r>
      <rPr>
        <vertAlign val="superscript"/>
        <sz val="11"/>
        <color theme="1"/>
        <rFont val="Times New Roman"/>
        <family val="1"/>
      </rPr>
      <t>tl</t>
    </r>
  </si>
  <si>
    <t>Average of E and Z isomers. Pegoraro et al. calculated dUoa as though the slope they reported was from a log 10 regression; inspection of their retention time data made it clear that the reported slopes are from a regression based on the natural log. As such, the dUoa values here are calculated from the reported slopes not as reported in the paper (which are multiplied by 2.303 to convert from log 10 to natural log)</t>
  </si>
  <si>
    <t>Average of E and Z isomers.</t>
  </si>
  <si>
    <t>tn</t>
  </si>
  <si>
    <r>
      <t>433-493 GC-RT (E) (Pe)</t>
    </r>
    <r>
      <rPr>
        <vertAlign val="superscript"/>
        <sz val="11"/>
        <color theme="1"/>
        <rFont val="Times New Roman"/>
        <family val="1"/>
      </rPr>
      <t>tm</t>
    </r>
  </si>
  <si>
    <r>
      <t>GC-RT (Pe)</t>
    </r>
    <r>
      <rPr>
        <vertAlign val="superscript"/>
        <sz val="11"/>
        <color theme="1"/>
        <rFont val="Times New Roman"/>
        <family val="1"/>
      </rPr>
      <t>tn</t>
    </r>
  </si>
  <si>
    <t>Pl</t>
  </si>
  <si>
    <t>to</t>
  </si>
  <si>
    <r>
      <t>GC-RT (Pe)</t>
    </r>
    <r>
      <rPr>
        <vertAlign val="superscript"/>
        <sz val="11"/>
        <color rgb="FF000000"/>
        <rFont val="Times New Roman"/>
        <family val="1"/>
      </rPr>
      <t>to</t>
    </r>
  </si>
  <si>
    <t>-</t>
  </si>
  <si>
    <t>USED UNRELIABLE NOT THESE NUMBERS</t>
  </si>
  <si>
    <t>Lit K</t>
  </si>
  <si>
    <r>
      <t>Lit /mg L</t>
    </r>
    <r>
      <rPr>
        <b/>
        <vertAlign val="superscript"/>
        <sz val="11"/>
        <color theme="1"/>
        <rFont val="Times New Roman"/>
        <family val="1"/>
      </rPr>
      <t>-1</t>
    </r>
  </si>
  <si>
    <r>
      <t>BS (Ce)</t>
    </r>
    <r>
      <rPr>
        <i/>
        <vertAlign val="superscript"/>
        <sz val="11"/>
        <color theme="1"/>
        <rFont val="Times New Roman"/>
        <family val="1"/>
      </rPr>
      <t>jx</t>
    </r>
  </si>
  <si>
    <r>
      <t>BS (Mu2)</t>
    </r>
    <r>
      <rPr>
        <i/>
        <vertAlign val="superscript"/>
        <sz val="11"/>
        <color theme="1"/>
        <rFont val="Times New Roman"/>
        <family val="1"/>
      </rPr>
      <t>jj</t>
    </r>
  </si>
  <si>
    <r>
      <t>BS (tHu)</t>
    </r>
    <r>
      <rPr>
        <i/>
        <vertAlign val="superscript"/>
        <sz val="11"/>
        <color theme="1"/>
        <rFont val="Times New Roman"/>
        <family val="1"/>
      </rPr>
      <t>gh</t>
    </r>
  </si>
  <si>
    <r>
      <t>BS (tHu)</t>
    </r>
    <r>
      <rPr>
        <i/>
        <vertAlign val="superscript"/>
        <sz val="11"/>
        <color theme="1"/>
        <rFont val="Times New Roman"/>
        <family val="1"/>
      </rPr>
      <t>gj</t>
    </r>
  </si>
  <si>
    <r>
      <t>BS (Ce2)</t>
    </r>
    <r>
      <rPr>
        <i/>
        <vertAlign val="superscript"/>
        <sz val="11"/>
        <color theme="1"/>
        <rFont val="Times New Roman"/>
        <family val="1"/>
      </rPr>
      <t>ka</t>
    </r>
  </si>
  <si>
    <r>
      <t>BS (Ce2)</t>
    </r>
    <r>
      <rPr>
        <i/>
        <vertAlign val="superscript"/>
        <sz val="11"/>
        <color theme="1"/>
        <rFont val="Times New Roman"/>
        <family val="1"/>
      </rPr>
      <t>jy</t>
    </r>
  </si>
  <si>
    <r>
      <t>BS (Ce2)</t>
    </r>
    <r>
      <rPr>
        <i/>
        <vertAlign val="superscript"/>
        <sz val="11"/>
        <color theme="1"/>
        <rFont val="Times New Roman"/>
        <family val="1"/>
      </rPr>
      <t>jz</t>
    </r>
  </si>
  <si>
    <r>
      <t>BS (DE)</t>
    </r>
    <r>
      <rPr>
        <i/>
        <vertAlign val="superscript"/>
        <sz val="11"/>
        <color theme="1"/>
        <rFont val="Times New Roman"/>
        <family val="1"/>
      </rPr>
      <t>hg</t>
    </r>
  </si>
  <si>
    <t>Insufficient literature SDs (n = 3), used default value of 0.20</t>
  </si>
  <si>
    <t>Selected (OPERA)</t>
  </si>
  <si>
    <t>Selected (EPI Suite)</t>
  </si>
  <si>
    <t>Selected (ppLFER (Abraham 2007))</t>
  </si>
  <si>
    <t>Selected (ppLFER (Kow - Sw))</t>
  </si>
  <si>
    <t>Selected (SPARC)</t>
  </si>
  <si>
    <t>Selected (ppLFER (Van Noort 2010))</t>
  </si>
  <si>
    <t>FAVL (incl. IGS)</t>
  </si>
  <si>
    <t>FAVR (incl. IGS)</t>
  </si>
  <si>
    <t>UltFAVRiolet Filters</t>
  </si>
  <si>
    <t>*Methods: FAVL = thermodynamically consistent "final adjusted value". A= Calculated from the vapor pressure data reported by the method of least squares. GC-RT = GC-retention time, GC= gas chromatography, CGC=correlation GC, UV: Ultra-violet spectroscopy, KE: Knudsen-effusion, GS: gas saturation, IT: isoteniscope. E: effusion, Be = Beyer et al., 2002. Bi = Supporting information of Bidleman, 1984, summary of non-GC literature values. , SS = Slow stirring, HPLC = high performance liquid chromatography method, SF = shake flask, WWGC = wall wetted column GC; TM = thermodynamic method, FM = flask method, DSC = Differential scanning calorimetry, KHS - Koffler hot-stage, GMA = Gallenkamp melting point apparatus, CM = Capillary Method, DMA = Digital melting point apparatus, N = nephelometric, HB = heated bath</t>
  </si>
  <si>
    <r>
      <t>∆H</t>
    </r>
    <r>
      <rPr>
        <b/>
        <vertAlign val="subscript"/>
        <sz val="11"/>
        <color rgb="FF000000"/>
        <rFont val="Times New Roman"/>
        <family val="1"/>
      </rPr>
      <t>VAP</t>
    </r>
    <r>
      <rPr>
        <b/>
        <sz val="11"/>
        <color rgb="FF000000"/>
        <rFont val="Times New Roman"/>
        <family val="1"/>
      </rPr>
      <t>/kJ·mol</t>
    </r>
    <r>
      <rPr>
        <b/>
        <vertAlign val="superscript"/>
        <sz val="11"/>
        <color rgb="FF000000"/>
        <rFont val="Times New Roman"/>
        <family val="1"/>
      </rPr>
      <t>-1</t>
    </r>
  </si>
  <si>
    <r>
      <t>Lit ∆H</t>
    </r>
    <r>
      <rPr>
        <b/>
        <vertAlign val="subscript"/>
        <sz val="11"/>
        <color rgb="FF000000"/>
        <rFont val="Times New Roman"/>
        <family val="1"/>
      </rPr>
      <t>VAP</t>
    </r>
  </si>
  <si>
    <r>
      <t>∆U</t>
    </r>
    <r>
      <rPr>
        <b/>
        <vertAlign val="subscript"/>
        <sz val="11"/>
        <color rgb="FF000000"/>
        <rFont val="Times New Roman"/>
        <family val="1"/>
      </rPr>
      <t>W</t>
    </r>
    <r>
      <rPr>
        <b/>
        <sz val="11"/>
        <color rgb="FF000000"/>
        <rFont val="Times New Roman"/>
        <family val="1"/>
      </rPr>
      <t>/kJ·mol</t>
    </r>
    <r>
      <rPr>
        <b/>
        <vertAlign val="superscript"/>
        <sz val="11"/>
        <color rgb="FF000000"/>
        <rFont val="Times New Roman"/>
        <family val="1"/>
      </rPr>
      <t>-1</t>
    </r>
  </si>
  <si>
    <r>
      <t>Lit ∆U</t>
    </r>
    <r>
      <rPr>
        <b/>
        <vertAlign val="subscript"/>
        <sz val="11"/>
        <color rgb="FF000000"/>
        <rFont val="Times New Roman"/>
        <family val="1"/>
      </rPr>
      <t>W</t>
    </r>
  </si>
  <si>
    <r>
      <t>∆U</t>
    </r>
    <r>
      <rPr>
        <b/>
        <vertAlign val="subscript"/>
        <sz val="11"/>
        <color rgb="FF000000"/>
        <rFont val="Times New Roman"/>
        <family val="1"/>
      </rPr>
      <t>O</t>
    </r>
    <r>
      <rPr>
        <b/>
        <sz val="11"/>
        <color rgb="FF000000"/>
        <rFont val="Times New Roman"/>
        <family val="1"/>
      </rPr>
      <t>/kJ·mol</t>
    </r>
    <r>
      <rPr>
        <b/>
        <vertAlign val="superscript"/>
        <sz val="11"/>
        <color rgb="FF000000"/>
        <rFont val="Times New Roman"/>
        <family val="1"/>
      </rPr>
      <t>-1</t>
    </r>
  </si>
  <si>
    <r>
      <t>Lit ∆U</t>
    </r>
    <r>
      <rPr>
        <b/>
        <vertAlign val="subscript"/>
        <sz val="11"/>
        <color rgb="FF000000"/>
        <rFont val="Times New Roman"/>
        <family val="1"/>
      </rPr>
      <t>O</t>
    </r>
  </si>
  <si>
    <r>
      <t>-∆U</t>
    </r>
    <r>
      <rPr>
        <b/>
        <vertAlign val="subscript"/>
        <sz val="10"/>
        <color rgb="FF000000"/>
        <rFont val="Times New Roman"/>
        <family val="1"/>
      </rPr>
      <t>OA</t>
    </r>
    <r>
      <rPr>
        <b/>
        <sz val="10"/>
        <color rgb="FF000000"/>
        <rFont val="Times New Roman"/>
        <family val="1"/>
      </rPr>
      <t>/kJ·mol</t>
    </r>
    <r>
      <rPr>
        <b/>
        <vertAlign val="superscript"/>
        <sz val="10"/>
        <color rgb="FF000000"/>
        <rFont val="Times New Roman"/>
        <family val="1"/>
      </rPr>
      <t>-1</t>
    </r>
    <r>
      <rPr>
        <b/>
        <sz val="10"/>
        <color rgb="FF000000"/>
        <rFont val="Times New Roman"/>
        <family val="1"/>
      </rPr>
      <t xml:space="preserve"> </t>
    </r>
  </si>
  <si>
    <r>
      <t>Lit -∆U</t>
    </r>
    <r>
      <rPr>
        <b/>
        <vertAlign val="subscript"/>
        <sz val="10"/>
        <color rgb="FF000000"/>
        <rFont val="Times New Roman"/>
        <family val="1"/>
      </rPr>
      <t>OA</t>
    </r>
  </si>
  <si>
    <r>
      <t>∆U</t>
    </r>
    <r>
      <rPr>
        <b/>
        <vertAlign val="subscript"/>
        <sz val="10"/>
        <color rgb="FF000000"/>
        <rFont val="Times New Roman"/>
        <family val="1"/>
      </rPr>
      <t>AW</t>
    </r>
    <r>
      <rPr>
        <b/>
        <sz val="10"/>
        <color rgb="FF000000"/>
        <rFont val="Times New Roman"/>
        <family val="1"/>
      </rPr>
      <t>/kJ·mol</t>
    </r>
    <r>
      <rPr>
        <b/>
        <vertAlign val="superscript"/>
        <sz val="10"/>
        <color rgb="FF000000"/>
        <rFont val="Times New Roman"/>
        <family val="1"/>
      </rPr>
      <t>-1</t>
    </r>
    <r>
      <rPr>
        <b/>
        <sz val="10"/>
        <color rgb="FF000000"/>
        <rFont val="Times New Roman"/>
        <family val="1"/>
      </rPr>
      <t xml:space="preserve"> </t>
    </r>
  </si>
  <si>
    <r>
      <t>Lit ∆U</t>
    </r>
    <r>
      <rPr>
        <b/>
        <vertAlign val="subscript"/>
        <sz val="10"/>
        <color rgb="FF000000"/>
        <rFont val="Times New Roman"/>
        <family val="1"/>
      </rPr>
      <t>AW</t>
    </r>
    <r>
      <rPr>
        <b/>
        <sz val="10"/>
        <color rgb="FF000000"/>
        <rFont val="Times New Roman"/>
        <family val="1"/>
      </rPr>
      <t xml:space="preserve"> </t>
    </r>
  </si>
  <si>
    <r>
      <t>∆U</t>
    </r>
    <r>
      <rPr>
        <b/>
        <vertAlign val="subscript"/>
        <sz val="10"/>
        <color rgb="FF000000"/>
        <rFont val="Times New Roman"/>
        <family val="1"/>
      </rPr>
      <t>OW</t>
    </r>
    <r>
      <rPr>
        <b/>
        <sz val="10"/>
        <color rgb="FF000000"/>
        <rFont val="Times New Roman"/>
        <family val="1"/>
      </rPr>
      <t>/kJ·mol</t>
    </r>
    <r>
      <rPr>
        <b/>
        <vertAlign val="superscript"/>
        <sz val="10"/>
        <color rgb="FF000000"/>
        <rFont val="Times New Roman"/>
        <family val="1"/>
      </rPr>
      <t>-1</t>
    </r>
    <r>
      <rPr>
        <b/>
        <sz val="10"/>
        <color rgb="FF000000"/>
        <rFont val="Times New Roman"/>
        <family val="1"/>
      </rPr>
      <t xml:space="preserve"> </t>
    </r>
  </si>
  <si>
    <r>
      <t>Lit ∆U</t>
    </r>
    <r>
      <rPr>
        <b/>
        <vertAlign val="subscript"/>
        <sz val="10"/>
        <color rgb="FF000000"/>
        <rFont val="Times New Roman"/>
        <family val="1"/>
      </rPr>
      <t>OW</t>
    </r>
  </si>
  <si>
    <r>
      <t xml:space="preserve">Log </t>
    </r>
    <r>
      <rPr>
        <b/>
        <i/>
        <sz val="14"/>
        <color rgb="FF000000"/>
        <rFont val="Times New Roman"/>
        <family val="1"/>
      </rPr>
      <t>P</t>
    </r>
    <r>
      <rPr>
        <b/>
        <i/>
        <vertAlign val="subscript"/>
        <sz val="14"/>
        <color rgb="FF000000"/>
        <rFont val="Times New Roman"/>
        <family val="1"/>
      </rPr>
      <t>L</t>
    </r>
    <r>
      <rPr>
        <b/>
        <i/>
        <vertAlign val="superscript"/>
        <sz val="14"/>
        <color rgb="FF000000"/>
        <rFont val="Times New Roman"/>
        <family val="1"/>
      </rPr>
      <t>298</t>
    </r>
    <r>
      <rPr>
        <b/>
        <sz val="14"/>
        <color rgb="FF000000"/>
        <rFont val="Times New Roman"/>
        <family val="1"/>
      </rPr>
      <t>/Pa</t>
    </r>
  </si>
  <si>
    <r>
      <t>∆S</t>
    </r>
    <r>
      <rPr>
        <b/>
        <vertAlign val="subscript"/>
        <sz val="10"/>
        <color rgb="FF000000"/>
        <rFont val="Times New Roman"/>
        <family val="1"/>
      </rPr>
      <t>fus</t>
    </r>
    <r>
      <rPr>
        <b/>
        <sz val="10"/>
        <color rgb="FF000000"/>
        <rFont val="Times New Roman"/>
        <family val="1"/>
      </rPr>
      <t>/J·mol</t>
    </r>
    <r>
      <rPr>
        <b/>
        <vertAlign val="superscript"/>
        <sz val="10"/>
        <color rgb="FF000000"/>
        <rFont val="Times New Roman"/>
        <family val="1"/>
      </rPr>
      <t>-1</t>
    </r>
    <r>
      <rPr>
        <b/>
        <sz val="10"/>
        <color rgb="FF000000"/>
        <rFont val="Times New Roman"/>
        <family val="1"/>
      </rPr>
      <t xml:space="preserve"> </t>
    </r>
  </si>
  <si>
    <t>Table S2: Compound names, classes, chemical abstract service (CAS) numbers, International Union of Pure and Applied Chemistry (IUPAC) systematic name, simplified molecular-input line-entry system (SMILES) identifier, molecular weight and Abraham's solute descriptors A (hydrogen bonding acidity), B (hydrogen bonding basicity), L (hexadecane-air partition coefficient), S (polarizability/dipolarity), E (excess molar refraction) and V (McGowan molar volume), along with the references for Abraham's solute descriptors.</t>
  </si>
  <si>
    <t>Solute Descriptors Reference</t>
  </si>
  <si>
    <t>C1CCCCCCCC(=O)CCCCCC1</t>
  </si>
  <si>
    <t>ACD Absolv</t>
  </si>
  <si>
    <t>oxacyclohexadecan-2-one</t>
  </si>
  <si>
    <t>C1CCCCCCCOC(=O)CCCCCC1</t>
  </si>
  <si>
    <t>1-tert-butyl-2-methoxy-4-methyl-3,5-dinitrobenzene</t>
  </si>
  <si>
    <t>CC1=C(C=C(C(=C1[N+](=O)[O-])OC)C(C)(C)C)[N+](=O)[O-]</t>
  </si>
  <si>
    <t>oxacycloheptadecan-2-one</t>
  </si>
  <si>
    <t>C1CCCCCCCC(=O)OCCCCCCC1</t>
  </si>
  <si>
    <t>1-(6-tert-butyl-1,1-dimethyl-2,3-dihydroinden-4-yl)ethanone</t>
  </si>
  <si>
    <t>CC(=O)C1=CC(=CC2=C1CCC2(C)C)C(C)(C)C</t>
  </si>
  <si>
    <t>1,4-dioxacyclohexadecane-5,16-dione</t>
  </si>
  <si>
    <t>C1CCCCCC(=O)OCCOC(=O)CCCC1</t>
  </si>
  <si>
    <t>1-(1,1,2,3,3,6-hexamethyl-2H-inden-5-yl)ethanone</t>
  </si>
  <si>
    <t>CC1C(C2=C(C1(C)C)C=C(C(=C2)C)C(=O)C)(C)C</t>
  </si>
  <si>
    <t>1,6-dioxacycloheptadecan-7-one</t>
  </si>
  <si>
    <t>C1(CCCCCCCCCCOCCCCO1)=O</t>
  </si>
  <si>
    <t>1-(1,1,2,6-tetramethyl-3-propan-2-yl-2,3-dihydroinden-5-yl)ethanone</t>
  </si>
  <si>
    <t>CC1C(C2=C(C1(C)C)C=C(C(=C2)C(=O)C)C)C(C)C</t>
  </si>
  <si>
    <t>1,1,3,3,5-pentamethyl-4,6-dinitro-2H-indene</t>
  </si>
  <si>
    <t>CC1=C(C=C2C(=C1[N+](=O)[O-])C(CC2(C)C)(C)C)[N+](=O)[O-]</t>
  </si>
  <si>
    <t>1-(3,5,5,6,8,8-hexamethyl-6,7-dihydronaphthalen-2-yl)ethanone</t>
  </si>
  <si>
    <t>CC1CC(C2=C(C1(C)C)C=C(C(=C2)C(=O)C)C)(C)C</t>
  </si>
  <si>
    <t>4,6,6,7,8,8-hexamethyl-1,3,4,7-tetrahydrocyclopenta[g]isochromene</t>
  </si>
  <si>
    <t>CC1COCC2=CC3=C(C=C12)C(C(C3(C)C)C)(C)C</t>
  </si>
  <si>
    <t>1-tert-butyl-3,4,5-trimethyl-2,6-dinitrobenzene</t>
  </si>
  <si>
    <t>CC1=C(C(=C(C(=C1C)[N+](=O)[O-])C(C)(C)C)[N+](=O)[O-])C</t>
  </si>
  <si>
    <t>1,3,5-tribromo-2-prop-2-enoxybenzene</t>
  </si>
  <si>
    <t>C=CCOC1=C(C=C(C=C1Br)Br)Br</t>
  </si>
  <si>
    <t>1,2,5,6-tetrabromocyclooctane</t>
  </si>
  <si>
    <t>C1CC(C(CCC(C1Br)Br)Br)Br</t>
  </si>
  <si>
    <t>1,2,3,4,5-pentabromobenzene</t>
  </si>
  <si>
    <t>C1=C(C(=C(C(=C1Br)Br)Br)Br)Br</t>
  </si>
  <si>
    <t>1,2,3,4,5-pentabromo-6-ethylbenzene</t>
  </si>
  <si>
    <t>CCC1=C(C(=C(C(=C1Br)Br)Br)Br)Br</t>
  </si>
  <si>
    <t>Stenzel, A., Goss, K.-U., Endo, S. (2013) Environ. Sci. Technol., 47, 1399-1406., ACD (E)</t>
  </si>
  <si>
    <t>1,3,5-tribromo-2-(2,3-dibromopropoxy)benzene</t>
  </si>
  <si>
    <t>C1=C(C=C(C(=C1Br)OCC(CBr)Br)Br)Br</t>
  </si>
  <si>
    <t>Stenzel, A., Goss, K.-U., Endo, S. (2013) Environ. Sci. Technol., 47, 1399-1406. ACD (E)</t>
  </si>
  <si>
    <t>(1R,2R,5S,6R,9S,10R)-1,2,5,6,9,10-hexabromocyclododecane</t>
  </si>
  <si>
    <t>C1C[C@H]([C@H](CC[C@H]([C@H](CC[C@H]([C@@H]1Br)Br)Br)Br)Br)Br</t>
  </si>
  <si>
    <t>1,2,3,4,7,8,9,10,13,13,14,14-dodecachloro-1,4,4a,5,6,6a,7,10,10a,11,12,12a-dodecahydro-1,4,7,10-dimethanodibenzo[a,e]cyclooctene</t>
  </si>
  <si>
    <t>C1CC2C(CCC3C1C4(C(=C(C3(C4(Cl)Cl)Cl)Cl)Cl)Cl)C5(C(=C(C2(C5(Cl)Cl)Cl)Cl)Cl)Cl</t>
  </si>
  <si>
    <t>1-chloro-4-[2,2-dichloro-1-(4-chlorophenyl)ethenyl]benzene</t>
  </si>
  <si>
    <t>C1=CC(=CC=C1C(=C(Cl)Cl)C2=CC=C(C=C2)Cl)Cl</t>
  </si>
  <si>
    <t>Stenzel, A., Goss, K.-U., Endo, S. (2013) Environ. Sci. Technol., 47, 14204-14214., ACD (E)</t>
  </si>
  <si>
    <t>1-chloro-2-[2,2-dichloro-1-(4-chlorophenyl)ethyl]benzene</t>
  </si>
  <si>
    <t>C1=CC=C(C(=C1)C(C2=CC=C(C=C2)Cl)C(Cl)Cl)Cl</t>
  </si>
  <si>
    <t>Stenzel, A., Goss, K.-U., Endo, S. (2013) Environ. Sci. Technol., 47, 14204-14214. E,Bo from ACD</t>
  </si>
  <si>
    <t>1-chloro-4-[2,2-dichloro-1-(4-chlorophenyl)ethyl]benzene</t>
  </si>
  <si>
    <t>C1=CC(=CC=C1C(C2=CC=C(C=C2)Cl)C(Cl)Cl)Cl</t>
  </si>
  <si>
    <t>Stenzel, A., Endo, S., Goss, K.-U. (2012) J. Chromatogr. A, 1220, 132-142 (L); ACD for the rest</t>
  </si>
  <si>
    <t>1-chloro-2-[2,2,2-trichloro-1-(4-chlorophenyl)ethyl]benzene</t>
  </si>
  <si>
    <t>C1=CC=C(C(=C1)C(C2=CC=C(C=C2)Cl)C(Cl)(Cl)Cl)Cl</t>
  </si>
  <si>
    <t>1,2,3,4,10,10-Hexachloro-1,4,4a,5,8,8a-hexahydro-1,4:5,8-dimethanonaphthalene</t>
  </si>
  <si>
    <t>C1C2C=CC1C3C2C4(C(=C(C3(C4(Cl)Cl)Cl)Cl)Cl)Cl</t>
  </si>
  <si>
    <t>Stenzel, A., Goss, K.-U., Endo, S. (2013) Environ. Sci. Technol., 47, 14204-14214. ACD (E)</t>
  </si>
  <si>
    <t>(1R,2S,3R,5S,6R,7S)-1,3,4,5,7,8,9,10,10-nonachlorotricyclo[5.2.1.02,6]dec-8-ene</t>
  </si>
  <si>
    <t>C12C(C(C(C1Cl)Cl)Cl)C3(C(=C(C2(C3(Cl)Cl)Cl)Cl)Cl)Cl</t>
  </si>
  <si>
    <t>tris(2-chloroethyl)phosphate</t>
  </si>
  <si>
    <t>C(CCl)OP(=O)(OCCCl)OCCCl</t>
  </si>
  <si>
    <t>Stenzel, A., Goss, K.-U., Endo, S. (2013) Environ. Sci. Technol., 47, 1399-1406., ACD Absolv (e)</t>
  </si>
  <si>
    <t>tris(chloroisopropyl)phosphate</t>
  </si>
  <si>
    <t>CC(CCl)OP(=O)(OC(C)CCl)OC(C)CCl</t>
  </si>
  <si>
    <t>tris(1,3-dichloroisopropyl)phosphate</t>
  </si>
  <si>
    <t>C(C(CCl)OP(=O)(OC(CCl)CCl)OC(CCl)CCl)Cl</t>
  </si>
  <si>
    <t>triphenyl phosphate</t>
  </si>
  <si>
    <t>C1=CC=C(C=C1)OP(=O)(OC2=CC=CC=C2)OC3=CC=CC=C3</t>
  </si>
  <si>
    <t>Abraham, M. H., Acree, W. E. (2013) Sep. Sci. Technol. 48, 884-897.</t>
  </si>
  <si>
    <t>tris(3-methylphenyl) phosphate</t>
  </si>
  <si>
    <t>CC1=CC(=CC=C1)OP(=O)(OC2=CC=CC(=C2)C)OC3=CC=CC(=C3)C</t>
  </si>
  <si>
    <t>tris(2-methylphenyl) phosphate</t>
  </si>
  <si>
    <t>CC1=CC=CC=C1OP(=O)(OC2=CC=CC=C2C)OC3=CC=CC=C3C</t>
  </si>
  <si>
    <t>tris(4-methylphenyl) phosphate</t>
  </si>
  <si>
    <t>CC1=CC=C(C=C1)OP(=O)(OC2=CC=C(C=C2)C)OC3=CC=C(C=C3)C</t>
  </si>
  <si>
    <t>tris(2-butoxyethyl)phosphate</t>
  </si>
  <si>
    <t>CCCCOCCOP(=O)(OCCOCCCC)OCCOCCCC</t>
  </si>
  <si>
    <t>tris(2-ethylhexyl)phosphate</t>
  </si>
  <si>
    <t>CCCCC(CC)COP(=O)(OCC(CC)CCCC)OCC(CC)CCCC</t>
  </si>
  <si>
    <t>tris(4-tert-butylphenyl) phosphate</t>
  </si>
  <si>
    <t>CC(C)(C)C1=CC=C(C=C1)OP(=O)(OC2=CC=C(C=C2)C(C)(C)C)OC3=CC=C(C=C3)C(C)(C)C</t>
  </si>
  <si>
    <t>tris(2-propan-2-ylphenyl) phosphate</t>
  </si>
  <si>
    <t>CC(C)C1=CC=CC=C1OP(=O)(OC2=CC=CC=C2C(C)C)OC3=CC=CC=C3C(C)C</t>
  </si>
  <si>
    <t>2-ethylhexyl diphenyl phosphate</t>
  </si>
  <si>
    <t>CCCCC(CC)COP(=O)(OC1=CC=CC=C1)OC2=CC=CC=C2</t>
  </si>
  <si>
    <t>tris(2,3-dibromopropyl) phosphate</t>
  </si>
  <si>
    <t>C(C(CBr)Br)OP(=O)(OCC(CBr)Br)OCC(CBr)Br</t>
  </si>
  <si>
    <t>C1=CC=C2C3=C4C(=CC2=C1)C=CC5=C4C(=CC=C5)C=C3</t>
  </si>
  <si>
    <t>Sprunger, L., Proctor, A., Acree, W. E., Abraham, M. H. (2007) J. Chromatogr. A, 1175, 162-173.</t>
  </si>
  <si>
    <t>C1=CC=C2C=C3C4=CC=CC5=C4C(=CC=C5)C3=CC2=C1</t>
  </si>
  <si>
    <t>2,4-dibromo-1-(2,4-dibromophenoxy)benzene</t>
  </si>
  <si>
    <t>C1=CC(=C(C=C1Br)Br)OC2=C(C=C(C=C2)Br)Br</t>
  </si>
  <si>
    <t>Stenzel, A., Goss, K.-U., Endo, S. (2013) Environ. Sci. Technol., 47, 1399-1406. E,Bo from ACD</t>
  </si>
  <si>
    <t>1,2-dibromo-4-(2,4-dibromophenoxy)benzene</t>
  </si>
  <si>
    <t>C1=CC(=C(C=C1OC2=C(C=C(C=C2)Br)Br)Br)Br</t>
  </si>
  <si>
    <t>1,2-dibromo-4-(2,6-dibromophenoxy)benzene</t>
  </si>
  <si>
    <t>C1=CC(=C(C(=C1)Br)OC2=CC(=C(C=C2)Br)Br)Br</t>
  </si>
  <si>
    <t>1,3,5-tribromo-2-(2,4-dibromophenoxy)benzene</t>
  </si>
  <si>
    <t>C1=CC(=C(C=C1Br)Br)OC2=C(C=C(C=C2Br)Br)Br</t>
  </si>
  <si>
    <t>Stenzel, A., Goss, K.-U., Endo, S. (2013) Environ. Sci. Technol., 47, 1399-1406. AVD from ACD</t>
  </si>
  <si>
    <t>1,2,4-tribromo-5-(2,4-dibromophenoxy)benzene</t>
  </si>
  <si>
    <t>C1=CC(=C(C=C1Br)Br)OC2=CC(=C(C=C2Br)Br)Br</t>
  </si>
  <si>
    <t>1,3-dichloro-2-(2-chlorophenyl)benzene</t>
  </si>
  <si>
    <t>C1=CC=C(C(=C1)C2=C(C=CC=C2Cl)Cl)Cl</t>
  </si>
  <si>
    <t>Abraham, M. H., Al-Hussaini, A. J. M. (2005) J. Env. Monitor., 7, 295-301.</t>
  </si>
  <si>
    <t>1,3-dichloro-5-(2-chlorophenyl)benzene</t>
  </si>
  <si>
    <t>C1=CC=C(C(=C1)C2=CC(=CC(=C2)Cl)Cl)Cl</t>
  </si>
  <si>
    <t>1,3,5-trichloro-2-(3,4-dichlorophenyl)benzene</t>
  </si>
  <si>
    <t>C1=CC(=C(C=C1C2=C(C=C(C=C2Cl)Cl)Cl)Cl)Cl</t>
  </si>
  <si>
    <t>1,2,3-trichloro-4-(2,3,4-trichlorophenyl)benzene</t>
  </si>
  <si>
    <t>C1=CC(=C(C(=C1C2=C(C(=C(C=C2)Cl)Cl)Cl)Cl)Cl)Cl</t>
  </si>
  <si>
    <t>1,2,3,5-tetrachloro-4-(2,3-dichlorophenyl)benzene</t>
  </si>
  <si>
    <t>C1=CC(=C(C(=C1)Cl)Cl)C2=C(C(=C(C=C2Cl)Cl)Cl)Cl</t>
  </si>
  <si>
    <t>1,2,4-trichloro-5-(2,4,5-trichlorophenyl)benzene</t>
  </si>
  <si>
    <t>C1=C(C(=CC(=C1Cl)Cl)Cl)C2=CC(=C(C=C2Cl)Cl)Cl</t>
  </si>
  <si>
    <t>1,2,3,4,5-pentachloro-6-(2,3-dichlorophenyl)benzene</t>
  </si>
  <si>
    <t>C1=CC(=C(C(=C1)Cl)Cl)C2=C(C(=C(C(=C2Cl)Cl)Cl)Cl)Cl</t>
  </si>
  <si>
    <t>1,2,3,5-tetrachloro-4-(2,3,6-trichlorophenyl)benzene</t>
  </si>
  <si>
    <t>C1=CC(=C(C(=C1Cl)C2=C(C(=C(C=C2Cl)Cl)Cl)Cl)Cl)Cl</t>
  </si>
  <si>
    <t>1,2,3,4,5-pentachloro-6-(2,3,4,5,6-pentachlorophenyl)benzene</t>
  </si>
  <si>
    <t>C1(=C(C(=C(C(=C1Cl)Cl)Cl)Cl)Cl)C2=C(C(=C(C(=C2Cl)Cl)Cl)Cl)Cl</t>
  </si>
  <si>
    <t>dimethyl benzene-1,2-dicarboxylate</t>
  </si>
  <si>
    <t>COC(=O)C1=CC=CC=C1C(=O)OC</t>
  </si>
  <si>
    <t>Abraham, M.H, Acree, W.E. Jr. (2015) Chemosphere, 119, 871-880</t>
  </si>
  <si>
    <t>diethyl benzene-1,2-dicarboxylate</t>
  </si>
  <si>
    <t>CCOC(=O)C1=CC=CC=C1C(=O)OCC</t>
  </si>
  <si>
    <t>dipropyl benzene-1,2-dicarboxylate</t>
  </si>
  <si>
    <t>CCCOC(=O)C1=CC=CC=C1C(=O)OCCC</t>
  </si>
  <si>
    <t>bis(2-methylpropyl) benzene-1,2-dicarboxylate</t>
  </si>
  <si>
    <t>CC(C)COC(=O)C1=CC=CC=C1C(=O)OCC(C)C</t>
  </si>
  <si>
    <t>dibutyl benzene-1,2-dicarboxylate</t>
  </si>
  <si>
    <t>CCCCOC(=O)C1=CC=CC=C1C(=O)OCCCC</t>
  </si>
  <si>
    <t>2-O-benzyl 1-O-butyl benzene-1,2-dicarboxylate</t>
  </si>
  <si>
    <t>CCCCOC(=O)C1=CC=CC=C1C(=O)OCC2=CC=CC=C2</t>
  </si>
  <si>
    <t>bis(2-ethylhexyl) 3,4,5,6-tetrabromobenzene-1,2-dicarboxylate</t>
  </si>
  <si>
    <t>CCCCC(CC)COC(=O)C1=C(C(=C(C(=C1Br)Br)Br)Br)C(=O)OCC(CC)CCCC</t>
  </si>
  <si>
    <t>Stenzel, A., Endo, S., Goss, K.-U. (2012) J. Chromatogr. A, 1220, 132-142 (L); UFZ-LSER Calculated descriptor for the rest</t>
  </si>
  <si>
    <t>bis(2-ethylhexyl) benzene-1,2-dicarboxylate</t>
  </si>
  <si>
    <t>CCCCC(CC)COC(=O)C1=CC=CC=C1C(=O)OCC(CC)CCCC</t>
  </si>
  <si>
    <t>dioctyl benzene-1,2-dicarboxylate</t>
  </si>
  <si>
    <t>CCCCCCCCOC(=O)C1=CC=CC=C1C(=O)OCCCCCCCC</t>
  </si>
  <si>
    <t>bis(7-methyloctyl) benzene-1,2-dicarboxylate</t>
  </si>
  <si>
    <t>CC(C)CCCCCCOC(=O)C1=CC=CC=C1C(=O)OCCCCCCC(C)C</t>
  </si>
  <si>
    <t>bis(2,3,4,5,6-pentadeuteriophenyl)methanone</t>
  </si>
  <si>
    <t>C1=CC=C(C=C1)C(=O)C2=CC=CC=C2</t>
  </si>
  <si>
    <t>(2-hydroxy-4-methoxyphenyl)-phenylmethanone</t>
  </si>
  <si>
    <t>COC1=CC(=C(C=C1)C(=O)C2=CC=CC=C2)O</t>
  </si>
  <si>
    <t>Abraham, M. H., Acree, W. E. (2005) Int. J. Pharma., 294, 121-128., ACD Absolv (L)</t>
  </si>
  <si>
    <t>(2Z)-4,7,7-trimethyl-2-[(4-methylphenyl)methylidene]bicyclo[2.2.1]heptan-3-one</t>
  </si>
  <si>
    <t>CC1=CC=C(C=C1)C=C2C3CCC(C2=O)(C3(C)C)C</t>
  </si>
  <si>
    <t>(3,3,5-trimethylcyclohexyl) 2-hydroxybenzoate</t>
  </si>
  <si>
    <t>CC1CC(CC(C1)(C)C)OC(=O)C2=CC=CC=C2O</t>
  </si>
  <si>
    <t>2-ethylhexyl 2-cyano-3,3-diphenylprop-2-enoate</t>
  </si>
  <si>
    <t>CCCCC(CC)COC(=O)C(=C(C1=CC=CC=C1)C2=CC=CC=C2)C#N</t>
  </si>
  <si>
    <t>2-ethylhexyl 2-hydroxybenzoate</t>
  </si>
  <si>
    <t>CCCCC(CC)COC(=O)C1=CC=CC=C1O</t>
  </si>
  <si>
    <t>1-(4-tert-butylphenyl)-3-(4-methoxyphenyl)propane-1,3-dione</t>
  </si>
  <si>
    <t>CC(C)(C)C1=CC=C(C=C1)C(=O)CC(=O)C2=CC=C(C=C2)OC</t>
  </si>
  <si>
    <t>2-ethylhexyl 3-(4-methoxyphenyl)prop-2-enoate</t>
  </si>
  <si>
    <t>CCCCC(CC)COC(=O)C=CC1=CC=C(C=C1)OC</t>
  </si>
  <si>
    <t>Table S4: Conversions of literature values to 298 K and the subcooled liquid state, explanations of calculations made, explanations of exclusion, and literature value references.</t>
  </si>
  <si>
    <r>
      <t>Table S6: Recommended Final Adjusted Values (FAV</t>
    </r>
    <r>
      <rPr>
        <b/>
        <vertAlign val="superscript"/>
        <sz val="14"/>
        <color theme="1"/>
        <rFont val="Times New Roman"/>
        <family val="1"/>
      </rPr>
      <t>R</t>
    </r>
    <r>
      <rPr>
        <b/>
        <sz val="14"/>
        <color theme="1"/>
        <rFont val="Times New Roman"/>
        <family val="1"/>
      </rPr>
      <t>s) of partition coefficients, solubilities, enthalpies of vaporisation, internal energy of phase change (all at 25°C) and entropy of fusion at the melting point and the melting point. Also shown are the Literature Final Adjusted Values (FAV</t>
    </r>
    <r>
      <rPr>
        <b/>
        <vertAlign val="superscript"/>
        <sz val="14"/>
        <color theme="1"/>
        <rFont val="Times New Roman"/>
        <family val="1"/>
      </rPr>
      <t>L</t>
    </r>
    <r>
      <rPr>
        <b/>
        <sz val="14"/>
        <color theme="1"/>
        <rFont val="Times New Roman"/>
        <family val="1"/>
      </rPr>
      <t>s), the Literature Derived Values (LDVs) and the Model Derived Values (MDVs)</t>
    </r>
  </si>
  <si>
    <t>Table S5: References for literature measurments from Table S2.</t>
  </si>
  <si>
    <r>
      <t xml:space="preserve">Table S7: </t>
    </r>
    <r>
      <rPr>
        <b/>
        <i/>
        <sz val="14"/>
        <color theme="1"/>
        <rFont val="Times New Roman"/>
        <family val="1"/>
      </rPr>
      <t xml:space="preserve">in-silico </t>
    </r>
    <r>
      <rPr>
        <b/>
        <sz val="14"/>
        <color theme="1"/>
        <rFont val="Times New Roman"/>
        <family val="1"/>
      </rPr>
      <t>estimations and Model-Derived Values (MDVs) of solubilities, enthalpies of vaporisation, internal energy of phase change (all at 25°C).</t>
    </r>
  </si>
  <si>
    <r>
      <t>∆U</t>
    </r>
    <r>
      <rPr>
        <b/>
        <vertAlign val="subscript"/>
        <sz val="10"/>
        <color rgb="FF000000"/>
        <rFont val="Times New Roman"/>
        <family val="1"/>
      </rPr>
      <t>OA</t>
    </r>
    <r>
      <rPr>
        <b/>
        <sz val="10"/>
        <color rgb="FF000000"/>
        <rFont val="Times New Roman"/>
        <family val="1"/>
      </rPr>
      <t>/kJ·mol</t>
    </r>
    <r>
      <rPr>
        <b/>
        <vertAlign val="superscript"/>
        <sz val="10"/>
        <color rgb="FF000000"/>
        <rFont val="Times New Roman"/>
        <family val="1"/>
      </rPr>
      <t>-1</t>
    </r>
    <r>
      <rPr>
        <b/>
        <sz val="10"/>
        <color rgb="FF000000"/>
        <rFont val="Times New Roman"/>
        <family val="1"/>
      </rPr>
      <t xml:space="preserve"> </t>
    </r>
  </si>
  <si>
    <t>in silico ∆HVAP/kJ·mol-1</t>
  </si>
  <si>
    <t>in silico</t>
  </si>
  <si>
    <t xml:space="preserve">in silico HLC/ Pa·m³·mol-1 </t>
  </si>
  <si>
    <r>
      <t>in silico ∆U</t>
    </r>
    <r>
      <rPr>
        <b/>
        <vertAlign val="subscript"/>
        <sz val="11"/>
        <color rgb="FF000000"/>
        <rFont val="Times New Roman"/>
        <family val="1"/>
      </rPr>
      <t>O</t>
    </r>
  </si>
  <si>
    <r>
      <t>in silico ∆U</t>
    </r>
    <r>
      <rPr>
        <b/>
        <vertAlign val="subscript"/>
        <sz val="11"/>
        <color rgb="FF000000"/>
        <rFont val="Times New Roman"/>
        <family val="1"/>
      </rPr>
      <t>W</t>
    </r>
  </si>
  <si>
    <r>
      <t>in silico ∆U</t>
    </r>
    <r>
      <rPr>
        <b/>
        <vertAlign val="subscript"/>
        <sz val="10"/>
        <color rgb="FF000000"/>
        <rFont val="Times New Roman"/>
        <family val="1"/>
      </rPr>
      <t>OA</t>
    </r>
  </si>
  <si>
    <r>
      <t>in silico ∆U</t>
    </r>
    <r>
      <rPr>
        <b/>
        <vertAlign val="subscript"/>
        <sz val="10"/>
        <color rgb="FF000000"/>
        <rFont val="Times New Roman"/>
        <family val="1"/>
      </rPr>
      <t>AW</t>
    </r>
  </si>
  <si>
    <r>
      <t>in silico ∆U</t>
    </r>
    <r>
      <rPr>
        <b/>
        <vertAlign val="subscript"/>
        <sz val="10"/>
        <color rgb="FF000000"/>
        <rFont val="Times New Roman"/>
        <family val="1"/>
      </rPr>
      <t>OW</t>
    </r>
  </si>
  <si>
    <r>
      <t>in silico mg L</t>
    </r>
    <r>
      <rPr>
        <b/>
        <vertAlign val="superscript"/>
        <sz val="11"/>
        <color theme="1"/>
        <rFont val="Times New Roman"/>
        <family val="1"/>
      </rPr>
      <t>-1</t>
    </r>
  </si>
  <si>
    <r>
      <t>Log in silico mol m</t>
    </r>
    <r>
      <rPr>
        <b/>
        <vertAlign val="superscript"/>
        <sz val="11"/>
        <color theme="1"/>
        <rFont val="Times New Roman"/>
        <family val="1"/>
      </rPr>
      <t>-3</t>
    </r>
  </si>
  <si>
    <t xml:space="preserve">Table S3: Literature values and liuterature-derived values (LDVs) of partition coefficients, solubilities, enthalpies of vaporisation, internal energy of phase change (all at 25°C) and entropy of fusion at the melting point and the melting point. </t>
  </si>
  <si>
    <t>∆VAPH/kJ·mol-1</t>
  </si>
  <si>
    <t>∆VAPH SD</t>
  </si>
  <si>
    <t>∆VAPH NumLitVals</t>
  </si>
  <si>
    <t>∆WH/kJ·mol-1</t>
  </si>
  <si>
    <t>∆WH SD</t>
  </si>
  <si>
    <t>∆WH NumLitVals</t>
  </si>
  <si>
    <t>∆OH/kJ·mol-1</t>
  </si>
  <si>
    <t>∆OH SD</t>
  </si>
  <si>
    <t>∆OH Num LitVals</t>
  </si>
  <si>
    <t>∆OAU/kJ·mol-1</t>
  </si>
  <si>
    <t>∆OAU SD</t>
  </si>
  <si>
    <t>∆OAU Num LitVals</t>
  </si>
  <si>
    <t>∆AW/kJ·mol-1</t>
  </si>
  <si>
    <t>∆AWU SD</t>
  </si>
  <si>
    <t>∆AWU Num LitVals</t>
  </si>
  <si>
    <t>∆OW/kJ·mol-1</t>
  </si>
  <si>
    <t>∆OWU SD</t>
  </si>
  <si>
    <t>∆OWU Num LitVals</t>
  </si>
  <si>
    <t>LogKOA</t>
  </si>
  <si>
    <t>LogKOA SD</t>
  </si>
  <si>
    <t>LogKOA Num LitVals</t>
  </si>
  <si>
    <t>LogKOW</t>
  </si>
  <si>
    <t>LogKOW SD</t>
  </si>
  <si>
    <t>LogKOW Num LitVals</t>
  </si>
  <si>
    <t>LogKAW</t>
  </si>
  <si>
    <t>LogKAW SD</t>
  </si>
  <si>
    <t>LogKAW Num LitVals</t>
  </si>
  <si>
    <t>LogPL</t>
  </si>
  <si>
    <t>LogPL SD</t>
  </si>
  <si>
    <t>LogPL Num LitVals</t>
  </si>
  <si>
    <t>LogSWL</t>
  </si>
  <si>
    <t>LogSWL SD</t>
  </si>
  <si>
    <t>LogSWL Num LitVals2</t>
  </si>
  <si>
    <t>LogSOL</t>
  </si>
  <si>
    <t>LogSOL SD</t>
  </si>
  <si>
    <t>LogSOL Num LitVals</t>
  </si>
  <si>
    <t>∆fusS</t>
  </si>
  <si>
    <t>∆fusS SD</t>
  </si>
  <si>
    <t>∆fusS Num LitVals</t>
  </si>
  <si>
    <t>Tm SD</t>
  </si>
  <si>
    <t>Tm Num LitVals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</si>
</sst>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0_-;\-* #,##0.00_-;_-* &quot;-&quot;??_-;_-@_-"/>
    <numFmt numFmtId="165" formatCode="0.0"/>
    <numFmt numFmtId="166" formatCode="0.000"/>
    <numFmt numFmtId="167" formatCode="0.0000"/>
    <numFmt numFmtId="168" formatCode="_-* #,##0.000_-;\-* #,##0.000_-;_-* &quot;-&quot;??_-;_-@_-"/>
    <numFmt numFmtId="169" formatCode="0.000000"/>
    <numFmt numFmtId="170" formatCode="0.0E+00"/>
    <numFmt numFmtId="171" formatCode="_-* #,##0.0000_-;\-* #,##0.0000_-;_-* &quot;-&quot;??_-;_-@_-"/>
    <numFmt numFmtId="172" formatCode="_-* #,##0.00000_-;\-* #,##0.00000_-;_-* &quot;-&quot;??_-;_-@_-"/>
    <numFmt numFmtId="173" formatCode="_-* #,##0.000_-;\-* #,##0.000_-;_-* &quot;-&quot;???_-;_-@_-"/>
    <numFmt numFmtId="174" formatCode="0.00000000000000000"/>
  </numFmts>
  <fonts count="72">
    <font>
      <sz val="11"/>
      <color theme="1"/>
      <name val="Calibri"/>
      <family val="2"/>
      <scheme val="minor"/>
    </font>
    <font>
      <sz val="11"/>
      <color rgb="FFFF0000"/>
      <name val="Calibri"/>
      <family val="2"/>
      <scheme val="minor"/>
    </font>
    <font>
      <b/>
      <sz val="16"/>
      <color theme="1"/>
      <name val="Times New Roman"/>
      <family val="1"/>
    </font>
    <font>
      <sz val="8"/>
      <color theme="1"/>
      <name val="Calibri"/>
      <family val="2"/>
      <scheme val="minor"/>
    </font>
    <font>
      <b/>
      <sz val="12"/>
      <color theme="1"/>
      <name val="Times New Roman"/>
      <family val="1"/>
    </font>
    <font>
      <b/>
      <sz val="14"/>
      <color rgb="FF000000"/>
      <name val="Times New Roman"/>
      <family val="1"/>
    </font>
    <font>
      <b/>
      <i/>
      <sz val="14"/>
      <color rgb="FF000000"/>
      <name val="Times New Roman"/>
      <family val="1"/>
    </font>
    <font>
      <b/>
      <i/>
      <vertAlign val="subscript"/>
      <sz val="14"/>
      <color rgb="FF000000"/>
      <name val="Times New Roman"/>
      <family val="1"/>
    </font>
    <font>
      <b/>
      <i/>
      <vertAlign val="superscript"/>
      <sz val="14"/>
      <color rgb="FF000000"/>
      <name val="Times New Roman"/>
      <family val="1"/>
    </font>
    <font>
      <b/>
      <sz val="14"/>
      <color theme="1"/>
      <name val="Times New Roman"/>
      <family val="1"/>
    </font>
    <font>
      <b/>
      <i/>
      <sz val="14"/>
      <color theme="1"/>
      <name val="Times New Roman"/>
      <family val="1"/>
    </font>
    <font>
      <b/>
      <i/>
      <vertAlign val="subscript"/>
      <sz val="14"/>
      <color theme="1"/>
      <name val="Times New Roman"/>
      <family val="1"/>
    </font>
    <font>
      <b/>
      <sz val="11"/>
      <color rgb="FF000000"/>
      <name val="Times New Roman"/>
      <family val="1"/>
    </font>
    <font>
      <b/>
      <sz val="10"/>
      <color rgb="FF000000"/>
      <name val="Times New Roman"/>
      <family val="1"/>
    </font>
    <font>
      <sz val="11"/>
      <color rgb="FF000000"/>
      <name val="Times New Roman"/>
      <family val="1"/>
    </font>
    <font>
      <i/>
      <sz val="11"/>
      <color rgb="FF000000"/>
      <name val="Times New Roman"/>
      <family val="1"/>
    </font>
    <font>
      <vertAlign val="superscript"/>
      <sz val="11"/>
      <color rgb="FF000000"/>
      <name val="Times New Roman"/>
      <family val="1"/>
    </font>
    <font>
      <b/>
      <vertAlign val="superscript"/>
      <sz val="10"/>
      <color rgb="FF000000"/>
      <name val="Times New Roman"/>
      <family val="1"/>
    </font>
    <font>
      <b/>
      <sz val="11"/>
      <color theme="1"/>
      <name val="Times New Roman"/>
      <family val="1"/>
    </font>
    <font>
      <b/>
      <vertAlign val="superscript"/>
      <sz val="11"/>
      <color theme="1"/>
      <name val="Times New Roman"/>
      <family val="1"/>
    </font>
    <font>
      <sz val="10"/>
      <color rgb="FF000000"/>
      <name val="Times New Roman"/>
      <family val="1"/>
    </font>
    <font>
      <sz val="10"/>
      <color theme="1"/>
      <name val="Times New Roman"/>
      <family val="1"/>
    </font>
    <font>
      <b/>
      <sz val="11"/>
      <color rgb="FF212121"/>
      <name val="Times New Roman"/>
      <family val="1"/>
    </font>
    <font>
      <sz val="11"/>
      <color theme="1"/>
      <name val="Times New Roman"/>
      <family val="1"/>
    </font>
    <font>
      <b/>
      <i/>
      <sz val="11"/>
      <color rgb="FF000000"/>
      <name val="Times New Roman"/>
      <family val="1"/>
    </font>
    <font>
      <sz val="11"/>
      <name val="Times New Roman"/>
      <family val="1"/>
    </font>
    <font>
      <b/>
      <sz val="11"/>
      <name val="Times New Roman"/>
      <family val="1"/>
    </font>
    <font>
      <sz val="8"/>
      <color theme="1"/>
      <name val="NimbusRomNo9L-Regu"/>
    </font>
    <font>
      <b/>
      <sz val="11"/>
      <color theme="1"/>
      <name val="Calibri"/>
      <family val="2"/>
      <scheme val="minor"/>
    </font>
    <font>
      <sz val="11"/>
      <color rgb="FFFF0000"/>
      <name val="Times New Roman"/>
      <family val="1"/>
    </font>
    <font>
      <b/>
      <sz val="11"/>
      <color rgb="FFFF0000"/>
      <name val="Times New Roman"/>
      <family val="1"/>
    </font>
    <font>
      <b/>
      <vertAlign val="subscript"/>
      <sz val="11"/>
      <color rgb="FF000000"/>
      <name val="Times New Roman"/>
      <family val="1"/>
    </font>
    <font>
      <b/>
      <vertAlign val="superscript"/>
      <sz val="11"/>
      <color rgb="FF000000"/>
      <name val="Times New Roman"/>
      <family val="1"/>
    </font>
    <font>
      <u/>
      <sz val="11"/>
      <color rgb="FF000000"/>
      <name val="Times New Roman"/>
      <family val="1"/>
    </font>
    <font>
      <b/>
      <i/>
      <vertAlign val="superscript"/>
      <sz val="14"/>
      <color theme="1"/>
      <name val="Times New Roman"/>
      <family val="1"/>
    </font>
    <font>
      <b/>
      <vertAlign val="subscript"/>
      <sz val="10"/>
      <color rgb="FF000000"/>
      <name val="Times New Roman"/>
      <family val="1"/>
    </font>
    <font>
      <vertAlign val="superscript"/>
      <sz val="11"/>
      <color theme="1"/>
      <name val="Times New Roman"/>
      <family val="1"/>
    </font>
    <font>
      <vertAlign val="superscript"/>
      <sz val="10"/>
      <color rgb="FF000000"/>
      <name val="Times New Roman"/>
      <family val="1"/>
    </font>
    <font>
      <sz val="11"/>
      <color theme="1"/>
      <name val="Calibri"/>
      <family val="2"/>
      <scheme val="minor"/>
    </font>
    <font>
      <b/>
      <u/>
      <sz val="11"/>
      <color theme="1"/>
      <name val="Calibri"/>
      <family val="2"/>
      <scheme val="minor"/>
    </font>
    <font>
      <b/>
      <sz val="10"/>
      <color theme="1"/>
      <name val="Times New Roman"/>
      <family val="1"/>
    </font>
    <font>
      <i/>
      <sz val="11"/>
      <color theme="1"/>
      <name val="Times New Roman"/>
      <family val="1"/>
    </font>
    <font>
      <i/>
      <vertAlign val="subscript"/>
      <sz val="11"/>
      <color theme="1"/>
      <name val="Times New Roman"/>
      <family val="1"/>
    </font>
    <font>
      <i/>
      <vertAlign val="superscript"/>
      <sz val="11"/>
      <color theme="1"/>
      <name val="Times New Roman"/>
      <family val="1"/>
    </font>
    <font>
      <b/>
      <sz val="8"/>
      <color theme="1"/>
      <name val="NimbusRomNo9L-Regu"/>
    </font>
    <font>
      <i/>
      <sz val="10"/>
      <color theme="1"/>
      <name val="Times New Roman"/>
      <family val="1"/>
    </font>
    <font>
      <i/>
      <sz val="11"/>
      <color theme="1"/>
      <name val="Calibri"/>
      <family val="2"/>
      <scheme val="minor"/>
    </font>
    <font>
      <i/>
      <vertAlign val="superscript"/>
      <sz val="11"/>
      <color rgb="FF000000"/>
      <name val="Times New Roman"/>
      <family val="1"/>
    </font>
    <font>
      <i/>
      <sz val="10"/>
      <color rgb="FF000000"/>
      <name val="Times New Roman"/>
      <family val="1"/>
    </font>
    <font>
      <i/>
      <sz val="11"/>
      <name val="Times New Roman"/>
      <family val="1"/>
    </font>
    <font>
      <i/>
      <vertAlign val="superscript"/>
      <sz val="11"/>
      <name val="Times New Roman"/>
      <family val="1"/>
    </font>
    <font>
      <b/>
      <sz val="11"/>
      <color theme="0"/>
      <name val="Calibri"/>
      <family val="2"/>
      <scheme val="minor"/>
    </font>
    <font>
      <sz val="8"/>
      <name val="Calibri"/>
      <family val="2"/>
      <scheme val="minor"/>
    </font>
    <font>
      <b/>
      <vertAlign val="subscript"/>
      <sz val="11"/>
      <color theme="0"/>
      <name val="Calibri"/>
      <family val="2"/>
      <scheme val="minor"/>
    </font>
    <font>
      <vertAlign val="superscript"/>
      <sz val="10"/>
      <color theme="1"/>
      <name val="Times New Roman"/>
      <family val="1"/>
    </font>
    <font>
      <i/>
      <vertAlign val="superscript"/>
      <sz val="10"/>
      <color rgb="FF000000"/>
      <name val="Times New Roman"/>
      <family val="1"/>
    </font>
    <font>
      <i/>
      <vertAlign val="superscript"/>
      <sz val="10"/>
      <color theme="1"/>
      <name val="Times New Roman"/>
      <family val="1"/>
    </font>
    <font>
      <vertAlign val="superscript"/>
      <sz val="11"/>
      <color theme="1"/>
      <name val="Calibri"/>
      <family val="2"/>
      <scheme val="minor"/>
    </font>
    <font>
      <b/>
      <sz val="11"/>
      <color rgb="FF000000"/>
      <name val="Calibri"/>
      <family val="2"/>
    </font>
    <font>
      <b/>
      <sz val="11"/>
      <color rgb="FF000000"/>
      <name val="Times New Roman"/>
      <family val="2"/>
    </font>
    <font>
      <b/>
      <sz val="10"/>
      <color rgb="FF000000"/>
      <name val="Calibri"/>
      <family val="2"/>
    </font>
    <font>
      <b/>
      <sz val="10"/>
      <color rgb="FF000000"/>
      <name val="Times New Roman"/>
      <family val="2"/>
    </font>
    <font>
      <vertAlign val="superscript"/>
      <sz val="11"/>
      <name val="Times New Roman"/>
      <family val="1"/>
    </font>
    <font>
      <strike/>
      <sz val="11"/>
      <color theme="1"/>
      <name val="Calibri"/>
      <family val="2"/>
      <scheme val="minor"/>
    </font>
    <font>
      <b/>
      <i/>
      <sz val="10"/>
      <color theme="1"/>
      <name val="Times New Roman"/>
      <family val="1"/>
    </font>
    <font>
      <b/>
      <i/>
      <vertAlign val="subscript"/>
      <sz val="10"/>
      <color theme="1"/>
      <name val="Times New Roman"/>
      <family val="1"/>
    </font>
    <font>
      <b/>
      <vertAlign val="subscript"/>
      <sz val="14"/>
      <color rgb="FF000000"/>
      <name val="Times New Roman"/>
      <family val="1"/>
    </font>
    <font>
      <b/>
      <vertAlign val="superscript"/>
      <sz val="14"/>
      <color rgb="FF000000"/>
      <name val="Times New Roman"/>
      <family val="1"/>
    </font>
    <font>
      <b/>
      <i/>
      <vertAlign val="superscript"/>
      <sz val="11"/>
      <color rgb="FF000000"/>
      <name val="Times New Roman"/>
      <family val="1"/>
    </font>
    <font>
      <sz val="11"/>
      <color rgb="FF000000"/>
      <name val="Calibri"/>
      <family val="2"/>
    </font>
    <font>
      <b/>
      <sz val="14"/>
      <color theme="1"/>
      <name val="Calibri"/>
      <family val="2"/>
      <scheme val="minor"/>
    </font>
    <font>
      <b/>
      <vertAlign val="superscript"/>
      <sz val="14"/>
      <color theme="1"/>
      <name val="Times New Roman"/>
      <family val="1"/>
    </font>
  </fonts>
  <fills count="3">
    <fill>
      <patternFill patternType="none"/>
    </fill>
    <fill>
      <patternFill patternType="gray125"/>
    </fill>
    <fill>
      <patternFill patternType="solid">
        <fgColor rgb="FFFF0000"/>
        <bgColor indexed="64"/>
      </patternFill>
    </fill>
  </fills>
  <borders count="2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top/>
      <bottom style="thin">
        <color auto="1"/>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top style="thin">
        <color theme="4" tint="0.39997558519241921"/>
      </top>
      <bottom style="thin">
        <color theme="4" tint="0.39997558519241921"/>
      </bottom>
      <diagonal/>
    </border>
    <border>
      <left style="thin">
        <color indexed="64"/>
      </left>
      <right/>
      <top style="thin">
        <color theme="4" tint="0.39997558519241921"/>
      </top>
      <bottom/>
      <diagonal/>
    </border>
    <border>
      <left/>
      <right style="thin">
        <color theme="4" tint="0.39997558519241921"/>
      </right>
      <top/>
      <bottom/>
      <diagonal/>
    </border>
    <border>
      <left/>
      <right/>
      <top/>
      <bottom style="thin">
        <color theme="4" tint="0.39997558519241921"/>
      </bottom>
      <diagonal/>
    </border>
    <border>
      <left style="thin">
        <color theme="4" tint="0.39997558519241921"/>
      </left>
      <right style="thin">
        <color theme="4" tint="0.39997558519241921"/>
      </right>
      <top/>
      <bottom/>
      <diagonal/>
    </border>
    <border>
      <left style="thin">
        <color indexed="64"/>
      </left>
      <right style="thin">
        <color indexed="64"/>
      </right>
      <top style="thin">
        <color indexed="64"/>
      </top>
      <bottom/>
      <diagonal/>
    </border>
  </borders>
  <cellStyleXfs count="4">
    <xf numFmtId="0" fontId="0" fillId="0" borderId="0"/>
    <xf numFmtId="9" fontId="38" fillId="0" borderId="0" applyFont="0" applyFill="0" applyBorder="0" applyAlignment="0" applyProtection="0"/>
    <xf numFmtId="164" fontId="38" fillId="0" borderId="0" applyFont="0" applyFill="0" applyBorder="0" applyAlignment="0" applyProtection="0"/>
    <xf numFmtId="0" fontId="69" fillId="0" borderId="0"/>
  </cellStyleXfs>
  <cellXfs count="540">
    <xf numFmtId="0" fontId="0" fillId="0" borderId="0" xfId="0"/>
    <xf numFmtId="0" fontId="0" fillId="0" borderId="0" xfId="0" applyFill="1"/>
    <xf numFmtId="0" fontId="3" fillId="0" borderId="4" xfId="0" applyFont="1" applyFill="1" applyBorder="1" applyAlignment="1">
      <alignment vertical="center"/>
    </xf>
    <xf numFmtId="0" fontId="12" fillId="0" borderId="7" xfId="0" applyFont="1" applyFill="1" applyBorder="1" applyAlignment="1">
      <alignment horizontal="center" vertical="center"/>
    </xf>
    <xf numFmtId="0" fontId="12" fillId="0" borderId="0" xfId="0" applyFont="1" applyFill="1" applyBorder="1" applyAlignment="1">
      <alignment horizontal="center" vertical="center"/>
    </xf>
    <xf numFmtId="2" fontId="14" fillId="0" borderId="7" xfId="0" applyNumberFormat="1" applyFont="1" applyFill="1" applyBorder="1" applyAlignment="1">
      <alignment horizontal="center" vertical="center"/>
    </xf>
    <xf numFmtId="2" fontId="14" fillId="0" borderId="0" xfId="0" applyNumberFormat="1" applyFont="1" applyFill="1" applyBorder="1" applyAlignment="1">
      <alignment horizontal="center" vertical="center"/>
    </xf>
    <xf numFmtId="2" fontId="14" fillId="0" borderId="9" xfId="0" applyNumberFormat="1" applyFont="1" applyFill="1" applyBorder="1" applyAlignment="1">
      <alignment horizontal="center" vertical="center"/>
    </xf>
    <xf numFmtId="0" fontId="0" fillId="0" borderId="0" xfId="0" applyFont="1" applyFill="1" applyBorder="1" applyAlignment="1">
      <alignment horizontal="center"/>
    </xf>
    <xf numFmtId="0" fontId="14" fillId="0" borderId="0" xfId="0" applyFont="1" applyFill="1" applyBorder="1" applyAlignment="1">
      <alignment horizontal="center" vertical="center"/>
    </xf>
    <xf numFmtId="0" fontId="22" fillId="0" borderId="0" xfId="0" applyFont="1" applyFill="1" applyAlignment="1">
      <alignment horizontal="center"/>
    </xf>
    <xf numFmtId="0" fontId="12" fillId="0" borderId="0" xfId="0" applyFont="1" applyFill="1" applyBorder="1" applyAlignment="1">
      <alignment horizontal="center" vertical="center" wrapText="1"/>
    </xf>
    <xf numFmtId="0" fontId="12" fillId="0" borderId="7" xfId="0" applyFont="1" applyFill="1" applyBorder="1" applyAlignment="1">
      <alignment horizontal="center" vertical="center" wrapText="1"/>
    </xf>
    <xf numFmtId="0" fontId="0" fillId="0" borderId="0" xfId="0" applyFill="1" applyAlignment="1">
      <alignment horizontal="center"/>
    </xf>
    <xf numFmtId="0" fontId="25" fillId="0" borderId="0" xfId="0" applyFont="1" applyFill="1" applyBorder="1" applyAlignment="1">
      <alignment horizontal="center"/>
    </xf>
    <xf numFmtId="2" fontId="0" fillId="0" borderId="0" xfId="0" applyNumberFormat="1" applyFont="1" applyFill="1" applyBorder="1" applyAlignment="1">
      <alignment horizontal="center"/>
    </xf>
    <xf numFmtId="0" fontId="0" fillId="0" borderId="0" xfId="0" applyFill="1" applyBorder="1"/>
    <xf numFmtId="2" fontId="23" fillId="0" borderId="0" xfId="0" applyNumberFormat="1" applyFont="1" applyFill="1" applyBorder="1" applyAlignment="1">
      <alignment horizontal="center"/>
    </xf>
    <xf numFmtId="0" fontId="18" fillId="0" borderId="7" xfId="0" applyFont="1" applyFill="1" applyBorder="1" applyAlignment="1">
      <alignment horizontal="center" vertical="center"/>
    </xf>
    <xf numFmtId="0" fontId="18" fillId="0" borderId="0" xfId="0" applyFont="1" applyFill="1" applyBorder="1" applyAlignment="1">
      <alignment horizontal="center" vertical="center"/>
    </xf>
    <xf numFmtId="0" fontId="26" fillId="0" borderId="7" xfId="0" applyFont="1" applyFill="1" applyBorder="1" applyAlignment="1">
      <alignment horizontal="center" vertical="center"/>
    </xf>
    <xf numFmtId="0" fontId="26" fillId="0" borderId="0" xfId="0" applyFont="1" applyFill="1" applyBorder="1" applyAlignment="1">
      <alignment horizontal="center" vertical="center"/>
    </xf>
    <xf numFmtId="0" fontId="18" fillId="0" borderId="0" xfId="0" applyFont="1" applyFill="1" applyBorder="1" applyAlignment="1">
      <alignment horizontal="center"/>
    </xf>
    <xf numFmtId="2" fontId="14" fillId="0" borderId="11" xfId="0" applyNumberFormat="1" applyFont="1" applyFill="1" applyBorder="1" applyAlignment="1">
      <alignment horizontal="center" vertical="center"/>
    </xf>
    <xf numFmtId="0" fontId="0" fillId="0" borderId="8" xfId="0" applyFont="1" applyFill="1" applyBorder="1" applyAlignment="1">
      <alignment horizontal="center"/>
    </xf>
    <xf numFmtId="0" fontId="12" fillId="0" borderId="0" xfId="0" applyFont="1" applyFill="1" applyBorder="1" applyAlignment="1">
      <alignment vertical="center"/>
    </xf>
    <xf numFmtId="165" fontId="14" fillId="0" borderId="0" xfId="0" applyNumberFormat="1" applyFont="1" applyFill="1" applyBorder="1" applyAlignment="1">
      <alignment horizontal="center" vertical="center"/>
    </xf>
    <xf numFmtId="0" fontId="14" fillId="0" borderId="0" xfId="0" applyFont="1" applyFill="1" applyBorder="1" applyAlignment="1">
      <alignment vertical="center"/>
    </xf>
    <xf numFmtId="0" fontId="14" fillId="0" borderId="0" xfId="0" quotePrefix="1" applyFont="1" applyFill="1" applyBorder="1" applyAlignment="1">
      <alignment vertical="center"/>
    </xf>
    <xf numFmtId="165" fontId="20" fillId="0" borderId="7" xfId="0" applyNumberFormat="1" applyFont="1" applyFill="1" applyBorder="1" applyAlignment="1">
      <alignment horizontal="center" vertical="center"/>
    </xf>
    <xf numFmtId="165" fontId="20" fillId="0" borderId="0" xfId="0" applyNumberFormat="1" applyFont="1" applyFill="1" applyBorder="1" applyAlignment="1">
      <alignment horizontal="center" vertical="center"/>
    </xf>
    <xf numFmtId="0" fontId="18" fillId="0" borderId="8" xfId="0" applyFont="1" applyFill="1" applyBorder="1" applyAlignment="1">
      <alignment horizontal="center" vertical="center" wrapText="1"/>
    </xf>
    <xf numFmtId="0" fontId="18" fillId="0" borderId="11" xfId="0" applyFont="1" applyFill="1" applyBorder="1" applyAlignment="1">
      <alignment horizontal="center" vertical="center" wrapText="1"/>
    </xf>
    <xf numFmtId="0" fontId="2" fillId="0" borderId="8" xfId="0" applyFont="1" applyFill="1" applyBorder="1" applyAlignment="1">
      <alignment vertical="center"/>
    </xf>
    <xf numFmtId="0" fontId="27" fillId="0" borderId="0" xfId="0" applyFont="1" applyAlignment="1">
      <alignment vertical="center"/>
    </xf>
    <xf numFmtId="0" fontId="28" fillId="0" borderId="0" xfId="0" applyFont="1" applyFill="1" applyAlignment="1">
      <alignment horizontal="center"/>
    </xf>
    <xf numFmtId="165" fontId="20" fillId="0" borderId="0" xfId="0" quotePrefix="1" applyNumberFormat="1" applyFont="1" applyFill="1" applyBorder="1" applyAlignment="1">
      <alignment horizontal="center" vertical="center"/>
    </xf>
    <xf numFmtId="0" fontId="12" fillId="0" borderId="10" xfId="0" applyFont="1" applyBorder="1" applyAlignment="1">
      <alignment horizontal="center" vertical="center"/>
    </xf>
    <xf numFmtId="0" fontId="12" fillId="0" borderId="8" xfId="0" applyFont="1" applyBorder="1" applyAlignment="1">
      <alignment horizontal="center" vertical="center"/>
    </xf>
    <xf numFmtId="0" fontId="23" fillId="0" borderId="0" xfId="0" applyFont="1"/>
    <xf numFmtId="0" fontId="23" fillId="0" borderId="0" xfId="0" applyFont="1" applyFill="1"/>
    <xf numFmtId="165" fontId="14" fillId="0" borderId="7" xfId="0" applyNumberFormat="1" applyFont="1" applyFill="1" applyBorder="1" applyAlignment="1">
      <alignment horizontal="center" vertical="center"/>
    </xf>
    <xf numFmtId="0" fontId="23" fillId="0" borderId="9" xfId="0" applyFont="1" applyFill="1" applyBorder="1"/>
    <xf numFmtId="0" fontId="0" fillId="0" borderId="0" xfId="0" applyFont="1" applyFill="1"/>
    <xf numFmtId="165" fontId="30" fillId="0" borderId="7" xfId="0" applyNumberFormat="1" applyFont="1" applyFill="1" applyBorder="1" applyAlignment="1">
      <alignment horizontal="center" vertical="center"/>
    </xf>
    <xf numFmtId="0" fontId="23" fillId="0" borderId="9" xfId="0" applyFont="1" applyFill="1" applyBorder="1" applyAlignment="1">
      <alignment horizontal="center"/>
    </xf>
    <xf numFmtId="2" fontId="23" fillId="0" borderId="0" xfId="0" applyNumberFormat="1" applyFont="1" applyFill="1" applyAlignment="1">
      <alignment horizontal="center"/>
    </xf>
    <xf numFmtId="0" fontId="23" fillId="0" borderId="0" xfId="0" applyFont="1" applyFill="1" applyBorder="1" applyAlignment="1">
      <alignment horizontal="center"/>
    </xf>
    <xf numFmtId="0" fontId="23" fillId="0" borderId="0" xfId="0" applyFont="1" applyFill="1" applyAlignment="1">
      <alignment horizontal="center"/>
    </xf>
    <xf numFmtId="0" fontId="23" fillId="0" borderId="9" xfId="0" applyFont="1" applyFill="1" applyBorder="1" applyAlignment="1">
      <alignment horizontal="center" vertical="center"/>
    </xf>
    <xf numFmtId="0" fontId="18" fillId="0" borderId="0" xfId="0" applyFont="1" applyFill="1" applyAlignment="1">
      <alignment horizontal="center"/>
    </xf>
    <xf numFmtId="0" fontId="23" fillId="0" borderId="0" xfId="0" applyFont="1" applyAlignment="1">
      <alignment horizontal="center"/>
    </xf>
    <xf numFmtId="0" fontId="23" fillId="0" borderId="0" xfId="0" applyFont="1" applyFill="1" applyBorder="1"/>
    <xf numFmtId="0" fontId="33" fillId="0" borderId="0" xfId="0" applyFont="1" applyFill="1" applyBorder="1" applyAlignment="1">
      <alignment vertical="center"/>
    </xf>
    <xf numFmtId="0" fontId="23" fillId="0" borderId="0" xfId="0" applyFont="1" applyFill="1" applyBorder="1" applyAlignment="1">
      <alignment vertical="center"/>
    </xf>
    <xf numFmtId="2" fontId="23" fillId="0" borderId="0" xfId="0" applyNumberFormat="1" applyFont="1" applyFill="1" applyBorder="1" applyAlignment="1">
      <alignment horizontal="center" vertical="center"/>
    </xf>
    <xf numFmtId="2" fontId="20" fillId="0" borderId="0" xfId="0" applyNumberFormat="1" applyFont="1" applyFill="1" applyBorder="1" applyAlignment="1">
      <alignment horizontal="center" vertical="center"/>
    </xf>
    <xf numFmtId="0" fontId="4" fillId="0" borderId="5" xfId="0" applyFont="1" applyFill="1" applyBorder="1" applyAlignment="1">
      <alignment horizontal="center" vertical="center"/>
    </xf>
    <xf numFmtId="0" fontId="12" fillId="0" borderId="10" xfId="0" applyFont="1" applyFill="1" applyBorder="1" applyAlignment="1">
      <alignment horizontal="center" vertical="center"/>
    </xf>
    <xf numFmtId="0" fontId="12" fillId="0" borderId="8" xfId="0" applyFont="1" applyFill="1" applyBorder="1" applyAlignment="1">
      <alignment horizontal="center" vertical="center"/>
    </xf>
    <xf numFmtId="166" fontId="0" fillId="0" borderId="0" xfId="0" applyNumberFormat="1"/>
    <xf numFmtId="2" fontId="0" fillId="0" borderId="0" xfId="0" applyNumberFormat="1"/>
    <xf numFmtId="165" fontId="0" fillId="0" borderId="0" xfId="0" applyNumberFormat="1"/>
    <xf numFmtId="1" fontId="0" fillId="0" borderId="0" xfId="0" applyNumberFormat="1"/>
    <xf numFmtId="0" fontId="14" fillId="0" borderId="0" xfId="0" quotePrefix="1" applyFont="1" applyAlignment="1">
      <alignment vertical="center"/>
    </xf>
    <xf numFmtId="2" fontId="25" fillId="0" borderId="9" xfId="0" applyNumberFormat="1" applyFont="1" applyFill="1" applyBorder="1" applyAlignment="1">
      <alignment horizontal="center" vertical="center"/>
    </xf>
    <xf numFmtId="0" fontId="2" fillId="0" borderId="8" xfId="0" applyFont="1" applyFill="1" applyBorder="1" applyAlignment="1">
      <alignment horizontal="center" vertical="center"/>
    </xf>
    <xf numFmtId="0" fontId="27" fillId="0" borderId="0" xfId="0" applyFont="1" applyAlignment="1">
      <alignment horizontal="center" vertical="center"/>
    </xf>
    <xf numFmtId="0" fontId="23" fillId="0" borderId="0" xfId="0" applyFont="1" applyFill="1" applyBorder="1" applyAlignment="1">
      <alignment horizontal="center" vertical="center"/>
    </xf>
    <xf numFmtId="0" fontId="14" fillId="0" borderId="0" xfId="0" quotePrefix="1" applyFont="1" applyFill="1" applyBorder="1" applyAlignment="1">
      <alignment horizontal="center" vertical="center"/>
    </xf>
    <xf numFmtId="0" fontId="21" fillId="0" borderId="0" xfId="0" applyFont="1" applyFill="1" applyBorder="1" applyAlignment="1">
      <alignment horizontal="center"/>
    </xf>
    <xf numFmtId="0" fontId="29" fillId="0" borderId="0" xfId="0" applyFont="1" applyFill="1"/>
    <xf numFmtId="0" fontId="23" fillId="0" borderId="11" xfId="0" applyFont="1" applyFill="1" applyBorder="1" applyAlignment="1">
      <alignment horizontal="center"/>
    </xf>
    <xf numFmtId="0" fontId="25" fillId="0" borderId="9" xfId="0" applyFont="1" applyFill="1" applyBorder="1" applyAlignment="1">
      <alignment horizontal="center"/>
    </xf>
    <xf numFmtId="11" fontId="0" fillId="0" borderId="0" xfId="0" applyNumberFormat="1"/>
    <xf numFmtId="2" fontId="18" fillId="0" borderId="0" xfId="0" applyNumberFormat="1" applyFont="1" applyFill="1" applyAlignment="1">
      <alignment horizontal="center"/>
    </xf>
    <xf numFmtId="0" fontId="2" fillId="0" borderId="0" xfId="0" applyFont="1" applyFill="1" applyBorder="1" applyAlignment="1">
      <alignment vertical="center"/>
    </xf>
    <xf numFmtId="0" fontId="21" fillId="0" borderId="7" xfId="0" applyFont="1" applyFill="1" applyBorder="1"/>
    <xf numFmtId="0" fontId="23" fillId="0" borderId="7" xfId="0" applyFont="1" applyFill="1" applyBorder="1"/>
    <xf numFmtId="0" fontId="14" fillId="0" borderId="7" xfId="0" applyFont="1" applyFill="1" applyBorder="1" applyAlignment="1">
      <alignment horizontal="center" vertical="center"/>
    </xf>
    <xf numFmtId="1" fontId="14" fillId="0" borderId="7" xfId="0" applyNumberFormat="1" applyFont="1" applyFill="1" applyBorder="1" applyAlignment="1">
      <alignment horizontal="center" vertical="center"/>
    </xf>
    <xf numFmtId="0" fontId="13" fillId="0" borderId="10" xfId="0" applyFont="1" applyFill="1" applyBorder="1" applyAlignment="1">
      <alignment horizontal="center" vertical="center"/>
    </xf>
    <xf numFmtId="0" fontId="12" fillId="0" borderId="11" xfId="0" applyFont="1" applyBorder="1" applyAlignment="1">
      <alignment horizontal="center" vertical="center"/>
    </xf>
    <xf numFmtId="0" fontId="21" fillId="0" borderId="7" xfId="0" applyFont="1" applyFill="1" applyBorder="1" applyAlignment="1">
      <alignment horizontal="center"/>
    </xf>
    <xf numFmtId="0" fontId="23" fillId="0" borderId="7" xfId="0" applyFont="1" applyFill="1" applyBorder="1" applyAlignment="1">
      <alignment horizontal="center"/>
    </xf>
    <xf numFmtId="0" fontId="18" fillId="0" borderId="10" xfId="0" applyFont="1" applyFill="1" applyBorder="1" applyAlignment="1">
      <alignment horizontal="center" vertical="center" wrapText="1"/>
    </xf>
    <xf numFmtId="2" fontId="25" fillId="0" borderId="7" xfId="0" applyNumberFormat="1" applyFont="1" applyFill="1" applyBorder="1" applyAlignment="1">
      <alignment horizontal="center" vertical="center"/>
    </xf>
    <xf numFmtId="0" fontId="0" fillId="0" borderId="7" xfId="0" applyFill="1" applyBorder="1"/>
    <xf numFmtId="0" fontId="25" fillId="0" borderId="7" xfId="0" applyFont="1" applyFill="1" applyBorder="1" applyAlignment="1">
      <alignment horizontal="center"/>
    </xf>
    <xf numFmtId="0" fontId="23" fillId="0" borderId="8" xfId="0" applyFont="1" applyFill="1" applyBorder="1" applyAlignment="1">
      <alignment horizontal="center"/>
    </xf>
    <xf numFmtId="0" fontId="23" fillId="0" borderId="7" xfId="0" applyFont="1" applyFill="1" applyBorder="1" applyAlignment="1">
      <alignment horizontal="center" vertical="center"/>
    </xf>
    <xf numFmtId="0" fontId="12" fillId="0" borderId="7" xfId="0" applyFont="1" applyFill="1" applyBorder="1" applyAlignment="1">
      <alignment vertical="center"/>
    </xf>
    <xf numFmtId="0" fontId="23" fillId="0" borderId="10" xfId="0" applyFont="1" applyFill="1" applyBorder="1" applyAlignment="1">
      <alignment horizontal="center"/>
    </xf>
    <xf numFmtId="165" fontId="20" fillId="0" borderId="7" xfId="0" applyNumberFormat="1" applyFont="1" applyFill="1" applyBorder="1" applyAlignment="1">
      <alignment vertical="center"/>
    </xf>
    <xf numFmtId="165" fontId="20" fillId="0" borderId="0" xfId="0" applyNumberFormat="1" applyFont="1" applyFill="1" applyBorder="1" applyAlignment="1">
      <alignment vertical="center"/>
    </xf>
    <xf numFmtId="0" fontId="21" fillId="0" borderId="7" xfId="0" applyFont="1" applyFill="1" applyBorder="1" applyAlignment="1"/>
    <xf numFmtId="0" fontId="21" fillId="0" borderId="0" xfId="0" applyFont="1" applyFill="1" applyBorder="1" applyAlignment="1"/>
    <xf numFmtId="2" fontId="14" fillId="0" borderId="7" xfId="0" applyNumberFormat="1" applyFont="1" applyFill="1" applyBorder="1" applyAlignment="1">
      <alignment vertical="center"/>
    </xf>
    <xf numFmtId="2" fontId="14" fillId="0" borderId="9" xfId="0" applyNumberFormat="1" applyFont="1" applyFill="1" applyBorder="1" applyAlignment="1">
      <alignment vertical="center"/>
    </xf>
    <xf numFmtId="0" fontId="23" fillId="0" borderId="7" xfId="0" applyFont="1" applyFill="1" applyBorder="1" applyAlignment="1"/>
    <xf numFmtId="0" fontId="0" fillId="0" borderId="7" xfId="0" applyFont="1" applyFill="1" applyBorder="1" applyAlignment="1">
      <alignment horizontal="center"/>
    </xf>
    <xf numFmtId="0" fontId="0" fillId="0" borderId="0" xfId="0" applyFill="1" applyBorder="1" applyAlignment="1">
      <alignment horizontal="center"/>
    </xf>
    <xf numFmtId="0" fontId="1" fillId="0" borderId="0" xfId="0" applyFont="1" applyFill="1" applyBorder="1"/>
    <xf numFmtId="0" fontId="0" fillId="0" borderId="0" xfId="0" applyFont="1" applyFill="1" applyBorder="1"/>
    <xf numFmtId="166" fontId="23" fillId="0" borderId="0" xfId="0" applyNumberFormat="1" applyFont="1" applyFill="1" applyBorder="1" applyAlignment="1">
      <alignment horizontal="center"/>
    </xf>
    <xf numFmtId="0" fontId="13" fillId="0" borderId="2" xfId="0" applyFont="1" applyFill="1" applyBorder="1" applyAlignment="1">
      <alignment horizontal="center" vertical="center"/>
    </xf>
    <xf numFmtId="0" fontId="18" fillId="0" borderId="3" xfId="0" applyFont="1" applyFill="1" applyBorder="1" applyAlignment="1">
      <alignment horizontal="center" vertical="center" wrapText="1"/>
    </xf>
    <xf numFmtId="165" fontId="23" fillId="0" borderId="0" xfId="0" applyNumberFormat="1" applyFont="1" applyFill="1" applyBorder="1" applyAlignment="1">
      <alignment horizontal="center"/>
    </xf>
    <xf numFmtId="0" fontId="23" fillId="0" borderId="6" xfId="0" applyFont="1" applyFill="1" applyBorder="1" applyAlignment="1">
      <alignment horizontal="center"/>
    </xf>
    <xf numFmtId="0" fontId="0" fillId="0" borderId="0" xfId="0" applyBorder="1"/>
    <xf numFmtId="0" fontId="0" fillId="0" borderId="0" xfId="0" quotePrefix="1"/>
    <xf numFmtId="11" fontId="23" fillId="0" borderId="7" xfId="0" applyNumberFormat="1" applyFont="1" applyFill="1" applyBorder="1" applyAlignment="1">
      <alignment horizontal="center"/>
    </xf>
    <xf numFmtId="0" fontId="0" fillId="0" borderId="0" xfId="0" applyAlignment="1">
      <alignment horizontal="center"/>
    </xf>
    <xf numFmtId="165" fontId="0" fillId="0" borderId="0" xfId="0" applyNumberFormat="1" applyFill="1" applyAlignment="1">
      <alignment horizontal="center"/>
    </xf>
    <xf numFmtId="11" fontId="23" fillId="0" borderId="0" xfId="0" applyNumberFormat="1" applyFont="1" applyFill="1" applyBorder="1" applyAlignment="1">
      <alignment horizontal="center"/>
    </xf>
    <xf numFmtId="0" fontId="0" fillId="0" borderId="7" xfId="0" applyFill="1" applyBorder="1" applyAlignment="1">
      <alignment horizontal="center"/>
    </xf>
    <xf numFmtId="0" fontId="0" fillId="0" borderId="0" xfId="0" applyAlignment="1">
      <alignment horizontal="right"/>
    </xf>
    <xf numFmtId="2" fontId="0" fillId="0" borderId="0" xfId="0" applyNumberFormat="1" applyAlignment="1">
      <alignment horizontal="right"/>
    </xf>
    <xf numFmtId="11" fontId="0" fillId="0" borderId="0" xfId="0" applyNumberFormat="1" applyAlignment="1">
      <alignment horizontal="right"/>
    </xf>
    <xf numFmtId="1" fontId="14" fillId="0" borderId="0" xfId="0" applyNumberFormat="1" applyFont="1" applyFill="1" applyBorder="1" applyAlignment="1">
      <alignment horizontal="center" vertical="center"/>
    </xf>
    <xf numFmtId="0" fontId="28" fillId="0" borderId="0" xfId="0" applyFont="1"/>
    <xf numFmtId="1" fontId="23" fillId="0" borderId="0" xfId="0" applyNumberFormat="1" applyFont="1" applyFill="1" applyBorder="1" applyAlignment="1">
      <alignment horizontal="center"/>
    </xf>
    <xf numFmtId="0" fontId="12" fillId="0" borderId="9" xfId="0" applyFont="1" applyFill="1" applyBorder="1" applyAlignment="1">
      <alignment horizontal="center" vertical="center"/>
    </xf>
    <xf numFmtId="11" fontId="14" fillId="0" borderId="0" xfId="0" applyNumberFormat="1" applyFont="1" applyFill="1" applyBorder="1" applyAlignment="1">
      <alignment horizontal="center" vertical="center"/>
    </xf>
    <xf numFmtId="11" fontId="0" fillId="0" borderId="0" xfId="0" applyNumberFormat="1" applyFont="1" applyFill="1" applyBorder="1" applyAlignment="1">
      <alignment horizontal="center"/>
    </xf>
    <xf numFmtId="0" fontId="12" fillId="0" borderId="3" xfId="0" applyFont="1" applyBorder="1" applyAlignment="1">
      <alignment horizontal="center" vertical="center"/>
    </xf>
    <xf numFmtId="0" fontId="18" fillId="0" borderId="1" xfId="0" applyFont="1" applyFill="1" applyBorder="1" applyAlignment="1">
      <alignment horizontal="center" vertical="center" wrapText="1"/>
    </xf>
    <xf numFmtId="0" fontId="18" fillId="0" borderId="2" xfId="0" applyFont="1" applyFill="1" applyBorder="1" applyAlignment="1">
      <alignment horizontal="center" vertical="center" wrapText="1"/>
    </xf>
    <xf numFmtId="1" fontId="18" fillId="0" borderId="0" xfId="0" applyNumberFormat="1" applyFont="1" applyFill="1" applyBorder="1" applyAlignment="1">
      <alignment horizontal="center"/>
    </xf>
    <xf numFmtId="1" fontId="18" fillId="0" borderId="7" xfId="0" applyNumberFormat="1" applyFont="1" applyFill="1" applyBorder="1" applyAlignment="1">
      <alignment horizontal="center"/>
    </xf>
    <xf numFmtId="2" fontId="18" fillId="0" borderId="7" xfId="0" applyNumberFormat="1" applyFont="1" applyFill="1" applyBorder="1" applyAlignment="1">
      <alignment horizontal="center"/>
    </xf>
    <xf numFmtId="2" fontId="18" fillId="0" borderId="0" xfId="0" applyNumberFormat="1" applyFont="1" applyFill="1" applyBorder="1" applyAlignment="1">
      <alignment horizontal="center"/>
    </xf>
    <xf numFmtId="165" fontId="18" fillId="0" borderId="0" xfId="0" applyNumberFormat="1" applyFont="1" applyFill="1" applyBorder="1" applyAlignment="1">
      <alignment horizontal="center"/>
    </xf>
    <xf numFmtId="2" fontId="14" fillId="0" borderId="0" xfId="0" applyNumberFormat="1" applyFont="1" applyFill="1" applyBorder="1" applyAlignment="1">
      <alignment vertical="center"/>
    </xf>
    <xf numFmtId="2" fontId="25" fillId="0" borderId="0" xfId="0" applyNumberFormat="1" applyFont="1" applyFill="1" applyBorder="1" applyAlignment="1">
      <alignment horizontal="center" vertical="center"/>
    </xf>
    <xf numFmtId="2" fontId="29" fillId="0" borderId="0" xfId="0" applyNumberFormat="1" applyFont="1" applyFill="1" applyBorder="1" applyAlignment="1">
      <alignment horizontal="center" vertical="center"/>
    </xf>
    <xf numFmtId="2" fontId="25" fillId="0" borderId="0" xfId="0" applyNumberFormat="1" applyFont="1" applyFill="1" applyBorder="1" applyAlignment="1">
      <alignment horizontal="center"/>
    </xf>
    <xf numFmtId="2" fontId="14" fillId="0" borderId="0" xfId="0" quotePrefix="1" applyNumberFormat="1" applyFont="1" applyFill="1" applyBorder="1" applyAlignment="1">
      <alignment horizontal="center" vertical="center"/>
    </xf>
    <xf numFmtId="2" fontId="14" fillId="0" borderId="8" xfId="0" quotePrefix="1" applyNumberFormat="1" applyFont="1" applyFill="1" applyBorder="1" applyAlignment="1">
      <alignment horizontal="center" vertical="center"/>
    </xf>
    <xf numFmtId="2" fontId="28" fillId="0" borderId="0" xfId="0" applyNumberFormat="1" applyFont="1" applyFill="1" applyAlignment="1">
      <alignment horizontal="center"/>
    </xf>
    <xf numFmtId="0" fontId="39" fillId="0" borderId="0" xfId="0" applyFont="1"/>
    <xf numFmtId="0" fontId="13" fillId="0" borderId="2" xfId="0" applyFont="1" applyFill="1" applyBorder="1" applyAlignment="1">
      <alignment horizontal="center" vertical="center" wrapText="1"/>
    </xf>
    <xf numFmtId="2" fontId="28" fillId="0" borderId="0" xfId="0" applyNumberFormat="1" applyFont="1" applyFill="1" applyBorder="1" applyAlignment="1">
      <alignment horizontal="center"/>
    </xf>
    <xf numFmtId="2" fontId="23" fillId="0" borderId="0" xfId="0" applyNumberFormat="1" applyFont="1" applyFill="1" applyBorder="1"/>
    <xf numFmtId="11" fontId="23" fillId="0" borderId="0" xfId="0" applyNumberFormat="1" applyFont="1" applyFill="1" applyBorder="1"/>
    <xf numFmtId="2" fontId="28" fillId="0" borderId="7" xfId="0" applyNumberFormat="1" applyFont="1" applyFill="1" applyBorder="1" applyAlignment="1">
      <alignment horizontal="center"/>
    </xf>
    <xf numFmtId="0" fontId="13" fillId="0" borderId="8" xfId="0" applyFont="1" applyFill="1" applyBorder="1" applyAlignment="1">
      <alignment horizontal="center" vertical="center"/>
    </xf>
    <xf numFmtId="0" fontId="21" fillId="0" borderId="0" xfId="0" applyFont="1" applyFill="1" applyBorder="1"/>
    <xf numFmtId="165" fontId="21" fillId="0" borderId="0" xfId="0" applyNumberFormat="1" applyFont="1" applyFill="1" applyBorder="1" applyAlignment="1">
      <alignment horizontal="center"/>
    </xf>
    <xf numFmtId="0" fontId="40" fillId="0" borderId="7" xfId="0" applyFont="1" applyFill="1" applyBorder="1" applyAlignment="1">
      <alignment horizontal="center"/>
    </xf>
    <xf numFmtId="165" fontId="18" fillId="0" borderId="7" xfId="0" applyNumberFormat="1" applyFont="1" applyFill="1" applyBorder="1" applyAlignment="1">
      <alignment horizontal="center"/>
    </xf>
    <xf numFmtId="166" fontId="18" fillId="0" borderId="7" xfId="0" applyNumberFormat="1" applyFont="1" applyFill="1" applyBorder="1" applyAlignment="1">
      <alignment horizontal="center"/>
    </xf>
    <xf numFmtId="0" fontId="18" fillId="0" borderId="7" xfId="0" applyFont="1" applyFill="1" applyBorder="1" applyAlignment="1">
      <alignment horizontal="center"/>
    </xf>
    <xf numFmtId="165" fontId="41" fillId="0" borderId="0" xfId="0" applyNumberFormat="1" applyFont="1" applyFill="1" applyBorder="1" applyAlignment="1">
      <alignment horizontal="center"/>
    </xf>
    <xf numFmtId="2" fontId="41" fillId="0" borderId="0" xfId="0" applyNumberFormat="1" applyFont="1" applyFill="1" applyBorder="1" applyAlignment="1">
      <alignment horizontal="center"/>
    </xf>
    <xf numFmtId="0" fontId="41" fillId="0" borderId="9" xfId="0" applyFont="1" applyFill="1" applyBorder="1" applyAlignment="1">
      <alignment horizontal="center"/>
    </xf>
    <xf numFmtId="166" fontId="41" fillId="0" borderId="0" xfId="0" applyNumberFormat="1" applyFont="1" applyFill="1" applyBorder="1" applyAlignment="1">
      <alignment horizontal="center"/>
    </xf>
    <xf numFmtId="165" fontId="13" fillId="0" borderId="7" xfId="0" applyNumberFormat="1" applyFont="1" applyFill="1" applyBorder="1" applyAlignment="1">
      <alignment horizontal="center" vertical="center"/>
    </xf>
    <xf numFmtId="165" fontId="28" fillId="0" borderId="7" xfId="0" applyNumberFormat="1" applyFont="1" applyFill="1" applyBorder="1" applyAlignment="1">
      <alignment horizontal="center"/>
    </xf>
    <xf numFmtId="11" fontId="28" fillId="0" borderId="0" xfId="0" applyNumberFormat="1" applyFont="1"/>
    <xf numFmtId="0" fontId="28" fillId="0" borderId="0" xfId="0" applyFont="1" applyAlignment="1">
      <alignment horizontal="right"/>
    </xf>
    <xf numFmtId="9" fontId="28" fillId="0" borderId="0" xfId="1" applyFont="1"/>
    <xf numFmtId="11" fontId="18" fillId="0" borderId="0" xfId="0" applyNumberFormat="1" applyFont="1" applyFill="1" applyAlignment="1">
      <alignment horizontal="center"/>
    </xf>
    <xf numFmtId="0" fontId="1" fillId="0" borderId="0" xfId="0" applyFont="1"/>
    <xf numFmtId="1" fontId="18" fillId="0" borderId="7" xfId="0" applyNumberFormat="1" applyFont="1" applyFill="1" applyBorder="1" applyAlignment="1">
      <alignment horizontal="center" vertical="center"/>
    </xf>
    <xf numFmtId="11" fontId="41" fillId="0" borderId="0" xfId="0" applyNumberFormat="1" applyFont="1" applyFill="1" applyBorder="1" applyAlignment="1">
      <alignment horizontal="center"/>
    </xf>
    <xf numFmtId="1" fontId="21" fillId="0" borderId="0" xfId="0" applyNumberFormat="1" applyFont="1" applyFill="1" applyBorder="1" applyAlignment="1">
      <alignment horizontal="center"/>
    </xf>
    <xf numFmtId="0" fontId="0" fillId="0" borderId="0" xfId="0" applyFill="1" applyAlignment="1"/>
    <xf numFmtId="2" fontId="12" fillId="0" borderId="0" xfId="0" applyNumberFormat="1" applyFont="1" applyFill="1" applyBorder="1" applyAlignment="1">
      <alignment horizontal="center" vertical="center"/>
    </xf>
    <xf numFmtId="0" fontId="14" fillId="0" borderId="0" xfId="0" applyFont="1" applyFill="1" applyBorder="1" applyAlignment="1">
      <alignment horizontal="center" vertical="center" wrapText="1"/>
    </xf>
    <xf numFmtId="0" fontId="40" fillId="0" borderId="0" xfId="0" applyFont="1" applyFill="1" applyBorder="1" applyAlignment="1">
      <alignment horizontal="center"/>
    </xf>
    <xf numFmtId="1" fontId="12" fillId="0" borderId="0" xfId="0" applyNumberFormat="1" applyFont="1" applyFill="1" applyBorder="1" applyAlignment="1">
      <alignment horizontal="center" vertical="center"/>
    </xf>
    <xf numFmtId="165" fontId="13" fillId="0" borderId="0" xfId="0" applyNumberFormat="1" applyFont="1" applyFill="1" applyBorder="1" applyAlignment="1">
      <alignment horizontal="center" vertical="center"/>
    </xf>
    <xf numFmtId="0" fontId="44" fillId="0" borderId="0" xfId="0" applyFont="1" applyAlignment="1">
      <alignment horizontal="center" vertical="center"/>
    </xf>
    <xf numFmtId="0" fontId="12" fillId="0" borderId="0" xfId="0" quotePrefix="1" applyFont="1" applyFill="1" applyBorder="1" applyAlignment="1">
      <alignment horizontal="center" vertical="center"/>
    </xf>
    <xf numFmtId="0" fontId="41" fillId="0" borderId="0" xfId="0" applyFont="1" applyFill="1" applyBorder="1" applyAlignment="1">
      <alignment horizontal="center"/>
    </xf>
    <xf numFmtId="2" fontId="15" fillId="0" borderId="0" xfId="0" applyNumberFormat="1" applyFont="1" applyFill="1" applyBorder="1" applyAlignment="1">
      <alignment horizontal="center" vertical="center"/>
    </xf>
    <xf numFmtId="2" fontId="46" fillId="0" borderId="0" xfId="0" applyNumberFormat="1" applyFont="1" applyFill="1" applyBorder="1" applyAlignment="1">
      <alignment horizontal="center"/>
    </xf>
    <xf numFmtId="165" fontId="15" fillId="0" borderId="0" xfId="0" applyNumberFormat="1" applyFont="1" applyFill="1" applyBorder="1" applyAlignment="1">
      <alignment horizontal="center" vertical="center"/>
    </xf>
    <xf numFmtId="165" fontId="28" fillId="0" borderId="0" xfId="0" applyNumberFormat="1" applyFont="1" applyFill="1" applyBorder="1" applyAlignment="1">
      <alignment horizontal="center"/>
    </xf>
    <xf numFmtId="0" fontId="45" fillId="0" borderId="0" xfId="0" applyFont="1" applyFill="1" applyBorder="1" applyAlignment="1">
      <alignment horizontal="center"/>
    </xf>
    <xf numFmtId="1" fontId="28" fillId="0" borderId="7" xfId="0" applyNumberFormat="1" applyFont="1" applyFill="1" applyBorder="1" applyAlignment="1">
      <alignment horizontal="center"/>
    </xf>
    <xf numFmtId="2" fontId="12" fillId="0" borderId="7" xfId="0" applyNumberFormat="1" applyFont="1" applyFill="1" applyBorder="1" applyAlignment="1">
      <alignment horizontal="center" vertical="center"/>
    </xf>
    <xf numFmtId="2" fontId="41" fillId="0" borderId="0" xfId="0" applyNumberFormat="1" applyFont="1" applyFill="1" applyBorder="1" applyAlignment="1">
      <alignment horizontal="center" vertical="center"/>
    </xf>
    <xf numFmtId="1" fontId="40" fillId="0" borderId="7" xfId="0" applyNumberFormat="1" applyFont="1" applyFill="1" applyBorder="1" applyAlignment="1">
      <alignment horizontal="center"/>
    </xf>
    <xf numFmtId="2" fontId="15" fillId="0" borderId="9" xfId="0" applyNumberFormat="1" applyFont="1" applyFill="1" applyBorder="1" applyAlignment="1">
      <alignment horizontal="center" vertical="center"/>
    </xf>
    <xf numFmtId="0" fontId="0" fillId="0" borderId="7" xfId="0" applyFill="1" applyBorder="1" applyAlignment="1"/>
    <xf numFmtId="2" fontId="40" fillId="0" borderId="7" xfId="0" applyNumberFormat="1" applyFont="1" applyFill="1" applyBorder="1" applyAlignment="1">
      <alignment horizontal="center"/>
    </xf>
    <xf numFmtId="165" fontId="18" fillId="0" borderId="0" xfId="0" applyNumberFormat="1" applyFont="1" applyFill="1" applyAlignment="1">
      <alignment horizontal="center"/>
    </xf>
    <xf numFmtId="0" fontId="13" fillId="0" borderId="0" xfId="0" applyFont="1" applyFill="1" applyBorder="1" applyAlignment="1">
      <alignment horizontal="center" vertical="center"/>
    </xf>
    <xf numFmtId="0" fontId="18" fillId="0" borderId="0" xfId="0" applyFont="1" applyFill="1" applyBorder="1" applyAlignment="1">
      <alignment horizontal="center" vertical="center" wrapText="1"/>
    </xf>
    <xf numFmtId="165" fontId="40" fillId="0" borderId="7" xfId="0" applyNumberFormat="1" applyFont="1" applyFill="1" applyBorder="1" applyAlignment="1">
      <alignment horizontal="center"/>
    </xf>
    <xf numFmtId="1" fontId="41" fillId="0" borderId="0" xfId="0" applyNumberFormat="1" applyFont="1" applyFill="1" applyBorder="1" applyAlignment="1">
      <alignment horizontal="center"/>
    </xf>
    <xf numFmtId="2" fontId="23" fillId="0" borderId="5" xfId="0" applyNumberFormat="1" applyFont="1" applyFill="1" applyBorder="1" applyAlignment="1">
      <alignment horizontal="center"/>
    </xf>
    <xf numFmtId="165" fontId="18" fillId="0" borderId="7" xfId="0" applyNumberFormat="1" applyFont="1" applyBorder="1" applyAlignment="1">
      <alignment horizontal="center"/>
    </xf>
    <xf numFmtId="2" fontId="26" fillId="0" borderId="7" xfId="0" applyNumberFormat="1" applyFont="1" applyFill="1" applyBorder="1" applyAlignment="1">
      <alignment horizontal="center" vertical="center"/>
    </xf>
    <xf numFmtId="2" fontId="0" fillId="0" borderId="0" xfId="0" applyNumberFormat="1" applyFill="1" applyBorder="1" applyAlignment="1">
      <alignment horizontal="center"/>
    </xf>
    <xf numFmtId="11" fontId="15" fillId="0" borderId="5" xfId="0" applyNumberFormat="1" applyFont="1" applyFill="1" applyBorder="1" applyAlignment="1">
      <alignment horizontal="center" vertical="center"/>
    </xf>
    <xf numFmtId="11" fontId="15" fillId="0" borderId="0" xfId="0" applyNumberFormat="1" applyFont="1" applyFill="1" applyBorder="1" applyAlignment="1">
      <alignment horizontal="center" vertical="center"/>
    </xf>
    <xf numFmtId="166" fontId="18" fillId="0" borderId="0" xfId="0" applyNumberFormat="1" applyFont="1" applyFill="1" applyBorder="1" applyAlignment="1">
      <alignment horizontal="center"/>
    </xf>
    <xf numFmtId="0" fontId="12" fillId="0" borderId="8" xfId="0" applyFont="1" applyFill="1" applyBorder="1" applyAlignment="1">
      <alignment horizontal="center" vertical="center" wrapText="1"/>
    </xf>
    <xf numFmtId="165" fontId="12" fillId="0" borderId="7" xfId="0" applyNumberFormat="1" applyFont="1" applyFill="1" applyBorder="1" applyAlignment="1">
      <alignment horizontal="center" vertical="center"/>
    </xf>
    <xf numFmtId="0" fontId="15" fillId="0" borderId="0" xfId="0" applyFont="1" applyFill="1" applyBorder="1" applyAlignment="1">
      <alignment horizontal="center" vertical="center"/>
    </xf>
    <xf numFmtId="165" fontId="28" fillId="0" borderId="4" xfId="0" applyNumberFormat="1" applyFont="1" applyFill="1" applyBorder="1" applyAlignment="1">
      <alignment horizontal="center"/>
    </xf>
    <xf numFmtId="165" fontId="45" fillId="0" borderId="0" xfId="0" applyNumberFormat="1" applyFont="1" applyFill="1" applyBorder="1" applyAlignment="1">
      <alignment horizontal="center"/>
    </xf>
    <xf numFmtId="165" fontId="46" fillId="0" borderId="5" xfId="0" applyNumberFormat="1" applyFont="1" applyFill="1" applyBorder="1" applyAlignment="1">
      <alignment horizontal="center"/>
    </xf>
    <xf numFmtId="165" fontId="48" fillId="0" borderId="0" xfId="0" applyNumberFormat="1" applyFont="1" applyFill="1" applyBorder="1" applyAlignment="1">
      <alignment horizontal="center" vertical="center"/>
    </xf>
    <xf numFmtId="0" fontId="21" fillId="0" borderId="9" xfId="0" applyFont="1" applyFill="1" applyBorder="1" applyAlignment="1">
      <alignment horizontal="center"/>
    </xf>
    <xf numFmtId="0" fontId="46" fillId="0" borderId="0" xfId="0" applyFont="1" applyFill="1" applyBorder="1" applyAlignment="1">
      <alignment horizontal="center"/>
    </xf>
    <xf numFmtId="0" fontId="23" fillId="0" borderId="9" xfId="0" applyFont="1" applyFill="1" applyBorder="1" applyAlignment="1"/>
    <xf numFmtId="0" fontId="41" fillId="0" borderId="0" xfId="0" applyFont="1" applyFill="1" applyAlignment="1">
      <alignment horizontal="center"/>
    </xf>
    <xf numFmtId="2" fontId="0" fillId="0" borderId="5" xfId="0" applyNumberFormat="1" applyFont="1" applyFill="1" applyBorder="1" applyAlignment="1">
      <alignment horizontal="center"/>
    </xf>
    <xf numFmtId="0" fontId="21" fillId="0" borderId="5" xfId="0" applyFont="1" applyFill="1" applyBorder="1" applyAlignment="1">
      <alignment horizontal="center"/>
    </xf>
    <xf numFmtId="0" fontId="28" fillId="0" borderId="7" xfId="0" applyFont="1" applyFill="1" applyBorder="1" applyAlignment="1">
      <alignment horizontal="center"/>
    </xf>
    <xf numFmtId="0" fontId="0" fillId="0" borderId="10" xfId="0" applyFill="1" applyBorder="1" applyAlignment="1">
      <alignment horizontal="center"/>
    </xf>
    <xf numFmtId="0" fontId="0" fillId="0" borderId="10" xfId="0" applyFill="1" applyBorder="1"/>
    <xf numFmtId="11" fontId="14" fillId="0" borderId="5" xfId="0" applyNumberFormat="1" applyFont="1" applyFill="1" applyBorder="1" applyAlignment="1">
      <alignment horizontal="center" vertical="center"/>
    </xf>
    <xf numFmtId="1" fontId="14" fillId="0" borderId="8" xfId="0" applyNumberFormat="1" applyFont="1" applyFill="1" applyBorder="1" applyAlignment="1">
      <alignment horizontal="center" vertical="center"/>
    </xf>
    <xf numFmtId="165" fontId="20" fillId="0" borderId="5" xfId="0" applyNumberFormat="1" applyFont="1" applyFill="1" applyBorder="1" applyAlignment="1">
      <alignment horizontal="center" vertical="center"/>
    </xf>
    <xf numFmtId="0" fontId="23" fillId="0" borderId="7" xfId="0" applyFont="1" applyBorder="1" applyAlignment="1">
      <alignment horizontal="center"/>
    </xf>
    <xf numFmtId="0" fontId="23" fillId="0" borderId="9" xfId="0" applyFont="1" applyBorder="1" applyAlignment="1">
      <alignment horizontal="center"/>
    </xf>
    <xf numFmtId="0" fontId="41" fillId="0" borderId="0" xfId="0" applyFont="1" applyFill="1" applyBorder="1"/>
    <xf numFmtId="0" fontId="41" fillId="0" borderId="9" xfId="0" applyFont="1" applyFill="1" applyBorder="1"/>
    <xf numFmtId="2" fontId="49" fillId="0" borderId="0" xfId="0" applyNumberFormat="1" applyFont="1" applyFill="1" applyBorder="1" applyAlignment="1">
      <alignment horizontal="center"/>
    </xf>
    <xf numFmtId="2" fontId="49" fillId="0" borderId="0" xfId="0" applyNumberFormat="1" applyFont="1" applyFill="1" applyBorder="1" applyAlignment="1">
      <alignment horizontal="center" vertical="center"/>
    </xf>
    <xf numFmtId="2" fontId="41" fillId="0" borderId="0" xfId="0" applyNumberFormat="1" applyFont="1" applyFill="1" applyAlignment="1">
      <alignment horizontal="center"/>
    </xf>
    <xf numFmtId="0" fontId="49" fillId="0" borderId="0" xfId="0" applyFont="1" applyFill="1" applyBorder="1" applyAlignment="1">
      <alignment horizontal="center"/>
    </xf>
    <xf numFmtId="1" fontId="15" fillId="0" borderId="0" xfId="0" applyNumberFormat="1" applyFont="1" applyFill="1" applyBorder="1" applyAlignment="1">
      <alignment horizontal="center" vertical="center"/>
    </xf>
    <xf numFmtId="167" fontId="23" fillId="0" borderId="0" xfId="0" applyNumberFormat="1" applyFont="1" applyFill="1" applyBorder="1" applyAlignment="1">
      <alignment horizontal="center"/>
    </xf>
    <xf numFmtId="165" fontId="0" fillId="0" borderId="0" xfId="0" applyNumberFormat="1" applyFont="1" applyFill="1" applyBorder="1" applyAlignment="1">
      <alignment horizontal="center"/>
    </xf>
    <xf numFmtId="1" fontId="0" fillId="0" borderId="0" xfId="0" applyNumberFormat="1" applyFill="1" applyAlignment="1">
      <alignment horizontal="center"/>
    </xf>
    <xf numFmtId="0" fontId="0" fillId="0" borderId="0" xfId="0" applyFont="1"/>
    <xf numFmtId="0" fontId="46" fillId="0" borderId="0" xfId="0" applyFont="1"/>
    <xf numFmtId="11" fontId="46" fillId="0" borderId="0" xfId="0" applyNumberFormat="1" applyFont="1"/>
    <xf numFmtId="1" fontId="20" fillId="0" borderId="0" xfId="0" applyNumberFormat="1" applyFont="1" applyFill="1" applyBorder="1" applyAlignment="1">
      <alignment horizontal="center" vertical="center"/>
    </xf>
    <xf numFmtId="1" fontId="20" fillId="0" borderId="0" xfId="0" applyNumberFormat="1" applyFont="1" applyFill="1" applyBorder="1" applyAlignment="1">
      <alignment vertical="center"/>
    </xf>
    <xf numFmtId="0" fontId="14" fillId="0" borderId="8" xfId="0" applyFont="1" applyFill="1" applyBorder="1" applyAlignment="1">
      <alignment horizontal="center" vertical="center"/>
    </xf>
    <xf numFmtId="0" fontId="0" fillId="0" borderId="10" xfId="0" applyFont="1" applyFill="1" applyBorder="1" applyAlignment="1">
      <alignment horizontal="center"/>
    </xf>
    <xf numFmtId="2" fontId="0" fillId="0" borderId="8" xfId="0" applyNumberFormat="1" applyFont="1" applyFill="1" applyBorder="1" applyAlignment="1">
      <alignment horizontal="center"/>
    </xf>
    <xf numFmtId="2" fontId="18" fillId="0" borderId="4" xfId="0" applyNumberFormat="1" applyFont="1" applyFill="1" applyBorder="1" applyAlignment="1">
      <alignment horizontal="center"/>
    </xf>
    <xf numFmtId="0" fontId="28" fillId="0" borderId="4" xfId="0" applyFont="1" applyFill="1" applyBorder="1" applyAlignment="1">
      <alignment horizontal="center"/>
    </xf>
    <xf numFmtId="0" fontId="0" fillId="0" borderId="0" xfId="0" applyFont="1" applyAlignment="1">
      <alignment horizontal="right"/>
    </xf>
    <xf numFmtId="0" fontId="51" fillId="0" borderId="0" xfId="0" applyFont="1" applyFill="1" applyBorder="1"/>
    <xf numFmtId="0" fontId="51" fillId="0" borderId="7" xfId="0" applyFont="1" applyFill="1" applyBorder="1" applyAlignment="1">
      <alignment horizontal="center"/>
    </xf>
    <xf numFmtId="0" fontId="51" fillId="0" borderId="19" xfId="0" applyFont="1" applyFill="1" applyBorder="1" applyAlignment="1">
      <alignment horizontal="center"/>
    </xf>
    <xf numFmtId="0" fontId="51" fillId="0" borderId="0" xfId="0" applyFont="1" applyFill="1" applyBorder="1" applyAlignment="1">
      <alignment horizontal="center"/>
    </xf>
    <xf numFmtId="0" fontId="51" fillId="0" borderId="20" xfId="0" applyFont="1" applyFill="1" applyBorder="1" applyAlignment="1">
      <alignment horizontal="center"/>
    </xf>
    <xf numFmtId="0" fontId="0" fillId="0" borderId="15" xfId="0" applyFont="1" applyFill="1" applyBorder="1"/>
    <xf numFmtId="165" fontId="0" fillId="0" borderId="18" xfId="0" applyNumberFormat="1" applyFont="1" applyFill="1" applyBorder="1"/>
    <xf numFmtId="165" fontId="0" fillId="0" borderId="16" xfId="0" applyNumberFormat="1" applyFont="1" applyFill="1" applyBorder="1"/>
    <xf numFmtId="165" fontId="0" fillId="0" borderId="15" xfId="0" applyNumberFormat="1" applyFont="1" applyFill="1" applyBorder="1"/>
    <xf numFmtId="165" fontId="0" fillId="0" borderId="12" xfId="0" applyNumberFormat="1" applyFont="1" applyFill="1" applyBorder="1"/>
    <xf numFmtId="165" fontId="0" fillId="0" borderId="14" xfId="0" applyNumberFormat="1" applyFont="1" applyFill="1" applyBorder="1"/>
    <xf numFmtId="0" fontId="0" fillId="0" borderId="12" xfId="0" applyFont="1" applyFill="1" applyBorder="1"/>
    <xf numFmtId="165" fontId="0" fillId="0" borderId="17" xfId="0" applyNumberFormat="1" applyFont="1" applyFill="1" applyBorder="1"/>
    <xf numFmtId="165" fontId="20" fillId="0" borderId="0" xfId="0" applyNumberFormat="1" applyFont="1" applyAlignment="1">
      <alignment horizontal="center" vertical="center"/>
    </xf>
    <xf numFmtId="0" fontId="14" fillId="0" borderId="0" xfId="0" applyFont="1" applyAlignment="1">
      <alignment vertical="center"/>
    </xf>
    <xf numFmtId="2" fontId="14" fillId="0" borderId="0" xfId="0" applyNumberFormat="1" applyFont="1" applyAlignment="1">
      <alignment horizontal="center" vertical="center"/>
    </xf>
    <xf numFmtId="2" fontId="15" fillId="0" borderId="0" xfId="0" applyNumberFormat="1" applyFont="1" applyAlignment="1">
      <alignment horizontal="center" vertical="center"/>
    </xf>
    <xf numFmtId="0" fontId="41" fillId="0" borderId="9" xfId="0" applyFont="1" applyBorder="1" applyAlignment="1">
      <alignment horizontal="center"/>
    </xf>
    <xf numFmtId="2" fontId="23" fillId="0" borderId="0" xfId="0" applyNumberFormat="1" applyFont="1" applyAlignment="1">
      <alignment horizontal="center"/>
    </xf>
    <xf numFmtId="2" fontId="41" fillId="0" borderId="0" xfId="0" applyNumberFormat="1" applyFont="1" applyAlignment="1">
      <alignment horizontal="center"/>
    </xf>
    <xf numFmtId="0" fontId="41" fillId="0" borderId="0" xfId="0" applyFont="1" applyAlignment="1">
      <alignment horizontal="center"/>
    </xf>
    <xf numFmtId="11" fontId="23" fillId="0" borderId="0" xfId="0" applyNumberFormat="1" applyFont="1" applyAlignment="1">
      <alignment horizontal="center"/>
    </xf>
    <xf numFmtId="11" fontId="41" fillId="0" borderId="0" xfId="0" applyNumberFormat="1" applyFont="1" applyAlignment="1">
      <alignment horizontal="center"/>
    </xf>
    <xf numFmtId="165" fontId="20" fillId="0" borderId="7" xfId="0" applyNumberFormat="1" applyFont="1" applyBorder="1" applyAlignment="1">
      <alignment horizontal="center" vertical="center"/>
    </xf>
    <xf numFmtId="2" fontId="18" fillId="0" borderId="7" xfId="0" applyNumberFormat="1" applyFont="1" applyBorder="1" applyAlignment="1">
      <alignment horizontal="center"/>
    </xf>
    <xf numFmtId="0" fontId="21" fillId="0" borderId="7" xfId="0" applyFont="1" applyBorder="1" applyAlignment="1">
      <alignment horizontal="center"/>
    </xf>
    <xf numFmtId="0" fontId="21" fillId="0" borderId="0" xfId="0" applyFont="1" applyAlignment="1">
      <alignment horizontal="center"/>
    </xf>
    <xf numFmtId="2" fontId="14" fillId="0" borderId="9" xfId="0" applyNumberFormat="1" applyFont="1" applyBorder="1" applyAlignment="1">
      <alignment horizontal="center" vertical="center"/>
    </xf>
    <xf numFmtId="165" fontId="14" fillId="0" borderId="0" xfId="0" applyNumberFormat="1" applyFont="1" applyAlignment="1">
      <alignment horizontal="center" vertical="center"/>
    </xf>
    <xf numFmtId="1" fontId="14" fillId="0" borderId="0" xfId="0" applyNumberFormat="1" applyFont="1" applyAlignment="1">
      <alignment horizontal="center" vertical="center"/>
    </xf>
    <xf numFmtId="165" fontId="23" fillId="0" borderId="0" xfId="0" applyNumberFormat="1" applyFont="1" applyAlignment="1">
      <alignment horizontal="center"/>
    </xf>
    <xf numFmtId="0" fontId="14" fillId="0" borderId="0" xfId="0" applyFont="1" applyAlignment="1">
      <alignment horizontal="center" vertical="center"/>
    </xf>
    <xf numFmtId="2" fontId="0" fillId="0" borderId="0" xfId="0" applyNumberFormat="1" applyAlignment="1">
      <alignment horizontal="center"/>
    </xf>
    <xf numFmtId="0" fontId="0" fillId="0" borderId="9" xfId="0" applyFill="1" applyBorder="1"/>
    <xf numFmtId="2" fontId="0" fillId="0" borderId="0" xfId="0" applyNumberFormat="1" applyFill="1" applyAlignment="1">
      <alignment horizontal="center"/>
    </xf>
    <xf numFmtId="0" fontId="0" fillId="0" borderId="9" xfId="0" applyFill="1" applyBorder="1" applyAlignment="1">
      <alignment horizontal="center"/>
    </xf>
    <xf numFmtId="2" fontId="0" fillId="0" borderId="0" xfId="0" applyNumberFormat="1" applyFill="1"/>
    <xf numFmtId="0" fontId="21" fillId="0" borderId="9" xfId="0" applyFont="1" applyFill="1" applyBorder="1" applyAlignment="1"/>
    <xf numFmtId="0" fontId="12" fillId="0" borderId="6" xfId="0" applyFont="1" applyFill="1" applyBorder="1" applyAlignment="1">
      <alignment horizontal="center" vertical="center"/>
    </xf>
    <xf numFmtId="1" fontId="12" fillId="0" borderId="9" xfId="0" applyNumberFormat="1" applyFont="1" applyFill="1" applyBorder="1" applyAlignment="1">
      <alignment horizontal="center" vertical="center"/>
    </xf>
    <xf numFmtId="0" fontId="12" fillId="0" borderId="11" xfId="0" applyFont="1" applyFill="1" applyBorder="1" applyAlignment="1">
      <alignment horizontal="center" vertical="center"/>
    </xf>
    <xf numFmtId="1" fontId="48" fillId="0" borderId="0" xfId="0" applyNumberFormat="1" applyFont="1" applyFill="1" applyBorder="1" applyAlignment="1">
      <alignment horizontal="center" vertical="center"/>
    </xf>
    <xf numFmtId="2" fontId="15" fillId="0" borderId="0" xfId="0" applyNumberFormat="1" applyFont="1" applyBorder="1" applyAlignment="1">
      <alignment horizontal="center" vertical="center"/>
    </xf>
    <xf numFmtId="2" fontId="15" fillId="0" borderId="9" xfId="0" applyNumberFormat="1" applyFont="1" applyBorder="1" applyAlignment="1">
      <alignment horizontal="center" vertical="center"/>
    </xf>
    <xf numFmtId="2" fontId="15" fillId="0" borderId="0" xfId="0" applyNumberFormat="1" applyFont="1" applyFill="1" applyAlignment="1">
      <alignment horizontal="center" vertical="center"/>
    </xf>
    <xf numFmtId="1" fontId="18" fillId="0" borderId="7" xfId="0" applyNumberFormat="1" applyFont="1" applyBorder="1" applyAlignment="1">
      <alignment horizontal="center"/>
    </xf>
    <xf numFmtId="165" fontId="15" fillId="0" borderId="0" xfId="0" applyNumberFormat="1" applyFont="1" applyAlignment="1">
      <alignment horizontal="center" vertical="center"/>
    </xf>
    <xf numFmtId="0" fontId="15" fillId="0" borderId="0" xfId="0" applyFont="1" applyAlignment="1">
      <alignment horizontal="center" vertical="center"/>
    </xf>
    <xf numFmtId="165" fontId="48" fillId="0" borderId="0" xfId="0" applyNumberFormat="1" applyFont="1" applyAlignment="1">
      <alignment horizontal="center" vertical="center"/>
    </xf>
    <xf numFmtId="2" fontId="28" fillId="0" borderId="4" xfId="0" applyNumberFormat="1" applyFont="1" applyFill="1" applyBorder="1" applyAlignment="1">
      <alignment horizontal="center"/>
    </xf>
    <xf numFmtId="165" fontId="13" fillId="0" borderId="7" xfId="0" applyNumberFormat="1" applyFont="1" applyBorder="1" applyAlignment="1">
      <alignment horizontal="center" vertical="center"/>
    </xf>
    <xf numFmtId="166" fontId="0" fillId="0" borderId="0" xfId="0" applyNumberFormat="1" applyFill="1"/>
    <xf numFmtId="2" fontId="15" fillId="0" borderId="5" xfId="0" applyNumberFormat="1" applyFont="1" applyFill="1" applyBorder="1" applyAlignment="1">
      <alignment horizontal="center" vertical="center"/>
    </xf>
    <xf numFmtId="2" fontId="46" fillId="0" borderId="0" xfId="0" applyNumberFormat="1" applyFont="1" applyFill="1" applyAlignment="1">
      <alignment horizontal="center"/>
    </xf>
    <xf numFmtId="0" fontId="46" fillId="0" borderId="0" xfId="0" applyFont="1" applyFill="1" applyAlignment="1">
      <alignment horizontal="center"/>
    </xf>
    <xf numFmtId="164" fontId="0" fillId="0" borderId="0" xfId="2" applyFont="1"/>
    <xf numFmtId="168" fontId="0" fillId="0" borderId="0" xfId="2" applyNumberFormat="1" applyFont="1"/>
    <xf numFmtId="0" fontId="46" fillId="0" borderId="9" xfId="0" applyFont="1" applyFill="1" applyBorder="1" applyAlignment="1">
      <alignment horizontal="center"/>
    </xf>
    <xf numFmtId="165" fontId="20" fillId="0" borderId="9" xfId="0" applyNumberFormat="1" applyFont="1" applyFill="1" applyBorder="1" applyAlignment="1">
      <alignment horizontal="center" vertical="center"/>
    </xf>
    <xf numFmtId="0" fontId="45" fillId="0" borderId="0" xfId="0" applyFont="1" applyAlignment="1">
      <alignment horizontal="center"/>
    </xf>
    <xf numFmtId="11" fontId="0" fillId="0" borderId="0" xfId="2" applyNumberFormat="1" applyFont="1"/>
    <xf numFmtId="2" fontId="28" fillId="0" borderId="0" xfId="0" applyNumberFormat="1" applyFont="1" applyAlignment="1">
      <alignment horizontal="center"/>
    </xf>
    <xf numFmtId="2" fontId="41" fillId="0" borderId="9" xfId="0" applyNumberFormat="1" applyFont="1" applyBorder="1" applyAlignment="1">
      <alignment horizontal="center"/>
    </xf>
    <xf numFmtId="165" fontId="15" fillId="0" borderId="0" xfId="0" applyNumberFormat="1" applyFont="1" applyFill="1" applyAlignment="1">
      <alignment horizontal="center" vertical="center"/>
    </xf>
    <xf numFmtId="165" fontId="26" fillId="0" borderId="7" xfId="0" applyNumberFormat="1" applyFont="1" applyFill="1" applyBorder="1" applyAlignment="1">
      <alignment horizontal="center"/>
    </xf>
    <xf numFmtId="2" fontId="46" fillId="0" borderId="0" xfId="0" applyNumberFormat="1" applyFont="1" applyAlignment="1">
      <alignment horizontal="center"/>
    </xf>
    <xf numFmtId="0" fontId="49" fillId="0" borderId="9" xfId="0" applyFont="1" applyFill="1" applyBorder="1" applyAlignment="1">
      <alignment horizontal="center"/>
    </xf>
    <xf numFmtId="0" fontId="26" fillId="0" borderId="0" xfId="0" applyFont="1" applyFill="1" applyBorder="1" applyAlignment="1">
      <alignment horizontal="center"/>
    </xf>
    <xf numFmtId="2" fontId="26" fillId="0" borderId="7" xfId="0" applyNumberFormat="1" applyFont="1" applyFill="1" applyBorder="1" applyAlignment="1">
      <alignment horizontal="center"/>
    </xf>
    <xf numFmtId="11" fontId="23" fillId="0" borderId="0" xfId="2" applyNumberFormat="1" applyFont="1" applyFill="1" applyBorder="1" applyAlignment="1">
      <alignment horizontal="center"/>
    </xf>
    <xf numFmtId="0" fontId="21" fillId="0" borderId="6" xfId="0" applyFont="1" applyFill="1" applyBorder="1" applyAlignment="1">
      <alignment horizontal="center"/>
    </xf>
    <xf numFmtId="0" fontId="26" fillId="0" borderId="9" xfId="0" applyFont="1" applyFill="1" applyBorder="1" applyAlignment="1">
      <alignment horizontal="center" vertical="center"/>
    </xf>
    <xf numFmtId="0" fontId="0" fillId="0" borderId="8" xfId="0" applyBorder="1"/>
    <xf numFmtId="0" fontId="0" fillId="0" borderId="5" xfId="0" applyBorder="1"/>
    <xf numFmtId="2" fontId="0" fillId="0" borderId="8" xfId="0" applyNumberFormat="1" applyBorder="1"/>
    <xf numFmtId="2" fontId="0" fillId="0" borderId="5" xfId="0" applyNumberFormat="1" applyBorder="1"/>
    <xf numFmtId="2" fontId="21" fillId="0" borderId="0" xfId="0" applyNumberFormat="1" applyFont="1" applyFill="1" applyBorder="1" applyAlignment="1">
      <alignment horizontal="center"/>
    </xf>
    <xf numFmtId="0" fontId="0" fillId="0" borderId="7" xfId="0" applyBorder="1"/>
    <xf numFmtId="0" fontId="0" fillId="0" borderId="9" xfId="0" applyBorder="1"/>
    <xf numFmtId="0" fontId="40" fillId="0" borderId="7" xfId="0" applyFont="1" applyBorder="1" applyAlignment="1">
      <alignment horizontal="center"/>
    </xf>
    <xf numFmtId="2" fontId="12" fillId="0" borderId="7" xfId="0" applyNumberFormat="1" applyFont="1" applyFill="1" applyBorder="1" applyAlignment="1">
      <alignment horizontal="center" vertical="center" wrapText="1"/>
    </xf>
    <xf numFmtId="2" fontId="45" fillId="0" borderId="0" xfId="0" applyNumberFormat="1" applyFont="1" applyFill="1" applyBorder="1" applyAlignment="1">
      <alignment horizontal="center"/>
    </xf>
    <xf numFmtId="0" fontId="24" fillId="0" borderId="7" xfId="0" applyFont="1" applyFill="1" applyBorder="1" applyAlignment="1">
      <alignment horizontal="center" vertical="center"/>
    </xf>
    <xf numFmtId="0" fontId="24" fillId="0" borderId="10" xfId="0" applyFont="1" applyFill="1" applyBorder="1" applyAlignment="1">
      <alignment horizontal="center" vertical="center"/>
    </xf>
    <xf numFmtId="0" fontId="14" fillId="0" borderId="9" xfId="0" applyFont="1" applyFill="1" applyBorder="1" applyAlignment="1">
      <alignment horizontal="center" vertical="center"/>
    </xf>
    <xf numFmtId="1" fontId="0" fillId="0" borderId="15" xfId="0" applyNumberFormat="1" applyFont="1" applyFill="1" applyBorder="1"/>
    <xf numFmtId="2" fontId="0" fillId="0" borderId="15" xfId="0" applyNumberFormat="1" applyFont="1" applyFill="1" applyBorder="1"/>
    <xf numFmtId="1" fontId="51" fillId="0" borderId="21" xfId="0" applyNumberFormat="1" applyFont="1" applyFill="1" applyBorder="1" applyAlignment="1">
      <alignment horizontal="center"/>
    </xf>
    <xf numFmtId="1" fontId="0" fillId="0" borderId="0" xfId="0" applyNumberFormat="1" applyFont="1" applyFill="1" applyBorder="1"/>
    <xf numFmtId="2" fontId="51" fillId="0" borderId="0" xfId="0" applyNumberFormat="1" applyFont="1" applyFill="1" applyBorder="1" applyAlignment="1">
      <alignment horizontal="center"/>
    </xf>
    <xf numFmtId="2" fontId="0" fillId="0" borderId="0" xfId="0" applyNumberFormat="1" applyFont="1" applyFill="1" applyBorder="1"/>
    <xf numFmtId="2" fontId="0" fillId="0" borderId="12" xfId="0" applyNumberFormat="1" applyFont="1" applyFill="1" applyBorder="1"/>
    <xf numFmtId="0" fontId="0" fillId="0" borderId="0" xfId="0" applyAlignment="1"/>
    <xf numFmtId="0" fontId="0" fillId="0" borderId="8" xfId="0" applyBorder="1" applyAlignment="1">
      <alignment horizontal="right"/>
    </xf>
    <xf numFmtId="1" fontId="0" fillId="0" borderId="0" xfId="0" applyNumberFormat="1" applyAlignment="1">
      <alignment horizontal="center"/>
    </xf>
    <xf numFmtId="0" fontId="0" fillId="0" borderId="0" xfId="0" applyFill="1" applyBorder="1" applyAlignment="1">
      <alignment horizontal="right"/>
    </xf>
    <xf numFmtId="0" fontId="0" fillId="0" borderId="7" xfId="0" applyBorder="1" applyAlignment="1">
      <alignment horizontal="center"/>
    </xf>
    <xf numFmtId="0" fontId="14" fillId="0" borderId="0" xfId="0" applyFont="1" applyFill="1" applyBorder="1" applyAlignment="1">
      <alignment horizontal="right" vertical="center"/>
    </xf>
    <xf numFmtId="166" fontId="12" fillId="0" borderId="0" xfId="0" applyNumberFormat="1" applyFont="1" applyFill="1" applyBorder="1" applyAlignment="1">
      <alignment vertical="center"/>
    </xf>
    <xf numFmtId="0" fontId="28" fillId="0" borderId="0" xfId="0" applyFont="1" applyAlignment="1"/>
    <xf numFmtId="0" fontId="59" fillId="0" borderId="8" xfId="0" applyFont="1" applyBorder="1" applyAlignment="1">
      <alignment horizontal="center" vertical="center"/>
    </xf>
    <xf numFmtId="165" fontId="0" fillId="0" borderId="0" xfId="0" applyNumberFormat="1" applyFont="1" applyFill="1" applyBorder="1"/>
    <xf numFmtId="2" fontId="48" fillId="0" borderId="0" xfId="0" applyNumberFormat="1" applyFont="1" applyFill="1" applyBorder="1" applyAlignment="1">
      <alignment horizontal="center" vertical="center"/>
    </xf>
    <xf numFmtId="170" fontId="48" fillId="0" borderId="0" xfId="0" applyNumberFormat="1" applyFont="1" applyFill="1" applyBorder="1" applyAlignment="1">
      <alignment horizontal="center" vertical="center"/>
    </xf>
    <xf numFmtId="1" fontId="12" fillId="0" borderId="8" xfId="0" applyNumberFormat="1" applyFont="1" applyFill="1" applyBorder="1" applyAlignment="1">
      <alignment horizontal="center" vertical="center"/>
    </xf>
    <xf numFmtId="2" fontId="15" fillId="0" borderId="8" xfId="0" applyNumberFormat="1" applyFont="1" applyFill="1" applyBorder="1" applyAlignment="1">
      <alignment horizontal="center" vertical="center"/>
    </xf>
    <xf numFmtId="165" fontId="48" fillId="0" borderId="8" xfId="0" applyNumberFormat="1" applyFont="1" applyFill="1" applyBorder="1" applyAlignment="1">
      <alignment horizontal="center" vertical="center"/>
    </xf>
    <xf numFmtId="165" fontId="15" fillId="0" borderId="8" xfId="0" applyNumberFormat="1" applyFont="1" applyFill="1" applyBorder="1" applyAlignment="1">
      <alignment horizontal="center" vertical="center"/>
    </xf>
    <xf numFmtId="165" fontId="48" fillId="0" borderId="9" xfId="0" applyNumberFormat="1" applyFont="1" applyFill="1" applyBorder="1" applyAlignment="1">
      <alignment horizontal="center" vertical="center"/>
    </xf>
    <xf numFmtId="0" fontId="61" fillId="0" borderId="8" xfId="0" applyFont="1" applyFill="1" applyBorder="1" applyAlignment="1">
      <alignment horizontal="center" vertical="center"/>
    </xf>
    <xf numFmtId="165" fontId="12" fillId="0" borderId="0" xfId="0" applyNumberFormat="1" applyFont="1" applyFill="1" applyBorder="1" applyAlignment="1">
      <alignment horizontal="center" vertical="center"/>
    </xf>
    <xf numFmtId="165" fontId="48" fillId="0" borderId="7" xfId="0" applyNumberFormat="1" applyFont="1" applyFill="1" applyBorder="1" applyAlignment="1">
      <alignment horizontal="center" vertical="center"/>
    </xf>
    <xf numFmtId="165" fontId="48" fillId="0" borderId="10" xfId="0" applyNumberFormat="1" applyFont="1" applyFill="1" applyBorder="1" applyAlignment="1">
      <alignment horizontal="center" vertical="center"/>
    </xf>
    <xf numFmtId="0" fontId="20" fillId="0" borderId="0" xfId="0" applyFont="1" applyFill="1" applyBorder="1" applyAlignment="1">
      <alignment horizontal="center" vertical="center"/>
    </xf>
    <xf numFmtId="11" fontId="23" fillId="0" borderId="0" xfId="0" applyNumberFormat="1" applyFont="1" applyFill="1" applyBorder="1" applyAlignment="1">
      <alignment horizontal="right"/>
    </xf>
    <xf numFmtId="11" fontId="25" fillId="0" borderId="0" xfId="0" applyNumberFormat="1" applyFont="1" applyFill="1" applyBorder="1" applyAlignment="1">
      <alignment horizontal="center"/>
    </xf>
    <xf numFmtId="0" fontId="24" fillId="0" borderId="0" xfId="0" applyFont="1" applyFill="1" applyBorder="1" applyAlignment="1">
      <alignment horizontal="center" vertical="center"/>
    </xf>
    <xf numFmtId="2" fontId="23" fillId="0" borderId="0" xfId="0" applyNumberFormat="1" applyFont="1" applyFill="1"/>
    <xf numFmtId="165" fontId="23" fillId="0" borderId="5" xfId="0" applyNumberFormat="1" applyFont="1" applyFill="1" applyBorder="1" applyAlignment="1">
      <alignment horizontal="center"/>
    </xf>
    <xf numFmtId="165" fontId="23" fillId="0" borderId="0" xfId="0" applyNumberFormat="1" applyFont="1" applyFill="1" applyBorder="1"/>
    <xf numFmtId="0" fontId="41" fillId="0" borderId="0" xfId="0" applyFont="1" applyFill="1"/>
    <xf numFmtId="0" fontId="46" fillId="0" borderId="0" xfId="0" applyFont="1" applyFill="1" applyBorder="1"/>
    <xf numFmtId="0" fontId="41" fillId="0" borderId="7" xfId="0" applyFont="1" applyFill="1" applyBorder="1" applyAlignment="1">
      <alignment horizontal="center"/>
    </xf>
    <xf numFmtId="0" fontId="46" fillId="0" borderId="0" xfId="0" applyFont="1" applyFill="1"/>
    <xf numFmtId="2" fontId="0" fillId="0" borderId="0" xfId="0" applyNumberFormat="1" applyFont="1"/>
    <xf numFmtId="2" fontId="26" fillId="0" borderId="0" xfId="0" applyNumberFormat="1" applyFont="1" applyFill="1" applyBorder="1" applyAlignment="1">
      <alignment horizontal="center"/>
    </xf>
    <xf numFmtId="2" fontId="28" fillId="0" borderId="0" xfId="0" applyNumberFormat="1" applyFont="1"/>
    <xf numFmtId="0" fontId="12" fillId="0" borderId="0" xfId="0" applyFont="1" applyFill="1" applyBorder="1" applyAlignment="1">
      <alignment horizontal="right" vertical="center"/>
    </xf>
    <xf numFmtId="165" fontId="23" fillId="0" borderId="0" xfId="0" applyNumberFormat="1" applyFont="1" applyFill="1" applyAlignment="1">
      <alignment horizontal="center"/>
    </xf>
    <xf numFmtId="1" fontId="23" fillId="0" borderId="0" xfId="0" applyNumberFormat="1" applyFont="1" applyFill="1" applyAlignment="1">
      <alignment horizontal="center"/>
    </xf>
    <xf numFmtId="1" fontId="0" fillId="0" borderId="0" xfId="0" applyNumberFormat="1" applyFont="1" applyFill="1" applyBorder="1" applyAlignment="1">
      <alignment horizontal="center"/>
    </xf>
    <xf numFmtId="166" fontId="0" fillId="0" borderId="0" xfId="0" applyNumberFormat="1" applyFont="1" applyFill="1" applyBorder="1" applyAlignment="1">
      <alignment horizontal="center"/>
    </xf>
    <xf numFmtId="0" fontId="0" fillId="0" borderId="8" xfId="0" applyFill="1" applyBorder="1" applyAlignment="1">
      <alignment horizontal="center"/>
    </xf>
    <xf numFmtId="168" fontId="0" fillId="0" borderId="0" xfId="0" applyNumberFormat="1"/>
    <xf numFmtId="171" fontId="0" fillId="0" borderId="0" xfId="2" applyNumberFormat="1" applyFont="1"/>
    <xf numFmtId="11" fontId="0" fillId="0" borderId="0" xfId="0" applyNumberFormat="1" applyFont="1"/>
    <xf numFmtId="166" fontId="0" fillId="0" borderId="0" xfId="0" applyNumberFormat="1" applyFont="1"/>
    <xf numFmtId="0" fontId="0" fillId="0" borderId="0" xfId="0" applyAlignment="1">
      <alignment horizontal="left"/>
    </xf>
    <xf numFmtId="0" fontId="0" fillId="2" borderId="0" xfId="0" applyFill="1"/>
    <xf numFmtId="166" fontId="15" fillId="0" borderId="5" xfId="0" applyNumberFormat="1" applyFont="1" applyFill="1" applyBorder="1" applyAlignment="1">
      <alignment horizontal="center" vertical="center"/>
    </xf>
    <xf numFmtId="166" fontId="15" fillId="0" borderId="0" xfId="0" applyNumberFormat="1" applyFont="1" applyFill="1" applyBorder="1" applyAlignment="1">
      <alignment horizontal="center" vertical="center"/>
    </xf>
    <xf numFmtId="166" fontId="14" fillId="0" borderId="0" xfId="0" applyNumberFormat="1" applyFont="1" applyFill="1" applyBorder="1" applyAlignment="1">
      <alignment horizontal="center" vertical="center"/>
    </xf>
    <xf numFmtId="165" fontId="0" fillId="0" borderId="0" xfId="0" applyNumberFormat="1" applyFont="1" applyFill="1" applyAlignment="1">
      <alignment horizontal="center"/>
    </xf>
    <xf numFmtId="0" fontId="0" fillId="0" borderId="0" xfId="0" applyAlignment="1">
      <alignment horizontal="center"/>
    </xf>
    <xf numFmtId="0" fontId="12" fillId="0" borderId="0" xfId="0" applyFont="1" applyAlignment="1">
      <alignment horizontal="center" vertical="center"/>
    </xf>
    <xf numFmtId="0" fontId="23" fillId="0" borderId="11" xfId="0" applyFont="1" applyBorder="1" applyAlignment="1">
      <alignment horizontal="center"/>
    </xf>
    <xf numFmtId="2" fontId="14" fillId="0" borderId="8" xfId="0" applyNumberFormat="1" applyFont="1" applyBorder="1" applyAlignment="1">
      <alignment horizontal="center" vertical="center"/>
    </xf>
    <xf numFmtId="2" fontId="14" fillId="0" borderId="7" xfId="0" applyNumberFormat="1" applyFont="1" applyBorder="1" applyAlignment="1">
      <alignment horizontal="center" vertical="center"/>
    </xf>
    <xf numFmtId="0" fontId="0" fillId="0" borderId="10" xfId="0" applyBorder="1" applyAlignment="1">
      <alignment horizontal="center"/>
    </xf>
    <xf numFmtId="0" fontId="12" fillId="0" borderId="7" xfId="0" applyFont="1" applyBorder="1" applyAlignment="1">
      <alignment horizontal="center" vertical="center"/>
    </xf>
    <xf numFmtId="0" fontId="40" fillId="0" borderId="0" xfId="0" applyFont="1" applyAlignment="1">
      <alignment horizontal="center"/>
    </xf>
    <xf numFmtId="0" fontId="21" fillId="0" borderId="7" xfId="0" applyFont="1" applyBorder="1"/>
    <xf numFmtId="0" fontId="21" fillId="0" borderId="0" xfId="0" applyFont="1"/>
    <xf numFmtId="1" fontId="18" fillId="0" borderId="0" xfId="0" applyNumberFormat="1" applyFont="1" applyAlignment="1">
      <alignment horizontal="center"/>
    </xf>
    <xf numFmtId="1" fontId="12" fillId="0" borderId="0" xfId="0" applyNumberFormat="1" applyFont="1" applyAlignment="1">
      <alignment horizontal="center" vertical="center"/>
    </xf>
    <xf numFmtId="0" fontId="12" fillId="0" borderId="7" xfId="0" applyFont="1" applyBorder="1" applyAlignment="1">
      <alignment horizontal="left" vertical="center"/>
    </xf>
    <xf numFmtId="0" fontId="23" fillId="0" borderId="9" xfId="0" applyFont="1" applyBorder="1"/>
    <xf numFmtId="0" fontId="23" fillId="0" borderId="0" xfId="0" quotePrefix="1" applyFont="1" applyAlignment="1">
      <alignment horizontal="center"/>
    </xf>
    <xf numFmtId="2" fontId="14" fillId="0" borderId="5" xfId="0" applyNumberFormat="1" applyFont="1" applyBorder="1" applyAlignment="1">
      <alignment horizontal="center" vertical="center"/>
    </xf>
    <xf numFmtId="0" fontId="28" fillId="0" borderId="0" xfId="0" applyFont="1" applyFill="1" applyBorder="1" applyAlignment="1">
      <alignment horizontal="right"/>
    </xf>
    <xf numFmtId="0" fontId="12" fillId="0" borderId="0" xfId="0" applyFont="1" applyFill="1" applyBorder="1"/>
    <xf numFmtId="166" fontId="0" fillId="0" borderId="0" xfId="0" applyNumberFormat="1" applyFill="1" applyBorder="1" applyAlignment="1">
      <alignment horizontal="right"/>
    </xf>
    <xf numFmtId="2" fontId="0" fillId="0" borderId="0" xfId="0" applyNumberFormat="1" applyFill="1" applyBorder="1"/>
    <xf numFmtId="1" fontId="0" fillId="0" borderId="0" xfId="0" applyNumberFormat="1" applyFill="1" applyBorder="1"/>
    <xf numFmtId="166" fontId="0" fillId="0" borderId="0" xfId="0" applyNumberFormat="1" applyFill="1" applyBorder="1"/>
    <xf numFmtId="164" fontId="0" fillId="0" borderId="0" xfId="0" applyNumberFormat="1" applyFill="1" applyBorder="1"/>
    <xf numFmtId="9" fontId="0" fillId="0" borderId="0" xfId="1" applyFont="1" applyFill="1" applyBorder="1"/>
    <xf numFmtId="2" fontId="0" fillId="0" borderId="0" xfId="0" applyNumberFormat="1" applyFill="1" applyBorder="1" applyAlignment="1">
      <alignment horizontal="right"/>
    </xf>
    <xf numFmtId="11" fontId="0" fillId="0" borderId="0" xfId="0" applyNumberFormat="1" applyFill="1" applyBorder="1"/>
    <xf numFmtId="11" fontId="0" fillId="0" borderId="0" xfId="0" applyNumberFormat="1" applyFill="1" applyBorder="1" applyAlignment="1">
      <alignment horizontal="right"/>
    </xf>
    <xf numFmtId="2" fontId="0" fillId="0" borderId="0" xfId="2" applyNumberFormat="1" applyFont="1" applyFill="1" applyBorder="1"/>
    <xf numFmtId="169" fontId="0" fillId="0" borderId="0" xfId="0" applyNumberFormat="1" applyFill="1" applyBorder="1"/>
    <xf numFmtId="0" fontId="28" fillId="0" borderId="0" xfId="0" applyFont="1" applyFill="1" applyBorder="1" applyAlignment="1">
      <alignment horizontal="center"/>
    </xf>
    <xf numFmtId="166" fontId="0" fillId="0" borderId="0" xfId="0" applyNumberFormat="1" applyFont="1" applyFill="1" applyBorder="1"/>
    <xf numFmtId="11" fontId="0" fillId="0" borderId="0" xfId="0" applyNumberFormat="1" applyFont="1" applyFill="1" applyBorder="1"/>
    <xf numFmtId="2" fontId="0" fillId="0" borderId="0" xfId="0" applyNumberFormat="1" applyFont="1" applyFill="1" applyBorder="1" applyAlignment="1">
      <alignment horizontal="right"/>
    </xf>
    <xf numFmtId="0" fontId="0" fillId="0" borderId="0" xfId="0" applyFont="1" applyFill="1" applyBorder="1" applyAlignment="1">
      <alignment horizontal="right"/>
    </xf>
    <xf numFmtId="11" fontId="0" fillId="0" borderId="0" xfId="0" applyNumberFormat="1" applyFont="1" applyFill="1" applyBorder="1" applyAlignment="1">
      <alignment horizontal="right"/>
    </xf>
    <xf numFmtId="172" fontId="0" fillId="0" borderId="0" xfId="2" applyNumberFormat="1" applyFont="1" applyFill="1" applyBorder="1"/>
    <xf numFmtId="167" fontId="0" fillId="0" borderId="0" xfId="0" applyNumberFormat="1" applyFont="1" applyFill="1" applyBorder="1" applyAlignment="1">
      <alignment horizontal="right"/>
    </xf>
    <xf numFmtId="11" fontId="0" fillId="0" borderId="0" xfId="2" applyNumberFormat="1" applyFont="1" applyFill="1" applyBorder="1"/>
    <xf numFmtId="166" fontId="0" fillId="0" borderId="0" xfId="0" applyNumberFormat="1" applyFont="1" applyFill="1" applyBorder="1" applyAlignment="1">
      <alignment horizontal="right"/>
    </xf>
    <xf numFmtId="165" fontId="0" fillId="0" borderId="0" xfId="0" applyNumberFormat="1" applyFont="1" applyFill="1" applyBorder="1" applyAlignment="1">
      <alignment horizontal="right"/>
    </xf>
    <xf numFmtId="0" fontId="28" fillId="0" borderId="0" xfId="0" applyFont="1" applyFill="1" applyBorder="1"/>
    <xf numFmtId="168" fontId="0" fillId="0" borderId="0" xfId="2" applyNumberFormat="1" applyFont="1" applyFill="1" applyBorder="1"/>
    <xf numFmtId="164" fontId="0" fillId="0" borderId="0" xfId="2" applyNumberFormat="1" applyFont="1" applyFill="1" applyBorder="1"/>
    <xf numFmtId="167" fontId="0" fillId="0" borderId="0" xfId="0" applyNumberFormat="1" applyFont="1" applyFill="1" applyBorder="1"/>
    <xf numFmtId="11" fontId="0" fillId="0" borderId="0" xfId="0" applyNumberFormat="1" applyFont="1" applyFill="1" applyBorder="1" applyAlignment="1"/>
    <xf numFmtId="173" fontId="0" fillId="0" borderId="0" xfId="0" applyNumberFormat="1" applyFont="1" applyFill="1" applyBorder="1"/>
    <xf numFmtId="11" fontId="63" fillId="0" borderId="0" xfId="0" applyNumberFormat="1" applyFont="1"/>
    <xf numFmtId="0" fontId="0" fillId="0" borderId="15" xfId="0" applyBorder="1" applyAlignment="1">
      <alignment horizontal="right"/>
    </xf>
    <xf numFmtId="0" fontId="12" fillId="0" borderId="0" xfId="0" applyFont="1" applyBorder="1" applyAlignment="1">
      <alignment horizontal="center" vertical="center"/>
    </xf>
    <xf numFmtId="2" fontId="18" fillId="0" borderId="0" xfId="0" applyNumberFormat="1" applyFont="1" applyAlignment="1">
      <alignment horizontal="center"/>
    </xf>
    <xf numFmtId="165" fontId="48" fillId="0" borderId="0" xfId="0" applyNumberFormat="1" applyFont="1" applyFill="1" applyAlignment="1">
      <alignment horizontal="center" vertical="center"/>
    </xf>
    <xf numFmtId="11" fontId="12" fillId="0" borderId="7" xfId="0" applyNumberFormat="1" applyFont="1" applyFill="1" applyBorder="1" applyAlignment="1">
      <alignment horizontal="center" vertical="center" wrapText="1"/>
    </xf>
    <xf numFmtId="2" fontId="14" fillId="0" borderId="0" xfId="0" applyNumberFormat="1" applyFont="1" applyBorder="1" applyAlignment="1">
      <alignment horizontal="center" vertical="center"/>
    </xf>
    <xf numFmtId="0" fontId="0" fillId="0" borderId="0" xfId="0" applyFont="1" applyFill="1" applyBorder="1" applyAlignment="1"/>
    <xf numFmtId="11" fontId="0" fillId="0" borderId="0" xfId="2" applyNumberFormat="1" applyFont="1" applyAlignment="1"/>
    <xf numFmtId="164" fontId="0" fillId="0" borderId="0" xfId="2" applyFont="1" applyAlignment="1"/>
    <xf numFmtId="11" fontId="0" fillId="0" borderId="0" xfId="0" applyNumberFormat="1" applyAlignment="1"/>
    <xf numFmtId="2" fontId="0" fillId="0" borderId="0" xfId="0" applyNumberFormat="1" applyAlignment="1"/>
    <xf numFmtId="166" fontId="0" fillId="0" borderId="0" xfId="0" applyNumberFormat="1" applyAlignment="1">
      <alignment horizontal="right"/>
    </xf>
    <xf numFmtId="2" fontId="12" fillId="0" borderId="7" xfId="0" applyNumberFormat="1" applyFont="1" applyBorder="1" applyAlignment="1">
      <alignment horizontal="center" vertical="center"/>
    </xf>
    <xf numFmtId="164" fontId="0" fillId="0" borderId="0" xfId="2" applyFont="1" applyFill="1" applyBorder="1"/>
    <xf numFmtId="164" fontId="0" fillId="0" borderId="0" xfId="2" applyFont="1" applyAlignment="1">
      <alignment horizontal="right"/>
    </xf>
    <xf numFmtId="2" fontId="0" fillId="0" borderId="0" xfId="2" applyNumberFormat="1" applyFont="1"/>
    <xf numFmtId="165" fontId="20" fillId="0" borderId="0" xfId="0" applyNumberFormat="1" applyFont="1" applyFill="1" applyAlignment="1">
      <alignment horizontal="center" vertical="center"/>
    </xf>
    <xf numFmtId="2" fontId="14" fillId="0" borderId="0" xfId="0" applyNumberFormat="1" applyFont="1" applyFill="1" applyAlignment="1">
      <alignment horizontal="center" vertical="center"/>
    </xf>
    <xf numFmtId="174" fontId="23" fillId="0" borderId="0" xfId="0" applyNumberFormat="1" applyFont="1"/>
    <xf numFmtId="11" fontId="23" fillId="0" borderId="0" xfId="0" applyNumberFormat="1" applyFont="1"/>
    <xf numFmtId="2" fontId="21" fillId="0" borderId="0" xfId="0" applyNumberFormat="1" applyFont="1" applyAlignment="1">
      <alignment horizontal="center"/>
    </xf>
    <xf numFmtId="165" fontId="20" fillId="0" borderId="9" xfId="0" applyNumberFormat="1" applyFont="1" applyBorder="1" applyAlignment="1">
      <alignment horizontal="center" vertical="center"/>
    </xf>
    <xf numFmtId="0" fontId="21" fillId="0" borderId="0" xfId="0" applyFont="1" applyBorder="1" applyAlignment="1">
      <alignment horizontal="center"/>
    </xf>
    <xf numFmtId="165" fontId="18" fillId="0" borderId="0" xfId="0" applyNumberFormat="1" applyFont="1" applyAlignment="1">
      <alignment horizontal="center"/>
    </xf>
    <xf numFmtId="11" fontId="41" fillId="0" borderId="0" xfId="0" applyNumberFormat="1" applyFont="1" applyFill="1" applyAlignment="1">
      <alignment horizontal="center"/>
    </xf>
    <xf numFmtId="0" fontId="41" fillId="0" borderId="9" xfId="0" applyFont="1" applyFill="1" applyBorder="1" applyAlignment="1">
      <alignment horizontal="center" vertical="center"/>
    </xf>
    <xf numFmtId="0" fontId="28" fillId="0" borderId="0" xfId="0" applyFont="1" applyFill="1"/>
    <xf numFmtId="0" fontId="14" fillId="0" borderId="11" xfId="0" applyFont="1" applyFill="1" applyBorder="1" applyAlignment="1">
      <alignment horizontal="center" vertical="center"/>
    </xf>
    <xf numFmtId="0" fontId="46" fillId="0" borderId="9" xfId="0" applyFont="1" applyBorder="1"/>
    <xf numFmtId="1" fontId="41" fillId="0" borderId="0" xfId="0" applyNumberFormat="1" applyFont="1" applyFill="1" applyAlignment="1">
      <alignment horizontal="center"/>
    </xf>
    <xf numFmtId="166" fontId="41" fillId="0" borderId="0" xfId="0" applyNumberFormat="1" applyFont="1" applyFill="1" applyAlignment="1">
      <alignment horizontal="center"/>
    </xf>
    <xf numFmtId="165" fontId="41" fillId="0" borderId="0" xfId="0" applyNumberFormat="1" applyFont="1" applyFill="1" applyAlignment="1">
      <alignment horizontal="center"/>
    </xf>
    <xf numFmtId="1" fontId="46" fillId="0" borderId="0" xfId="0" applyNumberFormat="1" applyFont="1" applyFill="1" applyBorder="1" applyAlignment="1">
      <alignment horizontal="center"/>
    </xf>
    <xf numFmtId="165" fontId="46" fillId="0" borderId="0" xfId="0" applyNumberFormat="1" applyFont="1" applyFill="1" applyBorder="1" applyAlignment="1">
      <alignment horizontal="center"/>
    </xf>
    <xf numFmtId="166" fontId="46" fillId="0" borderId="0" xfId="0" applyNumberFormat="1" applyFont="1" applyFill="1" applyBorder="1" applyAlignment="1">
      <alignment horizontal="center"/>
    </xf>
    <xf numFmtId="11" fontId="46" fillId="0" borderId="0" xfId="0" applyNumberFormat="1" applyFont="1" applyFill="1" applyBorder="1" applyAlignment="1">
      <alignment horizontal="center"/>
    </xf>
    <xf numFmtId="0" fontId="41" fillId="0" borderId="9" xfId="0" applyFont="1" applyFill="1" applyBorder="1" applyAlignment="1">
      <alignment horizontal="left"/>
    </xf>
    <xf numFmtId="0" fontId="46" fillId="0" borderId="9" xfId="0" applyFont="1" applyBorder="1" applyAlignment="1">
      <alignment horizontal="left"/>
    </xf>
    <xf numFmtId="0" fontId="23" fillId="0" borderId="0" xfId="0" applyFont="1" applyBorder="1" applyAlignment="1">
      <alignment horizontal="center"/>
    </xf>
    <xf numFmtId="2" fontId="46" fillId="0" borderId="8" xfId="0" applyNumberFormat="1" applyFont="1" applyFill="1" applyBorder="1" applyAlignment="1">
      <alignment horizontal="center"/>
    </xf>
    <xf numFmtId="0" fontId="46" fillId="0" borderId="11" xfId="0" applyFont="1" applyBorder="1"/>
    <xf numFmtId="0" fontId="25" fillId="0" borderId="0" xfId="0" applyFont="1" applyAlignment="1">
      <alignment horizontal="center"/>
    </xf>
    <xf numFmtId="2" fontId="28" fillId="0" borderId="7" xfId="0" applyNumberFormat="1" applyFont="1" applyBorder="1" applyAlignment="1">
      <alignment horizontal="center"/>
    </xf>
    <xf numFmtId="0" fontId="24" fillId="0" borderId="7" xfId="0" applyFont="1" applyBorder="1" applyAlignment="1">
      <alignment horizontal="center" vertical="center"/>
    </xf>
    <xf numFmtId="2" fontId="25" fillId="0" borderId="0" xfId="0" applyNumberFormat="1" applyFont="1" applyAlignment="1">
      <alignment horizontal="center" vertical="center"/>
    </xf>
    <xf numFmtId="2" fontId="25" fillId="0" borderId="0" xfId="0" applyNumberFormat="1" applyFont="1" applyAlignment="1">
      <alignment horizontal="center"/>
    </xf>
    <xf numFmtId="2" fontId="12" fillId="0" borderId="0" xfId="0" applyNumberFormat="1" applyFont="1" applyAlignment="1">
      <alignment horizontal="center" vertical="center"/>
    </xf>
    <xf numFmtId="0" fontId="29" fillId="0" borderId="9" xfId="0" applyFont="1" applyFill="1" applyBorder="1"/>
    <xf numFmtId="0" fontId="2" fillId="0" borderId="9" xfId="0" applyFont="1" applyFill="1" applyBorder="1" applyAlignment="1">
      <alignment vertical="center"/>
    </xf>
    <xf numFmtId="0" fontId="2" fillId="0" borderId="0" xfId="0" applyFont="1" applyFill="1" applyBorder="1" applyAlignment="1">
      <alignment horizontal="center" vertical="center"/>
    </xf>
    <xf numFmtId="0" fontId="22" fillId="0" borderId="0" xfId="0" applyFont="1" applyFill="1" applyBorder="1" applyAlignment="1">
      <alignment horizontal="center"/>
    </xf>
    <xf numFmtId="0" fontId="12" fillId="0" borderId="9" xfId="0" applyFont="1" applyFill="1" applyBorder="1" applyAlignment="1">
      <alignment horizontal="center" vertical="center" wrapText="1"/>
    </xf>
    <xf numFmtId="1" fontId="23" fillId="0" borderId="9" xfId="0" applyNumberFormat="1" applyFont="1" applyFill="1" applyBorder="1" applyAlignment="1">
      <alignment horizontal="center"/>
    </xf>
    <xf numFmtId="0" fontId="21" fillId="0" borderId="11" xfId="0" applyFont="1" applyFill="1" applyBorder="1" applyAlignment="1">
      <alignment horizontal="center"/>
    </xf>
    <xf numFmtId="165" fontId="48" fillId="0" borderId="11" xfId="0" applyNumberFormat="1" applyFont="1" applyFill="1" applyBorder="1" applyAlignment="1">
      <alignment horizontal="center" vertical="center"/>
    </xf>
    <xf numFmtId="165" fontId="20" fillId="0" borderId="9" xfId="0" applyNumberFormat="1" applyFont="1" applyFill="1" applyBorder="1" applyAlignment="1">
      <alignment vertical="center"/>
    </xf>
    <xf numFmtId="165" fontId="14" fillId="0" borderId="0" xfId="0" applyNumberFormat="1" applyFont="1" applyFill="1" applyAlignment="1">
      <alignment horizontal="center" vertical="center"/>
    </xf>
    <xf numFmtId="165" fontId="28" fillId="0" borderId="0" xfId="0" applyNumberFormat="1" applyFont="1" applyFill="1" applyAlignment="1">
      <alignment horizontal="center"/>
    </xf>
    <xf numFmtId="165" fontId="46" fillId="0" borderId="0" xfId="0" applyNumberFormat="1" applyFont="1" applyFill="1" applyAlignment="1">
      <alignment horizontal="center"/>
    </xf>
    <xf numFmtId="2" fontId="0" fillId="0" borderId="0" xfId="0" applyNumberFormat="1" applyFont="1" applyFill="1" applyAlignment="1">
      <alignment horizontal="center"/>
    </xf>
    <xf numFmtId="165" fontId="20" fillId="0" borderId="8" xfId="0" applyNumberFormat="1" applyFont="1" applyFill="1" applyBorder="1" applyAlignment="1">
      <alignment horizontal="center" vertical="center"/>
    </xf>
    <xf numFmtId="2" fontId="21" fillId="0" borderId="8" xfId="0" applyNumberFormat="1" applyFont="1" applyFill="1" applyBorder="1" applyAlignment="1">
      <alignment horizontal="center"/>
    </xf>
    <xf numFmtId="0" fontId="12" fillId="0" borderId="3" xfId="0" applyFont="1" applyBorder="1" applyAlignment="1">
      <alignment horizontal="center" vertical="center"/>
    </xf>
    <xf numFmtId="0" fontId="28" fillId="0" borderId="8" xfId="0" applyFont="1" applyFill="1" applyBorder="1" applyAlignment="1">
      <alignment horizontal="center"/>
    </xf>
    <xf numFmtId="0" fontId="28" fillId="0" borderId="8" xfId="0" applyFont="1" applyFill="1" applyBorder="1" applyAlignment="1">
      <alignment horizontal="right"/>
    </xf>
    <xf numFmtId="165" fontId="28" fillId="0" borderId="8" xfId="0" applyNumberFormat="1" applyFont="1" applyFill="1" applyBorder="1" applyAlignment="1">
      <alignment horizontal="center"/>
    </xf>
    <xf numFmtId="0" fontId="0" fillId="0" borderId="9" xfId="0" applyFont="1" applyFill="1" applyBorder="1" applyAlignment="1">
      <alignment horizontal="center"/>
    </xf>
    <xf numFmtId="0" fontId="0" fillId="0" borderId="0" xfId="0" applyFont="1" applyFill="1" applyAlignment="1">
      <alignment horizontal="center"/>
    </xf>
    <xf numFmtId="0" fontId="0" fillId="0" borderId="0" xfId="0" applyAlignment="1">
      <alignment horizontal="left" wrapText="1"/>
    </xf>
    <xf numFmtId="2" fontId="0" fillId="0" borderId="7" xfId="0" applyNumberFormat="1" applyBorder="1"/>
    <xf numFmtId="0" fontId="0" fillId="0" borderId="10" xfId="0" applyBorder="1"/>
    <xf numFmtId="0" fontId="28" fillId="0" borderId="0" xfId="0" applyFont="1" applyAlignment="1">
      <alignment horizontal="left" wrapText="1"/>
    </xf>
    <xf numFmtId="0" fontId="12" fillId="0" borderId="13" xfId="0" applyFont="1" applyFill="1" applyBorder="1" applyAlignment="1">
      <alignment horizontal="left" vertical="center"/>
    </xf>
    <xf numFmtId="0" fontId="12" fillId="0" borderId="13" xfId="0" applyFont="1" applyBorder="1" applyAlignment="1">
      <alignment horizontal="left" vertical="center"/>
    </xf>
    <xf numFmtId="0" fontId="12" fillId="0" borderId="22" xfId="0" applyFont="1" applyBorder="1" applyAlignment="1">
      <alignment horizontal="left" vertical="center"/>
    </xf>
    <xf numFmtId="0" fontId="2" fillId="0" borderId="13" xfId="0" applyFont="1" applyFill="1" applyBorder="1" applyAlignment="1">
      <alignment horizontal="center" vertical="center"/>
    </xf>
    <xf numFmtId="0" fontId="5" fillId="0" borderId="1" xfId="0" applyFont="1" applyFill="1" applyBorder="1" applyAlignment="1">
      <alignment horizontal="center" vertical="center"/>
    </xf>
    <xf numFmtId="0" fontId="5" fillId="0" borderId="2" xfId="0" applyFont="1" applyFill="1" applyBorder="1" applyAlignment="1">
      <alignment horizontal="center" vertical="center"/>
    </xf>
    <xf numFmtId="0" fontId="5" fillId="0" borderId="3" xfId="0" applyFont="1" applyFill="1" applyBorder="1" applyAlignment="1">
      <alignment horizontal="center" vertical="center"/>
    </xf>
    <xf numFmtId="0" fontId="12" fillId="0" borderId="13" xfId="0" applyFont="1" applyFill="1" applyBorder="1" applyAlignment="1">
      <alignment horizontal="center" vertical="center"/>
    </xf>
    <xf numFmtId="0" fontId="9" fillId="0" borderId="1" xfId="0" applyFont="1" applyFill="1" applyBorder="1" applyAlignment="1">
      <alignment horizontal="center" vertical="center"/>
    </xf>
    <xf numFmtId="0" fontId="9" fillId="0" borderId="2" xfId="0" applyFont="1" applyFill="1" applyBorder="1" applyAlignment="1">
      <alignment horizontal="center" vertical="center"/>
    </xf>
    <xf numFmtId="0" fontId="9" fillId="0" borderId="3"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13" fillId="0" borderId="1" xfId="0" applyFont="1" applyFill="1" applyBorder="1" applyAlignment="1">
      <alignment horizontal="center" vertical="center"/>
    </xf>
    <xf numFmtId="0" fontId="13" fillId="0" borderId="2" xfId="0" applyFont="1" applyFill="1" applyBorder="1" applyAlignment="1">
      <alignment horizontal="center" vertical="center"/>
    </xf>
    <xf numFmtId="0" fontId="13" fillId="0" borderId="3" xfId="0" applyFont="1" applyFill="1" applyBorder="1" applyAlignment="1">
      <alignment horizontal="center" vertical="center"/>
    </xf>
    <xf numFmtId="0" fontId="9" fillId="0" borderId="0" xfId="0" applyFont="1" applyAlignment="1">
      <alignment horizontal="left" vertical="center" wrapText="1"/>
    </xf>
    <xf numFmtId="0" fontId="13" fillId="0" borderId="1" xfId="0" quotePrefix="1" applyFont="1" applyFill="1" applyBorder="1" applyAlignment="1">
      <alignment horizontal="center" vertical="center"/>
    </xf>
    <xf numFmtId="0" fontId="12" fillId="0" borderId="1" xfId="0" applyFont="1" applyBorder="1" applyAlignment="1">
      <alignment horizontal="center" vertical="center"/>
    </xf>
    <xf numFmtId="0" fontId="12" fillId="0" borderId="2" xfId="0" applyFont="1" applyBorder="1" applyAlignment="1">
      <alignment horizontal="center" vertical="center"/>
    </xf>
    <xf numFmtId="0" fontId="12" fillId="0" borderId="3" xfId="0" applyFont="1" applyBorder="1" applyAlignment="1">
      <alignment horizontal="center" vertical="center"/>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70" fillId="0" borderId="0" xfId="0" applyFont="1" applyAlignment="1">
      <alignment horizontal="left" wrapText="1"/>
    </xf>
    <xf numFmtId="0" fontId="12" fillId="0" borderId="1" xfId="0" applyFont="1" applyFill="1" applyBorder="1" applyAlignment="1">
      <alignment horizontal="center" vertical="center"/>
    </xf>
    <xf numFmtId="0" fontId="12" fillId="0" borderId="2" xfId="0" applyFont="1" applyFill="1" applyBorder="1" applyAlignment="1">
      <alignment horizontal="center" vertical="center"/>
    </xf>
    <xf numFmtId="0" fontId="1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xf>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12" fillId="0" borderId="13" xfId="0" applyFont="1" applyBorder="1" applyAlignment="1">
      <alignment horizontal="center" vertical="center"/>
    </xf>
  </cellXfs>
  <cellStyles count="4">
    <cellStyle name="Comma" xfId="2" builtinId="3"/>
    <cellStyle name="Normal" xfId="0" builtinId="0"/>
    <cellStyle name="Normal 2" xfId="3" xr:uid="{0757EAE8-FDC6-4C0E-9E19-F1EF4E692B0A}"/>
    <cellStyle name="Percent" xfId="1" builtinId="5"/>
  </cellStyles>
  <dxfs count="53">
    <dxf>
      <numFmt numFmtId="1" formatCode="0"/>
      <fill>
        <patternFill patternType="none">
          <fgColor indexed="64"/>
          <bgColor auto="1"/>
        </patternFill>
      </fill>
    </dxf>
    <dxf>
      <numFmt numFmtId="165"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5"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5"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5"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5"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5"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auto="1"/>
        </patternFill>
      </fill>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auto="1"/>
        </patternFill>
      </fill>
      <border diagonalUp="0" diagonalDown="0">
        <left style="thin">
          <color indexed="64"/>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border>
    </dxf>
    <dxf>
      <border outline="0">
        <left style="thin">
          <color rgb="FF9BC2E6"/>
        </left>
        <top style="thin">
          <color rgb="FF9BC2E6"/>
        </top>
      </border>
    </dxf>
    <dxf>
      <fill>
        <patternFill patternType="none">
          <fgColor rgb="FF000000"/>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theme="4" tint="0.39997558519241921"/>
        </left>
        <right style="thin">
          <color theme="4" tint="0.39997558519241921"/>
        </right>
        <top/>
        <bottom/>
      </border>
    </dxf>
    <dxf>
      <font>
        <color rgb="FF9C0006"/>
      </font>
      <fill>
        <patternFill>
          <bgColor rgb="FFFFC7CE"/>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general" vertical="center" textRotation="0" wrapText="0" indent="0" justifyLastLine="0" shrinkToFit="0" readingOrder="0"/>
    </dxf>
  </dxfs>
  <tableStyles count="0" defaultTableStyle="TableStyleMedium2" defaultPivotStyle="PivotStyleLight16"/>
  <colors>
    <mruColors>
      <color rgb="FF9E480E"/>
      <color rgb="FF63BE7B"/>
      <color rgb="FFFF9900"/>
      <color rgb="FFFF33CC"/>
      <color rgb="FF255E91"/>
      <color rgb="FF000000"/>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Octocrylene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6.8425196850393699E-3"/>
                  <c:y val="-0.3363054097404490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Notes'!$W$20:$W$24</c:f>
              <c:numCache>
                <c:formatCode>General</c:formatCode>
                <c:ptCount val="5"/>
                <c:pt idx="0">
                  <c:v>2.2116554240849276E-3</c:v>
                </c:pt>
                <c:pt idx="1">
                  <c:v>2.1922613175490518E-3</c:v>
                </c:pt>
                <c:pt idx="2">
                  <c:v>2.0931449502878076E-3</c:v>
                </c:pt>
                <c:pt idx="3">
                  <c:v>1.7539244058581076E-3</c:v>
                </c:pt>
                <c:pt idx="4">
                  <c:v>1.7236921485822632E-3</c:v>
                </c:pt>
              </c:numCache>
            </c:numRef>
          </c:xVal>
          <c:yVal>
            <c:numRef>
              <c:f>'Table S4 Conversions and Notes'!$Y$20:$Y$24</c:f>
              <c:numCache>
                <c:formatCode>General</c:formatCode>
                <c:ptCount val="5"/>
                <c:pt idx="0">
                  <c:v>3.4011973816621555</c:v>
                </c:pt>
                <c:pt idx="1">
                  <c:v>3.4011973816621555</c:v>
                </c:pt>
                <c:pt idx="2">
                  <c:v>4.6101577274991303</c:v>
                </c:pt>
                <c:pt idx="3">
                  <c:v>8.5171931914162382</c:v>
                </c:pt>
                <c:pt idx="4">
                  <c:v>8.8536654280374503</c:v>
                </c:pt>
              </c:numCache>
            </c:numRef>
          </c:yVal>
          <c:smooth val="0"/>
          <c:extLst>
            <c:ext xmlns:c16="http://schemas.microsoft.com/office/drawing/2014/chart" uri="{C3380CC4-5D6E-409C-BE32-E72D297353CC}">
              <c16:uniqueId val="{00000000-D828-41FB-B541-7723BACAFB7C}"/>
            </c:ext>
          </c:extLst>
        </c:ser>
        <c:dLbls>
          <c:showLegendKey val="0"/>
          <c:showVal val="0"/>
          <c:showCatName val="0"/>
          <c:showSerName val="0"/>
          <c:showPercent val="0"/>
          <c:showBubbleSize val="0"/>
        </c:dLbls>
        <c:axId val="660218496"/>
        <c:axId val="344814576"/>
      </c:scatterChart>
      <c:valAx>
        <c:axId val="660218496"/>
        <c:scaling>
          <c:orientation val="minMax"/>
          <c:min val="1.5000000000000005E-3"/>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14576"/>
        <c:crosses val="autoZero"/>
        <c:crossBetween val="midCat"/>
      </c:valAx>
      <c:valAx>
        <c:axId val="34481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218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2-ethylhexyl salicylate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Notes'!$V$62:$V$64</c:f>
              <c:numCache>
                <c:formatCode>General</c:formatCode>
                <c:ptCount val="3"/>
                <c:pt idx="0">
                  <c:v>3.4112229234180458E-3</c:v>
                </c:pt>
                <c:pt idx="1">
                  <c:v>3.3540164346805303E-3</c:v>
                </c:pt>
                <c:pt idx="2">
                  <c:v>3.0945381401825778E-3</c:v>
                </c:pt>
              </c:numCache>
            </c:numRef>
          </c:xVal>
          <c:yVal>
            <c:numRef>
              <c:f>'Table S4 Conversions and Notes'!$X$62:$X$64</c:f>
              <c:numCache>
                <c:formatCode>General</c:formatCode>
                <c:ptCount val="3"/>
                <c:pt idx="0">
                  <c:v>-4.0173835210859723</c:v>
                </c:pt>
                <c:pt idx="1">
                  <c:v>-2.9565115604007097</c:v>
                </c:pt>
                <c:pt idx="2">
                  <c:v>-0.24462258299133391</c:v>
                </c:pt>
              </c:numCache>
            </c:numRef>
          </c:yVal>
          <c:smooth val="0"/>
          <c:extLst>
            <c:ext xmlns:c16="http://schemas.microsoft.com/office/drawing/2014/chart" uri="{C3380CC4-5D6E-409C-BE32-E72D297353CC}">
              <c16:uniqueId val="{00000000-960F-46B4-891A-A593DF631E6C}"/>
            </c:ext>
          </c:extLst>
        </c:ser>
        <c:dLbls>
          <c:showLegendKey val="0"/>
          <c:showVal val="0"/>
          <c:showCatName val="0"/>
          <c:showSerName val="0"/>
          <c:showPercent val="0"/>
          <c:showBubbleSize val="0"/>
        </c:dLbls>
        <c:axId val="1527670080"/>
        <c:axId val="1512142672"/>
      </c:scatterChart>
      <c:valAx>
        <c:axId val="1527670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142672"/>
        <c:crosses val="autoZero"/>
        <c:crossBetween val="midCat"/>
      </c:valAx>
      <c:valAx>
        <c:axId val="151214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670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Cyclopentadecanone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6409329289246816E-3"/>
                  <c:y val="0.1083518223555280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Notes'!$W$4:$W$11</c:f>
              <c:numCache>
                <c:formatCode>General</c:formatCode>
                <c:ptCount val="8"/>
                <c:pt idx="0">
                  <c:v>2.9141774734081308E-3</c:v>
                </c:pt>
                <c:pt idx="1">
                  <c:v>2.9141774734081308E-3</c:v>
                </c:pt>
                <c:pt idx="2">
                  <c:v>2.831657935721365E-3</c:v>
                </c:pt>
                <c:pt idx="3">
                  <c:v>2.831657935721365E-3</c:v>
                </c:pt>
                <c:pt idx="4">
                  <c:v>2.7536830510808208E-3</c:v>
                </c:pt>
                <c:pt idx="5">
                  <c:v>2.7536830510808208E-3</c:v>
                </c:pt>
                <c:pt idx="6">
                  <c:v>2.6798874447273215E-3</c:v>
                </c:pt>
                <c:pt idx="7">
                  <c:v>2.6798874447273215E-3</c:v>
                </c:pt>
              </c:numCache>
            </c:numRef>
          </c:xVal>
          <c:yVal>
            <c:numRef>
              <c:f>'Table S4 Conversions and Notes'!$Y$4:$Y$11</c:f>
              <c:numCache>
                <c:formatCode>0.00</c:formatCode>
                <c:ptCount val="8"/>
                <c:pt idx="0">
                  <c:v>2.9444389791664403</c:v>
                </c:pt>
                <c:pt idx="1">
                  <c:v>3.2188758248682006</c:v>
                </c:pt>
                <c:pt idx="2">
                  <c:v>3.7612001156935624</c:v>
                </c:pt>
                <c:pt idx="3">
                  <c:v>3.912023005428146</c:v>
                </c:pt>
                <c:pt idx="4">
                  <c:v>4.3694478524670215</c:v>
                </c:pt>
                <c:pt idx="5">
                  <c:v>4.3694478524670215</c:v>
                </c:pt>
                <c:pt idx="6">
                  <c:v>5.0106352940962555</c:v>
                </c:pt>
                <c:pt idx="7">
                  <c:v>5.0751738152338266</c:v>
                </c:pt>
              </c:numCache>
            </c:numRef>
          </c:yVal>
          <c:smooth val="0"/>
          <c:extLst>
            <c:ext xmlns:c16="http://schemas.microsoft.com/office/drawing/2014/chart" uri="{C3380CC4-5D6E-409C-BE32-E72D297353CC}">
              <c16:uniqueId val="{00000000-C05A-40C6-AE5B-98196C760C2F}"/>
            </c:ext>
          </c:extLst>
        </c:ser>
        <c:dLbls>
          <c:showLegendKey val="0"/>
          <c:showVal val="0"/>
          <c:showCatName val="0"/>
          <c:showSerName val="0"/>
          <c:showPercent val="0"/>
          <c:showBubbleSize val="0"/>
        </c:dLbls>
        <c:axId val="1196788864"/>
        <c:axId val="888392672"/>
      </c:scatterChart>
      <c:valAx>
        <c:axId val="1196788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392672"/>
        <c:crosses val="autoZero"/>
        <c:crossBetween val="midCat"/>
      </c:valAx>
      <c:valAx>
        <c:axId val="88839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788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Paasivirta Sw Regressions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Notes'!$AF$47</c:f>
              <c:strCache>
                <c:ptCount val="1"/>
                <c:pt idx="0">
                  <c:v>Galaxolide 1 Sw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38243877481422"/>
                  <c:y val="-0.1399355745812438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trendlineLbl>
          </c:trendline>
          <c:xVal>
            <c:numRef>
              <c:f>'Table S4 Conversions and Notes'!$U$48:$U$51</c:f>
              <c:numCache>
                <c:formatCode>0.00E+00</c:formatCode>
                <c:ptCount val="4"/>
                <c:pt idx="0">
                  <c:v>3.5951824555096176E-3</c:v>
                </c:pt>
                <c:pt idx="1">
                  <c:v>3.5316969803990822E-3</c:v>
                </c:pt>
                <c:pt idx="2">
                  <c:v>3.4704147145583901E-3</c:v>
                </c:pt>
                <c:pt idx="3">
                  <c:v>3.4112229234180458E-3</c:v>
                </c:pt>
              </c:numCache>
            </c:numRef>
          </c:xVal>
          <c:yVal>
            <c:numRef>
              <c:f>'Table S4 Conversions and Notes'!$AF$48:$AF$51</c:f>
              <c:numCache>
                <c:formatCode>0.00E+00</c:formatCode>
                <c:ptCount val="4"/>
                <c:pt idx="0">
                  <c:v>-7.9779300552380734</c:v>
                </c:pt>
                <c:pt idx="1">
                  <c:v>-7.7565526166423471</c:v>
                </c:pt>
                <c:pt idx="2">
                  <c:v>-7.5925809270000553</c:v>
                </c:pt>
                <c:pt idx="3">
                  <c:v>-7.4662334777772861</c:v>
                </c:pt>
              </c:numCache>
            </c:numRef>
          </c:yVal>
          <c:smooth val="0"/>
          <c:extLst>
            <c:ext xmlns:c16="http://schemas.microsoft.com/office/drawing/2014/chart" uri="{C3380CC4-5D6E-409C-BE32-E72D297353CC}">
              <c16:uniqueId val="{00000000-BDCA-44FA-9DAB-7908973C3AFF}"/>
            </c:ext>
          </c:extLst>
        </c:ser>
        <c:ser>
          <c:idx val="1"/>
          <c:order val="1"/>
          <c:tx>
            <c:strRef>
              <c:f>'Table S4 Conversions and Notes'!$AG$47</c:f>
              <c:strCache>
                <c:ptCount val="1"/>
                <c:pt idx="0">
                  <c:v>Phantolide Sw</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34659835673683892"/>
                  <c:y val="1.070858866134456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trendlineLbl>
          </c:trendline>
          <c:xVal>
            <c:numRef>
              <c:f>'Table S4 Conversions and Notes'!$U$49:$U$51</c:f>
              <c:numCache>
                <c:formatCode>0.00E+00</c:formatCode>
                <c:ptCount val="3"/>
                <c:pt idx="0">
                  <c:v>3.5316969803990822E-3</c:v>
                </c:pt>
                <c:pt idx="1">
                  <c:v>3.4704147145583901E-3</c:v>
                </c:pt>
                <c:pt idx="2">
                  <c:v>3.4112229234180458E-3</c:v>
                </c:pt>
              </c:numCache>
            </c:numRef>
          </c:xVal>
          <c:yVal>
            <c:numRef>
              <c:f>'Table S4 Conversions and Notes'!$AG$49:$AG$51</c:f>
              <c:numCache>
                <c:formatCode>0.00E+00</c:formatCode>
                <c:ptCount val="3"/>
                <c:pt idx="0">
                  <c:v>-9.6476312147419634</c:v>
                </c:pt>
                <c:pt idx="1">
                  <c:v>-9.8092519650043073</c:v>
                </c:pt>
                <c:pt idx="2">
                  <c:v>-9.9367138654120843</c:v>
                </c:pt>
              </c:numCache>
            </c:numRef>
          </c:yVal>
          <c:smooth val="0"/>
          <c:extLst>
            <c:ext xmlns:c16="http://schemas.microsoft.com/office/drawing/2014/chart" uri="{C3380CC4-5D6E-409C-BE32-E72D297353CC}">
              <c16:uniqueId val="{00000001-BDCA-44FA-9DAB-7908973C3AFF}"/>
            </c:ext>
          </c:extLst>
        </c:ser>
        <c:ser>
          <c:idx val="2"/>
          <c:order val="2"/>
          <c:tx>
            <c:strRef>
              <c:f>'Table S4 Conversions and Notes'!$AH$47</c:f>
              <c:strCache>
                <c:ptCount val="1"/>
                <c:pt idx="0">
                  <c:v>Celestolide Sw</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0.32270909360251698"/>
                  <c:y val="0.1031723425424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trendlineLbl>
          </c:trendline>
          <c:xVal>
            <c:numRef>
              <c:f>'Table S4 Conversions and Notes'!$U$49:$U$51</c:f>
              <c:numCache>
                <c:formatCode>0.00E+00</c:formatCode>
                <c:ptCount val="3"/>
                <c:pt idx="0">
                  <c:v>3.5316969803990822E-3</c:v>
                </c:pt>
                <c:pt idx="1">
                  <c:v>3.4704147145583901E-3</c:v>
                </c:pt>
                <c:pt idx="2">
                  <c:v>3.4112229234180458E-3</c:v>
                </c:pt>
              </c:numCache>
            </c:numRef>
          </c:xVal>
          <c:yVal>
            <c:numRef>
              <c:f>'Table S4 Conversions and Notes'!$AH$49:$AH$51</c:f>
              <c:numCache>
                <c:formatCode>0.00E+00</c:formatCode>
                <c:ptCount val="3"/>
                <c:pt idx="0">
                  <c:v>-10.053187829756098</c:v>
                </c:pt>
                <c:pt idx="1">
                  <c:v>-10.256653458913425</c:v>
                </c:pt>
                <c:pt idx="2">
                  <c:v>-10.370032748892449</c:v>
                </c:pt>
              </c:numCache>
            </c:numRef>
          </c:yVal>
          <c:smooth val="0"/>
          <c:extLst>
            <c:ext xmlns:c16="http://schemas.microsoft.com/office/drawing/2014/chart" uri="{C3380CC4-5D6E-409C-BE32-E72D297353CC}">
              <c16:uniqueId val="{00000002-BDCA-44FA-9DAB-7908973C3AFF}"/>
            </c:ext>
          </c:extLst>
        </c:ser>
        <c:ser>
          <c:idx val="3"/>
          <c:order val="3"/>
          <c:tx>
            <c:strRef>
              <c:f>'Table S4 Conversions and Notes'!$AI$47</c:f>
              <c:strCache>
                <c:ptCount val="1"/>
                <c:pt idx="0">
                  <c:v>Tonalide Sw</c:v>
                </c:pt>
              </c:strCache>
            </c:strRef>
          </c:tx>
          <c:spPr>
            <a:ln w="254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inear"/>
            <c:dispRSqr val="1"/>
            <c:dispEq val="1"/>
            <c:trendlineLbl>
              <c:layout>
                <c:manualLayout>
                  <c:x val="0.10959337568518158"/>
                  <c:y val="0.14295713035870516"/>
                </c:manualLayout>
              </c:layout>
              <c:numFmt formatCode="General" sourceLinked="0"/>
              <c:spPr>
                <a:solidFill>
                  <a:srgbClr val="FFFF0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Notes'!$U$49:$U$51</c:f>
              <c:numCache>
                <c:formatCode>0.00E+00</c:formatCode>
                <c:ptCount val="3"/>
                <c:pt idx="0">
                  <c:v>3.5316969803990822E-3</c:v>
                </c:pt>
                <c:pt idx="1">
                  <c:v>3.4704147145583901E-3</c:v>
                </c:pt>
                <c:pt idx="2">
                  <c:v>3.4112229234180458E-3</c:v>
                </c:pt>
              </c:numCache>
            </c:numRef>
          </c:xVal>
          <c:yVal>
            <c:numRef>
              <c:f>'Table S4 Conversions and Notes'!$AI$49:$AI$51</c:f>
              <c:numCache>
                <c:formatCode>0.00E+00</c:formatCode>
                <c:ptCount val="3"/>
                <c:pt idx="0">
                  <c:v>-10.586335289943216</c:v>
                </c:pt>
                <c:pt idx="1">
                  <c:v>-10.83624175784114</c:v>
                </c:pt>
                <c:pt idx="2">
                  <c:v>-11.0059422791948</c:v>
                </c:pt>
              </c:numCache>
            </c:numRef>
          </c:yVal>
          <c:smooth val="0"/>
          <c:extLst>
            <c:ext xmlns:c16="http://schemas.microsoft.com/office/drawing/2014/chart" uri="{C3380CC4-5D6E-409C-BE32-E72D297353CC}">
              <c16:uniqueId val="{00000003-BDCA-44FA-9DAB-7908973C3AFF}"/>
            </c:ext>
          </c:extLst>
        </c:ser>
        <c:ser>
          <c:idx val="4"/>
          <c:order val="4"/>
          <c:tx>
            <c:strRef>
              <c:f>'Table S4 Conversions and Notes'!$AJ$47</c:f>
              <c:strCache>
                <c:ptCount val="1"/>
                <c:pt idx="0">
                  <c:v>Traseolide Sw</c:v>
                </c:pt>
              </c:strCache>
            </c:strRef>
          </c:tx>
          <c:spPr>
            <a:ln w="2540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1"/>
            <c:dispEq val="1"/>
            <c:trendlineLbl>
              <c:layout>
                <c:manualLayout>
                  <c:x val="-8.2443580643046327E-2"/>
                  <c:y val="0.1076148225754524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accent5"/>
                      </a:solidFill>
                      <a:latin typeface="+mn-lt"/>
                      <a:ea typeface="+mn-ea"/>
                      <a:cs typeface="+mn-cs"/>
                    </a:defRPr>
                  </a:pPr>
                  <a:endParaRPr lang="en-US"/>
                </a:p>
              </c:txPr>
            </c:trendlineLbl>
          </c:trendline>
          <c:xVal>
            <c:numRef>
              <c:f>'Table S4 Conversions and Notes'!$U$49:$U$51</c:f>
              <c:numCache>
                <c:formatCode>0.00E+00</c:formatCode>
                <c:ptCount val="3"/>
                <c:pt idx="0">
                  <c:v>3.5316969803990822E-3</c:v>
                </c:pt>
                <c:pt idx="1">
                  <c:v>3.4704147145583901E-3</c:v>
                </c:pt>
                <c:pt idx="2">
                  <c:v>3.4112229234180458E-3</c:v>
                </c:pt>
              </c:numCache>
            </c:numRef>
          </c:xVal>
          <c:yVal>
            <c:numRef>
              <c:f>'Table S4 Conversions and Notes'!$AJ$49:$AJ$51</c:f>
              <c:numCache>
                <c:formatCode>0.00E+00</c:formatCode>
                <c:ptCount val="3"/>
                <c:pt idx="0">
                  <c:v>-11.224289515808147</c:v>
                </c:pt>
                <c:pt idx="1">
                  <c:v>-11.527680430246136</c:v>
                </c:pt>
                <c:pt idx="2">
                  <c:v>-11.760029686809979</c:v>
                </c:pt>
              </c:numCache>
            </c:numRef>
          </c:yVal>
          <c:smooth val="0"/>
          <c:extLst>
            <c:ext xmlns:c16="http://schemas.microsoft.com/office/drawing/2014/chart" uri="{C3380CC4-5D6E-409C-BE32-E72D297353CC}">
              <c16:uniqueId val="{00000004-BDCA-44FA-9DAB-7908973C3AFF}"/>
            </c:ext>
          </c:extLst>
        </c:ser>
        <c:ser>
          <c:idx val="5"/>
          <c:order val="5"/>
          <c:tx>
            <c:strRef>
              <c:f>'Table S4 Conversions and Notes'!$AK$47</c:f>
              <c:strCache>
                <c:ptCount val="1"/>
                <c:pt idx="0">
                  <c:v>Ambrette Sw</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inear"/>
            <c:dispRSqr val="1"/>
            <c:dispEq val="1"/>
            <c:trendlineLbl>
              <c:layout>
                <c:manualLayout>
                  <c:x val="-6.1008097738997916E-2"/>
                  <c:y val="-0.12386305142210659"/>
                </c:manualLayout>
              </c:layout>
              <c:numFmt formatCode="General" sourceLinked="0"/>
              <c:spPr>
                <a:solidFill>
                  <a:srgbClr val="92D05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Notes'!$U$48:$U$51</c:f>
              <c:numCache>
                <c:formatCode>0.00E+00</c:formatCode>
                <c:ptCount val="4"/>
                <c:pt idx="0">
                  <c:v>3.5951824555096176E-3</c:v>
                </c:pt>
                <c:pt idx="1">
                  <c:v>3.5316969803990822E-3</c:v>
                </c:pt>
                <c:pt idx="2">
                  <c:v>3.4704147145583901E-3</c:v>
                </c:pt>
                <c:pt idx="3">
                  <c:v>3.4112229234180458E-3</c:v>
                </c:pt>
              </c:numCache>
            </c:numRef>
          </c:xVal>
          <c:yVal>
            <c:numRef>
              <c:f>'Table S4 Conversions and Notes'!$AK$48:$AK$51</c:f>
              <c:numCache>
                <c:formatCode>0.00E+00</c:formatCode>
                <c:ptCount val="4"/>
                <c:pt idx="0">
                  <c:v>-6.61237045291249</c:v>
                </c:pt>
                <c:pt idx="1">
                  <c:v>-6.4214055582250289</c:v>
                </c:pt>
                <c:pt idx="2">
                  <c:v>-5.8843206775288879</c:v>
                </c:pt>
                <c:pt idx="3">
                  <c:v>-5.6091525485757279</c:v>
                </c:pt>
              </c:numCache>
            </c:numRef>
          </c:yVal>
          <c:smooth val="0"/>
          <c:extLst>
            <c:ext xmlns:c16="http://schemas.microsoft.com/office/drawing/2014/chart" uri="{C3380CC4-5D6E-409C-BE32-E72D297353CC}">
              <c16:uniqueId val="{00000005-BDCA-44FA-9DAB-7908973C3AFF}"/>
            </c:ext>
          </c:extLst>
        </c:ser>
        <c:ser>
          <c:idx val="7"/>
          <c:order val="6"/>
          <c:tx>
            <c:strRef>
              <c:f>'Table S4 Conversions and Notes'!$AM$47</c:f>
              <c:strCache>
                <c:ptCount val="1"/>
                <c:pt idx="0">
                  <c:v>Tibetine Sw</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1"/>
            <c:dispEq val="1"/>
            <c:trendlineLbl>
              <c:layout>
                <c:manualLayout>
                  <c:x val="0.20838057275900981"/>
                  <c:y val="-2.081730428187121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trendlineLbl>
          </c:trendline>
          <c:xVal>
            <c:numRef>
              <c:f>'Table S4 Conversions and Notes'!$U$48:$U$51</c:f>
              <c:numCache>
                <c:formatCode>0.00E+00</c:formatCode>
                <c:ptCount val="4"/>
                <c:pt idx="0">
                  <c:v>3.5951824555096176E-3</c:v>
                </c:pt>
                <c:pt idx="1">
                  <c:v>3.5316969803990822E-3</c:v>
                </c:pt>
                <c:pt idx="2">
                  <c:v>3.4704147145583901E-3</c:v>
                </c:pt>
                <c:pt idx="3">
                  <c:v>3.4112229234180458E-3</c:v>
                </c:pt>
              </c:numCache>
            </c:numRef>
          </c:xVal>
          <c:yVal>
            <c:numRef>
              <c:f>'Table S4 Conversions and Notes'!$AM$48:$AM$51</c:f>
              <c:numCache>
                <c:formatCode>0.00E+00</c:formatCode>
                <c:ptCount val="4"/>
                <c:pt idx="0">
                  <c:v>-8.2510419757031901</c:v>
                </c:pt>
                <c:pt idx="1">
                  <c:v>-7.993507043392178</c:v>
                </c:pt>
                <c:pt idx="2">
                  <c:v>-7.892543292234576</c:v>
                </c:pt>
                <c:pt idx="3">
                  <c:v>-7.7082167503702159</c:v>
                </c:pt>
              </c:numCache>
            </c:numRef>
          </c:yVal>
          <c:smooth val="0"/>
          <c:extLst>
            <c:ext xmlns:c16="http://schemas.microsoft.com/office/drawing/2014/chart" uri="{C3380CC4-5D6E-409C-BE32-E72D297353CC}">
              <c16:uniqueId val="{00000007-BDCA-44FA-9DAB-7908973C3AFF}"/>
            </c:ext>
          </c:extLst>
        </c:ser>
        <c:dLbls>
          <c:showLegendKey val="0"/>
          <c:showVal val="0"/>
          <c:showCatName val="0"/>
          <c:showSerName val="0"/>
          <c:showPercent val="0"/>
          <c:showBubbleSize val="0"/>
        </c:dLbls>
        <c:axId val="798026640"/>
        <c:axId val="648531488"/>
      </c:scatterChart>
      <c:valAx>
        <c:axId val="798026640"/>
        <c:scaling>
          <c:orientation val="minMax"/>
        </c:scaling>
        <c:delete val="0"/>
        <c:axPos val="b"/>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31488"/>
        <c:crosses val="autoZero"/>
        <c:crossBetween val="midCat"/>
      </c:valAx>
      <c:valAx>
        <c:axId val="648531488"/>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026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Notes'!$X$78</c:f>
              <c:strCache>
                <c:ptCount val="1"/>
                <c:pt idx="0">
                  <c:v>lnP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0466382327209098"/>
                  <c:y val="-5.72860163312919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Notes'!$V$84:$V$89</c:f>
              <c:numCache>
                <c:formatCode>General</c:formatCode>
                <c:ptCount val="6"/>
                <c:pt idx="0">
                  <c:v>2.8723251472066642E-3</c:v>
                </c:pt>
                <c:pt idx="1">
                  <c:v>2.831657935721365E-3</c:v>
                </c:pt>
                <c:pt idx="2">
                  <c:v>2.7921262041044259E-3</c:v>
                </c:pt>
                <c:pt idx="3">
                  <c:v>2.7536830510808208E-3</c:v>
                </c:pt>
                <c:pt idx="4">
                  <c:v>2.7162841233192994E-3</c:v>
                </c:pt>
                <c:pt idx="5">
                  <c:v>2.6798874447273215E-3</c:v>
                </c:pt>
              </c:numCache>
            </c:numRef>
          </c:xVal>
          <c:yVal>
            <c:numRef>
              <c:f>'Table S4 Conversions and Notes'!$X$84:$X$89</c:f>
              <c:numCache>
                <c:formatCode>General</c:formatCode>
                <c:ptCount val="6"/>
                <c:pt idx="0">
                  <c:v>-3.4420193761824103</c:v>
                </c:pt>
                <c:pt idx="1">
                  <c:v>-2.9187712324178627</c:v>
                </c:pt>
                <c:pt idx="2">
                  <c:v>-2.3968957724652871</c:v>
                </c:pt>
                <c:pt idx="3">
                  <c:v>-1.8971199848858813</c:v>
                </c:pt>
                <c:pt idx="4">
                  <c:v>-1.3470736479666092</c:v>
                </c:pt>
                <c:pt idx="5">
                  <c:v>-0.86750056770472306</c:v>
                </c:pt>
              </c:numCache>
            </c:numRef>
          </c:yVal>
          <c:smooth val="0"/>
          <c:extLst>
            <c:ext xmlns:c16="http://schemas.microsoft.com/office/drawing/2014/chart" uri="{C3380CC4-5D6E-409C-BE32-E72D297353CC}">
              <c16:uniqueId val="{00000000-E1C4-4B5F-832F-2D285FED2F34}"/>
            </c:ext>
          </c:extLst>
        </c:ser>
        <c:dLbls>
          <c:showLegendKey val="0"/>
          <c:showVal val="0"/>
          <c:showCatName val="0"/>
          <c:showSerName val="0"/>
          <c:showPercent val="0"/>
          <c:showBubbleSize val="0"/>
        </c:dLbls>
        <c:axId val="689919824"/>
        <c:axId val="1288517520"/>
      </c:scatterChart>
      <c:valAx>
        <c:axId val="689919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517520"/>
        <c:crosses val="autoZero"/>
        <c:crossBetween val="midCat"/>
      </c:valAx>
      <c:valAx>
        <c:axId val="128851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9198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Notes'!$X$98</c:f>
              <c:strCache>
                <c:ptCount val="1"/>
                <c:pt idx="0">
                  <c:v>lnH</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Notes'!$V$99:$V$104</c:f>
              <c:numCache>
                <c:formatCode>General</c:formatCode>
                <c:ptCount val="6"/>
                <c:pt idx="0">
                  <c:v>3.5316969803990822E-3</c:v>
                </c:pt>
                <c:pt idx="1">
                  <c:v>3.4112229234180458E-3</c:v>
                </c:pt>
                <c:pt idx="2">
                  <c:v>3.2451728054518907E-3</c:v>
                </c:pt>
                <c:pt idx="3">
                  <c:v>3.1923383878691143E-3</c:v>
                </c:pt>
                <c:pt idx="4">
                  <c:v>3.1431714600031434E-3</c:v>
                </c:pt>
                <c:pt idx="5">
                  <c:v>3.0473868657626088E-3</c:v>
                </c:pt>
              </c:numCache>
            </c:numRef>
          </c:xVal>
          <c:yVal>
            <c:numRef>
              <c:f>'Table S4 Conversions and Notes'!$X$99:$X$104</c:f>
              <c:numCache>
                <c:formatCode>General</c:formatCode>
                <c:ptCount val="6"/>
                <c:pt idx="0">
                  <c:v>-3.8167128256238212</c:v>
                </c:pt>
                <c:pt idx="1">
                  <c:v>-3.3813947543659757</c:v>
                </c:pt>
                <c:pt idx="2">
                  <c:v>-2.6036901857779675</c:v>
                </c:pt>
                <c:pt idx="3">
                  <c:v>-2.3859667019330968</c:v>
                </c:pt>
                <c:pt idx="4">
                  <c:v>-2.2072749131897207</c:v>
                </c:pt>
                <c:pt idx="5">
                  <c:v>-1.4312917270506265</c:v>
                </c:pt>
              </c:numCache>
            </c:numRef>
          </c:yVal>
          <c:smooth val="0"/>
          <c:extLst>
            <c:ext xmlns:c16="http://schemas.microsoft.com/office/drawing/2014/chart" uri="{C3380CC4-5D6E-409C-BE32-E72D297353CC}">
              <c16:uniqueId val="{00000000-7ED9-4015-BF3A-0E665E0652EE}"/>
            </c:ext>
          </c:extLst>
        </c:ser>
        <c:dLbls>
          <c:showLegendKey val="0"/>
          <c:showVal val="0"/>
          <c:showCatName val="0"/>
          <c:showSerName val="0"/>
          <c:showPercent val="0"/>
          <c:showBubbleSize val="0"/>
        </c:dLbls>
        <c:axId val="695369280"/>
        <c:axId val="978074208"/>
      </c:scatterChart>
      <c:valAx>
        <c:axId val="69536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074208"/>
        <c:crosses val="autoZero"/>
        <c:crossBetween val="midCat"/>
      </c:valAx>
      <c:valAx>
        <c:axId val="97807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69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BkF, Hu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Notes'!$X$113</c:f>
              <c:strCache>
                <c:ptCount val="1"/>
                <c:pt idx="0">
                  <c:v>lnH</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525853018372703"/>
                  <c:y val="-2.209244677748614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Notes'!$V$114:$V$119</c:f>
              <c:numCache>
                <c:formatCode>General</c:formatCode>
                <c:ptCount val="6"/>
                <c:pt idx="0">
                  <c:v>3.5316969803990822E-3</c:v>
                </c:pt>
                <c:pt idx="1">
                  <c:v>3.4112229234180458E-3</c:v>
                </c:pt>
                <c:pt idx="2">
                  <c:v>3.2451728054518907E-3</c:v>
                </c:pt>
                <c:pt idx="3">
                  <c:v>3.1923383878691143E-3</c:v>
                </c:pt>
                <c:pt idx="4">
                  <c:v>3.1431714600031434E-3</c:v>
                </c:pt>
                <c:pt idx="5">
                  <c:v>3.0473868657626088E-3</c:v>
                </c:pt>
              </c:numCache>
            </c:numRef>
          </c:xVal>
          <c:yVal>
            <c:numRef>
              <c:f>'Table S4 Conversions and Notes'!$X$114:$X$119</c:f>
              <c:numCache>
                <c:formatCode>General</c:formatCode>
                <c:ptCount val="6"/>
                <c:pt idx="0">
                  <c:v>-3.8167128256238212</c:v>
                </c:pt>
                <c:pt idx="1">
                  <c:v>-3.1465551632885749</c:v>
                </c:pt>
                <c:pt idx="2">
                  <c:v>-2.234926444520231</c:v>
                </c:pt>
                <c:pt idx="3">
                  <c:v>-1.9805015938249322</c:v>
                </c:pt>
                <c:pt idx="4">
                  <c:v>-1.6194882482876019</c:v>
                </c:pt>
                <c:pt idx="5">
                  <c:v>-0.90881871703545403</c:v>
                </c:pt>
              </c:numCache>
            </c:numRef>
          </c:yVal>
          <c:smooth val="0"/>
          <c:extLst>
            <c:ext xmlns:c16="http://schemas.microsoft.com/office/drawing/2014/chart" uri="{C3380CC4-5D6E-409C-BE32-E72D297353CC}">
              <c16:uniqueId val="{00000000-F9B7-4072-B309-74144DA77858}"/>
            </c:ext>
          </c:extLst>
        </c:ser>
        <c:dLbls>
          <c:showLegendKey val="0"/>
          <c:showVal val="0"/>
          <c:showCatName val="0"/>
          <c:showSerName val="0"/>
          <c:showPercent val="0"/>
          <c:showBubbleSize val="0"/>
        </c:dLbls>
        <c:axId val="1818415024"/>
        <c:axId val="1901811376"/>
      </c:scatterChart>
      <c:valAx>
        <c:axId val="1818415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811376"/>
        <c:crosses val="autoZero"/>
        <c:crossBetween val="midCat"/>
      </c:valAx>
      <c:valAx>
        <c:axId val="190181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415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Aldrin,</a:t>
            </a:r>
            <a:r>
              <a:rPr lang="en-CA" baseline="0"/>
              <a:t> Gra</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Notes'!$X$128</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Notes'!$V$129:$V$135</c:f>
              <c:numCache>
                <c:formatCode>General</c:formatCode>
                <c:ptCount val="7"/>
                <c:pt idx="0">
                  <c:v>2.9141774734081308E-3</c:v>
                </c:pt>
                <c:pt idx="1">
                  <c:v>2.972209838014564E-3</c:v>
                </c:pt>
                <c:pt idx="2">
                  <c:v>3.0868961259453622E-3</c:v>
                </c:pt>
                <c:pt idx="3">
                  <c:v>3.1372549019607842E-3</c:v>
                </c:pt>
                <c:pt idx="4">
                  <c:v>3.177124702144559E-3</c:v>
                </c:pt>
                <c:pt idx="5">
                  <c:v>3.1831927423205475E-3</c:v>
                </c:pt>
                <c:pt idx="6">
                  <c:v>3.2399157621901833E-3</c:v>
                </c:pt>
              </c:numCache>
            </c:numRef>
          </c:xVal>
          <c:yVal>
            <c:numRef>
              <c:f>'Table S4 Conversions and Notes'!$X$129:$X$135</c:f>
              <c:numCache>
                <c:formatCode>0.000</c:formatCode>
                <c:ptCount val="7"/>
                <c:pt idx="0">
                  <c:v>0.79434906106891268</c:v>
                </c:pt>
                <c:pt idx="1">
                  <c:v>2.9558802241544429E-2</c:v>
                </c:pt>
                <c:pt idx="2">
                  <c:v>-1.1116975282167652</c:v>
                </c:pt>
                <c:pt idx="3">
                  <c:v>-1.8140050781753747</c:v>
                </c:pt>
                <c:pt idx="4">
                  <c:v>-2.1892564076870427</c:v>
                </c:pt>
                <c:pt idx="5">
                  <c:v>-2.2926347621408776</c:v>
                </c:pt>
                <c:pt idx="6">
                  <c:v>-2.7646205525906042</c:v>
                </c:pt>
              </c:numCache>
            </c:numRef>
          </c:yVal>
          <c:smooth val="0"/>
          <c:extLst>
            <c:ext xmlns:c16="http://schemas.microsoft.com/office/drawing/2014/chart" uri="{C3380CC4-5D6E-409C-BE32-E72D297353CC}">
              <c16:uniqueId val="{00000000-593C-4B1E-8443-B8E4BC90B6CB}"/>
            </c:ext>
          </c:extLst>
        </c:ser>
        <c:dLbls>
          <c:showLegendKey val="0"/>
          <c:showVal val="0"/>
          <c:showCatName val="0"/>
          <c:showSerName val="0"/>
          <c:showPercent val="0"/>
          <c:showBubbleSize val="0"/>
        </c:dLbls>
        <c:axId val="589178064"/>
        <c:axId val="783662527"/>
      </c:scatterChart>
      <c:valAx>
        <c:axId val="589178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62527"/>
        <c:crosses val="autoZero"/>
        <c:crossBetween val="midCat"/>
      </c:valAx>
      <c:valAx>
        <c:axId val="78366252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178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Aldrin,</a:t>
            </a:r>
            <a:r>
              <a:rPr lang="en-CA" baseline="0"/>
              <a:t> BR &amp; Ri</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Notes'!$Y$143</c:f>
              <c:strCache>
                <c:ptCount val="1"/>
                <c:pt idx="0">
                  <c:v>lnSws</c:v>
                </c:pt>
              </c:strCache>
            </c:strRef>
          </c:tx>
          <c:spPr>
            <a:ln w="19050" cap="rnd">
              <a:no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9335188202614445"/>
                  <c:y val="-0.35571540544311364"/>
                </c:manualLayout>
              </c:layout>
              <c:numFmt formatCode="General" sourceLinked="0"/>
              <c:spPr>
                <a:noFill/>
                <a:ln>
                  <a:solidFill>
                    <a:schemeClr val="accent3"/>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Notes'!$V$144:$V$150</c:f>
              <c:numCache>
                <c:formatCode>General</c:formatCode>
                <c:ptCount val="7"/>
                <c:pt idx="0">
                  <c:v>3.3540164346805303E-3</c:v>
                </c:pt>
                <c:pt idx="1">
                  <c:v>3.2451728054518907E-3</c:v>
                </c:pt>
                <c:pt idx="2">
                  <c:v>3.1431714600031434E-3</c:v>
                </c:pt>
                <c:pt idx="3">
                  <c:v>3.4704147145583901E-3</c:v>
                </c:pt>
                <c:pt idx="4">
                  <c:v>3.3540164346805303E-3</c:v>
                </c:pt>
                <c:pt idx="5">
                  <c:v>3.2451728054518907E-3</c:v>
                </c:pt>
                <c:pt idx="6">
                  <c:v>3.1431714600031434E-3</c:v>
                </c:pt>
              </c:numCache>
            </c:numRef>
          </c:xVal>
          <c:yVal>
            <c:numRef>
              <c:f>'Table S4 Conversions and Notes'!$Y$144:$Y$150</c:f>
              <c:numCache>
                <c:formatCode>0.000</c:formatCode>
                <c:ptCount val="7"/>
                <c:pt idx="0">
                  <c:v>-7.5090502939090484</c:v>
                </c:pt>
                <c:pt idx="1">
                  <c:v>-6.8412209213333925</c:v>
                </c:pt>
                <c:pt idx="2">
                  <c:v>-6.1353347149960173</c:v>
                </c:pt>
                <c:pt idx="3">
                  <c:v>-8.1534073102995617</c:v>
                </c:pt>
                <c:pt idx="4">
                  <c:v>-7.6144108095668752</c:v>
                </c:pt>
                <c:pt idx="5">
                  <c:v>-6.9494345059736258</c:v>
                </c:pt>
                <c:pt idx="6">
                  <c:v>-6.4104380052409384</c:v>
                </c:pt>
              </c:numCache>
            </c:numRef>
          </c:yVal>
          <c:smooth val="0"/>
          <c:extLst>
            <c:ext xmlns:c16="http://schemas.microsoft.com/office/drawing/2014/chart" uri="{C3380CC4-5D6E-409C-BE32-E72D297353CC}">
              <c16:uniqueId val="{00000000-D875-411F-A55C-2D8D21D8C280}"/>
            </c:ext>
          </c:extLst>
        </c:ser>
        <c:ser>
          <c:idx val="1"/>
          <c:order val="1"/>
          <c:tx>
            <c:strRef>
              <c:f>'Table S4 Conversions and Notes'!$W$152</c:f>
              <c:strCache>
                <c:ptCount val="1"/>
                <c:pt idx="0">
                  <c:v>BR only</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6385554044197369"/>
                  <c:y val="-0.37556644747961354"/>
                </c:manualLayout>
              </c:layout>
              <c:numFmt formatCode="General" sourceLinked="0"/>
              <c:spPr>
                <a:noFill/>
                <a:ln>
                  <a:solidFill>
                    <a:schemeClr val="accent2"/>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Notes'!$V$147:$V$150</c:f>
              <c:numCache>
                <c:formatCode>General</c:formatCode>
                <c:ptCount val="4"/>
                <c:pt idx="0">
                  <c:v>3.4704147145583901E-3</c:v>
                </c:pt>
                <c:pt idx="1">
                  <c:v>3.3540164346805303E-3</c:v>
                </c:pt>
                <c:pt idx="2">
                  <c:v>3.2451728054518907E-3</c:v>
                </c:pt>
                <c:pt idx="3">
                  <c:v>3.1431714600031434E-3</c:v>
                </c:pt>
              </c:numCache>
            </c:numRef>
          </c:xVal>
          <c:yVal>
            <c:numRef>
              <c:f>'Table S4 Conversions and Notes'!$Y$147:$Y$150</c:f>
              <c:numCache>
                <c:formatCode>0.000</c:formatCode>
                <c:ptCount val="4"/>
                <c:pt idx="0">
                  <c:v>-8.1534073102995617</c:v>
                </c:pt>
                <c:pt idx="1">
                  <c:v>-7.6144108095668752</c:v>
                </c:pt>
                <c:pt idx="2">
                  <c:v>-6.9494345059736258</c:v>
                </c:pt>
                <c:pt idx="3">
                  <c:v>-6.4104380052409384</c:v>
                </c:pt>
              </c:numCache>
            </c:numRef>
          </c:yVal>
          <c:smooth val="0"/>
          <c:extLst>
            <c:ext xmlns:c16="http://schemas.microsoft.com/office/drawing/2014/chart" uri="{C3380CC4-5D6E-409C-BE32-E72D297353CC}">
              <c16:uniqueId val="{00000002-D875-411F-A55C-2D8D21D8C280}"/>
            </c:ext>
          </c:extLst>
        </c:ser>
        <c:ser>
          <c:idx val="2"/>
          <c:order val="2"/>
          <c:tx>
            <c:strRef>
              <c:f>'Table S4 Conversions and Notes'!$U$152</c:f>
              <c:strCache>
                <c:ptCount val="1"/>
                <c:pt idx="0">
                  <c:v>Ri only</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0.29592710495147678"/>
                  <c:y val="-0.27660048707393792"/>
                </c:manualLayout>
              </c:layout>
              <c:numFmt formatCode="General" sourceLinked="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Notes'!$V$144:$V$146</c:f>
              <c:numCache>
                <c:formatCode>General</c:formatCode>
                <c:ptCount val="3"/>
                <c:pt idx="0">
                  <c:v>3.3540164346805303E-3</c:v>
                </c:pt>
                <c:pt idx="1">
                  <c:v>3.2451728054518907E-3</c:v>
                </c:pt>
                <c:pt idx="2">
                  <c:v>3.1431714600031434E-3</c:v>
                </c:pt>
              </c:numCache>
            </c:numRef>
          </c:xVal>
          <c:yVal>
            <c:numRef>
              <c:f>'Table S4 Conversions and Notes'!$Y$144:$Y$146</c:f>
              <c:numCache>
                <c:formatCode>0.000</c:formatCode>
                <c:ptCount val="3"/>
                <c:pt idx="0">
                  <c:v>-7.5090502939090484</c:v>
                </c:pt>
                <c:pt idx="1">
                  <c:v>-6.8412209213333925</c:v>
                </c:pt>
                <c:pt idx="2">
                  <c:v>-6.1353347149960173</c:v>
                </c:pt>
              </c:numCache>
            </c:numRef>
          </c:yVal>
          <c:smooth val="0"/>
          <c:extLst>
            <c:ext xmlns:c16="http://schemas.microsoft.com/office/drawing/2014/chart" uri="{C3380CC4-5D6E-409C-BE32-E72D297353CC}">
              <c16:uniqueId val="{00000003-D875-411F-A55C-2D8D21D8C280}"/>
            </c:ext>
          </c:extLst>
        </c:ser>
        <c:dLbls>
          <c:showLegendKey val="0"/>
          <c:showVal val="0"/>
          <c:showCatName val="0"/>
          <c:showSerName val="0"/>
          <c:showPercent val="0"/>
          <c:showBubbleSize val="0"/>
        </c:dLbls>
        <c:axId val="608545216"/>
        <c:axId val="783648799"/>
      </c:scatterChart>
      <c:valAx>
        <c:axId val="608545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48799"/>
        <c:crosses val="autoZero"/>
        <c:crossBetween val="midCat"/>
      </c:valAx>
      <c:valAx>
        <c:axId val="78364879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545216"/>
        <c:crosses val="autoZero"/>
        <c:crossBetween val="midCat"/>
      </c:valAx>
      <c:spPr>
        <a:noFill/>
        <a:ln>
          <a:noFill/>
        </a:ln>
        <a:effectLst/>
      </c:spPr>
    </c:plotArea>
    <c:legend>
      <c:legendPos val="b"/>
      <c:legendEntry>
        <c:idx val="0"/>
        <c:delete val="1"/>
      </c:legendEntry>
      <c:legendEntry>
        <c:idx val="3"/>
        <c:delete val="1"/>
      </c:legendEntry>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o,p'-DDT,</a:t>
            </a:r>
            <a:r>
              <a:rPr lang="en-US" baseline="0"/>
              <a:t> o,p' -DDD, p,p'-DDE Sws, BR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Notes'!$Y$159</c:f>
              <c:strCache>
                <c:ptCount val="1"/>
                <c:pt idx="0">
                  <c:v>o,p'-DDT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2063342082239721"/>
                  <c:y val="-2.5140140030972583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Notes'!$V$161:$V$164</c:f>
              <c:numCache>
                <c:formatCode>General</c:formatCode>
                <c:ptCount val="4"/>
                <c:pt idx="0">
                  <c:v>3.4704147145583901E-3</c:v>
                </c:pt>
                <c:pt idx="1">
                  <c:v>3.3540164346805303E-3</c:v>
                </c:pt>
                <c:pt idx="2">
                  <c:v>3.2451728054518907E-3</c:v>
                </c:pt>
                <c:pt idx="3">
                  <c:v>3.1431714600031434E-3</c:v>
                </c:pt>
              </c:numCache>
            </c:numRef>
          </c:xVal>
          <c:yVal>
            <c:numRef>
              <c:f>'Table S4 Conversions and Notes'!$Y$161:$Y$164</c:f>
              <c:numCache>
                <c:formatCode>0.000</c:formatCode>
                <c:ptCount val="4"/>
                <c:pt idx="0">
                  <c:v>-8.8953446550289392</c:v>
                </c:pt>
                <c:pt idx="1">
                  <c:v>-8.364716403966769</c:v>
                </c:pt>
                <c:pt idx="2">
                  <c:v>-7.9020928820186551</c:v>
                </c:pt>
                <c:pt idx="3">
                  <c:v>-7.5090502939090484</c:v>
                </c:pt>
              </c:numCache>
            </c:numRef>
          </c:yVal>
          <c:smooth val="0"/>
          <c:extLst>
            <c:ext xmlns:c16="http://schemas.microsoft.com/office/drawing/2014/chart" uri="{C3380CC4-5D6E-409C-BE32-E72D297353CC}">
              <c16:uniqueId val="{00000000-53F5-4E0C-9CC1-2C5E313C66CD}"/>
            </c:ext>
          </c:extLst>
        </c:ser>
        <c:ser>
          <c:idx val="1"/>
          <c:order val="1"/>
          <c:tx>
            <c:strRef>
              <c:f>'Table S4 Conversions and Notes'!$AB$159</c:f>
              <c:strCache>
                <c:ptCount val="1"/>
                <c:pt idx="0">
                  <c:v>o,p'-DDD</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2.4966754155730533E-2"/>
                  <c:y val="0.1030719567256309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Notes'!$V$161:$V$164</c:f>
              <c:numCache>
                <c:formatCode>General</c:formatCode>
                <c:ptCount val="4"/>
                <c:pt idx="0">
                  <c:v>3.4704147145583901E-3</c:v>
                </c:pt>
                <c:pt idx="1">
                  <c:v>3.3540164346805303E-3</c:v>
                </c:pt>
                <c:pt idx="2">
                  <c:v>3.2451728054518907E-3</c:v>
                </c:pt>
                <c:pt idx="3">
                  <c:v>3.1431714600031434E-3</c:v>
                </c:pt>
              </c:numCache>
            </c:numRef>
          </c:xVal>
          <c:yVal>
            <c:numRef>
              <c:f>'Table S4 Conversions and Notes'!$AB$161:$AB$164</c:f>
              <c:numCache>
                <c:formatCode>0.000</c:formatCode>
                <c:ptCount val="4"/>
                <c:pt idx="0">
                  <c:v>-8.7130230982349843</c:v>
                </c:pt>
                <c:pt idx="1">
                  <c:v>-8.2021974744689938</c:v>
                </c:pt>
                <c:pt idx="2">
                  <c:v>-7.1725780572878355</c:v>
                </c:pt>
                <c:pt idx="3">
                  <c:v>-7.0547950216314517</c:v>
                </c:pt>
              </c:numCache>
            </c:numRef>
          </c:yVal>
          <c:smooth val="0"/>
          <c:extLst>
            <c:ext xmlns:c16="http://schemas.microsoft.com/office/drawing/2014/chart" uri="{C3380CC4-5D6E-409C-BE32-E72D297353CC}">
              <c16:uniqueId val="{00000001-53F5-4E0C-9CC1-2C5E313C66CD}"/>
            </c:ext>
          </c:extLst>
        </c:ser>
        <c:ser>
          <c:idx val="2"/>
          <c:order val="2"/>
          <c:tx>
            <c:strRef>
              <c:f>'Table S4 Conversions and Notes'!$AE$159</c:f>
              <c:strCache>
                <c:ptCount val="1"/>
                <c:pt idx="0">
                  <c:v>p,p'-DDD</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8.492213473315835E-2"/>
                  <c:y val="-0.327052587955591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Notes'!$V$161:$V$164</c:f>
              <c:numCache>
                <c:formatCode>General</c:formatCode>
                <c:ptCount val="4"/>
                <c:pt idx="0">
                  <c:v>3.4704147145583901E-3</c:v>
                </c:pt>
                <c:pt idx="1">
                  <c:v>3.3540164346805303E-3</c:v>
                </c:pt>
                <c:pt idx="2">
                  <c:v>3.2451728054518907E-3</c:v>
                </c:pt>
                <c:pt idx="3">
                  <c:v>3.1431714600031434E-3</c:v>
                </c:pt>
              </c:numCache>
            </c:numRef>
          </c:xVal>
          <c:yVal>
            <c:numRef>
              <c:f>'Table S4 Conversions and Notes'!$AE$161:$AE$164</c:f>
              <c:numCache>
                <c:formatCode>0.000</c:formatCode>
                <c:ptCount val="4"/>
                <c:pt idx="0">
                  <c:v>-8.8953446550289392</c:v>
                </c:pt>
                <c:pt idx="1">
                  <c:v>-8.3075579901268206</c:v>
                </c:pt>
                <c:pt idx="2">
                  <c:v>-7.7967323663608292</c:v>
                </c:pt>
                <c:pt idx="3">
                  <c:v>-7.3267287371150935</c:v>
                </c:pt>
              </c:numCache>
            </c:numRef>
          </c:yVal>
          <c:smooth val="0"/>
          <c:extLst>
            <c:ext xmlns:c16="http://schemas.microsoft.com/office/drawing/2014/chart" uri="{C3380CC4-5D6E-409C-BE32-E72D297353CC}">
              <c16:uniqueId val="{00000002-53F5-4E0C-9CC1-2C5E313C66CD}"/>
            </c:ext>
          </c:extLst>
        </c:ser>
        <c:dLbls>
          <c:showLegendKey val="0"/>
          <c:showVal val="0"/>
          <c:showCatName val="0"/>
          <c:showSerName val="0"/>
          <c:showPercent val="0"/>
          <c:showBubbleSize val="0"/>
        </c:dLbls>
        <c:axId val="1782418527"/>
        <c:axId val="783664191"/>
      </c:scatterChart>
      <c:valAx>
        <c:axId val="1782418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64191"/>
        <c:crosses val="autoZero"/>
        <c:crossBetween val="midCat"/>
      </c:valAx>
      <c:valAx>
        <c:axId val="7836641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18527"/>
        <c:crosses val="autoZero"/>
        <c:crossBetween val="midCat"/>
      </c:valAx>
      <c:spPr>
        <a:noFill/>
        <a:ln>
          <a:noFill/>
        </a:ln>
        <a:effectLst/>
      </c:spPr>
    </c:plotArea>
    <c:legend>
      <c:legendPos val="b"/>
      <c:legendEntry>
        <c:idx val="3"/>
        <c:delete val="1"/>
      </c:legendEntry>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o,p'-DDT,</a:t>
            </a:r>
            <a:r>
              <a:rPr lang="en-US" baseline="0"/>
              <a:t> p,p' -DDE, BaP Sos, Ni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Notes'!$X$174</c:f>
              <c:strCache>
                <c:ptCount val="1"/>
                <c:pt idx="0">
                  <c:v>o,p'-DDT</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0840791776027998"/>
                  <c:y val="-0.11285667546404345"/>
                </c:manualLayout>
              </c:layout>
              <c:numFmt formatCode="General" sourceLinked="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Notes'!$V$176:$V$178</c:f>
              <c:numCache>
                <c:formatCode>General</c:formatCode>
                <c:ptCount val="3"/>
                <c:pt idx="0">
                  <c:v>3.608154429009562E-3</c:v>
                </c:pt>
                <c:pt idx="1">
                  <c:v>3.5069261792039282E-3</c:v>
                </c:pt>
                <c:pt idx="2">
                  <c:v>3.4112229234180458E-3</c:v>
                </c:pt>
              </c:numCache>
            </c:numRef>
          </c:xVal>
          <c:yVal>
            <c:numRef>
              <c:f>'Table S4 Conversions and Notes'!$X$176:$X$178</c:f>
              <c:numCache>
                <c:formatCode>0.000</c:formatCode>
                <c:ptCount val="3"/>
                <c:pt idx="0">
                  <c:v>5.1117389064467824</c:v>
                </c:pt>
                <c:pt idx="1">
                  <c:v>5.341997415746186</c:v>
                </c:pt>
                <c:pt idx="2">
                  <c:v>5.7794885834150547</c:v>
                </c:pt>
              </c:numCache>
            </c:numRef>
          </c:yVal>
          <c:smooth val="0"/>
          <c:extLst>
            <c:ext xmlns:c16="http://schemas.microsoft.com/office/drawing/2014/chart" uri="{C3380CC4-5D6E-409C-BE32-E72D297353CC}">
              <c16:uniqueId val="{00000001-D375-49C5-8F1A-059306809996}"/>
            </c:ext>
          </c:extLst>
        </c:ser>
        <c:ser>
          <c:idx val="1"/>
          <c:order val="1"/>
          <c:tx>
            <c:strRef>
              <c:f>'Table S4 Conversions and Notes'!$Z$174</c:f>
              <c:strCache>
                <c:ptCount val="1"/>
                <c:pt idx="0">
                  <c:v>p,p'-DDE</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3.6657917760279962E-2"/>
                  <c:y val="0.2643985429799114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Notes'!$V$176:$V$178</c:f>
              <c:numCache>
                <c:formatCode>General</c:formatCode>
                <c:ptCount val="3"/>
                <c:pt idx="0">
                  <c:v>3.608154429009562E-3</c:v>
                </c:pt>
                <c:pt idx="1">
                  <c:v>3.5069261792039282E-3</c:v>
                </c:pt>
                <c:pt idx="2">
                  <c:v>3.4112229234180458E-3</c:v>
                </c:pt>
              </c:numCache>
            </c:numRef>
          </c:xVal>
          <c:yVal>
            <c:numRef>
              <c:f>'Table S4 Conversions and Notes'!$Z$176:$Z$178</c:f>
              <c:numCache>
                <c:formatCode>0.000</c:formatCode>
                <c:ptCount val="3"/>
                <c:pt idx="0">
                  <c:v>4.9275320990072586</c:v>
                </c:pt>
                <c:pt idx="1">
                  <c:v>4.9275320990072586</c:v>
                </c:pt>
                <c:pt idx="2">
                  <c:v>5.2959457138863053</c:v>
                </c:pt>
              </c:numCache>
            </c:numRef>
          </c:yVal>
          <c:smooth val="0"/>
          <c:extLst>
            <c:ext xmlns:c16="http://schemas.microsoft.com/office/drawing/2014/chart" uri="{C3380CC4-5D6E-409C-BE32-E72D297353CC}">
              <c16:uniqueId val="{00000003-D375-49C5-8F1A-059306809996}"/>
            </c:ext>
          </c:extLst>
        </c:ser>
        <c:ser>
          <c:idx val="2"/>
          <c:order val="2"/>
          <c:tx>
            <c:strRef>
              <c:f>'Table S4 Conversions and Notes'!$AB$174</c:f>
              <c:strCache>
                <c:ptCount val="1"/>
                <c:pt idx="0">
                  <c:v>B[a]P</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8.492213473315835E-2"/>
                  <c:y val="-0.32705258795559145"/>
                </c:manualLayout>
              </c:layout>
              <c:numFmt formatCode="General" sourceLinked="0"/>
              <c:spPr>
                <a:noFill/>
                <a:ln>
                  <a:solidFill>
                    <a:schemeClr val="accent2"/>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Notes'!$V$176:$V$178</c:f>
              <c:numCache>
                <c:formatCode>General</c:formatCode>
                <c:ptCount val="3"/>
                <c:pt idx="0">
                  <c:v>3.608154429009562E-3</c:v>
                </c:pt>
                <c:pt idx="1">
                  <c:v>3.5069261792039282E-3</c:v>
                </c:pt>
                <c:pt idx="2">
                  <c:v>3.4112229234180458E-3</c:v>
                </c:pt>
              </c:numCache>
            </c:numRef>
          </c:xVal>
          <c:yVal>
            <c:numRef>
              <c:f>'Table S4 Conversions and Notes'!$AB$176:$AB$178</c:f>
              <c:numCache>
                <c:formatCode>0.000</c:formatCode>
                <c:ptCount val="3"/>
                <c:pt idx="0">
                  <c:v>2.6479728569431527</c:v>
                </c:pt>
                <c:pt idx="1">
                  <c:v>2.7631021115928549</c:v>
                </c:pt>
                <c:pt idx="2">
                  <c:v>3.2236191301916639</c:v>
                </c:pt>
              </c:numCache>
            </c:numRef>
          </c:yVal>
          <c:smooth val="0"/>
          <c:extLst>
            <c:ext xmlns:c16="http://schemas.microsoft.com/office/drawing/2014/chart" uri="{C3380CC4-5D6E-409C-BE32-E72D297353CC}">
              <c16:uniqueId val="{00000005-D375-49C5-8F1A-059306809996}"/>
            </c:ext>
          </c:extLst>
        </c:ser>
        <c:dLbls>
          <c:showLegendKey val="0"/>
          <c:showVal val="0"/>
          <c:showCatName val="0"/>
          <c:showSerName val="0"/>
          <c:showPercent val="0"/>
          <c:showBubbleSize val="0"/>
        </c:dLbls>
        <c:axId val="1782418527"/>
        <c:axId val="783664191"/>
      </c:scatterChart>
      <c:valAx>
        <c:axId val="1782418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64191"/>
        <c:crosses val="autoZero"/>
        <c:crossBetween val="midCat"/>
      </c:valAx>
      <c:valAx>
        <c:axId val="78366419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18527"/>
        <c:crosses val="autoZero"/>
        <c:crossBetween val="midCat"/>
      </c:valAx>
      <c:spPr>
        <a:noFill/>
        <a:ln>
          <a:noFill/>
        </a:ln>
        <a:effectLst/>
      </c:spPr>
    </c:plotArea>
    <c:legend>
      <c:legendPos val="b"/>
      <c:legendEntry>
        <c:idx val="3"/>
        <c:delete val="1"/>
      </c:legendEntry>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B[a]P lnSws, Wh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Notes'!$X$189</c:f>
              <c:strCache>
                <c:ptCount val="1"/>
                <c:pt idx="0">
                  <c:v>lnSws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Notes'!$V$190:$V$194</c:f>
              <c:numCache>
                <c:formatCode>General</c:formatCode>
                <c:ptCount val="5"/>
                <c:pt idx="0">
                  <c:v>3.556820202738752E-3</c:v>
                </c:pt>
                <c:pt idx="1">
                  <c:v>3.5020136578532662E-3</c:v>
                </c:pt>
                <c:pt idx="2">
                  <c:v>3.4500603760565813E-3</c:v>
                </c:pt>
                <c:pt idx="3">
                  <c:v>3.4007821799013778E-3</c:v>
                </c:pt>
                <c:pt idx="4">
                  <c:v>3.3540164346805303E-3</c:v>
                </c:pt>
              </c:numCache>
            </c:numRef>
          </c:xVal>
          <c:yVal>
            <c:numRef>
              <c:f>'Table S4 Conversions and Notes'!$X$190:$X$194</c:f>
              <c:numCache>
                <c:formatCode>0.000</c:formatCode>
                <c:ptCount val="5"/>
                <c:pt idx="0">
                  <c:v>-12.844731640806049</c:v>
                </c:pt>
                <c:pt idx="1">
                  <c:v>-12.716898269296165</c:v>
                </c:pt>
                <c:pt idx="2">
                  <c:v>-12.496424946537834</c:v>
                </c:pt>
                <c:pt idx="3">
                  <c:v>-12.287282700955718</c:v>
                </c:pt>
                <c:pt idx="4">
                  <c:v>-12.008862476242468</c:v>
                </c:pt>
              </c:numCache>
            </c:numRef>
          </c:yVal>
          <c:smooth val="0"/>
          <c:extLst>
            <c:ext xmlns:c16="http://schemas.microsoft.com/office/drawing/2014/chart" uri="{C3380CC4-5D6E-409C-BE32-E72D297353CC}">
              <c16:uniqueId val="{00000000-78CD-4424-86D4-C74F3CB0E0D9}"/>
            </c:ext>
          </c:extLst>
        </c:ser>
        <c:dLbls>
          <c:showLegendKey val="0"/>
          <c:showVal val="0"/>
          <c:showCatName val="0"/>
          <c:showSerName val="0"/>
          <c:showPercent val="0"/>
          <c:showBubbleSize val="0"/>
        </c:dLbls>
        <c:axId val="1741132383"/>
        <c:axId val="1357881775"/>
      </c:scatterChart>
      <c:valAx>
        <c:axId val="1741132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81775"/>
        <c:crosses val="autoZero"/>
        <c:crossBetween val="midCat"/>
      </c:valAx>
      <c:valAx>
        <c:axId val="1357881775"/>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1323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lnP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2.6423574994994963E-2"/>
                  <c:y val="5.177290193160559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Notes'!$R$341:$R$358</c:f>
              <c:numCache>
                <c:formatCode>General</c:formatCode>
                <c:ptCount val="18"/>
                <c:pt idx="0">
                  <c:v>2.7787812265540335E-3</c:v>
                </c:pt>
                <c:pt idx="1">
                  <c:v>2.7400263042525212E-3</c:v>
                </c:pt>
                <c:pt idx="2">
                  <c:v>2.6982542295135052E-3</c:v>
                </c:pt>
                <c:pt idx="3">
                  <c:v>2.6152679341998586E-3</c:v>
                </c:pt>
                <c:pt idx="4">
                  <c:v>2.566537484279958E-3</c:v>
                </c:pt>
                <c:pt idx="5">
                  <c:v>2.5042572373034158E-3</c:v>
                </c:pt>
                <c:pt idx="6">
                  <c:v>2.4627508927471987E-3</c:v>
                </c:pt>
                <c:pt idx="7">
                  <c:v>2.418321201421973E-3</c:v>
                </c:pt>
                <c:pt idx="8">
                  <c:v>2.3306220430232834E-3</c:v>
                </c:pt>
                <c:pt idx="9">
                  <c:v>2.27894257064722E-3</c:v>
                </c:pt>
                <c:pt idx="10">
                  <c:v>2.2125362302807712E-3</c:v>
                </c:pt>
                <c:pt idx="11">
                  <c:v>2.1682097092430783E-3</c:v>
                </c:pt>
                <c:pt idx="12">
                  <c:v>2.1208008143875127E-3</c:v>
                </c:pt>
                <c:pt idx="13">
                  <c:v>2.0269585486976795E-3</c:v>
                </c:pt>
                <c:pt idx="14">
                  <c:v>1.9706375012316485E-3</c:v>
                </c:pt>
                <c:pt idx="15">
                  <c:v>1.8987942656413178E-3</c:v>
                </c:pt>
                <c:pt idx="16">
                  <c:v>1.8506523549551221E-3</c:v>
                </c:pt>
                <c:pt idx="17">
                  <c:v>1.7990465053521637E-3</c:v>
                </c:pt>
              </c:numCache>
            </c:numRef>
          </c:xVal>
          <c:yVal>
            <c:numRef>
              <c:f>'Table S4 Conversions and Notes'!$T$341:$T$358</c:f>
              <c:numCache>
                <c:formatCode>0.00</c:formatCode>
                <c:ptCount val="18"/>
                <c:pt idx="0">
                  <c:v>3.912023005428146</c:v>
                </c:pt>
                <c:pt idx="1">
                  <c:v>4.2484952420493594</c:v>
                </c:pt>
                <c:pt idx="2">
                  <c:v>4.6051701859880918</c:v>
                </c:pt>
                <c:pt idx="3">
                  <c:v>5.2983173665480363</c:v>
                </c:pt>
                <c:pt idx="4">
                  <c:v>5.7037824746562009</c:v>
                </c:pt>
                <c:pt idx="5">
                  <c:v>6.2146080984221914</c:v>
                </c:pt>
                <c:pt idx="6">
                  <c:v>6.5510803350434044</c:v>
                </c:pt>
                <c:pt idx="7">
                  <c:v>6.9077552789821368</c:v>
                </c:pt>
                <c:pt idx="8">
                  <c:v>7.6009024595420822</c:v>
                </c:pt>
                <c:pt idx="9">
                  <c:v>8.0063675676502459</c:v>
                </c:pt>
                <c:pt idx="10">
                  <c:v>8.5171931914162382</c:v>
                </c:pt>
                <c:pt idx="11">
                  <c:v>8.8536654280374503</c:v>
                </c:pt>
                <c:pt idx="12">
                  <c:v>9.2103403719761836</c:v>
                </c:pt>
                <c:pt idx="13">
                  <c:v>9.9034875525361272</c:v>
                </c:pt>
                <c:pt idx="14">
                  <c:v>10.308952660644293</c:v>
                </c:pt>
                <c:pt idx="15">
                  <c:v>10.819778284410283</c:v>
                </c:pt>
                <c:pt idx="16">
                  <c:v>11.156250521031495</c:v>
                </c:pt>
                <c:pt idx="17">
                  <c:v>11.512925464970229</c:v>
                </c:pt>
              </c:numCache>
            </c:numRef>
          </c:yVal>
          <c:smooth val="0"/>
          <c:extLst>
            <c:ext xmlns:c16="http://schemas.microsoft.com/office/drawing/2014/chart" uri="{C3380CC4-5D6E-409C-BE32-E72D297353CC}">
              <c16:uniqueId val="{00000002-D057-405A-87BD-A586F181138C}"/>
            </c:ext>
          </c:extLst>
        </c:ser>
        <c:dLbls>
          <c:showLegendKey val="0"/>
          <c:showVal val="0"/>
          <c:showCatName val="0"/>
          <c:showSerName val="0"/>
          <c:showPercent val="0"/>
          <c:showBubbleSize val="0"/>
        </c:dLbls>
        <c:axId val="645023408"/>
        <c:axId val="645023736"/>
      </c:scatterChart>
      <c:valAx>
        <c:axId val="645023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23736"/>
        <c:crosses val="autoZero"/>
        <c:crossBetween val="midCat"/>
      </c:valAx>
      <c:valAx>
        <c:axId val="6450237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23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lnP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3.8569553805774277E-3"/>
                  <c:y val="0.163087270341207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Notes'!$R$370:$R$374</c:f>
              <c:numCache>
                <c:formatCode>General</c:formatCode>
                <c:ptCount val="5"/>
                <c:pt idx="0">
                  <c:v>3.1933578157432542E-3</c:v>
                </c:pt>
                <c:pt idx="1">
                  <c:v>3.0016509079993999E-3</c:v>
                </c:pt>
                <c:pt idx="2">
                  <c:v>2.831657935721365E-3</c:v>
                </c:pt>
                <c:pt idx="3">
                  <c:v>2.5435584382551188E-3</c:v>
                </c:pt>
                <c:pt idx="4">
                  <c:v>1.7600985655196692E-3</c:v>
                </c:pt>
              </c:numCache>
            </c:numRef>
          </c:xVal>
          <c:yVal>
            <c:numRef>
              <c:f>'Table S4 Conversions and Notes'!$T$370:$T$374</c:f>
              <c:numCache>
                <c:formatCode>0.00</c:formatCode>
                <c:ptCount val="5"/>
                <c:pt idx="0">
                  <c:v>8.0063675676502459</c:v>
                </c:pt>
                <c:pt idx="1">
                  <c:v>9.1049798563183568</c:v>
                </c:pt>
                <c:pt idx="2">
                  <c:v>9.2103403719761836</c:v>
                </c:pt>
                <c:pt idx="3">
                  <c:v>9.4727046364436731</c:v>
                </c:pt>
                <c:pt idx="4">
                  <c:v>11.496796083040344</c:v>
                </c:pt>
              </c:numCache>
            </c:numRef>
          </c:yVal>
          <c:smooth val="0"/>
          <c:extLst>
            <c:ext xmlns:c16="http://schemas.microsoft.com/office/drawing/2014/chart" uri="{C3380CC4-5D6E-409C-BE32-E72D297353CC}">
              <c16:uniqueId val="{00000002-0B39-4D3F-A659-768CC07E4AE0}"/>
            </c:ext>
          </c:extLst>
        </c:ser>
        <c:dLbls>
          <c:showLegendKey val="0"/>
          <c:showVal val="0"/>
          <c:showCatName val="0"/>
          <c:showSerName val="0"/>
          <c:showPercent val="0"/>
          <c:showBubbleSize val="0"/>
        </c:dLbls>
        <c:axId val="804951536"/>
        <c:axId val="804951864"/>
      </c:scatterChart>
      <c:valAx>
        <c:axId val="804951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951864"/>
        <c:crosses val="autoZero"/>
        <c:crossBetween val="midCat"/>
      </c:valAx>
      <c:valAx>
        <c:axId val="804951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951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lnP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3.0807524059492563E-2"/>
                  <c:y val="0.2074438611840186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Notes'!$R$386:$R$393</c:f>
              <c:numCache>
                <c:formatCode>General</c:formatCode>
                <c:ptCount val="8"/>
                <c:pt idx="0">
                  <c:v>2.4956326428749688E-3</c:v>
                </c:pt>
                <c:pt idx="1">
                  <c:v>2.4620839078195785E-3</c:v>
                </c:pt>
                <c:pt idx="2">
                  <c:v>2.2909507445589921E-3</c:v>
                </c:pt>
                <c:pt idx="3">
                  <c:v>2.2147903700914708E-3</c:v>
                </c:pt>
                <c:pt idx="4">
                  <c:v>2.0310754544531329E-3</c:v>
                </c:pt>
                <c:pt idx="5">
                  <c:v>1.948368241597662E-3</c:v>
                </c:pt>
                <c:pt idx="6">
                  <c:v>1.7487103261344761E-3</c:v>
                </c:pt>
                <c:pt idx="7">
                  <c:v>1.6596133100987471E-3</c:v>
                </c:pt>
              </c:numCache>
            </c:numRef>
          </c:xVal>
          <c:yVal>
            <c:numRef>
              <c:f>'Table S4 Conversions and Notes'!$T$386:$T$393</c:f>
              <c:numCache>
                <c:formatCode>0.00</c:formatCode>
                <c:ptCount val="8"/>
                <c:pt idx="0">
                  <c:v>4.2484952420493594</c:v>
                </c:pt>
                <c:pt idx="1">
                  <c:v>4.6051701859880918</c:v>
                </c:pt>
                <c:pt idx="2">
                  <c:v>6.2146080984221914</c:v>
                </c:pt>
                <c:pt idx="3">
                  <c:v>6.9077552789821368</c:v>
                </c:pt>
                <c:pt idx="4">
                  <c:v>8.5171931914162382</c:v>
                </c:pt>
                <c:pt idx="5">
                  <c:v>9.2103403719761836</c:v>
                </c:pt>
                <c:pt idx="6">
                  <c:v>10.819778284410283</c:v>
                </c:pt>
                <c:pt idx="7">
                  <c:v>11.512925464970229</c:v>
                </c:pt>
              </c:numCache>
            </c:numRef>
          </c:yVal>
          <c:smooth val="0"/>
          <c:extLst>
            <c:ext xmlns:c16="http://schemas.microsoft.com/office/drawing/2014/chart" uri="{C3380CC4-5D6E-409C-BE32-E72D297353CC}">
              <c16:uniqueId val="{00000002-B12D-4DDE-B940-5FA28858A18A}"/>
            </c:ext>
          </c:extLst>
        </c:ser>
        <c:dLbls>
          <c:showLegendKey val="0"/>
          <c:showVal val="0"/>
          <c:showCatName val="0"/>
          <c:showSerName val="0"/>
          <c:showPercent val="0"/>
          <c:showBubbleSize val="0"/>
        </c:dLbls>
        <c:axId val="561091760"/>
        <c:axId val="561092088"/>
      </c:scatterChart>
      <c:valAx>
        <c:axId val="561091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092088"/>
        <c:crosses val="autoZero"/>
        <c:crossBetween val="midCat"/>
      </c:valAx>
      <c:valAx>
        <c:axId val="5610920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0917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Notes'!$T$402</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9.6174104424192573E-3"/>
                  <c:y val="4.899242452513340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Notes'!$R$403:$R$413</c:f>
              <c:numCache>
                <c:formatCode>General</c:formatCode>
                <c:ptCount val="11"/>
                <c:pt idx="0">
                  <c:v>2.5312610742672004E-3</c:v>
                </c:pt>
                <c:pt idx="1">
                  <c:v>2.4609326934908332E-3</c:v>
                </c:pt>
                <c:pt idx="2">
                  <c:v>2.3880026745629955E-3</c:v>
                </c:pt>
                <c:pt idx="3">
                  <c:v>2.2893248780934505E-3</c:v>
                </c:pt>
                <c:pt idx="4">
                  <c:v>2.2131728045325779E-3</c:v>
                </c:pt>
                <c:pt idx="5">
                  <c:v>2.134927412467976E-3</c:v>
                </c:pt>
                <c:pt idx="6">
                  <c:v>2.029179602686634E-3</c:v>
                </c:pt>
                <c:pt idx="7">
                  <c:v>1.9461689663896622E-3</c:v>
                </c:pt>
                <c:pt idx="8">
                  <c:v>1.8627177051317877E-3</c:v>
                </c:pt>
                <c:pt idx="9">
                  <c:v>1.7480989424001399E-3</c:v>
                </c:pt>
                <c:pt idx="10">
                  <c:v>1.6571381224625072E-3</c:v>
                </c:pt>
              </c:numCache>
            </c:numRef>
          </c:xVal>
          <c:yVal>
            <c:numRef>
              <c:f>'Table S4 Conversions and Notes'!$T$403:$T$413</c:f>
              <c:numCache>
                <c:formatCode>0.00</c:formatCode>
                <c:ptCount val="11"/>
                <c:pt idx="0">
                  <c:v>3.912023005428146</c:v>
                </c:pt>
                <c:pt idx="1">
                  <c:v>4.6051701859880918</c:v>
                </c:pt>
                <c:pt idx="2">
                  <c:v>5.2983173665480363</c:v>
                </c:pt>
                <c:pt idx="3">
                  <c:v>6.2146080984221914</c:v>
                </c:pt>
                <c:pt idx="4">
                  <c:v>6.9077552789821368</c:v>
                </c:pt>
                <c:pt idx="5">
                  <c:v>7.6009024595420822</c:v>
                </c:pt>
                <c:pt idx="6">
                  <c:v>8.5171931914162382</c:v>
                </c:pt>
                <c:pt idx="7">
                  <c:v>9.2103403719761836</c:v>
                </c:pt>
                <c:pt idx="8">
                  <c:v>9.9034875525361272</c:v>
                </c:pt>
                <c:pt idx="9">
                  <c:v>10.819778284410283</c:v>
                </c:pt>
                <c:pt idx="10">
                  <c:v>11.515522090817495</c:v>
                </c:pt>
              </c:numCache>
            </c:numRef>
          </c:yVal>
          <c:smooth val="0"/>
          <c:extLst>
            <c:ext xmlns:c16="http://schemas.microsoft.com/office/drawing/2014/chart" uri="{C3380CC4-5D6E-409C-BE32-E72D297353CC}">
              <c16:uniqueId val="{00000001-4374-480F-8324-6B6689A020A9}"/>
            </c:ext>
          </c:extLst>
        </c:ser>
        <c:dLbls>
          <c:showLegendKey val="0"/>
          <c:showVal val="0"/>
          <c:showCatName val="0"/>
          <c:showSerName val="0"/>
          <c:showPercent val="0"/>
          <c:showBubbleSize val="0"/>
        </c:dLbls>
        <c:axId val="604815392"/>
        <c:axId val="604815720"/>
      </c:scatterChart>
      <c:valAx>
        <c:axId val="60481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15720"/>
        <c:crosses val="autoZero"/>
        <c:crossBetween val="midCat"/>
      </c:valAx>
      <c:valAx>
        <c:axId val="6048157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15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Notes'!$AG$383</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9308836395450571E-3"/>
                  <c:y val="0.2218372703412073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Notes'!$AE$384:$AE$390</c:f>
              <c:numCache>
                <c:formatCode>General</c:formatCode>
                <c:ptCount val="7"/>
                <c:pt idx="0">
                  <c:v>2.4612355402412012E-3</c:v>
                </c:pt>
                <c:pt idx="1">
                  <c:v>2.290845780262073E-3</c:v>
                </c:pt>
                <c:pt idx="2">
                  <c:v>2.2144470525709732E-3</c:v>
                </c:pt>
                <c:pt idx="3">
                  <c:v>2.0306630114732462E-3</c:v>
                </c:pt>
                <c:pt idx="4">
                  <c:v>1.948368241597662E-3</c:v>
                </c:pt>
                <c:pt idx="5">
                  <c:v>1.750853541101287E-3</c:v>
                </c:pt>
                <c:pt idx="6">
                  <c:v>1.6659725114535611E-3</c:v>
                </c:pt>
              </c:numCache>
            </c:numRef>
          </c:xVal>
          <c:yVal>
            <c:numRef>
              <c:f>'Table S4 Conversions and Notes'!$AG$384:$AG$390</c:f>
              <c:numCache>
                <c:formatCode>0.00</c:formatCode>
                <c:ptCount val="7"/>
                <c:pt idx="0">
                  <c:v>4.6051701859880918</c:v>
                </c:pt>
                <c:pt idx="1">
                  <c:v>6.2146080984221914</c:v>
                </c:pt>
                <c:pt idx="2">
                  <c:v>6.9077552789821368</c:v>
                </c:pt>
                <c:pt idx="3">
                  <c:v>8.5171931914162382</c:v>
                </c:pt>
                <c:pt idx="4">
                  <c:v>9.2103403719761836</c:v>
                </c:pt>
                <c:pt idx="5">
                  <c:v>10.819778284410283</c:v>
                </c:pt>
                <c:pt idx="6">
                  <c:v>11.512925464970229</c:v>
                </c:pt>
              </c:numCache>
            </c:numRef>
          </c:yVal>
          <c:smooth val="0"/>
          <c:extLst>
            <c:ext xmlns:c16="http://schemas.microsoft.com/office/drawing/2014/chart" uri="{C3380CC4-5D6E-409C-BE32-E72D297353CC}">
              <c16:uniqueId val="{00000001-BA23-469D-8C80-65B1C8EF14FC}"/>
            </c:ext>
          </c:extLst>
        </c:ser>
        <c:dLbls>
          <c:showLegendKey val="0"/>
          <c:showVal val="0"/>
          <c:showCatName val="0"/>
          <c:showSerName val="0"/>
          <c:showPercent val="0"/>
          <c:showBubbleSize val="0"/>
        </c:dLbls>
        <c:axId val="556327160"/>
        <c:axId val="556327488"/>
      </c:scatterChart>
      <c:valAx>
        <c:axId val="556327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27488"/>
        <c:crosses val="autoZero"/>
        <c:crossBetween val="midCat"/>
      </c:valAx>
      <c:valAx>
        <c:axId val="556327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271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Notes'!$AH$402</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1094575678040245"/>
                  <c:y val="5.050925925925926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Notes'!$AF$403:$AF$410</c:f>
              <c:numCache>
                <c:formatCode>General</c:formatCode>
                <c:ptCount val="8"/>
                <c:pt idx="0">
                  <c:v>3.4112229234180458E-3</c:v>
                </c:pt>
                <c:pt idx="1">
                  <c:v>3.0945381401825778E-3</c:v>
                </c:pt>
                <c:pt idx="2">
                  <c:v>2.6798874447273215E-3</c:v>
                </c:pt>
                <c:pt idx="3">
                  <c:v>2.3632281696797826E-3</c:v>
                </c:pt>
                <c:pt idx="4">
                  <c:v>2.1134946634259748E-3</c:v>
                </c:pt>
                <c:pt idx="5">
                  <c:v>1.9114976584153685E-3</c:v>
                </c:pt>
                <c:pt idx="6">
                  <c:v>1.7447439588240427E-3</c:v>
                </c:pt>
                <c:pt idx="7">
                  <c:v>1.6047500601781273E-3</c:v>
                </c:pt>
              </c:numCache>
            </c:numRef>
          </c:xVal>
          <c:yVal>
            <c:numRef>
              <c:f>'Table S4 Conversions and Notes'!$AH$403:$AH$410</c:f>
              <c:numCache>
                <c:formatCode>0.00</c:formatCode>
                <c:ptCount val="8"/>
                <c:pt idx="0">
                  <c:v>-14.326336181730264</c:v>
                </c:pt>
                <c:pt idx="1">
                  <c:v>-9.9236902598536467</c:v>
                </c:pt>
                <c:pt idx="2">
                  <c:v>-4.1997050778799272</c:v>
                </c:pt>
                <c:pt idx="3">
                  <c:v>0.18232155679395459</c:v>
                </c:pt>
                <c:pt idx="4">
                  <c:v>3.6635616461296463</c:v>
                </c:pt>
                <c:pt idx="5">
                  <c:v>6.4769723628896827</c:v>
                </c:pt>
                <c:pt idx="6">
                  <c:v>8.7856924444512448</c:v>
                </c:pt>
                <c:pt idx="7">
                  <c:v>10.723267384029439</c:v>
                </c:pt>
              </c:numCache>
            </c:numRef>
          </c:yVal>
          <c:smooth val="0"/>
          <c:extLst>
            <c:ext xmlns:c16="http://schemas.microsoft.com/office/drawing/2014/chart" uri="{C3380CC4-5D6E-409C-BE32-E72D297353CC}">
              <c16:uniqueId val="{00000001-303B-45CC-BA63-2EB95904F8F8}"/>
            </c:ext>
          </c:extLst>
        </c:ser>
        <c:dLbls>
          <c:showLegendKey val="0"/>
          <c:showVal val="0"/>
          <c:showCatName val="0"/>
          <c:showSerName val="0"/>
          <c:showPercent val="0"/>
          <c:showBubbleSize val="0"/>
        </c:dLbls>
        <c:axId val="609586976"/>
        <c:axId val="609583288"/>
      </c:scatterChart>
      <c:valAx>
        <c:axId val="609586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583288"/>
        <c:crosses val="autoZero"/>
        <c:crossBetween val="midCat"/>
      </c:valAx>
      <c:valAx>
        <c:axId val="609583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5869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Notes'!$AW$383</c:f>
              <c:strCache>
                <c:ptCount val="1"/>
                <c:pt idx="0">
                  <c:v>lnSw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7363517060367454E-2"/>
                  <c:y val="-0.3612500000000000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Notes'!$AS$384:$AS$387</c:f>
              <c:numCache>
                <c:formatCode>General</c:formatCode>
                <c:ptCount val="4"/>
                <c:pt idx="0">
                  <c:v>1.7503938386136883E-3</c:v>
                </c:pt>
                <c:pt idx="1">
                  <c:v>1.7202821262687082E-3</c:v>
                </c:pt>
                <c:pt idx="2">
                  <c:v>1.6911889058007781E-3</c:v>
                </c:pt>
                <c:pt idx="3">
                  <c:v>1.6630633627141196E-3</c:v>
                </c:pt>
              </c:numCache>
            </c:numRef>
          </c:xVal>
          <c:yVal>
            <c:numRef>
              <c:f>'Table S4 Conversions and Notes'!$AW$384:$AW$387</c:f>
              <c:numCache>
                <c:formatCode>0.00</c:formatCode>
                <c:ptCount val="4"/>
                <c:pt idx="0">
                  <c:v>-3.3445014029854083</c:v>
                </c:pt>
                <c:pt idx="1">
                  <c:v>-3.3200776796771518</c:v>
                </c:pt>
                <c:pt idx="2">
                  <c:v>-3.2365300527066712</c:v>
                </c:pt>
                <c:pt idx="3">
                  <c:v>-3.0846841041421587</c:v>
                </c:pt>
              </c:numCache>
            </c:numRef>
          </c:yVal>
          <c:smooth val="0"/>
          <c:extLst>
            <c:ext xmlns:c16="http://schemas.microsoft.com/office/drawing/2014/chart" uri="{C3380CC4-5D6E-409C-BE32-E72D297353CC}">
              <c16:uniqueId val="{00000000-2C78-4A33-BE93-D2088312A24C}"/>
            </c:ext>
          </c:extLst>
        </c:ser>
        <c:dLbls>
          <c:showLegendKey val="0"/>
          <c:showVal val="0"/>
          <c:showCatName val="0"/>
          <c:showSerName val="0"/>
          <c:showPercent val="0"/>
          <c:showBubbleSize val="0"/>
        </c:dLbls>
        <c:axId val="648377488"/>
        <c:axId val="1037553888"/>
      </c:scatterChart>
      <c:valAx>
        <c:axId val="648377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553888"/>
        <c:crosses val="autoZero"/>
        <c:crossBetween val="midCat"/>
      </c:valAx>
      <c:valAx>
        <c:axId val="103755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3774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Notes'!$AW$395</c:f>
              <c:strCache>
                <c:ptCount val="1"/>
                <c:pt idx="0">
                  <c:v>lnSw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5.5613517060367455E-2"/>
                  <c:y val="-0.1742534266550014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Notes'!$AS$396:$AS$400</c:f>
              <c:numCache>
                <c:formatCode>General</c:formatCode>
                <c:ptCount val="5"/>
                <c:pt idx="0">
                  <c:v>1.7503938386136883E-3</c:v>
                </c:pt>
                <c:pt idx="1">
                  <c:v>1.7352073572791951E-3</c:v>
                </c:pt>
                <c:pt idx="2">
                  <c:v>1.7202821262687082E-3</c:v>
                </c:pt>
                <c:pt idx="3">
                  <c:v>1.7056114617090229E-3</c:v>
                </c:pt>
                <c:pt idx="4">
                  <c:v>1.6770082173402652E-3</c:v>
                </c:pt>
              </c:numCache>
            </c:numRef>
          </c:xVal>
          <c:yVal>
            <c:numRef>
              <c:f>'Table S4 Conversions and Notes'!$AW$396:$AW$400</c:f>
              <c:numCache>
                <c:formatCode>0.00</c:formatCode>
                <c:ptCount val="5"/>
                <c:pt idx="0">
                  <c:v>-3.2356822351843313</c:v>
                </c:pt>
                <c:pt idx="1">
                  <c:v>-3.2397866950530583</c:v>
                </c:pt>
                <c:pt idx="2">
                  <c:v>-3.1045547606385768</c:v>
                </c:pt>
                <c:pt idx="3">
                  <c:v>-3.0423572558936773</c:v>
                </c:pt>
                <c:pt idx="4">
                  <c:v>-2.7722321044784901</c:v>
                </c:pt>
              </c:numCache>
            </c:numRef>
          </c:yVal>
          <c:smooth val="0"/>
          <c:extLst>
            <c:ext xmlns:c16="http://schemas.microsoft.com/office/drawing/2014/chart" uri="{C3380CC4-5D6E-409C-BE32-E72D297353CC}">
              <c16:uniqueId val="{00000000-A7C3-490E-8A2D-C0B6B2991046}"/>
            </c:ext>
          </c:extLst>
        </c:ser>
        <c:dLbls>
          <c:showLegendKey val="0"/>
          <c:showVal val="0"/>
          <c:showCatName val="0"/>
          <c:showSerName val="0"/>
          <c:showPercent val="0"/>
          <c:showBubbleSize val="0"/>
        </c:dLbls>
        <c:axId val="969154064"/>
        <c:axId val="522963984"/>
      </c:scatterChart>
      <c:valAx>
        <c:axId val="969154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63984"/>
        <c:crosses val="autoZero"/>
        <c:crossBetween val="midCat"/>
      </c:valAx>
      <c:valAx>
        <c:axId val="5229639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54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Notes'!$T$539</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yVal>
            <c:numRef>
              <c:f>'Table S4 Conversions and Notes'!$T$540:$T$544</c:f>
              <c:numCache>
                <c:formatCode>0.00</c:formatCode>
                <c:ptCount val="5"/>
                <c:pt idx="0">
                  <c:v>-1.5050778971098575</c:v>
                </c:pt>
                <c:pt idx="1">
                  <c:v>-0.75502258427803282</c:v>
                </c:pt>
                <c:pt idx="2">
                  <c:v>-0.24334625863172918</c:v>
                </c:pt>
                <c:pt idx="3">
                  <c:v>0.31334981920035881</c:v>
                </c:pt>
                <c:pt idx="4">
                  <c:v>1.199964782928397</c:v>
                </c:pt>
              </c:numCache>
            </c:numRef>
          </c:yVal>
          <c:smooth val="0"/>
          <c:extLst>
            <c:ext xmlns:c16="http://schemas.microsoft.com/office/drawing/2014/chart" uri="{C3380CC4-5D6E-409C-BE32-E72D297353CC}">
              <c16:uniqueId val="{00000000-E0C9-4C9A-B5D7-9D1E028AE871}"/>
            </c:ext>
          </c:extLst>
        </c:ser>
        <c:dLbls>
          <c:showLegendKey val="0"/>
          <c:showVal val="0"/>
          <c:showCatName val="0"/>
          <c:showSerName val="0"/>
          <c:showPercent val="0"/>
          <c:showBubbleSize val="0"/>
        </c:dLbls>
        <c:axId val="783963512"/>
        <c:axId val="1121593960"/>
      </c:scatterChart>
      <c:valAx>
        <c:axId val="78396351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593960"/>
        <c:crosses val="autoZero"/>
        <c:crossBetween val="midCat"/>
      </c:valAx>
      <c:valAx>
        <c:axId val="1121593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963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Notes'!$T$556</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9.8141513560804902E-2"/>
                  <c:y val="0.2030048848060659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yVal>
            <c:numRef>
              <c:f>'Table S4 Conversions and Notes'!$T$557:$T$575</c:f>
              <c:numCache>
                <c:formatCode>0.00</c:formatCode>
                <c:ptCount val="19"/>
                <c:pt idx="0">
                  <c:v>5.7037824746562009</c:v>
                </c:pt>
                <c:pt idx="1">
                  <c:v>5.9914645471079817</c:v>
                </c:pt>
                <c:pt idx="2">
                  <c:v>6.3969296552161463</c:v>
                </c:pt>
                <c:pt idx="3">
                  <c:v>6.5510803350434044</c:v>
                </c:pt>
                <c:pt idx="4">
                  <c:v>6.6846117276679271</c:v>
                </c:pt>
                <c:pt idx="5">
                  <c:v>6.8023947633243109</c:v>
                </c:pt>
                <c:pt idx="6">
                  <c:v>6.9077552789821368</c:v>
                </c:pt>
                <c:pt idx="7">
                  <c:v>7.3132203870903014</c:v>
                </c:pt>
                <c:pt idx="8">
                  <c:v>7.6009024595420822</c:v>
                </c:pt>
                <c:pt idx="9">
                  <c:v>8.0063675676502459</c:v>
                </c:pt>
                <c:pt idx="10">
                  <c:v>8.2940496401020276</c:v>
                </c:pt>
                <c:pt idx="11">
                  <c:v>8.5171931914162382</c:v>
                </c:pt>
                <c:pt idx="12">
                  <c:v>8.6995147482101913</c:v>
                </c:pt>
                <c:pt idx="13">
                  <c:v>8.987196820661973</c:v>
                </c:pt>
                <c:pt idx="14">
                  <c:v>9.1049798563183568</c:v>
                </c:pt>
                <c:pt idx="15">
                  <c:v>9.2103403719761836</c:v>
                </c:pt>
                <c:pt idx="16">
                  <c:v>9.6158054800843473</c:v>
                </c:pt>
                <c:pt idx="17">
                  <c:v>10.126631103850338</c:v>
                </c:pt>
                <c:pt idx="18">
                  <c:v>10.308952660644293</c:v>
                </c:pt>
              </c:numCache>
            </c:numRef>
          </c:yVal>
          <c:smooth val="0"/>
          <c:extLst>
            <c:ext xmlns:c16="http://schemas.microsoft.com/office/drawing/2014/chart" uri="{C3380CC4-5D6E-409C-BE32-E72D297353CC}">
              <c16:uniqueId val="{00000000-867D-4D3F-8BD3-A54C8149B32D}"/>
            </c:ext>
          </c:extLst>
        </c:ser>
        <c:dLbls>
          <c:showLegendKey val="0"/>
          <c:showVal val="0"/>
          <c:showCatName val="0"/>
          <c:showSerName val="0"/>
          <c:showPercent val="0"/>
          <c:showBubbleSize val="0"/>
        </c:dLbls>
        <c:axId val="937938584"/>
        <c:axId val="958030096"/>
      </c:scatterChart>
      <c:valAx>
        <c:axId val="9379385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030096"/>
        <c:crosses val="autoZero"/>
        <c:crossBetween val="midCat"/>
      </c:valAx>
      <c:valAx>
        <c:axId val="95803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938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Notes'!$T$584</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5149387576552928E-2"/>
                  <c:y val="0.1523611111111111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yVal>
            <c:numRef>
              <c:f>'Table S4 Conversions and Notes'!$T$585:$T$601</c:f>
              <c:numCache>
                <c:formatCode>0.00</c:formatCode>
                <c:ptCount val="17"/>
                <c:pt idx="0">
                  <c:v>5.7037824746562009</c:v>
                </c:pt>
                <c:pt idx="1">
                  <c:v>5.9914645471079817</c:v>
                </c:pt>
                <c:pt idx="2">
                  <c:v>6.3969296552161463</c:v>
                </c:pt>
                <c:pt idx="3">
                  <c:v>6.5510803350434044</c:v>
                </c:pt>
                <c:pt idx="4">
                  <c:v>6.6846117276679271</c:v>
                </c:pt>
                <c:pt idx="5">
                  <c:v>6.8023947633243109</c:v>
                </c:pt>
                <c:pt idx="6">
                  <c:v>6.9077552789821368</c:v>
                </c:pt>
                <c:pt idx="7">
                  <c:v>7.3132203870903014</c:v>
                </c:pt>
                <c:pt idx="8">
                  <c:v>7.6009024595420822</c:v>
                </c:pt>
                <c:pt idx="9">
                  <c:v>8.0063675676502459</c:v>
                </c:pt>
                <c:pt idx="10">
                  <c:v>8.2940496401020276</c:v>
                </c:pt>
                <c:pt idx="11">
                  <c:v>8.5171931914162382</c:v>
                </c:pt>
                <c:pt idx="12">
                  <c:v>8.6995147482101913</c:v>
                </c:pt>
                <c:pt idx="13">
                  <c:v>8.8536654280374503</c:v>
                </c:pt>
                <c:pt idx="14">
                  <c:v>8.9226582995244019</c:v>
                </c:pt>
                <c:pt idx="15">
                  <c:v>8.987196820661973</c:v>
                </c:pt>
                <c:pt idx="16">
                  <c:v>9.1049798563183568</c:v>
                </c:pt>
              </c:numCache>
            </c:numRef>
          </c:yVal>
          <c:smooth val="0"/>
          <c:extLst>
            <c:ext xmlns:c16="http://schemas.microsoft.com/office/drawing/2014/chart" uri="{C3380CC4-5D6E-409C-BE32-E72D297353CC}">
              <c16:uniqueId val="{00000000-2AE8-456B-BB51-967B2ABAA189}"/>
            </c:ext>
          </c:extLst>
        </c:ser>
        <c:dLbls>
          <c:showLegendKey val="0"/>
          <c:showVal val="0"/>
          <c:showCatName val="0"/>
          <c:showSerName val="0"/>
          <c:showPercent val="0"/>
          <c:showBubbleSize val="0"/>
        </c:dLbls>
        <c:axId val="1179490048"/>
        <c:axId val="1179501856"/>
      </c:scatterChart>
      <c:valAx>
        <c:axId val="117949004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501856"/>
        <c:crosses val="autoZero"/>
        <c:crossBetween val="midCat"/>
      </c:valAx>
      <c:valAx>
        <c:axId val="1179501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490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Notes'!$T$610</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4615048118985128E-2"/>
                  <c:y val="0.2060571595217264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yVal>
            <c:numRef>
              <c:f>'Table S4 Conversions and Notes'!$T$611:$T$619</c:f>
              <c:numCache>
                <c:formatCode>0.00</c:formatCode>
                <c:ptCount val="9"/>
                <c:pt idx="0">
                  <c:v>-6.2695013385298912</c:v>
                </c:pt>
                <c:pt idx="1">
                  <c:v>-5.8734702626550854</c:v>
                </c:pt>
                <c:pt idx="2">
                  <c:v>-5.6195263298351543</c:v>
                </c:pt>
                <c:pt idx="3">
                  <c:v>-5.0107202977089607</c:v>
                </c:pt>
                <c:pt idx="4">
                  <c:v>-4.4229336328068412</c:v>
                </c:pt>
                <c:pt idx="5">
                  <c:v>-3.8506993809122072</c:v>
                </c:pt>
                <c:pt idx="6">
                  <c:v>-3.5155715316769878</c:v>
                </c:pt>
                <c:pt idx="7">
                  <c:v>-3.4589114981114966</c:v>
                </c:pt>
                <c:pt idx="8">
                  <c:v>-3.4012823852748602</c:v>
                </c:pt>
              </c:numCache>
            </c:numRef>
          </c:yVal>
          <c:smooth val="0"/>
          <c:extLst>
            <c:ext xmlns:c16="http://schemas.microsoft.com/office/drawing/2014/chart" uri="{C3380CC4-5D6E-409C-BE32-E72D297353CC}">
              <c16:uniqueId val="{00000000-E126-4665-9FFC-22C7A882674D}"/>
            </c:ext>
          </c:extLst>
        </c:ser>
        <c:dLbls>
          <c:showLegendKey val="0"/>
          <c:showVal val="0"/>
          <c:showCatName val="0"/>
          <c:showSerName val="0"/>
          <c:showPercent val="0"/>
          <c:showBubbleSize val="0"/>
        </c:dLbls>
        <c:axId val="1179492344"/>
        <c:axId val="1179498904"/>
      </c:scatterChart>
      <c:valAx>
        <c:axId val="117949234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498904"/>
        <c:crosses val="autoZero"/>
        <c:crossBetween val="midCat"/>
      </c:valAx>
      <c:valAx>
        <c:axId val="1179498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492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3.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5" Type="http://schemas.openxmlformats.org/officeDocument/2006/relationships/chart" Target="../charts/chart24.xml"/><Relationship Id="rId2" Type="http://schemas.openxmlformats.org/officeDocument/2006/relationships/chart" Target="../charts/chart2.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10.xml"/><Relationship Id="rId24" Type="http://schemas.openxmlformats.org/officeDocument/2006/relationships/chart" Target="../charts/chart23.xml"/><Relationship Id="rId5" Type="http://schemas.openxmlformats.org/officeDocument/2006/relationships/chart" Target="../charts/chart5.xml"/><Relationship Id="rId15" Type="http://schemas.openxmlformats.org/officeDocument/2006/relationships/chart" Target="../charts/chart14.xml"/><Relationship Id="rId23" Type="http://schemas.openxmlformats.org/officeDocument/2006/relationships/chart" Target="../charts/chart22.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26</xdr:col>
      <xdr:colOff>404071</xdr:colOff>
      <xdr:row>14</xdr:row>
      <xdr:rowOff>4867</xdr:rowOff>
    </xdr:from>
    <xdr:to>
      <xdr:col>32</xdr:col>
      <xdr:colOff>453401</xdr:colOff>
      <xdr:row>23</xdr:row>
      <xdr:rowOff>94089</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388631</xdr:colOff>
      <xdr:row>60</xdr:row>
      <xdr:rowOff>65692</xdr:rowOff>
    </xdr:from>
    <xdr:to>
      <xdr:col>33</xdr:col>
      <xdr:colOff>70497</xdr:colOff>
      <xdr:row>74</xdr:row>
      <xdr:rowOff>167553</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199179</xdr:colOff>
      <xdr:row>2</xdr:row>
      <xdr:rowOff>3811</xdr:rowOff>
    </xdr:from>
    <xdr:to>
      <xdr:col>30</xdr:col>
      <xdr:colOff>560917</xdr:colOff>
      <xdr:row>12</xdr:row>
      <xdr:rowOff>17780</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210186</xdr:colOff>
      <xdr:row>29</xdr:row>
      <xdr:rowOff>143722</xdr:rowOff>
    </xdr:from>
    <xdr:to>
      <xdr:col>51</xdr:col>
      <xdr:colOff>95250</xdr:colOff>
      <xdr:row>60</xdr:row>
      <xdr:rowOff>10160</xdr:rowOff>
    </xdr:to>
    <xdr:graphicFrame macro="">
      <xdr:nvGraphicFramePr>
        <xdr:cNvPr id="14" name="Chart 13">
          <a:extLst>
            <a:ext uri="{FF2B5EF4-FFF2-40B4-BE49-F238E27FC236}">
              <a16:creationId xmlns:a16="http://schemas.microsoft.com/office/drawing/2014/main" id="{00000000-0008-0000-0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148166</xdr:colOff>
      <xdr:row>75</xdr:row>
      <xdr:rowOff>141817</xdr:rowOff>
    </xdr:from>
    <xdr:to>
      <xdr:col>32</xdr:col>
      <xdr:colOff>793750</xdr:colOff>
      <xdr:row>90</xdr:row>
      <xdr:rowOff>27517</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254000</xdr:colOff>
      <xdr:row>91</xdr:row>
      <xdr:rowOff>42333</xdr:rowOff>
    </xdr:from>
    <xdr:to>
      <xdr:col>29</xdr:col>
      <xdr:colOff>536871</xdr:colOff>
      <xdr:row>94</xdr:row>
      <xdr:rowOff>149105</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20531667" y="16615833"/>
          <a:ext cx="2124371" cy="657317"/>
        </a:xfrm>
        <a:prstGeom prst="rect">
          <a:avLst/>
        </a:prstGeom>
      </xdr:spPr>
    </xdr:pic>
    <xdr:clientData/>
  </xdr:twoCellAnchor>
  <xdr:twoCellAnchor>
    <xdr:from>
      <xdr:col>25</xdr:col>
      <xdr:colOff>571501</xdr:colOff>
      <xdr:row>94</xdr:row>
      <xdr:rowOff>99484</xdr:rowOff>
    </xdr:from>
    <xdr:to>
      <xdr:col>32</xdr:col>
      <xdr:colOff>603251</xdr:colOff>
      <xdr:row>108</xdr:row>
      <xdr:rowOff>175684</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587374</xdr:colOff>
      <xdr:row>110</xdr:row>
      <xdr:rowOff>25400</xdr:rowOff>
    </xdr:from>
    <xdr:to>
      <xdr:col>32</xdr:col>
      <xdr:colOff>619124</xdr:colOff>
      <xdr:row>124</xdr:row>
      <xdr:rowOff>101600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582083</xdr:colOff>
      <xdr:row>126</xdr:row>
      <xdr:rowOff>10584</xdr:rowOff>
    </xdr:from>
    <xdr:to>
      <xdr:col>32</xdr:col>
      <xdr:colOff>550333</xdr:colOff>
      <xdr:row>137</xdr:row>
      <xdr:rowOff>165100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179917</xdr:colOff>
      <xdr:row>139</xdr:row>
      <xdr:rowOff>158749</xdr:rowOff>
    </xdr:from>
    <xdr:to>
      <xdr:col>34</xdr:col>
      <xdr:colOff>31750</xdr:colOff>
      <xdr:row>153</xdr:row>
      <xdr:rowOff>105832</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492125</xdr:colOff>
      <xdr:row>154</xdr:row>
      <xdr:rowOff>148166</xdr:rowOff>
    </xdr:from>
    <xdr:to>
      <xdr:col>40</xdr:col>
      <xdr:colOff>164041</xdr:colOff>
      <xdr:row>166</xdr:row>
      <xdr:rowOff>154516</xdr:rowOff>
    </xdr:to>
    <xdr:graphicFrame macro="">
      <xdr:nvGraphicFramePr>
        <xdr:cNvPr id="23" name="Chart 22">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508001</xdr:colOff>
      <xdr:row>172</xdr:row>
      <xdr:rowOff>105833</xdr:rowOff>
    </xdr:from>
    <xdr:to>
      <xdr:col>36</xdr:col>
      <xdr:colOff>63501</xdr:colOff>
      <xdr:row>184</xdr:row>
      <xdr:rowOff>112183</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245321</xdr:colOff>
      <xdr:row>185</xdr:row>
      <xdr:rowOff>127424</xdr:rowOff>
    </xdr:from>
    <xdr:to>
      <xdr:col>35</xdr:col>
      <xdr:colOff>484928</xdr:colOff>
      <xdr:row>200</xdr:row>
      <xdr:rowOff>173779</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179917</xdr:colOff>
      <xdr:row>338</xdr:row>
      <xdr:rowOff>0</xdr:rowOff>
    </xdr:from>
    <xdr:to>
      <xdr:col>25</xdr:col>
      <xdr:colOff>656167</xdr:colOff>
      <xdr:row>352</xdr:row>
      <xdr:rowOff>76200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169333</xdr:colOff>
      <xdr:row>362</xdr:row>
      <xdr:rowOff>184150</xdr:rowOff>
    </xdr:from>
    <xdr:to>
      <xdr:col>26</xdr:col>
      <xdr:colOff>412750</xdr:colOff>
      <xdr:row>377</xdr:row>
      <xdr:rowOff>69850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148166</xdr:colOff>
      <xdr:row>381</xdr:row>
      <xdr:rowOff>14817</xdr:rowOff>
    </xdr:from>
    <xdr:to>
      <xdr:col>26</xdr:col>
      <xdr:colOff>391583</xdr:colOff>
      <xdr:row>395</xdr:row>
      <xdr:rowOff>91017</xdr:rowOff>
    </xdr:to>
    <xdr:graphicFrame macro="">
      <xdr:nvGraphicFramePr>
        <xdr:cNvPr id="21" name="Chart 20">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95249</xdr:colOff>
      <xdr:row>399</xdr:row>
      <xdr:rowOff>120650</xdr:rowOff>
    </xdr:from>
    <xdr:to>
      <xdr:col>26</xdr:col>
      <xdr:colOff>338666</xdr:colOff>
      <xdr:row>414</xdr:row>
      <xdr:rowOff>6350</xdr:rowOff>
    </xdr:to>
    <xdr:graphicFrame macro="">
      <xdr:nvGraphicFramePr>
        <xdr:cNvPr id="22" name="Chart 21">
          <a:extLst>
            <a:ext uri="{FF2B5EF4-FFF2-40B4-BE49-F238E27FC236}">
              <a16:creationId xmlns:a16="http://schemas.microsoft.com/office/drawing/2014/main" id="{00000000-0008-0000-0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264583</xdr:colOff>
      <xdr:row>381</xdr:row>
      <xdr:rowOff>25400</xdr:rowOff>
    </xdr:from>
    <xdr:to>
      <xdr:col>39</xdr:col>
      <xdr:colOff>508000</xdr:colOff>
      <xdr:row>395</xdr:row>
      <xdr:rowOff>101600</xdr:rowOff>
    </xdr:to>
    <xdr:graphicFrame macro="">
      <xdr:nvGraphicFramePr>
        <xdr:cNvPr id="24" name="Chart 23">
          <a:extLst>
            <a:ext uri="{FF2B5EF4-FFF2-40B4-BE49-F238E27FC236}">
              <a16:creationId xmlns:a16="http://schemas.microsoft.com/office/drawing/2014/main" id="{00000000-0008-0000-01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35</xdr:col>
      <xdr:colOff>116417</xdr:colOff>
      <xdr:row>399</xdr:row>
      <xdr:rowOff>78317</xdr:rowOff>
    </xdr:from>
    <xdr:to>
      <xdr:col>40</xdr:col>
      <xdr:colOff>359834</xdr:colOff>
      <xdr:row>413</xdr:row>
      <xdr:rowOff>154517</xdr:rowOff>
    </xdr:to>
    <xdr:graphicFrame macro="">
      <xdr:nvGraphicFramePr>
        <xdr:cNvPr id="25" name="Chart 24">
          <a:extLst>
            <a:ext uri="{FF2B5EF4-FFF2-40B4-BE49-F238E27FC236}">
              <a16:creationId xmlns:a16="http://schemas.microsoft.com/office/drawing/2014/main" id="{00000000-0008-0000-0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50</xdr:col>
      <xdr:colOff>391583</xdr:colOff>
      <xdr:row>379</xdr:row>
      <xdr:rowOff>173566</xdr:rowOff>
    </xdr:from>
    <xdr:to>
      <xdr:col>58</xdr:col>
      <xdr:colOff>52916</xdr:colOff>
      <xdr:row>394</xdr:row>
      <xdr:rowOff>59266</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50</xdr:col>
      <xdr:colOff>291041</xdr:colOff>
      <xdr:row>395</xdr:row>
      <xdr:rowOff>78317</xdr:rowOff>
    </xdr:from>
    <xdr:to>
      <xdr:col>57</xdr:col>
      <xdr:colOff>566208</xdr:colOff>
      <xdr:row>409</xdr:row>
      <xdr:rowOff>154517</xdr:rowOff>
    </xdr:to>
    <xdr:graphicFrame macro="">
      <xdr:nvGraphicFramePr>
        <xdr:cNvPr id="26" name="Chart 25">
          <a:extLst>
            <a:ext uri="{FF2B5EF4-FFF2-40B4-BE49-F238E27FC236}">
              <a16:creationId xmlns:a16="http://schemas.microsoft.com/office/drawing/2014/main" id="{00000000-0008-0000-01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21</xdr:col>
      <xdr:colOff>529167</xdr:colOff>
      <xdr:row>535</xdr:row>
      <xdr:rowOff>147108</xdr:rowOff>
    </xdr:from>
    <xdr:to>
      <xdr:col>27</xdr:col>
      <xdr:colOff>370417</xdr:colOff>
      <xdr:row>550</xdr:row>
      <xdr:rowOff>32808</xdr:rowOff>
    </xdr:to>
    <xdr:graphicFrame macro="">
      <xdr:nvGraphicFramePr>
        <xdr:cNvPr id="27" name="Chart 26">
          <a:extLst>
            <a:ext uri="{FF2B5EF4-FFF2-40B4-BE49-F238E27FC236}">
              <a16:creationId xmlns:a16="http://schemas.microsoft.com/office/drawing/2014/main" id="{00000000-0008-0000-01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724958</xdr:colOff>
      <xdr:row>555</xdr:row>
      <xdr:rowOff>30691</xdr:rowOff>
    </xdr:from>
    <xdr:to>
      <xdr:col>26</xdr:col>
      <xdr:colOff>227541</xdr:colOff>
      <xdr:row>569</xdr:row>
      <xdr:rowOff>106891</xdr:rowOff>
    </xdr:to>
    <xdr:graphicFrame macro="">
      <xdr:nvGraphicFramePr>
        <xdr:cNvPr id="31" name="Chart 30">
          <a:extLst>
            <a:ext uri="{FF2B5EF4-FFF2-40B4-BE49-F238E27FC236}">
              <a16:creationId xmlns:a16="http://schemas.microsoft.com/office/drawing/2014/main" id="{00000000-0008-0000-01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21</xdr:col>
      <xdr:colOff>492124</xdr:colOff>
      <xdr:row>582</xdr:row>
      <xdr:rowOff>147108</xdr:rowOff>
    </xdr:from>
    <xdr:to>
      <xdr:col>27</xdr:col>
      <xdr:colOff>333374</xdr:colOff>
      <xdr:row>597</xdr:row>
      <xdr:rowOff>32808</xdr:rowOff>
    </xdr:to>
    <xdr:graphicFrame macro="">
      <xdr:nvGraphicFramePr>
        <xdr:cNvPr id="32" name="Chart 31">
          <a:extLst>
            <a:ext uri="{FF2B5EF4-FFF2-40B4-BE49-F238E27FC236}">
              <a16:creationId xmlns:a16="http://schemas.microsoft.com/office/drawing/2014/main" id="{00000000-0008-0000-01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21</xdr:col>
      <xdr:colOff>449791</xdr:colOff>
      <xdr:row>605</xdr:row>
      <xdr:rowOff>189441</xdr:rowOff>
    </xdr:from>
    <xdr:to>
      <xdr:col>27</xdr:col>
      <xdr:colOff>291041</xdr:colOff>
      <xdr:row>620</xdr:row>
      <xdr:rowOff>75141</xdr:rowOff>
    </xdr:to>
    <xdr:graphicFrame macro="">
      <xdr:nvGraphicFramePr>
        <xdr:cNvPr id="33" name="Chart 32">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toronto-my.sharepoint.com/personal/tim_rodgers_utoronto_ca/Documents/University/_Active%20Projects/VP%20Papers/FAV%20Literature%20Search/Manuscript/Rodgers%20et%20al.%20SI%20Data%20Tab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2 Compound Identifiers"/>
      <sheetName val="Table S3 Literature Values"/>
      <sheetName val="Table S4 Convs, Notes, Refs"/>
      <sheetName val="Table S4 Recommended Values"/>
      <sheetName val="Table S7 Model Values"/>
    </sheetNames>
    <sheetDataSet>
      <sheetData sheetId="0"/>
      <sheetData sheetId="1"/>
      <sheetData sheetId="2"/>
      <sheetData sheetId="3"/>
      <sheetData sheetId="4"/>
    </sheetDataSet>
  </externalBook>
</externalLink>
</file>

<file path=xl/persons/person.xml><?xml version="1.0" encoding="utf-8"?>
<personList xmlns="http://schemas.microsoft.com/office/spreadsheetml/2018/threadedcomments" xmlns:x="http://schemas.openxmlformats.org/spreadsheetml/2006/main">
  <person displayName="Tim Rodgers" id="{0262AED4-BCD2-4FC4-ACE1-6A982FC09EDE}" userId="Tim Rodgers" providerId="None"/>
  <person displayName="Kyle Girdhari" id="{0CBEFDD3-1112-4865-AB98-B07E8761A9DA}" userId="Kyle Girdhari" providerId="None"/>
  <person displayName="Timothy Rodgers" id="{022A9003-4527-41F6-96B8-8156A4B280FC}" userId="Timothy Rodgers" providerId="None"/>
  <person displayName="Kyle Girdhari" id="{B3C184C3-8338-4CCA-B676-C20C10183F64}" userId="kyle.girdhari@mail.utoronto.ca" providerId="PeoplePicker"/>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820ADA6-1C85-4438-B7D4-3A2CC59D79A0}" name="Table6" displayName="Table6" ref="A5:A237" totalsRowShown="0" headerRowDxfId="52" dataDxfId="51">
  <autoFilter ref="A5:A237" xr:uid="{092C6094-ECE2-4AA6-BD0C-9AEE4A927F79}"/>
  <sortState ref="A6:A237">
    <sortCondition ref="A5:A237"/>
  </sortState>
  <tableColumns count="1">
    <tableColumn id="1" xr3:uid="{E2E8D87D-6896-44DB-AB3B-B377B84833A5}" name="References " dataDxfId="5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741F51-F395-4F5A-B8C7-7CC6378092CA}" name="Table245" displayName="Table245" ref="B5:AU3537" totalsRowShown="0" headerRowDxfId="48" dataDxfId="47" tableBorderDxfId="46">
  <autoFilter ref="B5:AU3537" xr:uid="{6601A313-322A-4FF2-8BCF-756CA9848E8F}"/>
  <tableColumns count="46">
    <tableColumn id="1" xr3:uid="{51F65013-D733-410F-AA60-C5E0091448BC}" name="Class" dataDxfId="45">
      <calculatedColumnFormula>'Table S2 Compound Identifiers'!C8</calculatedColumnFormula>
    </tableColumn>
    <tableColumn id="2" xr3:uid="{65ED4914-15B9-49C1-A29A-404DA0A0E165}" name="Order" dataDxfId="44">
      <calculatedColumnFormula>COUNTIF($D$6:D6,"&lt;&gt;"&amp;"")</calculatedColumnFormula>
    </tableColumn>
    <tableColumn id="3" xr3:uid="{E536BF7C-79AB-4FAF-A4D8-1006BBE2C98E}" name="Compound Name" dataDxfId="43">
      <calculatedColumnFormula>'Table S2 Compound Identifiers'!B8</calculatedColumnFormula>
    </tableColumn>
    <tableColumn id="4" xr3:uid="{EE19FE6E-3FBA-4345-B39B-D3A75A591A0C}" name="CAS No." dataDxfId="42">
      <calculatedColumnFormula>VLOOKUP(RAVs!$D6,'Table S3 Literature Values'!$A$10:$AV$551,E$4,FALSE)</calculatedColumnFormula>
    </tableColumn>
    <tableColumn id="5" xr3:uid="{41E884C8-1B1A-4C3D-946C-3D597F4928DE}" name="∆VAPH/kJ·mol-1" dataDxfId="41">
      <calculatedColumnFormula>VLOOKUP(Table245[[#This Row],[Compound Name]],'Table S6 Recommended Values'!$A$10:$BD$398,RAVs!F$4,FALSE)</calculatedColumnFormula>
    </tableColumn>
    <tableColumn id="6" xr3:uid="{F5634BC7-2611-4CC5-888D-245701B34E8D}" name="∆VAPH SD" dataDxfId="40">
      <calculatedColumnFormula array="1">INDEX('Table S6 Recommended Values'!$A$10:$BD$398,MATCH(RAVs!$D6,'Table S6 Recommended Values'!$A$10:$A$398,0)+1,G$4)</calculatedColumnFormula>
    </tableColumn>
    <tableColumn id="33" xr3:uid="{342CED33-C4BB-4E73-80A6-0037B829F27F}" name="Column2" dataDxfId="39"/>
    <tableColumn id="7" xr3:uid="{DF098814-A2D5-4444-979F-67D9780D1390}" name="∆WH/kJ·mol-1" dataDxfId="38">
      <calculatedColumnFormula>VLOOKUP(Table245[[#This Row],[Compound Name]],'Table S6 Recommended Values'!$A$10:$BD$398,RAVs!I$4,FALSE)</calculatedColumnFormula>
    </tableColumn>
    <tableColumn id="8" xr3:uid="{D42E3496-7850-4771-888B-B840C56CA6E1}" name="∆WH SD" dataDxfId="37">
      <calculatedColumnFormula array="1">INDEX('Table S6 Recommended Values'!$A$10:$BD$398,MATCH(RAVs!$D6,'Table S6 Recommended Values'!$A$10:$A$398,0)+1,J$4)</calculatedColumnFormula>
    </tableColumn>
    <tableColumn id="34" xr3:uid="{CC270E2F-7E3C-4921-90F6-D3E7D11D4E52}" name="Column1" dataDxfId="36"/>
    <tableColumn id="9" xr3:uid="{F0EDF618-5738-4AEF-B028-E1962BDED0C3}" name="∆OH/kJ·mol-1" dataDxfId="35">
      <calculatedColumnFormula>VLOOKUP(Table245[[#This Row],[Compound Name]],'Table S6 Recommended Values'!$A$10:$BD$398,RAVs!L$4,FALSE)</calculatedColumnFormula>
    </tableColumn>
    <tableColumn id="10" xr3:uid="{591C986A-7503-47C4-90C9-067AED01285F}" name="∆OH SD" dataDxfId="34">
      <calculatedColumnFormula array="1">INDEX('Table S6 Recommended Values'!$A$10:$BD$398,MATCH(RAVs!$D6,'Table S6 Recommended Values'!$A$10:$A$398,0)+1,M$4)</calculatedColumnFormula>
    </tableColumn>
    <tableColumn id="35" xr3:uid="{10CAA123-091C-488D-988F-5F0FD5F6F2DE}" name="Column6" dataDxfId="33"/>
    <tableColumn id="11" xr3:uid="{48744715-A152-4BC9-92FE-32D5B696AC2E}" name="∆OAU/kJ·mol-1" dataDxfId="32">
      <calculatedColumnFormula>VLOOKUP(Table245[[#This Row],[Compound Name]],'Table S6 Recommended Values'!$A$10:$BD$398,RAVs!O$4,FALSE)</calculatedColumnFormula>
    </tableColumn>
    <tableColumn id="12" xr3:uid="{37424C3A-9C50-4534-9602-8E3EE7CC73E4}" name="∆OAU SD" dataDxfId="31">
      <calculatedColumnFormula array="1">INDEX('Table S6 Recommended Values'!$A$10:$BD$398,MATCH(RAVs!$D6,'Table S6 Recommended Values'!$A$10:$A$398,0)+1,P$4)</calculatedColumnFormula>
    </tableColumn>
    <tableColumn id="36" xr3:uid="{29D63054-7301-4E96-9401-FC843267CC39}" name="Column5" dataDxfId="30"/>
    <tableColumn id="13" xr3:uid="{6CE4D0E4-96E2-4EFF-B09F-9BE2A12DFC26}" name="∆AW/kJ·mol-1" dataDxfId="29">
      <calculatedColumnFormula>VLOOKUP(Table245[[#This Row],[Compound Name]],'Table S6 Recommended Values'!$A$10:$BD$398,RAVs!R$4,FALSE)</calculatedColumnFormula>
    </tableColumn>
    <tableColumn id="14" xr3:uid="{9B72029C-B8CE-4754-B46F-A4EEFF2714BD}" name="∆AWU SD" dataDxfId="28">
      <calculatedColumnFormula array="1">INDEX('Table S6 Recommended Values'!$A$10:$BD$398,MATCH(RAVs!$D6,'Table S6 Recommended Values'!$A$10:$A$398,0)+1,S$4)</calculatedColumnFormula>
    </tableColumn>
    <tableColumn id="37" xr3:uid="{CBDDF0F2-4B66-4F51-9583-4F7BA7165B94}" name="Column4" dataDxfId="27"/>
    <tableColumn id="15" xr3:uid="{ECE9D909-D1A0-4029-A708-ABFB4169CE12}" name="∆OW/kJ·mol-1" dataDxfId="26">
      <calculatedColumnFormula>VLOOKUP(Table245[[#This Row],[Compound Name]],'Table S6 Recommended Values'!$A$10:$BD$398,RAVs!U$4,FALSE)</calculatedColumnFormula>
    </tableColumn>
    <tableColumn id="16" xr3:uid="{22D18875-C88E-4501-ADEB-1D0F63442520}" name="∆OWU SD" dataDxfId="25">
      <calculatedColumnFormula array="1">INDEX('Table S6 Recommended Values'!$A$10:$BD$398,MATCH(RAVs!$D6,'Table S6 Recommended Values'!$A$10:$A$398,0)+1,V$4)</calculatedColumnFormula>
    </tableColumn>
    <tableColumn id="38" xr3:uid="{F8B3CAE0-AE71-41DE-BB7C-C576B92394F4}" name="Column3" dataDxfId="24"/>
    <tableColumn id="17" xr3:uid="{15AA2D58-1F2D-4D11-B7BA-7428833F3FBC}" name="LogKOA" dataDxfId="23">
      <calculatedColumnFormula>VLOOKUP(Table245[[#This Row],[Compound Name]],'Table S6 Recommended Values'!$A$10:$BF$398,RAVs!X$4,FALSE)</calculatedColumnFormula>
    </tableColumn>
    <tableColumn id="18" xr3:uid="{1AEB8C75-068C-47A2-AB4C-7F297E3F3BEE}" name="LogKOA SD" dataDxfId="22">
      <calculatedColumnFormula array="1">INDEX('Table S6 Recommended Values'!$A$10:$BF$398,MATCH(RAVs!$D6,'Table S6 Recommended Values'!$A$10:$A$398,0)+1,Y$4)</calculatedColumnFormula>
    </tableColumn>
    <tableColumn id="39" xr3:uid="{287E19BE-01B1-4F87-9B22-BD6793BAED9E}" name="Column7" dataDxfId="21"/>
    <tableColumn id="19" xr3:uid="{C5113037-5273-4B1F-A0DF-EE9BFB297683}" name="LogKOW" dataDxfId="20">
      <calculatedColumnFormula>VLOOKUP(Table245[[#This Row],[Compound Name]],'Table S6 Recommended Values'!$A$10:$BF$398,RAVs!AA$4,FALSE)</calculatedColumnFormula>
    </tableColumn>
    <tableColumn id="20" xr3:uid="{124C7931-B2FD-46A1-9D1E-AACF82EBF00B}" name="LogKOW SD" dataDxfId="19">
      <calculatedColumnFormula array="1">INDEX('Table S6 Recommended Values'!$A$10:$BF$398,MATCH(RAVs!$D6,'Table S6 Recommended Values'!$A$10:$A$398,0)+1,AB$4)</calculatedColumnFormula>
    </tableColumn>
    <tableColumn id="40" xr3:uid="{713B3B9D-E3FD-4F5B-A65A-6C19EAA60F2F}" name="Column8" dataDxfId="18"/>
    <tableColumn id="21" xr3:uid="{CD774902-D4B2-41EB-A456-3EC2AF5A5DF7}" name="LogKAW" dataDxfId="17">
      <calculatedColumnFormula>VLOOKUP(Table245[[#This Row],[Compound Name]],'Table S6 Recommended Values'!$A$10:$BF$398,RAVs!AD$4,FALSE)</calculatedColumnFormula>
    </tableColumn>
    <tableColumn id="22" xr3:uid="{3566341C-0103-4AF2-9306-28D8C31D654C}" name="LogKAW SD" dataDxfId="16">
      <calculatedColumnFormula array="1">INDEX('Table S6 Recommended Values'!$A$10:$BF$398,MATCH(RAVs!$D6,'Table S6 Recommended Values'!$A$10:$A$398,0)+1,AE$4)</calculatedColumnFormula>
    </tableColumn>
    <tableColumn id="41" xr3:uid="{20F81802-EFA6-41B8-B55A-B15BBF9D6417}" name="Column9" dataDxfId="15"/>
    <tableColumn id="23" xr3:uid="{CFAB58A1-EE43-4FFF-8617-A4F351B875A6}" name="LogPL" dataDxfId="14">
      <calculatedColumnFormula>VLOOKUP(Table245[[#This Row],[Compound Name]],'Table S6 Recommended Values'!$A$10:$BF$398,RAVs!AG$4,FALSE)</calculatedColumnFormula>
    </tableColumn>
    <tableColumn id="24" xr3:uid="{D13653FE-CD29-42AE-B80E-F63AD4425408}" name="LogPL SD" dataDxfId="13">
      <calculatedColumnFormula array="1">INDEX('Table S6 Recommended Values'!$A$10:$BF$398,MATCH(RAVs!$D6,'Table S6 Recommended Values'!$A$10:$A$398,0)+1,AH$4)</calculatedColumnFormula>
    </tableColumn>
    <tableColumn id="42" xr3:uid="{6EDCB0E2-D61A-4991-AE18-9E0943DB1E23}" name="Column10" dataDxfId="12"/>
    <tableColumn id="25" xr3:uid="{12D3970D-3EEA-4BDE-9056-5468BD9C04D1}" name="LogSWL" dataDxfId="11">
      <calculatedColumnFormula>VLOOKUP(Table245[[#This Row],[Compound Name]],'Table S6 Recommended Values'!$A$10:$BF$398,RAVs!AJ$4,FALSE)</calculatedColumnFormula>
    </tableColumn>
    <tableColumn id="26" xr3:uid="{5993F5E4-E31E-428C-8236-DB8574B7CDF5}" name="LogSWL SD" dataDxfId="10">
      <calculatedColumnFormula array="1">INDEX('Table S6 Recommended Values'!$A$10:$BF$398,MATCH(RAVs!$D6,'Table S6 Recommended Values'!$A$10:$A$398,0)+1,AK$4)</calculatedColumnFormula>
    </tableColumn>
    <tableColumn id="43" xr3:uid="{A297500D-3FE5-4540-A1B5-FB6178E47A72}" name="Column11" dataDxfId="9"/>
    <tableColumn id="27" xr3:uid="{25CA7FF5-DB14-4FF4-81F6-9BC57CF576E3}" name="LogSOL" dataDxfId="8">
      <calculatedColumnFormula>VLOOKUP(Table245[[#This Row],[Compound Name]],'Table S6 Recommended Values'!$A$10:$BF$398,RAVs!AM$4,FALSE)</calculatedColumnFormula>
    </tableColumn>
    <tableColumn id="28" xr3:uid="{1100A764-9F98-4413-AA5A-2E4B632C564A}" name="LogSOL SD" dataDxfId="7">
      <calculatedColumnFormula array="1">INDEX('Table S6 Recommended Values'!$A$10:$BF$398,MATCH(RAVs!$D6,'Table S6 Recommended Values'!$A$10:$A$398,0)+1,AN$4)</calculatedColumnFormula>
    </tableColumn>
    <tableColumn id="44" xr3:uid="{757F7B11-D4F2-4F79-AD38-EA7784AEC806}" name="Column12" dataDxfId="6"/>
    <tableColumn id="29" xr3:uid="{3B6030CE-18F6-4623-9B4F-50A588152466}" name="∆fusS" dataDxfId="5">
      <calculatedColumnFormula>VLOOKUP(Table245[[#This Row],[Compound Name]],'Table S6 Recommended Values'!$A$10:$BF$398,RAVs!AP$4,FALSE)</calculatedColumnFormula>
    </tableColumn>
    <tableColumn id="30" xr3:uid="{6D269A7A-5922-4F82-8F27-B2ECA4135092}" name="∆fusS SD" dataDxfId="4">
      <calculatedColumnFormula array="1">INDEX('Table S6 Recommended Values'!$A$10:$BF$398,MATCH(RAVs!$D6,'Table S6 Recommended Values'!$A$10:$A$398,0)+1,AQ$4)</calculatedColumnFormula>
    </tableColumn>
    <tableColumn id="45" xr3:uid="{1DF0638F-0121-425D-9476-C1E290A52C80}" name="Column13" dataDxfId="3"/>
    <tableColumn id="31" xr3:uid="{E86D6A45-BB6D-4528-B91F-13DEA5DD8D77}" name="Tm" dataDxfId="2">
      <calculatedColumnFormula>VLOOKUP(Table245[[#This Row],[Compound Name]],'Table S6 Recommended Values'!$A$10:$BF$398,RAVs!AS$4,FALSE)</calculatedColumnFormula>
    </tableColumn>
    <tableColumn id="32" xr3:uid="{D9F40D8B-A926-4831-9614-E58F32D98AE6}" name="Tm SD" dataDxfId="1">
      <calculatedColumnFormula array="1">INDEX('Table S6 Recommended Values'!$A$10:$BF$398,MATCH(RAVs!$D6,'Table S6 Recommended Values'!$A$10:$A$398,0)+1,AT$4)</calculatedColumnFormula>
    </tableColumn>
    <tableColumn id="46" xr3:uid="{57BF23AE-B1D4-4616-AB09-4BFA602C1A77}" name="Column1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15" dT="2019-10-18T14:45:21.90" personId="{022A9003-4527-41F6-96B8-8156A4B280FC}" id="{21FC0158-16C5-4709-AA6C-9505B12A2195}">
    <text>Need to check in stacks - other source has 338.5K</text>
  </threadedComment>
  <threadedComment ref="AK43" dT="2019-10-07T20:40:49.70" personId="{022A9003-4527-41F6-96B8-8156A4B280FC}" id="{4F1B54CB-EF67-459D-9437-4A711A8FC4BA}">
    <text>Is flask same as shake flask?</text>
  </threadedComment>
  <threadedComment ref="AG44" dT="2019-10-01T16:28:33.38" personId="{022A9003-4527-41F6-96B8-8156A4B280FC}" id="{E13CA91D-C501-4499-AE64-37DD99262A8A}">
    <text>Reference states that the value was measured by PFW (1997), but that the values were published in Balk &amp; Ford 1997 - looks like the values were never published, but probably the same method was used.</text>
  </threadedComment>
  <threadedComment ref="AG46" dT="2019-10-01T16:29:30.05" personId="{022A9003-4527-41F6-96B8-8156A4B280FC}" id="{26CA527B-B0DB-4160-B12A-D7763DD7056C}">
    <text>From the ECHA database, they have 2 reported values as the same at 20°C and 40°C so not sure how reliable this is - I have excluded it from the average in the table</text>
  </threadedComment>
  <threadedComment ref="AD58" dT="2019-10-08T21:05:10.33" personId="{022A9003-4527-41F6-96B8-8156A4B280FC}" id="{9C5D8E82-3B3C-4EF5-9009-8E1D589B2651}">
    <text>headspace autosampler? not sure what the method would be called</text>
  </threadedComment>
  <threadedComment ref="AK64" dT="2019-10-08T14:05:25.47" personId="{022A9003-4527-41F6-96B8-8156A4B280FC}" id="{0A6A919D-DB74-4143-83C7-8964981F3036}">
    <text>Value cited is from a thesis that I couldn't find, the authors had published several other papers without using this number so I feel it is suspicious</text>
  </threadedComment>
  <threadedComment ref="AT76" dT="2019-10-22T21:01:57.00" personId="{022A9003-4527-41F6-96B8-8156A4B280FC}" id="{0A0E11EF-180B-4CE8-94F7-7EFBBA8E4B59}">
    <text>Need to confirm, from CAS database</text>
  </threadedComment>
  <threadedComment ref="W84" dT="2019-10-01T18:31:13.83" personId="{022A9003-4527-41F6-96B8-8156A4B280FC}" id="{34F8BF93-3998-4688-B94B-61D4FD4E1DDD}">
    <text>HD is not defined below the table</text>
  </threadedComment>
  <threadedComment ref="A101" dT="2019-10-23T17:03:49.33" personId="{022A9003-4527-41F6-96B8-8156A4B280FC}" id="{D32E1AAE-BDB0-467D-966E-5B42AAD1CCD1}">
    <text>Kyle - please get the refs &amp; methods for all of the SW-a propertis</text>
  </threadedComment>
  <threadedComment ref="AR134" dT="2019-10-25T18:44:29.74" personId="{022A9003-4527-41F6-96B8-8156A4B280FC}" id="{6DC96CD9-F3AD-4D78-9584-E22F32F67D87}">
    <text>Gerstein Tx501.R472 Reviews of env., cont &amp; toxic 1988 v. 103 pp 1 -60</text>
  </threadedComment>
  <threadedComment ref="AV142" dT="2019-10-28T19:00:53.43" personId="{022A9003-4527-41F6-96B8-8156A4B280FC}" id="{0F984FCA-6620-48A0-80F3-DFB6C7267D72}">
    <text>Requested scanned article</text>
  </threadedComment>
  <threadedComment ref="AK152" dT="2019-10-15T14:11:53.90" personId="{022A9003-4527-41F6-96B8-8156A4B280FC}" id="{E05E498C-76D6-4D56-9014-2175B80C2B1D}">
    <text>RAR had 1080 @ 20C, which is more trustworthy?</text>
  </threadedComment>
  <threadedComment ref="AK161" dT="2019-11-12T17:21:31.26" personId="{022A9003-4527-41F6-96B8-8156A4B280FC}" id="{4C24C232-4C0C-420F-911E-FA33E7CA49F4}">
    <text>These Ho values seem inconsistent with everything else. Method is an extrapolation from mixtures with different levels of organic solvents, is this an acceptable source?</text>
  </threadedComment>
  <threadedComment ref="AS230" dT="2019-11-12T20:16:21.79" personId="{022A9003-4527-41F6-96B8-8156A4B280FC}" id="{453BDE10-E7C9-407A-9245-2184E1FBFD19}">
    <text>Could be over-estimating uncertainty? Muir value has no reference that I can find</text>
  </threadedComment>
  <threadedComment ref="AK460" dT="2020-05-01T21:46:53.96" personId="{0CBEFDD3-1112-4865-AB98-B07E8761A9DA}" id="{A9D70D4F-3F0E-4D23-840C-97DA522F1680}" done="1">
    <text>If possible could you double check this one? I went with what Mackay had, but when I was reading through the paper, it looks like they may have measured at 20C instead of 25C (so it may need the temp conversion).</text>
  </threadedComment>
  <threadedComment ref="AK460" dT="2020-06-02T18:37:39.33" personId="{0262AED4-BCD2-4FC4-ACE1-6A982FC09EDE}" id="{92ED312E-7A44-4215-B7CA-63F136D50E6E}" parentId="{A9D70D4F-3F0E-4D23-840C-97DA522F1680}">
    <text>@Kyle Girdhari you were correct it is at 20C thanks for pointing it out!</text>
    <mentions>
      <mention mentionpersonId="{B3C184C3-8338-4CCA-B676-C20C10183F64}" mentionId="{FED28388-78C5-41AB-A516-0E205D38E2C5}" startIndex="0" length="14"/>
    </mentions>
  </threadedComment>
  <threadedComment ref="AG532" dT="2019-10-03T13:38:05.87" personId="{022A9003-4527-41F6-96B8-8156A4B280FC}" id="{F168A8D8-0050-46BA-9552-8930720168AE}">
    <text>Recalculated this one too using the ECHA measured melting point</text>
  </threadedComment>
  <threadedComment ref="AS536" dT="2019-11-12T22:04:28.17" personId="{022A9003-4527-41F6-96B8-8156A4B280FC}" id="{3FA0754E-0491-4465-9217-5F6DE121A2F8}">
    <text>Probably will not use? No other value though unfortunately. Ec3 says "It is not required to determine the accurate freezing point which is below -20C"</text>
  </threadedComment>
  <threadedComment ref="AG539" dT="2019-10-17T15:38:06.89" personId="{022A9003-4527-41F6-96B8-8156A4B280FC}" id="{CBB72E7C-77C9-42A5-8E09-8E38DFB8E6B4}">
    <text>No information on study is given</text>
  </threadedComment>
  <threadedComment ref="AS542" dT="2019-11-12T22:04:28.17" personId="{022A9003-4527-41F6-96B8-8156A4B280FC}" id="{FC516A43-0B47-41A5-83F8-2D5D834055D8}">
    <text>Probably will not use? No other value though unfortunately. Ec3 says "It is not required to determine the accurate freezing point which is below -20C"</text>
  </threadedComment>
  <threadedComment ref="Y544" dT="2019-10-16T14:59:09.83" personId="{022A9003-4527-41F6-96B8-8156A4B280FC}" id="{36E21CCF-152A-4C01-BF71-E939FCB20F95}">
    <text>Ask Joe about this paper : 10.1002/jssc.201400535</text>
  </threadedComment>
  <threadedComment ref="B556" dT="2019-10-21T13:41:01.25" personId="{022A9003-4527-41F6-96B8-8156A4B280FC}" id="{48736F91-5AAF-4CAD-AA79-C7C901AB8ADB}">
    <text>For properties with only one measurement, we assume a relative standard deviation based on the measurement 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Y13" dT="2019-10-21T13:09:56.53" personId="{022A9003-4527-41F6-96B8-8156A4B280FC}" id="{96232B74-9343-4167-A1C2-AC23EEA41FA3}">
    <text>Slope of CC plot = dU/R -&gt; dU = R*slope</text>
  </threadedComment>
  <threadedComment ref="L148" dT="2020-04-15T13:41:11.16" personId="{0262AED4-BCD2-4FC4-ACE1-6A982FC09EDE}" id="{FC950783-594F-456C-A50C-DCB644703DE1}">
    <text>Check this</text>
  </threadedComment>
</ThreadedComments>
</file>

<file path=xl/threadedComments/threadedComment3.xml><?xml version="1.0" encoding="utf-8"?>
<ThreadedComments xmlns="http://schemas.microsoft.com/office/spreadsheetml/2018/threadedcomments" xmlns:x="http://schemas.openxmlformats.org/spreadsheetml/2006/main">
  <threadedComment ref="A118" dT="2019-10-23T17:03:49.33" personId="{022A9003-4527-41F6-96B8-8156A4B280FC}" id="{0C4A0C0E-BE19-46B9-AF70-8D8E77CD58D0}">
    <text>Kyle - please get the refs &amp; methods for all of the SW-a propertis</text>
  </threadedComment>
  <threadedComment ref="A222" dT="2020-04-14T19:43:18.52" personId="{0262AED4-BCD2-4FC4-ACE1-6A982FC09EDE}" id="{53269661-20C5-4C31-A9BD-2C8B2F96F130}">
    <text>BaP dU RAVs are the PAVs not the LDVs - additional information from modeled values &amp; compounds that were "left-out" of the FAV calculation (as they weren't part of a consistent set) show that the three partition coefficient dUs have an artificially low uncertainty, and don't match with the vapour pressure. Also, the PAVs are a thermodynamically consistent set.</text>
  </threadedComment>
  <threadedComment ref="A257" dT="2020-04-14T19:42:19.64" personId="{0262AED4-BCD2-4FC4-ACE1-6A982FC09EDE}" id="{F682CF4B-06C1-409F-B502-DE3055C75B94}">
    <text>BDE-99 dU RAVs are the PAVs not the LDVs - additional information from modeled values &amp; compounds that were "left-out" of the FAV calculation (as they weren't part of a consistent set) allow the uncertainty to be reduced, and the PAVs are a thermodynamically consistent set.</text>
  </threadedComment>
  <threadedComment ref="B395" dT="2019-11-12T22:44:46.24" personId="{022A9003-4527-41F6-96B8-8156A4B280FC}" id="{1623BC7C-4F71-4893-A5D0-27E7B47D747B}">
    <text>ECHA entry is for CAS 83834-59-7, the trans isomer, which looks the same to me? Need to confirm these are actually the same, under the ECHA registration for CAS 83834-59-7 it states that it was previosuly registered under this CAS no.</text>
  </threadedComment>
</ThreadedComments>
</file>

<file path=xl/threadedComments/threadedComment4.xml><?xml version="1.0" encoding="utf-8"?>
<ThreadedComments xmlns="http://schemas.microsoft.com/office/spreadsheetml/2018/threadedcomments" xmlns:x="http://schemas.openxmlformats.org/spreadsheetml/2006/main">
  <threadedComment ref="A231" dT="2020-06-21T01:34:30.20" personId="{0CBEFDD3-1112-4865-AB98-B07E8761A9DA}" id="{C81FB4FC-467A-4D15-ABD6-D4BAF8BA1E2D}">
    <text>Not accessible for free, so could not verify any of the data from this source</text>
  </threadedComment>
  <threadedComment ref="A232" dT="2020-06-21T03:07:39.38" personId="{0CBEFDD3-1112-4865-AB98-B07E8761A9DA}" id="{45921D39-168D-4838-BF60-7242EB564374}">
    <text>Could not find original</text>
  </threadedComment>
  <threadedComment ref="A233" dT="2020-06-21T03:07:48.09" personId="{0CBEFDD3-1112-4865-AB98-B07E8761A9DA}" id="{BD4E2203-9259-4AEE-9EB3-8AE0A1A8CD04}">
    <text>Original not accessible</text>
  </threadedComment>
  <threadedComment ref="A235" dT="2020-06-21T03:07:56.42" personId="{0CBEFDD3-1112-4865-AB98-B07E8761A9DA}" id="{9B252F62-6248-432B-B412-E20CA2351541}">
    <text>Could not find original</text>
  </threadedComment>
</ThreadedComments>
</file>

<file path=xl/threadedComments/threadedComment5.xml><?xml version="1.0" encoding="utf-8"?>
<ThreadedComments xmlns="http://schemas.microsoft.com/office/spreadsheetml/2018/threadedcomments" xmlns:x="http://schemas.openxmlformats.org/spreadsheetml/2006/main">
  <threadedComment ref="A178" dT="2019-10-23T17:03:49.33" personId="{022A9003-4527-41F6-96B8-8156A4B280FC}" id="{F3119604-C509-4610-AEA8-4586AC6CE3BC}">
    <text>Kyle - please get the refs &amp; methods for all of the SW-a propertis</text>
  </threadedComment>
  <threadedComment ref="B595" dT="2019-11-12T22:44:46.24" personId="{022A9003-4527-41F6-96B8-8156A4B280FC}" id="{D1D13B78-E890-42DE-88C9-E285A87C3741}">
    <text>ECHA entry is for CAS 83834-59-7, the trans isomer, which looks the same to me? Need to confirm these are actually the same, under the ECHA registration for CAS 83834-59-7 it states that it was previosuly registered under this CAS no.</text>
  </threadedComment>
  <threadedComment ref="B606" dT="2019-10-21T13:41:01.25" personId="{022A9003-4527-41F6-96B8-8156A4B280FC}" id="{2F9483CC-3BF7-4EB5-A9D4-E58D47165151}">
    <text>For properties with only one measurement, we assume a relative standard deviation based on the measurement type</text>
  </threadedComment>
  <threadedComment ref="S607" dT="2020-09-10T18:49:35.77" personId="{0262AED4-BCD2-4FC4-ACE1-6A982FC09EDE}" id="{0B62F2E1-D66C-4B7E-BCB9-E753D9D72134}">
    <text>used the ppLFER RMSEN without musks, as it was only for musks that it was quite bad.</text>
  </threadedComment>
  <threadedComment ref="S607" dT="2020-09-10T18:50:14.42" personId="{0262AED4-BCD2-4FC4-ACE1-6A982FC09EDE}" id="{3C1EE579-FB4D-41BD-B910-79127AED3F92}" parentId="{0B62F2E1-D66C-4B7E-BCB9-E753D9D72134}">
    <text>0.4102131477587657</text>
  </threadedComment>
  <threadedComment ref="S611" dT="2020-09-10T18:49:35.77" personId="{0262AED4-BCD2-4FC4-ACE1-6A982FC09EDE}" id="{9D0116C3-22A7-48B8-AC4B-0068AE867FBF}">
    <text>used the ppLFER RMSEN without musks, as it was only for musks that it was quite bad.</text>
  </threadedComment>
  <threadedComment ref="S611" dT="2020-09-10T18:50:14.42" personId="{0262AED4-BCD2-4FC4-ACE1-6A982FC09EDE}" id="{E45518BE-F200-4555-B646-0738886C9A07}" parentId="{9D0116C3-22A7-48B8-AC4B-0068AE867FBF}">
    <text>0.4102131477587657</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C7E01-594F-474D-A0DE-7B05CF7BF8E8}">
  <sheetPr codeName="Sheet4"/>
  <dimension ref="B2:O81"/>
  <sheetViews>
    <sheetView workbookViewId="0">
      <selection activeCell="U12" sqref="U12"/>
    </sheetView>
  </sheetViews>
  <sheetFormatPr defaultRowHeight="15"/>
  <sheetData>
    <row r="2" spans="2:15" ht="15" customHeight="1">
      <c r="B2" s="503" t="s">
        <v>2892</v>
      </c>
      <c r="C2" s="503"/>
      <c r="D2" s="503"/>
      <c r="E2" s="503"/>
      <c r="F2" s="503"/>
      <c r="G2" s="503"/>
      <c r="H2" s="503"/>
      <c r="I2" s="503"/>
      <c r="J2" s="503"/>
      <c r="K2" s="503"/>
      <c r="L2" s="503"/>
      <c r="M2" s="503"/>
      <c r="N2" s="503"/>
      <c r="O2" s="503"/>
    </row>
    <row r="3" spans="2:15" ht="15" customHeight="1">
      <c r="B3" s="503"/>
      <c r="C3" s="503"/>
      <c r="D3" s="503"/>
      <c r="E3" s="503"/>
      <c r="F3" s="503"/>
      <c r="G3" s="503"/>
      <c r="H3" s="503"/>
      <c r="I3" s="503"/>
      <c r="J3" s="503"/>
      <c r="K3" s="503"/>
      <c r="L3" s="503"/>
      <c r="M3" s="503"/>
      <c r="N3" s="503"/>
      <c r="O3" s="503"/>
    </row>
    <row r="4" spans="2:15" ht="15" customHeight="1">
      <c r="B4" s="503"/>
      <c r="C4" s="503"/>
      <c r="D4" s="503"/>
      <c r="E4" s="503"/>
      <c r="F4" s="503"/>
      <c r="G4" s="503"/>
      <c r="H4" s="503"/>
      <c r="I4" s="503"/>
      <c r="J4" s="503"/>
      <c r="K4" s="503"/>
      <c r="L4" s="503"/>
      <c r="M4" s="503"/>
      <c r="N4" s="503"/>
      <c r="O4" s="503"/>
    </row>
    <row r="5" spans="2:15" ht="15" customHeight="1">
      <c r="B5" s="503"/>
      <c r="C5" s="503"/>
      <c r="D5" s="503"/>
      <c r="E5" s="503"/>
      <c r="F5" s="503"/>
      <c r="G5" s="503"/>
      <c r="H5" s="503"/>
      <c r="I5" s="503"/>
      <c r="J5" s="503"/>
      <c r="K5" s="503"/>
      <c r="L5" s="503"/>
      <c r="M5" s="503"/>
      <c r="N5" s="503"/>
      <c r="O5" s="503"/>
    </row>
    <row r="6" spans="2:15">
      <c r="B6" s="500"/>
      <c r="C6" s="500"/>
      <c r="D6" s="500"/>
      <c r="E6" s="500"/>
      <c r="F6" s="500"/>
      <c r="G6" s="500"/>
      <c r="H6" s="500"/>
      <c r="I6" s="500"/>
      <c r="J6" s="500"/>
      <c r="K6" s="500"/>
      <c r="L6" s="500"/>
      <c r="M6" s="500"/>
      <c r="N6" s="500"/>
      <c r="O6" s="500"/>
    </row>
    <row r="7" spans="2:15">
      <c r="B7" s="335" t="s">
        <v>1027</v>
      </c>
      <c r="C7" s="314" t="s">
        <v>2731</v>
      </c>
      <c r="D7" s="314" t="s">
        <v>2733</v>
      </c>
      <c r="E7" s="314" t="s">
        <v>2734</v>
      </c>
      <c r="F7" s="314" t="s">
        <v>2735</v>
      </c>
      <c r="G7" s="314" t="s">
        <v>2736</v>
      </c>
      <c r="H7" s="314" t="s">
        <v>1430</v>
      </c>
      <c r="I7" s="314" t="s">
        <v>1431</v>
      </c>
      <c r="J7" s="314" t="s">
        <v>1432</v>
      </c>
      <c r="K7" s="314" t="s">
        <v>1405</v>
      </c>
      <c r="L7" s="314" t="s">
        <v>1409</v>
      </c>
      <c r="M7" s="314" t="s">
        <v>1433</v>
      </c>
      <c r="N7" s="314" t="s">
        <v>1410</v>
      </c>
      <c r="O7" t="s">
        <v>2893</v>
      </c>
    </row>
    <row r="8" spans="2:15">
      <c r="B8" s="116" t="s">
        <v>8</v>
      </c>
      <c r="C8" s="116" t="s">
        <v>1019</v>
      </c>
      <c r="D8" t="s">
        <v>9</v>
      </c>
      <c r="E8" t="s">
        <v>8</v>
      </c>
      <c r="F8" t="s">
        <v>2894</v>
      </c>
      <c r="G8" s="62">
        <v>224.38800000000001</v>
      </c>
      <c r="H8">
        <v>0</v>
      </c>
      <c r="I8">
        <v>0.35</v>
      </c>
      <c r="J8">
        <v>0.35</v>
      </c>
      <c r="K8">
        <v>8.1739999999999995</v>
      </c>
      <c r="L8">
        <v>0.81</v>
      </c>
      <c r="M8">
        <v>0.41</v>
      </c>
      <c r="N8">
        <v>2.1292</v>
      </c>
      <c r="O8" t="s">
        <v>2895</v>
      </c>
    </row>
    <row r="9" spans="2:15">
      <c r="B9" s="116" t="s">
        <v>264</v>
      </c>
      <c r="C9" s="116" t="s">
        <v>1019</v>
      </c>
      <c r="D9" t="s">
        <v>260</v>
      </c>
      <c r="E9" t="s">
        <v>2896</v>
      </c>
      <c r="F9" t="s">
        <v>2897</v>
      </c>
      <c r="G9" s="62">
        <v>240.387</v>
      </c>
      <c r="H9">
        <v>0</v>
      </c>
      <c r="I9">
        <v>0.37</v>
      </c>
      <c r="J9">
        <v>0.38</v>
      </c>
      <c r="K9">
        <v>8.0820000000000007</v>
      </c>
      <c r="L9">
        <v>0.71</v>
      </c>
      <c r="M9">
        <v>0.26</v>
      </c>
      <c r="N9">
        <v>2.1879</v>
      </c>
      <c r="O9" t="s">
        <v>2895</v>
      </c>
    </row>
    <row r="10" spans="2:15">
      <c r="B10" s="116" t="s">
        <v>11</v>
      </c>
      <c r="C10" s="116" t="s">
        <v>1019</v>
      </c>
      <c r="D10" t="s">
        <v>12</v>
      </c>
      <c r="E10" t="s">
        <v>2898</v>
      </c>
      <c r="F10" t="s">
        <v>2899</v>
      </c>
      <c r="G10" s="62">
        <v>268.26900000000001</v>
      </c>
      <c r="H10">
        <v>0</v>
      </c>
      <c r="I10">
        <v>0.56999999999999995</v>
      </c>
      <c r="J10">
        <v>0.56999999999999995</v>
      </c>
      <c r="K10">
        <v>8.8580000000000005</v>
      </c>
      <c r="L10">
        <v>1.76</v>
      </c>
      <c r="M10">
        <v>1.19</v>
      </c>
      <c r="N10">
        <v>1.9689000000000001</v>
      </c>
      <c r="O10" t="s">
        <v>2895</v>
      </c>
    </row>
    <row r="11" spans="2:15">
      <c r="B11" s="116" t="s">
        <v>14</v>
      </c>
      <c r="C11" s="116" t="s">
        <v>1019</v>
      </c>
      <c r="D11" t="s">
        <v>15</v>
      </c>
      <c r="E11" t="s">
        <v>2900</v>
      </c>
      <c r="F11" t="s">
        <v>2901</v>
      </c>
      <c r="G11" s="62">
        <v>254.41399999999999</v>
      </c>
      <c r="H11">
        <v>0</v>
      </c>
      <c r="I11">
        <v>0.38</v>
      </c>
      <c r="J11">
        <v>0.38</v>
      </c>
      <c r="K11">
        <v>8.5760000000000005</v>
      </c>
      <c r="L11">
        <v>0.72</v>
      </c>
      <c r="M11">
        <v>0.26</v>
      </c>
      <c r="N11">
        <v>2.3288000000000002</v>
      </c>
      <c r="O11" t="s">
        <v>2895</v>
      </c>
    </row>
    <row r="12" spans="2:15">
      <c r="B12" s="116" t="s">
        <v>312</v>
      </c>
      <c r="C12" s="116" t="s">
        <v>1019</v>
      </c>
      <c r="D12" t="s">
        <v>313</v>
      </c>
      <c r="E12" t="s">
        <v>2902</v>
      </c>
      <c r="F12" t="s">
        <v>2903</v>
      </c>
      <c r="G12" s="62">
        <v>244.37799999999999</v>
      </c>
      <c r="H12">
        <v>0</v>
      </c>
      <c r="I12">
        <v>0.49</v>
      </c>
      <c r="J12">
        <v>0.48</v>
      </c>
      <c r="K12">
        <v>8.6319999999999997</v>
      </c>
      <c r="L12">
        <v>0.94</v>
      </c>
      <c r="M12">
        <v>1.03</v>
      </c>
      <c r="N12">
        <v>2.1734</v>
      </c>
      <c r="O12" t="s">
        <v>2895</v>
      </c>
    </row>
    <row r="13" spans="2:15">
      <c r="B13" s="116" t="s">
        <v>17</v>
      </c>
      <c r="C13" s="116" t="s">
        <v>1019</v>
      </c>
      <c r="D13" t="s">
        <v>18</v>
      </c>
      <c r="E13" t="s">
        <v>2904</v>
      </c>
      <c r="F13" t="s">
        <v>2905</v>
      </c>
      <c r="G13" s="62">
        <v>256.34199999999998</v>
      </c>
      <c r="H13">
        <v>0</v>
      </c>
      <c r="I13">
        <v>0.7</v>
      </c>
      <c r="J13">
        <v>0.7</v>
      </c>
      <c r="K13">
        <v>8.2010000000000005</v>
      </c>
      <c r="L13">
        <v>1.1000000000000001</v>
      </c>
      <c r="M13">
        <v>0.32</v>
      </c>
      <c r="N13">
        <v>2.1214</v>
      </c>
      <c r="O13" t="s">
        <v>2895</v>
      </c>
    </row>
    <row r="14" spans="2:15">
      <c r="B14" s="116" t="s">
        <v>21</v>
      </c>
      <c r="C14" s="116" t="s">
        <v>1019</v>
      </c>
      <c r="D14" t="s">
        <v>22</v>
      </c>
      <c r="E14" t="s">
        <v>2906</v>
      </c>
      <c r="F14" t="s">
        <v>2907</v>
      </c>
      <c r="G14" s="62">
        <v>244.37799999999999</v>
      </c>
      <c r="H14">
        <v>0</v>
      </c>
      <c r="I14">
        <v>0.52</v>
      </c>
      <c r="J14">
        <v>0.51</v>
      </c>
      <c r="K14">
        <v>8.5169999999999995</v>
      </c>
      <c r="L14">
        <v>0.92</v>
      </c>
      <c r="M14">
        <v>1.04</v>
      </c>
      <c r="N14">
        <v>2.1734</v>
      </c>
      <c r="O14" t="s">
        <v>2895</v>
      </c>
    </row>
    <row r="15" spans="2:15">
      <c r="B15" s="116" t="s">
        <v>23</v>
      </c>
      <c r="C15" s="116" t="s">
        <v>1019</v>
      </c>
      <c r="D15" t="s">
        <v>24</v>
      </c>
      <c r="E15" t="s">
        <v>2908</v>
      </c>
      <c r="F15" t="s">
        <v>2909</v>
      </c>
      <c r="G15" s="62">
        <v>256.38</v>
      </c>
      <c r="H15">
        <v>0</v>
      </c>
      <c r="I15">
        <v>0.59</v>
      </c>
      <c r="J15">
        <v>0.59</v>
      </c>
      <c r="K15">
        <v>8.4550000000000001</v>
      </c>
      <c r="L15">
        <v>0.87</v>
      </c>
      <c r="M15">
        <v>0.3</v>
      </c>
      <c r="N15">
        <v>2.2465999999999999</v>
      </c>
      <c r="O15" t="s">
        <v>2895</v>
      </c>
    </row>
    <row r="16" spans="2:15">
      <c r="B16" s="116" t="s">
        <v>26</v>
      </c>
      <c r="C16" s="116" t="s">
        <v>1019</v>
      </c>
      <c r="D16" t="s">
        <v>27</v>
      </c>
      <c r="E16" t="s">
        <v>2910</v>
      </c>
      <c r="F16" t="s">
        <v>2911</v>
      </c>
      <c r="G16" s="62">
        <v>258.40499999999997</v>
      </c>
      <c r="H16">
        <v>0</v>
      </c>
      <c r="I16">
        <v>0.54</v>
      </c>
      <c r="J16">
        <v>0.54</v>
      </c>
      <c r="K16">
        <v>9.1170000000000009</v>
      </c>
      <c r="L16">
        <v>0.96</v>
      </c>
      <c r="M16">
        <v>1.08</v>
      </c>
      <c r="N16">
        <v>2.3142999999999998</v>
      </c>
      <c r="O16" t="s">
        <v>2895</v>
      </c>
    </row>
    <row r="17" spans="2:15">
      <c r="B17" s="116" t="s">
        <v>28</v>
      </c>
      <c r="C17" s="116" t="s">
        <v>1019</v>
      </c>
      <c r="D17" t="s">
        <v>29</v>
      </c>
      <c r="E17" t="s">
        <v>2912</v>
      </c>
      <c r="F17" t="s">
        <v>2913</v>
      </c>
      <c r="G17" s="62">
        <v>278.30799999999999</v>
      </c>
      <c r="H17">
        <v>0</v>
      </c>
      <c r="I17">
        <v>0.37</v>
      </c>
      <c r="J17">
        <v>0.37</v>
      </c>
      <c r="K17">
        <v>9.4280000000000008</v>
      </c>
      <c r="L17">
        <v>1.63</v>
      </c>
      <c r="M17">
        <v>1.34</v>
      </c>
      <c r="N17">
        <v>2.0834000000000001</v>
      </c>
      <c r="O17" t="s">
        <v>2895</v>
      </c>
    </row>
    <row r="18" spans="2:15">
      <c r="B18" s="116" t="s">
        <v>322</v>
      </c>
      <c r="C18" s="116" t="s">
        <v>1019</v>
      </c>
      <c r="D18" t="s">
        <v>323</v>
      </c>
      <c r="E18" t="s">
        <v>2914</v>
      </c>
      <c r="F18" t="s">
        <v>2915</v>
      </c>
      <c r="G18" s="62">
        <v>258.40499999999997</v>
      </c>
      <c r="H18">
        <v>0</v>
      </c>
      <c r="I18">
        <v>0.52</v>
      </c>
      <c r="J18">
        <v>0.52</v>
      </c>
      <c r="K18">
        <v>9.0120000000000005</v>
      </c>
      <c r="L18">
        <v>0.93</v>
      </c>
      <c r="M18">
        <v>1.04</v>
      </c>
      <c r="N18">
        <v>2.3142999999999998</v>
      </c>
      <c r="O18" t="s">
        <v>2895</v>
      </c>
    </row>
    <row r="19" spans="2:15">
      <c r="B19" s="116" t="s">
        <v>30</v>
      </c>
      <c r="C19" s="116" t="s">
        <v>1019</v>
      </c>
      <c r="D19" t="s">
        <v>31</v>
      </c>
      <c r="E19" t="s">
        <v>2916</v>
      </c>
      <c r="F19" t="s">
        <v>2917</v>
      </c>
      <c r="G19" s="62">
        <v>258.40499999999997</v>
      </c>
      <c r="H19">
        <v>0</v>
      </c>
      <c r="I19">
        <v>0.43</v>
      </c>
      <c r="J19">
        <v>0.44</v>
      </c>
      <c r="K19">
        <v>8.8539999999999992</v>
      </c>
      <c r="L19">
        <v>0.66</v>
      </c>
      <c r="M19">
        <v>1.0900000000000001</v>
      </c>
      <c r="N19">
        <v>2.2486999999999999</v>
      </c>
      <c r="O19" t="s">
        <v>2895</v>
      </c>
    </row>
    <row r="20" spans="2:15">
      <c r="B20" s="116" t="s">
        <v>32</v>
      </c>
      <c r="C20" s="116" t="s">
        <v>1019</v>
      </c>
      <c r="D20" t="s">
        <v>33</v>
      </c>
      <c r="E20" t="s">
        <v>2918</v>
      </c>
      <c r="F20" t="s">
        <v>2919</v>
      </c>
      <c r="G20" s="62">
        <v>266.29700000000003</v>
      </c>
      <c r="H20">
        <v>0</v>
      </c>
      <c r="I20">
        <v>0.36</v>
      </c>
      <c r="J20">
        <v>0.35</v>
      </c>
      <c r="K20">
        <v>8.9570000000000007</v>
      </c>
      <c r="L20">
        <v>1.55</v>
      </c>
      <c r="M20">
        <v>1.17</v>
      </c>
      <c r="N20">
        <v>2.0510999999999999</v>
      </c>
      <c r="O20" t="s">
        <v>2895</v>
      </c>
    </row>
    <row r="21" spans="2:15">
      <c r="B21" s="116" t="s">
        <v>35</v>
      </c>
      <c r="C21" s="116" t="s">
        <v>1020</v>
      </c>
      <c r="D21" t="s">
        <v>36</v>
      </c>
      <c r="E21" t="s">
        <v>2920</v>
      </c>
      <c r="F21" t="s">
        <v>2921</v>
      </c>
      <c r="G21" s="62">
        <v>427.8</v>
      </c>
      <c r="H21">
        <v>0.13</v>
      </c>
      <c r="I21">
        <v>0.27</v>
      </c>
      <c r="J21">
        <v>0.28000000000000003</v>
      </c>
      <c r="K21">
        <v>8.2479999999999993</v>
      </c>
      <c r="L21">
        <v>1.35</v>
      </c>
      <c r="M21">
        <v>1.67</v>
      </c>
      <c r="N21">
        <v>1.6798</v>
      </c>
      <c r="O21" t="s">
        <v>2895</v>
      </c>
    </row>
    <row r="22" spans="2:15">
      <c r="B22" s="116" t="s">
        <v>37</v>
      </c>
      <c r="C22" s="116" t="s">
        <v>1020</v>
      </c>
      <c r="D22" t="s">
        <v>38</v>
      </c>
      <c r="E22" t="s">
        <v>2922</v>
      </c>
      <c r="F22" t="s">
        <v>2923</v>
      </c>
      <c r="G22" s="62">
        <v>427.8</v>
      </c>
      <c r="H22">
        <v>0</v>
      </c>
      <c r="I22">
        <v>0.28000000000000003</v>
      </c>
      <c r="J22">
        <v>0.3</v>
      </c>
      <c r="K22">
        <v>8.8960000000000008</v>
      </c>
      <c r="L22">
        <v>1.1599999999999999</v>
      </c>
      <c r="M22">
        <v>1.72</v>
      </c>
      <c r="N22">
        <v>1.8271999999999999</v>
      </c>
      <c r="O22" t="s">
        <v>2895</v>
      </c>
    </row>
    <row r="23" spans="2:15">
      <c r="B23" s="116" t="s">
        <v>39</v>
      </c>
      <c r="C23" s="116" t="s">
        <v>1020</v>
      </c>
      <c r="D23" t="s">
        <v>40</v>
      </c>
      <c r="E23" t="s">
        <v>2924</v>
      </c>
      <c r="F23" t="s">
        <v>2925</v>
      </c>
      <c r="G23" s="62">
        <v>472.59399999999999</v>
      </c>
      <c r="H23">
        <v>0</v>
      </c>
      <c r="I23">
        <v>0</v>
      </c>
      <c r="J23">
        <v>0</v>
      </c>
      <c r="K23">
        <v>8.7870000000000008</v>
      </c>
      <c r="L23">
        <v>1.54</v>
      </c>
      <c r="M23">
        <v>2.11</v>
      </c>
      <c r="N23">
        <v>1.5913999999999999</v>
      </c>
      <c r="O23" t="s">
        <v>2895</v>
      </c>
    </row>
    <row r="24" spans="2:15">
      <c r="B24" s="116" t="s">
        <v>41</v>
      </c>
      <c r="C24" s="116" t="s">
        <v>1020</v>
      </c>
      <c r="D24" t="s">
        <v>42</v>
      </c>
      <c r="E24" t="s">
        <v>2926</v>
      </c>
      <c r="F24" t="s">
        <v>2927</v>
      </c>
      <c r="G24" s="62">
        <v>500.64800000000002</v>
      </c>
      <c r="H24">
        <v>0</v>
      </c>
      <c r="I24">
        <v>0.27</v>
      </c>
      <c r="J24">
        <v>0</v>
      </c>
      <c r="K24">
        <v>10.27</v>
      </c>
      <c r="L24">
        <v>1.05</v>
      </c>
      <c r="M24">
        <v>2.14</v>
      </c>
      <c r="N24">
        <v>1.8732</v>
      </c>
      <c r="O24" t="s">
        <v>2928</v>
      </c>
    </row>
    <row r="25" spans="2:15">
      <c r="B25" s="116" t="s">
        <v>44</v>
      </c>
      <c r="C25" s="116" t="s">
        <v>1020</v>
      </c>
      <c r="D25" t="s">
        <v>45</v>
      </c>
      <c r="E25" t="s">
        <v>2929</v>
      </c>
      <c r="F25" t="s">
        <v>2930</v>
      </c>
      <c r="G25" s="62">
        <v>530.67399999999998</v>
      </c>
      <c r="H25">
        <v>0</v>
      </c>
      <c r="I25">
        <v>0.57999999999999996</v>
      </c>
      <c r="J25">
        <v>0</v>
      </c>
      <c r="K25">
        <v>10.35</v>
      </c>
      <c r="L25">
        <v>1.67</v>
      </c>
      <c r="M25">
        <v>2.2999999999999998</v>
      </c>
      <c r="N25">
        <v>2.0728</v>
      </c>
      <c r="O25" t="s">
        <v>2931</v>
      </c>
    </row>
    <row r="26" spans="2:15">
      <c r="B26" s="116" t="s">
        <v>46</v>
      </c>
      <c r="C26" s="116" t="s">
        <v>1020</v>
      </c>
      <c r="D26" t="s">
        <v>47</v>
      </c>
      <c r="E26" t="s">
        <v>2932</v>
      </c>
      <c r="F26" t="s">
        <v>2933</v>
      </c>
      <c r="G26" s="62">
        <v>641.70000000000005</v>
      </c>
      <c r="H26">
        <v>0</v>
      </c>
      <c r="I26">
        <v>0.42</v>
      </c>
      <c r="J26">
        <v>0.44</v>
      </c>
      <c r="K26">
        <v>13.319000000000001</v>
      </c>
      <c r="L26">
        <v>1.62</v>
      </c>
      <c r="M26">
        <v>2.46</v>
      </c>
      <c r="N26">
        <v>2.7408000000000001</v>
      </c>
      <c r="O26" t="s">
        <v>2895</v>
      </c>
    </row>
    <row r="27" spans="2:15">
      <c r="B27" s="116" t="s">
        <v>1013</v>
      </c>
      <c r="C27" s="116" t="s">
        <v>1020</v>
      </c>
      <c r="D27" t="s">
        <v>49</v>
      </c>
      <c r="E27" t="s">
        <v>2934</v>
      </c>
      <c r="F27" t="s">
        <v>2935</v>
      </c>
      <c r="G27" s="62">
        <v>653.69399999999996</v>
      </c>
      <c r="H27">
        <v>0</v>
      </c>
      <c r="I27">
        <v>0.65</v>
      </c>
      <c r="J27">
        <v>0.64</v>
      </c>
      <c r="K27">
        <v>15.831</v>
      </c>
      <c r="L27">
        <v>1.82</v>
      </c>
      <c r="M27">
        <v>3.04</v>
      </c>
      <c r="N27">
        <v>3.4845999999999999</v>
      </c>
      <c r="O27" t="s">
        <v>2895</v>
      </c>
    </row>
    <row r="28" spans="2:15">
      <c r="B28" s="116" t="s">
        <v>1014</v>
      </c>
      <c r="C28" s="116" t="s">
        <v>1020</v>
      </c>
      <c r="D28" t="s">
        <v>51</v>
      </c>
      <c r="E28" t="s">
        <v>2934</v>
      </c>
      <c r="F28" t="s">
        <v>2935</v>
      </c>
      <c r="G28" s="62">
        <v>653.69399999999996</v>
      </c>
      <c r="H28">
        <v>0</v>
      </c>
      <c r="I28">
        <v>0.65</v>
      </c>
      <c r="J28">
        <v>0.64</v>
      </c>
      <c r="K28">
        <v>15.831</v>
      </c>
      <c r="L28">
        <v>1.82</v>
      </c>
      <c r="M28">
        <v>3.04</v>
      </c>
      <c r="N28">
        <v>3.4845999999999999</v>
      </c>
      <c r="O28" t="s">
        <v>2895</v>
      </c>
    </row>
    <row r="29" spans="2:15">
      <c r="B29" s="116" t="s">
        <v>335</v>
      </c>
      <c r="C29" s="116" t="s">
        <v>1021</v>
      </c>
      <c r="D29" t="s">
        <v>54</v>
      </c>
      <c r="E29" t="s">
        <v>2936</v>
      </c>
      <c r="F29" t="s">
        <v>2937</v>
      </c>
      <c r="G29" s="62">
        <v>318.01799999999997</v>
      </c>
      <c r="H29">
        <v>0</v>
      </c>
      <c r="I29">
        <v>0.16</v>
      </c>
      <c r="J29">
        <v>0</v>
      </c>
      <c r="K29">
        <v>9.4160000000000004</v>
      </c>
      <c r="L29">
        <v>1.36</v>
      </c>
      <c r="M29">
        <v>1.8</v>
      </c>
      <c r="N29">
        <v>2.0526</v>
      </c>
      <c r="O29" t="s">
        <v>2938</v>
      </c>
    </row>
    <row r="30" spans="2:15">
      <c r="B30" s="116" t="s">
        <v>362</v>
      </c>
      <c r="C30" s="116" t="s">
        <v>1021</v>
      </c>
      <c r="D30" t="s">
        <v>57</v>
      </c>
      <c r="E30" t="s">
        <v>2939</v>
      </c>
      <c r="F30" t="s">
        <v>2940</v>
      </c>
      <c r="G30" s="62">
        <v>320.03399999999999</v>
      </c>
      <c r="H30">
        <v>0.14000000000000001</v>
      </c>
      <c r="I30">
        <v>0.19</v>
      </c>
      <c r="J30">
        <v>0.24</v>
      </c>
      <c r="K30">
        <v>9.3469999999999995</v>
      </c>
      <c r="L30">
        <v>1.61</v>
      </c>
      <c r="M30">
        <v>1.67</v>
      </c>
      <c r="N30">
        <v>2.0956000000000001</v>
      </c>
      <c r="O30" t="s">
        <v>2941</v>
      </c>
    </row>
    <row r="31" spans="2:15">
      <c r="B31" s="116" t="s">
        <v>168</v>
      </c>
      <c r="C31" s="116" t="s">
        <v>1021</v>
      </c>
      <c r="D31" t="s">
        <v>59</v>
      </c>
      <c r="E31" t="s">
        <v>2942</v>
      </c>
      <c r="F31" t="s">
        <v>2943</v>
      </c>
      <c r="G31" s="62">
        <v>320.03399999999999</v>
      </c>
      <c r="H31">
        <v>0.09</v>
      </c>
      <c r="I31">
        <v>0.22</v>
      </c>
      <c r="J31">
        <v>0.24</v>
      </c>
      <c r="K31">
        <v>9.8800000000000008</v>
      </c>
      <c r="L31">
        <v>1.44</v>
      </c>
      <c r="M31">
        <v>1.67</v>
      </c>
      <c r="N31">
        <v>2.0956000000000001</v>
      </c>
      <c r="O31" t="s">
        <v>2944</v>
      </c>
    </row>
    <row r="32" spans="2:15">
      <c r="B32" s="116" t="s">
        <v>370</v>
      </c>
      <c r="C32" s="116" t="s">
        <v>1021</v>
      </c>
      <c r="D32" t="s">
        <v>61</v>
      </c>
      <c r="E32" t="s">
        <v>2945</v>
      </c>
      <c r="F32" t="s">
        <v>2946</v>
      </c>
      <c r="G32" s="62">
        <v>354.476</v>
      </c>
      <c r="H32">
        <v>0</v>
      </c>
      <c r="I32">
        <v>0.22</v>
      </c>
      <c r="J32">
        <v>0.23</v>
      </c>
      <c r="K32">
        <v>10.029999999999999</v>
      </c>
      <c r="L32">
        <v>1.51</v>
      </c>
      <c r="M32">
        <v>1.76</v>
      </c>
      <c r="N32">
        <v>2.218</v>
      </c>
      <c r="O32" t="s">
        <v>2944</v>
      </c>
    </row>
    <row r="33" spans="2:15">
      <c r="B33" s="116" t="s">
        <v>62</v>
      </c>
      <c r="C33" s="116" t="s">
        <v>1021</v>
      </c>
      <c r="D33" t="s">
        <v>63</v>
      </c>
      <c r="E33" t="s">
        <v>2947</v>
      </c>
      <c r="F33" t="s">
        <v>2948</v>
      </c>
      <c r="G33" s="62">
        <v>364.89600000000002</v>
      </c>
      <c r="H33">
        <v>0</v>
      </c>
      <c r="I33">
        <v>0.26</v>
      </c>
      <c r="J33">
        <v>0</v>
      </c>
      <c r="K33">
        <v>8.6920000000000002</v>
      </c>
      <c r="L33">
        <v>1.03</v>
      </c>
      <c r="M33">
        <v>2.0099999999999998</v>
      </c>
      <c r="N33">
        <v>2.0133999999999999</v>
      </c>
      <c r="O33" t="s">
        <v>2949</v>
      </c>
    </row>
    <row r="34" spans="2:15">
      <c r="B34" s="116" t="s">
        <v>64</v>
      </c>
      <c r="C34" s="116" t="s">
        <v>1021</v>
      </c>
      <c r="D34" t="s">
        <v>65</v>
      </c>
      <c r="E34" t="s">
        <v>2950</v>
      </c>
      <c r="F34" t="s">
        <v>2951</v>
      </c>
      <c r="G34" s="62">
        <v>444.2</v>
      </c>
      <c r="H34">
        <v>0</v>
      </c>
      <c r="I34">
        <v>0.52</v>
      </c>
      <c r="J34">
        <v>0.52</v>
      </c>
      <c r="K34">
        <v>10.428000000000001</v>
      </c>
      <c r="L34">
        <v>1.45</v>
      </c>
      <c r="M34">
        <v>2.21</v>
      </c>
      <c r="N34">
        <v>2.2504</v>
      </c>
      <c r="O34" t="s">
        <v>2895</v>
      </c>
    </row>
    <row r="35" spans="2:15">
      <c r="B35" s="116" t="s">
        <v>68</v>
      </c>
      <c r="C35" s="116" t="s">
        <v>1022</v>
      </c>
      <c r="D35" t="s">
        <v>69</v>
      </c>
      <c r="E35" t="s">
        <v>2952</v>
      </c>
      <c r="F35" t="s">
        <v>2953</v>
      </c>
      <c r="G35" s="62">
        <v>285.48200000000003</v>
      </c>
      <c r="H35">
        <v>0.03</v>
      </c>
      <c r="I35">
        <v>0.98</v>
      </c>
      <c r="J35">
        <v>0</v>
      </c>
      <c r="K35">
        <v>7.18</v>
      </c>
      <c r="L35">
        <v>2.09</v>
      </c>
      <c r="M35">
        <v>0.63</v>
      </c>
      <c r="N35">
        <v>1.7605999999999999</v>
      </c>
      <c r="O35" t="s">
        <v>2954</v>
      </c>
    </row>
    <row r="36" spans="2:15">
      <c r="B36" s="116" t="s">
        <v>73</v>
      </c>
      <c r="C36" s="116" t="s">
        <v>1022</v>
      </c>
      <c r="D36" t="s">
        <v>74</v>
      </c>
      <c r="E36" t="s">
        <v>2955</v>
      </c>
      <c r="F36" t="s">
        <v>2956</v>
      </c>
      <c r="G36" s="62">
        <v>327.56299999999999</v>
      </c>
      <c r="H36">
        <v>0</v>
      </c>
      <c r="I36">
        <v>1.32</v>
      </c>
      <c r="J36">
        <v>1.34</v>
      </c>
      <c r="K36">
        <v>8.7040000000000006</v>
      </c>
      <c r="L36">
        <v>1.0900000000000001</v>
      </c>
      <c r="M36">
        <v>0.65</v>
      </c>
      <c r="N36">
        <v>2.1833</v>
      </c>
      <c r="O36" t="s">
        <v>2895</v>
      </c>
    </row>
    <row r="37" spans="2:15">
      <c r="B37" s="116" t="s">
        <v>75</v>
      </c>
      <c r="C37" s="116" t="s">
        <v>1022</v>
      </c>
      <c r="D37" t="s">
        <v>76</v>
      </c>
      <c r="E37" t="s">
        <v>2957</v>
      </c>
      <c r="F37" t="s">
        <v>2958</v>
      </c>
      <c r="G37" s="62">
        <v>430.88900000000001</v>
      </c>
      <c r="H37">
        <v>0.03</v>
      </c>
      <c r="I37">
        <v>1.24</v>
      </c>
      <c r="J37">
        <v>0</v>
      </c>
      <c r="K37">
        <v>9.93</v>
      </c>
      <c r="L37">
        <v>2.1</v>
      </c>
      <c r="M37">
        <v>1.02</v>
      </c>
      <c r="N37">
        <v>2.5505</v>
      </c>
      <c r="O37" t="s">
        <v>2954</v>
      </c>
    </row>
    <row r="38" spans="2:15">
      <c r="B38" s="116" t="s">
        <v>77</v>
      </c>
      <c r="C38" s="116" t="s">
        <v>1022</v>
      </c>
      <c r="D38" t="s">
        <v>78</v>
      </c>
      <c r="E38" t="s">
        <v>2959</v>
      </c>
      <c r="F38" t="s">
        <v>2960</v>
      </c>
      <c r="G38" s="62">
        <v>326.28800000000001</v>
      </c>
      <c r="H38">
        <v>0</v>
      </c>
      <c r="I38">
        <v>1.1000000000000001</v>
      </c>
      <c r="J38">
        <v>0</v>
      </c>
      <c r="K38">
        <v>11.259</v>
      </c>
      <c r="L38">
        <v>1.66</v>
      </c>
      <c r="M38">
        <v>1.83</v>
      </c>
      <c r="N38">
        <v>2.3714</v>
      </c>
      <c r="O38" t="s">
        <v>2961</v>
      </c>
    </row>
    <row r="39" spans="2:15">
      <c r="B39" s="116" t="s">
        <v>79</v>
      </c>
      <c r="C39" s="116" t="s">
        <v>1022</v>
      </c>
      <c r="D39" t="s">
        <v>80</v>
      </c>
      <c r="E39" t="s">
        <v>2962</v>
      </c>
      <c r="F39" t="s">
        <v>2963</v>
      </c>
      <c r="G39" s="62">
        <v>368.36900000000003</v>
      </c>
      <c r="H39">
        <v>0</v>
      </c>
      <c r="I39">
        <v>1.48</v>
      </c>
      <c r="J39">
        <v>1.49</v>
      </c>
      <c r="K39">
        <v>13.577</v>
      </c>
      <c r="L39">
        <v>1.89</v>
      </c>
      <c r="M39">
        <v>2.0699999999999998</v>
      </c>
      <c r="N39">
        <v>2.7940999999999998</v>
      </c>
      <c r="O39" t="s">
        <v>2895</v>
      </c>
    </row>
    <row r="40" spans="2:15">
      <c r="B40" s="116" t="s">
        <v>81</v>
      </c>
      <c r="C40" s="116" t="s">
        <v>1022</v>
      </c>
      <c r="D40" t="s">
        <v>82</v>
      </c>
      <c r="E40" t="s">
        <v>2964</v>
      </c>
      <c r="F40" t="s">
        <v>2965</v>
      </c>
      <c r="G40" s="62">
        <v>368.36900000000003</v>
      </c>
      <c r="H40">
        <v>0</v>
      </c>
      <c r="I40">
        <v>1.48</v>
      </c>
      <c r="J40">
        <v>1.49</v>
      </c>
      <c r="K40">
        <v>13.577</v>
      </c>
      <c r="L40">
        <v>1.89</v>
      </c>
      <c r="M40">
        <v>2.0699999999999998</v>
      </c>
      <c r="N40">
        <v>2.7940999999999998</v>
      </c>
      <c r="O40" t="s">
        <v>2895</v>
      </c>
    </row>
    <row r="41" spans="2:15">
      <c r="B41" s="116" t="s">
        <v>83</v>
      </c>
      <c r="C41" s="116" t="s">
        <v>1022</v>
      </c>
      <c r="D41" t="s">
        <v>84</v>
      </c>
      <c r="E41" t="s">
        <v>2966</v>
      </c>
      <c r="F41" t="s">
        <v>2967</v>
      </c>
      <c r="G41" s="62">
        <v>368.36900000000003</v>
      </c>
      <c r="H41">
        <v>0</v>
      </c>
      <c r="I41">
        <v>1.48</v>
      </c>
      <c r="J41">
        <v>1.49</v>
      </c>
      <c r="K41">
        <v>13.577</v>
      </c>
      <c r="L41">
        <v>1.89</v>
      </c>
      <c r="M41">
        <v>2.0699999999999998</v>
      </c>
      <c r="N41">
        <v>2.7940999999999998</v>
      </c>
      <c r="O41" t="s">
        <v>2895</v>
      </c>
    </row>
    <row r="42" spans="2:15">
      <c r="B42" s="116" t="s">
        <v>85</v>
      </c>
      <c r="C42" s="116" t="s">
        <v>1022</v>
      </c>
      <c r="D42" t="s">
        <v>86</v>
      </c>
      <c r="E42" t="s">
        <v>2968</v>
      </c>
      <c r="F42" t="s">
        <v>2969</v>
      </c>
      <c r="G42" s="62">
        <v>398.47699999999998</v>
      </c>
      <c r="H42">
        <v>0</v>
      </c>
      <c r="I42">
        <v>1.9</v>
      </c>
      <c r="J42">
        <v>1.93</v>
      </c>
      <c r="K42">
        <v>12.664999999999999</v>
      </c>
      <c r="L42">
        <v>1.21</v>
      </c>
      <c r="M42">
        <v>0.36</v>
      </c>
      <c r="N42">
        <v>3.2603</v>
      </c>
      <c r="O42" t="s">
        <v>2895</v>
      </c>
    </row>
    <row r="43" spans="2:15">
      <c r="B43" s="116" t="s">
        <v>87</v>
      </c>
      <c r="C43" s="116" t="s">
        <v>1022</v>
      </c>
      <c r="D43" t="s">
        <v>88</v>
      </c>
      <c r="E43" t="s">
        <v>2970</v>
      </c>
      <c r="F43" t="s">
        <v>2971</v>
      </c>
      <c r="G43" s="62">
        <v>434.642</v>
      </c>
      <c r="H43">
        <v>0</v>
      </c>
      <c r="I43">
        <v>1.37</v>
      </c>
      <c r="J43">
        <v>1.39</v>
      </c>
      <c r="K43">
        <v>14.167</v>
      </c>
      <c r="L43">
        <v>0.73</v>
      </c>
      <c r="M43">
        <v>0.26</v>
      </c>
      <c r="N43">
        <v>3.9296000000000002</v>
      </c>
      <c r="O43" t="s">
        <v>2895</v>
      </c>
    </row>
    <row r="44" spans="2:15">
      <c r="B44" s="116" t="s">
        <v>89</v>
      </c>
      <c r="C44" s="116" t="s">
        <v>1022</v>
      </c>
      <c r="D44" t="s">
        <v>90</v>
      </c>
      <c r="E44" t="s">
        <v>2972</v>
      </c>
      <c r="F44" t="s">
        <v>2973</v>
      </c>
      <c r="G44" s="62">
        <v>449.75934000000001</v>
      </c>
      <c r="H44">
        <v>0</v>
      </c>
      <c r="I44">
        <v>1.61</v>
      </c>
      <c r="J44">
        <v>1.63</v>
      </c>
      <c r="K44">
        <v>17.024999999999999</v>
      </c>
      <c r="L44">
        <v>1.73</v>
      </c>
      <c r="M44">
        <v>2</v>
      </c>
      <c r="N44">
        <v>4.0621999999999998</v>
      </c>
      <c r="O44" t="s">
        <v>2895</v>
      </c>
    </row>
    <row r="45" spans="2:15">
      <c r="B45" s="116" t="s">
        <v>91</v>
      </c>
      <c r="C45" s="116" t="s">
        <v>1022</v>
      </c>
      <c r="D45" t="s">
        <v>92</v>
      </c>
      <c r="E45" t="s">
        <v>2974</v>
      </c>
      <c r="F45" t="s">
        <v>2975</v>
      </c>
      <c r="G45" s="62">
        <v>452.53100000000001</v>
      </c>
      <c r="H45">
        <v>0</v>
      </c>
      <c r="I45">
        <v>1.58</v>
      </c>
      <c r="J45">
        <v>1.6</v>
      </c>
      <c r="K45">
        <v>16.2</v>
      </c>
      <c r="L45">
        <v>1.87</v>
      </c>
      <c r="M45">
        <v>2.08</v>
      </c>
      <c r="N45">
        <v>3.6395</v>
      </c>
      <c r="O45" t="s">
        <v>2895</v>
      </c>
    </row>
    <row r="46" spans="2:15">
      <c r="B46" s="116" t="s">
        <v>410</v>
      </c>
      <c r="C46" s="116" t="s">
        <v>1022</v>
      </c>
      <c r="D46" t="s">
        <v>437</v>
      </c>
      <c r="E46" t="s">
        <v>2976</v>
      </c>
      <c r="F46" t="s">
        <v>2977</v>
      </c>
      <c r="G46" s="62">
        <v>362.40600000000001</v>
      </c>
      <c r="H46">
        <v>0</v>
      </c>
      <c r="I46">
        <v>1.44</v>
      </c>
      <c r="J46">
        <v>1.46</v>
      </c>
      <c r="K46">
        <v>12.83</v>
      </c>
      <c r="L46">
        <v>1.62</v>
      </c>
      <c r="M46">
        <v>1.42</v>
      </c>
      <c r="N46">
        <v>2.8908</v>
      </c>
      <c r="O46" t="s">
        <v>2895</v>
      </c>
    </row>
    <row r="47" spans="2:15">
      <c r="B47" s="116" t="s">
        <v>93</v>
      </c>
      <c r="C47" s="116" t="s">
        <v>1022</v>
      </c>
      <c r="D47" t="s">
        <v>94</v>
      </c>
      <c r="E47" t="s">
        <v>2978</v>
      </c>
      <c r="F47" t="s">
        <v>2979</v>
      </c>
      <c r="G47" s="62">
        <v>697.61300000000006</v>
      </c>
      <c r="H47">
        <v>0</v>
      </c>
      <c r="I47">
        <v>1.54</v>
      </c>
      <c r="J47">
        <v>1.56</v>
      </c>
      <c r="K47">
        <v>12.96</v>
      </c>
      <c r="L47">
        <v>2.0699999999999998</v>
      </c>
      <c r="M47">
        <v>2.4900000000000002</v>
      </c>
      <c r="N47">
        <v>2.8660999999999999</v>
      </c>
      <c r="O47" t="s">
        <v>2944</v>
      </c>
    </row>
    <row r="48" spans="2:15">
      <c r="B48" s="116" t="s">
        <v>1015</v>
      </c>
      <c r="C48" s="116" t="s">
        <v>1023</v>
      </c>
      <c r="D48" t="s">
        <v>97</v>
      </c>
      <c r="E48" t="s">
        <v>1015</v>
      </c>
      <c r="F48" t="s">
        <v>2980</v>
      </c>
      <c r="G48" s="62">
        <v>252.316</v>
      </c>
      <c r="H48">
        <v>0</v>
      </c>
      <c r="I48">
        <v>0.44</v>
      </c>
      <c r="J48">
        <v>0</v>
      </c>
      <c r="K48">
        <v>11.736000000000001</v>
      </c>
      <c r="L48">
        <v>1.98</v>
      </c>
      <c r="M48">
        <v>3.63</v>
      </c>
      <c r="N48">
        <v>1.9536</v>
      </c>
      <c r="O48" t="s">
        <v>2981</v>
      </c>
    </row>
    <row r="49" spans="2:15">
      <c r="B49" s="116" t="s">
        <v>1016</v>
      </c>
      <c r="C49" s="116" t="s">
        <v>1023</v>
      </c>
      <c r="D49" t="s">
        <v>100</v>
      </c>
      <c r="E49" t="s">
        <v>1016</v>
      </c>
      <c r="F49" t="s">
        <v>2982</v>
      </c>
      <c r="G49" s="62">
        <v>252.316</v>
      </c>
      <c r="H49">
        <v>0</v>
      </c>
      <c r="I49">
        <v>0.31</v>
      </c>
      <c r="J49">
        <v>0.32</v>
      </c>
      <c r="K49">
        <v>11.484</v>
      </c>
      <c r="L49">
        <v>1.84</v>
      </c>
      <c r="M49">
        <v>3.32</v>
      </c>
      <c r="N49">
        <v>1.9536</v>
      </c>
      <c r="O49" t="s">
        <v>2895</v>
      </c>
    </row>
    <row r="50" spans="2:15">
      <c r="B50" s="116" t="s">
        <v>103</v>
      </c>
      <c r="C50" s="116" t="s">
        <v>1024</v>
      </c>
      <c r="D50" t="s">
        <v>104</v>
      </c>
      <c r="E50" t="s">
        <v>2983</v>
      </c>
      <c r="F50" t="s">
        <v>2984</v>
      </c>
      <c r="G50" s="62">
        <v>485.79500000000002</v>
      </c>
      <c r="H50">
        <v>0</v>
      </c>
      <c r="I50">
        <v>0.34</v>
      </c>
      <c r="J50">
        <v>0.27</v>
      </c>
      <c r="K50">
        <v>10.66</v>
      </c>
      <c r="L50">
        <v>1.45</v>
      </c>
      <c r="M50">
        <v>2.4500000000000002</v>
      </c>
      <c r="N50">
        <v>2.0829</v>
      </c>
      <c r="O50" t="s">
        <v>2985</v>
      </c>
    </row>
    <row r="51" spans="2:15">
      <c r="B51" s="116" t="s">
        <v>108</v>
      </c>
      <c r="C51" s="116" t="s">
        <v>1024</v>
      </c>
      <c r="D51" t="s">
        <v>109</v>
      </c>
      <c r="E51" t="s">
        <v>2986</v>
      </c>
      <c r="F51" t="s">
        <v>2987</v>
      </c>
      <c r="G51" s="62">
        <v>485.79500000000002</v>
      </c>
      <c r="H51">
        <v>0</v>
      </c>
      <c r="I51">
        <v>0.25</v>
      </c>
      <c r="J51">
        <v>0.27</v>
      </c>
      <c r="K51">
        <v>11.132</v>
      </c>
      <c r="L51">
        <v>1.93</v>
      </c>
      <c r="M51">
        <v>2.44</v>
      </c>
      <c r="N51">
        <v>2.0829</v>
      </c>
      <c r="O51" t="s">
        <v>2895</v>
      </c>
    </row>
    <row r="52" spans="2:15">
      <c r="B52" s="116" t="s">
        <v>110</v>
      </c>
      <c r="C52" s="116" t="s">
        <v>1024</v>
      </c>
      <c r="D52" t="s">
        <v>111</v>
      </c>
      <c r="E52" t="s">
        <v>2988</v>
      </c>
      <c r="F52" t="s">
        <v>2989</v>
      </c>
      <c r="G52" s="62">
        <v>485.79500000000002</v>
      </c>
      <c r="H52">
        <v>0</v>
      </c>
      <c r="I52">
        <v>0.26</v>
      </c>
      <c r="J52">
        <v>0.27</v>
      </c>
      <c r="K52">
        <v>11.257</v>
      </c>
      <c r="L52">
        <v>1.91</v>
      </c>
      <c r="M52">
        <v>2.4300000000000002</v>
      </c>
      <c r="N52">
        <v>2.0829</v>
      </c>
      <c r="O52" t="s">
        <v>2895</v>
      </c>
    </row>
    <row r="53" spans="2:15">
      <c r="B53" s="116" t="s">
        <v>112</v>
      </c>
      <c r="C53" s="116" t="s">
        <v>1024</v>
      </c>
      <c r="D53" t="s">
        <v>113</v>
      </c>
      <c r="E53" t="s">
        <v>2990</v>
      </c>
      <c r="F53" t="s">
        <v>2991</v>
      </c>
      <c r="G53" s="62">
        <v>564.69100000000003</v>
      </c>
      <c r="H53">
        <v>0</v>
      </c>
      <c r="I53">
        <v>0.41</v>
      </c>
      <c r="J53">
        <v>0</v>
      </c>
      <c r="K53">
        <v>11.48</v>
      </c>
      <c r="L53">
        <v>1.48</v>
      </c>
      <c r="M53">
        <v>2.76</v>
      </c>
      <c r="N53">
        <v>2.2578999999999998</v>
      </c>
      <c r="O53" t="s">
        <v>2992</v>
      </c>
    </row>
    <row r="54" spans="2:15">
      <c r="B54" s="116" t="s">
        <v>115</v>
      </c>
      <c r="C54" s="116" t="s">
        <v>1024</v>
      </c>
      <c r="D54" t="s">
        <v>116</v>
      </c>
      <c r="E54" t="s">
        <v>2993</v>
      </c>
      <c r="F54" t="s">
        <v>2994</v>
      </c>
      <c r="G54" s="62">
        <v>564.69100000000003</v>
      </c>
      <c r="H54">
        <v>0</v>
      </c>
      <c r="I54">
        <v>0.44</v>
      </c>
      <c r="J54">
        <v>0</v>
      </c>
      <c r="K54">
        <v>11.71</v>
      </c>
      <c r="L54">
        <v>1.51</v>
      </c>
      <c r="M54">
        <v>2.74</v>
      </c>
      <c r="N54">
        <v>2.2578999999999998</v>
      </c>
      <c r="O54" t="s">
        <v>2931</v>
      </c>
    </row>
    <row r="55" spans="2:15">
      <c r="B55" s="116" t="s">
        <v>118</v>
      </c>
      <c r="C55" s="116" t="s">
        <v>1025</v>
      </c>
      <c r="D55" t="s">
        <v>119</v>
      </c>
      <c r="E55" t="s">
        <v>2995</v>
      </c>
      <c r="F55" t="s">
        <v>2996</v>
      </c>
      <c r="G55" s="62">
        <v>257.53800000000001</v>
      </c>
      <c r="H55">
        <v>0</v>
      </c>
      <c r="I55">
        <v>0.17</v>
      </c>
      <c r="J55">
        <v>0</v>
      </c>
      <c r="K55">
        <v>7.2839999999999998</v>
      </c>
      <c r="L55">
        <v>1.35</v>
      </c>
      <c r="M55">
        <v>1.72</v>
      </c>
      <c r="N55">
        <v>1.6914</v>
      </c>
      <c r="O55" t="s">
        <v>2997</v>
      </c>
    </row>
    <row r="56" spans="2:15">
      <c r="B56" s="116" t="s">
        <v>120</v>
      </c>
      <c r="C56" s="116" t="s">
        <v>1025</v>
      </c>
      <c r="D56" t="s">
        <v>121</v>
      </c>
      <c r="E56" t="s">
        <v>2998</v>
      </c>
      <c r="F56" t="s">
        <v>2999</v>
      </c>
      <c r="G56" s="62">
        <v>257.53800000000001</v>
      </c>
      <c r="H56">
        <v>0</v>
      </c>
      <c r="I56">
        <v>0.15</v>
      </c>
      <c r="J56">
        <v>0</v>
      </c>
      <c r="K56">
        <v>7.758</v>
      </c>
      <c r="L56">
        <v>1.33</v>
      </c>
      <c r="M56">
        <v>1.78</v>
      </c>
      <c r="N56">
        <v>1.6914</v>
      </c>
      <c r="O56" t="s">
        <v>2997</v>
      </c>
    </row>
    <row r="57" spans="2:15">
      <c r="B57" s="116" t="s">
        <v>122</v>
      </c>
      <c r="C57" s="116" t="s">
        <v>1025</v>
      </c>
      <c r="D57" t="s">
        <v>123</v>
      </c>
      <c r="E57" t="s">
        <v>3000</v>
      </c>
      <c r="F57" t="s">
        <v>3001</v>
      </c>
      <c r="G57" s="62">
        <v>326.42200000000003</v>
      </c>
      <c r="H57">
        <v>0</v>
      </c>
      <c r="I57">
        <v>0.13</v>
      </c>
      <c r="J57">
        <v>0</v>
      </c>
      <c r="K57">
        <v>8.9600000000000009</v>
      </c>
      <c r="L57">
        <v>1.61</v>
      </c>
      <c r="M57">
        <v>2.0299999999999998</v>
      </c>
      <c r="N57">
        <v>1.9361999999999999</v>
      </c>
      <c r="O57" t="s">
        <v>2997</v>
      </c>
    </row>
    <row r="58" spans="2:15">
      <c r="B58" s="116" t="s">
        <v>125</v>
      </c>
      <c r="C58" s="116" t="s">
        <v>1025</v>
      </c>
      <c r="D58" t="s">
        <v>126</v>
      </c>
      <c r="E58" t="s">
        <v>3002</v>
      </c>
      <c r="F58" t="s">
        <v>3003</v>
      </c>
      <c r="G58" s="62">
        <v>360.86399999999998</v>
      </c>
      <c r="H58">
        <v>0</v>
      </c>
      <c r="I58">
        <v>0.05</v>
      </c>
      <c r="J58">
        <v>0.05</v>
      </c>
      <c r="K58">
        <v>10.249000000000001</v>
      </c>
      <c r="L58">
        <v>1.62</v>
      </c>
      <c r="M58">
        <v>2.17</v>
      </c>
      <c r="N58">
        <v>2.0586000000000002</v>
      </c>
      <c r="O58" t="s">
        <v>2895</v>
      </c>
    </row>
    <row r="59" spans="2:15">
      <c r="B59" s="116" t="s">
        <v>127</v>
      </c>
      <c r="C59" s="116" t="s">
        <v>1025</v>
      </c>
      <c r="D59" t="s">
        <v>128</v>
      </c>
      <c r="E59" t="s">
        <v>3004</v>
      </c>
      <c r="F59" t="s">
        <v>3005</v>
      </c>
      <c r="G59" s="62">
        <v>360.86399999999998</v>
      </c>
      <c r="H59">
        <v>0</v>
      </c>
      <c r="I59">
        <v>0.11</v>
      </c>
      <c r="J59">
        <v>0</v>
      </c>
      <c r="K59">
        <v>9.2919999999999998</v>
      </c>
      <c r="L59">
        <v>1.74</v>
      </c>
      <c r="M59">
        <v>2.16</v>
      </c>
      <c r="N59">
        <v>2.0586000000000002</v>
      </c>
      <c r="O59" t="s">
        <v>2997</v>
      </c>
    </row>
    <row r="60" spans="2:15">
      <c r="B60" s="116" t="s">
        <v>129</v>
      </c>
      <c r="C60" s="116" t="s">
        <v>1025</v>
      </c>
      <c r="D60" t="s">
        <v>130</v>
      </c>
      <c r="E60" t="s">
        <v>3006</v>
      </c>
      <c r="F60" t="s">
        <v>3007</v>
      </c>
      <c r="G60" s="62">
        <v>360.86399999999998</v>
      </c>
      <c r="H60">
        <v>0</v>
      </c>
      <c r="I60">
        <v>0.15</v>
      </c>
      <c r="J60">
        <v>0</v>
      </c>
      <c r="K60">
        <v>8.2270000000000003</v>
      </c>
      <c r="L60">
        <v>1.48</v>
      </c>
      <c r="M60">
        <v>1.88</v>
      </c>
      <c r="N60">
        <v>1.8138000000000001</v>
      </c>
      <c r="O60" t="s">
        <v>2997</v>
      </c>
    </row>
    <row r="61" spans="2:15">
      <c r="B61" s="116" t="s">
        <v>131</v>
      </c>
      <c r="C61" s="116" t="s">
        <v>1025</v>
      </c>
      <c r="D61" t="s">
        <v>132</v>
      </c>
      <c r="E61" t="s">
        <v>3008</v>
      </c>
      <c r="F61" t="s">
        <v>3009</v>
      </c>
      <c r="G61" s="62">
        <v>395.30599999999998</v>
      </c>
      <c r="H61">
        <v>0</v>
      </c>
      <c r="I61">
        <v>0.09</v>
      </c>
      <c r="J61">
        <v>0</v>
      </c>
      <c r="K61">
        <v>10.092000000000001</v>
      </c>
      <c r="L61">
        <v>1.87</v>
      </c>
      <c r="M61">
        <v>2.31</v>
      </c>
      <c r="N61">
        <v>2.181</v>
      </c>
      <c r="O61" t="s">
        <v>2997</v>
      </c>
    </row>
    <row r="62" spans="2:15">
      <c r="B62" s="116" t="s">
        <v>133</v>
      </c>
      <c r="C62" s="116" t="s">
        <v>1025</v>
      </c>
      <c r="D62" t="s">
        <v>134</v>
      </c>
      <c r="E62" t="s">
        <v>3010</v>
      </c>
      <c r="F62" t="s">
        <v>3011</v>
      </c>
      <c r="G62" s="62">
        <v>395.30599999999998</v>
      </c>
      <c r="H62">
        <v>0</v>
      </c>
      <c r="I62">
        <v>0.09</v>
      </c>
      <c r="J62">
        <v>0</v>
      </c>
      <c r="K62">
        <v>9.59</v>
      </c>
      <c r="L62">
        <v>1.87</v>
      </c>
      <c r="M62">
        <v>2.31</v>
      </c>
      <c r="N62">
        <v>2.181</v>
      </c>
      <c r="O62" t="s">
        <v>2997</v>
      </c>
    </row>
    <row r="63" spans="2:15">
      <c r="B63" s="116" t="s">
        <v>135</v>
      </c>
      <c r="C63" s="116" t="s">
        <v>1025</v>
      </c>
      <c r="D63" t="s">
        <v>136</v>
      </c>
      <c r="E63" t="s">
        <v>3012</v>
      </c>
      <c r="F63" t="s">
        <v>3013</v>
      </c>
      <c r="G63" s="62">
        <v>498.63200000000001</v>
      </c>
      <c r="H63">
        <v>0</v>
      </c>
      <c r="I63">
        <v>0.02</v>
      </c>
      <c r="J63">
        <v>0</v>
      </c>
      <c r="K63">
        <v>11.702999999999999</v>
      </c>
      <c r="L63">
        <v>2.2599999999999998</v>
      </c>
      <c r="M63">
        <v>2.72</v>
      </c>
      <c r="N63">
        <v>2.5482</v>
      </c>
      <c r="O63" t="s">
        <v>2997</v>
      </c>
    </row>
    <row r="64" spans="2:15">
      <c r="B64" s="116" t="s">
        <v>2732</v>
      </c>
      <c r="C64" s="116" t="s">
        <v>2333</v>
      </c>
      <c r="D64" t="s">
        <v>2026</v>
      </c>
      <c r="E64" t="s">
        <v>3014</v>
      </c>
      <c r="F64" t="s">
        <v>3015</v>
      </c>
      <c r="G64" s="62">
        <v>194.18</v>
      </c>
      <c r="H64">
        <v>0</v>
      </c>
      <c r="I64">
        <v>0.88</v>
      </c>
      <c r="J64">
        <v>0</v>
      </c>
      <c r="K64">
        <v>6.2750000000000004</v>
      </c>
      <c r="L64">
        <v>1.26</v>
      </c>
      <c r="M64">
        <v>0.78</v>
      </c>
      <c r="N64">
        <v>1.4288000000000001</v>
      </c>
      <c r="O64" t="s">
        <v>3016</v>
      </c>
    </row>
    <row r="65" spans="2:15">
      <c r="B65" s="116" t="s">
        <v>2009</v>
      </c>
      <c r="C65" s="116" t="s">
        <v>2333</v>
      </c>
      <c r="D65" t="s">
        <v>2010</v>
      </c>
      <c r="E65" t="s">
        <v>3017</v>
      </c>
      <c r="F65" t="s">
        <v>3018</v>
      </c>
      <c r="G65" s="62">
        <v>222.24</v>
      </c>
      <c r="H65">
        <v>0</v>
      </c>
      <c r="I65">
        <v>0.9</v>
      </c>
      <c r="J65">
        <v>0</v>
      </c>
      <c r="K65">
        <v>7.2140000000000004</v>
      </c>
      <c r="L65">
        <v>1.26</v>
      </c>
      <c r="M65">
        <v>0.73</v>
      </c>
      <c r="N65">
        <v>1.7105999999999999</v>
      </c>
      <c r="O65" t="s">
        <v>3016</v>
      </c>
    </row>
    <row r="66" spans="2:15">
      <c r="B66" s="116" t="s">
        <v>1995</v>
      </c>
      <c r="C66" s="116" t="s">
        <v>2333</v>
      </c>
      <c r="D66" t="s">
        <v>1996</v>
      </c>
      <c r="E66" t="s">
        <v>3019</v>
      </c>
      <c r="F66" t="s">
        <v>3020</v>
      </c>
      <c r="G66" s="62">
        <v>250.29</v>
      </c>
      <c r="H66">
        <v>0</v>
      </c>
      <c r="I66">
        <v>0.94</v>
      </c>
      <c r="J66">
        <v>0</v>
      </c>
      <c r="K66">
        <v>8.2710000000000008</v>
      </c>
      <c r="L66">
        <v>1.28</v>
      </c>
      <c r="M66">
        <v>0.71</v>
      </c>
      <c r="N66">
        <v>1.9923999999999999</v>
      </c>
      <c r="O66" t="s">
        <v>3016</v>
      </c>
    </row>
    <row r="67" spans="2:15">
      <c r="B67" s="116" t="s">
        <v>1989</v>
      </c>
      <c r="C67" s="116" t="s">
        <v>2333</v>
      </c>
      <c r="D67" t="s">
        <v>1991</v>
      </c>
      <c r="E67" t="s">
        <v>3021</v>
      </c>
      <c r="F67" t="s">
        <v>3022</v>
      </c>
      <c r="G67" s="62">
        <v>278.33999999999997</v>
      </c>
      <c r="H67">
        <v>0</v>
      </c>
      <c r="I67">
        <v>0.95</v>
      </c>
      <c r="J67">
        <v>0</v>
      </c>
      <c r="K67">
        <v>8.8800000000000008</v>
      </c>
      <c r="L67">
        <v>1.21</v>
      </c>
      <c r="M67">
        <v>0.68</v>
      </c>
      <c r="N67">
        <v>2.2742</v>
      </c>
      <c r="O67" t="s">
        <v>3016</v>
      </c>
    </row>
    <row r="68" spans="2:15">
      <c r="B68" s="116" t="s">
        <v>1980</v>
      </c>
      <c r="C68" s="116" t="s">
        <v>2333</v>
      </c>
      <c r="D68" t="s">
        <v>1981</v>
      </c>
      <c r="E68" t="s">
        <v>3023</v>
      </c>
      <c r="F68" t="s">
        <v>3024</v>
      </c>
      <c r="G68" s="62">
        <v>278.33999999999997</v>
      </c>
      <c r="H68">
        <v>0</v>
      </c>
      <c r="I68">
        <v>0.95</v>
      </c>
      <c r="J68">
        <v>0</v>
      </c>
      <c r="K68">
        <v>8.9700000000000006</v>
      </c>
      <c r="L68">
        <v>1.27</v>
      </c>
      <c r="M68">
        <v>0.7</v>
      </c>
      <c r="N68">
        <v>2.2742</v>
      </c>
      <c r="O68" t="s">
        <v>3016</v>
      </c>
    </row>
    <row r="69" spans="2:15">
      <c r="B69" s="116" t="s">
        <v>1969</v>
      </c>
      <c r="C69" s="116" t="s">
        <v>2333</v>
      </c>
      <c r="D69" t="s">
        <v>1971</v>
      </c>
      <c r="E69" t="s">
        <v>3025</v>
      </c>
      <c r="F69" t="s">
        <v>3026</v>
      </c>
      <c r="G69" s="62">
        <v>312.39999999999998</v>
      </c>
      <c r="H69">
        <v>0</v>
      </c>
      <c r="I69">
        <v>1.1299999999999999</v>
      </c>
      <c r="J69">
        <v>0</v>
      </c>
      <c r="K69">
        <v>10.82</v>
      </c>
      <c r="L69">
        <v>1.51</v>
      </c>
      <c r="M69">
        <v>1.3</v>
      </c>
      <c r="N69">
        <v>2.4592999999999998</v>
      </c>
      <c r="O69" t="s">
        <v>3016</v>
      </c>
    </row>
    <row r="70" spans="2:15">
      <c r="B70" s="116" t="s">
        <v>1959</v>
      </c>
      <c r="C70" s="116" t="s">
        <v>2333</v>
      </c>
      <c r="D70" t="s">
        <v>1962</v>
      </c>
      <c r="E70" t="s">
        <v>3027</v>
      </c>
      <c r="F70" t="s">
        <v>3028</v>
      </c>
      <c r="G70" s="62">
        <v>706.1</v>
      </c>
      <c r="H70">
        <v>0</v>
      </c>
      <c r="I70">
        <v>0.66</v>
      </c>
      <c r="J70">
        <v>0</v>
      </c>
      <c r="K70">
        <v>15.92</v>
      </c>
      <c r="L70">
        <v>1.4</v>
      </c>
      <c r="M70">
        <v>1.95</v>
      </c>
      <c r="N70">
        <v>4.1013999999999999</v>
      </c>
      <c r="O70" t="s">
        <v>3029</v>
      </c>
    </row>
    <row r="71" spans="2:15">
      <c r="B71" s="116" t="s">
        <v>1956</v>
      </c>
      <c r="C71" s="116" t="s">
        <v>2333</v>
      </c>
      <c r="D71" t="s">
        <v>1957</v>
      </c>
      <c r="E71" t="s">
        <v>3030</v>
      </c>
      <c r="F71" t="s">
        <v>3031</v>
      </c>
      <c r="G71" s="62">
        <v>390.6</v>
      </c>
      <c r="H71">
        <v>0</v>
      </c>
      <c r="I71">
        <v>1.02</v>
      </c>
      <c r="J71">
        <v>0</v>
      </c>
      <c r="K71">
        <v>12.7</v>
      </c>
      <c r="L71">
        <v>1.25</v>
      </c>
      <c r="M71">
        <v>0.64</v>
      </c>
      <c r="N71">
        <v>3.4014000000000002</v>
      </c>
      <c r="O71" t="s">
        <v>3016</v>
      </c>
    </row>
    <row r="72" spans="2:15">
      <c r="B72" s="116" t="s">
        <v>1942</v>
      </c>
      <c r="C72" s="116" t="s">
        <v>2333</v>
      </c>
      <c r="D72" t="s">
        <v>1945</v>
      </c>
      <c r="E72" t="s">
        <v>3032</v>
      </c>
      <c r="F72" t="s">
        <v>3033</v>
      </c>
      <c r="G72" s="62">
        <v>390.6</v>
      </c>
      <c r="H72">
        <v>0</v>
      </c>
      <c r="I72">
        <v>1.04</v>
      </c>
      <c r="J72">
        <v>0</v>
      </c>
      <c r="K72">
        <v>13.12</v>
      </c>
      <c r="L72">
        <v>1.3</v>
      </c>
      <c r="M72">
        <v>0.64</v>
      </c>
      <c r="N72">
        <v>3.4014000000000002</v>
      </c>
      <c r="O72" t="s">
        <v>3016</v>
      </c>
    </row>
    <row r="73" spans="2:15">
      <c r="B73" s="116" t="s">
        <v>1927</v>
      </c>
      <c r="C73" s="116" t="s">
        <v>2333</v>
      </c>
      <c r="D73" t="s">
        <v>1931</v>
      </c>
      <c r="E73" t="s">
        <v>3034</v>
      </c>
      <c r="F73" t="s">
        <v>3035</v>
      </c>
      <c r="G73" s="62">
        <v>148.6</v>
      </c>
      <c r="H73">
        <v>0</v>
      </c>
      <c r="I73">
        <v>1.02</v>
      </c>
      <c r="J73">
        <v>0</v>
      </c>
      <c r="K73">
        <v>13.99</v>
      </c>
      <c r="L73">
        <v>1.27</v>
      </c>
      <c r="M73">
        <v>0.63</v>
      </c>
      <c r="N73">
        <v>3.6831999999999998</v>
      </c>
      <c r="O73" t="s">
        <v>3016</v>
      </c>
    </row>
    <row r="74" spans="2:15">
      <c r="B74" s="116" t="s">
        <v>138</v>
      </c>
      <c r="C74" s="116" t="s">
        <v>1026</v>
      </c>
      <c r="D74" t="s">
        <v>139</v>
      </c>
      <c r="E74" t="s">
        <v>3036</v>
      </c>
      <c r="F74" t="s">
        <v>3037</v>
      </c>
      <c r="G74" s="62">
        <v>192.28299999999999</v>
      </c>
      <c r="H74">
        <v>0</v>
      </c>
      <c r="I74">
        <v>0.51</v>
      </c>
      <c r="J74">
        <v>0.51</v>
      </c>
      <c r="K74">
        <v>7.3079999999999998</v>
      </c>
      <c r="L74">
        <v>1.59</v>
      </c>
      <c r="M74">
        <v>1.37</v>
      </c>
      <c r="N74">
        <v>1.4807999999999999</v>
      </c>
      <c r="O74" t="s">
        <v>2895</v>
      </c>
    </row>
    <row r="75" spans="2:15">
      <c r="B75" s="116" t="s">
        <v>140</v>
      </c>
      <c r="C75" s="116" t="s">
        <v>1026</v>
      </c>
      <c r="D75" t="s">
        <v>141</v>
      </c>
      <c r="E75" t="s">
        <v>3038</v>
      </c>
      <c r="F75" t="s">
        <v>3039</v>
      </c>
      <c r="G75" s="62">
        <v>228.24700000000001</v>
      </c>
      <c r="H75">
        <v>0</v>
      </c>
      <c r="I75">
        <v>0.53</v>
      </c>
      <c r="J75">
        <v>0</v>
      </c>
      <c r="K75">
        <v>8.84</v>
      </c>
      <c r="L75">
        <v>1.6</v>
      </c>
      <c r="M75">
        <v>1.65</v>
      </c>
      <c r="N75">
        <v>1.7391000000000001</v>
      </c>
      <c r="O75" t="s">
        <v>3040</v>
      </c>
    </row>
    <row r="76" spans="2:15">
      <c r="B76" s="116" t="s">
        <v>142</v>
      </c>
      <c r="C76" s="116" t="s">
        <v>1026</v>
      </c>
      <c r="D76" t="s">
        <v>143</v>
      </c>
      <c r="E76" t="s">
        <v>3041</v>
      </c>
      <c r="F76" t="s">
        <v>3042</v>
      </c>
      <c r="G76" s="62">
        <v>254.37299999999999</v>
      </c>
      <c r="H76">
        <v>0</v>
      </c>
      <c r="I76">
        <v>0.57999999999999996</v>
      </c>
      <c r="J76">
        <v>0.57999999999999996</v>
      </c>
      <c r="K76">
        <v>9.2029999999999994</v>
      </c>
      <c r="L76">
        <v>1.18</v>
      </c>
      <c r="M76">
        <v>1.34</v>
      </c>
      <c r="N76">
        <v>2.1627000000000001</v>
      </c>
      <c r="O76" t="s">
        <v>2895</v>
      </c>
    </row>
    <row r="77" spans="2:15">
      <c r="B77" s="116" t="s">
        <v>144</v>
      </c>
      <c r="C77" s="116" t="s">
        <v>1026</v>
      </c>
      <c r="D77" t="s">
        <v>145</v>
      </c>
      <c r="E77" t="s">
        <v>3043</v>
      </c>
      <c r="F77" t="s">
        <v>3044</v>
      </c>
      <c r="G77" s="62">
        <v>262.34899999999999</v>
      </c>
      <c r="H77">
        <v>0.13</v>
      </c>
      <c r="I77">
        <v>0.49</v>
      </c>
      <c r="J77">
        <v>0.5</v>
      </c>
      <c r="K77">
        <v>8.9459999999999997</v>
      </c>
      <c r="L77">
        <v>1.08</v>
      </c>
      <c r="M77">
        <v>1</v>
      </c>
      <c r="N77">
        <v>2.1499000000000001</v>
      </c>
      <c r="O77" t="s">
        <v>2895</v>
      </c>
    </row>
    <row r="78" spans="2:15">
      <c r="B78" s="116" t="s">
        <v>487</v>
      </c>
      <c r="C78" s="116" t="s">
        <v>1026</v>
      </c>
      <c r="D78" t="s">
        <v>488</v>
      </c>
      <c r="E78" t="s">
        <v>3045</v>
      </c>
      <c r="F78" t="s">
        <v>3046</v>
      </c>
      <c r="G78" s="62">
        <v>361.48500000000001</v>
      </c>
      <c r="H78">
        <v>0</v>
      </c>
      <c r="I78">
        <v>0.86</v>
      </c>
      <c r="J78">
        <v>0.86</v>
      </c>
      <c r="K78">
        <v>12.983000000000001</v>
      </c>
      <c r="L78">
        <v>2.06</v>
      </c>
      <c r="M78">
        <v>1.5</v>
      </c>
      <c r="N78">
        <v>3.0602</v>
      </c>
      <c r="O78" t="s">
        <v>2895</v>
      </c>
    </row>
    <row r="79" spans="2:15">
      <c r="B79" s="116" t="s">
        <v>485</v>
      </c>
      <c r="C79" s="116" t="s">
        <v>1026</v>
      </c>
      <c r="D79" t="s">
        <v>486</v>
      </c>
      <c r="E79" t="s">
        <v>3047</v>
      </c>
      <c r="F79" t="s">
        <v>3048</v>
      </c>
      <c r="G79" s="62">
        <v>250.33799999999999</v>
      </c>
      <c r="H79">
        <v>0.13</v>
      </c>
      <c r="I79">
        <v>0.45</v>
      </c>
      <c r="J79">
        <v>0.45</v>
      </c>
      <c r="K79">
        <v>8.6120000000000001</v>
      </c>
      <c r="L79">
        <v>1.07</v>
      </c>
      <c r="M79">
        <v>0.8</v>
      </c>
      <c r="N79">
        <v>2.1175999999999999</v>
      </c>
      <c r="O79" t="s">
        <v>2895</v>
      </c>
    </row>
    <row r="80" spans="2:15">
      <c r="B80" s="116" t="s">
        <v>483</v>
      </c>
      <c r="C80" s="116" t="s">
        <v>1026</v>
      </c>
      <c r="D80" t="s">
        <v>484</v>
      </c>
      <c r="E80" t="s">
        <v>3049</v>
      </c>
      <c r="F80" t="s">
        <v>3050</v>
      </c>
      <c r="G80" s="62">
        <v>310.39299999999997</v>
      </c>
      <c r="H80">
        <v>0</v>
      </c>
      <c r="I80">
        <v>1.08</v>
      </c>
      <c r="J80">
        <v>1.08</v>
      </c>
      <c r="K80">
        <v>11.468999999999999</v>
      </c>
      <c r="L80">
        <v>2.08</v>
      </c>
      <c r="M80">
        <v>1.64</v>
      </c>
      <c r="N80">
        <v>2.5415000000000001</v>
      </c>
      <c r="O80" t="s">
        <v>2895</v>
      </c>
    </row>
    <row r="81" spans="2:15">
      <c r="B81" s="335" t="s">
        <v>146</v>
      </c>
      <c r="C81" s="335" t="s">
        <v>1026</v>
      </c>
      <c r="D81" s="314" t="s">
        <v>147</v>
      </c>
      <c r="E81" s="314" t="s">
        <v>3051</v>
      </c>
      <c r="F81" s="314" t="s">
        <v>3052</v>
      </c>
      <c r="G81" s="62">
        <v>290.40300000000002</v>
      </c>
      <c r="H81">
        <v>0</v>
      </c>
      <c r="I81">
        <v>0.78</v>
      </c>
      <c r="J81">
        <v>0.9</v>
      </c>
      <c r="K81">
        <v>9.7110000000000003</v>
      </c>
      <c r="L81">
        <v>1.25</v>
      </c>
      <c r="M81">
        <v>0.86</v>
      </c>
      <c r="N81">
        <v>2.4973000000000001</v>
      </c>
      <c r="O81" t="s">
        <v>2895</v>
      </c>
    </row>
  </sheetData>
  <mergeCells count="1">
    <mergeCell ref="B2:O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X613"/>
  <sheetViews>
    <sheetView topLeftCell="A5" zoomScale="80" zoomScaleNormal="80" workbookViewId="0">
      <pane xSplit="2" topLeftCell="AQ1" activePane="topRight" state="frozen"/>
      <selection activeCell="AV89" sqref="AV89:AX89"/>
      <selection pane="topRight" activeCell="N13" sqref="N13"/>
    </sheetView>
  </sheetViews>
  <sheetFormatPr defaultColWidth="9.140625" defaultRowHeight="15"/>
  <cols>
    <col min="1" max="1" width="33.7109375" style="1" customWidth="1"/>
    <col min="2" max="2" width="22.5703125" style="1" customWidth="1"/>
    <col min="3" max="3" width="15.5703125" style="1" customWidth="1"/>
    <col min="4" max="4" width="21.42578125" style="1" bestFit="1" customWidth="1"/>
    <col min="5" max="5" width="23.85546875" style="1" bestFit="1" customWidth="1"/>
    <col min="6" max="6" width="12.5703125" style="13" customWidth="1"/>
    <col min="7" max="7" width="22.5703125" style="13" customWidth="1"/>
    <col min="8" max="8" width="26.28515625" style="13" customWidth="1"/>
    <col min="9" max="9" width="14.85546875" style="13" customWidth="1"/>
    <col min="10" max="11" width="22.5703125" style="13" customWidth="1"/>
    <col min="12" max="12" width="12" style="13" customWidth="1"/>
    <col min="13" max="14" width="22.5703125" style="13" customWidth="1"/>
    <col min="15" max="15" width="12.28515625" style="1" customWidth="1"/>
    <col min="16" max="16" width="22.5703125" style="1" customWidth="1"/>
    <col min="17" max="17" width="22.5703125" style="13" customWidth="1"/>
    <col min="18" max="18" width="10.7109375" style="1" customWidth="1"/>
    <col min="19" max="19" width="22.5703125" style="35" customWidth="1"/>
    <col min="20" max="20" width="22.5703125" style="13" customWidth="1"/>
    <col min="21" max="21" width="9.7109375" style="16" customWidth="1"/>
    <col min="22" max="22" width="11.85546875" style="16" customWidth="1"/>
    <col min="23" max="23" width="25.140625" style="40" customWidth="1"/>
    <col min="24" max="24" width="12.28515625" style="40" customWidth="1"/>
    <col min="25" max="26" width="20.7109375" style="40" customWidth="1"/>
    <col min="27" max="27" width="13" style="40" customWidth="1"/>
    <col min="28" max="28" width="16.28515625" style="40" customWidth="1"/>
    <col min="29" max="30" width="20.7109375" style="40" customWidth="1"/>
    <col min="31" max="31" width="11" style="1" customWidth="1"/>
    <col min="32" max="32" width="17.140625" style="1" customWidth="1"/>
    <col min="33" max="33" width="22.42578125" style="1" bestFit="1" customWidth="1"/>
    <col min="34" max="34" width="11.5703125" style="40" customWidth="1"/>
    <col min="35" max="35" width="16.42578125" style="40" customWidth="1"/>
    <col min="36" max="37" width="20.7109375" style="40" customWidth="1"/>
    <col min="38" max="38" width="12.140625" style="40" customWidth="1"/>
    <col min="39" max="39" width="18.28515625" style="40" bestFit="1" customWidth="1"/>
    <col min="40" max="41" width="20.7109375" style="40" customWidth="1"/>
    <col min="42" max="42" width="9.5703125" style="40" customWidth="1"/>
    <col min="43" max="44" width="20.7109375" style="40" customWidth="1"/>
    <col min="45" max="45" width="12.140625" style="40" customWidth="1"/>
    <col min="46" max="47" width="20.7109375" style="40" customWidth="1"/>
    <col min="48" max="48" width="30.140625" style="42" bestFit="1" customWidth="1"/>
    <col min="49" max="50" width="26.28515625" style="40" customWidth="1"/>
    <col min="51" max="16384" width="9.140625" style="1"/>
  </cols>
  <sheetData>
    <row r="1" spans="1:50" hidden="1">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1">
        <v>24</v>
      </c>
      <c r="Y1" s="1">
        <v>25</v>
      </c>
      <c r="Z1" s="1">
        <v>26</v>
      </c>
      <c r="AA1" s="1">
        <v>27</v>
      </c>
      <c r="AB1" s="1">
        <v>28</v>
      </c>
      <c r="AC1" s="1">
        <v>29</v>
      </c>
      <c r="AD1" s="1">
        <v>30</v>
      </c>
      <c r="AE1" s="1">
        <v>31</v>
      </c>
      <c r="AF1" s="1">
        <v>32</v>
      </c>
      <c r="AG1" s="1">
        <v>33</v>
      </c>
      <c r="AH1" s="1">
        <v>34</v>
      </c>
      <c r="AI1" s="1">
        <v>35</v>
      </c>
      <c r="AJ1" s="1">
        <v>36</v>
      </c>
      <c r="AK1" s="1">
        <v>37</v>
      </c>
      <c r="AL1" s="1">
        <v>38</v>
      </c>
      <c r="AM1" s="1">
        <v>39</v>
      </c>
      <c r="AN1" s="1">
        <v>40</v>
      </c>
      <c r="AO1" s="1">
        <v>41</v>
      </c>
      <c r="AP1" s="1">
        <v>42</v>
      </c>
      <c r="AQ1" s="1">
        <v>43</v>
      </c>
      <c r="AR1" s="1">
        <v>44</v>
      </c>
      <c r="AS1" s="1">
        <v>45</v>
      </c>
      <c r="AT1" s="1">
        <v>46</v>
      </c>
      <c r="AU1" s="1">
        <v>47</v>
      </c>
      <c r="AV1" s="275">
        <v>48</v>
      </c>
    </row>
    <row r="2" spans="1:50" hidden="1">
      <c r="T2" s="101"/>
    </row>
    <row r="3" spans="1:50">
      <c r="T3" s="101"/>
      <c r="U3" s="102"/>
      <c r="V3" s="102"/>
      <c r="W3" s="71"/>
      <c r="X3" s="71"/>
      <c r="Y3" s="71"/>
      <c r="Z3" s="71"/>
      <c r="AA3" s="71"/>
      <c r="AB3" s="71"/>
      <c r="AC3" s="71"/>
      <c r="AD3" s="71"/>
      <c r="AH3" s="71"/>
      <c r="AI3" s="71"/>
      <c r="AJ3" s="71"/>
      <c r="AK3" s="71"/>
      <c r="AL3" s="71"/>
      <c r="AM3" s="71"/>
      <c r="AN3" s="71"/>
      <c r="AO3" s="71"/>
      <c r="AP3" s="71"/>
      <c r="AQ3" s="71"/>
      <c r="AR3" s="71"/>
      <c r="AS3" s="71"/>
      <c r="AT3" s="71"/>
      <c r="AU3" s="71"/>
      <c r="AV3" s="479"/>
      <c r="AW3" s="71"/>
      <c r="AX3" s="71"/>
    </row>
    <row r="4" spans="1:50">
      <c r="A4" s="521" t="s">
        <v>3068</v>
      </c>
      <c r="B4" s="521"/>
      <c r="C4" s="521"/>
      <c r="D4" s="521"/>
      <c r="E4" s="521"/>
      <c r="F4" s="521"/>
      <c r="G4" s="521"/>
      <c r="H4" s="521"/>
      <c r="I4" s="521"/>
      <c r="J4" s="521"/>
      <c r="T4" s="101"/>
      <c r="U4" s="102"/>
      <c r="V4" s="102"/>
      <c r="W4" s="71"/>
      <c r="X4" s="71"/>
      <c r="Y4" s="71"/>
      <c r="Z4" s="71"/>
      <c r="AA4" s="71"/>
      <c r="AB4" s="71"/>
      <c r="AC4" s="71"/>
      <c r="AD4" s="71"/>
      <c r="AH4" s="71"/>
      <c r="AI4" s="71"/>
      <c r="AJ4" s="71"/>
      <c r="AK4" s="71"/>
      <c r="AL4" s="71"/>
      <c r="AM4" s="71"/>
      <c r="AN4" s="71"/>
      <c r="AO4" s="71"/>
      <c r="AP4" s="71"/>
      <c r="AQ4" s="71"/>
      <c r="AR4" s="71"/>
      <c r="AS4" s="71"/>
      <c r="AT4" s="71"/>
      <c r="AU4" s="71"/>
      <c r="AV4" s="479"/>
      <c r="AW4" s="71"/>
      <c r="AX4" s="71"/>
    </row>
    <row r="5" spans="1:50" ht="36" customHeight="1">
      <c r="A5" s="521"/>
      <c r="B5" s="521"/>
      <c r="C5" s="521"/>
      <c r="D5" s="521"/>
      <c r="E5" s="521"/>
      <c r="F5" s="521"/>
      <c r="G5" s="521"/>
      <c r="H5" s="521"/>
      <c r="I5" s="521"/>
      <c r="J5" s="521"/>
      <c r="K5" s="66"/>
      <c r="L5" s="66"/>
      <c r="M5" s="66"/>
      <c r="N5" s="66"/>
      <c r="O5" s="33"/>
      <c r="P5" s="33"/>
      <c r="Q5" s="66"/>
      <c r="R5" s="33"/>
      <c r="S5" s="66"/>
      <c r="T5" s="66"/>
      <c r="U5" s="76"/>
      <c r="V5" s="76"/>
      <c r="W5" s="76"/>
      <c r="X5" s="76"/>
      <c r="Y5" s="76"/>
      <c r="Z5" s="76"/>
      <c r="AA5" s="76"/>
      <c r="AB5" s="76"/>
      <c r="AC5" s="76"/>
      <c r="AD5" s="76"/>
      <c r="AE5" s="76"/>
      <c r="AF5" s="76"/>
      <c r="AG5" s="76"/>
      <c r="AH5" s="76"/>
      <c r="AI5" s="76"/>
      <c r="AJ5" s="76"/>
      <c r="AK5" s="76"/>
      <c r="AL5" s="76"/>
      <c r="AM5" s="76"/>
      <c r="AN5" s="76"/>
      <c r="AO5" s="76"/>
      <c r="AP5" s="76"/>
      <c r="AQ5" s="76"/>
      <c r="AR5" s="76"/>
      <c r="AS5" s="76"/>
      <c r="AT5" s="76"/>
      <c r="AU5" s="76"/>
      <c r="AV5" s="480"/>
      <c r="AW5" s="76"/>
      <c r="AX5" s="76"/>
    </row>
    <row r="6" spans="1:50" ht="20.25">
      <c r="A6" s="76"/>
      <c r="B6" s="76"/>
      <c r="C6" s="507" t="s">
        <v>1657</v>
      </c>
      <c r="D6" s="507"/>
      <c r="E6" s="507"/>
      <c r="F6" s="507"/>
      <c r="G6" s="507"/>
      <c r="H6" s="507"/>
      <c r="I6" s="507"/>
      <c r="J6" s="507"/>
      <c r="K6" s="507"/>
      <c r="L6" s="507"/>
      <c r="M6" s="507"/>
      <c r="N6" s="507"/>
      <c r="O6" s="507"/>
      <c r="P6" s="507"/>
      <c r="Q6" s="507"/>
      <c r="R6" s="507"/>
      <c r="S6" s="507"/>
      <c r="T6" s="507"/>
      <c r="U6" s="507" t="s">
        <v>258</v>
      </c>
      <c r="V6" s="507"/>
      <c r="W6" s="507"/>
      <c r="X6" s="507"/>
      <c r="Y6" s="507"/>
      <c r="Z6" s="507"/>
      <c r="AA6" s="507"/>
      <c r="AB6" s="507"/>
      <c r="AC6" s="507"/>
      <c r="AD6" s="507"/>
      <c r="AE6" s="507" t="s">
        <v>259</v>
      </c>
      <c r="AF6" s="507"/>
      <c r="AG6" s="507"/>
      <c r="AH6" s="507"/>
      <c r="AI6" s="507"/>
      <c r="AJ6" s="507"/>
      <c r="AK6" s="507"/>
      <c r="AL6" s="507"/>
      <c r="AM6" s="507"/>
      <c r="AN6" s="507"/>
      <c r="AO6" s="507"/>
      <c r="AP6" s="507" t="s">
        <v>556</v>
      </c>
      <c r="AQ6" s="507"/>
      <c r="AR6" s="507"/>
      <c r="AS6" s="507" t="s">
        <v>555</v>
      </c>
      <c r="AT6" s="507"/>
      <c r="AU6" s="507"/>
      <c r="AV6" s="507"/>
      <c r="AW6" s="76"/>
      <c r="AX6" s="76"/>
    </row>
    <row r="7" spans="1:50" ht="23.25" customHeight="1">
      <c r="A7" s="2"/>
      <c r="B7" s="57"/>
      <c r="C7" s="523" t="s">
        <v>2878</v>
      </c>
      <c r="D7" s="524"/>
      <c r="E7" s="525"/>
      <c r="F7" s="523" t="s">
        <v>2880</v>
      </c>
      <c r="G7" s="524"/>
      <c r="H7" s="525"/>
      <c r="I7" s="523" t="s">
        <v>2882</v>
      </c>
      <c r="J7" s="524"/>
      <c r="K7" s="525"/>
      <c r="L7" s="522" t="s">
        <v>2884</v>
      </c>
      <c r="M7" s="519"/>
      <c r="N7" s="520"/>
      <c r="O7" s="518" t="s">
        <v>2886</v>
      </c>
      <c r="P7" s="519"/>
      <c r="Q7" s="520"/>
      <c r="R7" s="518" t="s">
        <v>2888</v>
      </c>
      <c r="S7" s="519"/>
      <c r="T7" s="520"/>
      <c r="U7" s="512" t="s">
        <v>2</v>
      </c>
      <c r="V7" s="513"/>
      <c r="W7" s="514"/>
      <c r="X7" s="512" t="s">
        <v>238</v>
      </c>
      <c r="Y7" s="513"/>
      <c r="Z7" s="514"/>
      <c r="AA7" s="512" t="s">
        <v>239</v>
      </c>
      <c r="AB7" s="513"/>
      <c r="AC7" s="513"/>
      <c r="AD7" s="514"/>
      <c r="AE7" s="508" t="s">
        <v>2890</v>
      </c>
      <c r="AF7" s="509"/>
      <c r="AG7" s="510"/>
      <c r="AH7" s="515" t="s">
        <v>796</v>
      </c>
      <c r="AI7" s="516"/>
      <c r="AJ7" s="516"/>
      <c r="AK7" s="517"/>
      <c r="AL7" s="526" t="s">
        <v>1012</v>
      </c>
      <c r="AM7" s="527"/>
      <c r="AN7" s="527"/>
      <c r="AO7" s="528"/>
      <c r="AP7" s="518" t="s">
        <v>2891</v>
      </c>
      <c r="AQ7" s="519"/>
      <c r="AR7" s="520"/>
      <c r="AS7" s="518" t="s">
        <v>554</v>
      </c>
      <c r="AT7" s="519"/>
      <c r="AU7" s="519"/>
      <c r="AV7" s="520"/>
      <c r="AW7" s="189"/>
      <c r="AX7" s="189"/>
    </row>
    <row r="8" spans="1:50" ht="38.450000000000003" customHeight="1">
      <c r="A8" s="58" t="s">
        <v>3</v>
      </c>
      <c r="B8" s="200" t="s">
        <v>795</v>
      </c>
      <c r="C8" s="85" t="s">
        <v>580</v>
      </c>
      <c r="D8" s="38" t="s">
        <v>2879</v>
      </c>
      <c r="E8" s="125" t="s">
        <v>595</v>
      </c>
      <c r="F8" s="85" t="s">
        <v>580</v>
      </c>
      <c r="G8" s="38" t="s">
        <v>2881</v>
      </c>
      <c r="H8" s="38" t="s">
        <v>177</v>
      </c>
      <c r="I8" s="85" t="s">
        <v>580</v>
      </c>
      <c r="J8" s="38" t="s">
        <v>2883</v>
      </c>
      <c r="K8" s="38" t="s">
        <v>177</v>
      </c>
      <c r="L8" s="85" t="s">
        <v>580</v>
      </c>
      <c r="M8" s="146" t="s">
        <v>2885</v>
      </c>
      <c r="N8" s="82" t="s">
        <v>177</v>
      </c>
      <c r="O8" s="85" t="s">
        <v>580</v>
      </c>
      <c r="P8" s="146" t="s">
        <v>2887</v>
      </c>
      <c r="Q8" s="82" t="s">
        <v>177</v>
      </c>
      <c r="R8" s="85" t="s">
        <v>580</v>
      </c>
      <c r="S8" s="146" t="s">
        <v>2889</v>
      </c>
      <c r="T8" s="38" t="s">
        <v>177</v>
      </c>
      <c r="U8" s="85" t="s">
        <v>580</v>
      </c>
      <c r="V8" s="31" t="s">
        <v>4</v>
      </c>
      <c r="W8" s="106" t="s">
        <v>6</v>
      </c>
      <c r="X8" s="85" t="s">
        <v>580</v>
      </c>
      <c r="Y8" s="31" t="s">
        <v>4</v>
      </c>
      <c r="Z8" s="32" t="s">
        <v>6</v>
      </c>
      <c r="AA8" s="85" t="s">
        <v>580</v>
      </c>
      <c r="AB8" s="141" t="s">
        <v>589</v>
      </c>
      <c r="AC8" s="105" t="s">
        <v>265</v>
      </c>
      <c r="AD8" s="106" t="s">
        <v>6</v>
      </c>
      <c r="AE8" s="85" t="s">
        <v>580</v>
      </c>
      <c r="AF8" s="31" t="s">
        <v>4</v>
      </c>
      <c r="AG8" s="32" t="s">
        <v>5</v>
      </c>
      <c r="AH8" s="85" t="s">
        <v>580</v>
      </c>
      <c r="AI8" s="31" t="s">
        <v>794</v>
      </c>
      <c r="AJ8" s="31" t="s">
        <v>793</v>
      </c>
      <c r="AK8" s="32" t="s">
        <v>6</v>
      </c>
      <c r="AL8" s="85" t="s">
        <v>580</v>
      </c>
      <c r="AM8" s="31" t="s">
        <v>794</v>
      </c>
      <c r="AN8" s="31" t="s">
        <v>2858</v>
      </c>
      <c r="AO8" s="32" t="s">
        <v>6</v>
      </c>
      <c r="AP8" s="85" t="s">
        <v>580</v>
      </c>
      <c r="AQ8" s="31" t="s">
        <v>4</v>
      </c>
      <c r="AR8" s="31" t="s">
        <v>6</v>
      </c>
      <c r="AS8" s="126" t="s">
        <v>564</v>
      </c>
      <c r="AT8" s="127" t="s">
        <v>557</v>
      </c>
      <c r="AU8" s="127" t="s">
        <v>2857</v>
      </c>
      <c r="AV8" s="106" t="s">
        <v>6</v>
      </c>
      <c r="AW8" s="190"/>
      <c r="AX8" s="190"/>
    </row>
    <row r="9" spans="1:50">
      <c r="A9" s="504" t="s">
        <v>7</v>
      </c>
      <c r="B9" s="504"/>
      <c r="C9" s="504"/>
      <c r="D9" s="504"/>
      <c r="E9" s="504"/>
      <c r="F9" s="504"/>
      <c r="G9" s="504"/>
      <c r="H9" s="504"/>
      <c r="I9" s="504"/>
      <c r="J9" s="504"/>
      <c r="K9" s="504"/>
      <c r="L9" s="504"/>
      <c r="M9" s="504"/>
      <c r="N9" s="504"/>
      <c r="O9" s="504"/>
      <c r="P9" s="504"/>
      <c r="Q9" s="504"/>
      <c r="R9" s="504"/>
      <c r="S9" s="504"/>
      <c r="T9" s="504"/>
      <c r="U9" s="504"/>
      <c r="V9" s="504"/>
      <c r="W9" s="504"/>
      <c r="X9" s="504"/>
      <c r="Y9" s="504"/>
      <c r="Z9" s="504"/>
      <c r="AA9" s="504"/>
      <c r="AB9" s="504"/>
      <c r="AC9" s="504"/>
      <c r="AD9" s="504"/>
      <c r="AE9" s="504"/>
      <c r="AF9" s="504"/>
      <c r="AG9" s="504"/>
      <c r="AH9" s="504"/>
      <c r="AI9" s="504"/>
      <c r="AJ9" s="504"/>
      <c r="AK9" s="504"/>
      <c r="AL9" s="504"/>
      <c r="AM9" s="504"/>
      <c r="AN9" s="504"/>
      <c r="AO9" s="504"/>
      <c r="AP9" s="504"/>
      <c r="AQ9" s="504"/>
      <c r="AR9" s="504"/>
      <c r="AS9" s="504"/>
      <c r="AT9" s="504"/>
      <c r="AU9" s="504"/>
      <c r="AV9" s="504"/>
      <c r="AW9" s="4"/>
      <c r="AX9" s="4"/>
    </row>
    <row r="10" spans="1:50" ht="18">
      <c r="A10" s="3" t="s">
        <v>8</v>
      </c>
      <c r="B10" s="4" t="s">
        <v>9</v>
      </c>
      <c r="C10" s="157">
        <f>AVERAGE(D10:D13)</f>
        <v>65.209156034639165</v>
      </c>
      <c r="D10" s="30">
        <v>47.6</v>
      </c>
      <c r="E10" s="30" t="s">
        <v>240</v>
      </c>
      <c r="F10" s="83"/>
      <c r="G10" s="70"/>
      <c r="H10" s="70"/>
      <c r="I10" s="83"/>
      <c r="J10" s="70"/>
      <c r="K10" s="70"/>
      <c r="L10" s="321">
        <f>M10</f>
        <v>35.5</v>
      </c>
      <c r="M10" s="268">
        <v>35.5</v>
      </c>
      <c r="N10" s="268" t="s">
        <v>240</v>
      </c>
      <c r="O10" s="77"/>
      <c r="P10" s="147"/>
      <c r="Q10" s="70"/>
      <c r="R10" s="77"/>
      <c r="S10" s="70"/>
      <c r="T10" s="70"/>
      <c r="U10" s="145">
        <f>V10</f>
        <v>6.5903532568443328</v>
      </c>
      <c r="V10" s="15">
        <v>6.5903532568443328</v>
      </c>
      <c r="W10" s="45" t="s">
        <v>256</v>
      </c>
      <c r="X10" s="75">
        <f ca="1">Y10</f>
        <v>5.6510775932648061</v>
      </c>
      <c r="Y10" s="15">
        <f ca="1">'Table S4 Conversions and Notes'!J65</f>
        <v>5.6510775932648061</v>
      </c>
      <c r="Z10" s="7" t="s">
        <v>285</v>
      </c>
      <c r="AA10" s="47"/>
      <c r="AB10" s="47"/>
      <c r="AC10" s="47"/>
      <c r="AD10" s="45"/>
      <c r="AE10" s="139">
        <f>AVERAGE(AF10:AF12)</f>
        <v>-0.27186946994290417</v>
      </c>
      <c r="AF10" s="15">
        <v>0.14128921318199644</v>
      </c>
      <c r="AG10" s="45" t="s">
        <v>256</v>
      </c>
      <c r="AH10" s="130">
        <f ca="1">AVERAGE(AI10)</f>
        <v>-2.3871012037113615</v>
      </c>
      <c r="AI10" s="228">
        <f ca="1">LOG(AJ10/B11)</f>
        <v>-2.3871012037113615</v>
      </c>
      <c r="AJ10" s="17">
        <f ca="1">'Table S4 Conversions and Notes'!$J$63</f>
        <v>0.92023431527478849</v>
      </c>
      <c r="AK10" s="7" t="s">
        <v>279</v>
      </c>
      <c r="AL10" s="84"/>
      <c r="AM10" s="47"/>
      <c r="AN10" s="47"/>
      <c r="AO10" s="45"/>
      <c r="AP10" s="128">
        <f>AVERAGE(AQ10:AQ11)</f>
        <v>27.437164066193851</v>
      </c>
      <c r="AQ10" s="121">
        <v>28.869599999999998</v>
      </c>
      <c r="AR10" s="47" t="s">
        <v>579</v>
      </c>
      <c r="AS10" s="129">
        <f>AVERAGE(AT10:AT18)</f>
        <v>63.82222222222223</v>
      </c>
      <c r="AT10" s="107">
        <v>64</v>
      </c>
      <c r="AU10" s="121">
        <f>273.15+AT10</f>
        <v>337.15</v>
      </c>
      <c r="AV10" s="45" t="s">
        <v>561</v>
      </c>
      <c r="AW10" s="47"/>
      <c r="AX10" s="47"/>
    </row>
    <row r="11" spans="1:50" ht="18">
      <c r="A11" s="3"/>
      <c r="B11" s="171">
        <v>224.38800000000001</v>
      </c>
      <c r="C11" s="157">
        <f>_xlfn.STDEV.S(D10:D13)</f>
        <v>12.406667724169532</v>
      </c>
      <c r="D11" s="30">
        <f>'Table S4 Conversions and Notes'!Y13</f>
        <v>68.32774843227871</v>
      </c>
      <c r="E11" s="30" t="s">
        <v>596</v>
      </c>
      <c r="F11" s="83"/>
      <c r="G11" s="70"/>
      <c r="H11" s="70"/>
      <c r="I11" s="83"/>
      <c r="J11" s="70"/>
      <c r="K11" s="70"/>
      <c r="L11" s="145">
        <f>RSD_dUoa*L10</f>
        <v>2.2492119741999494</v>
      </c>
      <c r="M11" s="268"/>
      <c r="N11" s="268"/>
      <c r="O11" s="77"/>
      <c r="P11" s="147"/>
      <c r="Q11" s="70"/>
      <c r="R11" s="77"/>
      <c r="S11" s="70"/>
      <c r="T11" s="70"/>
      <c r="U11" s="145" cm="1">
        <f t="array" ref="U11">U10*RSD_Koa</f>
        <v>0.16968721679640786</v>
      </c>
      <c r="V11" s="15"/>
      <c r="W11" s="45"/>
      <c r="X11" s="75">
        <f ca="1">X10*RSD_Inf</f>
        <v>1.1302155186529612</v>
      </c>
      <c r="Y11" s="15"/>
      <c r="Z11" s="45"/>
      <c r="AA11" s="47"/>
      <c r="AB11" s="47"/>
      <c r="AC11" s="47"/>
      <c r="AD11" s="45"/>
      <c r="AE11" s="131">
        <f>_xlfn.STDEV.S(AF10:AF12)</f>
        <v>0.43981008116415443</v>
      </c>
      <c r="AF11" s="6">
        <f>'Table S4 Conversions and Notes'!$J$48</f>
        <v>-0.22269925742462177</v>
      </c>
      <c r="AG11" s="7" t="s">
        <v>10</v>
      </c>
      <c r="AH11" s="131">
        <f ca="1">ABS(AH10*RSD_SW)</f>
        <v>0.29517601490328987</v>
      </c>
      <c r="AI11" s="17"/>
      <c r="AJ11" s="47"/>
      <c r="AK11" s="45"/>
      <c r="AL11" s="84"/>
      <c r="AM11" s="47"/>
      <c r="AN11" s="47"/>
      <c r="AO11" s="45"/>
      <c r="AP11" s="132">
        <f>_xlfn.STDEV.S(AQ10:AQ11)</f>
        <v>2.0257703248192196</v>
      </c>
      <c r="AQ11" s="121">
        <f>8.8/AU18*1000</f>
        <v>26.004728132387708</v>
      </c>
      <c r="AR11" s="47" t="s">
        <v>586</v>
      </c>
      <c r="AS11" s="130">
        <f>_xlfn.STDEV.S(AT10:AT18)</f>
        <v>3.0339857357022035</v>
      </c>
      <c r="AT11" s="107">
        <v>67</v>
      </c>
      <c r="AU11" s="121">
        <f t="shared" ref="AU11:AU23" si="0">273.15+AT11</f>
        <v>340.15</v>
      </c>
      <c r="AV11" s="45" t="s">
        <v>562</v>
      </c>
      <c r="AW11" s="47"/>
      <c r="AX11" s="47"/>
    </row>
    <row r="12" spans="1:50" ht="18">
      <c r="A12" s="3"/>
      <c r="B12" s="4"/>
      <c r="C12" s="324">
        <f>COUNTA(D10:D13)</f>
        <v>4</v>
      </c>
      <c r="D12" s="255">
        <f>'Table S4 Conversions and Notes'!J528</f>
        <v>76.754437853138953</v>
      </c>
      <c r="E12" s="9" t="s">
        <v>2615</v>
      </c>
      <c r="F12" s="3"/>
      <c r="G12" s="4"/>
      <c r="H12" s="4"/>
      <c r="I12" s="3"/>
      <c r="J12" s="4"/>
      <c r="K12" s="4"/>
      <c r="L12" s="324">
        <f>COUNTA(M10:M12)</f>
        <v>1</v>
      </c>
      <c r="M12" s="4"/>
      <c r="N12" s="4"/>
      <c r="O12" s="3"/>
      <c r="P12" s="4"/>
      <c r="Q12" s="4"/>
      <c r="R12" s="3"/>
      <c r="S12" s="9"/>
      <c r="T12" s="4"/>
      <c r="U12" s="324">
        <f>COUNTA(V10:V12)</f>
        <v>1</v>
      </c>
      <c r="V12" s="8"/>
      <c r="W12" s="45"/>
      <c r="X12" s="324">
        <f ca="1">COUNTA(Y10:Y12)</f>
        <v>1</v>
      </c>
      <c r="Y12" s="8"/>
      <c r="Z12" s="45"/>
      <c r="AA12" s="47"/>
      <c r="AB12" s="47"/>
      <c r="AC12" s="47"/>
      <c r="AD12" s="45"/>
      <c r="AE12" s="324">
        <f>COUNTA(AF10:AF12)</f>
        <v>3</v>
      </c>
      <c r="AF12" s="6">
        <f>'Table S4 Conversions and Notes'!J49</f>
        <v>-0.7341983655860872</v>
      </c>
      <c r="AG12" s="7" t="s">
        <v>194</v>
      </c>
      <c r="AH12" s="324">
        <f ca="1">COUNTA(AI10:AI12)</f>
        <v>1</v>
      </c>
      <c r="AI12" s="47"/>
      <c r="AJ12" s="47"/>
      <c r="AK12" s="45"/>
      <c r="AL12" s="84"/>
      <c r="AM12" s="47"/>
      <c r="AN12" s="47"/>
      <c r="AO12" s="45"/>
      <c r="AP12" s="324">
        <f>COUNTA(AQ10:AQ12)</f>
        <v>2</v>
      </c>
      <c r="AQ12" s="47"/>
      <c r="AR12" s="47"/>
      <c r="AS12" s="324">
        <f>COUNTA(AT10:AT18)</f>
        <v>9</v>
      </c>
      <c r="AT12" s="47">
        <v>64.5</v>
      </c>
      <c r="AU12" s="121">
        <f t="shared" si="0"/>
        <v>337.65</v>
      </c>
      <c r="AV12" s="45" t="s">
        <v>563</v>
      </c>
      <c r="AW12" s="47"/>
      <c r="AX12" s="47"/>
    </row>
    <row r="13" spans="1:50" ht="18">
      <c r="A13" s="3"/>
      <c r="B13" s="4"/>
      <c r="C13" s="3"/>
      <c r="D13" s="255">
        <f>'Table S4 Conversions and Notes'!J529</f>
        <v>68.154437853138958</v>
      </c>
      <c r="E13" s="9" t="s">
        <v>2617</v>
      </c>
      <c r="F13" s="3"/>
      <c r="G13" s="4"/>
      <c r="H13" s="4"/>
      <c r="I13" s="3"/>
      <c r="J13" s="4"/>
      <c r="K13" s="4"/>
      <c r="L13" s="3"/>
      <c r="M13" s="4"/>
      <c r="N13" s="4"/>
      <c r="O13" s="3"/>
      <c r="P13" s="4"/>
      <c r="Q13" s="4"/>
      <c r="R13" s="3"/>
      <c r="S13" s="9"/>
      <c r="T13" s="4"/>
      <c r="U13" s="100"/>
      <c r="V13" s="8"/>
      <c r="W13" s="45"/>
      <c r="X13" s="8"/>
      <c r="Y13" s="8"/>
      <c r="Z13" s="45"/>
      <c r="AA13" s="47"/>
      <c r="AB13" s="47"/>
      <c r="AC13" s="47"/>
      <c r="AD13" s="45"/>
      <c r="AE13" s="5"/>
      <c r="AF13" s="6"/>
      <c r="AG13" s="7"/>
      <c r="AH13" s="84"/>
      <c r="AI13" s="47"/>
      <c r="AJ13" s="47"/>
      <c r="AK13" s="45"/>
      <c r="AL13" s="84"/>
      <c r="AM13" s="47"/>
      <c r="AN13" s="47"/>
      <c r="AO13" s="45"/>
      <c r="AP13" s="47"/>
      <c r="AQ13" s="47"/>
      <c r="AR13" s="47"/>
      <c r="AS13" s="84"/>
      <c r="AT13" s="47">
        <v>61</v>
      </c>
      <c r="AU13" s="121">
        <f t="shared" si="0"/>
        <v>334.15</v>
      </c>
      <c r="AV13" s="45" t="s">
        <v>560</v>
      </c>
      <c r="AW13" s="47"/>
      <c r="AX13" s="47"/>
    </row>
    <row r="14" spans="1:50">
      <c r="A14" s="3"/>
      <c r="B14" s="4"/>
      <c r="C14" s="3"/>
      <c r="D14" s="4"/>
      <c r="E14" s="4"/>
      <c r="F14" s="3"/>
      <c r="G14" s="4"/>
      <c r="H14" s="4"/>
      <c r="I14" s="3"/>
      <c r="J14" s="4"/>
      <c r="K14" s="4"/>
      <c r="L14" s="3"/>
      <c r="M14" s="4"/>
      <c r="N14" s="4"/>
      <c r="O14" s="3"/>
      <c r="P14" s="4"/>
      <c r="Q14" s="4"/>
      <c r="R14" s="3"/>
      <c r="S14" s="9"/>
      <c r="T14" s="4"/>
      <c r="U14" s="100"/>
      <c r="V14" s="8"/>
      <c r="W14" s="45"/>
      <c r="X14" s="8"/>
      <c r="Y14" s="8"/>
      <c r="Z14" s="45"/>
      <c r="AA14" s="47"/>
      <c r="AB14" s="47"/>
      <c r="AC14" s="47"/>
      <c r="AD14" s="45"/>
      <c r="AE14" s="139"/>
      <c r="AF14" s="6"/>
      <c r="AG14" s="7"/>
      <c r="AH14" s="84"/>
      <c r="AI14" s="47"/>
      <c r="AJ14" s="47"/>
      <c r="AK14" s="45"/>
      <c r="AL14" s="84"/>
      <c r="AM14" s="47"/>
      <c r="AN14" s="47"/>
      <c r="AO14" s="45"/>
      <c r="AP14" s="47"/>
      <c r="AQ14" s="47"/>
      <c r="AR14" s="47"/>
      <c r="AS14" s="84"/>
      <c r="AT14" s="47">
        <v>57</v>
      </c>
      <c r="AU14" s="121">
        <f t="shared" si="0"/>
        <v>330.15</v>
      </c>
      <c r="AV14" s="45" t="s">
        <v>579</v>
      </c>
      <c r="AW14" s="47"/>
      <c r="AX14" s="47"/>
    </row>
    <row r="15" spans="1:50">
      <c r="A15" s="3"/>
      <c r="B15" s="4"/>
      <c r="C15" s="3"/>
      <c r="D15" s="4"/>
      <c r="E15" s="4"/>
      <c r="F15" s="3"/>
      <c r="G15" s="4"/>
      <c r="H15" s="4"/>
      <c r="I15" s="3"/>
      <c r="J15" s="4"/>
      <c r="K15" s="4"/>
      <c r="L15" s="3"/>
      <c r="M15" s="4"/>
      <c r="N15" s="4"/>
      <c r="O15" s="3"/>
      <c r="P15" s="4"/>
      <c r="Q15" s="4"/>
      <c r="R15" s="3"/>
      <c r="S15" s="9"/>
      <c r="T15" s="4"/>
      <c r="U15" s="100"/>
      <c r="V15" s="8"/>
      <c r="W15" s="45"/>
      <c r="X15" s="8"/>
      <c r="Y15" s="8"/>
      <c r="Z15" s="45"/>
      <c r="AA15" s="47"/>
      <c r="AB15" s="47"/>
      <c r="AC15" s="47"/>
      <c r="AD15" s="45"/>
      <c r="AE15" s="131"/>
      <c r="AF15" s="6"/>
      <c r="AG15" s="7"/>
      <c r="AH15" s="84"/>
      <c r="AI15" s="47"/>
      <c r="AJ15" s="47"/>
      <c r="AK15" s="45"/>
      <c r="AL15" s="84"/>
      <c r="AM15" s="47"/>
      <c r="AN15" s="47"/>
      <c r="AO15" s="45"/>
      <c r="AP15" s="47"/>
      <c r="AQ15" s="47"/>
      <c r="AR15" s="47"/>
      <c r="AS15" s="84"/>
      <c r="AT15" s="121">
        <v>65.599999999999994</v>
      </c>
      <c r="AU15" s="47">
        <v>336.5</v>
      </c>
      <c r="AV15" s="45" t="s">
        <v>567</v>
      </c>
      <c r="AW15" s="47"/>
      <c r="AX15" s="47"/>
    </row>
    <row r="16" spans="1:50" ht="18">
      <c r="A16" s="3"/>
      <c r="B16" s="4"/>
      <c r="C16" s="3"/>
      <c r="D16" s="4"/>
      <c r="E16" s="4"/>
      <c r="F16" s="3"/>
      <c r="G16" s="4"/>
      <c r="H16" s="4"/>
      <c r="I16" s="3"/>
      <c r="J16" s="4"/>
      <c r="K16" s="4"/>
      <c r="L16" s="3"/>
      <c r="M16" s="4"/>
      <c r="N16" s="4"/>
      <c r="O16" s="3"/>
      <c r="P16" s="4"/>
      <c r="Q16" s="4"/>
      <c r="R16" s="3"/>
      <c r="S16" s="9"/>
      <c r="T16" s="4"/>
      <c r="U16" s="100"/>
      <c r="V16" s="8"/>
      <c r="W16" s="45"/>
      <c r="X16" s="8"/>
      <c r="Y16" s="8"/>
      <c r="Z16" s="45"/>
      <c r="AA16" s="47"/>
      <c r="AB16" s="47"/>
      <c r="AC16" s="47"/>
      <c r="AD16" s="45"/>
      <c r="AE16" s="5"/>
      <c r="AF16" s="6"/>
      <c r="AG16" s="7"/>
      <c r="AH16" s="84"/>
      <c r="AI16" s="47"/>
      <c r="AJ16" s="47"/>
      <c r="AK16" s="45"/>
      <c r="AL16" s="84"/>
      <c r="AM16" s="47"/>
      <c r="AN16" s="47"/>
      <c r="AO16" s="45"/>
      <c r="AP16" s="47"/>
      <c r="AQ16" s="47"/>
      <c r="AR16" s="47"/>
      <c r="AS16" s="84"/>
      <c r="AT16" s="121">
        <f>65.5</f>
        <v>65.5</v>
      </c>
      <c r="AU16" s="121">
        <f t="shared" si="0"/>
        <v>338.65</v>
      </c>
      <c r="AV16" s="45" t="s">
        <v>572</v>
      </c>
      <c r="AW16" s="47"/>
      <c r="AX16" s="47"/>
    </row>
    <row r="17" spans="1:50" ht="18">
      <c r="A17" s="3"/>
      <c r="B17" s="4"/>
      <c r="C17" s="3"/>
      <c r="D17" s="4"/>
      <c r="E17" s="4"/>
      <c r="F17" s="3"/>
      <c r="G17" s="4"/>
      <c r="H17" s="4"/>
      <c r="I17" s="3"/>
      <c r="J17" s="4"/>
      <c r="K17" s="4"/>
      <c r="L17" s="3"/>
      <c r="M17" s="4"/>
      <c r="N17" s="4"/>
      <c r="O17" s="3"/>
      <c r="P17" s="4"/>
      <c r="Q17" s="4"/>
      <c r="R17" s="3"/>
      <c r="S17" s="9"/>
      <c r="T17" s="4"/>
      <c r="U17" s="100"/>
      <c r="V17" s="8"/>
      <c r="W17" s="45"/>
      <c r="X17" s="8"/>
      <c r="Y17" s="8"/>
      <c r="Z17" s="45"/>
      <c r="AA17" s="47"/>
      <c r="AB17" s="47"/>
      <c r="AC17" s="47"/>
      <c r="AD17" s="45"/>
      <c r="AE17" s="5"/>
      <c r="AF17" s="6"/>
      <c r="AG17" s="7"/>
      <c r="AH17" s="84"/>
      <c r="AI17" s="47"/>
      <c r="AJ17" s="47"/>
      <c r="AK17" s="45"/>
      <c r="AL17" s="84"/>
      <c r="AM17" s="47"/>
      <c r="AN17" s="47"/>
      <c r="AO17" s="45"/>
      <c r="AP17" s="47"/>
      <c r="AQ17" s="47"/>
      <c r="AR17" s="47"/>
      <c r="AS17" s="84"/>
      <c r="AT17" s="121">
        <f>(64.1+65)/2</f>
        <v>64.55</v>
      </c>
      <c r="AU17" s="121">
        <f t="shared" si="0"/>
        <v>337.7</v>
      </c>
      <c r="AV17" s="45" t="s">
        <v>573</v>
      </c>
      <c r="AW17" s="47"/>
      <c r="AX17" s="47"/>
    </row>
    <row r="18" spans="1:50">
      <c r="A18" s="3"/>
      <c r="B18" s="4"/>
      <c r="C18" s="3"/>
      <c r="D18" s="4"/>
      <c r="E18" s="4"/>
      <c r="F18" s="3"/>
      <c r="G18" s="4"/>
      <c r="H18" s="4"/>
      <c r="I18" s="3"/>
      <c r="J18" s="4"/>
      <c r="K18" s="4"/>
      <c r="L18" s="3"/>
      <c r="M18" s="4"/>
      <c r="N18" s="4"/>
      <c r="O18" s="3"/>
      <c r="P18" s="4"/>
      <c r="Q18" s="4"/>
      <c r="R18" s="3"/>
      <c r="S18" s="9"/>
      <c r="T18" s="4"/>
      <c r="U18" s="100"/>
      <c r="V18" s="8"/>
      <c r="W18" s="45"/>
      <c r="X18" s="8"/>
      <c r="Y18" s="8"/>
      <c r="Z18" s="45"/>
      <c r="AA18" s="47"/>
      <c r="AB18" s="47"/>
      <c r="AC18" s="47"/>
      <c r="AD18" s="45"/>
      <c r="AE18" s="5"/>
      <c r="AF18" s="6"/>
      <c r="AG18" s="7"/>
      <c r="AH18" s="84"/>
      <c r="AI18" s="47"/>
      <c r="AJ18" s="47"/>
      <c r="AK18" s="45"/>
      <c r="AL18" s="84"/>
      <c r="AM18" s="47"/>
      <c r="AN18" s="47"/>
      <c r="AO18" s="45"/>
      <c r="AP18" s="47"/>
      <c r="AQ18" s="47"/>
      <c r="AR18" s="47"/>
      <c r="AS18" s="84"/>
      <c r="AT18" s="107">
        <v>65.25</v>
      </c>
      <c r="AU18" s="121">
        <f t="shared" si="0"/>
        <v>338.4</v>
      </c>
      <c r="AV18" s="45" t="s">
        <v>585</v>
      </c>
      <c r="AW18" s="47"/>
      <c r="AX18" s="47"/>
    </row>
    <row r="19" spans="1:50">
      <c r="A19" s="3"/>
      <c r="B19" s="4"/>
      <c r="C19" s="3"/>
      <c r="D19" s="4"/>
      <c r="E19" s="4"/>
      <c r="F19" s="3"/>
      <c r="G19" s="4"/>
      <c r="H19" s="4"/>
      <c r="I19" s="3"/>
      <c r="J19" s="4"/>
      <c r="K19" s="4"/>
      <c r="L19" s="3"/>
      <c r="M19" s="4"/>
      <c r="N19" s="4"/>
      <c r="O19" s="3"/>
      <c r="P19" s="4"/>
      <c r="Q19" s="4"/>
      <c r="R19" s="3"/>
      <c r="S19" s="9"/>
      <c r="T19" s="4"/>
      <c r="U19" s="100"/>
      <c r="V19" s="8"/>
      <c r="W19" s="45"/>
      <c r="X19" s="8"/>
      <c r="Y19" s="8"/>
      <c r="Z19" s="45"/>
      <c r="AA19" s="47"/>
      <c r="AB19" s="47"/>
      <c r="AC19" s="47"/>
      <c r="AD19" s="45"/>
      <c r="AE19" s="5"/>
      <c r="AF19" s="6"/>
      <c r="AG19" s="7"/>
      <c r="AH19" s="84"/>
      <c r="AI19" s="47"/>
      <c r="AJ19" s="47"/>
      <c r="AK19" s="45"/>
      <c r="AL19" s="84"/>
      <c r="AM19" s="47"/>
      <c r="AN19" s="47"/>
      <c r="AO19" s="45"/>
      <c r="AP19" s="47"/>
      <c r="AQ19" s="47"/>
      <c r="AR19" s="47"/>
      <c r="AS19" s="84"/>
      <c r="AT19" s="47"/>
      <c r="AU19" s="121"/>
      <c r="AV19" s="45"/>
      <c r="AW19" s="47"/>
      <c r="AX19" s="47"/>
    </row>
    <row r="20" spans="1:50" ht="18">
      <c r="A20" s="3" t="s">
        <v>264</v>
      </c>
      <c r="B20" s="4" t="s">
        <v>260</v>
      </c>
      <c r="C20" s="158">
        <f>AVERAGE(79.1,D20:D23)</f>
        <v>76.989318255250396</v>
      </c>
      <c r="D20" s="30">
        <v>79.099999999999994</v>
      </c>
      <c r="E20" s="30" t="s">
        <v>272</v>
      </c>
      <c r="F20" s="3"/>
      <c r="G20" s="4"/>
      <c r="H20" s="4"/>
      <c r="I20" s="3"/>
      <c r="J20" s="4"/>
      <c r="K20" s="4"/>
      <c r="L20" s="3"/>
      <c r="M20" s="4"/>
      <c r="N20" s="4"/>
      <c r="O20" s="3"/>
      <c r="P20" s="4"/>
      <c r="Q20" s="4"/>
      <c r="R20" s="3"/>
      <c r="S20" s="9"/>
      <c r="T20" s="4"/>
      <c r="U20" s="100"/>
      <c r="V20" s="8"/>
      <c r="W20" s="45"/>
      <c r="X20" s="75">
        <f ca="1">Y20</f>
        <v>5.7878793370575732</v>
      </c>
      <c r="Y20" s="15">
        <f ca="1">'Table S4 Conversions and Notes'!$J$64</f>
        <v>5.7878793370575732</v>
      </c>
      <c r="Z20" s="7" t="s">
        <v>282</v>
      </c>
      <c r="AB20" s="153"/>
      <c r="AC20" s="154"/>
      <c r="AD20" s="155"/>
      <c r="AE20" s="139">
        <f>AVERAGE(AF20:AF21)</f>
        <v>-1.0752173599150463</v>
      </c>
      <c r="AF20" s="6">
        <f>'Table S4 Conversions and Notes'!$J$61</f>
        <v>-1.0337688060321313</v>
      </c>
      <c r="AG20" s="7" t="s">
        <v>262</v>
      </c>
      <c r="AH20" s="130">
        <f ca="1">AVERAGE(AI20)</f>
        <v>-2.8535418227388263</v>
      </c>
      <c r="AI20" s="17">
        <f ca="1">LOG(AJ20/B21)</f>
        <v>-2.8535418227388263</v>
      </c>
      <c r="AJ20" s="104">
        <f ca="1">'Table S4 Conversions and Notes'!J62</f>
        <v>0.33679772930213842</v>
      </c>
      <c r="AK20" s="7" t="s">
        <v>278</v>
      </c>
      <c r="AL20" s="84"/>
      <c r="AM20" s="47"/>
      <c r="AN20" s="47"/>
      <c r="AO20" s="45"/>
      <c r="AP20" s="132">
        <f>AQ20</f>
        <v>22.617124394184167</v>
      </c>
      <c r="AQ20" s="107">
        <f>7/309.5*1000</f>
        <v>22.617124394184167</v>
      </c>
      <c r="AR20" s="47" t="s">
        <v>599</v>
      </c>
      <c r="AS20" s="150">
        <f>AVERAGE(AT20:AT24)</f>
        <v>34.290000000000006</v>
      </c>
      <c r="AT20" s="107">
        <v>32</v>
      </c>
      <c r="AU20" s="121">
        <f t="shared" si="0"/>
        <v>305.14999999999998</v>
      </c>
      <c r="AV20" s="45" t="s">
        <v>577</v>
      </c>
      <c r="AW20" s="47"/>
      <c r="AX20" s="47"/>
    </row>
    <row r="21" spans="1:50" ht="18">
      <c r="A21" s="3"/>
      <c r="B21" s="171">
        <v>240.387</v>
      </c>
      <c r="C21" s="145">
        <f>_xlfn.STDEV.S(79.1,D20:D23)</f>
        <v>2.5069905941640158</v>
      </c>
      <c r="D21" s="9">
        <v>78.2</v>
      </c>
      <c r="E21" s="30" t="s">
        <v>270</v>
      </c>
      <c r="F21" s="3"/>
      <c r="G21" s="4"/>
      <c r="H21" s="4"/>
      <c r="I21" s="3"/>
      <c r="J21" s="4"/>
      <c r="K21" s="4"/>
      <c r="L21" s="3"/>
      <c r="M21" s="4"/>
      <c r="N21" s="4"/>
      <c r="O21" s="3"/>
      <c r="P21" s="4"/>
      <c r="Q21" s="4"/>
      <c r="R21" s="3"/>
      <c r="S21" s="9"/>
      <c r="T21" s="4"/>
      <c r="U21" s="100"/>
      <c r="V21" s="8"/>
      <c r="W21" s="45"/>
      <c r="X21" s="142">
        <f ca="1">X20*RSD_Con</f>
        <v>0.57878793370575732</v>
      </c>
      <c r="Y21" s="8"/>
      <c r="Z21" s="45"/>
      <c r="AA21" s="47"/>
      <c r="AB21" s="47"/>
      <c r="AC21" s="47"/>
      <c r="AD21" s="45"/>
      <c r="AE21" s="139">
        <f>_xlfn.STDEV.S(AF20:AF21)</f>
        <v>5.8617107041970429E-2</v>
      </c>
      <c r="AF21" s="6">
        <v>-1.1166659137979613</v>
      </c>
      <c r="AG21" s="7" t="s">
        <v>16</v>
      </c>
      <c r="AH21" s="131">
        <f ca="1">ABS(AH20*RSD_SW)</f>
        <v>0.35285353728880442</v>
      </c>
      <c r="AI21" s="104"/>
      <c r="AJ21" s="47"/>
      <c r="AK21" s="45"/>
      <c r="AL21" s="84"/>
      <c r="AM21" s="47"/>
      <c r="AN21" s="47"/>
      <c r="AO21" s="45"/>
      <c r="AP21" s="478">
        <f>RSD_dSf*AP20</f>
        <v>1.7826732863184251</v>
      </c>
      <c r="AQ21" s="210">
        <v>96.47</v>
      </c>
      <c r="AR21" s="210" t="s">
        <v>2765</v>
      </c>
      <c r="AS21" s="130">
        <f>_xlfn.STDEV.S(AT20:AT24)</f>
        <v>1.6364595931461381</v>
      </c>
      <c r="AT21" s="107">
        <v>35</v>
      </c>
      <c r="AU21" s="121">
        <f t="shared" si="0"/>
        <v>308.14999999999998</v>
      </c>
      <c r="AV21" s="45" t="s">
        <v>577</v>
      </c>
      <c r="AW21" s="47"/>
      <c r="AX21" s="47"/>
    </row>
    <row r="22" spans="1:50">
      <c r="A22" s="3"/>
      <c r="B22" s="122"/>
      <c r="C22" s="324">
        <f>COUNTA(D20:D23)</f>
        <v>4</v>
      </c>
      <c r="D22" s="9">
        <v>74.2</v>
      </c>
      <c r="E22" s="30" t="s">
        <v>271</v>
      </c>
      <c r="F22" s="3"/>
      <c r="G22" s="4"/>
      <c r="H22" s="4"/>
      <c r="I22" s="3"/>
      <c r="J22" s="4"/>
      <c r="K22" s="4"/>
      <c r="L22" s="3"/>
      <c r="M22" s="4"/>
      <c r="N22" s="4"/>
      <c r="O22" s="3"/>
      <c r="P22" s="4"/>
      <c r="Q22" s="4"/>
      <c r="R22" s="3"/>
      <c r="S22" s="9"/>
      <c r="T22" s="4"/>
      <c r="U22" s="100"/>
      <c r="V22" s="8"/>
      <c r="W22" s="45"/>
      <c r="X22" s="324">
        <f ca="1">COUNTA(Y20:Y22)</f>
        <v>1</v>
      </c>
      <c r="Y22" s="8"/>
      <c r="Z22" s="45"/>
      <c r="AA22" s="47"/>
      <c r="AB22" s="47"/>
      <c r="AC22" s="47"/>
      <c r="AD22" s="45"/>
      <c r="AE22" s="324">
        <f>COUNTA(AF20:AF22)</f>
        <v>2</v>
      </c>
      <c r="AF22" s="6"/>
      <c r="AG22" s="7"/>
      <c r="AH22" s="324">
        <f ca="1">COUNTA(AI20:AI22)</f>
        <v>1</v>
      </c>
      <c r="AI22" s="47"/>
      <c r="AJ22" s="47"/>
      <c r="AK22" s="45"/>
      <c r="AL22" s="84"/>
      <c r="AM22" s="47"/>
      <c r="AN22" s="47"/>
      <c r="AO22" s="45"/>
      <c r="AP22" s="324">
        <f>COUNTA(AQ20)</f>
        <v>1</v>
      </c>
      <c r="AS22" s="324">
        <f>COUNTA(AT20:AT24)</f>
        <v>5</v>
      </c>
      <c r="AT22" s="107">
        <v>33.5</v>
      </c>
      <c r="AU22" s="121">
        <f t="shared" si="0"/>
        <v>306.64999999999998</v>
      </c>
      <c r="AV22" s="45" t="s">
        <v>576</v>
      </c>
      <c r="AW22" s="47"/>
      <c r="AX22" s="47"/>
    </row>
    <row r="23" spans="1:50" ht="15.75">
      <c r="A23" s="3"/>
      <c r="B23" s="4"/>
      <c r="C23" s="79"/>
      <c r="D23" s="30">
        <f>'Table S4 Conversions and Notes'!$J$545</f>
        <v>74.346591276252013</v>
      </c>
      <c r="E23" s="448" t="s">
        <v>2687</v>
      </c>
      <c r="F23" s="3"/>
      <c r="G23" s="4"/>
      <c r="H23" s="4"/>
      <c r="I23" s="3"/>
      <c r="J23" s="4"/>
      <c r="K23" s="4"/>
      <c r="L23" s="3"/>
      <c r="M23" s="4"/>
      <c r="N23" s="4"/>
      <c r="O23" s="3"/>
      <c r="P23" s="4"/>
      <c r="Q23" s="4"/>
      <c r="R23" s="3"/>
      <c r="S23" s="9"/>
      <c r="T23" s="4"/>
      <c r="U23" s="100"/>
      <c r="V23" s="8"/>
      <c r="W23" s="45"/>
      <c r="X23" s="8"/>
      <c r="Y23" s="8"/>
      <c r="Z23" s="45"/>
      <c r="AA23" s="47"/>
      <c r="AB23" s="47"/>
      <c r="AC23" s="47"/>
      <c r="AD23" s="45"/>
      <c r="AE23" s="131"/>
      <c r="AF23" s="6"/>
      <c r="AG23" s="7"/>
      <c r="AH23" s="84"/>
      <c r="AI23" s="47"/>
      <c r="AJ23" s="47"/>
      <c r="AK23" s="45"/>
      <c r="AL23" s="84"/>
      <c r="AM23" s="47"/>
      <c r="AN23" s="47"/>
      <c r="AO23" s="45"/>
      <c r="AP23" s="47"/>
      <c r="AS23" s="84"/>
      <c r="AT23" s="107">
        <v>34.6</v>
      </c>
      <c r="AU23" s="121">
        <f t="shared" si="0"/>
        <v>307.75</v>
      </c>
      <c r="AV23" s="45" t="s">
        <v>597</v>
      </c>
      <c r="AW23" s="47"/>
      <c r="AX23" s="47"/>
    </row>
    <row r="24" spans="1:50">
      <c r="A24" s="3"/>
      <c r="B24" s="4"/>
      <c r="C24" s="3"/>
      <c r="D24" s="9"/>
      <c r="E24" s="9"/>
      <c r="F24" s="3"/>
      <c r="G24" s="4"/>
      <c r="H24" s="4"/>
      <c r="I24" s="3"/>
      <c r="J24" s="4"/>
      <c r="K24" s="4"/>
      <c r="L24" s="3"/>
      <c r="M24" s="4"/>
      <c r="N24" s="4"/>
      <c r="O24" s="3"/>
      <c r="P24" s="4"/>
      <c r="Q24" s="4"/>
      <c r="R24" s="3"/>
      <c r="S24" s="9"/>
      <c r="T24" s="4"/>
      <c r="U24" s="100"/>
      <c r="V24" s="8"/>
      <c r="W24" s="45"/>
      <c r="X24" s="8"/>
      <c r="Y24" s="8"/>
      <c r="Z24" s="45"/>
      <c r="AA24" s="47"/>
      <c r="AB24" s="47"/>
      <c r="AC24" s="47"/>
      <c r="AD24" s="45"/>
      <c r="AE24" s="13"/>
      <c r="AF24" s="6"/>
      <c r="AG24" s="7"/>
      <c r="AH24" s="84"/>
      <c r="AI24" s="47"/>
      <c r="AJ24" s="47"/>
      <c r="AK24" s="45"/>
      <c r="AL24" s="84"/>
      <c r="AM24" s="47"/>
      <c r="AN24" s="47"/>
      <c r="AO24" s="45"/>
      <c r="AP24" s="47"/>
      <c r="AQ24" s="47"/>
      <c r="AR24" s="47"/>
      <c r="AS24" s="84"/>
      <c r="AT24" s="107">
        <f>AU24-273.15</f>
        <v>36.350000000000023</v>
      </c>
      <c r="AU24" s="47">
        <v>309.5</v>
      </c>
      <c r="AV24" s="45" t="s">
        <v>599</v>
      </c>
      <c r="AW24" s="47"/>
      <c r="AX24" s="47"/>
    </row>
    <row r="25" spans="1:50">
      <c r="A25" s="3"/>
      <c r="B25" s="4"/>
      <c r="C25" s="3"/>
      <c r="D25" s="9"/>
      <c r="E25" s="9"/>
      <c r="F25" s="3"/>
      <c r="G25" s="4"/>
      <c r="H25" s="4"/>
      <c r="I25" s="3"/>
      <c r="J25" s="4"/>
      <c r="K25" s="4"/>
      <c r="L25" s="3"/>
      <c r="M25" s="4"/>
      <c r="N25" s="4"/>
      <c r="O25" s="3"/>
      <c r="P25" s="4"/>
      <c r="Q25" s="4"/>
      <c r="R25" s="3"/>
      <c r="S25" s="9"/>
      <c r="T25" s="4"/>
      <c r="U25" s="100"/>
      <c r="V25" s="8"/>
      <c r="W25" s="45"/>
      <c r="X25" s="8"/>
      <c r="Y25" s="8"/>
      <c r="Z25" s="45"/>
      <c r="AA25" s="47"/>
      <c r="AB25" s="47"/>
      <c r="AC25" s="47"/>
      <c r="AD25" s="45"/>
      <c r="AE25" s="13"/>
      <c r="AF25" s="6"/>
      <c r="AG25" s="7"/>
      <c r="AH25" s="84"/>
      <c r="AI25" s="47"/>
      <c r="AJ25" s="47"/>
      <c r="AK25" s="45"/>
      <c r="AL25" s="84"/>
      <c r="AM25" s="47"/>
      <c r="AN25" s="47"/>
      <c r="AO25" s="45"/>
      <c r="AP25" s="47"/>
      <c r="AQ25" s="47"/>
      <c r="AR25" s="47"/>
      <c r="AS25" s="84"/>
      <c r="AT25" s="121"/>
      <c r="AU25" s="47"/>
      <c r="AV25" s="45"/>
      <c r="AW25" s="47"/>
      <c r="AX25" s="47"/>
    </row>
    <row r="26" spans="1:50" ht="18">
      <c r="A26" s="3" t="s">
        <v>11</v>
      </c>
      <c r="B26" s="4" t="s">
        <v>12</v>
      </c>
      <c r="C26" s="489">
        <f>D26</f>
        <v>79.5</v>
      </c>
      <c r="D26" s="30">
        <v>79.5</v>
      </c>
      <c r="E26" s="30" t="s">
        <v>241</v>
      </c>
      <c r="F26" s="184">
        <f>G26</f>
        <v>48.037836661553541</v>
      </c>
      <c r="G26" s="166">
        <f>'Table S4 Conversions and Notes'!J172</f>
        <v>48.037836661553541</v>
      </c>
      <c r="H26" s="70" t="s">
        <v>1081</v>
      </c>
      <c r="I26" s="83"/>
      <c r="J26" s="70"/>
      <c r="K26" s="70"/>
      <c r="L26" s="145">
        <f>AVERAGE(M26:M27)</f>
        <v>69.05</v>
      </c>
      <c r="M26" s="70">
        <v>67.099999999999994</v>
      </c>
      <c r="N26" s="70" t="s">
        <v>241</v>
      </c>
      <c r="O26" s="77"/>
      <c r="P26" s="147"/>
      <c r="Q26" s="70"/>
      <c r="R26" s="322">
        <f>S26</f>
        <v>2.496337497195086</v>
      </c>
      <c r="S26" s="318">
        <f>'Table S4 Conversions and Notes'!$J$187</f>
        <v>2.496337497195086</v>
      </c>
      <c r="T26" s="47" t="s">
        <v>1422</v>
      </c>
      <c r="U26" s="145">
        <f>AVERAGE(V26:V27)</f>
        <v>8.0299999999999994</v>
      </c>
      <c r="V26" s="15">
        <v>7.95</v>
      </c>
      <c r="W26" s="45" t="s">
        <v>256</v>
      </c>
      <c r="X26" s="75">
        <f ca="1">AVERAGE(Y26:Y26)</f>
        <v>4.2148793247020135</v>
      </c>
      <c r="Y26" s="449">
        <f ca="1">'Table S4 Conversions and Notes'!$J$516</f>
        <v>4.2148793247020135</v>
      </c>
      <c r="Z26" s="49" t="s">
        <v>2546</v>
      </c>
      <c r="AA26" s="47"/>
      <c r="AB26" s="47"/>
      <c r="AC26" s="47"/>
      <c r="AD26" s="45"/>
      <c r="AE26" s="139">
        <f>AVERAGE(AF26:AF27)</f>
        <v>-1.2257354196510586</v>
      </c>
      <c r="AF26" s="15">
        <v>-1.3614708393021173</v>
      </c>
      <c r="AG26" s="45" t="s">
        <v>256</v>
      </c>
      <c r="AH26" s="130">
        <f ca="1">AVERAGE(AI26)</f>
        <v>-2.4718095505620594</v>
      </c>
      <c r="AI26" s="46">
        <f ca="1">LOG(AJ26/B27)</f>
        <v>-2.4718095505620594</v>
      </c>
      <c r="AJ26" s="17">
        <f ca="1">'Table S4 Conversions and Notes'!$J$513</f>
        <v>0.90523417179192134</v>
      </c>
      <c r="AK26" s="45" t="s">
        <v>2541</v>
      </c>
      <c r="AL26" s="84"/>
      <c r="AM26" s="47"/>
      <c r="AN26" s="47"/>
      <c r="AO26" s="45"/>
      <c r="AP26" s="47"/>
      <c r="AQ26" s="47"/>
      <c r="AR26" s="47"/>
      <c r="AS26" s="129">
        <f>AVERAGE(AT26:AT29)</f>
        <v>85.25</v>
      </c>
      <c r="AT26" s="121">
        <v>85</v>
      </c>
      <c r="AU26" s="121">
        <f t="shared" ref="AU26:AU32" si="1">273.15+AT26</f>
        <v>358.15</v>
      </c>
      <c r="AV26" s="45" t="s">
        <v>574</v>
      </c>
      <c r="AW26" s="47"/>
      <c r="AX26" s="47"/>
    </row>
    <row r="27" spans="1:50" ht="18">
      <c r="A27" s="3"/>
      <c r="B27" s="171">
        <v>268.26900000000001</v>
      </c>
      <c r="C27" s="157">
        <f>C26*RSD_dHvap</f>
        <v>5.673391768285347</v>
      </c>
      <c r="D27" s="30"/>
      <c r="E27" s="30"/>
      <c r="F27" s="184">
        <f>ABS(F26)*RSD_Unr</f>
        <v>14.411350998466062</v>
      </c>
      <c r="G27" s="70"/>
      <c r="H27" s="70"/>
      <c r="I27" s="83"/>
      <c r="J27" s="70"/>
      <c r="K27" s="70"/>
      <c r="L27" s="145">
        <f>_xlfn.STDEV.S(M26:M27)</f>
        <v>2.7577164466275392</v>
      </c>
      <c r="M27" s="70">
        <v>71</v>
      </c>
      <c r="N27" s="70" t="s">
        <v>13</v>
      </c>
      <c r="O27" s="77"/>
      <c r="P27" s="147"/>
      <c r="Q27" s="70"/>
      <c r="R27" s="322">
        <f>RSD_Unr*R26</f>
        <v>0.74890124915852574</v>
      </c>
      <c r="S27" s="70"/>
      <c r="T27" s="70"/>
      <c r="U27" s="182">
        <f>_xlfn.STDEV.S(V26:V27)</f>
        <v>0.11313708498984708</v>
      </c>
      <c r="V27" s="9">
        <v>8.11</v>
      </c>
      <c r="W27" s="45" t="s">
        <v>13</v>
      </c>
      <c r="X27" s="142">
        <f ca="1">RSD_Kow*X26</f>
        <v>0.28572881932613631</v>
      </c>
      <c r="Y27" s="177">
        <f>'Table S4 Conversions and Notes'!$J$179</f>
        <v>4.2986362569176588</v>
      </c>
      <c r="Z27" s="155" t="s">
        <v>2580</v>
      </c>
      <c r="AA27" s="47"/>
      <c r="AB27" s="47"/>
      <c r="AC27" s="47"/>
      <c r="AD27" s="45"/>
      <c r="AE27" s="139">
        <f>_xlfn.STDEV.S(AF26:AF27)</f>
        <v>0.19195887136493303</v>
      </c>
      <c r="AF27" s="6">
        <v>-1.0900000000000001</v>
      </c>
      <c r="AG27" s="7" t="s">
        <v>699</v>
      </c>
      <c r="AH27" s="131">
        <f ca="1">ABS(AH26*RSD_SW)</f>
        <v>0.30565059059935157</v>
      </c>
      <c r="AI27" s="154">
        <f>LOG(AJ27/B27)</f>
        <v>-1.6949382303980844</v>
      </c>
      <c r="AJ27" s="154">
        <f>'Table S4 Conversions and Notes'!$J$165</f>
        <v>5.4154214395287728</v>
      </c>
      <c r="AK27" s="155" t="s">
        <v>2577</v>
      </c>
      <c r="AL27" s="84"/>
      <c r="AM27" s="47"/>
      <c r="AN27" s="47"/>
      <c r="AO27" s="45"/>
      <c r="AP27" s="47"/>
      <c r="AQ27" s="47"/>
      <c r="AR27" s="47"/>
      <c r="AS27" s="152">
        <f>_xlfn.STDEV.S(AT26:AT29)</f>
        <v>0.5</v>
      </c>
      <c r="AT27" s="121">
        <v>86</v>
      </c>
      <c r="AU27" s="121">
        <f t="shared" si="1"/>
        <v>359.15</v>
      </c>
      <c r="AV27" s="45" t="s">
        <v>575</v>
      </c>
      <c r="AW27" s="47"/>
      <c r="AX27" s="47"/>
    </row>
    <row r="28" spans="1:50">
      <c r="A28" s="3"/>
      <c r="B28" s="4"/>
      <c r="C28" s="324">
        <f>COUNTA(D26:D28)</f>
        <v>1</v>
      </c>
      <c r="D28" s="30"/>
      <c r="E28" s="30"/>
      <c r="F28" s="324">
        <f>COUNTA(G26:G28)</f>
        <v>1</v>
      </c>
      <c r="G28" s="70"/>
      <c r="H28" s="70"/>
      <c r="I28" s="83"/>
      <c r="J28" s="70"/>
      <c r="K28" s="70"/>
      <c r="L28" s="324">
        <f>COUNTA(M26:M28)</f>
        <v>2</v>
      </c>
      <c r="M28" s="70"/>
      <c r="N28" s="70"/>
      <c r="O28" s="77"/>
      <c r="P28" s="147"/>
      <c r="Q28" s="70"/>
      <c r="R28" s="324">
        <f>COUNTA(S26:S28)</f>
        <v>1</v>
      </c>
      <c r="S28" s="70"/>
      <c r="T28" s="70"/>
      <c r="U28" s="324">
        <f>COUNTA(V26:V28)</f>
        <v>2</v>
      </c>
      <c r="V28" s="9"/>
      <c r="W28" s="45"/>
      <c r="X28" s="324">
        <f ca="1">COUNTA(Y26)</f>
        <v>1</v>
      </c>
      <c r="AA28" s="47"/>
      <c r="AB28" s="47"/>
      <c r="AC28" s="47"/>
      <c r="AD28" s="45"/>
      <c r="AE28" s="324">
        <f>COUNTA(AF26:AF28)</f>
        <v>2</v>
      </c>
      <c r="AF28" s="6"/>
      <c r="AG28" s="7"/>
      <c r="AH28" s="324">
        <f ca="1">COUNTA(AI26)</f>
        <v>1</v>
      </c>
      <c r="AL28" s="84"/>
      <c r="AM28" s="47"/>
      <c r="AN28" s="47"/>
      <c r="AO28" s="45"/>
      <c r="AP28" s="47"/>
      <c r="AQ28" s="47"/>
      <c r="AR28" s="47"/>
      <c r="AS28" s="324">
        <f>COUNTA(AT26:AT29)</f>
        <v>4</v>
      </c>
      <c r="AT28" s="121">
        <v>85</v>
      </c>
      <c r="AU28" s="121">
        <f t="shared" si="1"/>
        <v>358.15</v>
      </c>
      <c r="AV28" s="45" t="s">
        <v>610</v>
      </c>
      <c r="AW28" s="47"/>
      <c r="AX28" s="47"/>
    </row>
    <row r="29" spans="1:50">
      <c r="A29" s="3"/>
      <c r="B29" s="4"/>
      <c r="C29" s="29"/>
      <c r="D29" s="30"/>
      <c r="E29" s="30"/>
      <c r="F29" s="83"/>
      <c r="G29" s="70"/>
      <c r="H29" s="70"/>
      <c r="I29" s="83"/>
      <c r="J29" s="70"/>
      <c r="K29" s="70"/>
      <c r="L29" s="83"/>
      <c r="M29" s="70"/>
      <c r="N29" s="70"/>
      <c r="O29" s="77"/>
      <c r="P29" s="147"/>
      <c r="Q29" s="70"/>
      <c r="R29" s="77"/>
      <c r="S29" s="70"/>
      <c r="T29" s="70"/>
      <c r="U29" s="79"/>
      <c r="V29" s="9"/>
      <c r="W29" s="45"/>
      <c r="X29" s="9"/>
      <c r="Y29" s="9"/>
      <c r="Z29" s="45"/>
      <c r="AA29" s="47"/>
      <c r="AB29" s="47"/>
      <c r="AC29" s="47"/>
      <c r="AD29" s="45"/>
      <c r="AE29" s="13"/>
      <c r="AF29" s="6"/>
      <c r="AG29" s="7"/>
      <c r="AH29" s="84"/>
      <c r="AI29" s="47"/>
      <c r="AJ29" s="47"/>
      <c r="AK29" s="45"/>
      <c r="AL29" s="84"/>
      <c r="AM29" s="47"/>
      <c r="AN29" s="47"/>
      <c r="AO29" s="45"/>
      <c r="AP29" s="47"/>
      <c r="AQ29" s="47"/>
      <c r="AR29" s="47"/>
      <c r="AS29" s="84"/>
      <c r="AT29" s="121">
        <v>85</v>
      </c>
      <c r="AU29" s="121">
        <f t="shared" si="1"/>
        <v>358.15</v>
      </c>
      <c r="AV29" s="45" t="s">
        <v>613</v>
      </c>
      <c r="AW29" s="47"/>
      <c r="AX29" s="47"/>
    </row>
    <row r="30" spans="1:50">
      <c r="A30" s="3"/>
      <c r="B30" s="4"/>
      <c r="C30" s="29"/>
      <c r="D30" s="30"/>
      <c r="E30" s="30"/>
      <c r="F30" s="83"/>
      <c r="G30" s="70"/>
      <c r="H30" s="70"/>
      <c r="I30" s="83"/>
      <c r="J30" s="70"/>
      <c r="K30" s="70"/>
      <c r="L30" s="83"/>
      <c r="M30" s="70"/>
      <c r="N30" s="70"/>
      <c r="O30" s="77"/>
      <c r="P30" s="147"/>
      <c r="Q30" s="70"/>
      <c r="R30" s="77"/>
      <c r="S30" s="70"/>
      <c r="T30" s="70"/>
      <c r="U30" s="79"/>
      <c r="V30" s="9"/>
      <c r="W30" s="45"/>
      <c r="X30" s="9"/>
      <c r="Y30" s="9"/>
      <c r="Z30" s="45"/>
      <c r="AA30" s="47"/>
      <c r="AB30" s="47"/>
      <c r="AC30" s="47"/>
      <c r="AD30" s="45"/>
      <c r="AE30" s="13"/>
      <c r="AF30" s="6"/>
      <c r="AG30" s="7"/>
      <c r="AH30" s="84"/>
      <c r="AI30" s="47"/>
      <c r="AJ30" s="47"/>
      <c r="AK30" s="45"/>
      <c r="AL30" s="84"/>
      <c r="AM30" s="47"/>
      <c r="AN30" s="47"/>
      <c r="AO30" s="45"/>
      <c r="AP30" s="47"/>
      <c r="AQ30" s="47"/>
      <c r="AR30" s="47"/>
      <c r="AS30" s="84"/>
      <c r="AT30" s="121"/>
      <c r="AU30" s="47"/>
      <c r="AV30" s="45"/>
      <c r="AW30" s="47"/>
      <c r="AX30" s="47"/>
    </row>
    <row r="31" spans="1:50" ht="18">
      <c r="A31" s="3" t="s">
        <v>14</v>
      </c>
      <c r="B31" s="4" t="s">
        <v>15</v>
      </c>
      <c r="C31" s="179">
        <f>AVERAGE(D31:D33)</f>
        <v>73.3</v>
      </c>
      <c r="D31" s="30">
        <v>64.5</v>
      </c>
      <c r="E31" s="30" t="s">
        <v>240</v>
      </c>
      <c r="F31" s="83"/>
      <c r="G31" s="70"/>
      <c r="H31" s="70"/>
      <c r="I31" s="83"/>
      <c r="J31" s="70"/>
      <c r="K31" s="70"/>
      <c r="L31" s="184">
        <f>M31</f>
        <v>52.3</v>
      </c>
      <c r="M31" s="70">
        <v>52.3</v>
      </c>
      <c r="N31" s="70" t="s">
        <v>240</v>
      </c>
      <c r="O31" s="77"/>
      <c r="P31" s="147"/>
      <c r="Q31" s="70"/>
      <c r="R31" s="77"/>
      <c r="S31" s="70"/>
      <c r="T31" s="70"/>
      <c r="U31" s="145">
        <f>V31</f>
        <v>7.313836917880459</v>
      </c>
      <c r="V31" s="15">
        <v>7.313836917880459</v>
      </c>
      <c r="W31" s="45" t="s">
        <v>256</v>
      </c>
      <c r="X31" s="75">
        <f ca="1">Y31</f>
        <v>7.3238670905524286</v>
      </c>
      <c r="Y31" s="15">
        <f ca="1">'Table S4 Conversions and Notes'!$J$67</f>
        <v>7.3238670905524286</v>
      </c>
      <c r="Z31" s="7" t="s">
        <v>289</v>
      </c>
      <c r="AA31" s="47"/>
      <c r="AB31" s="47"/>
      <c r="AC31" s="47"/>
      <c r="AD31" s="45"/>
      <c r="AE31" s="139">
        <f>AVERAGE(AF31:AF33)</f>
        <v>-1.1355420887223011</v>
      </c>
      <c r="AF31" s="15">
        <v>-0.65682329278351903</v>
      </c>
      <c r="AG31" s="45" t="s">
        <v>256</v>
      </c>
      <c r="AH31" s="130">
        <f ca="1">AVERAGE(AI31)</f>
        <v>-3.3238142345210746</v>
      </c>
      <c r="AI31" s="17">
        <f ca="1">LOG(AJ31/B32)</f>
        <v>-3.3238142345210746</v>
      </c>
      <c r="AJ31" s="104">
        <f ca="1">'Table S4 Conversions and Notes'!$J$66</f>
        <v>0.12070542003296197</v>
      </c>
      <c r="AK31" s="7" t="s">
        <v>287</v>
      </c>
      <c r="AL31" s="84"/>
      <c r="AM31" s="47"/>
      <c r="AN31" s="47"/>
      <c r="AO31" s="45"/>
      <c r="AP31" s="132">
        <f>AQ31</f>
        <v>24.902975420439848</v>
      </c>
      <c r="AQ31" s="107">
        <f>7.7/AU31*1000</f>
        <v>24.902975420439848</v>
      </c>
      <c r="AR31" s="47" t="s">
        <v>599</v>
      </c>
      <c r="AS31" s="129">
        <f>AVERAGE(AT31:AT32)</f>
        <v>35.525000000000006</v>
      </c>
      <c r="AT31" s="107">
        <f>AU31-273.15</f>
        <v>36.050000000000011</v>
      </c>
      <c r="AU31" s="47">
        <v>309.2</v>
      </c>
      <c r="AV31" s="45" t="s">
        <v>599</v>
      </c>
      <c r="AW31" s="47"/>
      <c r="AX31" s="47"/>
    </row>
    <row r="32" spans="1:50">
      <c r="A32" s="4"/>
      <c r="B32" s="171">
        <v>254.41399999999999</v>
      </c>
      <c r="C32" s="179">
        <f>_xlfn.STDEV.S(D31:D33)</f>
        <v>9.7616596949493708</v>
      </c>
      <c r="D32" s="30">
        <v>83.8</v>
      </c>
      <c r="E32" s="9" t="s">
        <v>266</v>
      </c>
      <c r="F32" s="83"/>
      <c r="G32" s="70"/>
      <c r="H32" s="70"/>
      <c r="I32" s="83"/>
      <c r="J32" s="70"/>
      <c r="K32" s="70"/>
      <c r="L32" s="181">
        <f>L31*RSD_dUoa</f>
        <v>3.3136277817086577</v>
      </c>
      <c r="M32" s="70"/>
      <c r="N32" s="70"/>
      <c r="O32" s="77"/>
      <c r="P32" s="147"/>
      <c r="Q32" s="70"/>
      <c r="R32" s="77"/>
      <c r="S32" s="70"/>
      <c r="T32" s="70"/>
      <c r="U32" s="145" cm="1">
        <f t="array" ref="U32">U31*RSD_Koa</f>
        <v>0.1883153424907929</v>
      </c>
      <c r="V32" s="9"/>
      <c r="W32" s="45"/>
      <c r="X32" s="142">
        <f ca="1">X31*RSD_Inf</f>
        <v>1.4647734181104859</v>
      </c>
      <c r="Y32" s="9"/>
      <c r="Z32" s="45"/>
      <c r="AA32" s="47"/>
      <c r="AB32" s="47"/>
      <c r="AC32" s="47"/>
      <c r="AD32" s="45"/>
      <c r="AE32" s="139">
        <f>_xlfn.STDEV.S(AF31:AF33)</f>
        <v>0.43924064333015556</v>
      </c>
      <c r="AF32" s="6">
        <v>-1.52</v>
      </c>
      <c r="AG32" s="7" t="s">
        <v>16</v>
      </c>
      <c r="AH32" s="131">
        <f ca="1">ABS(AH31*RSD_SW)</f>
        <v>0.41100487842717859</v>
      </c>
      <c r="AI32" s="104"/>
      <c r="AJ32" s="47"/>
      <c r="AK32" s="45"/>
      <c r="AL32" s="84"/>
      <c r="AM32" s="47"/>
      <c r="AN32" s="47"/>
      <c r="AO32" s="45"/>
      <c r="AP32" s="131">
        <f>AP31*RSD_dSf</f>
        <v>1.962843209337348</v>
      </c>
      <c r="AQ32" s="47"/>
      <c r="AR32" s="47"/>
      <c r="AS32" s="150">
        <f>_xlfn.STDEV.S(AT31:AT32)</f>
        <v>0.74246212024588287</v>
      </c>
      <c r="AT32" s="121">
        <v>35</v>
      </c>
      <c r="AU32" s="121">
        <f t="shared" si="1"/>
        <v>308.14999999999998</v>
      </c>
      <c r="AV32" s="45" t="s">
        <v>700</v>
      </c>
      <c r="AW32" s="47"/>
      <c r="AX32" s="47"/>
    </row>
    <row r="33" spans="1:50" ht="18">
      <c r="A33" s="4"/>
      <c r="B33" s="4"/>
      <c r="C33" s="324">
        <f>COUNTA(D31:D33)</f>
        <v>3</v>
      </c>
      <c r="D33" s="30">
        <v>71.599999999999994</v>
      </c>
      <c r="E33" s="30" t="s">
        <v>208</v>
      </c>
      <c r="F33" s="83"/>
      <c r="G33" s="70"/>
      <c r="H33" s="70"/>
      <c r="I33" s="83"/>
      <c r="J33" s="70"/>
      <c r="K33" s="70"/>
      <c r="L33" s="324">
        <f>COUNTA(M31:M33)</f>
        <v>1</v>
      </c>
      <c r="M33" s="70"/>
      <c r="N33" s="70"/>
      <c r="O33" s="77"/>
      <c r="P33" s="147"/>
      <c r="Q33" s="70"/>
      <c r="R33" s="77"/>
      <c r="S33" s="70"/>
      <c r="T33" s="70"/>
      <c r="U33" s="324">
        <f>COUNTA(V31:V33)</f>
        <v>1</v>
      </c>
      <c r="V33" s="9"/>
      <c r="W33" s="45"/>
      <c r="X33" s="324">
        <f ca="1">COUNTA(Y31:Y33)</f>
        <v>1</v>
      </c>
      <c r="Y33" s="9"/>
      <c r="Z33" s="45"/>
      <c r="AA33" s="47"/>
      <c r="AB33" s="47"/>
      <c r="AC33" s="47"/>
      <c r="AD33" s="45"/>
      <c r="AE33" s="324">
        <f>COUNTA(AF31:AF33)</f>
        <v>3</v>
      </c>
      <c r="AF33" s="6">
        <f>'Table S4 Conversions and Notes'!$J$50</f>
        <v>-1.2298029733833844</v>
      </c>
      <c r="AG33" s="7" t="s">
        <v>198</v>
      </c>
      <c r="AH33" s="324">
        <f ca="1">COUNTA(AI31:AI33)</f>
        <v>1</v>
      </c>
      <c r="AI33" s="47"/>
      <c r="AJ33" s="47"/>
      <c r="AK33" s="45"/>
      <c r="AL33" s="84"/>
      <c r="AM33" s="47"/>
      <c r="AN33" s="47"/>
      <c r="AO33" s="45"/>
      <c r="AP33" s="324">
        <f>COUNTA(AQ31:AQ33)</f>
        <v>1</v>
      </c>
      <c r="AQ33" s="47"/>
      <c r="AR33" s="47"/>
      <c r="AS33" s="324">
        <f>COUNTA(AT31:AT33)</f>
        <v>2</v>
      </c>
      <c r="AT33" s="121"/>
      <c r="AU33" s="47"/>
      <c r="AV33" s="45"/>
      <c r="AW33" s="47"/>
      <c r="AX33" s="47"/>
    </row>
    <row r="34" spans="1:50">
      <c r="A34" s="4"/>
      <c r="B34" s="4"/>
      <c r="C34" s="29"/>
      <c r="D34" s="30"/>
      <c r="E34" s="30"/>
      <c r="F34" s="83"/>
      <c r="G34" s="70"/>
      <c r="H34" s="70"/>
      <c r="I34" s="83"/>
      <c r="J34" s="70"/>
      <c r="K34" s="70"/>
      <c r="L34" s="83"/>
      <c r="M34" s="70"/>
      <c r="N34" s="70"/>
      <c r="O34" s="77"/>
      <c r="P34" s="147"/>
      <c r="Q34" s="70"/>
      <c r="R34" s="77"/>
      <c r="S34" s="70"/>
      <c r="T34" s="70"/>
      <c r="U34" s="79"/>
      <c r="V34" s="9"/>
      <c r="W34" s="45"/>
      <c r="X34" s="9"/>
      <c r="Y34" s="9"/>
      <c r="Z34" s="45"/>
      <c r="AA34" s="47"/>
      <c r="AB34" s="47"/>
      <c r="AC34" s="47"/>
      <c r="AD34" s="45"/>
      <c r="AE34" s="13"/>
      <c r="AF34" s="6"/>
      <c r="AG34" s="7"/>
      <c r="AH34" s="84"/>
      <c r="AI34" s="47"/>
      <c r="AJ34" s="47"/>
      <c r="AK34" s="45"/>
      <c r="AL34" s="84"/>
      <c r="AM34" s="47"/>
      <c r="AN34" s="47"/>
      <c r="AO34" s="45"/>
      <c r="AP34" s="47"/>
      <c r="AQ34" s="47"/>
      <c r="AR34" s="47"/>
      <c r="AS34" s="84"/>
      <c r="AT34" s="121"/>
      <c r="AU34" s="47"/>
      <c r="AV34" s="45"/>
      <c r="AW34" s="47"/>
      <c r="AX34" s="47"/>
    </row>
    <row r="35" spans="1:50" ht="18">
      <c r="A35" s="4" t="s">
        <v>312</v>
      </c>
      <c r="B35" s="4" t="s">
        <v>313</v>
      </c>
      <c r="C35" s="29"/>
      <c r="D35" s="30"/>
      <c r="E35" s="30"/>
      <c r="F35" s="184">
        <f>G35</f>
        <v>-21.899453175314246</v>
      </c>
      <c r="G35" s="166">
        <f>'Table S4 Conversions and Notes'!J169</f>
        <v>-21.899453175314246</v>
      </c>
      <c r="H35" s="70" t="s">
        <v>1082</v>
      </c>
      <c r="I35" s="83"/>
      <c r="J35" s="70"/>
      <c r="K35" s="70"/>
      <c r="L35" s="184">
        <f>M35</f>
        <v>64.900000000000006</v>
      </c>
      <c r="M35" s="70">
        <v>64.900000000000006</v>
      </c>
      <c r="N35" s="70" t="s">
        <v>13</v>
      </c>
      <c r="O35" s="77"/>
      <c r="P35" s="147"/>
      <c r="Q35" s="70"/>
      <c r="R35" s="322">
        <f>S35</f>
        <v>5.8579698937246648E-2</v>
      </c>
      <c r="S35" s="318">
        <f>'Table S4 Conversions and Notes'!$J$184</f>
        <v>5.8579698937246648E-2</v>
      </c>
      <c r="T35" s="47" t="s">
        <v>1423</v>
      </c>
      <c r="U35" s="145">
        <f>V35</f>
        <v>7.58</v>
      </c>
      <c r="V35" s="9">
        <v>7.58</v>
      </c>
      <c r="W35" s="45" t="s">
        <v>13</v>
      </c>
      <c r="X35" s="50">
        <f>Y35</f>
        <v>5.7</v>
      </c>
      <c r="Y35" s="9">
        <v>5.7</v>
      </c>
      <c r="Z35" s="7" t="s">
        <v>320</v>
      </c>
      <c r="AA35" s="47"/>
      <c r="AB35" s="47"/>
      <c r="AC35" s="47"/>
      <c r="AD35" s="45"/>
      <c r="AE35" s="139">
        <f>AF35</f>
        <v>-0.77638710177176951</v>
      </c>
      <c r="AF35" s="6">
        <f>'Table S4 Conversions and Notes'!J76</f>
        <v>-0.77638710177176951</v>
      </c>
      <c r="AG35" s="7" t="s">
        <v>316</v>
      </c>
      <c r="AH35" s="130">
        <f>AVERAGE(AI35)</f>
        <v>-1.3462233143573918</v>
      </c>
      <c r="AI35" s="17">
        <f>LOG(AJ35/B36)</f>
        <v>-1.3462233143573918</v>
      </c>
      <c r="AJ35" s="17">
        <f>'Table S4 Conversions and Notes'!J77</f>
        <v>11.011304989844955</v>
      </c>
      <c r="AK35" s="7" t="s">
        <v>705</v>
      </c>
      <c r="AL35" s="84"/>
      <c r="AM35" s="47"/>
      <c r="AN35" s="47"/>
      <c r="AO35" s="45"/>
      <c r="AP35" s="47"/>
      <c r="AQ35" s="47"/>
      <c r="AR35" s="47"/>
      <c r="AS35" s="129">
        <f>AVERAGE(AT35:AT37)</f>
        <v>78</v>
      </c>
      <c r="AT35" s="107">
        <v>78</v>
      </c>
      <c r="AU35" s="121">
        <f>273.15+AT35</f>
        <v>351.15</v>
      </c>
      <c r="AV35" s="45" t="s">
        <v>702</v>
      </c>
      <c r="AW35" s="47"/>
      <c r="AX35" s="47"/>
    </row>
    <row r="36" spans="1:50" ht="18">
      <c r="A36" s="4"/>
      <c r="B36" s="171">
        <v>244.37799999999999</v>
      </c>
      <c r="C36" s="29"/>
      <c r="D36" s="30"/>
      <c r="E36" s="30"/>
      <c r="F36" s="184">
        <f>ABS(F35)*RSD_Unr</f>
        <v>6.569835952594274</v>
      </c>
      <c r="G36" s="70"/>
      <c r="H36" s="70"/>
      <c r="I36" s="83"/>
      <c r="J36" s="70"/>
      <c r="K36" s="70"/>
      <c r="L36" s="181">
        <f>L35*RSD_dUoa</f>
        <v>4.11193963734019</v>
      </c>
      <c r="M36" s="70"/>
      <c r="N36" s="70"/>
      <c r="O36" s="77"/>
      <c r="P36" s="147"/>
      <c r="Q36" s="70"/>
      <c r="R36" s="322">
        <f>RSD_Unr*R35</f>
        <v>1.7573909681173994E-2</v>
      </c>
      <c r="S36" s="70"/>
      <c r="T36" s="70"/>
      <c r="U36" s="145" cm="1">
        <f t="array" ref="U36">U35*RSD_Koa</f>
        <v>0.19516846111109046</v>
      </c>
      <c r="V36" s="9"/>
      <c r="W36" s="45"/>
      <c r="X36" s="142">
        <f>X35*RSD_Inf</f>
        <v>1.1400000000000001</v>
      </c>
      <c r="Y36" s="178">
        <f>'Table S4 Conversions and Notes'!$J$176</f>
        <v>6.6367367097098775</v>
      </c>
      <c r="Z36" s="155" t="s">
        <v>698</v>
      </c>
      <c r="AA36" s="47"/>
      <c r="AB36" s="47"/>
      <c r="AC36" s="47"/>
      <c r="AD36" s="45"/>
      <c r="AE36" s="151">
        <f>ABS(AE35*RSD_PL)</f>
        <v>0.12318497505347768</v>
      </c>
      <c r="AF36" s="6"/>
      <c r="AG36" s="7"/>
      <c r="AH36" s="131">
        <f>ABS(AH35*RSD_SW)</f>
        <v>0.1664666887537469</v>
      </c>
      <c r="AI36" s="17">
        <f>LOG(AJ36/B36)</f>
        <v>-4.0506748780316864</v>
      </c>
      <c r="AJ36" s="165">
        <f>'Table S4 Conversions and Notes'!$J$162</f>
        <v>2.1746392792074042E-2</v>
      </c>
      <c r="AK36" s="155" t="s">
        <v>673</v>
      </c>
      <c r="AL36" s="84"/>
      <c r="AM36" s="47"/>
      <c r="AN36" s="47"/>
      <c r="AO36" s="45"/>
      <c r="AP36" s="47"/>
      <c r="AQ36" s="47"/>
      <c r="AR36" s="47"/>
      <c r="AS36" s="130">
        <f>_xlfn.STDEV.S(AT35:AT37)</f>
        <v>0.5</v>
      </c>
      <c r="AT36" s="107">
        <v>77.5</v>
      </c>
      <c r="AU36" s="121">
        <f>273.15+AT36</f>
        <v>350.65</v>
      </c>
      <c r="AV36" s="45" t="s">
        <v>703</v>
      </c>
      <c r="AW36" s="47"/>
      <c r="AX36" s="47"/>
    </row>
    <row r="37" spans="1:50">
      <c r="A37" s="4"/>
      <c r="B37" s="4"/>
      <c r="C37" s="29"/>
      <c r="D37" s="30"/>
      <c r="E37" s="30"/>
      <c r="F37" s="324">
        <f>COUNTA(G35:G37)</f>
        <v>1</v>
      </c>
      <c r="G37" s="70"/>
      <c r="H37" s="70"/>
      <c r="I37" s="83"/>
      <c r="J37" s="70"/>
      <c r="K37" s="70"/>
      <c r="L37" s="324">
        <f>COUNTA(M35:M37)</f>
        <v>1</v>
      </c>
      <c r="M37" s="70"/>
      <c r="N37" s="70"/>
      <c r="O37" s="77"/>
      <c r="P37" s="147"/>
      <c r="Q37" s="70"/>
      <c r="R37" s="324">
        <f>COUNTA(S35:S37)</f>
        <v>1</v>
      </c>
      <c r="S37" s="70"/>
      <c r="T37" s="70"/>
      <c r="U37" s="324">
        <f>COUNTA(V35:V37)</f>
        <v>1</v>
      </c>
      <c r="V37" s="9"/>
      <c r="W37" s="45"/>
      <c r="X37" s="324">
        <f>COUNTA(Y35)</f>
        <v>1</v>
      </c>
      <c r="Y37" s="9"/>
      <c r="Z37" s="45"/>
      <c r="AA37" s="47"/>
      <c r="AB37" s="47"/>
      <c r="AC37" s="47"/>
      <c r="AD37" s="45"/>
      <c r="AE37" s="324">
        <f>COUNTA(AF35:AF37)</f>
        <v>1</v>
      </c>
      <c r="AF37" s="6"/>
      <c r="AG37" s="7"/>
      <c r="AH37" s="324">
        <f>COUNTA(AI35)</f>
        <v>1</v>
      </c>
      <c r="AI37" s="47"/>
      <c r="AJ37" s="114"/>
      <c r="AK37" s="45"/>
      <c r="AL37" s="84"/>
      <c r="AM37" s="47"/>
      <c r="AN37" s="47"/>
      <c r="AO37" s="45"/>
      <c r="AP37" s="47"/>
      <c r="AQ37" s="47"/>
      <c r="AR37" s="47"/>
      <c r="AS37" s="324">
        <f>COUNTA(AT35:AT37)</f>
        <v>3</v>
      </c>
      <c r="AT37" s="107">
        <v>78.5</v>
      </c>
      <c r="AU37" s="121">
        <f>273.15+AT37</f>
        <v>351.65</v>
      </c>
      <c r="AV37" s="45" t="s">
        <v>704</v>
      </c>
      <c r="AW37" s="47"/>
      <c r="AX37" s="47"/>
    </row>
    <row r="38" spans="1:50">
      <c r="A38" s="4"/>
      <c r="B38" s="4"/>
      <c r="C38" s="29"/>
      <c r="D38" s="30"/>
      <c r="E38" s="30"/>
      <c r="F38" s="83"/>
      <c r="G38" s="70"/>
      <c r="H38" s="70"/>
      <c r="I38" s="83"/>
      <c r="J38" s="70"/>
      <c r="K38" s="70"/>
      <c r="L38" s="83"/>
      <c r="M38" s="70"/>
      <c r="N38" s="70"/>
      <c r="O38" s="77"/>
      <c r="P38" s="147"/>
      <c r="Q38" s="70"/>
      <c r="R38" s="77"/>
      <c r="S38" s="70"/>
      <c r="T38" s="70"/>
      <c r="U38" s="79"/>
      <c r="V38" s="9"/>
      <c r="W38" s="45"/>
      <c r="X38" s="9"/>
      <c r="Y38" s="9"/>
      <c r="Z38" s="45"/>
      <c r="AA38" s="47"/>
      <c r="AB38" s="47"/>
      <c r="AC38" s="47"/>
      <c r="AD38" s="45"/>
      <c r="AE38" s="13"/>
      <c r="AF38" s="6"/>
      <c r="AG38" s="7"/>
      <c r="AH38" s="47"/>
      <c r="AI38" s="47"/>
      <c r="AJ38" s="114"/>
      <c r="AK38" s="45"/>
      <c r="AL38" s="84"/>
      <c r="AM38" s="47"/>
      <c r="AN38" s="47"/>
      <c r="AO38" s="45"/>
      <c r="AP38" s="47"/>
      <c r="AQ38" s="47"/>
      <c r="AR38" s="47"/>
      <c r="AS38" s="84"/>
      <c r="AT38" s="107"/>
      <c r="AU38" s="121"/>
      <c r="AV38" s="45"/>
      <c r="AW38" s="47"/>
      <c r="AX38" s="47"/>
    </row>
    <row r="39" spans="1:50">
      <c r="A39" s="4"/>
      <c r="B39" s="4"/>
      <c r="C39" s="29"/>
      <c r="D39" s="30"/>
      <c r="E39" s="30"/>
      <c r="F39" s="83"/>
      <c r="G39" s="70"/>
      <c r="H39" s="70"/>
      <c r="I39" s="83"/>
      <c r="J39" s="70"/>
      <c r="K39" s="70"/>
      <c r="L39" s="83"/>
      <c r="M39" s="70"/>
      <c r="N39" s="70"/>
      <c r="O39" s="77"/>
      <c r="P39" s="147"/>
      <c r="Q39" s="70"/>
      <c r="R39" s="77"/>
      <c r="S39" s="70"/>
      <c r="T39" s="70"/>
      <c r="U39" s="79"/>
      <c r="V39" s="9"/>
      <c r="W39" s="45"/>
      <c r="X39" s="9"/>
      <c r="Y39" s="9"/>
      <c r="Z39" s="45"/>
      <c r="AA39" s="47"/>
      <c r="AB39" s="47"/>
      <c r="AC39" s="47"/>
      <c r="AD39" s="45"/>
      <c r="AE39" s="13"/>
      <c r="AF39" s="6"/>
      <c r="AG39" s="7"/>
      <c r="AH39" s="47"/>
      <c r="AI39" s="47"/>
      <c r="AJ39" s="114"/>
      <c r="AK39" s="45"/>
      <c r="AL39" s="84"/>
      <c r="AM39" s="47"/>
      <c r="AN39" s="47"/>
      <c r="AO39" s="45"/>
      <c r="AP39" s="47"/>
      <c r="AQ39" s="47"/>
      <c r="AR39" s="47"/>
      <c r="AS39" s="84"/>
      <c r="AT39" s="107"/>
      <c r="AU39" s="121"/>
      <c r="AV39" s="45"/>
      <c r="AW39" s="47"/>
      <c r="AX39" s="47"/>
    </row>
    <row r="40" spans="1:50" ht="18">
      <c r="A40" s="10" t="s">
        <v>17</v>
      </c>
      <c r="B40" s="11" t="s">
        <v>18</v>
      </c>
      <c r="C40" s="157">
        <f>77.5</f>
        <v>77.5</v>
      </c>
      <c r="D40" s="30">
        <v>77.5</v>
      </c>
      <c r="E40" s="30" t="s">
        <v>242</v>
      </c>
      <c r="F40" s="83"/>
      <c r="G40" s="70"/>
      <c r="H40" s="70"/>
      <c r="I40" s="83"/>
      <c r="J40" s="70"/>
      <c r="K40" s="70"/>
      <c r="L40" s="184">
        <f>M40</f>
        <v>65.2</v>
      </c>
      <c r="M40" s="70">
        <v>65.2</v>
      </c>
      <c r="N40" s="70" t="s">
        <v>242</v>
      </c>
      <c r="O40" s="77"/>
      <c r="P40" s="147"/>
      <c r="Q40" s="70"/>
      <c r="R40" s="77"/>
      <c r="S40" s="70"/>
      <c r="T40" s="70"/>
      <c r="U40" s="145">
        <f>V40</f>
        <v>7.8241175322339735</v>
      </c>
      <c r="V40" s="15">
        <v>7.8241175322339735</v>
      </c>
      <c r="W40" s="45" t="s">
        <v>256</v>
      </c>
      <c r="X40" s="75">
        <f ca="1">Y40</f>
        <v>3.6861571944287661</v>
      </c>
      <c r="Y40" s="15">
        <f ca="1">'Table S4 Conversions and Notes'!J69</f>
        <v>3.6861571944287661</v>
      </c>
      <c r="Z40" s="7" t="s">
        <v>294</v>
      </c>
      <c r="AB40" s="156"/>
      <c r="AC40" s="154"/>
      <c r="AD40" s="155"/>
      <c r="AE40" s="139">
        <f>AVERAGE(AF40:AF41)</f>
        <v>-1.345</v>
      </c>
      <c r="AF40" s="15">
        <v>-1.1399999999999999</v>
      </c>
      <c r="AG40" s="45" t="s">
        <v>256</v>
      </c>
      <c r="AH40" s="130">
        <f ca="1">AVERAGE(AI40)</f>
        <v>-0.53943539372837501</v>
      </c>
      <c r="AI40" s="17">
        <f ca="1">LOG(AJ40/B41)</f>
        <v>-0.53943539372837501</v>
      </c>
      <c r="AJ40" s="121">
        <f ca="1">'Table S4 Conversions and Notes'!J68</f>
        <v>74.02601564396123</v>
      </c>
      <c r="AK40" s="7" t="s">
        <v>292</v>
      </c>
      <c r="AL40" s="84"/>
      <c r="AM40" s="47"/>
      <c r="AN40" s="47"/>
      <c r="AO40" s="45"/>
      <c r="AP40" s="47"/>
      <c r="AQ40" s="47"/>
      <c r="AR40" s="47"/>
      <c r="AS40" s="150">
        <f>AVERAGE(AT40:AT41)</f>
        <v>17.36</v>
      </c>
      <c r="AT40" s="107">
        <v>16.72</v>
      </c>
      <c r="AU40" s="121">
        <f>273.15+AT40</f>
        <v>289.87</v>
      </c>
      <c r="AV40" s="45" t="s">
        <v>706</v>
      </c>
      <c r="AW40" s="47"/>
      <c r="AX40" s="47"/>
    </row>
    <row r="41" spans="1:50">
      <c r="A41" s="10"/>
      <c r="B41" s="171">
        <v>256.34199999999998</v>
      </c>
      <c r="C41" s="157">
        <f>C40*RSD_dHvap</f>
        <v>5.530664931347351</v>
      </c>
      <c r="D41" s="30"/>
      <c r="E41" s="30"/>
      <c r="F41" s="83"/>
      <c r="G41" s="70"/>
      <c r="H41" s="70"/>
      <c r="I41" s="83"/>
      <c r="J41" s="70"/>
      <c r="K41" s="70"/>
      <c r="L41" s="181">
        <f>L40*RSD_dUoa</f>
        <v>4.1309470624742737</v>
      </c>
      <c r="M41" s="70"/>
      <c r="N41" s="70"/>
      <c r="O41" s="77"/>
      <c r="P41" s="147"/>
      <c r="Q41" s="70"/>
      <c r="R41" s="77"/>
      <c r="S41" s="70"/>
      <c r="T41" s="70"/>
      <c r="U41" s="145" cm="1">
        <f t="array" ref="U41">U40*RSD_Koa</f>
        <v>0.20145395492327275</v>
      </c>
      <c r="V41" s="8"/>
      <c r="W41" s="45"/>
      <c r="X41" s="142">
        <f ca="1">X40*RSD_Inf</f>
        <v>0.73723143888575327</v>
      </c>
      <c r="Y41" s="8"/>
      <c r="Z41" s="45"/>
      <c r="AA41" s="47"/>
      <c r="AB41" s="47"/>
      <c r="AC41" s="47"/>
      <c r="AD41" s="45"/>
      <c r="AE41" s="139">
        <f>_xlfn.STDEV.S(AF40:AF41)</f>
        <v>0.28991378028648518</v>
      </c>
      <c r="AF41" s="6">
        <v>-1.55</v>
      </c>
      <c r="AG41" s="7" t="s">
        <v>19</v>
      </c>
      <c r="AH41" s="131">
        <f ca="1">ABS(AH40*RSD_SW)</f>
        <v>6.6703661148076784E-2</v>
      </c>
      <c r="AI41" s="104"/>
      <c r="AJ41" s="47"/>
      <c r="AK41" s="45"/>
      <c r="AL41" s="84"/>
      <c r="AM41" s="47"/>
      <c r="AN41" s="47"/>
      <c r="AO41" s="45"/>
      <c r="AP41" s="47"/>
      <c r="AQ41" s="47"/>
      <c r="AR41" s="47"/>
      <c r="AS41" s="130">
        <f>_xlfn.STDEV.S(AT40:AT41)</f>
        <v>0.90509667991878162</v>
      </c>
      <c r="AT41" s="107">
        <v>18</v>
      </c>
      <c r="AU41" s="121">
        <f>273.15+AT41</f>
        <v>291.14999999999998</v>
      </c>
      <c r="AV41" s="45" t="s">
        <v>707</v>
      </c>
      <c r="AW41" s="47"/>
      <c r="AX41" s="47"/>
    </row>
    <row r="42" spans="1:50">
      <c r="A42" s="3"/>
      <c r="B42" s="4" t="s">
        <v>20</v>
      </c>
      <c r="C42" s="324">
        <f>COUNTA(D40:D42)</f>
        <v>1</v>
      </c>
      <c r="D42" s="4"/>
      <c r="E42" s="4"/>
      <c r="F42" s="3"/>
      <c r="G42" s="4"/>
      <c r="H42" s="4"/>
      <c r="I42" s="3"/>
      <c r="J42" s="4"/>
      <c r="K42" s="4"/>
      <c r="L42" s="324">
        <f>COUNTA(M40:M42)</f>
        <v>1</v>
      </c>
      <c r="M42" s="4"/>
      <c r="N42" s="4"/>
      <c r="O42" s="3"/>
      <c r="P42" s="4"/>
      <c r="Q42" s="4"/>
      <c r="R42" s="3"/>
      <c r="S42" s="9"/>
      <c r="T42" s="4"/>
      <c r="U42" s="324">
        <f>COUNTA(V40:V42)</f>
        <v>1</v>
      </c>
      <c r="V42" s="8"/>
      <c r="W42" s="45"/>
      <c r="X42" s="324">
        <f ca="1">COUNTA(Y40)</f>
        <v>1</v>
      </c>
      <c r="Y42" s="8"/>
      <c r="Z42" s="45"/>
      <c r="AA42" s="47"/>
      <c r="AB42" s="47"/>
      <c r="AC42" s="47"/>
      <c r="AD42" s="45"/>
      <c r="AE42" s="324">
        <f>COUNTA(AF40:AF42)</f>
        <v>2</v>
      </c>
      <c r="AF42" s="6"/>
      <c r="AG42" s="7"/>
      <c r="AH42" s="324">
        <f ca="1">COUNTA(AI40)</f>
        <v>1</v>
      </c>
      <c r="AI42" s="47"/>
      <c r="AJ42" s="47"/>
      <c r="AK42" s="45"/>
      <c r="AL42" s="84"/>
      <c r="AM42" s="47"/>
      <c r="AN42" s="47"/>
      <c r="AO42" s="45"/>
      <c r="AP42" s="47"/>
      <c r="AQ42" s="47"/>
      <c r="AR42" s="47"/>
      <c r="AS42" s="324">
        <f>COUNTA(AT40:AT42)</f>
        <v>2</v>
      </c>
      <c r="AT42" s="121"/>
      <c r="AU42" s="47"/>
      <c r="AV42" s="45"/>
      <c r="AW42" s="47"/>
      <c r="AX42" s="47"/>
    </row>
    <row r="43" spans="1:50" ht="18">
      <c r="A43" s="3" t="s">
        <v>21</v>
      </c>
      <c r="B43" s="4" t="s">
        <v>22</v>
      </c>
      <c r="C43" s="157">
        <f>70.5</f>
        <v>70.5</v>
      </c>
      <c r="D43" s="30">
        <v>70.5</v>
      </c>
      <c r="E43" s="30" t="s">
        <v>243</v>
      </c>
      <c r="F43" s="184">
        <f>G43</f>
        <v>-19.961429878840377</v>
      </c>
      <c r="G43" s="166">
        <f>'Table S4 Conversions and Notes'!J168</f>
        <v>-19.961429878840377</v>
      </c>
      <c r="H43" s="70" t="s">
        <v>1087</v>
      </c>
      <c r="I43" s="83"/>
      <c r="J43" s="70"/>
      <c r="K43" s="70"/>
      <c r="L43" s="149">
        <f>AVERAGE(M43:M44)</f>
        <v>62.5</v>
      </c>
      <c r="M43" s="70">
        <v>58.2</v>
      </c>
      <c r="N43" s="70" t="s">
        <v>243</v>
      </c>
      <c r="O43" s="77"/>
      <c r="P43" s="147"/>
      <c r="Q43" s="70"/>
      <c r="R43" s="322">
        <f>S43</f>
        <v>2.2398120181888418E-2</v>
      </c>
      <c r="S43" s="318">
        <f>'Table S4 Conversions and Notes'!$J$183</f>
        <v>2.2398120181888418E-2</v>
      </c>
      <c r="T43" s="47" t="s">
        <v>1424</v>
      </c>
      <c r="U43" s="145">
        <f>AVERAGE(V43:V44)</f>
        <v>7.6006955888277421</v>
      </c>
      <c r="V43" s="15">
        <v>7.4413911776554844</v>
      </c>
      <c r="W43" s="45" t="s">
        <v>256</v>
      </c>
      <c r="X43" s="75">
        <f ca="1">Y43</f>
        <v>5.6060544545641475</v>
      </c>
      <c r="Y43" s="15">
        <f ca="1">'Table S4 Conversions and Notes'!J71</f>
        <v>5.6060544545641475</v>
      </c>
      <c r="Z43" s="7" t="s">
        <v>297</v>
      </c>
      <c r="AA43" s="47"/>
      <c r="AB43" s="47"/>
      <c r="AC43" s="47"/>
      <c r="AD43" s="45"/>
      <c r="AE43" s="139">
        <f>AVERAGE(AF43:AF45)</f>
        <v>-0.78068417864398842</v>
      </c>
      <c r="AF43" s="15">
        <v>-0.79753503984609619</v>
      </c>
      <c r="AG43" s="45" t="s">
        <v>256</v>
      </c>
      <c r="AH43" s="130">
        <f ca="1">AVERAGE(AI43)</f>
        <v>-1.396741318857573</v>
      </c>
      <c r="AI43" s="17">
        <f ca="1">LOG(AJ43/B44)</f>
        <v>-1.396741318857573</v>
      </c>
      <c r="AJ43" s="17">
        <f ca="1">'Table S4 Conversions and Notes'!J70</f>
        <v>9.8021374330554654</v>
      </c>
      <c r="AK43" s="7" t="s">
        <v>298</v>
      </c>
      <c r="AL43" s="84"/>
      <c r="AM43" s="47"/>
      <c r="AN43" s="47"/>
      <c r="AO43" s="45"/>
      <c r="AP43" s="47"/>
      <c r="AQ43" s="47"/>
      <c r="AR43" s="47"/>
      <c r="AS43" s="150">
        <f>AVERAGE(AT43:AT44)</f>
        <v>59.8</v>
      </c>
      <c r="AT43" s="121">
        <v>58.1</v>
      </c>
      <c r="AU43" s="121">
        <f>273.15+AT43</f>
        <v>331.25</v>
      </c>
      <c r="AV43" s="45" t="s">
        <v>708</v>
      </c>
      <c r="AW43" s="47"/>
      <c r="AX43" s="47"/>
    </row>
    <row r="44" spans="1:50" ht="18">
      <c r="A44" s="3"/>
      <c r="B44" s="171">
        <v>244.37799999999999</v>
      </c>
      <c r="C44" s="157">
        <f>C43*RSD_dHvap</f>
        <v>5.0311210020643644</v>
      </c>
      <c r="D44" s="30"/>
      <c r="E44" s="30"/>
      <c r="F44" s="184">
        <f>ABS(F43)*RSD_Unr</f>
        <v>5.9884289636521126</v>
      </c>
      <c r="G44" s="166"/>
      <c r="H44" s="70"/>
      <c r="I44" s="83"/>
      <c r="J44" s="70"/>
      <c r="K44" s="70"/>
      <c r="L44" s="187">
        <f>_xlfn.STDEV.S(M43:M44)</f>
        <v>6.0811183182043047</v>
      </c>
      <c r="M44" s="70">
        <v>66.8</v>
      </c>
      <c r="N44" s="70" t="s">
        <v>13</v>
      </c>
      <c r="O44" s="77"/>
      <c r="P44" s="147"/>
      <c r="Q44" s="70"/>
      <c r="R44" s="322">
        <f>RSD_Unr*R43</f>
        <v>6.7194360545665254E-3</v>
      </c>
      <c r="S44" s="70"/>
      <c r="T44" s="70"/>
      <c r="U44" s="182">
        <f>_xlfn.STDEV.S(V43:V44)</f>
        <v>0.22529045882566684</v>
      </c>
      <c r="V44" s="9">
        <v>7.76</v>
      </c>
      <c r="W44" s="45" t="s">
        <v>13</v>
      </c>
      <c r="X44" s="142">
        <f ca="1">X43*RSD_Inf</f>
        <v>1.1212108909128295</v>
      </c>
      <c r="Y44" s="177">
        <f>'Table S4 Conversions and Notes'!$J$175</f>
        <v>6.6760758007714234</v>
      </c>
      <c r="Z44" s="155" t="s">
        <v>697</v>
      </c>
      <c r="AA44" s="47"/>
      <c r="AB44" s="47"/>
      <c r="AC44" s="47"/>
      <c r="AD44" s="45"/>
      <c r="AE44" s="139">
        <f>_xlfn.STDEV.S(AF43:AF45)</f>
        <v>0.23818872039740308</v>
      </c>
      <c r="AF44" s="6">
        <f>'Table S4 Conversions and Notes'!$J$51</f>
        <v>-0.53451749608586874</v>
      </c>
      <c r="AG44" s="7" t="s">
        <v>200</v>
      </c>
      <c r="AH44" s="131">
        <f ca="1">ABS(AH43*RSD_SW)</f>
        <v>0.17271347176656843</v>
      </c>
      <c r="AI44" s="17">
        <f>LOG(AJ44/B44)</f>
        <v>-4.0327734075192305</v>
      </c>
      <c r="AJ44" s="165">
        <f>'Table S4 Conversions and Notes'!$J$161</f>
        <v>2.266150237800002E-2</v>
      </c>
      <c r="AK44" s="155" t="s">
        <v>672</v>
      </c>
      <c r="AL44" s="84"/>
      <c r="AM44" s="47"/>
      <c r="AN44" s="47"/>
      <c r="AO44" s="45"/>
      <c r="AP44" s="47"/>
      <c r="AQ44" s="47"/>
      <c r="AR44" s="47"/>
      <c r="AS44" s="130">
        <f>_xlfn.STDEV.S(AT43:AT44)</f>
        <v>2.4041630560342604</v>
      </c>
      <c r="AT44" s="121">
        <v>61.5</v>
      </c>
      <c r="AU44" s="121">
        <f>273.15+AT44</f>
        <v>334.65</v>
      </c>
      <c r="AV44" s="45" t="s">
        <v>710</v>
      </c>
      <c r="AW44" s="47"/>
      <c r="AX44" s="47"/>
    </row>
    <row r="45" spans="1:50" ht="18">
      <c r="A45" s="3"/>
      <c r="B45" s="4" t="s">
        <v>20</v>
      </c>
      <c r="C45" s="324">
        <f>COUNTA(D43:D45)</f>
        <v>1</v>
      </c>
      <c r="D45" s="4"/>
      <c r="E45" s="4"/>
      <c r="F45" s="324">
        <f>COUNTA(G43:G45)</f>
        <v>1</v>
      </c>
      <c r="G45" s="166"/>
      <c r="H45" s="4"/>
      <c r="I45" s="3"/>
      <c r="J45" s="4"/>
      <c r="K45" s="4"/>
      <c r="L45" s="324">
        <f>COUNTA(M43:M45)</f>
        <v>2</v>
      </c>
      <c r="M45" s="4"/>
      <c r="N45" s="4"/>
      <c r="O45" s="3"/>
      <c r="P45" s="4"/>
      <c r="Q45" s="4"/>
      <c r="R45" s="324">
        <f>COUNTA(S43:S45)</f>
        <v>1</v>
      </c>
      <c r="S45" s="9"/>
      <c r="T45" s="4"/>
      <c r="U45" s="324">
        <f>COUNTA(V43:V45)</f>
        <v>2</v>
      </c>
      <c r="W45" s="45"/>
      <c r="X45" s="324">
        <f ca="1">COUNTA(Y43)</f>
        <v>1</v>
      </c>
      <c r="Y45" s="9"/>
      <c r="Z45" s="45"/>
      <c r="AA45" s="47"/>
      <c r="AB45" s="47"/>
      <c r="AC45" s="47"/>
      <c r="AD45" s="45"/>
      <c r="AE45" s="324">
        <f>COUNTA(AF43:AF45)</f>
        <v>3</v>
      </c>
      <c r="AF45" s="6">
        <v>-1.01</v>
      </c>
      <c r="AG45" s="7" t="s">
        <v>699</v>
      </c>
      <c r="AH45" s="324">
        <f ca="1">COUNTA(AI43)</f>
        <v>1</v>
      </c>
      <c r="AI45" s="47"/>
      <c r="AJ45" s="47"/>
      <c r="AK45" s="45"/>
      <c r="AL45" s="84"/>
      <c r="AM45" s="47"/>
      <c r="AN45" s="47"/>
      <c r="AO45" s="45"/>
      <c r="AP45" s="47"/>
      <c r="AQ45" s="47"/>
      <c r="AR45" s="47"/>
      <c r="AS45" s="324">
        <f>COUNTA(AT43:AT45)</f>
        <v>3</v>
      </c>
      <c r="AT45" s="371">
        <f>AU45-273.15</f>
        <v>62.850000000000023</v>
      </c>
      <c r="AU45" s="48">
        <v>336</v>
      </c>
      <c r="AV45" s="45" t="s">
        <v>2688</v>
      </c>
      <c r="AW45" s="47"/>
      <c r="AX45" s="47"/>
    </row>
    <row r="46" spans="1:50" ht="18">
      <c r="A46" s="3"/>
      <c r="B46" s="4" t="s">
        <v>20</v>
      </c>
      <c r="C46" s="3"/>
      <c r="D46" s="4"/>
      <c r="E46" s="4"/>
      <c r="F46" s="3"/>
      <c r="G46" s="166"/>
      <c r="H46" s="4"/>
      <c r="I46" s="3"/>
      <c r="J46" s="4"/>
      <c r="K46" s="4"/>
      <c r="L46" s="3"/>
      <c r="M46" s="4"/>
      <c r="N46" s="4"/>
      <c r="O46" s="3"/>
      <c r="P46" s="4"/>
      <c r="Q46" s="4"/>
      <c r="R46" s="3"/>
      <c r="S46" s="9"/>
      <c r="T46" s="4"/>
      <c r="U46" s="100"/>
      <c r="V46" s="8"/>
      <c r="W46" s="45"/>
      <c r="X46" s="8"/>
      <c r="Y46" s="8"/>
      <c r="Z46" s="45"/>
      <c r="AA46" s="47"/>
      <c r="AB46" s="47"/>
      <c r="AC46" s="47"/>
      <c r="AD46" s="45"/>
      <c r="AE46" s="167"/>
      <c r="AF46" s="176">
        <f>'Table S4 Conversions and Notes'!$J$52</f>
        <v>-2.6555174960858685</v>
      </c>
      <c r="AG46" s="185" t="s">
        <v>712</v>
      </c>
      <c r="AH46" s="84"/>
      <c r="AI46" s="47"/>
      <c r="AJ46" s="47"/>
      <c r="AK46" s="45"/>
      <c r="AL46" s="84"/>
      <c r="AM46" s="47"/>
      <c r="AN46" s="47"/>
      <c r="AO46" s="45"/>
      <c r="AP46" s="47"/>
      <c r="AQ46" s="47"/>
      <c r="AR46" s="47"/>
      <c r="AS46" s="84"/>
      <c r="AT46" s="121"/>
      <c r="AU46" s="47"/>
      <c r="AV46" s="45"/>
      <c r="AW46" s="47"/>
      <c r="AX46" s="47"/>
    </row>
    <row r="47" spans="1:50">
      <c r="A47" s="12"/>
      <c r="B47" s="11" t="s">
        <v>20</v>
      </c>
      <c r="C47" s="12"/>
      <c r="D47" s="11"/>
      <c r="E47" s="11"/>
      <c r="F47" s="12"/>
      <c r="G47" s="166"/>
      <c r="H47" s="11"/>
      <c r="I47" s="12"/>
      <c r="J47" s="11"/>
      <c r="K47" s="11"/>
      <c r="L47" s="12"/>
      <c r="M47" s="11"/>
      <c r="N47" s="11"/>
      <c r="O47" s="12"/>
      <c r="P47" s="11"/>
      <c r="Q47" s="11"/>
      <c r="R47" s="12"/>
      <c r="S47" s="169"/>
      <c r="T47" s="11"/>
      <c r="U47" s="100"/>
      <c r="V47" s="8"/>
      <c r="W47" s="45"/>
      <c r="X47" s="8"/>
      <c r="Y47" s="8"/>
      <c r="Z47" s="45"/>
      <c r="AA47" s="47"/>
      <c r="AB47" s="47"/>
      <c r="AC47" s="47"/>
      <c r="AD47" s="45"/>
      <c r="AE47" s="167"/>
      <c r="AF47" s="6"/>
      <c r="AG47" s="7"/>
      <c r="AH47" s="84"/>
      <c r="AI47" s="47"/>
      <c r="AJ47" s="47"/>
      <c r="AK47" s="45"/>
      <c r="AL47" s="84"/>
      <c r="AM47" s="47"/>
      <c r="AN47" s="47"/>
      <c r="AO47" s="45"/>
      <c r="AP47" s="47"/>
      <c r="AQ47" s="47"/>
      <c r="AR47" s="47"/>
      <c r="AS47" s="84"/>
      <c r="AT47" s="121"/>
      <c r="AU47" s="47"/>
      <c r="AV47" s="45"/>
      <c r="AW47" s="47"/>
      <c r="AX47" s="47"/>
    </row>
    <row r="48" spans="1:50" ht="18">
      <c r="A48" s="3" t="s">
        <v>23</v>
      </c>
      <c r="B48" s="4" t="s">
        <v>24</v>
      </c>
      <c r="C48" s="179">
        <f>AVERAGE(D48:D49)</f>
        <v>62.150000000000006</v>
      </c>
      <c r="D48" s="30">
        <v>48.4</v>
      </c>
      <c r="E48" s="30" t="s">
        <v>244</v>
      </c>
      <c r="F48" s="83"/>
      <c r="G48" s="166"/>
      <c r="H48" s="70"/>
      <c r="I48" s="83"/>
      <c r="J48" s="70"/>
      <c r="K48" s="70"/>
      <c r="L48" s="184">
        <f>M48</f>
        <v>47.6</v>
      </c>
      <c r="M48" s="70">
        <v>47.6</v>
      </c>
      <c r="N48" s="70" t="s">
        <v>244</v>
      </c>
      <c r="O48" s="77"/>
      <c r="P48" s="147"/>
      <c r="Q48" s="70"/>
      <c r="R48" s="77"/>
      <c r="S48" s="70"/>
      <c r="T48" s="70"/>
      <c r="U48" s="145">
        <f>V48</f>
        <v>7.7366088067909136</v>
      </c>
      <c r="V48" s="15">
        <v>7.7366088067909136</v>
      </c>
      <c r="W48" s="45" t="s">
        <v>256</v>
      </c>
      <c r="X48" s="75">
        <f ca="1">Y48</f>
        <v>4.2892948003267835</v>
      </c>
      <c r="Y48" s="15">
        <f ca="1">'Table S4 Conversions and Notes'!J73</f>
        <v>4.2892948003267835</v>
      </c>
      <c r="Z48" s="7" t="s">
        <v>300</v>
      </c>
      <c r="AA48" s="47"/>
      <c r="AB48" s="47"/>
      <c r="AC48" s="47"/>
      <c r="AD48" s="45"/>
      <c r="AE48" s="139">
        <f>AVERAGE(AF48:AF49)</f>
        <v>-1.0485024426567202</v>
      </c>
      <c r="AF48" s="15">
        <v>-0.85700488531344043</v>
      </c>
      <c r="AG48" s="45" t="s">
        <v>256</v>
      </c>
      <c r="AH48" s="130">
        <f ca="1">AVERAGE(AI48)</f>
        <v>-1.0416446631836234</v>
      </c>
      <c r="AI48" s="17">
        <f ca="1">LOG(AJ48/B49)</f>
        <v>-1.0416446631836234</v>
      </c>
      <c r="AJ48" s="107">
        <f ca="1">'Table S4 Conversions and Notes'!J72</f>
        <v>23.293753750180901</v>
      </c>
      <c r="AK48" s="7" t="s">
        <v>301</v>
      </c>
      <c r="AL48" s="84"/>
      <c r="AM48" s="47"/>
      <c r="AN48" s="47"/>
      <c r="AO48" s="45"/>
      <c r="AP48" s="47"/>
      <c r="AQ48" s="47"/>
      <c r="AR48" s="47"/>
      <c r="AS48" s="150">
        <f>AVERAGE(AT48:AT49)</f>
        <v>-27.1</v>
      </c>
      <c r="AT48" s="121">
        <v>-27.1</v>
      </c>
      <c r="AU48" s="121">
        <f>273.15+AT48</f>
        <v>246.04999999999998</v>
      </c>
      <c r="AV48" s="45" t="s">
        <v>713</v>
      </c>
      <c r="AW48" s="47"/>
      <c r="AX48" s="47"/>
    </row>
    <row r="49" spans="1:50">
      <c r="A49" s="3"/>
      <c r="B49" s="171">
        <v>256.38</v>
      </c>
      <c r="C49" s="179">
        <f>_xlfn.STDEV.S(D48:D49)</f>
        <v>19.445436482630033</v>
      </c>
      <c r="D49" s="30">
        <v>75.900000000000006</v>
      </c>
      <c r="E49" s="30" t="s">
        <v>207</v>
      </c>
      <c r="F49" s="83"/>
      <c r="G49" s="166"/>
      <c r="H49" s="70"/>
      <c r="I49" s="83"/>
      <c r="J49" s="70"/>
      <c r="K49" s="70"/>
      <c r="L49" s="181">
        <f>L48*RSD_dUoa</f>
        <v>3.0158447879413406</v>
      </c>
      <c r="M49" s="70"/>
      <c r="N49" s="70"/>
      <c r="O49" s="77"/>
      <c r="P49" s="147"/>
      <c r="Q49" s="70"/>
      <c r="R49" s="77"/>
      <c r="S49" s="70"/>
      <c r="T49" s="70"/>
      <c r="U49" s="145" cm="1">
        <f t="array" ref="U49">U48*RSD_Koa</f>
        <v>0.19920079617940534</v>
      </c>
      <c r="V49" s="8"/>
      <c r="W49" s="45"/>
      <c r="X49" s="142">
        <f ca="1">X48*RSD_Unr</f>
        <v>1.2867884400980349</v>
      </c>
      <c r="Y49" s="8"/>
      <c r="Z49" s="45"/>
      <c r="AA49" s="47"/>
      <c r="AB49" s="47"/>
      <c r="AC49" s="47"/>
      <c r="AD49" s="45"/>
      <c r="AE49" s="139">
        <f>_xlfn.STDEV.S(AF48:AF49)</f>
        <v>0.27081844275618577</v>
      </c>
      <c r="AF49" s="6">
        <v>-1.24</v>
      </c>
      <c r="AG49" s="7" t="s">
        <v>25</v>
      </c>
      <c r="AH49" s="131">
        <f ca="1">ABS(AH48*RSD_SW)</f>
        <v>0.12880414125123094</v>
      </c>
      <c r="AI49" s="104"/>
      <c r="AJ49" s="47"/>
      <c r="AK49" s="45"/>
      <c r="AL49" s="84"/>
      <c r="AM49" s="47"/>
      <c r="AN49" s="47"/>
      <c r="AO49" s="45"/>
      <c r="AP49" s="47"/>
      <c r="AQ49" s="47"/>
      <c r="AR49" s="47"/>
      <c r="AS49" s="130">
        <f>ABS(AS48*RSD_Tm)</f>
        <v>1.2510909358091147</v>
      </c>
      <c r="AT49" s="121"/>
      <c r="AU49" s="47"/>
      <c r="AV49" s="45"/>
      <c r="AW49" s="47"/>
      <c r="AX49" s="47"/>
    </row>
    <row r="50" spans="1:50">
      <c r="A50" s="3"/>
      <c r="B50" s="4"/>
      <c r="C50" s="324">
        <f>COUNTA(D48:D50)</f>
        <v>2</v>
      </c>
      <c r="D50" s="30"/>
      <c r="E50" s="30"/>
      <c r="F50" s="83"/>
      <c r="G50" s="166"/>
      <c r="H50" s="70"/>
      <c r="I50" s="83"/>
      <c r="J50" s="70"/>
      <c r="K50" s="70"/>
      <c r="L50" s="324">
        <f>COUNTA(M48:M50)</f>
        <v>1</v>
      </c>
      <c r="M50" s="70"/>
      <c r="N50" s="70"/>
      <c r="O50" s="77"/>
      <c r="P50" s="147"/>
      <c r="Q50" s="70"/>
      <c r="R50" s="77"/>
      <c r="S50" s="70"/>
      <c r="T50" s="70"/>
      <c r="U50" s="324">
        <f>COUNTA(V48:V50)</f>
        <v>1</v>
      </c>
      <c r="V50" s="8"/>
      <c r="W50" s="45"/>
      <c r="X50" s="324">
        <f ca="1">COUNTA(Y48)</f>
        <v>1</v>
      </c>
      <c r="Y50" s="8"/>
      <c r="Z50" s="45"/>
      <c r="AA50" s="47"/>
      <c r="AB50" s="47"/>
      <c r="AC50" s="47"/>
      <c r="AD50" s="45"/>
      <c r="AE50" s="324">
        <f>COUNTA(AF48:AF50)</f>
        <v>2</v>
      </c>
      <c r="AF50" s="6"/>
      <c r="AG50" s="7"/>
      <c r="AH50" s="324">
        <f ca="1">COUNTA(AI48)</f>
        <v>1</v>
      </c>
      <c r="AI50" s="47"/>
      <c r="AJ50" s="47"/>
      <c r="AK50" s="45"/>
      <c r="AL50" s="84"/>
      <c r="AM50" s="47"/>
      <c r="AN50" s="47"/>
      <c r="AO50" s="45"/>
      <c r="AP50" s="47"/>
      <c r="AQ50" s="47"/>
      <c r="AR50" s="47"/>
      <c r="AS50" s="324">
        <f>COUNTA(AT48:AT50)</f>
        <v>1</v>
      </c>
      <c r="AT50" s="121"/>
      <c r="AU50" s="47"/>
      <c r="AV50" s="45"/>
      <c r="AW50" s="47"/>
      <c r="AX50" s="47"/>
    </row>
    <row r="51" spans="1:50" ht="18">
      <c r="A51" s="3" t="s">
        <v>26</v>
      </c>
      <c r="B51" s="4" t="s">
        <v>27</v>
      </c>
      <c r="C51" s="179">
        <f>AVERAGE(76.8)</f>
        <v>76.8</v>
      </c>
      <c r="D51" s="30">
        <v>76.8</v>
      </c>
      <c r="E51" s="30" t="s">
        <v>243</v>
      </c>
      <c r="F51" s="184">
        <f>G51</f>
        <v>-36.996452467197493</v>
      </c>
      <c r="G51" s="166">
        <f>'Table S4 Conversions and Notes'!J171</f>
        <v>-36.996452467197493</v>
      </c>
      <c r="H51" s="70" t="s">
        <v>1083</v>
      </c>
      <c r="I51" s="83"/>
      <c r="J51" s="70"/>
      <c r="K51" s="70"/>
      <c r="L51" s="184">
        <f>M51</f>
        <v>64.5</v>
      </c>
      <c r="M51" s="70">
        <v>64.5</v>
      </c>
      <c r="N51" s="70" t="s">
        <v>243</v>
      </c>
      <c r="O51" s="78"/>
      <c r="P51" s="52"/>
      <c r="Q51" s="47"/>
      <c r="R51" s="322">
        <f>S51</f>
        <v>-2.8524101770097222E-2</v>
      </c>
      <c r="S51" s="17">
        <f>'Table S4 Conversions and Notes'!$J$186</f>
        <v>-2.8524101770097222E-2</v>
      </c>
      <c r="T51" s="47" t="s">
        <v>1425</v>
      </c>
      <c r="U51" s="145">
        <f>AVERAGE(V51:V52)</f>
        <v>7.9485634665041607</v>
      </c>
      <c r="V51" s="15">
        <v>7.7171269330083216</v>
      </c>
      <c r="W51" s="45" t="s">
        <v>256</v>
      </c>
      <c r="X51" s="75">
        <f ca="1">Y51</f>
        <v>5.6401972406215748</v>
      </c>
      <c r="Y51" s="15">
        <f ca="1">'Table S4 Conversions and Notes'!$J$75</f>
        <v>5.6401972406215748</v>
      </c>
      <c r="Z51" s="7" t="s">
        <v>305</v>
      </c>
      <c r="AA51" s="47"/>
      <c r="AB51" s="47"/>
      <c r="AC51" s="47"/>
      <c r="AD51" s="45"/>
      <c r="AE51" s="139">
        <f ca="1">AVERAGE(AF51:AF53)</f>
        <v>-1.4354646307627545</v>
      </c>
      <c r="AF51" s="15">
        <v>-1.1017135120645001</v>
      </c>
      <c r="AG51" s="45" t="s">
        <v>256</v>
      </c>
      <c r="AH51" s="130">
        <f ca="1">AVERAGE(AI51)</f>
        <v>-2.7483112949199486</v>
      </c>
      <c r="AI51" s="17">
        <f ca="1">LOG(AJ51/B52)</f>
        <v>-2.7483112949199486</v>
      </c>
      <c r="AJ51" s="17">
        <f ca="1">'Table S4 Conversions and Notes'!J74</f>
        <v>0.4613065465369508</v>
      </c>
      <c r="AK51" s="7" t="s">
        <v>306</v>
      </c>
      <c r="AL51" s="84"/>
      <c r="AM51" s="47"/>
      <c r="AN51" s="47"/>
      <c r="AO51" s="45"/>
      <c r="AP51" s="47"/>
      <c r="AQ51" s="47"/>
      <c r="AR51" s="47"/>
      <c r="AS51" s="150">
        <f>-50</f>
        <v>-50</v>
      </c>
      <c r="AT51" s="121" t="s">
        <v>734</v>
      </c>
      <c r="AU51" s="47" t="s">
        <v>735</v>
      </c>
      <c r="AV51" s="45" t="s">
        <v>714</v>
      </c>
      <c r="AW51" s="47"/>
      <c r="AX51" s="47"/>
    </row>
    <row r="52" spans="1:50" ht="18">
      <c r="A52" s="3"/>
      <c r="B52" s="171">
        <v>258.40499999999997</v>
      </c>
      <c r="C52" s="157">
        <f>C51*RSD_dHvap</f>
        <v>5.4807105384190518</v>
      </c>
      <c r="D52" s="30"/>
      <c r="E52" s="30"/>
      <c r="F52" s="184">
        <f>ABS(F51)*RSD_Unr</f>
        <v>11.098935740159247</v>
      </c>
      <c r="G52" s="166"/>
      <c r="H52" s="70"/>
      <c r="I52" s="83"/>
      <c r="J52" s="70"/>
      <c r="K52" s="70"/>
      <c r="L52" s="181">
        <f>L51*RSD_dUoa</f>
        <v>4.0865964038280769</v>
      </c>
      <c r="M52" s="70"/>
      <c r="N52" s="70"/>
      <c r="O52" s="78"/>
      <c r="P52" s="52"/>
      <c r="Q52" s="47"/>
      <c r="R52" s="322">
        <f>ABS(RSD_Unr*R51)</f>
        <v>8.5572305310291658E-3</v>
      </c>
      <c r="S52" s="47"/>
      <c r="T52" s="47"/>
      <c r="U52" s="145">
        <f>_xlfn.STDEV.S(V51:V52)</f>
        <v>0.32730068449843069</v>
      </c>
      <c r="V52" s="9">
        <v>8.18</v>
      </c>
      <c r="W52" s="45" t="s">
        <v>13</v>
      </c>
      <c r="X52" s="142">
        <f ca="1">X51*RSD_Unr</f>
        <v>1.6920591721864724</v>
      </c>
      <c r="Y52" s="177">
        <f>'Table S4 Conversions and Notes'!$J$178</f>
        <v>8.115997484487675</v>
      </c>
      <c r="Z52" s="155" t="s">
        <v>696</v>
      </c>
      <c r="AA52" s="47"/>
      <c r="AB52" s="47"/>
      <c r="AC52" s="47"/>
      <c r="AD52" s="45"/>
      <c r="AE52" s="139">
        <f ca="1">_xlfn.STDEV.S(AF51:AF53)</f>
        <v>0.35282277344123536</v>
      </c>
      <c r="AF52" s="6">
        <v>-1.4</v>
      </c>
      <c r="AG52" s="7" t="s">
        <v>699</v>
      </c>
      <c r="AH52" s="131">
        <f ca="1">ABS(AH51*RSD_SW)</f>
        <v>0.33984129976847932</v>
      </c>
      <c r="AI52" s="154">
        <f>LOG(AJ52/B52)</f>
        <v>-5.2224177051024743</v>
      </c>
      <c r="AJ52" s="165">
        <f>'Table S4 Conversions and Notes'!$J$164</f>
        <v>1.5484001605227792E-3</v>
      </c>
      <c r="AK52" s="155" t="s">
        <v>669</v>
      </c>
      <c r="AL52" s="84"/>
      <c r="AM52" s="47"/>
      <c r="AN52" s="47"/>
      <c r="AO52" s="45"/>
      <c r="AP52" s="47"/>
      <c r="AQ52" s="47"/>
      <c r="AR52" s="47"/>
      <c r="AS52" s="129">
        <f>ABS(AS51*RSD_Unr)</f>
        <v>15</v>
      </c>
      <c r="AT52" s="121"/>
      <c r="AU52" s="47"/>
      <c r="AV52" s="45"/>
      <c r="AW52" s="47"/>
      <c r="AX52" s="47"/>
    </row>
    <row r="53" spans="1:50" ht="18">
      <c r="A53" s="3"/>
      <c r="B53" s="4" t="s">
        <v>20</v>
      </c>
      <c r="C53" s="324">
        <f>COUNTA(D51:D53)</f>
        <v>1</v>
      </c>
      <c r="D53" s="4"/>
      <c r="E53" s="4"/>
      <c r="F53" s="324">
        <f>COUNTA(G51:G53)</f>
        <v>1</v>
      </c>
      <c r="G53" s="166"/>
      <c r="H53" s="4"/>
      <c r="I53" s="3"/>
      <c r="J53" s="4"/>
      <c r="K53" s="4"/>
      <c r="L53" s="324">
        <f>COUNTA(M51:M53)</f>
        <v>1</v>
      </c>
      <c r="M53" s="4"/>
      <c r="N53" s="4"/>
      <c r="O53" s="3"/>
      <c r="P53" s="4"/>
      <c r="Q53" s="4"/>
      <c r="R53" s="324">
        <f>COUNTA(S51:S53)</f>
        <v>1</v>
      </c>
      <c r="S53" s="9"/>
      <c r="T53" s="4"/>
      <c r="U53" s="324">
        <f>COUNTA(V51:V53)</f>
        <v>2</v>
      </c>
      <c r="X53" s="324">
        <f ca="1">COUNTA(Y51)</f>
        <v>1</v>
      </c>
      <c r="Y53" s="9"/>
      <c r="Z53" s="45"/>
      <c r="AA53" s="47"/>
      <c r="AB53" s="47"/>
      <c r="AC53" s="47"/>
      <c r="AD53" s="45"/>
      <c r="AE53" s="324">
        <f ca="1">COUNTA(AF51:AF53)</f>
        <v>3</v>
      </c>
      <c r="AF53" s="6">
        <f ca="1">'Table S4 Conversions and Notes'!$J$53</f>
        <v>-1.8046803802237639</v>
      </c>
      <c r="AG53" s="7" t="s">
        <v>203</v>
      </c>
      <c r="AH53" s="324">
        <f ca="1">COUNTA(AI51)</f>
        <v>1</v>
      </c>
      <c r="AI53" s="47"/>
      <c r="AJ53" s="47"/>
      <c r="AK53" s="45"/>
      <c r="AL53" s="84"/>
      <c r="AM53" s="47"/>
      <c r="AN53" s="47"/>
      <c r="AO53" s="45"/>
      <c r="AP53" s="47"/>
      <c r="AQ53" s="47"/>
      <c r="AR53" s="47"/>
      <c r="AS53" s="324">
        <f>COUNTA(AT51:AT53)</f>
        <v>1</v>
      </c>
      <c r="AT53" s="121"/>
      <c r="AU53" s="47"/>
      <c r="AV53" s="45"/>
      <c r="AW53" s="47"/>
      <c r="AX53" s="47"/>
    </row>
    <row r="54" spans="1:50">
      <c r="A54" s="3"/>
      <c r="B54" s="4"/>
      <c r="C54" s="41"/>
      <c r="D54" s="26"/>
      <c r="E54" s="26"/>
      <c r="F54" s="84"/>
      <c r="G54" s="166"/>
      <c r="H54" s="47"/>
      <c r="I54" s="84"/>
      <c r="J54" s="47"/>
      <c r="K54" s="47"/>
      <c r="L54" s="84"/>
      <c r="M54" s="47"/>
      <c r="N54" s="47"/>
      <c r="O54" s="78"/>
      <c r="P54" s="52"/>
      <c r="Q54" s="47"/>
      <c r="R54" s="78"/>
      <c r="S54" s="47"/>
      <c r="T54" s="47"/>
      <c r="U54" s="84"/>
      <c r="V54" s="47"/>
      <c r="W54" s="45"/>
      <c r="X54" s="47"/>
      <c r="Y54" s="47"/>
      <c r="Z54" s="45"/>
      <c r="AA54" s="47"/>
      <c r="AB54" s="47"/>
      <c r="AC54" s="47"/>
      <c r="AD54" s="45"/>
      <c r="AE54" s="167"/>
      <c r="AF54" s="6"/>
      <c r="AG54" s="7"/>
      <c r="AH54" s="84"/>
      <c r="AI54" s="47"/>
      <c r="AJ54" s="47"/>
      <c r="AK54" s="45"/>
      <c r="AL54" s="84"/>
      <c r="AM54" s="47"/>
      <c r="AN54" s="47"/>
      <c r="AO54" s="45"/>
      <c r="AP54" s="47"/>
      <c r="AQ54" s="47"/>
      <c r="AR54" s="47"/>
      <c r="AS54" s="84"/>
      <c r="AT54" s="121"/>
      <c r="AU54" s="47"/>
      <c r="AV54" s="45"/>
      <c r="AW54" s="47"/>
      <c r="AX54" s="47"/>
    </row>
    <row r="55" spans="1:50" ht="18">
      <c r="A55" s="3" t="s">
        <v>28</v>
      </c>
      <c r="B55" s="4" t="s">
        <v>29</v>
      </c>
      <c r="C55" s="157">
        <f>53.6</f>
        <v>53.6</v>
      </c>
      <c r="D55" s="30">
        <v>53.6</v>
      </c>
      <c r="E55" s="30" t="s">
        <v>245</v>
      </c>
      <c r="F55" s="83"/>
      <c r="G55" s="166"/>
      <c r="H55" s="70"/>
      <c r="I55" s="83"/>
      <c r="J55" s="70"/>
      <c r="K55" s="70"/>
      <c r="L55" s="191">
        <f>AVERAGE(M55:M56)</f>
        <v>62.949999999999996</v>
      </c>
      <c r="M55" s="70">
        <v>52.8</v>
      </c>
      <c r="N55" s="70" t="s">
        <v>245</v>
      </c>
      <c r="O55" s="78"/>
      <c r="P55" s="52"/>
      <c r="Q55" s="47"/>
      <c r="R55" s="322">
        <f>S55</f>
        <v>1.7750031651834997</v>
      </c>
      <c r="S55" s="17">
        <f>'Table S4 Conversions and Notes'!$J$189</f>
        <v>1.7750031651834997</v>
      </c>
      <c r="T55" s="47" t="s">
        <v>1426</v>
      </c>
      <c r="U55" s="145">
        <f>AVERAGE(V55:V56)</f>
        <v>8.0706983277410878</v>
      </c>
      <c r="V55" s="15">
        <v>7.8313966554821759</v>
      </c>
      <c r="W55" s="45" t="s">
        <v>256</v>
      </c>
      <c r="X55" s="142">
        <f ca="1">Y55</f>
        <v>4.4030033796665915</v>
      </c>
      <c r="Y55" s="449">
        <f ca="1">'Table S4 Conversions and Notes'!$J$515</f>
        <v>4.4030033796665915</v>
      </c>
      <c r="Z55" s="49" t="s">
        <v>2547</v>
      </c>
      <c r="AA55" s="47"/>
      <c r="AB55" s="47"/>
      <c r="AC55" s="47"/>
      <c r="AD55" s="45"/>
      <c r="AE55" s="139">
        <f>AVERAGE(AF55:AF56)</f>
        <v>-1.4557851489072775</v>
      </c>
      <c r="AF55" s="15">
        <v>-0.96157029781455494</v>
      </c>
      <c r="AG55" s="45" t="s">
        <v>256</v>
      </c>
      <c r="AH55" s="130">
        <f ca="1">AVERAGE(AI55)</f>
        <v>-3.7889277024825319</v>
      </c>
      <c r="AI55" s="46">
        <f ca="1">LOG(AJ55/$B$56)</f>
        <v>-3.7889277024825319</v>
      </c>
      <c r="AJ55" s="17">
        <f ca="1">'Table S4 Conversions and Notes'!$J$512</f>
        <v>4.5247854148549524E-2</v>
      </c>
      <c r="AK55" s="45" t="s">
        <v>2539</v>
      </c>
      <c r="AL55" s="84"/>
      <c r="AM55" s="47"/>
      <c r="AN55" s="47"/>
      <c r="AO55" s="45"/>
      <c r="AP55" s="47"/>
      <c r="AQ55" s="47"/>
      <c r="AR55" s="47"/>
      <c r="AS55" s="129">
        <f>AT55</f>
        <v>133</v>
      </c>
      <c r="AT55" s="121">
        <v>133</v>
      </c>
      <c r="AU55" s="121">
        <f>273.15+AT55</f>
        <v>406.15</v>
      </c>
      <c r="AV55" s="45" t="s">
        <v>715</v>
      </c>
      <c r="AW55" s="47"/>
      <c r="AX55" s="47"/>
    </row>
    <row r="56" spans="1:50" ht="18">
      <c r="A56" s="3"/>
      <c r="B56" s="171">
        <v>278.30799999999999</v>
      </c>
      <c r="C56" s="157">
        <f>C55*RSD_dHvap</f>
        <v>3.825079229938297</v>
      </c>
      <c r="D56" s="4"/>
      <c r="E56" s="4"/>
      <c r="F56" s="3"/>
      <c r="G56" s="166"/>
      <c r="H56" s="4"/>
      <c r="I56" s="3"/>
      <c r="J56" s="4"/>
      <c r="K56" s="4"/>
      <c r="L56" s="191">
        <f>_xlfn.STDEV.S(M55:M56)</f>
        <v>14.354267658086917</v>
      </c>
      <c r="M56" s="70">
        <v>73.099999999999994</v>
      </c>
      <c r="N56" s="70" t="s">
        <v>13</v>
      </c>
      <c r="O56" s="3"/>
      <c r="P56" s="4"/>
      <c r="Q56" s="4"/>
      <c r="R56" s="322">
        <f>RSD_Unr*R55</f>
        <v>0.5325009495550499</v>
      </c>
      <c r="S56" s="9"/>
      <c r="T56" s="4"/>
      <c r="U56" s="182">
        <f>_xlfn.STDEV.S(V55:V56)</f>
        <v>0.33842367040711524</v>
      </c>
      <c r="V56" s="9">
        <v>8.31</v>
      </c>
      <c r="W56" s="45" t="s">
        <v>13</v>
      </c>
      <c r="X56" s="168">
        <f ca="1">X55*RSD_Kow</f>
        <v>0.29848184496956309</v>
      </c>
      <c r="Y56" s="177">
        <f>'Table S4 Conversions and Notes'!$J$181</f>
        <v>5.8290155961764212</v>
      </c>
      <c r="Z56" s="155" t="s">
        <v>2578</v>
      </c>
      <c r="AA56" s="47"/>
      <c r="AB56" s="47"/>
      <c r="AC56" s="47"/>
      <c r="AD56" s="45"/>
      <c r="AE56" s="139">
        <f>_xlfn.STDEV.S(AF55:AF56)</f>
        <v>0.6989253451415276</v>
      </c>
      <c r="AF56" s="6">
        <v>-1.95</v>
      </c>
      <c r="AG56" s="7" t="s">
        <v>699</v>
      </c>
      <c r="AH56" s="131">
        <f ca="1">ABS(AH55*RSD_SW)</f>
        <v>0.46851829249494364</v>
      </c>
      <c r="AI56" s="47"/>
      <c r="AJ56" s="47"/>
      <c r="AK56" s="45"/>
      <c r="AL56" s="84"/>
      <c r="AM56" s="47"/>
      <c r="AN56" s="47"/>
      <c r="AO56" s="45"/>
      <c r="AP56" s="47"/>
      <c r="AQ56" s="47"/>
      <c r="AR56" s="47"/>
      <c r="AS56" s="129">
        <f>ABS(AS55*RSD_Unr)</f>
        <v>39.9</v>
      </c>
      <c r="AT56" s="121"/>
      <c r="AU56" s="47"/>
      <c r="AV56" s="45"/>
      <c r="AW56" s="47"/>
      <c r="AX56" s="47"/>
    </row>
    <row r="57" spans="1:50">
      <c r="A57" s="3"/>
      <c r="B57" s="4"/>
      <c r="C57" s="324">
        <f>COUNTA(D55:D57)</f>
        <v>1</v>
      </c>
      <c r="D57" s="4"/>
      <c r="E57" s="4"/>
      <c r="F57" s="3"/>
      <c r="G57" s="166"/>
      <c r="H57" s="4"/>
      <c r="I57" s="3"/>
      <c r="J57" s="4"/>
      <c r="K57" s="4"/>
      <c r="L57" s="324">
        <f>COUNTA(M55:M57)</f>
        <v>2</v>
      </c>
      <c r="M57" s="4"/>
      <c r="N57" s="4"/>
      <c r="O57" s="3"/>
      <c r="P57" s="4"/>
      <c r="Q57" s="4"/>
      <c r="R57" s="324">
        <f>COUNTA(S55:S57)</f>
        <v>1</v>
      </c>
      <c r="S57" s="9"/>
      <c r="T57" s="4"/>
      <c r="U57" s="324">
        <f>COUNTA(V55:V57)</f>
        <v>2</v>
      </c>
      <c r="V57" s="9"/>
      <c r="W57" s="45"/>
      <c r="X57" s="324">
        <f>COUNTA(Y56)</f>
        <v>1</v>
      </c>
      <c r="AA57" s="84"/>
      <c r="AB57" s="47"/>
      <c r="AC57" s="47"/>
      <c r="AD57" s="45"/>
      <c r="AE57" s="324">
        <f>COUNTA(AF55:AF57)</f>
        <v>2</v>
      </c>
      <c r="AF57" s="6"/>
      <c r="AG57" s="7"/>
      <c r="AH57" s="324">
        <f ca="1">COUNTA(AI55)</f>
        <v>1</v>
      </c>
      <c r="AI57" s="47"/>
      <c r="AJ57" s="47"/>
      <c r="AK57" s="45"/>
      <c r="AL57" s="84"/>
      <c r="AM57" s="47"/>
      <c r="AN57" s="47"/>
      <c r="AO57" s="45"/>
      <c r="AP57" s="47"/>
      <c r="AQ57" s="47"/>
      <c r="AR57" s="47"/>
      <c r="AS57" s="324">
        <f>COUNTA(AT55:AT57)</f>
        <v>1</v>
      </c>
      <c r="AT57" s="121"/>
      <c r="AU57" s="47"/>
      <c r="AV57" s="45"/>
      <c r="AW57" s="47"/>
      <c r="AX57" s="47"/>
    </row>
    <row r="58" spans="1:50" ht="18">
      <c r="A58" s="3" t="s">
        <v>322</v>
      </c>
      <c r="B58" s="4" t="s">
        <v>323</v>
      </c>
      <c r="C58" s="3"/>
      <c r="D58" s="4"/>
      <c r="E58" s="4"/>
      <c r="F58" s="184">
        <f>G58</f>
        <v>-28.986481274746431</v>
      </c>
      <c r="G58" s="166">
        <f>'Table S4 Conversions and Notes'!J170</f>
        <v>-28.986481274746431</v>
      </c>
      <c r="H58" s="70" t="s">
        <v>1086</v>
      </c>
      <c r="I58" s="3"/>
      <c r="J58" s="4"/>
      <c r="K58" s="4"/>
      <c r="L58" s="145">
        <f>M58</f>
        <v>72.400000000000006</v>
      </c>
      <c r="M58" s="70">
        <v>72.400000000000006</v>
      </c>
      <c r="N58" s="70" t="s">
        <v>13</v>
      </c>
      <c r="O58" s="3"/>
      <c r="P58" s="4"/>
      <c r="Q58" s="4"/>
      <c r="R58" s="436">
        <f>S58</f>
        <v>3.8287384926305001E-3</v>
      </c>
      <c r="S58" s="123">
        <f>'Table S4 Conversions and Notes'!$J$185</f>
        <v>3.8287384926305001E-3</v>
      </c>
      <c r="T58" s="47" t="s">
        <v>1427</v>
      </c>
      <c r="U58" s="145">
        <f>V58</f>
        <v>8.24</v>
      </c>
      <c r="V58" s="9">
        <v>8.24</v>
      </c>
      <c r="W58" s="45" t="s">
        <v>13</v>
      </c>
      <c r="X58" s="75">
        <f>AVERAGE(Y58:Y59)</f>
        <v>5.5500000000000007</v>
      </c>
      <c r="Y58" s="9">
        <v>5.4</v>
      </c>
      <c r="Z58" s="47" t="s">
        <v>307</v>
      </c>
      <c r="AA58" s="130">
        <f>AVERAGE(AC58)</f>
        <v>-1.8248709242369081</v>
      </c>
      <c r="AB58" s="47">
        <v>37.1</v>
      </c>
      <c r="AC58" s="17">
        <f>LOG(AB58/8.314/298.15)</f>
        <v>-1.8248709242369081</v>
      </c>
      <c r="AD58" s="47" t="s">
        <v>1703</v>
      </c>
      <c r="AE58" s="130">
        <f>AVERAGE(AF58)</f>
        <v>-0.86974289568179053</v>
      </c>
      <c r="AF58" s="6">
        <f>'Table S4 Conversions and Notes'!$J$191</f>
        <v>-0.86974289568179053</v>
      </c>
      <c r="AG58" s="7" t="s">
        <v>722</v>
      </c>
      <c r="AH58" s="130">
        <f>AVERAGE(AI58)</f>
        <v>-2.0189181701029537</v>
      </c>
      <c r="AI58" s="17">
        <f>LOG(AJ58/B59)</f>
        <v>-2.0189181701029537</v>
      </c>
      <c r="AJ58" s="17">
        <f>'Table S4 Conversions and Notes'!$J$190</f>
        <v>2.4739034296467883</v>
      </c>
      <c r="AK58" s="7" t="s">
        <v>721</v>
      </c>
      <c r="AL58" s="84"/>
      <c r="AM58" s="47"/>
      <c r="AN58" s="47"/>
      <c r="AO58" s="45"/>
      <c r="AP58" s="47"/>
      <c r="AQ58" s="47"/>
      <c r="AR58" s="47"/>
      <c r="AS58" s="150">
        <f>AVERAGE(AT58:AT60)</f>
        <v>54.949999999999996</v>
      </c>
      <c r="AT58" s="121">
        <v>54.5</v>
      </c>
      <c r="AU58" s="121">
        <f>273.15+AT58</f>
        <v>327.64999999999998</v>
      </c>
      <c r="AV58" s="45" t="s">
        <v>717</v>
      </c>
      <c r="AW58" s="47"/>
      <c r="AX58" s="47"/>
    </row>
    <row r="59" spans="1:50" ht="18">
      <c r="A59" s="3"/>
      <c r="B59" s="171">
        <v>258.40499999999997</v>
      </c>
      <c r="C59" s="3"/>
      <c r="D59" s="4"/>
      <c r="E59" s="4"/>
      <c r="F59" s="184">
        <f>ABS(F58)*RSD_Unr</f>
        <v>8.6959443824239298</v>
      </c>
      <c r="G59" s="166"/>
      <c r="H59" s="4"/>
      <c r="I59" s="3"/>
      <c r="J59" s="4"/>
      <c r="K59" s="4"/>
      <c r="L59" s="145">
        <f>L58*RSD_dUoa</f>
        <v>4.5871252656922916</v>
      </c>
      <c r="M59" s="4"/>
      <c r="N59" s="4"/>
      <c r="O59" s="3"/>
      <c r="P59" s="4"/>
      <c r="Q59" s="4"/>
      <c r="R59" s="436">
        <f>RSD_Unr*R58</f>
        <v>1.14862154778915E-3</v>
      </c>
      <c r="S59" s="9"/>
      <c r="T59" s="4"/>
      <c r="U59" s="145" cm="1">
        <f t="array" ref="U59">U58*RSD_Koa</f>
        <v>0.21216202104952314</v>
      </c>
      <c r="V59" s="9"/>
      <c r="W59" s="45"/>
      <c r="X59" s="142">
        <f>_xlfn.STDEV.S(Y58:Y59)</f>
        <v>0.21213203435596412</v>
      </c>
      <c r="Y59" s="9">
        <v>5.7</v>
      </c>
      <c r="Z59" s="47" t="s">
        <v>332</v>
      </c>
      <c r="AA59" s="130">
        <f>ABS(AA58*RSD_Kaw)</f>
        <v>0.36497418484738164</v>
      </c>
      <c r="AB59" s="47"/>
      <c r="AC59" s="17"/>
      <c r="AD59" s="47"/>
      <c r="AE59" s="130">
        <f>ABS(AE58*RSD_PL)</f>
        <v>0.13799721384216915</v>
      </c>
      <c r="AF59" s="6"/>
      <c r="AG59" s="7"/>
      <c r="AH59" s="131">
        <f>ABS(AH58*RSD_SW)</f>
        <v>0.24964849372129527</v>
      </c>
      <c r="AI59" s="154">
        <f>LOG(AJ59/B59)</f>
        <v>-4.5753361861483643</v>
      </c>
      <c r="AJ59" s="165">
        <f>'Table S4 Conversions and Notes'!$J$163</f>
        <v>6.8701263861677382E-3</v>
      </c>
      <c r="AK59" s="155" t="s">
        <v>670</v>
      </c>
      <c r="AL59" s="84"/>
      <c r="AM59" s="47"/>
      <c r="AN59" s="47"/>
      <c r="AO59" s="45"/>
      <c r="AP59" s="47"/>
      <c r="AQ59" s="47"/>
      <c r="AR59" s="47"/>
      <c r="AS59" s="130">
        <f>_xlfn.STDEV.S(AT58:AT60)</f>
        <v>1.2379418403139955</v>
      </c>
      <c r="AT59" s="121">
        <v>54</v>
      </c>
      <c r="AU59" s="121">
        <f>273.15+AT59</f>
        <v>327.14999999999998</v>
      </c>
      <c r="AV59" s="45" t="s">
        <v>716</v>
      </c>
      <c r="AW59" s="47"/>
      <c r="AX59" s="47"/>
    </row>
    <row r="60" spans="1:50" ht="18">
      <c r="A60" s="3"/>
      <c r="B60" s="4"/>
      <c r="C60" s="324"/>
      <c r="D60" s="4"/>
      <c r="E60" s="4"/>
      <c r="F60" s="324">
        <f>COUNTA(G58:G60)</f>
        <v>1</v>
      </c>
      <c r="G60" s="166"/>
      <c r="H60" s="4"/>
      <c r="I60" s="3"/>
      <c r="J60" s="4"/>
      <c r="K60" s="4"/>
      <c r="L60" s="324">
        <f>COUNTA(M58:M60)</f>
        <v>1</v>
      </c>
      <c r="M60" s="4"/>
      <c r="N60" s="4"/>
      <c r="O60" s="3"/>
      <c r="P60" s="4"/>
      <c r="Q60" s="4"/>
      <c r="R60" s="324">
        <f>COUNTA(S58:S60)</f>
        <v>1</v>
      </c>
      <c r="S60" s="9"/>
      <c r="T60" s="4"/>
      <c r="U60" s="324">
        <f>COUNTA(V58:V60)</f>
        <v>1</v>
      </c>
      <c r="V60" s="9"/>
      <c r="W60" s="45"/>
      <c r="X60" s="324">
        <f>COUNTA(Y58:Y59)</f>
        <v>2</v>
      </c>
      <c r="Y60" s="178">
        <f>'Table S4 Conversions and Notes'!$J$177</f>
        <v>7.2783291967130639</v>
      </c>
      <c r="Z60" s="155" t="s">
        <v>695</v>
      </c>
      <c r="AA60" s="324">
        <f>COUNTA(AB58:AB60)</f>
        <v>1</v>
      </c>
      <c r="AB60" s="47"/>
      <c r="AC60" s="47"/>
      <c r="AD60" s="47"/>
      <c r="AE60" s="324">
        <f>COUNTA(AF58:AF60)</f>
        <v>1</v>
      </c>
      <c r="AF60" s="6"/>
      <c r="AG60" s="7"/>
      <c r="AH60" s="324">
        <f>COUNTA(AI58)</f>
        <v>1</v>
      </c>
      <c r="AI60" s="47"/>
      <c r="AJ60" s="47"/>
      <c r="AK60" s="45"/>
      <c r="AL60" s="84"/>
      <c r="AM60" s="47"/>
      <c r="AN60" s="47"/>
      <c r="AO60" s="45"/>
      <c r="AP60" s="47"/>
      <c r="AQ60" s="47"/>
      <c r="AR60" s="47"/>
      <c r="AS60" s="324">
        <f>COUNTA(AT58:AT60)</f>
        <v>3</v>
      </c>
      <c r="AT60" s="371">
        <f>AVERAGE(55.85,56.85)</f>
        <v>56.35</v>
      </c>
      <c r="AU60" s="121">
        <f>273.15+AT60</f>
        <v>329.5</v>
      </c>
      <c r="AV60" s="45" t="s">
        <v>2688</v>
      </c>
      <c r="AW60" s="47"/>
      <c r="AX60" s="47"/>
    </row>
    <row r="61" spans="1:50">
      <c r="A61" s="3"/>
      <c r="B61" s="4"/>
      <c r="C61" s="3"/>
      <c r="D61" s="4"/>
      <c r="E61" s="4"/>
      <c r="F61" s="3"/>
      <c r="G61" s="166"/>
      <c r="H61" s="4"/>
      <c r="I61" s="3"/>
      <c r="J61" s="4"/>
      <c r="K61" s="4"/>
      <c r="L61" s="3"/>
      <c r="M61" s="4"/>
      <c r="N61" s="4"/>
      <c r="O61" s="3"/>
      <c r="P61" s="4"/>
      <c r="Q61" s="4"/>
      <c r="R61" s="3"/>
      <c r="S61" s="9"/>
      <c r="T61" s="4"/>
      <c r="U61" s="79"/>
      <c r="V61" s="9"/>
      <c r="W61" s="45"/>
      <c r="X61" s="6"/>
      <c r="Y61" s="9"/>
      <c r="Z61" s="47"/>
      <c r="AA61" s="84"/>
      <c r="AB61" s="47"/>
      <c r="AC61" s="47"/>
      <c r="AD61" s="47"/>
      <c r="AE61" s="186"/>
      <c r="AF61" s="6"/>
      <c r="AG61" s="7"/>
      <c r="AH61" s="84"/>
      <c r="AI61" s="47"/>
      <c r="AJ61" s="47"/>
      <c r="AK61" s="45"/>
      <c r="AL61" s="84"/>
      <c r="AM61" s="47"/>
      <c r="AN61" s="47"/>
      <c r="AO61" s="45"/>
      <c r="AP61" s="47"/>
      <c r="AQ61" s="47"/>
      <c r="AR61" s="47"/>
      <c r="AS61" s="84"/>
      <c r="AT61" s="121"/>
      <c r="AU61" s="47"/>
      <c r="AV61" s="45"/>
      <c r="AW61" s="47"/>
      <c r="AX61" s="47"/>
    </row>
    <row r="62" spans="1:50" ht="18">
      <c r="A62" s="3" t="s">
        <v>30</v>
      </c>
      <c r="B62" s="4" t="s">
        <v>31</v>
      </c>
      <c r="C62" s="157">
        <f>AVERAGE(D62:D63)</f>
        <v>85.300000000000011</v>
      </c>
      <c r="D62" s="30">
        <v>83.9</v>
      </c>
      <c r="E62" s="30" t="s">
        <v>240</v>
      </c>
      <c r="F62" s="184">
        <f>G62</f>
        <v>23.077500195159161</v>
      </c>
      <c r="G62" s="166">
        <f>'Table S4 Conversions and Notes'!J167</f>
        <v>23.077500195159161</v>
      </c>
      <c r="H62" s="70" t="s">
        <v>1084</v>
      </c>
      <c r="I62" s="83"/>
      <c r="J62" s="70"/>
      <c r="K62" s="70"/>
      <c r="L62" s="191">
        <f>AVERAGE(M62:M63)</f>
        <v>71.349999999999994</v>
      </c>
      <c r="M62" s="70">
        <v>71.5</v>
      </c>
      <c r="N62" s="70" t="s">
        <v>240</v>
      </c>
      <c r="O62" s="78"/>
      <c r="P62" s="52"/>
      <c r="Q62" s="47"/>
      <c r="R62" s="322">
        <f>S62</f>
        <v>4.7093483459355143E-2</v>
      </c>
      <c r="S62" s="17">
        <f>'Table S4 Conversions and Notes'!J182</f>
        <v>4.7093483459355143E-2</v>
      </c>
      <c r="T62" s="47" t="s">
        <v>1428</v>
      </c>
      <c r="U62" s="145">
        <f>AVERAGE(V62:V63)</f>
        <v>7.9998604803912841</v>
      </c>
      <c r="V62" s="15">
        <v>7.8497209607825686</v>
      </c>
      <c r="W62" s="45" t="s">
        <v>256</v>
      </c>
      <c r="X62" s="75">
        <f>AVERAGE(Y62:Y63)</f>
        <v>5.6</v>
      </c>
      <c r="Y62" s="15">
        <v>5.3</v>
      </c>
      <c r="Z62" s="47" t="s">
        <v>307</v>
      </c>
      <c r="AA62" s="130">
        <f>AVERAGE(AC62)</f>
        <v>-1.8272184676928935</v>
      </c>
      <c r="AB62" s="47">
        <v>36.9</v>
      </c>
      <c r="AC62" s="17">
        <f>LOG(AB62/8.314/298.15)</f>
        <v>-1.8272184676928935</v>
      </c>
      <c r="AD62" s="47" t="s">
        <v>1703</v>
      </c>
      <c r="AE62" s="145">
        <f>AVERAGE(AF62:AF64)</f>
        <v>-1.2693282965604173</v>
      </c>
      <c r="AF62" s="15">
        <v>-1.2479848896812522</v>
      </c>
      <c r="AG62" s="45" t="s">
        <v>256</v>
      </c>
      <c r="AH62" s="188">
        <f>AVERAGE(AI62:AI64)</f>
        <v>-2.1382176364668095</v>
      </c>
      <c r="AI62" s="17">
        <f>LOG(AJ62/$B$63)</f>
        <v>-2.1948169685588343</v>
      </c>
      <c r="AJ62" s="47">
        <v>1.65</v>
      </c>
      <c r="AK62" s="45" t="s">
        <v>309</v>
      </c>
      <c r="AL62" s="84"/>
      <c r="AM62" s="47"/>
      <c r="AN62" s="47"/>
      <c r="AO62" s="45"/>
      <c r="AP62" s="47"/>
      <c r="AQ62" s="47"/>
      <c r="AR62" s="47"/>
      <c r="AS62" s="152">
        <v>-20</v>
      </c>
      <c r="AT62" s="121" t="s">
        <v>733</v>
      </c>
      <c r="AU62" s="47" t="s">
        <v>732</v>
      </c>
      <c r="AV62" s="45" t="s">
        <v>731</v>
      </c>
      <c r="AW62" s="47"/>
      <c r="AX62" s="47"/>
    </row>
    <row r="63" spans="1:50">
      <c r="A63" s="3"/>
      <c r="B63" s="171">
        <v>258.40499999999997</v>
      </c>
      <c r="C63" s="157">
        <f>_xlfn.STDEV.S(D62:D63)</f>
        <v>1.9798989873223309</v>
      </c>
      <c r="D63" s="9">
        <v>86.7</v>
      </c>
      <c r="E63" s="30" t="s">
        <v>206</v>
      </c>
      <c r="F63" s="184">
        <f>ABS(F62)*RSD_Unr</f>
        <v>6.9232500585477483</v>
      </c>
      <c r="G63" s="166"/>
      <c r="H63" s="4"/>
      <c r="I63" s="3"/>
      <c r="J63" s="4"/>
      <c r="K63" s="4"/>
      <c r="L63" s="191">
        <f>_xlfn.STDEV.S(M62:M63)</f>
        <v>0.21213203435596226</v>
      </c>
      <c r="M63" s="70">
        <v>71.2</v>
      </c>
      <c r="N63" s="70" t="s">
        <v>13</v>
      </c>
      <c r="O63" s="3"/>
      <c r="P63" s="4"/>
      <c r="Q63" s="4"/>
      <c r="R63" s="322">
        <f>RSD_Unr*R62</f>
        <v>1.4128045037806541E-2</v>
      </c>
      <c r="S63" s="9"/>
      <c r="T63" s="4"/>
      <c r="U63" s="182">
        <f>_xlfn.STDEV.S(V62:V63)</f>
        <v>0.21232934487882721</v>
      </c>
      <c r="V63" s="9">
        <v>8.15</v>
      </c>
      <c r="W63" s="45" t="s">
        <v>13</v>
      </c>
      <c r="X63" s="142">
        <f>_xlfn.STDEV.S(Y62:Y63)</f>
        <v>0.4242640687119289</v>
      </c>
      <c r="Y63" s="6">
        <v>5.9</v>
      </c>
      <c r="Z63" s="45" t="s">
        <v>308</v>
      </c>
      <c r="AA63" s="130">
        <f>ABS(AA62*RSD_Kaw)</f>
        <v>0.36544369353857875</v>
      </c>
      <c r="AB63" s="17"/>
      <c r="AC63" s="47"/>
      <c r="AD63" s="45"/>
      <c r="AE63" s="139">
        <f>_xlfn.STDEV.S(AF62:AF64)</f>
        <v>0.14121492754984227</v>
      </c>
      <c r="AF63" s="6">
        <v>-1.1399999999999999</v>
      </c>
      <c r="AG63" s="7" t="s">
        <v>205</v>
      </c>
      <c r="AH63" s="130">
        <f>_xlfn.STDEV.S(AI62:AI64)</f>
        <v>7.6970317000352298E-2</v>
      </c>
      <c r="AI63" s="17">
        <f>LOG(AJ63/$B$63)</f>
        <v>-2.1692628640864462</v>
      </c>
      <c r="AJ63" s="47">
        <v>1.75</v>
      </c>
      <c r="AK63" s="45" t="s">
        <v>310</v>
      </c>
      <c r="AL63" s="84"/>
      <c r="AM63" s="47"/>
      <c r="AN63" s="47"/>
      <c r="AO63" s="45"/>
      <c r="AP63" s="47"/>
      <c r="AQ63" s="47"/>
      <c r="AR63" s="47"/>
      <c r="AS63" s="150">
        <f>ABS(AS62*RSD_Unr)</f>
        <v>6</v>
      </c>
      <c r="AT63" s="192">
        <v>-5</v>
      </c>
      <c r="AU63" s="154">
        <f>273.15+AT63</f>
        <v>268.14999999999998</v>
      </c>
      <c r="AV63" s="155" t="s">
        <v>2640</v>
      </c>
      <c r="AW63" s="47"/>
      <c r="AX63" s="47"/>
    </row>
    <row r="64" spans="1:50" ht="18">
      <c r="A64" s="3"/>
      <c r="B64" s="4"/>
      <c r="C64" s="324">
        <f>COUNTA(D62:D64)</f>
        <v>2</v>
      </c>
      <c r="D64" s="9"/>
      <c r="E64" s="9"/>
      <c r="F64" s="324">
        <f>COUNTA(G62:G64)</f>
        <v>1</v>
      </c>
      <c r="G64" s="166"/>
      <c r="H64" s="4"/>
      <c r="I64" s="3"/>
      <c r="J64" s="4"/>
      <c r="K64" s="4"/>
      <c r="L64" s="324">
        <f>COUNTA(M62:M64)</f>
        <v>2</v>
      </c>
      <c r="M64" s="4"/>
      <c r="N64" s="4"/>
      <c r="O64" s="3"/>
      <c r="P64" s="4"/>
      <c r="Q64" s="4"/>
      <c r="R64" s="324">
        <f>COUNTA(S62:S64)</f>
        <v>1</v>
      </c>
      <c r="S64" s="9"/>
      <c r="T64" s="4"/>
      <c r="U64" s="324">
        <f>COUNTA(V62:V64)</f>
        <v>2</v>
      </c>
      <c r="V64" s="47"/>
      <c r="W64" s="45"/>
      <c r="X64" s="324">
        <f>COUNTA(Y62:Y63)</f>
        <v>2</v>
      </c>
      <c r="Y64" s="153">
        <f>'Table S4 Conversions and Notes'!$J$174</f>
        <v>7.2717491195706865</v>
      </c>
      <c r="Z64" s="155" t="s">
        <v>694</v>
      </c>
      <c r="AA64" s="324">
        <f>COUNTA(AB62)</f>
        <v>1</v>
      </c>
      <c r="AB64" s="47"/>
      <c r="AC64" s="47"/>
      <c r="AD64" s="45"/>
      <c r="AE64" s="324">
        <f>COUNTA(AF62:AF64)</f>
        <v>3</v>
      </c>
      <c r="AF64" s="6">
        <v>-1.42</v>
      </c>
      <c r="AG64" s="7" t="s">
        <v>699</v>
      </c>
      <c r="AH64" s="324">
        <f>COUNTA(AI62:AI64)</f>
        <v>3</v>
      </c>
      <c r="AI64" s="17">
        <f>LOG(AJ64/$B$63)</f>
        <v>-2.0505730767551476</v>
      </c>
      <c r="AJ64" s="47">
        <v>2.2999999999999998</v>
      </c>
      <c r="AK64" s="45" t="s">
        <v>311</v>
      </c>
      <c r="AL64" s="84"/>
      <c r="AM64" s="47"/>
      <c r="AN64" s="47"/>
      <c r="AO64" s="45"/>
      <c r="AP64" s="47"/>
      <c r="AQ64" s="47"/>
      <c r="AR64" s="47"/>
      <c r="AS64" s="324">
        <f>COUNTA(AT62)</f>
        <v>1</v>
      </c>
      <c r="AT64" s="121"/>
      <c r="AU64" s="47"/>
      <c r="AV64" s="45"/>
      <c r="AW64" s="47"/>
      <c r="AX64" s="47"/>
    </row>
    <row r="65" spans="1:50" ht="18">
      <c r="A65" s="3"/>
      <c r="B65" s="4"/>
      <c r="C65" s="44"/>
      <c r="D65" s="9"/>
      <c r="E65" s="9"/>
      <c r="F65" s="3"/>
      <c r="G65" s="166"/>
      <c r="H65" s="4"/>
      <c r="I65" s="3"/>
      <c r="J65" s="4"/>
      <c r="K65" s="4"/>
      <c r="L65" s="3"/>
      <c r="M65" s="4"/>
      <c r="N65" s="4"/>
      <c r="O65" s="3"/>
      <c r="P65" s="4"/>
      <c r="Q65" s="4"/>
      <c r="R65" s="3"/>
      <c r="S65" s="9"/>
      <c r="T65" s="4"/>
      <c r="U65" s="84"/>
      <c r="V65" s="47"/>
      <c r="W65" s="45"/>
      <c r="X65" s="47"/>
      <c r="Y65" s="47"/>
      <c r="Z65" s="45"/>
      <c r="AA65" s="47"/>
      <c r="AB65" s="47"/>
      <c r="AC65" s="47"/>
      <c r="AD65" s="45"/>
      <c r="AE65" s="167"/>
      <c r="AF65" s="6"/>
      <c r="AG65" s="7"/>
      <c r="AH65" s="84"/>
      <c r="AI65" s="154">
        <f>LOG(AJ65/$B$63)</f>
        <v>-3.1647914392553127</v>
      </c>
      <c r="AJ65" s="165">
        <f>'Table S4 Conversions and Notes'!J160</f>
        <v>0.17681107861397563</v>
      </c>
      <c r="AK65" s="155" t="s">
        <v>671</v>
      </c>
      <c r="AL65" s="84"/>
      <c r="AM65" s="47"/>
      <c r="AN65" s="47"/>
      <c r="AO65" s="45"/>
      <c r="AP65" s="47"/>
      <c r="AQ65" s="47"/>
      <c r="AR65" s="47"/>
      <c r="AS65" s="84"/>
      <c r="AT65" s="121"/>
      <c r="AU65" s="47"/>
      <c r="AV65" s="45"/>
      <c r="AW65" s="47"/>
      <c r="AX65" s="47"/>
    </row>
    <row r="66" spans="1:50">
      <c r="A66" s="91"/>
      <c r="B66" s="25" t="s">
        <v>20</v>
      </c>
      <c r="C66" s="91"/>
      <c r="D66" s="25"/>
      <c r="E66" s="25"/>
      <c r="F66" s="91"/>
      <c r="G66" s="166"/>
      <c r="H66" s="25"/>
      <c r="I66" s="91"/>
      <c r="J66" s="25"/>
      <c r="K66" s="25"/>
      <c r="L66" s="91"/>
      <c r="M66" s="25"/>
      <c r="N66" s="25"/>
      <c r="O66" s="91"/>
      <c r="P66" s="25"/>
      <c r="Q66" s="25"/>
      <c r="R66" s="91"/>
      <c r="S66" s="9"/>
      <c r="T66" s="25"/>
      <c r="U66" s="84"/>
      <c r="V66" s="47"/>
      <c r="W66" s="45"/>
      <c r="X66" s="47"/>
      <c r="Y66" s="47"/>
      <c r="Z66" s="45"/>
      <c r="AA66" s="47"/>
      <c r="AB66" s="47"/>
      <c r="AC66" s="47"/>
      <c r="AD66" s="45"/>
      <c r="AE66" s="167"/>
      <c r="AF66" s="133"/>
      <c r="AG66" s="98"/>
      <c r="AH66" s="84"/>
      <c r="AI66" s="47"/>
      <c r="AJ66" s="47"/>
      <c r="AK66" s="45"/>
      <c r="AL66" s="84"/>
      <c r="AM66" s="47"/>
      <c r="AN66" s="47"/>
      <c r="AO66" s="45"/>
      <c r="AP66" s="47"/>
      <c r="AQ66" s="47"/>
      <c r="AR66" s="47"/>
      <c r="AS66" s="84"/>
      <c r="AT66" s="121"/>
      <c r="AU66" s="47"/>
      <c r="AV66" s="45"/>
      <c r="AW66" s="47"/>
      <c r="AX66" s="47"/>
    </row>
    <row r="67" spans="1:50" ht="18">
      <c r="A67" s="12" t="s">
        <v>32</v>
      </c>
      <c r="B67" s="11" t="s">
        <v>33</v>
      </c>
      <c r="C67" s="157">
        <f>89.6</f>
        <v>89.6</v>
      </c>
      <c r="D67" s="30">
        <v>89.6</v>
      </c>
      <c r="E67" s="30" t="s">
        <v>241</v>
      </c>
      <c r="F67" s="184">
        <f>G67</f>
        <v>23.479493637232562</v>
      </c>
      <c r="G67" s="166">
        <f>'Table S4 Conversions and Notes'!J173</f>
        <v>23.479493637232562</v>
      </c>
      <c r="H67" s="70" t="s">
        <v>1085</v>
      </c>
      <c r="I67" s="83"/>
      <c r="J67" s="70"/>
      <c r="K67" s="70"/>
      <c r="L67" s="191">
        <f>AVERAGE(M67:M68)</f>
        <v>75.95</v>
      </c>
      <c r="M67" s="70">
        <v>77.2</v>
      </c>
      <c r="N67" s="70" t="s">
        <v>241</v>
      </c>
      <c r="O67" s="78"/>
      <c r="P67" s="52"/>
      <c r="Q67" s="47"/>
      <c r="R67" s="322">
        <f>S67</f>
        <v>4.0866040301091635</v>
      </c>
      <c r="S67" s="17">
        <f>'Table S4 Conversions and Notes'!$J$188</f>
        <v>4.0866040301091635</v>
      </c>
      <c r="T67" s="47" t="s">
        <v>1429</v>
      </c>
      <c r="U67" s="145">
        <f>AVERAGE(V67:V68)</f>
        <v>8.3924145244009445</v>
      </c>
      <c r="V67" s="15">
        <v>8.3048290488018903</v>
      </c>
      <c r="W67" s="45" t="s">
        <v>256</v>
      </c>
      <c r="X67" s="142">
        <f ca="1">Y67</f>
        <v>4.2666073372318234</v>
      </c>
      <c r="Y67" s="6">
        <f ca="1">'Table S4 Conversions and Notes'!$J$514</f>
        <v>4.2666073372318234</v>
      </c>
      <c r="Z67" s="49" t="s">
        <v>2545</v>
      </c>
      <c r="AA67" s="68"/>
      <c r="AB67" s="68"/>
      <c r="AC67" s="68"/>
      <c r="AD67" s="49"/>
      <c r="AE67" s="139">
        <f>AVERAGE(AF67:AF68)</f>
        <v>-1.9375421369556207</v>
      </c>
      <c r="AF67" s="15">
        <v>-1.7500383238860857</v>
      </c>
      <c r="AG67" s="45" t="s">
        <v>256</v>
      </c>
      <c r="AH67" s="130">
        <f ca="1">AVERAGE(AI67)</f>
        <v>-3.6798824238437673</v>
      </c>
      <c r="AI67" s="46">
        <f ca="1">LOG(AJ67/$B$68)</f>
        <v>-3.6798824238437673</v>
      </c>
      <c r="AJ67" s="17">
        <f ca="1">'Table S4 Conversions and Notes'!$J$511</f>
        <v>5.5652393859247855E-2</v>
      </c>
      <c r="AK67" s="45" t="s">
        <v>2537</v>
      </c>
      <c r="AL67" s="90"/>
      <c r="AM67" s="68"/>
      <c r="AN67" s="68"/>
      <c r="AO67" s="49"/>
      <c r="AP67" s="68"/>
      <c r="AQ67" s="68"/>
      <c r="AR67" s="68"/>
      <c r="AS67" s="164">
        <f>AVERAGE(AT67:AT68)</f>
        <v>135.5</v>
      </c>
      <c r="AT67" s="121">
        <v>136</v>
      </c>
      <c r="AU67" s="121">
        <f>273.15+AT67</f>
        <v>409.15</v>
      </c>
      <c r="AV67" s="45" t="s">
        <v>667</v>
      </c>
      <c r="AW67" s="47"/>
      <c r="AX67" s="47"/>
    </row>
    <row r="68" spans="1:50" ht="18" customHeight="1">
      <c r="A68" s="12"/>
      <c r="B68" s="171">
        <v>266.29700000000003</v>
      </c>
      <c r="C68" s="157">
        <f>C67*RSD_dHvap</f>
        <v>6.3941622948222268</v>
      </c>
      <c r="D68" s="11"/>
      <c r="E68" s="11"/>
      <c r="F68" s="184">
        <f>ABS(F67)*RSD_Unr</f>
        <v>7.0438480911697683</v>
      </c>
      <c r="G68" s="166"/>
      <c r="H68" s="11"/>
      <c r="I68" s="12"/>
      <c r="J68" s="11"/>
      <c r="K68" s="11"/>
      <c r="L68" s="191">
        <f>_xlfn.STDEV.S(M67:M68)</f>
        <v>1.7677669529663689</v>
      </c>
      <c r="M68" s="70">
        <v>74.7</v>
      </c>
      <c r="N68" s="70" t="s">
        <v>13</v>
      </c>
      <c r="O68" s="12"/>
      <c r="P68" s="11"/>
      <c r="Q68" s="11"/>
      <c r="R68" s="322">
        <f>RSD_Unr*R67</f>
        <v>1.2259812090327491</v>
      </c>
      <c r="S68" s="169"/>
      <c r="T68" s="11"/>
      <c r="U68" s="182">
        <f>_xlfn.STDEV.S(V67:V68)</f>
        <v>0.12386456745908143</v>
      </c>
      <c r="V68" s="9">
        <v>8.48</v>
      </c>
      <c r="W68" s="49" t="s">
        <v>13</v>
      </c>
      <c r="X68" s="168">
        <f ca="1">RSD_Kow*X67</f>
        <v>0.28923548768069834</v>
      </c>
      <c r="Y68" s="177">
        <f>'Table S4 Conversions and Notes'!$J$180</f>
        <v>5.2110181116887464</v>
      </c>
      <c r="Z68" s="155" t="s">
        <v>2579</v>
      </c>
      <c r="AA68" s="47"/>
      <c r="AB68" s="47"/>
      <c r="AC68" s="47"/>
      <c r="AD68" s="45"/>
      <c r="AE68" s="139">
        <f>_xlfn.STDEV.S(AF67:AF68)</f>
        <v>0.26517043543960583</v>
      </c>
      <c r="AF68" s="6">
        <v>-2.1250459500251555</v>
      </c>
      <c r="AG68" s="7" t="s">
        <v>699</v>
      </c>
      <c r="AH68" s="130">
        <f ca="1">ABS(AH67*RSD_SW)</f>
        <v>0.45503434353519046</v>
      </c>
      <c r="AI68" s="154">
        <f>LOG(AJ68/$B$68)</f>
        <v>-2.1820710670496797</v>
      </c>
      <c r="AJ68" s="183">
        <f>'Table S4 Conversions and Notes'!$J$166</f>
        <v>1.7510365317050125</v>
      </c>
      <c r="AK68" s="457" t="s">
        <v>2576</v>
      </c>
      <c r="AL68" s="84"/>
      <c r="AM68" s="47"/>
      <c r="AN68" s="47"/>
      <c r="AO68" s="45"/>
      <c r="AP68" s="47"/>
      <c r="AQ68" s="47"/>
      <c r="AR68" s="47"/>
      <c r="AS68" s="130">
        <f>_xlfn.STDEV.S(AT67:AT68)</f>
        <v>0.70710678118654757</v>
      </c>
      <c r="AT68" s="121">
        <v>135</v>
      </c>
      <c r="AU68" s="121">
        <f>273.15+AT68</f>
        <v>408.15</v>
      </c>
      <c r="AV68" s="45" t="s">
        <v>665</v>
      </c>
      <c r="AW68" s="47"/>
      <c r="AX68" s="47"/>
    </row>
    <row r="69" spans="1:50">
      <c r="A69" s="3"/>
      <c r="B69" s="4"/>
      <c r="C69" s="324">
        <f>COUNTA(D67:D69)</f>
        <v>1</v>
      </c>
      <c r="D69" s="4"/>
      <c r="E69" s="4"/>
      <c r="F69" s="324">
        <f>COUNTA(G67:G69)</f>
        <v>1</v>
      </c>
      <c r="G69" s="166"/>
      <c r="H69" s="4"/>
      <c r="I69" s="3"/>
      <c r="J69" s="4"/>
      <c r="K69" s="4"/>
      <c r="L69" s="324">
        <f>COUNTA(M67:M69)</f>
        <v>2</v>
      </c>
      <c r="M69" s="4"/>
      <c r="N69" s="4"/>
      <c r="O69" s="3"/>
      <c r="P69" s="4"/>
      <c r="Q69" s="4"/>
      <c r="R69" s="324">
        <f>COUNTA(S67:S69)</f>
        <v>1</v>
      </c>
      <c r="S69" s="9"/>
      <c r="T69" s="4"/>
      <c r="U69" s="324">
        <f>COUNTA(V67:V69)</f>
        <v>2</v>
      </c>
      <c r="V69" s="9"/>
      <c r="W69" s="45"/>
      <c r="X69" s="324">
        <f ca="1">COUNTA(Y67:Y67)</f>
        <v>1</v>
      </c>
      <c r="Z69" s="42"/>
      <c r="AA69" s="47"/>
      <c r="AB69" s="47"/>
      <c r="AC69" s="47"/>
      <c r="AD69" s="45"/>
      <c r="AE69" s="324">
        <f>COUNTA(AF67:AF69)</f>
        <v>2</v>
      </c>
      <c r="AF69" s="6"/>
      <c r="AG69" s="7"/>
      <c r="AH69" s="324">
        <f>COUNTA(AI68)</f>
        <v>1</v>
      </c>
      <c r="AL69" s="84"/>
      <c r="AM69" s="47"/>
      <c r="AN69" s="47"/>
      <c r="AO69" s="45"/>
      <c r="AP69" s="47"/>
      <c r="AQ69" s="47"/>
      <c r="AR69" s="47"/>
      <c r="AS69" s="324">
        <f>COUNTA(AT67:AT69)</f>
        <v>2</v>
      </c>
      <c r="AT69" s="121"/>
      <c r="AU69" s="47"/>
      <c r="AV69" s="45"/>
      <c r="AW69" s="47"/>
      <c r="AX69" s="47"/>
    </row>
    <row r="70" spans="1:50">
      <c r="A70" s="3"/>
      <c r="B70" s="4" t="s">
        <v>20</v>
      </c>
      <c r="C70" s="3"/>
      <c r="D70" s="4"/>
      <c r="E70" s="4"/>
      <c r="F70" s="3"/>
      <c r="G70" s="166"/>
      <c r="H70" s="4"/>
      <c r="I70" s="3"/>
      <c r="J70" s="4"/>
      <c r="K70" s="4"/>
      <c r="L70" s="3"/>
      <c r="M70" s="4"/>
      <c r="N70" s="4"/>
      <c r="O70" s="3"/>
      <c r="P70" s="4"/>
      <c r="Q70" s="4"/>
      <c r="R70" s="3"/>
      <c r="S70" s="9"/>
      <c r="T70" s="4"/>
      <c r="U70" s="84"/>
      <c r="V70" s="47"/>
      <c r="W70" s="45"/>
      <c r="X70" s="47"/>
      <c r="Y70" s="47"/>
      <c r="Z70" s="45"/>
      <c r="AA70" s="47"/>
      <c r="AB70" s="47"/>
      <c r="AC70" s="47"/>
      <c r="AD70" s="45"/>
      <c r="AE70" s="97"/>
      <c r="AF70" s="6"/>
      <c r="AG70" s="7"/>
      <c r="AH70" s="84"/>
      <c r="AI70" s="47"/>
      <c r="AJ70" s="47"/>
      <c r="AK70" s="45"/>
      <c r="AL70" s="84"/>
      <c r="AM70" s="47"/>
      <c r="AN70" s="47"/>
      <c r="AO70" s="45"/>
      <c r="AP70" s="47"/>
      <c r="AQ70" s="47"/>
      <c r="AR70" s="47"/>
      <c r="AS70" s="84"/>
      <c r="AT70" s="121"/>
      <c r="AU70" s="47"/>
      <c r="AV70" s="45"/>
      <c r="AW70" s="47"/>
      <c r="AX70" s="47"/>
    </row>
    <row r="71" spans="1:50">
      <c r="A71" s="3"/>
      <c r="B71" s="4" t="s">
        <v>20</v>
      </c>
      <c r="C71" s="3"/>
      <c r="D71" s="4"/>
      <c r="E71" s="4"/>
      <c r="F71" s="3"/>
      <c r="G71" s="166"/>
      <c r="H71" s="4"/>
      <c r="I71" s="3"/>
      <c r="J71" s="4"/>
      <c r="K71" s="4"/>
      <c r="L71" s="3"/>
      <c r="M71" s="4"/>
      <c r="N71" s="4"/>
      <c r="O71" s="3"/>
      <c r="P71" s="4"/>
      <c r="Q71" s="4"/>
      <c r="R71" s="3"/>
      <c r="S71" s="9"/>
      <c r="T71" s="4"/>
      <c r="U71" s="84"/>
      <c r="V71" s="47"/>
      <c r="W71" s="45"/>
      <c r="X71" s="47"/>
      <c r="Y71" s="47"/>
      <c r="Z71" s="45"/>
      <c r="AA71" s="47"/>
      <c r="AB71" s="47"/>
      <c r="AC71" s="47"/>
      <c r="AD71" s="45"/>
      <c r="AE71" s="97"/>
      <c r="AF71" s="6"/>
      <c r="AG71" s="7"/>
      <c r="AH71" s="84"/>
      <c r="AI71" s="47"/>
      <c r="AJ71" s="47"/>
      <c r="AK71" s="45"/>
      <c r="AL71" s="84"/>
      <c r="AM71" s="47"/>
      <c r="AN71" s="47"/>
      <c r="AO71" s="45"/>
      <c r="AP71" s="47"/>
      <c r="AQ71" s="47"/>
      <c r="AR71" s="47"/>
      <c r="AS71" s="84"/>
      <c r="AT71" s="121"/>
      <c r="AU71" s="47"/>
      <c r="AV71" s="45"/>
      <c r="AW71" s="47"/>
      <c r="AX71" s="47"/>
    </row>
    <row r="72" spans="1:50">
      <c r="A72" s="504" t="s">
        <v>34</v>
      </c>
      <c r="B72" s="504"/>
      <c r="C72" s="504"/>
      <c r="D72" s="504"/>
      <c r="E72" s="504"/>
      <c r="F72" s="504"/>
      <c r="G72" s="504"/>
      <c r="H72" s="504"/>
      <c r="I72" s="504"/>
      <c r="J72" s="504"/>
      <c r="K72" s="504"/>
      <c r="L72" s="504"/>
      <c r="M72" s="504"/>
      <c r="N72" s="504"/>
      <c r="O72" s="504"/>
      <c r="P72" s="504"/>
      <c r="Q72" s="504"/>
      <c r="R72" s="504"/>
      <c r="S72" s="504"/>
      <c r="T72" s="504"/>
      <c r="U72" s="504"/>
      <c r="V72" s="504"/>
      <c r="W72" s="504"/>
      <c r="X72" s="504"/>
      <c r="Y72" s="504"/>
      <c r="Z72" s="504"/>
      <c r="AA72" s="504"/>
      <c r="AB72" s="504"/>
      <c r="AC72" s="504"/>
      <c r="AD72" s="504"/>
      <c r="AE72" s="504"/>
      <c r="AF72" s="504"/>
      <c r="AG72" s="504"/>
      <c r="AH72" s="504"/>
      <c r="AI72" s="504"/>
      <c r="AJ72" s="504"/>
      <c r="AK72" s="504"/>
      <c r="AL72" s="504"/>
      <c r="AM72" s="504"/>
      <c r="AN72" s="504"/>
      <c r="AO72" s="504"/>
      <c r="AP72" s="504"/>
      <c r="AQ72" s="504"/>
      <c r="AR72" s="504"/>
      <c r="AS72" s="504"/>
      <c r="AT72" s="504"/>
      <c r="AU72" s="504"/>
      <c r="AV72" s="504"/>
      <c r="AW72" s="4"/>
      <c r="AX72" s="4"/>
    </row>
    <row r="73" spans="1:50" ht="18">
      <c r="A73" s="3" t="s">
        <v>35</v>
      </c>
      <c r="B73" s="4" t="s">
        <v>36</v>
      </c>
      <c r="C73" s="157">
        <f>75</f>
        <v>75</v>
      </c>
      <c r="D73" s="30">
        <v>75</v>
      </c>
      <c r="E73" s="30" t="s">
        <v>246</v>
      </c>
      <c r="F73" s="83"/>
      <c r="G73" s="70"/>
      <c r="H73" s="70"/>
      <c r="I73" s="83"/>
      <c r="J73" s="70"/>
      <c r="K73" s="70"/>
      <c r="L73" s="149">
        <f>M73</f>
        <v>50.2</v>
      </c>
      <c r="M73" s="70">
        <v>50.2</v>
      </c>
      <c r="N73" s="70" t="s">
        <v>246</v>
      </c>
      <c r="O73" s="78"/>
      <c r="P73" s="52"/>
      <c r="Q73" s="47"/>
      <c r="R73" s="78"/>
      <c r="S73" s="22"/>
      <c r="T73" s="47"/>
      <c r="U73" s="145">
        <f>V73</f>
        <v>6.7979039072356926</v>
      </c>
      <c r="V73" s="15">
        <v>6.7979039072356926</v>
      </c>
      <c r="W73" s="45" t="s">
        <v>256</v>
      </c>
      <c r="X73" s="50">
        <v>4.8600000000000003</v>
      </c>
      <c r="Y73" s="15" t="s">
        <v>327</v>
      </c>
      <c r="Z73" s="45" t="s">
        <v>743</v>
      </c>
      <c r="AA73" s="47"/>
      <c r="AB73" s="47"/>
      <c r="AC73" s="47"/>
      <c r="AD73" s="45"/>
      <c r="AE73" s="145">
        <f>AF73</f>
        <v>-0.96330666731063319</v>
      </c>
      <c r="AF73" s="15">
        <v>-0.96330666731063319</v>
      </c>
      <c r="AG73" s="45" t="s">
        <v>256</v>
      </c>
      <c r="AH73" s="130">
        <f>AVERAGE(AI73)</f>
        <v>-2.752123843199989</v>
      </c>
      <c r="AI73" s="17">
        <f>LOG(AJ73/B74)</f>
        <v>-2.752123843199989</v>
      </c>
      <c r="AJ73" s="193">
        <f>'Table S4 Conversions and Notes'!J79</f>
        <v>0.75703670537263834</v>
      </c>
      <c r="AK73" s="45" t="s">
        <v>746</v>
      </c>
      <c r="AL73" s="84"/>
      <c r="AM73" s="47"/>
      <c r="AN73" s="47"/>
      <c r="AO73" s="45"/>
      <c r="AP73" s="47"/>
      <c r="AQ73" s="47"/>
      <c r="AR73" s="47"/>
      <c r="AS73" s="164">
        <f>AVERAGE(AT73:AT74)</f>
        <v>75.400000000000006</v>
      </c>
      <c r="AT73" s="121">
        <f>AVERAGE(74,76)</f>
        <v>75</v>
      </c>
      <c r="AU73" s="121">
        <f>273.15+AT73</f>
        <v>348.15</v>
      </c>
      <c r="AV73" s="45" t="s">
        <v>744</v>
      </c>
      <c r="AW73" s="47"/>
      <c r="AX73" s="47"/>
    </row>
    <row r="74" spans="1:50" ht="18">
      <c r="A74" s="3"/>
      <c r="B74" s="171">
        <v>427.8</v>
      </c>
      <c r="C74" s="201">
        <f>C73*RSD_dHvap</f>
        <v>5.3522563851748552</v>
      </c>
      <c r="D74" s="4"/>
      <c r="E74" s="4"/>
      <c r="F74" s="3"/>
      <c r="G74" s="4"/>
      <c r="H74" s="4"/>
      <c r="I74" s="3"/>
      <c r="J74" s="4"/>
      <c r="K74" s="4"/>
      <c r="L74" s="145">
        <f>L73*RSD_dUoa</f>
        <v>3.1805758057700695</v>
      </c>
      <c r="M74" s="4"/>
      <c r="N74" s="4"/>
      <c r="O74" s="3"/>
      <c r="P74" s="4"/>
      <c r="Q74" s="4"/>
      <c r="R74" s="3"/>
      <c r="S74" s="4"/>
      <c r="T74" s="4"/>
      <c r="U74" s="182" cm="1">
        <f t="array" ref="U74">U73*RSD_Koa</f>
        <v>0.17503119318684157</v>
      </c>
      <c r="V74" s="47"/>
      <c r="W74" s="45"/>
      <c r="X74" s="22">
        <f>RSD_Unr*4.86</f>
        <v>1.458</v>
      </c>
      <c r="Y74" s="47"/>
      <c r="Z74" s="45"/>
      <c r="AA74" s="47"/>
      <c r="AB74" s="47"/>
      <c r="AC74" s="47"/>
      <c r="AD74" s="45"/>
      <c r="AE74" s="182">
        <f>ABS(AE73*RSD_PL)</f>
        <v>0.15284245128584373</v>
      </c>
      <c r="AF74" s="6"/>
      <c r="AG74" s="7"/>
      <c r="AH74" s="131">
        <f>ABS(AH73*RSD_SW)</f>
        <v>0.34031273885375107</v>
      </c>
      <c r="AI74" s="104"/>
      <c r="AJ74" s="47"/>
      <c r="AK74" s="45"/>
      <c r="AL74" s="84"/>
      <c r="AM74" s="47"/>
      <c r="AN74" s="47"/>
      <c r="AO74" s="45"/>
      <c r="AP74" s="47"/>
      <c r="AQ74" s="47"/>
      <c r="AR74" s="47"/>
      <c r="AS74" s="130">
        <f>_xlfn.STDEV.S(AT73:AT74)</f>
        <v>0.56568542494923602</v>
      </c>
      <c r="AT74" s="121">
        <f>AVERAGE(74,77.6)</f>
        <v>75.8</v>
      </c>
      <c r="AU74" s="121">
        <f>273.15+AT74</f>
        <v>348.95</v>
      </c>
      <c r="AV74" s="45" t="s">
        <v>745</v>
      </c>
      <c r="AW74" s="47"/>
      <c r="AX74" s="47"/>
    </row>
    <row r="75" spans="1:50">
      <c r="A75" s="3"/>
      <c r="B75" s="4"/>
      <c r="C75" s="324">
        <f>COUNTA(D73:D75)</f>
        <v>1</v>
      </c>
      <c r="D75" s="4"/>
      <c r="E75" s="4"/>
      <c r="F75" s="3"/>
      <c r="G75" s="4"/>
      <c r="H75" s="4"/>
      <c r="I75" s="3"/>
      <c r="J75" s="4"/>
      <c r="K75" s="4"/>
      <c r="L75" s="324">
        <f>COUNTA(M73:M75)</f>
        <v>1</v>
      </c>
      <c r="M75" s="4"/>
      <c r="N75" s="4"/>
      <c r="O75" s="3"/>
      <c r="P75" s="4"/>
      <c r="Q75" s="4"/>
      <c r="R75" s="3"/>
      <c r="S75" s="4"/>
      <c r="T75" s="4"/>
      <c r="U75" s="324">
        <f>COUNTA(V73:V75)</f>
        <v>1</v>
      </c>
      <c r="V75" s="47"/>
      <c r="W75" s="45"/>
      <c r="X75" s="324">
        <f>COUNTA(Y73:Y74)</f>
        <v>1</v>
      </c>
      <c r="Y75" s="47"/>
      <c r="Z75" s="45"/>
      <c r="AA75" s="47"/>
      <c r="AB75" s="47"/>
      <c r="AC75" s="47"/>
      <c r="AD75" s="45"/>
      <c r="AE75" s="324">
        <f>COUNTA(AF73:AF75)</f>
        <v>1</v>
      </c>
      <c r="AF75" s="6"/>
      <c r="AG75" s="7"/>
      <c r="AH75" s="324">
        <f>COUNTA(AI73)</f>
        <v>1</v>
      </c>
      <c r="AI75" s="131"/>
      <c r="AJ75" s="47"/>
      <c r="AK75" s="45"/>
      <c r="AL75" s="84"/>
      <c r="AM75" s="47"/>
      <c r="AN75" s="47"/>
      <c r="AO75" s="45"/>
      <c r="AP75" s="47"/>
      <c r="AQ75" s="47"/>
      <c r="AR75" s="47"/>
      <c r="AS75" s="324">
        <f>COUNTA(AT73:AT75)</f>
        <v>2</v>
      </c>
      <c r="AT75" s="121"/>
      <c r="AU75" s="47"/>
      <c r="AV75" s="45"/>
      <c r="AW75" s="47"/>
      <c r="AX75" s="47"/>
    </row>
    <row r="76" spans="1:50" ht="18">
      <c r="A76" s="3" t="s">
        <v>37</v>
      </c>
      <c r="B76" s="4" t="s">
        <v>38</v>
      </c>
      <c r="C76" s="157">
        <v>64.599999999999994</v>
      </c>
      <c r="D76" s="30">
        <v>64.599999999999994</v>
      </c>
      <c r="E76" s="30" t="s">
        <v>243</v>
      </c>
      <c r="F76" s="83"/>
      <c r="G76" s="70"/>
      <c r="H76" s="70"/>
      <c r="I76" s="83"/>
      <c r="J76" s="70"/>
      <c r="K76" s="70"/>
      <c r="L76" s="149">
        <f>M76</f>
        <v>52.3</v>
      </c>
      <c r="M76" s="70">
        <v>52.3</v>
      </c>
      <c r="N76" s="70" t="s">
        <v>243</v>
      </c>
      <c r="O76" s="78"/>
      <c r="P76" s="52"/>
      <c r="Q76" s="47"/>
      <c r="R76" s="78"/>
      <c r="S76" s="22"/>
      <c r="T76" s="47"/>
      <c r="U76" s="145">
        <f>V76</f>
        <v>7.4000524662295337</v>
      </c>
      <c r="V76" s="15">
        <v>7.4000524662295337</v>
      </c>
      <c r="W76" s="45" t="s">
        <v>256</v>
      </c>
      <c r="X76" s="15"/>
      <c r="Y76" s="15"/>
      <c r="Z76" s="45"/>
      <c r="AA76" s="47"/>
      <c r="AB76" s="47"/>
      <c r="AC76" s="47"/>
      <c r="AD76" s="45"/>
      <c r="AE76" s="145">
        <f>AF76</f>
        <v>-0.75193215432646821</v>
      </c>
      <c r="AF76" s="15">
        <v>-0.75193215432646821</v>
      </c>
      <c r="AG76" s="45" t="s">
        <v>256</v>
      </c>
      <c r="AH76" s="84"/>
      <c r="AI76" s="47"/>
      <c r="AJ76" s="47"/>
      <c r="AK76" s="45"/>
      <c r="AL76" s="84"/>
      <c r="AM76" s="47"/>
      <c r="AN76" s="47"/>
      <c r="AO76" s="45"/>
      <c r="AP76" s="47"/>
      <c r="AQ76" s="47"/>
      <c r="AR76" s="47"/>
      <c r="AS76" s="164">
        <f>AVERAGE(AT76:AT77)</f>
        <v>147.5</v>
      </c>
      <c r="AT76" s="121">
        <f>AVERAGE(147,148)</f>
        <v>147.5</v>
      </c>
      <c r="AU76" s="121">
        <f>273.15+AT76</f>
        <v>420.65</v>
      </c>
      <c r="AV76" s="45" t="s">
        <v>748</v>
      </c>
      <c r="AW76" s="47"/>
      <c r="AX76" s="47"/>
    </row>
    <row r="77" spans="1:50">
      <c r="A77" s="3"/>
      <c r="B77" s="171">
        <v>427.8</v>
      </c>
      <c r="C77" s="201">
        <f>C76*RSD_dHvap</f>
        <v>4.610076833097275</v>
      </c>
      <c r="D77" s="4"/>
      <c r="E77" s="4"/>
      <c r="F77" s="3"/>
      <c r="G77" s="4"/>
      <c r="H77" s="4"/>
      <c r="I77" s="3"/>
      <c r="J77" s="4"/>
      <c r="K77" s="4"/>
      <c r="L77" s="145">
        <f>L76*RSD_dUoa</f>
        <v>3.3136277817086577</v>
      </c>
      <c r="M77" s="4"/>
      <c r="N77" s="4"/>
      <c r="O77" s="3"/>
      <c r="P77" s="4"/>
      <c r="Q77" s="4"/>
      <c r="R77" s="3"/>
      <c r="S77" s="4"/>
      <c r="T77" s="4"/>
      <c r="U77" s="182" cm="1">
        <f t="array" ref="U77">U76*RSD_Koa</f>
        <v>0.19053520474608812</v>
      </c>
      <c r="V77" s="47"/>
      <c r="W77" s="45"/>
      <c r="X77" s="47"/>
      <c r="Y77" s="47"/>
      <c r="Z77" s="45"/>
      <c r="AA77" s="47"/>
      <c r="AB77" s="47"/>
      <c r="AC77" s="47"/>
      <c r="AD77" s="45"/>
      <c r="AE77" s="182">
        <f>ABS(AE76*RSD_PL)</f>
        <v>0.11930484607643922</v>
      </c>
      <c r="AF77" s="6"/>
      <c r="AG77" s="7"/>
      <c r="AH77" s="84"/>
      <c r="AI77" s="47"/>
      <c r="AJ77" s="47"/>
      <c r="AK77" s="45"/>
      <c r="AL77" s="84"/>
      <c r="AM77" s="47"/>
      <c r="AN77" s="47"/>
      <c r="AO77" s="45"/>
      <c r="AP77" s="47"/>
      <c r="AQ77" s="47"/>
      <c r="AR77" s="47"/>
      <c r="AS77" s="129">
        <f>AS76*RSD_Unr</f>
        <v>44.25</v>
      </c>
      <c r="AT77" s="121"/>
      <c r="AU77" s="47"/>
      <c r="AV77" s="45"/>
      <c r="AW77" s="47"/>
      <c r="AX77" s="47"/>
    </row>
    <row r="78" spans="1:50">
      <c r="A78" s="3"/>
      <c r="B78" s="4"/>
      <c r="C78" s="324">
        <f>COUNTA(D76:D78)</f>
        <v>1</v>
      </c>
      <c r="D78" s="4"/>
      <c r="E78" s="4"/>
      <c r="F78" s="3"/>
      <c r="G78" s="4"/>
      <c r="H78" s="4"/>
      <c r="I78" s="3"/>
      <c r="J78" s="4"/>
      <c r="K78" s="4"/>
      <c r="L78" s="324">
        <f>COUNTA(M76:M78)</f>
        <v>1</v>
      </c>
      <c r="M78" s="4"/>
      <c r="N78" s="4"/>
      <c r="O78" s="3"/>
      <c r="P78" s="4"/>
      <c r="Q78" s="4"/>
      <c r="R78" s="3"/>
      <c r="S78" s="4"/>
      <c r="T78" s="4"/>
      <c r="U78" s="324">
        <f>COUNTA(V76:V78)</f>
        <v>1</v>
      </c>
      <c r="V78" s="47"/>
      <c r="W78" s="45"/>
      <c r="X78" s="47"/>
      <c r="Y78" s="47"/>
      <c r="Z78" s="45"/>
      <c r="AA78" s="47"/>
      <c r="AB78" s="47"/>
      <c r="AC78" s="47"/>
      <c r="AD78" s="45"/>
      <c r="AE78" s="324">
        <f>COUNTA(AF76:AF78)</f>
        <v>1</v>
      </c>
      <c r="AF78" s="6"/>
      <c r="AG78" s="7"/>
      <c r="AH78" s="84"/>
      <c r="AI78" s="47"/>
      <c r="AJ78" s="47"/>
      <c r="AK78" s="45"/>
      <c r="AL78" s="84"/>
      <c r="AM78" s="47"/>
      <c r="AN78" s="47"/>
      <c r="AO78" s="45"/>
      <c r="AP78" s="47"/>
      <c r="AQ78" s="47"/>
      <c r="AR78" s="47"/>
      <c r="AS78" s="324">
        <f>COUNTA(AT76:AT78)</f>
        <v>1</v>
      </c>
      <c r="AT78" s="121"/>
      <c r="AU78" s="47"/>
      <c r="AV78" s="45"/>
      <c r="AW78" s="47"/>
      <c r="AX78" s="47"/>
    </row>
    <row r="79" spans="1:50">
      <c r="A79" s="3" t="s">
        <v>39</v>
      </c>
      <c r="B79" s="4" t="s">
        <v>40</v>
      </c>
      <c r="C79" s="157">
        <v>61.6</v>
      </c>
      <c r="D79" s="30">
        <v>61.6</v>
      </c>
      <c r="E79" s="30" t="s">
        <v>247</v>
      </c>
      <c r="F79" s="83"/>
      <c r="G79" s="70"/>
      <c r="H79" s="70"/>
      <c r="I79" s="83"/>
      <c r="J79" s="70"/>
      <c r="K79" s="70"/>
      <c r="L79" s="149">
        <f>M79</f>
        <v>60.8</v>
      </c>
      <c r="M79" s="70">
        <v>60.8</v>
      </c>
      <c r="N79" s="70" t="s">
        <v>247</v>
      </c>
      <c r="O79" s="78"/>
      <c r="P79" s="52"/>
      <c r="Q79" s="47"/>
      <c r="R79" s="78"/>
      <c r="S79" s="22"/>
      <c r="T79" s="47"/>
      <c r="U79" s="145">
        <f>V79</f>
        <v>8.2998774637940009</v>
      </c>
      <c r="V79" s="15">
        <v>8.2998774637940009</v>
      </c>
      <c r="W79" s="45" t="s">
        <v>256</v>
      </c>
      <c r="X79" s="15"/>
      <c r="Y79" s="15"/>
      <c r="Z79" s="45"/>
      <c r="AA79" s="47"/>
      <c r="AB79" s="47"/>
      <c r="AC79" s="47"/>
      <c r="AD79" s="45"/>
      <c r="AE79" s="145">
        <f>AF79</f>
        <v>-1.4783758762335981</v>
      </c>
      <c r="AF79" s="15">
        <v>-1.4783758762335981</v>
      </c>
      <c r="AG79" s="45" t="s">
        <v>256</v>
      </c>
      <c r="AH79" s="84"/>
      <c r="AI79" s="47"/>
      <c r="AJ79" s="47"/>
      <c r="AK79" s="45"/>
      <c r="AL79" s="84"/>
      <c r="AM79" s="47"/>
      <c r="AN79" s="47"/>
      <c r="AO79" s="45"/>
      <c r="AP79" s="47"/>
      <c r="AQ79" s="47"/>
      <c r="AR79" s="47"/>
      <c r="AS79" s="129">
        <f>AVERAGE(AT79:AT81)</f>
        <v>159.66666666666666</v>
      </c>
      <c r="AT79" s="121">
        <v>161</v>
      </c>
      <c r="AU79" s="121">
        <f>273.15+AT79</f>
        <v>434.15</v>
      </c>
      <c r="AV79" s="45" t="s">
        <v>749</v>
      </c>
      <c r="AW79" s="47"/>
      <c r="AX79" s="47"/>
    </row>
    <row r="80" spans="1:50" ht="18">
      <c r="A80" s="3"/>
      <c r="B80" s="171">
        <v>472.59399999999999</v>
      </c>
      <c r="C80" s="201">
        <f>C79*RSD_dHvap</f>
        <v>4.3959865776902811</v>
      </c>
      <c r="D80" s="4"/>
      <c r="E80" s="4"/>
      <c r="F80" s="3"/>
      <c r="G80" s="4"/>
      <c r="H80" s="4"/>
      <c r="I80" s="3"/>
      <c r="J80" s="4"/>
      <c r="K80" s="4"/>
      <c r="L80" s="145">
        <f>L79*RSD_dUoa</f>
        <v>3.8521714938410399</v>
      </c>
      <c r="M80" s="4"/>
      <c r="N80" s="4"/>
      <c r="O80" s="3"/>
      <c r="P80" s="4"/>
      <c r="Q80" s="4"/>
      <c r="R80" s="3"/>
      <c r="S80" s="4"/>
      <c r="T80" s="4"/>
      <c r="U80" s="182" cm="1">
        <f t="array" ref="U80">U79*RSD_Koa</f>
        <v>0.21370373509489388</v>
      </c>
      <c r="V80" s="47"/>
      <c r="W80" s="45"/>
      <c r="X80" s="47"/>
      <c r="Y80" s="47"/>
      <c r="Z80" s="45"/>
      <c r="AA80" s="47"/>
      <c r="AB80" s="47"/>
      <c r="AC80" s="47"/>
      <c r="AD80" s="45"/>
      <c r="AE80" s="182">
        <f>ABS(AE79*RSD_PL)</f>
        <v>0.2345655859273072</v>
      </c>
      <c r="AF80" s="6"/>
      <c r="AG80" s="7"/>
      <c r="AH80" s="84"/>
      <c r="AI80" s="47"/>
      <c r="AJ80" s="47"/>
      <c r="AK80" s="45"/>
      <c r="AL80" s="84"/>
      <c r="AM80" s="47"/>
      <c r="AN80" s="47"/>
      <c r="AO80" s="45"/>
      <c r="AP80" s="47"/>
      <c r="AQ80" s="47"/>
      <c r="AR80" s="47"/>
      <c r="AS80" s="130">
        <f>_xlfn.STDEV.S(AT79:AT81)</f>
        <v>1.2583057392117916</v>
      </c>
      <c r="AT80" s="121">
        <f>AVERAGE(159,160)</f>
        <v>159.5</v>
      </c>
      <c r="AU80" s="121">
        <f>273.15+AT80</f>
        <v>432.65</v>
      </c>
      <c r="AV80" s="45" t="s">
        <v>763</v>
      </c>
      <c r="AW80" s="47"/>
      <c r="AX80" s="47"/>
    </row>
    <row r="81" spans="1:50" ht="18">
      <c r="A81" s="3"/>
      <c r="B81" s="4"/>
      <c r="C81" s="324">
        <f>COUNTA(D79:D81)</f>
        <v>1</v>
      </c>
      <c r="D81" s="4"/>
      <c r="E81" s="4"/>
      <c r="F81" s="3"/>
      <c r="G81" s="4"/>
      <c r="H81" s="4"/>
      <c r="I81" s="3"/>
      <c r="J81" s="4"/>
      <c r="K81" s="4"/>
      <c r="L81" s="324">
        <f>COUNTA(M79:M81)</f>
        <v>1</v>
      </c>
      <c r="M81" s="4"/>
      <c r="N81" s="4"/>
      <c r="O81" s="3"/>
      <c r="P81" s="4"/>
      <c r="Q81" s="4"/>
      <c r="R81" s="3"/>
      <c r="S81" s="4"/>
      <c r="T81" s="4"/>
      <c r="U81" s="324">
        <f>COUNTA(V79:V81)</f>
        <v>1</v>
      </c>
      <c r="V81" s="47"/>
      <c r="W81" s="45"/>
      <c r="X81" s="47"/>
      <c r="Y81" s="47"/>
      <c r="Z81" s="45"/>
      <c r="AA81" s="47"/>
      <c r="AB81" s="47"/>
      <c r="AC81" s="47"/>
      <c r="AD81" s="45"/>
      <c r="AE81" s="324">
        <f>COUNTA(AF79:AF81)</f>
        <v>1</v>
      </c>
      <c r="AF81" s="6"/>
      <c r="AG81" s="7"/>
      <c r="AH81" s="84"/>
      <c r="AI81" s="47"/>
      <c r="AJ81" s="47"/>
      <c r="AK81" s="45"/>
      <c r="AL81" s="84"/>
      <c r="AM81" s="47"/>
      <c r="AN81" s="47"/>
      <c r="AO81" s="45"/>
      <c r="AP81" s="47"/>
      <c r="AQ81" s="47"/>
      <c r="AR81" s="47"/>
      <c r="AS81" s="324">
        <f>COUNTA(AT79:AT81)</f>
        <v>3</v>
      </c>
      <c r="AT81" s="121">
        <f>AVERAGE(159,158)</f>
        <v>158.5</v>
      </c>
      <c r="AU81" s="121">
        <f>273.15+AT81</f>
        <v>431.65</v>
      </c>
      <c r="AV81" s="45" t="s">
        <v>764</v>
      </c>
      <c r="AW81" s="47"/>
      <c r="AX81" s="47"/>
    </row>
    <row r="82" spans="1:50">
      <c r="A82" s="3"/>
      <c r="B82" s="4"/>
      <c r="C82" s="3"/>
      <c r="D82" s="4"/>
      <c r="E82" s="4"/>
      <c r="F82" s="3"/>
      <c r="G82" s="4"/>
      <c r="H82" s="4"/>
      <c r="I82" s="3"/>
      <c r="J82" s="4"/>
      <c r="K82" s="4"/>
      <c r="L82" s="3"/>
      <c r="M82" s="4"/>
      <c r="N82" s="4"/>
      <c r="O82" s="3"/>
      <c r="P82" s="4"/>
      <c r="Q82" s="4"/>
      <c r="R82" s="3"/>
      <c r="S82" s="4"/>
      <c r="T82" s="4"/>
      <c r="U82" s="84"/>
      <c r="V82" s="47"/>
      <c r="W82" s="45"/>
      <c r="X82" s="47"/>
      <c r="Y82" s="47"/>
      <c r="Z82" s="45"/>
      <c r="AA82" s="47"/>
      <c r="AB82" s="47"/>
      <c r="AC82" s="47"/>
      <c r="AD82" s="45"/>
      <c r="AE82" s="5"/>
      <c r="AF82" s="6"/>
      <c r="AG82" s="7"/>
      <c r="AH82" s="84"/>
      <c r="AI82" s="47"/>
      <c r="AJ82" s="47"/>
      <c r="AK82" s="45"/>
      <c r="AL82" s="84"/>
      <c r="AM82" s="47"/>
      <c r="AN82" s="47"/>
      <c r="AO82" s="45"/>
      <c r="AP82" s="47"/>
      <c r="AQ82" s="47"/>
      <c r="AR82" s="47"/>
      <c r="AS82" s="84"/>
      <c r="AT82" s="121"/>
      <c r="AU82" s="47"/>
      <c r="AV82" s="45"/>
      <c r="AW82" s="47"/>
      <c r="AX82" s="47"/>
    </row>
    <row r="83" spans="1:50">
      <c r="A83" s="3" t="s">
        <v>41</v>
      </c>
      <c r="B83" s="4" t="s">
        <v>42</v>
      </c>
      <c r="C83" s="157">
        <v>78.3</v>
      </c>
      <c r="D83" s="30">
        <v>78.3</v>
      </c>
      <c r="E83" s="30" t="s">
        <v>248</v>
      </c>
      <c r="F83" s="83"/>
      <c r="G83" s="70"/>
      <c r="H83" s="70"/>
      <c r="I83" s="83"/>
      <c r="J83" s="70"/>
      <c r="K83" s="70"/>
      <c r="L83" s="149">
        <f>M83</f>
        <v>77</v>
      </c>
      <c r="M83" s="70">
        <v>77</v>
      </c>
      <c r="N83" s="70" t="s">
        <v>248</v>
      </c>
      <c r="O83" s="78"/>
      <c r="P83" s="52"/>
      <c r="Q83" s="47"/>
      <c r="R83" s="78"/>
      <c r="S83" s="22"/>
      <c r="T83" s="47"/>
      <c r="U83" s="130">
        <f>AVERAGE(V83:V84)</f>
        <v>9.3461858616439955</v>
      </c>
      <c r="V83" s="15">
        <v>9.2623717232879912</v>
      </c>
      <c r="W83" s="45" t="s">
        <v>256</v>
      </c>
      <c r="X83" s="15"/>
      <c r="Y83" s="15"/>
      <c r="Z83" s="45"/>
      <c r="AA83" s="47"/>
      <c r="AB83" s="47"/>
      <c r="AC83" s="47"/>
      <c r="AD83" s="45"/>
      <c r="AE83" s="145">
        <f>AVERAGE(AF83:AF84)</f>
        <v>-2.8450767105888928</v>
      </c>
      <c r="AF83" s="15">
        <v>-2.5401534211777856</v>
      </c>
      <c r="AG83" s="45" t="s">
        <v>256</v>
      </c>
      <c r="AH83" s="84"/>
      <c r="AI83" s="47"/>
      <c r="AJ83" s="47"/>
      <c r="AK83" s="45"/>
      <c r="AL83" s="84"/>
      <c r="AM83" s="47"/>
      <c r="AN83" s="47"/>
      <c r="AO83" s="45"/>
      <c r="AP83" s="150">
        <f>AQ83</f>
        <v>32.770848618244074</v>
      </c>
      <c r="AQ83" s="17">
        <f>13.4/AU85*1000</f>
        <v>32.770848618244074</v>
      </c>
      <c r="AR83" s="45" t="s">
        <v>772</v>
      </c>
      <c r="AS83" s="164">
        <f>AVERAGE(AT83:AT85)</f>
        <v>137.16666666666666</v>
      </c>
      <c r="AT83" s="121">
        <v>138</v>
      </c>
      <c r="AU83" s="121">
        <f>273.15+AT83</f>
        <v>411.15</v>
      </c>
      <c r="AV83" s="45" t="s">
        <v>765</v>
      </c>
      <c r="AW83" s="47"/>
      <c r="AX83" s="47"/>
    </row>
    <row r="84" spans="1:50" ht="18">
      <c r="A84" s="3"/>
      <c r="B84" s="171">
        <v>500.64800000000002</v>
      </c>
      <c r="C84" s="201">
        <f>C83*RSD_dHvap</f>
        <v>5.5877556661225487</v>
      </c>
      <c r="D84" s="30"/>
      <c r="E84" s="30"/>
      <c r="F84" s="83"/>
      <c r="G84" s="70"/>
      <c r="H84" s="70"/>
      <c r="I84" s="83"/>
      <c r="J84" s="70"/>
      <c r="K84" s="70"/>
      <c r="L84" s="145">
        <f>L83*RSD_dUoa</f>
        <v>4.8785724510815802</v>
      </c>
      <c r="M84" s="70"/>
      <c r="N84" s="70"/>
      <c r="O84" s="78"/>
      <c r="P84" s="52"/>
      <c r="Q84" s="47"/>
      <c r="R84" s="78"/>
      <c r="S84" s="22"/>
      <c r="T84" s="47"/>
      <c r="U84" s="130">
        <f>_xlfn.STDEV.S(V83:V84)</f>
        <v>0.11853109118167626</v>
      </c>
      <c r="V84" s="9">
        <v>9.43</v>
      </c>
      <c r="W84" s="45" t="s">
        <v>43</v>
      </c>
      <c r="X84" s="9"/>
      <c r="Y84" s="9"/>
      <c r="Z84" s="45"/>
      <c r="AA84" s="47"/>
      <c r="AB84" s="47"/>
      <c r="AC84" s="47"/>
      <c r="AD84" s="45"/>
      <c r="AE84" s="195">
        <f>_xlfn.STDEV.S(AF83:AF84)</f>
        <v>0.43122665136860511</v>
      </c>
      <c r="AF84" s="134">
        <v>-3.15</v>
      </c>
      <c r="AG84" s="65" t="s">
        <v>181</v>
      </c>
      <c r="AH84" s="84"/>
      <c r="AI84" s="47"/>
      <c r="AJ84" s="47"/>
      <c r="AK84" s="45"/>
      <c r="AL84" s="84"/>
      <c r="AM84" s="47"/>
      <c r="AN84" s="47"/>
      <c r="AO84" s="45"/>
      <c r="AP84" s="130">
        <f>AP83*RSD_dSf</f>
        <v>2.5829860323335803</v>
      </c>
      <c r="AQ84" s="17"/>
      <c r="AR84" s="47"/>
      <c r="AS84" s="130">
        <f>_xlfn.STDEV.S(AT83:AT85)</f>
        <v>1.2332207155790618</v>
      </c>
      <c r="AT84" s="121">
        <f>AVERAGE(137,138.5)</f>
        <v>137.75</v>
      </c>
      <c r="AU84" s="121">
        <f>273.15+AT84</f>
        <v>410.9</v>
      </c>
      <c r="AV84" s="45" t="s">
        <v>1648</v>
      </c>
      <c r="AW84" s="47"/>
      <c r="AX84" s="47"/>
    </row>
    <row r="85" spans="1:50">
      <c r="A85" s="3"/>
      <c r="B85" s="4"/>
      <c r="C85" s="324">
        <f>COUNTA(D83:D85)</f>
        <v>1</v>
      </c>
      <c r="D85" s="30"/>
      <c r="E85" s="30"/>
      <c r="F85" s="83"/>
      <c r="G85" s="70"/>
      <c r="H85" s="70"/>
      <c r="I85" s="83"/>
      <c r="J85" s="70"/>
      <c r="K85" s="70"/>
      <c r="L85" s="324">
        <f>COUNTA(M83:M85)</f>
        <v>1</v>
      </c>
      <c r="M85" s="70"/>
      <c r="N85" s="70"/>
      <c r="O85" s="78"/>
      <c r="P85" s="52"/>
      <c r="Q85" s="47"/>
      <c r="R85" s="78"/>
      <c r="S85" s="22"/>
      <c r="T85" s="47"/>
      <c r="U85" s="324">
        <f>COUNTA(V83:V85)</f>
        <v>2</v>
      </c>
      <c r="V85" s="9"/>
      <c r="W85" s="45"/>
      <c r="X85" s="9"/>
      <c r="Y85" s="9"/>
      <c r="Z85" s="45"/>
      <c r="AA85" s="47"/>
      <c r="AB85" s="47"/>
      <c r="AC85" s="47"/>
      <c r="AD85" s="45"/>
      <c r="AE85" s="324">
        <f>COUNTA(AF83:AF85)</f>
        <v>2</v>
      </c>
      <c r="AF85" s="134"/>
      <c r="AG85" s="65"/>
      <c r="AH85" s="84"/>
      <c r="AI85" s="47"/>
      <c r="AJ85" s="47"/>
      <c r="AK85" s="45"/>
      <c r="AL85" s="84"/>
      <c r="AM85" s="47"/>
      <c r="AN85" s="47"/>
      <c r="AO85" s="45"/>
      <c r="AP85" s="324">
        <f>COUNTA(AQ83:AQ85)</f>
        <v>1</v>
      </c>
      <c r="AQ85" s="17"/>
      <c r="AR85" s="47"/>
      <c r="AS85" s="324">
        <f>COUNTA(AT83:AT85)</f>
        <v>3</v>
      </c>
      <c r="AT85" s="107">
        <f>AU85-273.15</f>
        <v>135.75</v>
      </c>
      <c r="AU85" s="47">
        <v>408.9</v>
      </c>
      <c r="AV85" s="45" t="s">
        <v>772</v>
      </c>
      <c r="AW85" s="47"/>
      <c r="AX85" s="47"/>
    </row>
    <row r="86" spans="1:50">
      <c r="A86" s="3"/>
      <c r="B86" s="4" t="s">
        <v>20</v>
      </c>
      <c r="C86" s="3"/>
      <c r="D86" s="4"/>
      <c r="E86" s="4"/>
      <c r="F86" s="3"/>
      <c r="G86" s="4"/>
      <c r="H86" s="4"/>
      <c r="I86" s="3"/>
      <c r="J86" s="4"/>
      <c r="K86" s="4"/>
      <c r="L86" s="3"/>
      <c r="M86" s="4"/>
      <c r="N86" s="4"/>
      <c r="O86" s="3"/>
      <c r="P86" s="4"/>
      <c r="Q86" s="4"/>
      <c r="R86" s="3"/>
      <c r="S86" s="4"/>
      <c r="T86" s="4"/>
      <c r="U86" s="84"/>
      <c r="V86" s="47"/>
      <c r="W86" s="45"/>
      <c r="X86" s="47"/>
      <c r="Y86" s="47"/>
      <c r="Z86" s="45"/>
      <c r="AA86" s="47"/>
      <c r="AB86" s="47"/>
      <c r="AC86" s="47"/>
      <c r="AD86" s="45"/>
      <c r="AE86" s="86"/>
      <c r="AF86" s="134"/>
      <c r="AG86" s="65"/>
      <c r="AH86" s="84"/>
      <c r="AI86" s="47"/>
      <c r="AJ86" s="47"/>
      <c r="AK86" s="45"/>
      <c r="AL86" s="84"/>
      <c r="AM86" s="47"/>
      <c r="AN86" s="47"/>
      <c r="AO86" s="45"/>
      <c r="AP86" s="47"/>
      <c r="AQ86" s="17"/>
      <c r="AR86" s="47"/>
      <c r="AS86" s="84"/>
      <c r="AT86" s="121"/>
      <c r="AU86" s="47"/>
      <c r="AV86" s="45"/>
      <c r="AW86" s="47"/>
      <c r="AX86" s="47"/>
    </row>
    <row r="87" spans="1:50">
      <c r="A87" s="3" t="s">
        <v>44</v>
      </c>
      <c r="B87" s="4" t="s">
        <v>45</v>
      </c>
      <c r="C87" s="157">
        <f>AVERAGE(65.5,99.7)</f>
        <v>82.6</v>
      </c>
      <c r="D87" s="30">
        <v>65.5</v>
      </c>
      <c r="E87" s="30" t="s">
        <v>249</v>
      </c>
      <c r="F87" s="83"/>
      <c r="G87" s="70"/>
      <c r="H87" s="70"/>
      <c r="I87" s="83"/>
      <c r="J87" s="70"/>
      <c r="K87" s="70"/>
      <c r="L87" s="149">
        <f>M87</f>
        <v>77.2</v>
      </c>
      <c r="M87" s="70">
        <v>77.2</v>
      </c>
      <c r="N87" s="70" t="s">
        <v>249</v>
      </c>
      <c r="O87" s="78"/>
      <c r="P87" s="52"/>
      <c r="Q87" s="47"/>
      <c r="R87" s="78"/>
      <c r="S87" s="22"/>
      <c r="T87" s="47"/>
      <c r="U87" s="145">
        <f>V87</f>
        <v>8.7698145846704172</v>
      </c>
      <c r="V87" s="15">
        <v>8.7698145846704172</v>
      </c>
      <c r="W87" s="45" t="s">
        <v>256</v>
      </c>
      <c r="X87" s="15"/>
      <c r="Y87" s="15"/>
      <c r="Z87" s="45"/>
      <c r="AA87" s="47"/>
      <c r="AB87" s="47"/>
      <c r="AC87" s="47"/>
      <c r="AD87" s="45"/>
      <c r="AE87" s="145">
        <f>AVERAGE(AF87:AF88)</f>
        <v>-3.8123009188630648</v>
      </c>
      <c r="AF87" s="15">
        <v>-3.5646018377261299</v>
      </c>
      <c r="AG87" s="45" t="s">
        <v>256</v>
      </c>
      <c r="AH87" s="84"/>
      <c r="AI87" s="47"/>
      <c r="AJ87" s="47"/>
      <c r="AK87" s="45"/>
      <c r="AL87" s="84"/>
      <c r="AM87" s="47"/>
      <c r="AN87" s="47"/>
      <c r="AO87" s="45"/>
      <c r="AP87" s="130">
        <f>AQ87</f>
        <v>8.1606630538731277</v>
      </c>
      <c r="AQ87" s="17">
        <f>2.56/AU87*1000</f>
        <v>8.1606630538731277</v>
      </c>
      <c r="AR87" s="45" t="s">
        <v>772</v>
      </c>
      <c r="AS87" s="164">
        <f>AVERAGE(AT87:AT88)</f>
        <v>40.550000000000011</v>
      </c>
      <c r="AT87" s="107">
        <f>AU87-273.15</f>
        <v>40.550000000000011</v>
      </c>
      <c r="AU87" s="47">
        <v>313.7</v>
      </c>
      <c r="AV87" s="45" t="s">
        <v>772</v>
      </c>
      <c r="AW87" s="47"/>
      <c r="AX87" s="47"/>
    </row>
    <row r="88" spans="1:50">
      <c r="A88" s="3"/>
      <c r="B88" s="171">
        <v>530.67399999999998</v>
      </c>
      <c r="C88" s="194">
        <f>_xlfn.STDEV.S(65.5,99.7)</f>
        <v>24.183051916579956</v>
      </c>
      <c r="D88" s="51">
        <v>99.7</v>
      </c>
      <c r="E88" s="51" t="s">
        <v>1404</v>
      </c>
      <c r="F88" s="83"/>
      <c r="G88" s="70"/>
      <c r="H88" s="70"/>
      <c r="I88" s="83"/>
      <c r="J88" s="70"/>
      <c r="K88" s="70"/>
      <c r="L88" s="145">
        <f>L87*RSD_dUoa</f>
        <v>4.8912440678376363</v>
      </c>
      <c r="M88" s="70"/>
      <c r="N88" s="70"/>
      <c r="O88" s="78"/>
      <c r="P88" s="52"/>
      <c r="Q88" s="47"/>
      <c r="R88" s="78"/>
      <c r="S88" s="22"/>
      <c r="T88" s="47"/>
      <c r="U88" s="182" cm="1">
        <f t="array" ref="U88">U87*RSD_Koa</f>
        <v>0.22580359059626945</v>
      </c>
      <c r="V88" s="47"/>
      <c r="W88" s="45"/>
      <c r="X88" s="47"/>
      <c r="Y88" s="47"/>
      <c r="Z88" s="45"/>
      <c r="AA88" s="47"/>
      <c r="AB88" s="47"/>
      <c r="AC88" s="47"/>
      <c r="AD88" s="45"/>
      <c r="AE88" s="195">
        <f>_xlfn.STDEV.S(AF87:AF88)</f>
        <v>0.35029939993120696</v>
      </c>
      <c r="AF88" s="134">
        <v>-4.0599999999999996</v>
      </c>
      <c r="AG88" s="65" t="s">
        <v>181</v>
      </c>
      <c r="AH88" s="84"/>
      <c r="AI88" s="47"/>
      <c r="AJ88" s="47"/>
      <c r="AK88" s="45"/>
      <c r="AL88" s="84"/>
      <c r="AM88" s="47"/>
      <c r="AN88" s="47"/>
      <c r="AO88" s="45"/>
      <c r="AP88" s="130">
        <f>AP87*RSD_dSf</f>
        <v>0.64322040995301011</v>
      </c>
      <c r="AQ88" s="47"/>
      <c r="AR88" s="47"/>
      <c r="AS88" s="129">
        <f>AS87*RSD_Tm</f>
        <v>1.8720198319948196</v>
      </c>
      <c r="AT88" s="121"/>
      <c r="AU88" s="47"/>
      <c r="AV88" s="45"/>
      <c r="AW88" s="47"/>
      <c r="AX88" s="47"/>
    </row>
    <row r="89" spans="1:50">
      <c r="A89" s="3"/>
      <c r="B89" s="4" t="s">
        <v>20</v>
      </c>
      <c r="C89" s="324">
        <f>COUNTA(D87:D89)</f>
        <v>2</v>
      </c>
      <c r="D89" s="4"/>
      <c r="E89" s="4"/>
      <c r="F89" s="3"/>
      <c r="G89" s="4"/>
      <c r="H89" s="4"/>
      <c r="I89" s="3"/>
      <c r="J89" s="4"/>
      <c r="K89" s="4"/>
      <c r="L89" s="324">
        <f>COUNTA(M87:M89)</f>
        <v>1</v>
      </c>
      <c r="M89" s="4"/>
      <c r="N89" s="4"/>
      <c r="O89" s="3"/>
      <c r="P89" s="4"/>
      <c r="Q89" s="4"/>
      <c r="R89" s="3"/>
      <c r="S89" s="4"/>
      <c r="T89" s="4"/>
      <c r="U89" s="324">
        <f>COUNTA(V87:V89)</f>
        <v>1</v>
      </c>
      <c r="V89" s="47"/>
      <c r="W89" s="45"/>
      <c r="X89" s="47"/>
      <c r="Y89" s="47"/>
      <c r="Z89" s="45"/>
      <c r="AA89" s="47"/>
      <c r="AB89" s="47"/>
      <c r="AC89" s="47"/>
      <c r="AD89" s="45"/>
      <c r="AE89" s="324">
        <f>COUNTA(AF87:AF89)</f>
        <v>2</v>
      </c>
      <c r="AF89" s="6"/>
      <c r="AG89" s="7"/>
      <c r="AH89" s="84"/>
      <c r="AI89" s="47"/>
      <c r="AJ89" s="47"/>
      <c r="AK89" s="45"/>
      <c r="AL89" s="84"/>
      <c r="AM89" s="47"/>
      <c r="AN89" s="47"/>
      <c r="AO89" s="45"/>
      <c r="AP89" s="324">
        <f>COUNTA(AQ87:AQ89)</f>
        <v>1</v>
      </c>
      <c r="AQ89" s="47"/>
      <c r="AR89" s="47"/>
      <c r="AS89" s="324">
        <f>COUNTA(AT87:AT88)</f>
        <v>1</v>
      </c>
      <c r="AT89" s="121"/>
      <c r="AU89" s="47"/>
      <c r="AV89" s="45"/>
      <c r="AW89" s="47"/>
      <c r="AX89" s="47"/>
    </row>
    <row r="90" spans="1:50" ht="18">
      <c r="A90" s="3" t="s">
        <v>46</v>
      </c>
      <c r="B90" s="4" t="s">
        <v>47</v>
      </c>
      <c r="C90" s="157">
        <v>101</v>
      </c>
      <c r="D90" s="30">
        <v>101</v>
      </c>
      <c r="E90" s="30" t="s">
        <v>255</v>
      </c>
      <c r="F90" s="79"/>
      <c r="G90" s="9"/>
      <c r="H90" s="9"/>
      <c r="I90" s="79"/>
      <c r="J90" s="9"/>
      <c r="K90" s="9"/>
      <c r="L90" s="79"/>
      <c r="M90" s="9"/>
      <c r="N90" s="9"/>
      <c r="O90" s="79"/>
      <c r="P90" s="9"/>
      <c r="Q90" s="9"/>
      <c r="R90" s="3">
        <f>S90</f>
        <v>-22.4</v>
      </c>
      <c r="S90" s="9">
        <v>-22.4</v>
      </c>
      <c r="T90" s="9" t="s">
        <v>398</v>
      </c>
      <c r="U90" s="84"/>
      <c r="V90" s="47"/>
      <c r="W90" s="45"/>
      <c r="X90" s="22">
        <f>AVERAGE(Y90:Y91)</f>
        <v>5.6</v>
      </c>
      <c r="Y90" s="47">
        <v>5.41</v>
      </c>
      <c r="Z90" s="45" t="s">
        <v>398</v>
      </c>
      <c r="AA90" s="47"/>
      <c r="AB90" s="47"/>
      <c r="AC90" s="47"/>
      <c r="AD90" s="45"/>
      <c r="AE90" s="145">
        <f>AF90</f>
        <v>-3.755444851511903</v>
      </c>
      <c r="AF90" s="15">
        <v>-3.755444851511903</v>
      </c>
      <c r="AG90" s="45" t="s">
        <v>256</v>
      </c>
      <c r="AH90" s="130">
        <f ca="1">AVERAGE(AI90:AI91)</f>
        <v>-3.5474021302973409</v>
      </c>
      <c r="AI90" s="17">
        <f>LOG(AJ90/$B$91)</f>
        <v>-3.9223555110085231</v>
      </c>
      <c r="AJ90" s="114">
        <f>'Table S4 Conversions and Notes'!J115</f>
        <v>7.6732001795010718E-2</v>
      </c>
      <c r="AK90" s="45" t="s">
        <v>1642</v>
      </c>
      <c r="AL90" s="84"/>
      <c r="AM90" s="47"/>
      <c r="AN90" s="47"/>
      <c r="AO90" s="45"/>
      <c r="AP90" s="47"/>
      <c r="AQ90" s="47"/>
      <c r="AR90" s="47"/>
      <c r="AS90" s="164">
        <f>AVERAGE(AT90:AT91)</f>
        <v>170.25</v>
      </c>
      <c r="AT90" s="121">
        <f>AVERAGE(170,172)</f>
        <v>171</v>
      </c>
      <c r="AU90" s="121">
        <f>273.15+AT90</f>
        <v>444.15</v>
      </c>
      <c r="AV90" s="45" t="s">
        <v>777</v>
      </c>
      <c r="AW90" s="47"/>
      <c r="AX90" s="47"/>
    </row>
    <row r="91" spans="1:50" ht="18">
      <c r="A91" s="3"/>
      <c r="B91" s="171">
        <v>641.70000000000005</v>
      </c>
      <c r="C91" s="201">
        <f>C90*RSD_dHvap</f>
        <v>7.2077052653688058</v>
      </c>
      <c r="D91" s="4"/>
      <c r="E91" s="4"/>
      <c r="F91" s="3"/>
      <c r="G91" s="4"/>
      <c r="H91" s="4"/>
      <c r="I91" s="3"/>
      <c r="J91" s="4"/>
      <c r="K91" s="4"/>
      <c r="L91" s="3"/>
      <c r="M91" s="4"/>
      <c r="N91" s="4"/>
      <c r="O91" s="3"/>
      <c r="P91" s="4"/>
      <c r="Q91" s="4"/>
      <c r="R91" s="182">
        <f>ABS(R90*RSD_dUow)</f>
        <v>4.4799999999999995</v>
      </c>
      <c r="S91" s="4"/>
      <c r="T91" s="4"/>
      <c r="U91" s="84"/>
      <c r="V91" s="47"/>
      <c r="W91" s="45"/>
      <c r="X91" s="131">
        <f>_xlfn.STDEV.S(Y90:Y91)</f>
        <v>0.268700576850888</v>
      </c>
      <c r="Y91" s="47">
        <v>5.79</v>
      </c>
      <c r="Z91" s="45" t="s">
        <v>408</v>
      </c>
      <c r="AA91" s="47"/>
      <c r="AB91" s="47"/>
      <c r="AC91" s="47"/>
      <c r="AD91" s="45"/>
      <c r="AE91" s="182">
        <f>ABS(AE90*RSD_PL)</f>
        <v>0.59585531404693193</v>
      </c>
      <c r="AF91" s="6"/>
      <c r="AG91" s="7"/>
      <c r="AH91" s="131">
        <f ca="1">_xlfn.STDEV.S(AI90:AI91)</f>
        <v>0.53026415625939816</v>
      </c>
      <c r="AI91" s="17">
        <f ca="1">LOG(AJ91/$B$91)</f>
        <v>-3.1724487495861586</v>
      </c>
      <c r="AJ91" s="114">
        <f ca="1">'Table S4 Conversions and Notes'!J112</f>
        <v>0.43140312796282887</v>
      </c>
      <c r="AK91" s="45" t="s">
        <v>1437</v>
      </c>
      <c r="AL91" s="84"/>
      <c r="AM91" s="47"/>
      <c r="AN91" s="47"/>
      <c r="AO91" s="45"/>
      <c r="AP91" s="47"/>
      <c r="AQ91" s="47"/>
      <c r="AR91" s="47"/>
      <c r="AS91" s="130">
        <f>_xlfn.STDEV.S(AT90:AT91)</f>
        <v>1.0606601717798212</v>
      </c>
      <c r="AT91" s="121">
        <v>169.5</v>
      </c>
      <c r="AU91" s="121">
        <f>273.15+AT91</f>
        <v>442.65</v>
      </c>
      <c r="AV91" s="45" t="s">
        <v>779</v>
      </c>
      <c r="AW91" s="47"/>
      <c r="AX91" s="47"/>
    </row>
    <row r="92" spans="1:50" ht="18">
      <c r="A92" s="3"/>
      <c r="B92" s="4"/>
      <c r="C92" s="324">
        <f>COUNTA(D90:D92)</f>
        <v>1</v>
      </c>
      <c r="D92" s="4"/>
      <c r="E92" s="4"/>
      <c r="F92" s="3"/>
      <c r="G92" s="4"/>
      <c r="H92" s="4"/>
      <c r="I92" s="3"/>
      <c r="J92" s="4"/>
      <c r="K92" s="4"/>
      <c r="L92" s="3"/>
      <c r="M92" s="4"/>
      <c r="N92" s="4"/>
      <c r="O92" s="3"/>
      <c r="P92" s="4"/>
      <c r="Q92" s="4"/>
      <c r="R92" s="324">
        <f>COUNTA(S90:S92)</f>
        <v>1</v>
      </c>
      <c r="S92" s="4"/>
      <c r="T92" s="4"/>
      <c r="U92" s="84"/>
      <c r="V92" s="47"/>
      <c r="W92" s="45"/>
      <c r="X92" s="324">
        <f>COUNTA(Y90:Y91)</f>
        <v>2</v>
      </c>
      <c r="Y92" s="175">
        <v>6.05</v>
      </c>
      <c r="Z92" s="155" t="s">
        <v>784</v>
      </c>
      <c r="AA92" s="47"/>
      <c r="AB92" s="47"/>
      <c r="AC92" s="47"/>
      <c r="AD92" s="45"/>
      <c r="AE92" s="324">
        <f>COUNTA(AF90:AF92)</f>
        <v>1</v>
      </c>
      <c r="AF92" s="6"/>
      <c r="AG92" s="7"/>
      <c r="AH92" s="324">
        <f ca="1">COUNTA(AI90:AI91)</f>
        <v>2</v>
      </c>
      <c r="AI92" s="154">
        <f>LOG(AJ92/$B$91)</f>
        <v>-2.8470693088444223</v>
      </c>
      <c r="AJ92" s="165">
        <f>'Table S4 Conversions and Notes'!J116</f>
        <v>0.91256273563352042</v>
      </c>
      <c r="AK92" s="155" t="s">
        <v>1643</v>
      </c>
      <c r="AL92" s="84"/>
      <c r="AM92" s="47"/>
      <c r="AN92" s="47"/>
      <c r="AO92" s="45"/>
      <c r="AP92" s="47"/>
      <c r="AQ92" s="47"/>
      <c r="AR92" s="47"/>
      <c r="AS92" s="324">
        <f>COUNTA(AT90:AT94)</f>
        <v>2</v>
      </c>
      <c r="AT92" s="121"/>
      <c r="AU92" s="121"/>
      <c r="AV92" s="45"/>
      <c r="AW92" s="47"/>
      <c r="AX92" s="47"/>
    </row>
    <row r="93" spans="1:50">
      <c r="A93" s="3"/>
      <c r="B93" s="4"/>
      <c r="C93" s="3"/>
      <c r="D93" s="4"/>
      <c r="E93" s="4"/>
      <c r="F93" s="3"/>
      <c r="G93" s="4"/>
      <c r="H93" s="4"/>
      <c r="I93" s="3"/>
      <c r="J93" s="4"/>
      <c r="K93" s="4"/>
      <c r="L93" s="3"/>
      <c r="M93" s="4"/>
      <c r="N93" s="4"/>
      <c r="O93" s="3"/>
      <c r="P93" s="4"/>
      <c r="Q93" s="4"/>
      <c r="R93" s="3"/>
      <c r="S93" s="4"/>
      <c r="T93" s="4"/>
      <c r="U93" s="84"/>
      <c r="V93" s="47"/>
      <c r="W93" s="45"/>
      <c r="X93" s="47"/>
      <c r="Y93" s="47"/>
      <c r="Z93" s="45"/>
      <c r="AA93" s="47"/>
      <c r="AB93" s="47"/>
      <c r="AC93" s="47"/>
      <c r="AD93" s="45"/>
      <c r="AE93" s="5"/>
      <c r="AF93" s="6"/>
      <c r="AG93" s="7"/>
      <c r="AL93" s="84"/>
      <c r="AM93" s="47"/>
      <c r="AN93" s="47"/>
      <c r="AO93" s="45"/>
      <c r="AP93" s="47"/>
      <c r="AQ93" s="47"/>
      <c r="AR93" s="47"/>
      <c r="AS93" s="84"/>
      <c r="AT93" s="121"/>
      <c r="AU93" s="47"/>
      <c r="AV93" s="45"/>
      <c r="AW93" s="47"/>
      <c r="AX93" s="47"/>
    </row>
    <row r="94" spans="1:50">
      <c r="A94" s="3" t="s">
        <v>48</v>
      </c>
      <c r="B94" s="4" t="s">
        <v>49</v>
      </c>
      <c r="C94" s="157">
        <v>138</v>
      </c>
      <c r="D94" s="30">
        <v>138</v>
      </c>
      <c r="E94" s="30" t="s">
        <v>255</v>
      </c>
      <c r="F94" s="79"/>
      <c r="G94" s="9"/>
      <c r="H94" s="9"/>
      <c r="I94" s="79"/>
      <c r="J94" s="9"/>
      <c r="K94" s="9"/>
      <c r="L94" s="79"/>
      <c r="M94" s="9"/>
      <c r="N94" s="9"/>
      <c r="O94" s="79"/>
      <c r="P94" s="9"/>
      <c r="Q94" s="9"/>
      <c r="R94" s="79"/>
      <c r="S94" s="4"/>
      <c r="T94" s="9"/>
      <c r="U94" s="84"/>
      <c r="V94" s="47"/>
      <c r="W94" s="45"/>
      <c r="X94" s="47"/>
      <c r="Y94" s="47"/>
      <c r="Z94" s="45"/>
      <c r="AA94" s="47"/>
      <c r="AB94" s="47"/>
      <c r="AC94" s="47"/>
      <c r="AD94" s="45"/>
      <c r="AE94" s="145">
        <f>AF94</f>
        <v>-8.7574316117610298</v>
      </c>
      <c r="AF94" s="15">
        <v>-8.7574316117610298</v>
      </c>
      <c r="AG94" s="45" t="s">
        <v>256</v>
      </c>
      <c r="AJ94" s="47"/>
      <c r="AK94" s="45"/>
      <c r="AL94" s="84"/>
      <c r="AM94" s="47"/>
      <c r="AN94" s="47"/>
      <c r="AO94" s="45"/>
      <c r="AP94" s="47"/>
      <c r="AQ94" s="47"/>
      <c r="AR94" s="47"/>
      <c r="AS94" s="84"/>
      <c r="AT94" s="121"/>
      <c r="AU94" s="121"/>
      <c r="AV94" s="45"/>
      <c r="AW94" s="47"/>
      <c r="AX94" s="47"/>
    </row>
    <row r="95" spans="1:50">
      <c r="A95" s="3"/>
      <c r="B95" s="171">
        <v>653.69399999999996</v>
      </c>
      <c r="C95" s="182">
        <f>C94*RSD_dHvap</f>
        <v>9.8481517487217349</v>
      </c>
      <c r="D95" s="4"/>
      <c r="E95" s="4"/>
      <c r="F95" s="3"/>
      <c r="G95" s="4"/>
      <c r="H95" s="4"/>
      <c r="I95" s="3"/>
      <c r="J95" s="4"/>
      <c r="K95" s="4"/>
      <c r="L95" s="3"/>
      <c r="M95" s="4"/>
      <c r="N95" s="4"/>
      <c r="O95" s="3"/>
      <c r="P95" s="4"/>
      <c r="Q95" s="4"/>
      <c r="R95" s="3"/>
      <c r="S95" s="4"/>
      <c r="T95" s="4"/>
      <c r="U95" s="84"/>
      <c r="V95" s="47"/>
      <c r="W95" s="45"/>
      <c r="X95" s="47"/>
      <c r="Y95" s="47"/>
      <c r="Z95" s="45"/>
      <c r="AA95" s="47"/>
      <c r="AB95" s="47"/>
      <c r="AC95" s="47"/>
      <c r="AD95" s="45"/>
      <c r="AE95" s="182">
        <f>ABS(AE94*RSD_PL)</f>
        <v>1.389492422227854</v>
      </c>
      <c r="AF95" s="6"/>
      <c r="AG95" s="7"/>
      <c r="AJ95" s="47"/>
      <c r="AK95" s="45"/>
      <c r="AL95" s="84"/>
      <c r="AM95" s="47"/>
      <c r="AN95" s="47"/>
      <c r="AO95" s="45"/>
      <c r="AP95" s="47"/>
      <c r="AQ95" s="47"/>
      <c r="AR95" s="47"/>
      <c r="AS95" s="84"/>
      <c r="AT95" s="121"/>
      <c r="AU95" s="47"/>
      <c r="AV95" s="45"/>
      <c r="AW95" s="47"/>
      <c r="AX95" s="47"/>
    </row>
    <row r="96" spans="1:50">
      <c r="A96" s="3"/>
      <c r="B96" s="4"/>
      <c r="C96" s="324">
        <f>COUNTA(D94:D96)</f>
        <v>1</v>
      </c>
      <c r="D96" s="4"/>
      <c r="E96" s="4"/>
      <c r="F96" s="3"/>
      <c r="G96" s="4"/>
      <c r="H96" s="4"/>
      <c r="I96" s="3"/>
      <c r="J96" s="4"/>
      <c r="K96" s="4"/>
      <c r="L96" s="3"/>
      <c r="M96" s="4"/>
      <c r="N96" s="4"/>
      <c r="O96" s="3"/>
      <c r="P96" s="4"/>
      <c r="Q96" s="4"/>
      <c r="R96" s="3"/>
      <c r="S96" s="4"/>
      <c r="T96" s="4"/>
      <c r="U96" s="84"/>
      <c r="V96" s="47"/>
      <c r="W96" s="45"/>
      <c r="X96" s="47"/>
      <c r="Y96" s="47"/>
      <c r="Z96" s="45"/>
      <c r="AA96" s="47"/>
      <c r="AB96" s="47"/>
      <c r="AC96" s="47"/>
      <c r="AD96" s="45"/>
      <c r="AE96" s="324">
        <f>COUNTA(AF94:AF96)</f>
        <v>1</v>
      </c>
      <c r="AF96" s="6"/>
      <c r="AG96" s="7"/>
      <c r="AJ96" s="47"/>
      <c r="AK96" s="45"/>
      <c r="AL96" s="84"/>
      <c r="AM96" s="47"/>
      <c r="AN96" s="47"/>
      <c r="AO96" s="45"/>
      <c r="AP96" s="47"/>
      <c r="AQ96" s="47"/>
      <c r="AR96" s="47"/>
      <c r="AS96" s="84"/>
      <c r="AT96" s="121"/>
      <c r="AU96" s="47"/>
      <c r="AV96" s="45"/>
      <c r="AW96" s="47"/>
      <c r="AX96" s="47"/>
    </row>
    <row r="97" spans="1:50" ht="18">
      <c r="A97" s="3" t="s">
        <v>50</v>
      </c>
      <c r="B97" s="4" t="s">
        <v>51</v>
      </c>
      <c r="C97" s="157">
        <v>145</v>
      </c>
      <c r="D97" s="30">
        <v>145</v>
      </c>
      <c r="E97" s="30" t="s">
        <v>255</v>
      </c>
      <c r="F97" s="79"/>
      <c r="G97" s="9"/>
      <c r="H97" s="9"/>
      <c r="I97" s="79"/>
      <c r="J97" s="9"/>
      <c r="K97" s="9"/>
      <c r="L97" s="79"/>
      <c r="M97" s="9"/>
      <c r="N97" s="9"/>
      <c r="O97" s="79"/>
      <c r="P97" s="9"/>
      <c r="Q97" s="9"/>
      <c r="R97" s="79"/>
      <c r="S97" s="4"/>
      <c r="T97" s="9"/>
      <c r="U97" s="84"/>
      <c r="V97" s="47"/>
      <c r="W97" s="45"/>
      <c r="X97" s="47"/>
      <c r="Y97" s="47"/>
      <c r="Z97" s="45"/>
      <c r="AA97" s="47"/>
      <c r="AB97" s="47"/>
      <c r="AC97" s="47"/>
      <c r="AD97" s="45"/>
      <c r="AE97" s="145">
        <f>AF97</f>
        <v>-9.1887291340467172</v>
      </c>
      <c r="AF97" s="15">
        <v>-9.1887291340467172</v>
      </c>
      <c r="AG97" s="45" t="s">
        <v>256</v>
      </c>
      <c r="AH97" s="130">
        <f>AVERAGE(AI97)</f>
        <v>-11.17626232745083</v>
      </c>
      <c r="AI97" s="17">
        <f>LOG(AJ97/B98)</f>
        <v>-11.17626232745083</v>
      </c>
      <c r="AJ97" s="114">
        <f>'Table S4 Conversions and Notes'!$J$80</f>
        <v>4.3562437396149561E-9</v>
      </c>
      <c r="AK97" s="45" t="s">
        <v>331</v>
      </c>
      <c r="AL97" s="84"/>
      <c r="AM97" s="47"/>
      <c r="AN97" s="47"/>
      <c r="AO97" s="45"/>
      <c r="AP97" s="47"/>
      <c r="AQ97" s="47"/>
      <c r="AR97" s="47"/>
      <c r="AS97" s="129">
        <f>AT97</f>
        <v>380</v>
      </c>
      <c r="AT97" s="121">
        <v>380</v>
      </c>
      <c r="AU97" s="121">
        <f>273.15+AT97</f>
        <v>653.15</v>
      </c>
      <c r="AV97" s="45" t="s">
        <v>785</v>
      </c>
      <c r="AW97" s="47"/>
      <c r="AX97" s="47"/>
    </row>
    <row r="98" spans="1:50" ht="18">
      <c r="A98" s="3"/>
      <c r="B98" s="171">
        <v>653.69399999999996</v>
      </c>
      <c r="C98" s="182">
        <f>C97*RSD_dHvap</f>
        <v>10.347695678004721</v>
      </c>
      <c r="D98" s="30"/>
      <c r="E98" s="30"/>
      <c r="F98" s="79"/>
      <c r="G98" s="9"/>
      <c r="H98" s="9"/>
      <c r="I98" s="79"/>
      <c r="J98" s="9"/>
      <c r="K98" s="9"/>
      <c r="L98" s="79"/>
      <c r="M98" s="9"/>
      <c r="N98" s="9"/>
      <c r="O98" s="79"/>
      <c r="P98" s="9"/>
      <c r="Q98" s="9"/>
      <c r="R98" s="79"/>
      <c r="S98" s="4"/>
      <c r="T98" s="9"/>
      <c r="U98" s="84"/>
      <c r="V98" s="47"/>
      <c r="W98" s="45"/>
      <c r="X98" s="47"/>
      <c r="Y98" s="47"/>
      <c r="Z98" s="45"/>
      <c r="AA98" s="47"/>
      <c r="AB98" s="47"/>
      <c r="AC98" s="47"/>
      <c r="AD98" s="45"/>
      <c r="AE98" s="182">
        <f>ABS(AE97*RSD_PL)</f>
        <v>1.4579239744807755</v>
      </c>
      <c r="AF98" s="15"/>
      <c r="AG98" s="45"/>
      <c r="AH98" s="131">
        <f>ABS(AH97*RSD_Unr)</f>
        <v>3.3528786982352492</v>
      </c>
      <c r="AI98" s="104"/>
      <c r="AJ98" s="175" t="str">
        <f ca="1">"&lt;"&amp;TEXT('Table S4 Conversions and Notes'!J81,"0.00E+00")</f>
        <v>&lt;1.94E-04</v>
      </c>
      <c r="AK98" s="155" t="s">
        <v>789</v>
      </c>
      <c r="AL98" s="84"/>
      <c r="AM98" s="47"/>
      <c r="AN98" s="47"/>
      <c r="AO98" s="45"/>
      <c r="AP98" s="47"/>
      <c r="AQ98" s="47"/>
      <c r="AR98" s="47"/>
      <c r="AS98" s="152">
        <f>AS97*RSD_Unr</f>
        <v>114</v>
      </c>
      <c r="AT98" s="121"/>
      <c r="AU98" s="47"/>
      <c r="AV98" s="45"/>
      <c r="AW98" s="47"/>
      <c r="AX98" s="47"/>
    </row>
    <row r="99" spans="1:50">
      <c r="A99" s="3"/>
      <c r="B99" s="4" t="s">
        <v>20</v>
      </c>
      <c r="C99" s="324">
        <f>COUNTA(D97:D99)</f>
        <v>1</v>
      </c>
      <c r="D99" s="4"/>
      <c r="E99" s="4"/>
      <c r="F99" s="3"/>
      <c r="G99" s="4"/>
      <c r="H99" s="4"/>
      <c r="I99" s="3"/>
      <c r="J99" s="4"/>
      <c r="K99" s="4"/>
      <c r="L99" s="3"/>
      <c r="M99" s="4"/>
      <c r="N99" s="4"/>
      <c r="O99" s="3"/>
      <c r="P99" s="4"/>
      <c r="Q99" s="4"/>
      <c r="R99" s="3"/>
      <c r="S99" s="4"/>
      <c r="T99" s="4"/>
      <c r="U99" s="84"/>
      <c r="V99" s="47"/>
      <c r="W99" s="45"/>
      <c r="X99" s="47"/>
      <c r="Y99" s="47"/>
      <c r="Z99" s="45"/>
      <c r="AA99" s="47"/>
      <c r="AB99" s="47"/>
      <c r="AC99" s="47"/>
      <c r="AD99" s="45"/>
      <c r="AE99" s="324">
        <f>COUNTA(AF97:AF99)</f>
        <v>1</v>
      </c>
      <c r="AF99" s="6"/>
      <c r="AG99" s="7"/>
      <c r="AH99" s="324">
        <f>COUNTA(AI97)</f>
        <v>1</v>
      </c>
      <c r="AI99" s="47"/>
      <c r="AJ99" s="47"/>
      <c r="AK99" s="45"/>
      <c r="AL99" s="84"/>
      <c r="AM99" s="47"/>
      <c r="AN99" s="47"/>
      <c r="AO99" s="45"/>
      <c r="AP99" s="47"/>
      <c r="AQ99" s="47"/>
      <c r="AR99" s="47"/>
      <c r="AS99" s="324">
        <f>COUNTA(AT97:AT98)</f>
        <v>1</v>
      </c>
      <c r="AT99" s="121"/>
      <c r="AU99" s="47"/>
      <c r="AV99" s="45"/>
      <c r="AW99" s="47"/>
      <c r="AX99" s="47"/>
    </row>
    <row r="100" spans="1:50">
      <c r="A100" s="504" t="s">
        <v>52</v>
      </c>
      <c r="B100" s="504"/>
      <c r="C100" s="504"/>
      <c r="D100" s="504"/>
      <c r="E100" s="504"/>
      <c r="F100" s="504"/>
      <c r="G100" s="504"/>
      <c r="H100" s="504"/>
      <c r="I100" s="504"/>
      <c r="J100" s="504"/>
      <c r="K100" s="504"/>
      <c r="L100" s="504"/>
      <c r="M100" s="504"/>
      <c r="N100" s="504"/>
      <c r="O100" s="504"/>
      <c r="P100" s="504"/>
      <c r="Q100" s="504"/>
      <c r="R100" s="504"/>
      <c r="S100" s="504"/>
      <c r="T100" s="504"/>
      <c r="U100" s="504"/>
      <c r="V100" s="504"/>
      <c r="W100" s="504"/>
      <c r="X100" s="504"/>
      <c r="Y100" s="504"/>
      <c r="Z100" s="504"/>
      <c r="AA100" s="504"/>
      <c r="AB100" s="504"/>
      <c r="AC100" s="504"/>
      <c r="AD100" s="504"/>
      <c r="AE100" s="504"/>
      <c r="AF100" s="504"/>
      <c r="AG100" s="504"/>
      <c r="AH100" s="504"/>
      <c r="AI100" s="504"/>
      <c r="AJ100" s="504"/>
      <c r="AK100" s="504"/>
      <c r="AL100" s="504"/>
      <c r="AM100" s="504"/>
      <c r="AN100" s="504"/>
      <c r="AO100" s="504"/>
      <c r="AP100" s="504"/>
      <c r="AQ100" s="504"/>
      <c r="AR100" s="504"/>
      <c r="AS100" s="504"/>
      <c r="AT100" s="504"/>
      <c r="AU100" s="504"/>
      <c r="AV100" s="504"/>
      <c r="AW100" s="25"/>
      <c r="AX100" s="25"/>
    </row>
    <row r="101" spans="1:50" ht="16.5">
      <c r="A101" s="3" t="s">
        <v>53</v>
      </c>
      <c r="B101" s="4" t="s">
        <v>54</v>
      </c>
      <c r="C101" s="203">
        <f>AVERAGE(D102:D105)</f>
        <v>84.568750000000009</v>
      </c>
      <c r="D101" s="205">
        <v>84.793999999999997</v>
      </c>
      <c r="E101" s="206" t="s">
        <v>98</v>
      </c>
      <c r="F101" s="191">
        <f>G101</f>
        <v>32.782409563371495</v>
      </c>
      <c r="G101" s="318">
        <f>'Table S4 Conversions and Notes'!$J$449</f>
        <v>32.782409563371495</v>
      </c>
      <c r="H101" s="70" t="s">
        <v>2241</v>
      </c>
      <c r="I101" s="187">
        <f>J101</f>
        <v>-8.4189731462477848</v>
      </c>
      <c r="J101" s="318">
        <f>'Table S4 Conversions and Notes'!J460</f>
        <v>-8.4189731462477848</v>
      </c>
      <c r="K101" s="70" t="s">
        <v>2251</v>
      </c>
      <c r="L101" s="203">
        <f>AVERAGE(M102:M103)</f>
        <v>81.75</v>
      </c>
      <c r="M101" s="204">
        <v>97.95</v>
      </c>
      <c r="N101" s="180" t="s">
        <v>98</v>
      </c>
      <c r="O101" s="203">
        <f>AVERAGE(P101:P102)</f>
        <v>39.308999999999997</v>
      </c>
      <c r="P101" s="360">
        <f>39.1-2.391</f>
        <v>36.709000000000003</v>
      </c>
      <c r="Q101" s="47" t="s">
        <v>383</v>
      </c>
      <c r="R101" s="78"/>
      <c r="S101" s="22"/>
      <c r="T101" s="108"/>
      <c r="U101" s="75">
        <f>AVERAGE(V103:V105)</f>
        <v>9.49394862833846</v>
      </c>
      <c r="V101" s="202">
        <v>9.6999999999999993</v>
      </c>
      <c r="W101" s="185" t="s">
        <v>55</v>
      </c>
      <c r="X101" s="75">
        <f>AVERAGE(Y103)</f>
        <v>6.9560000000000004</v>
      </c>
      <c r="Y101" s="177">
        <v>6.93</v>
      </c>
      <c r="Z101" s="155" t="s">
        <v>352</v>
      </c>
      <c r="AA101" s="75">
        <f>AVERAGE(AC103:AC104)</f>
        <v>-2.7281124801669447</v>
      </c>
      <c r="AB101" s="176">
        <v>4.2</v>
      </c>
      <c r="AC101" s="154">
        <f>LOG(AB101/8.314/298.15)</f>
        <v>-2.7709955434540534</v>
      </c>
      <c r="AD101" s="185" t="s">
        <v>55</v>
      </c>
      <c r="AE101" s="75">
        <f ca="1">AVERAGE(AF103:AF109)</f>
        <v>-2.5790539975289355</v>
      </c>
      <c r="AF101" s="176">
        <v>-2.4685210829577451</v>
      </c>
      <c r="AG101" s="185" t="s">
        <v>55</v>
      </c>
      <c r="AH101" s="75">
        <f ca="1">AVERAGE(AI103:AI107)</f>
        <v>-3.1846505142387245</v>
      </c>
      <c r="AI101" s="17">
        <f>LOG(AJ101/$B$102)</f>
        <v>-3.1023729087095586</v>
      </c>
      <c r="AJ101" s="381">
        <f>318.018*0.00079</f>
        <v>0.25123422000000001</v>
      </c>
      <c r="AK101" s="185" t="s">
        <v>352</v>
      </c>
      <c r="AL101" s="75">
        <f ca="1">AM102</f>
        <v>2.8358769443038372</v>
      </c>
      <c r="AM101" s="17">
        <f>LOG(AN101/$B$102)</f>
        <v>3.419955748489758</v>
      </c>
      <c r="AN101" s="197">
        <f>318.018*2630</f>
        <v>836387.34</v>
      </c>
      <c r="AO101" s="185" t="s">
        <v>98</v>
      </c>
      <c r="AP101" s="168">
        <f>AVERAGE(AQ101:AQ103)</f>
        <v>65.848126363730174</v>
      </c>
      <c r="AQ101" s="107">
        <f>5800*4.184/AU102</f>
        <v>66.851790633608815</v>
      </c>
      <c r="AR101" s="6" t="s">
        <v>807</v>
      </c>
      <c r="AS101" s="201">
        <f>AVERAGE(AT101:AT105)</f>
        <v>88.638000000000005</v>
      </c>
      <c r="AT101" s="107">
        <v>88.6</v>
      </c>
      <c r="AU101" s="107">
        <f>273.15+AT101</f>
        <v>361.75</v>
      </c>
      <c r="AV101" s="7" t="s">
        <v>1746</v>
      </c>
      <c r="AW101" s="6"/>
      <c r="AX101" s="6"/>
    </row>
    <row r="102" spans="1:50" ht="18">
      <c r="A102" s="3"/>
      <c r="B102" s="171">
        <v>318.01799999999997</v>
      </c>
      <c r="C102" s="145">
        <f>_xlfn.STDEV.S(D102:D105)</f>
        <v>2.7668327711181484</v>
      </c>
      <c r="D102" s="30">
        <v>80.7</v>
      </c>
      <c r="E102" s="30" t="s">
        <v>250</v>
      </c>
      <c r="F102" s="130">
        <f>F101*RSD_dHw</f>
        <v>6.5564819126742995</v>
      </c>
      <c r="G102" s="70"/>
      <c r="H102" s="70"/>
      <c r="I102" s="187">
        <f>ABS(RSD_dUo*I101)</f>
        <v>1.6837946292495571</v>
      </c>
      <c r="J102" s="70"/>
      <c r="K102" s="70"/>
      <c r="L102" s="158">
        <f>_xlfn.STDEV.S(M102:M103)</f>
        <v>2.8991378028648409</v>
      </c>
      <c r="M102" s="70">
        <v>79.7</v>
      </c>
      <c r="N102" s="70" t="s">
        <v>250</v>
      </c>
      <c r="O102" s="158">
        <f>_xlfn.STDEV.S(P101:P102)</f>
        <v>3.6769552621700443</v>
      </c>
      <c r="P102" s="107">
        <f>'Table S4 Conversions and Notes'!J208-2.391</f>
        <v>41.908999999999999</v>
      </c>
      <c r="Q102" s="47" t="s">
        <v>1686</v>
      </c>
      <c r="R102" s="78"/>
      <c r="S102" s="22"/>
      <c r="T102" s="45"/>
      <c r="U102" s="75">
        <f>_xlfn.STDEV.S(V103:V105)</f>
        <v>0.22642182954226633</v>
      </c>
      <c r="V102" s="176">
        <f>LOG(2130000000)</f>
        <v>9.3283796034387372</v>
      </c>
      <c r="W102" s="155" t="s">
        <v>98</v>
      </c>
      <c r="X102" s="75">
        <f>RSD_Kow*X101</f>
        <v>0.47155078808172524</v>
      </c>
      <c r="Y102" s="177">
        <f>LOG(888000)</f>
        <v>5.9484129657786013</v>
      </c>
      <c r="Z102" s="155" t="s">
        <v>98</v>
      </c>
      <c r="AA102" s="130">
        <f>ABS(AA101*RSD_Kaw)</f>
        <v>0.54562249603338897</v>
      </c>
      <c r="AB102" s="154">
        <f>10^AC102*8.314*298.15</f>
        <v>3.5942876949999985</v>
      </c>
      <c r="AC102" s="154">
        <f>LOG(0.00145)</f>
        <v>-2.8386319977650252</v>
      </c>
      <c r="AD102" s="155" t="s">
        <v>98</v>
      </c>
      <c r="AE102" s="75">
        <f ca="1">_xlfn.STDEV.S(AF103:AF109)</f>
        <v>0.19619774377662969</v>
      </c>
      <c r="AF102" s="183">
        <f>LOG(0.00305)</f>
        <v>-2.5157001606532141</v>
      </c>
      <c r="AG102" s="185" t="s">
        <v>98</v>
      </c>
      <c r="AH102" s="75">
        <f ca="1">_xlfn.STDEV.S(AI103:AI107)</f>
        <v>0.36127290596858164</v>
      </c>
      <c r="AI102" s="17">
        <f>LOG(AJ102/$B$102)</f>
        <v>-3.0695604052332999</v>
      </c>
      <c r="AJ102" s="382">
        <f>318.018*0.000852</f>
        <v>0.27095133599999999</v>
      </c>
      <c r="AK102" s="185" t="s">
        <v>98</v>
      </c>
      <c r="AL102" s="75">
        <f ca="1">AL101*RSD_SO</f>
        <v>0.56717538886076746</v>
      </c>
      <c r="AM102" s="17">
        <f ca="1">LOG('Table S4 Conversions and Notes'!J96)</f>
        <v>2.8358769443038372</v>
      </c>
      <c r="AN102" s="123">
        <f ca="1">10^AM102*B102</f>
        <v>217935.83475754998</v>
      </c>
      <c r="AO102" s="7" t="s">
        <v>1804</v>
      </c>
      <c r="AP102" s="168">
        <f>_xlfn.STDEV.S(AQ101:AQ103)</f>
        <v>0.86935111572526058</v>
      </c>
      <c r="AQ102" s="107">
        <f>5628*4.184/AU103</f>
        <v>65.330018865830652</v>
      </c>
      <c r="AR102" s="45" t="s">
        <v>1748</v>
      </c>
      <c r="AS102" s="182">
        <f>_xlfn.STDEV.S(AT101:AT105)</f>
        <v>0.92923086474782779</v>
      </c>
      <c r="AT102" s="107">
        <f>AU102-273.15</f>
        <v>89.850000000000023</v>
      </c>
      <c r="AU102" s="107">
        <v>363</v>
      </c>
      <c r="AV102" s="7" t="s">
        <v>807</v>
      </c>
      <c r="AW102" s="6"/>
      <c r="AX102" s="6"/>
    </row>
    <row r="103" spans="1:50" ht="18">
      <c r="A103" s="3"/>
      <c r="B103" s="4" t="s">
        <v>20</v>
      </c>
      <c r="C103" s="324">
        <f>COUNTA(D102:D105)</f>
        <v>4</v>
      </c>
      <c r="D103" s="26">
        <v>87.2</v>
      </c>
      <c r="E103" s="30" t="s">
        <v>805</v>
      </c>
      <c r="F103" s="324">
        <f>COUNTA(G101:G104)</f>
        <v>1</v>
      </c>
      <c r="G103" s="4"/>
      <c r="H103" s="4"/>
      <c r="I103" s="324">
        <f>COUNTA(J101:J103)</f>
        <v>1</v>
      </c>
      <c r="J103" s="4"/>
      <c r="K103" s="4"/>
      <c r="L103" s="324">
        <f>COUNTA(M102:M103)</f>
        <v>2</v>
      </c>
      <c r="M103" s="13">
        <v>83.8</v>
      </c>
      <c r="N103" s="70" t="s">
        <v>803</v>
      </c>
      <c r="O103" s="324">
        <f>COUNTA(P101:P103)</f>
        <v>2</v>
      </c>
      <c r="P103" s="4"/>
      <c r="Q103" s="4"/>
      <c r="R103" s="3"/>
      <c r="S103" s="4"/>
      <c r="T103" s="4"/>
      <c r="U103" s="324">
        <f>COUNTA(V103:V105)</f>
        <v>3</v>
      </c>
      <c r="V103" s="9">
        <v>9.68</v>
      </c>
      <c r="W103" s="7" t="s">
        <v>1789</v>
      </c>
      <c r="X103" s="324">
        <f>COUNTA(Y103)</f>
        <v>1</v>
      </c>
      <c r="Y103" s="15">
        <v>6.9560000000000004</v>
      </c>
      <c r="Z103" s="45" t="s">
        <v>2387</v>
      </c>
      <c r="AA103" s="324">
        <f>COUNTA(AC103)</f>
        <v>1</v>
      </c>
      <c r="AB103" s="6">
        <v>4.2140000000000004</v>
      </c>
      <c r="AC103" s="17">
        <f>LOG(AB103/8.314/298.15)</f>
        <v>-2.7695503025798724</v>
      </c>
      <c r="AD103" s="7" t="s">
        <v>388</v>
      </c>
      <c r="AE103" s="324">
        <f ca="1">COUNTA(AF103:AF109)</f>
        <v>7</v>
      </c>
      <c r="AF103" s="55">
        <v>-2.48</v>
      </c>
      <c r="AG103" s="7" t="s">
        <v>66</v>
      </c>
      <c r="AH103" s="324">
        <f ca="1">COUNTA(AI103:AI107)</f>
        <v>5</v>
      </c>
      <c r="AI103" s="17">
        <f ca="1">LOG(AJ103/$B$102)</f>
        <v>-3.1203038434667691</v>
      </c>
      <c r="AJ103" s="383">
        <f ca="1">'Table S4 Conversions and Notes'!J85</f>
        <v>0.24107260371650355</v>
      </c>
      <c r="AK103" s="7" t="s">
        <v>1822</v>
      </c>
      <c r="AL103" s="324">
        <f ca="1">COUNTA(AM102:AM106)</f>
        <v>1</v>
      </c>
      <c r="AM103" s="47"/>
      <c r="AN103" s="47"/>
      <c r="AO103" s="45"/>
      <c r="AP103" s="324">
        <f>COUNTA(AQ101:AQ103)</f>
        <v>3</v>
      </c>
      <c r="AQ103" s="107">
        <f>'Table S4 Conversions and Notes'!$J$441</f>
        <v>65.362569591751054</v>
      </c>
      <c r="AR103" s="45" t="s">
        <v>2234</v>
      </c>
      <c r="AS103" s="324">
        <f>COUNTA(AT101:AT105)</f>
        <v>5</v>
      </c>
      <c r="AT103" s="107">
        <f>AU103-273.15</f>
        <v>87.29000000000002</v>
      </c>
      <c r="AU103" s="107">
        <v>360.44</v>
      </c>
      <c r="AV103" s="45" t="s">
        <v>1748</v>
      </c>
      <c r="AW103" s="47"/>
      <c r="AX103" s="47"/>
    </row>
    <row r="104" spans="1:50" ht="18">
      <c r="A104" s="3"/>
      <c r="B104" s="4"/>
      <c r="C104" s="87"/>
      <c r="D104" s="113">
        <v>84.793999999999997</v>
      </c>
      <c r="E104" s="30" t="s">
        <v>805</v>
      </c>
      <c r="F104" s="3"/>
      <c r="G104" s="4"/>
      <c r="H104" s="4"/>
      <c r="I104" s="3"/>
      <c r="J104" s="4"/>
      <c r="K104" s="4"/>
      <c r="L104" s="115"/>
      <c r="M104" s="204">
        <f>5116*8.314*2.303/1000</f>
        <v>97.956778471999996</v>
      </c>
      <c r="N104" s="180" t="s">
        <v>2772</v>
      </c>
      <c r="O104" s="87"/>
      <c r="P104" s="4"/>
      <c r="Q104" s="4"/>
      <c r="R104" s="3"/>
      <c r="S104" s="4"/>
      <c r="T104" s="4"/>
      <c r="U104" s="87"/>
      <c r="V104" s="15">
        <v>9.2418458850153797</v>
      </c>
      <c r="W104" s="45" t="s">
        <v>256</v>
      </c>
      <c r="Y104" s="176">
        <f>'Table S4 Conversions and Notes'!$J$94</f>
        <v>0</v>
      </c>
      <c r="Z104" s="185" t="s">
        <v>2605</v>
      </c>
      <c r="AB104" s="175">
        <v>5.0999999999999996</v>
      </c>
      <c r="AC104" s="154">
        <f>LOG(AB104/8.314/298.15)</f>
        <v>-2.6866746577540175</v>
      </c>
      <c r="AD104" s="155" t="s">
        <v>386</v>
      </c>
      <c r="AE104" s="87"/>
      <c r="AF104" s="55">
        <v>-2.57</v>
      </c>
      <c r="AG104" s="7" t="s">
        <v>336</v>
      </c>
      <c r="AI104" s="17">
        <f>LOG('Table S4 Conversions and Notes'!$J$86)</f>
        <v>-3.0069958672471624</v>
      </c>
      <c r="AJ104" s="383">
        <f>10^AI104*B102</f>
        <v>0.31293622172357916</v>
      </c>
      <c r="AK104" s="7" t="s">
        <v>1820</v>
      </c>
      <c r="AL104" s="84"/>
      <c r="AM104" s="47"/>
      <c r="AN104" s="47"/>
      <c r="AO104" s="45"/>
      <c r="AP104" s="47"/>
      <c r="AQ104" s="107"/>
      <c r="AR104" s="47"/>
      <c r="AS104" s="84"/>
      <c r="AT104" s="107">
        <f>AU104-273.15</f>
        <v>88.450000000000045</v>
      </c>
      <c r="AU104" s="107">
        <v>361.6</v>
      </c>
      <c r="AV104" s="45" t="s">
        <v>1750</v>
      </c>
      <c r="AW104" s="47"/>
      <c r="AX104" s="47"/>
    </row>
    <row r="105" spans="1:50" ht="18">
      <c r="A105" s="3"/>
      <c r="B105" s="4"/>
      <c r="C105" s="87"/>
      <c r="D105" s="113">
        <v>85.581000000000003</v>
      </c>
      <c r="E105" s="70" t="s">
        <v>803</v>
      </c>
      <c r="F105" s="3"/>
      <c r="G105" s="4"/>
      <c r="H105" s="4"/>
      <c r="I105" s="3"/>
      <c r="J105" s="4"/>
      <c r="K105" s="4"/>
      <c r="L105" s="115"/>
      <c r="O105" s="87"/>
      <c r="P105" s="4"/>
      <c r="Q105" s="4"/>
      <c r="R105" s="3"/>
      <c r="S105" s="4"/>
      <c r="T105" s="4"/>
      <c r="U105" s="87"/>
      <c r="V105" s="15">
        <v>9.56</v>
      </c>
      <c r="W105" s="45" t="s">
        <v>802</v>
      </c>
      <c r="Y105" s="176">
        <f ca="1">'Table S4 Conversions and Notes'!J92</f>
        <v>5.7467127516517387</v>
      </c>
      <c r="Z105" s="185" t="s">
        <v>2599</v>
      </c>
      <c r="AB105" s="227">
        <v>33</v>
      </c>
      <c r="AC105" s="154">
        <f>LOG(AB105/8.314/298.15)</f>
        <v>-1.8757308939740664</v>
      </c>
      <c r="AD105" s="155" t="s">
        <v>383</v>
      </c>
      <c r="AF105" s="55">
        <f ca="1">'Table S4 Conversions and Notes'!J82</f>
        <v>-2.6146858542422149</v>
      </c>
      <c r="AG105" s="7" t="s">
        <v>1910</v>
      </c>
      <c r="AI105" s="17">
        <f>LOG('Table S4 Conversions and Notes'!$J$88)</f>
        <v>-2.7282422662943335</v>
      </c>
      <c r="AJ105" s="383">
        <f>10^AI105*$B$102</f>
        <v>0.5945788212748</v>
      </c>
      <c r="AK105" s="7" t="s">
        <v>1827</v>
      </c>
      <c r="AL105" s="84"/>
      <c r="AM105" s="47"/>
      <c r="AN105" s="47"/>
      <c r="AO105" s="45"/>
      <c r="AP105" s="47"/>
      <c r="AQ105" s="47" t="s">
        <v>1749</v>
      </c>
      <c r="AR105" s="47"/>
      <c r="AS105" s="84"/>
      <c r="AT105" s="107">
        <v>89</v>
      </c>
      <c r="AU105" s="107">
        <f>273.15+AT105</f>
        <v>362.15</v>
      </c>
      <c r="AV105" s="45" t="s">
        <v>791</v>
      </c>
      <c r="AW105" s="47"/>
      <c r="AX105" s="47"/>
    </row>
    <row r="106" spans="1:50" ht="18">
      <c r="A106" s="3"/>
      <c r="B106" s="4"/>
      <c r="C106" s="87"/>
      <c r="D106" s="113"/>
      <c r="E106" s="30"/>
      <c r="F106" s="3"/>
      <c r="G106" s="4"/>
      <c r="H106" s="4"/>
      <c r="I106" s="3"/>
      <c r="J106" s="4"/>
      <c r="K106" s="4"/>
      <c r="L106" s="115"/>
      <c r="M106" s="4"/>
      <c r="N106" s="70"/>
      <c r="O106" s="87"/>
      <c r="P106" s="4"/>
      <c r="Q106" s="4"/>
      <c r="R106" s="3"/>
      <c r="S106" s="4"/>
      <c r="T106" s="4"/>
      <c r="U106" s="87"/>
      <c r="V106" s="9"/>
      <c r="W106" s="45"/>
      <c r="Y106" s="176">
        <f ca="1">'Table S4 Conversions and Notes'!J93</f>
        <v>6.2567127516517393</v>
      </c>
      <c r="Z106" s="185" t="s">
        <v>2600</v>
      </c>
      <c r="AB106" s="192">
        <f ca="1">10^AC106*8.314*298.15</f>
        <v>142.23018431855431</v>
      </c>
      <c r="AC106" s="154">
        <f ca="1">'Table S4 Conversions and Notes'!J110</f>
        <v>-1.2412530610032442</v>
      </c>
      <c r="AD106" s="155" t="s">
        <v>797</v>
      </c>
      <c r="AF106" s="55">
        <f ca="1">'Table S4 Conversions and Notes'!J83</f>
        <v>-2.323756185482559</v>
      </c>
      <c r="AG106" s="7" t="s">
        <v>372</v>
      </c>
      <c r="AI106" s="17">
        <f ca="1">LOG('Table S4 Conversions and Notes'!$J$89)</f>
        <v>-3.4031374077604015</v>
      </c>
      <c r="AJ106" s="383">
        <f ca="1">10^AI106*$B$102</f>
        <v>0.12569392680267372</v>
      </c>
      <c r="AK106" s="7" t="s">
        <v>353</v>
      </c>
      <c r="AL106" s="84"/>
      <c r="AM106" s="47"/>
      <c r="AN106" s="47"/>
      <c r="AO106" s="45"/>
      <c r="AP106" s="47"/>
      <c r="AQ106" s="47"/>
      <c r="AS106" s="84"/>
      <c r="AT106" s="121"/>
      <c r="AU106" s="47"/>
      <c r="AV106" s="45"/>
      <c r="AW106" s="47"/>
      <c r="AX106" s="47"/>
    </row>
    <row r="107" spans="1:50" ht="18">
      <c r="A107" s="3"/>
      <c r="B107" s="4"/>
      <c r="C107" s="87"/>
      <c r="F107" s="3"/>
      <c r="G107" s="4"/>
      <c r="H107" s="4"/>
      <c r="I107" s="3"/>
      <c r="J107" s="4"/>
      <c r="K107" s="4"/>
      <c r="L107" s="115"/>
      <c r="M107" s="4"/>
      <c r="N107" s="70"/>
      <c r="O107" s="87"/>
      <c r="P107" s="4"/>
      <c r="Q107" s="4"/>
      <c r="R107" s="3"/>
      <c r="S107" s="4"/>
      <c r="T107" s="4"/>
      <c r="U107" s="87"/>
      <c r="V107" s="9"/>
      <c r="W107" s="45"/>
      <c r="Y107" s="176">
        <f ca="1">'Table S4 Conversions and Notes'!J95</f>
        <v>5.5967127516517392</v>
      </c>
      <c r="Z107" s="185" t="s">
        <v>1835</v>
      </c>
      <c r="AD107" s="42"/>
      <c r="AF107" s="55">
        <f ca="1">'Table S4 Conversions and Notes'!J84</f>
        <v>-2.9674256429968606</v>
      </c>
      <c r="AG107" s="7" t="s">
        <v>373</v>
      </c>
      <c r="AI107" s="17">
        <f>LOG('Table S4 Conversions and Notes'!$J$87)</f>
        <v>-3.6645731864249562</v>
      </c>
      <c r="AJ107" s="383">
        <f>10^AI107*$B$102</f>
        <v>6.8845968779187458E-2</v>
      </c>
      <c r="AK107" s="7" t="s">
        <v>790</v>
      </c>
      <c r="AL107" s="84"/>
      <c r="AM107" s="47"/>
      <c r="AN107" s="47"/>
      <c r="AO107" s="45"/>
      <c r="AP107" s="47"/>
      <c r="AQ107" s="47"/>
      <c r="AR107" s="47"/>
      <c r="AS107" s="84"/>
      <c r="AT107" s="121"/>
      <c r="AU107" s="47"/>
      <c r="AV107" s="45"/>
      <c r="AW107" s="47"/>
      <c r="AX107" s="47"/>
    </row>
    <row r="108" spans="1:50" ht="18">
      <c r="A108" s="3"/>
      <c r="B108" s="4"/>
      <c r="C108" s="87"/>
      <c r="F108" s="3"/>
      <c r="G108" s="4"/>
      <c r="H108" s="4"/>
      <c r="I108" s="3"/>
      <c r="J108" s="4"/>
      <c r="K108" s="4"/>
      <c r="L108" s="115"/>
      <c r="M108" s="4"/>
      <c r="N108" s="70"/>
      <c r="O108" s="87"/>
      <c r="P108" s="4"/>
      <c r="Q108" s="4"/>
      <c r="R108" s="3"/>
      <c r="S108" s="4"/>
      <c r="T108" s="4"/>
      <c r="U108" s="87"/>
      <c r="V108" s="9"/>
      <c r="W108" s="45"/>
      <c r="Y108" s="176">
        <f ca="1">'Table S4 Conversions and Notes'!J91</f>
        <v>5.9714938516428564</v>
      </c>
      <c r="Z108" s="185" t="s">
        <v>1830</v>
      </c>
      <c r="AB108" s="47"/>
      <c r="AC108" s="17"/>
      <c r="AD108" s="45"/>
      <c r="AF108" s="15">
        <v>-2.5175102999809149</v>
      </c>
      <c r="AG108" s="45" t="s">
        <v>256</v>
      </c>
      <c r="AL108" s="84"/>
      <c r="AM108" s="47"/>
      <c r="AN108" s="47"/>
      <c r="AO108" s="45"/>
      <c r="AP108" s="47"/>
      <c r="AQ108" s="47"/>
      <c r="AR108" s="47"/>
      <c r="AS108" s="84"/>
      <c r="AT108" s="121"/>
      <c r="AU108" s="47"/>
      <c r="AV108" s="45"/>
      <c r="AW108" s="47"/>
      <c r="AX108" s="47"/>
    </row>
    <row r="109" spans="1:50" ht="18">
      <c r="A109" s="3"/>
      <c r="B109" s="4"/>
      <c r="C109" s="87"/>
      <c r="F109" s="3"/>
      <c r="G109" s="4"/>
      <c r="H109" s="4"/>
      <c r="I109" s="3"/>
      <c r="J109" s="4"/>
      <c r="K109" s="4"/>
      <c r="L109" s="115"/>
      <c r="M109" s="4"/>
      <c r="N109" s="70"/>
      <c r="O109" s="87"/>
      <c r="P109" s="4"/>
      <c r="Q109" s="4"/>
      <c r="R109" s="3"/>
      <c r="S109" s="4"/>
      <c r="T109" s="4"/>
      <c r="U109" s="87"/>
      <c r="V109" s="6"/>
      <c r="W109" s="45"/>
      <c r="Y109" s="176">
        <f ca="1">'Table S4 Conversions and Notes'!J90</f>
        <v>5.7967127516517385</v>
      </c>
      <c r="Z109" s="185" t="s">
        <v>1832</v>
      </c>
      <c r="AB109" s="47"/>
      <c r="AC109" s="17"/>
      <c r="AD109" s="45"/>
      <c r="AF109" s="15">
        <v>-2.58</v>
      </c>
      <c r="AG109" s="7" t="s">
        <v>802</v>
      </c>
      <c r="AH109" s="78"/>
      <c r="AI109" s="52"/>
      <c r="AJ109" s="47"/>
      <c r="AK109" s="45"/>
      <c r="AL109" s="84"/>
      <c r="AM109" s="47"/>
      <c r="AN109" s="47"/>
      <c r="AO109" s="45"/>
      <c r="AP109" s="47"/>
      <c r="AQ109" s="47"/>
      <c r="AR109" s="47"/>
      <c r="AS109" s="84"/>
      <c r="AT109" s="121"/>
      <c r="AU109" s="47"/>
      <c r="AV109" s="45"/>
      <c r="AW109" s="47"/>
      <c r="AX109" s="47"/>
    </row>
    <row r="110" spans="1:50">
      <c r="A110" s="3"/>
      <c r="B110" s="4"/>
      <c r="C110" s="87"/>
      <c r="F110" s="3"/>
      <c r="G110" s="4"/>
      <c r="H110" s="4"/>
      <c r="I110" s="3"/>
      <c r="J110" s="4"/>
      <c r="K110" s="4"/>
      <c r="L110" s="115"/>
      <c r="M110" s="4"/>
      <c r="N110" s="70"/>
      <c r="O110" s="87"/>
      <c r="P110" s="4"/>
      <c r="Q110" s="4"/>
      <c r="R110" s="3"/>
      <c r="S110" s="4"/>
      <c r="T110" s="4"/>
      <c r="U110" s="87"/>
      <c r="V110" s="9"/>
      <c r="W110" s="45"/>
      <c r="AB110" s="47"/>
      <c r="AC110" s="17"/>
      <c r="AD110" s="45"/>
      <c r="AF110" s="55"/>
      <c r="AG110" s="7"/>
      <c r="AJ110" s="47"/>
      <c r="AK110" s="45"/>
      <c r="AL110" s="84"/>
      <c r="AM110" s="47"/>
      <c r="AN110" s="47"/>
      <c r="AO110" s="45"/>
      <c r="AP110" s="47"/>
      <c r="AQ110" s="47"/>
      <c r="AR110" s="47"/>
      <c r="AS110" s="84"/>
      <c r="AT110" s="121"/>
      <c r="AU110" s="47"/>
      <c r="AV110" s="45"/>
      <c r="AW110" s="47"/>
      <c r="AX110" s="47"/>
    </row>
    <row r="111" spans="1:50">
      <c r="A111" s="3"/>
      <c r="B111" s="4"/>
      <c r="C111" s="87"/>
      <c r="D111" s="4"/>
      <c r="E111" s="4"/>
      <c r="F111" s="3"/>
      <c r="G111" s="4"/>
      <c r="H111" s="4"/>
      <c r="I111" s="3"/>
      <c r="J111" s="4"/>
      <c r="K111" s="4"/>
      <c r="L111" s="115"/>
      <c r="M111" s="4"/>
      <c r="N111" s="70"/>
      <c r="O111" s="87"/>
      <c r="P111" s="4"/>
      <c r="Q111" s="4"/>
      <c r="R111" s="3"/>
      <c r="S111" s="4"/>
      <c r="T111" s="4"/>
      <c r="U111" s="87"/>
      <c r="V111" s="9"/>
      <c r="W111" s="45"/>
      <c r="Z111" s="42"/>
      <c r="AB111" s="47"/>
      <c r="AC111" s="47"/>
      <c r="AD111" s="45"/>
      <c r="AF111" s="135"/>
      <c r="AG111" s="7"/>
      <c r="AL111" s="84"/>
      <c r="AM111" s="47"/>
      <c r="AN111" s="47"/>
      <c r="AO111" s="45"/>
      <c r="AP111" s="47"/>
      <c r="AQ111" s="47"/>
      <c r="AR111" s="47"/>
      <c r="AS111" s="84"/>
      <c r="AT111" s="121"/>
      <c r="AU111" s="47"/>
      <c r="AV111" s="45"/>
      <c r="AW111" s="47"/>
      <c r="AX111" s="47"/>
    </row>
    <row r="112" spans="1:50" ht="18">
      <c r="A112" s="3" t="s">
        <v>56</v>
      </c>
      <c r="B112" s="4" t="s">
        <v>57</v>
      </c>
      <c r="C112" s="158">
        <f>AVERAGE(D112:D114)</f>
        <v>84.896999999999991</v>
      </c>
      <c r="D112" s="30">
        <v>80.7</v>
      </c>
      <c r="E112" s="30" t="s">
        <v>250</v>
      </c>
      <c r="F112" s="191">
        <f>G112</f>
        <v>19.577876175193587</v>
      </c>
      <c r="G112" s="318">
        <f>'Table S4 Conversions and Notes'!$J$447</f>
        <v>19.577876175193587</v>
      </c>
      <c r="H112" s="70" t="s">
        <v>2239</v>
      </c>
      <c r="I112" s="83"/>
      <c r="J112" s="70"/>
      <c r="K112" s="70"/>
      <c r="L112" s="158">
        <f>AVERAGE(M112:M113)</f>
        <v>81.650000000000006</v>
      </c>
      <c r="M112" s="70">
        <v>79.599999999999994</v>
      </c>
      <c r="N112" s="70" t="s">
        <v>250</v>
      </c>
      <c r="O112" s="87"/>
      <c r="P112" s="52"/>
      <c r="Q112" s="47"/>
      <c r="R112" s="78"/>
      <c r="S112" s="22"/>
      <c r="T112" s="47"/>
      <c r="U112" s="130">
        <f>AVERAGE(V112:V113)</f>
        <v>9.4062489048902727</v>
      </c>
      <c r="V112" s="15">
        <v>9.242497809780545</v>
      </c>
      <c r="W112" s="45" t="s">
        <v>256</v>
      </c>
      <c r="X112" s="75">
        <f ca="1">AVERAGE(Y112:Y112)</f>
        <v>4.846614783104398</v>
      </c>
      <c r="Y112" s="17">
        <f ca="1">'Table S4 Conversions and Notes'!$J$202</f>
        <v>4.846614783104398</v>
      </c>
      <c r="Z112" s="45" t="s">
        <v>814</v>
      </c>
      <c r="AB112" s="114"/>
      <c r="AC112" s="17"/>
      <c r="AD112" s="45"/>
      <c r="AE112" s="130">
        <f>AVERAGE(AF112:AF113)</f>
        <v>-2.5591147360710078</v>
      </c>
      <c r="AF112" s="15">
        <v>-2.5182294721420155</v>
      </c>
      <c r="AG112" s="45" t="s">
        <v>256</v>
      </c>
      <c r="AH112" s="130">
        <f>AVERAGE(AI112)</f>
        <v>-2.8132219825685367</v>
      </c>
      <c r="AI112" s="17">
        <f>LOG(AJ112/$B$113)</f>
        <v>-2.8132219825685367</v>
      </c>
      <c r="AJ112" s="17">
        <f>'Table S4 Conversions and Notes'!J98</f>
        <v>0.49201023483510259</v>
      </c>
      <c r="AK112" s="45" t="s">
        <v>1838</v>
      </c>
      <c r="AO112" s="42"/>
      <c r="AP112" s="168">
        <f>AVERAGE(AQ112:AQ114)</f>
        <v>75.441327990841444</v>
      </c>
      <c r="AQ112" s="107">
        <f>6300*4.184/AU113</f>
        <v>75.441327990841444</v>
      </c>
      <c r="AR112" s="6" t="s">
        <v>807</v>
      </c>
      <c r="AS112" s="201">
        <f>AVERAGE(AT112:AT114)</f>
        <v>76.083333333333329</v>
      </c>
      <c r="AT112" s="121">
        <v>77</v>
      </c>
      <c r="AU112" s="107">
        <f>273.15+AT112</f>
        <v>350.15</v>
      </c>
      <c r="AV112" s="45" t="s">
        <v>800</v>
      </c>
      <c r="AW112" s="47"/>
      <c r="AX112" s="47"/>
    </row>
    <row r="113" spans="1:50" ht="18">
      <c r="A113" s="3"/>
      <c r="B113" s="171">
        <v>320.03399999999999</v>
      </c>
      <c r="C113" s="145">
        <f>_xlfn.STDEV.S(D112:D114)</f>
        <v>3.9337802429723991</v>
      </c>
      <c r="D113" s="26">
        <v>88.5</v>
      </c>
      <c r="E113" s="26" t="s">
        <v>806</v>
      </c>
      <c r="F113" s="130">
        <f>F112*RSD_dHw</f>
        <v>3.9155752350387178</v>
      </c>
      <c r="G113" s="70"/>
      <c r="H113" s="70"/>
      <c r="I113" s="83"/>
      <c r="J113" s="70"/>
      <c r="K113" s="70"/>
      <c r="L113" s="145">
        <f>_xlfn.STDEV.S(M112:M113)</f>
        <v>2.8991378028648507</v>
      </c>
      <c r="M113" s="70">
        <v>83.7</v>
      </c>
      <c r="N113" s="70" t="s">
        <v>803</v>
      </c>
      <c r="O113" s="87"/>
      <c r="P113" s="52"/>
      <c r="Q113" s="47"/>
      <c r="R113" s="78"/>
      <c r="S113" s="22"/>
      <c r="T113" s="47"/>
      <c r="U113" s="130">
        <f>_xlfn.STDEV.S(V112:V113)</f>
        <v>0.23157901955762342</v>
      </c>
      <c r="V113" s="47">
        <v>9.57</v>
      </c>
      <c r="W113" s="45" t="s">
        <v>802</v>
      </c>
      <c r="X113" s="75">
        <f ca="1">RSD_Inf*X112</f>
        <v>0.96932295662087964</v>
      </c>
      <c r="Y113" s="177">
        <v>6.08</v>
      </c>
      <c r="Z113" s="155" t="s">
        <v>820</v>
      </c>
      <c r="AB113" s="47"/>
      <c r="AC113" s="47"/>
      <c r="AD113" s="45"/>
      <c r="AE113" s="199">
        <f>_xlfn.STDEV.S(AF112:AF113)</f>
        <v>5.7820494749584374E-2</v>
      </c>
      <c r="AF113" s="6">
        <v>-2.6</v>
      </c>
      <c r="AG113" s="7" t="s">
        <v>802</v>
      </c>
      <c r="AH113" s="131">
        <f>ABS(AH112*RSD_SW)</f>
        <v>0.34786780408046797</v>
      </c>
      <c r="AI113" s="154">
        <f>LOG(AJ113/$B$113)</f>
        <v>-2.8140914412811657</v>
      </c>
      <c r="AJ113" s="154">
        <f>'Table S4 Conversions and Notes'!J97</f>
        <v>0.49102621436543231</v>
      </c>
      <c r="AK113" s="155" t="s">
        <v>799</v>
      </c>
      <c r="AO113" s="42"/>
      <c r="AP113" s="168">
        <f>AP112*RSD_dSf</f>
        <v>5.9462572584268036</v>
      </c>
      <c r="AQ113" s="47"/>
      <c r="AR113" s="47"/>
      <c r="AS113" s="182">
        <f>_xlfn.STDEV.S(AT112:AT114)</f>
        <v>1.0103629710818451</v>
      </c>
      <c r="AT113" s="107">
        <f>AU113-273.15</f>
        <v>76.25</v>
      </c>
      <c r="AU113" s="47">
        <v>349.4</v>
      </c>
      <c r="AV113" s="7" t="s">
        <v>807</v>
      </c>
      <c r="AW113" s="47"/>
      <c r="AX113" s="47"/>
    </row>
    <row r="114" spans="1:50" ht="18">
      <c r="A114" s="3"/>
      <c r="B114" s="171"/>
      <c r="C114" s="324">
        <f>COUNTA(D112:D115)</f>
        <v>3</v>
      </c>
      <c r="D114" s="26">
        <v>85.491</v>
      </c>
      <c r="E114" s="70" t="s">
        <v>803</v>
      </c>
      <c r="F114" s="324">
        <f>COUNTA(G112:G115)</f>
        <v>1</v>
      </c>
      <c r="G114" s="70"/>
      <c r="H114" s="70"/>
      <c r="I114" s="83"/>
      <c r="J114" s="70"/>
      <c r="K114" s="70"/>
      <c r="L114" s="324">
        <f>COUNTA(M112:M114)</f>
        <v>2</v>
      </c>
      <c r="M114" s="70"/>
      <c r="N114" s="70"/>
      <c r="O114" s="87"/>
      <c r="P114" s="52"/>
      <c r="Q114" s="47"/>
      <c r="R114" s="78"/>
      <c r="S114" s="22"/>
      <c r="T114" s="47"/>
      <c r="U114" s="324">
        <f>COUNTA(V112:V115)</f>
        <v>2</v>
      </c>
      <c r="V114" s="47"/>
      <c r="W114" s="45"/>
      <c r="X114" s="324">
        <f ca="1">COUNTA(Y112)</f>
        <v>1</v>
      </c>
      <c r="Z114" s="42"/>
      <c r="AB114" s="47"/>
      <c r="AC114" s="47"/>
      <c r="AD114" s="45"/>
      <c r="AE114" s="324">
        <f>COUNTA(AF112:AF113)</f>
        <v>2</v>
      </c>
      <c r="AF114" s="176">
        <f ca="1">'Table S4 Conversions and Notes'!$J$60</f>
        <v>-3.1508823421943397</v>
      </c>
      <c r="AG114" s="185" t="s">
        <v>1911</v>
      </c>
      <c r="AH114" s="324">
        <f>COUNTA(AI112)</f>
        <v>1</v>
      </c>
      <c r="AI114" s="154"/>
      <c r="AJ114" s="154"/>
      <c r="AK114" s="155"/>
      <c r="AO114" s="42"/>
      <c r="AP114" s="324">
        <f>COUNTA(AQ112:AQ114)</f>
        <v>1</v>
      </c>
      <c r="AQ114" s="47"/>
      <c r="AR114" s="47"/>
      <c r="AS114" s="324">
        <f>COUNTA(AT112:AT114)</f>
        <v>3</v>
      </c>
      <c r="AT114" s="121">
        <f>AVERAGE(74.5,75.5)</f>
        <v>75</v>
      </c>
      <c r="AU114" s="107">
        <f>273.15+AT114</f>
        <v>348.15</v>
      </c>
      <c r="AV114" s="7" t="s">
        <v>810</v>
      </c>
      <c r="AW114" s="47"/>
      <c r="AX114" s="47"/>
    </row>
    <row r="115" spans="1:50">
      <c r="A115" s="3"/>
      <c r="B115" s="4" t="s">
        <v>20</v>
      </c>
      <c r="C115" s="87"/>
      <c r="D115" s="4"/>
      <c r="E115" s="4"/>
      <c r="F115" s="3"/>
      <c r="G115" s="4"/>
      <c r="H115" s="4"/>
      <c r="I115" s="3"/>
      <c r="J115" s="4"/>
      <c r="K115" s="4"/>
      <c r="L115" s="115"/>
      <c r="M115" s="4"/>
      <c r="N115" s="70"/>
      <c r="O115" s="87"/>
      <c r="P115" s="4"/>
      <c r="Q115" s="4"/>
      <c r="R115" s="3"/>
      <c r="S115" s="4"/>
      <c r="T115" s="4"/>
      <c r="U115" s="87"/>
      <c r="V115" s="47"/>
      <c r="W115" s="42"/>
      <c r="Y115" s="47"/>
      <c r="Z115" s="45"/>
      <c r="AB115" s="47"/>
      <c r="AC115" s="47"/>
      <c r="AD115" s="45"/>
      <c r="AF115" s="6"/>
      <c r="AG115" s="7"/>
      <c r="AJ115" s="47"/>
      <c r="AK115" s="45"/>
      <c r="AL115" s="84"/>
      <c r="AM115" s="47"/>
      <c r="AN115" s="47"/>
      <c r="AO115" s="45"/>
      <c r="AP115" s="47"/>
      <c r="AQ115" s="47"/>
      <c r="AR115" s="45"/>
      <c r="AS115" s="47"/>
      <c r="AT115" s="121"/>
      <c r="AU115" s="47"/>
      <c r="AV115" s="45"/>
      <c r="AW115" s="47"/>
      <c r="AX115" s="47"/>
    </row>
    <row r="116" spans="1:50" ht="16.5">
      <c r="A116" s="3" t="s">
        <v>58</v>
      </c>
      <c r="B116" s="4" t="s">
        <v>59</v>
      </c>
      <c r="C116" s="158">
        <f>AVERAGE(D116:D118)</f>
        <v>87.153382188230282</v>
      </c>
      <c r="D116" s="30">
        <v>84.7</v>
      </c>
      <c r="E116" s="30" t="s">
        <v>250</v>
      </c>
      <c r="F116" s="191">
        <f>G116</f>
        <v>10.601937492331281</v>
      </c>
      <c r="G116" s="318">
        <f>'Table S4 Conversions and Notes'!$J$448</f>
        <v>10.601937492331281</v>
      </c>
      <c r="H116" s="70" t="s">
        <v>2240</v>
      </c>
      <c r="I116" s="95"/>
      <c r="J116" s="96"/>
      <c r="K116" s="96"/>
      <c r="L116" s="158">
        <f>AVERAGE(M116:M117)</f>
        <v>85</v>
      </c>
      <c r="M116" s="70">
        <v>83.6</v>
      </c>
      <c r="N116" s="70" t="s">
        <v>250</v>
      </c>
      <c r="O116" s="182">
        <f>P116</f>
        <v>39.809000000000005</v>
      </c>
      <c r="P116" s="17">
        <f>42.2-2.391</f>
        <v>39.809000000000005</v>
      </c>
      <c r="Q116" s="47" t="s">
        <v>386</v>
      </c>
      <c r="R116" s="99"/>
      <c r="S116" s="22"/>
      <c r="T116" s="209"/>
      <c r="U116" s="75">
        <f>AVERAGE(V117:V119)</f>
        <v>9.8266666666666662</v>
      </c>
      <c r="V116" s="177">
        <v>9.505589711445845</v>
      </c>
      <c r="W116" s="185" t="s">
        <v>55</v>
      </c>
      <c r="X116" s="75">
        <f>AVERAGE(Y117)</f>
        <v>6.2169999999999996</v>
      </c>
      <c r="Y116" s="210">
        <v>6.33</v>
      </c>
      <c r="Z116" s="155" t="s">
        <v>55</v>
      </c>
      <c r="AA116" s="75">
        <f>AVERAGE(AC117)</f>
        <v>-3.5688187160841309</v>
      </c>
      <c r="AB116" s="176">
        <v>0.5</v>
      </c>
      <c r="AC116" s="154">
        <f>LOG(AB116/8.314/298.15)</f>
        <v>-3.695274829515935</v>
      </c>
      <c r="AD116" s="185" t="s">
        <v>55</v>
      </c>
      <c r="AE116" s="75">
        <f ca="1">AVERAGE(AF117:AF122)</f>
        <v>-2.9619416913154448</v>
      </c>
      <c r="AF116" s="176">
        <v>-2.93</v>
      </c>
      <c r="AG116" s="185" t="s">
        <v>55</v>
      </c>
      <c r="AH116" s="75">
        <f>AVERAGE(AI117:AI119)</f>
        <v>-2.633280260227703</v>
      </c>
      <c r="AI116" s="225">
        <f>LOG(AJ116/$B$117)</f>
        <v>-2.6382721639824069</v>
      </c>
      <c r="AJ116" s="156">
        <f>320.034*0.0023</f>
        <v>0.73607820000000002</v>
      </c>
      <c r="AK116" s="155" t="s">
        <v>55</v>
      </c>
      <c r="AO116" s="7"/>
      <c r="AP116" s="168">
        <f>AVERAGE(AQ116:AQ118)</f>
        <v>76.233760351550458</v>
      </c>
      <c r="AQ116" s="107">
        <f>7400*4.184/AU116</f>
        <v>80.987705990060164</v>
      </c>
      <c r="AR116" s="7" t="s">
        <v>807</v>
      </c>
      <c r="AS116" s="168">
        <f>AVERAGE(AT116:AT120)</f>
        <v>109.78000000000002</v>
      </c>
      <c r="AT116" s="107">
        <f>AU116-273.15</f>
        <v>109.15000000000003</v>
      </c>
      <c r="AU116" s="6">
        <v>382.3</v>
      </c>
      <c r="AV116" s="7" t="s">
        <v>807</v>
      </c>
      <c r="AW116" s="6"/>
      <c r="AX116" s="6"/>
    </row>
    <row r="117" spans="1:50" ht="18">
      <c r="A117" s="3"/>
      <c r="B117" s="171">
        <v>320.03399999999999</v>
      </c>
      <c r="C117" s="145">
        <f>_xlfn.STDEV.S(D116:D118)</f>
        <v>2.1271417621101278</v>
      </c>
      <c r="D117" s="30">
        <v>88.278000000000006</v>
      </c>
      <c r="E117" s="70" t="s">
        <v>803</v>
      </c>
      <c r="F117" s="130">
        <f>F116*RSD_dHw</f>
        <v>2.1203874984662563</v>
      </c>
      <c r="G117" s="70"/>
      <c r="H117" s="70"/>
      <c r="I117" s="83"/>
      <c r="J117" s="70"/>
      <c r="K117" s="70"/>
      <c r="L117" s="145">
        <f>_xlfn.STDEV.S(M116:M117)</f>
        <v>1.9798989873223412</v>
      </c>
      <c r="M117" s="70">
        <v>86.4</v>
      </c>
      <c r="N117" s="70" t="s">
        <v>803</v>
      </c>
      <c r="O117" s="182">
        <f>O116*RSD_dUaw</f>
        <v>11.9427</v>
      </c>
      <c r="P117" s="52"/>
      <c r="Q117" s="47"/>
      <c r="R117" s="78"/>
      <c r="S117" s="22"/>
      <c r="T117" s="45"/>
      <c r="U117" s="75">
        <f>_xlfn.STDEV.S(V117:V119)</f>
        <v>0.2973774257292125</v>
      </c>
      <c r="V117" s="101">
        <v>9.51</v>
      </c>
      <c r="W117" s="45" t="s">
        <v>256</v>
      </c>
      <c r="X117" s="75">
        <f>RSD_Kow*X116</f>
        <v>0.42145360113629754</v>
      </c>
      <c r="Y117" s="15">
        <v>6.2169999999999996</v>
      </c>
      <c r="Z117" s="45" t="s">
        <v>2387</v>
      </c>
      <c r="AA117" s="130">
        <f>ABS(AA116*RSD_Kaw)</f>
        <v>0.71376374321682623</v>
      </c>
      <c r="AB117" s="6">
        <v>0.66900000000000004</v>
      </c>
      <c r="AC117" s="17">
        <f>LOG(AB117/8.314/298.15)</f>
        <v>-3.5688187160841309</v>
      </c>
      <c r="AD117" s="7" t="s">
        <v>388</v>
      </c>
      <c r="AE117" s="75">
        <f ca="1">_xlfn.STDEV.S(AF117:AF122)</f>
        <v>0.16052646786295441</v>
      </c>
      <c r="AF117" s="15">
        <v>-2.8084598508579783</v>
      </c>
      <c r="AG117" s="45" t="s">
        <v>256</v>
      </c>
      <c r="AH117" s="75">
        <f>_xlfn.STDEV.S(AI117:AI119)</f>
        <v>0.46795754401306722</v>
      </c>
      <c r="AI117" s="46">
        <f>LOG('Table S4 Conversions and Notes'!$J$451)</f>
        <v>-3.1537130986757838</v>
      </c>
      <c r="AJ117" s="17">
        <f>10^AI117*B117</f>
        <v>0.22463789506643636</v>
      </c>
      <c r="AK117" s="7" t="s">
        <v>2243</v>
      </c>
      <c r="AO117" s="7"/>
      <c r="AP117" s="168">
        <f>_xlfn.STDEV.S(AQ116:AQ117)</f>
        <v>6.7230943967648491</v>
      </c>
      <c r="AQ117" s="107">
        <f>6528*4.184/AU121</f>
        <v>71.479814713040753</v>
      </c>
      <c r="AR117" s="45" t="s">
        <v>1748</v>
      </c>
      <c r="AS117" s="168">
        <f>_xlfn.STDEV.S(AT116:AT120)</f>
        <v>0.7973393255070198</v>
      </c>
      <c r="AT117" s="121">
        <f>AVERAGE(109.5,110)</f>
        <v>109.75</v>
      </c>
      <c r="AU117" s="107">
        <f>273.15+AT117</f>
        <v>382.9</v>
      </c>
      <c r="AV117" s="7" t="s">
        <v>810</v>
      </c>
      <c r="AW117" s="6"/>
      <c r="AX117" s="6"/>
    </row>
    <row r="118" spans="1:50" ht="18">
      <c r="A118" s="3"/>
      <c r="B118" s="4" t="s">
        <v>20</v>
      </c>
      <c r="C118" s="324">
        <f>COUNTA(D116:D119)</f>
        <v>3</v>
      </c>
      <c r="D118" s="113">
        <f>4622*(LN(10)*8.314)/1000</f>
        <v>88.482146564690851</v>
      </c>
      <c r="E118" s="30" t="s">
        <v>805</v>
      </c>
      <c r="F118" s="324">
        <f>COUNTA(G116:G119)</f>
        <v>1</v>
      </c>
      <c r="G118" s="4"/>
      <c r="H118" s="4"/>
      <c r="I118" s="3"/>
      <c r="J118" s="4"/>
      <c r="K118" s="4"/>
      <c r="L118" s="324">
        <f>COUNTA(M116:M117)</f>
        <v>2</v>
      </c>
      <c r="M118" s="204">
        <f>'Table S4 Conversions and Notes'!$J$560</f>
        <v>80.130789270000008</v>
      </c>
      <c r="N118" s="180" t="s">
        <v>2774</v>
      </c>
      <c r="O118" s="324">
        <f>COUNTA(P116:P118)</f>
        <v>1</v>
      </c>
      <c r="P118" s="4"/>
      <c r="Q118" s="4"/>
      <c r="R118" s="3"/>
      <c r="S118" s="4"/>
      <c r="T118" s="4"/>
      <c r="U118" s="324">
        <f>COUNTA(V117:V119)</f>
        <v>3</v>
      </c>
      <c r="V118" s="6">
        <v>10.1</v>
      </c>
      <c r="W118" s="7" t="s">
        <v>1789</v>
      </c>
      <c r="X118" s="324">
        <f>COUNTA(Y117)</f>
        <v>1</v>
      </c>
      <c r="Y118" s="176">
        <f ca="1">'Table S4 Conversions and Notes'!J100</f>
        <v>4.804326869335747</v>
      </c>
      <c r="Z118" s="185" t="s">
        <v>2601</v>
      </c>
      <c r="AA118" s="324">
        <f>COUNTA(AC117)</f>
        <v>1</v>
      </c>
      <c r="AB118" s="175">
        <v>0.96</v>
      </c>
      <c r="AC118" s="154">
        <f>LOG(AB118/8.314/298.15)</f>
        <v>-3.4119736008123858</v>
      </c>
      <c r="AD118" s="155" t="s">
        <v>386</v>
      </c>
      <c r="AE118" s="324">
        <f ca="1">COUNTA(AF117:AF122)</f>
        <v>6</v>
      </c>
      <c r="AF118" s="6">
        <v>-2.89</v>
      </c>
      <c r="AG118" s="7" t="s">
        <v>802</v>
      </c>
      <c r="AH118" s="324">
        <f>COUNTA(AI117:AI119)</f>
        <v>3</v>
      </c>
      <c r="AI118" s="46">
        <f>LOG('Table S4 Conversions and Notes'!$J$99)</f>
        <v>-2.2471809251755057</v>
      </c>
      <c r="AJ118" s="17">
        <f>10^AI118*$B$117</f>
        <v>1.8114034663368341</v>
      </c>
      <c r="AK118" s="7" t="s">
        <v>1797</v>
      </c>
      <c r="AL118" s="84"/>
      <c r="AM118" s="47"/>
      <c r="AN118" s="47"/>
      <c r="AO118" s="45"/>
      <c r="AP118" s="324">
        <f>COUNTA(AQ116:AQ118)</f>
        <v>2</v>
      </c>
      <c r="AQ118" s="47"/>
      <c r="AR118" s="45"/>
      <c r="AS118" s="324">
        <f>COUNTA(AT116:AT120)</f>
        <v>5</v>
      </c>
      <c r="AT118" s="121">
        <v>110</v>
      </c>
      <c r="AU118" s="107">
        <f>273.15+AT118</f>
        <v>383.15</v>
      </c>
      <c r="AV118" s="45" t="s">
        <v>827</v>
      </c>
      <c r="AW118" s="47"/>
      <c r="AX118" s="47"/>
    </row>
    <row r="119" spans="1:50" ht="18">
      <c r="A119" s="3"/>
      <c r="B119" s="4"/>
      <c r="C119" s="87"/>
      <c r="D119" s="4"/>
      <c r="E119" s="4"/>
      <c r="F119" s="3"/>
      <c r="G119" s="4"/>
      <c r="H119" s="4"/>
      <c r="I119" s="3"/>
      <c r="J119" s="4"/>
      <c r="K119" s="4"/>
      <c r="L119" s="115"/>
      <c r="M119" s="4"/>
      <c r="N119" s="70"/>
      <c r="O119" s="87"/>
      <c r="P119" s="4"/>
      <c r="Q119" s="4"/>
      <c r="R119" s="3"/>
      <c r="S119" s="4"/>
      <c r="T119" s="4"/>
      <c r="U119" s="87"/>
      <c r="V119" s="9">
        <v>9.8699999999999992</v>
      </c>
      <c r="W119" s="45" t="s">
        <v>802</v>
      </c>
      <c r="Y119" s="176">
        <f ca="1">'Table S4 Conversions and Notes'!J101</f>
        <v>5.1743268693357471</v>
      </c>
      <c r="Z119" s="185" t="s">
        <v>2602</v>
      </c>
      <c r="AB119" s="47"/>
      <c r="AC119" s="47"/>
      <c r="AD119" s="45"/>
      <c r="AF119" s="6">
        <v>-3.0070000000000001</v>
      </c>
      <c r="AG119" s="7" t="s">
        <v>66</v>
      </c>
      <c r="AI119" s="46">
        <f>LOG('Table S4 Conversions and Notes'!$J$453)</f>
        <v>-2.4989467568318187</v>
      </c>
      <c r="AJ119" s="17">
        <f>10^AI119*$B$117</f>
        <v>1.0144937196548733</v>
      </c>
      <c r="AK119" s="7" t="s">
        <v>2244</v>
      </c>
      <c r="AL119" s="84"/>
      <c r="AM119" s="47"/>
      <c r="AN119" s="47"/>
      <c r="AO119" s="45"/>
      <c r="AP119" s="47"/>
      <c r="AQ119" s="47"/>
      <c r="AR119" s="47"/>
      <c r="AS119" s="84"/>
      <c r="AT119" s="121">
        <v>109</v>
      </c>
      <c r="AU119" s="107">
        <f>273.15+AT119</f>
        <v>382.15</v>
      </c>
      <c r="AV119" s="45" t="s">
        <v>827</v>
      </c>
      <c r="AW119" s="47"/>
      <c r="AX119" s="47"/>
    </row>
    <row r="120" spans="1:50" ht="18">
      <c r="A120" s="3"/>
      <c r="B120" s="4"/>
      <c r="C120" s="87"/>
      <c r="D120" s="4"/>
      <c r="E120" s="4"/>
      <c r="F120" s="3"/>
      <c r="G120" s="4"/>
      <c r="H120" s="4"/>
      <c r="I120" s="3"/>
      <c r="J120" s="4"/>
      <c r="K120" s="4"/>
      <c r="L120" s="115"/>
      <c r="M120" s="4"/>
      <c r="N120" s="70"/>
      <c r="O120" s="87"/>
      <c r="P120" s="4"/>
      <c r="Q120" s="4"/>
      <c r="R120" s="3"/>
      <c r="S120" s="4"/>
      <c r="T120" s="4"/>
      <c r="U120" s="87"/>
      <c r="W120" s="45"/>
      <c r="Y120" s="202">
        <v>4.7300000000000004</v>
      </c>
      <c r="Z120" s="185" t="s">
        <v>2605</v>
      </c>
      <c r="AB120" s="47"/>
      <c r="AC120" s="47"/>
      <c r="AD120" s="45"/>
      <c r="AF120" s="6">
        <f ca="1">'Table S4 Conversions and Notes'!$J$454</f>
        <v>-3.0627019691888675</v>
      </c>
      <c r="AG120" s="7" t="s">
        <v>2245</v>
      </c>
      <c r="AJ120" s="17"/>
      <c r="AK120" s="6"/>
      <c r="AL120" s="84"/>
      <c r="AM120" s="47"/>
      <c r="AN120" s="47"/>
      <c r="AO120" s="45"/>
      <c r="AP120" s="47"/>
      <c r="AQ120" s="47"/>
      <c r="AR120" s="47"/>
      <c r="AS120" s="84"/>
      <c r="AT120" s="121">
        <v>111</v>
      </c>
      <c r="AU120" s="107">
        <f>273.15+AT120</f>
        <v>384.15</v>
      </c>
      <c r="AV120" s="45" t="s">
        <v>828</v>
      </c>
      <c r="AW120" s="47"/>
      <c r="AX120" s="47"/>
    </row>
    <row r="121" spans="1:50" ht="18">
      <c r="A121" s="3"/>
      <c r="B121" s="4"/>
      <c r="C121" s="87"/>
      <c r="D121" s="4"/>
      <c r="E121" s="4"/>
      <c r="F121" s="3"/>
      <c r="G121" s="4"/>
      <c r="H121" s="4"/>
      <c r="I121" s="3"/>
      <c r="J121" s="4"/>
      <c r="K121" s="4"/>
      <c r="L121" s="115"/>
      <c r="M121" s="4"/>
      <c r="N121" s="70"/>
      <c r="O121" s="87"/>
      <c r="P121" s="4"/>
      <c r="Q121" s="4"/>
      <c r="R121" s="3"/>
      <c r="S121" s="4"/>
      <c r="T121" s="4"/>
      <c r="U121" s="87"/>
      <c r="V121" s="9"/>
      <c r="W121" s="45"/>
      <c r="Y121" s="176">
        <f ca="1">'Table S4 Conversions and Notes'!$J$455</f>
        <v>4.9442019860492357</v>
      </c>
      <c r="Z121" s="185" t="s">
        <v>2246</v>
      </c>
      <c r="AB121" s="47"/>
      <c r="AC121" s="47"/>
      <c r="AD121" s="45"/>
      <c r="AF121" s="6">
        <f>LOG(0.0016)</f>
        <v>-2.795880017344075</v>
      </c>
      <c r="AG121" s="7" t="s">
        <v>336</v>
      </c>
      <c r="AJ121" s="17"/>
      <c r="AK121" s="6"/>
      <c r="AL121" s="84"/>
      <c r="AM121" s="47"/>
      <c r="AN121" s="47"/>
      <c r="AO121" s="45"/>
      <c r="AP121" s="47"/>
      <c r="AQ121" s="47"/>
      <c r="AR121" s="47"/>
      <c r="AS121" s="84"/>
      <c r="AT121" s="121">
        <f>AU121-273.15</f>
        <v>108.96000000000004</v>
      </c>
      <c r="AU121" s="107">
        <v>382.11</v>
      </c>
      <c r="AV121" s="45" t="s">
        <v>1748</v>
      </c>
      <c r="AW121" s="47"/>
      <c r="AX121" s="47"/>
    </row>
    <row r="122" spans="1:50">
      <c r="A122" s="3"/>
      <c r="B122" s="4"/>
      <c r="C122" s="87"/>
      <c r="D122" s="4"/>
      <c r="E122" s="4"/>
      <c r="F122" s="3"/>
      <c r="G122" s="4"/>
      <c r="H122" s="4"/>
      <c r="I122" s="3"/>
      <c r="J122" s="4"/>
      <c r="K122" s="4"/>
      <c r="L122" s="115"/>
      <c r="M122" s="4"/>
      <c r="N122" s="70"/>
      <c r="O122" s="87"/>
      <c r="P122" s="4"/>
      <c r="Q122" s="4"/>
      <c r="R122" s="3"/>
      <c r="S122" s="4"/>
      <c r="T122" s="4"/>
      <c r="U122" s="87"/>
      <c r="V122" s="9"/>
      <c r="W122" s="45"/>
      <c r="Z122" s="42"/>
      <c r="AB122" s="47"/>
      <c r="AC122" s="47"/>
      <c r="AD122" s="45"/>
      <c r="AF122" s="6">
        <f>LOG(0.00062)</f>
        <v>-3.2076083105017461</v>
      </c>
      <c r="AG122" s="7" t="s">
        <v>336</v>
      </c>
      <c r="AJ122" s="17"/>
      <c r="AK122" s="6"/>
      <c r="AL122" s="84"/>
      <c r="AM122" s="47"/>
      <c r="AN122" s="47"/>
      <c r="AO122" s="45"/>
      <c r="AP122" s="47"/>
      <c r="AQ122" s="47"/>
      <c r="AR122" s="47"/>
      <c r="AS122" s="84"/>
      <c r="AT122" s="121"/>
      <c r="AU122" s="47"/>
      <c r="AV122" s="45"/>
      <c r="AW122" s="47"/>
      <c r="AX122" s="47"/>
    </row>
    <row r="123" spans="1:50">
      <c r="A123" s="3"/>
      <c r="B123" s="4"/>
      <c r="C123" s="87"/>
      <c r="D123" s="4"/>
      <c r="E123" s="4"/>
      <c r="F123" s="3"/>
      <c r="G123" s="4"/>
      <c r="H123" s="4"/>
      <c r="I123" s="3"/>
      <c r="J123" s="4"/>
      <c r="K123" s="4"/>
      <c r="L123" s="115"/>
      <c r="M123" s="4"/>
      <c r="N123" s="70"/>
      <c r="O123" s="87"/>
      <c r="P123" s="4"/>
      <c r="Q123" s="4"/>
      <c r="R123" s="3"/>
      <c r="S123" s="4"/>
      <c r="T123" s="122"/>
      <c r="V123" s="9"/>
      <c r="W123" s="45"/>
      <c r="Z123" s="42"/>
      <c r="AB123" s="47"/>
      <c r="AC123" s="47"/>
      <c r="AD123" s="45"/>
      <c r="AF123" s="6"/>
      <c r="AG123" s="7"/>
      <c r="AJ123" s="17"/>
      <c r="AK123" s="6"/>
      <c r="AL123" s="84"/>
      <c r="AN123" s="47"/>
      <c r="AO123" s="45"/>
      <c r="AP123" s="47"/>
      <c r="AQ123" s="47"/>
      <c r="AR123" s="47"/>
      <c r="AS123" s="47"/>
      <c r="AT123" s="121"/>
      <c r="AU123" s="47"/>
      <c r="AV123" s="45"/>
      <c r="AW123" s="47"/>
      <c r="AX123" s="47"/>
    </row>
    <row r="124" spans="1:50" ht="18">
      <c r="A124" s="3" t="s">
        <v>60</v>
      </c>
      <c r="B124" s="4" t="s">
        <v>61</v>
      </c>
      <c r="C124" s="158">
        <f>AVERAGE(D124:D126)</f>
        <v>86.832573778181157</v>
      </c>
      <c r="D124" s="30">
        <v>85.1</v>
      </c>
      <c r="E124" s="30" t="s">
        <v>250</v>
      </c>
      <c r="F124" s="191">
        <f>G124</f>
        <v>10.485851058199955</v>
      </c>
      <c r="G124" s="318">
        <f>'Table S4 Conversions and Notes'!$J$446</f>
        <v>10.485851058199955</v>
      </c>
      <c r="H124" s="70" t="s">
        <v>2238</v>
      </c>
      <c r="I124" s="187">
        <f>J124</f>
        <v>3.3169414751899033</v>
      </c>
      <c r="J124" s="318">
        <f>'Table S4 Conversions and Notes'!J459</f>
        <v>3.3169414751899033</v>
      </c>
      <c r="K124" s="70" t="s">
        <v>2250</v>
      </c>
      <c r="L124" s="158">
        <f>AVERAGE(M124:M125)</f>
        <v>84.5</v>
      </c>
      <c r="M124" s="70">
        <v>83.9</v>
      </c>
      <c r="N124" s="70" t="s">
        <v>250</v>
      </c>
      <c r="O124" s="87"/>
      <c r="P124" s="52"/>
      <c r="Q124" s="47"/>
      <c r="R124" s="78"/>
      <c r="S124" s="22"/>
      <c r="T124" s="45"/>
      <c r="U124" s="75">
        <f>AVERAGE(V124:V126)</f>
        <v>9.5980644474268235</v>
      </c>
      <c r="V124" s="15">
        <v>9.5441933422804688</v>
      </c>
      <c r="W124" s="45" t="s">
        <v>256</v>
      </c>
      <c r="X124" s="75">
        <f ca="1">AVERAGE(Y125:Y128)</f>
        <v>5.4158182479874863</v>
      </c>
      <c r="Y124" s="15">
        <v>5.75</v>
      </c>
      <c r="Z124" s="7" t="s">
        <v>476</v>
      </c>
      <c r="AB124" s="47"/>
      <c r="AC124" s="47"/>
      <c r="AD124" s="45"/>
      <c r="AE124" s="75">
        <f ca="1">AVERAGE(AF124:AF130)</f>
        <v>-2.8321231551578703</v>
      </c>
      <c r="AF124" s="6">
        <f ca="1">'Table S4 Conversions and Notes'!J103</f>
        <v>-2.7848837780277824</v>
      </c>
      <c r="AG124" s="7" t="s">
        <v>1912</v>
      </c>
      <c r="AH124" s="130">
        <f>AVERAGE(AI124)</f>
        <v>-2.9785206413920569</v>
      </c>
      <c r="AI124" s="17">
        <f>LOG(AJ124/$B$113)</f>
        <v>-2.9785206413920569</v>
      </c>
      <c r="AJ124" s="196">
        <f>'Table S4 Conversions and Notes'!J102</f>
        <v>0.33626020876257379</v>
      </c>
      <c r="AK124" s="7" t="s">
        <v>1837</v>
      </c>
      <c r="AL124" s="75">
        <f ca="1">AM124</f>
        <v>3.105241939387922</v>
      </c>
      <c r="AM124" s="114">
        <f ca="1">'Table S4 Conversions and Notes'!$J$457</f>
        <v>3.105241939387922</v>
      </c>
      <c r="AN124" s="123">
        <f ca="1">10^AM124*B125</f>
        <v>451677.83148062509</v>
      </c>
      <c r="AO124" s="7" t="s">
        <v>2248</v>
      </c>
      <c r="AP124" s="168">
        <f>AVERAGE(AQ124:AQ127)</f>
        <v>71.225632154001929</v>
      </c>
      <c r="AQ124" s="47">
        <v>69.900000000000006</v>
      </c>
      <c r="AR124" s="7" t="s">
        <v>810</v>
      </c>
      <c r="AS124" s="168">
        <f>AVERAGE(AT124:AT127)</f>
        <v>74.825000000000003</v>
      </c>
      <c r="AT124" s="107">
        <f>AU124-273.15</f>
        <v>75.850000000000023</v>
      </c>
      <c r="AU124" s="47">
        <v>349</v>
      </c>
      <c r="AV124" s="7" t="s">
        <v>807</v>
      </c>
      <c r="AW124" s="47"/>
      <c r="AX124" s="47"/>
    </row>
    <row r="125" spans="1:50" ht="18">
      <c r="A125" s="3"/>
      <c r="B125" s="171">
        <v>354.476</v>
      </c>
      <c r="C125" s="145">
        <f>_xlfn.STDEV.S(D124:D126)</f>
        <v>1.7293696220738028</v>
      </c>
      <c r="D125" s="26">
        <f>4626*8.314*LN(10)/1000</f>
        <v>88.558721334543463</v>
      </c>
      <c r="E125" s="30" t="s">
        <v>805</v>
      </c>
      <c r="F125" s="130">
        <f>F124*RSD_dHw</f>
        <v>2.0971702116399911</v>
      </c>
      <c r="G125" s="70"/>
      <c r="H125" s="70"/>
      <c r="I125" s="187">
        <f>ABS(RSD_Unr*I124)</f>
        <v>0.99508244255697098</v>
      </c>
      <c r="J125" s="70"/>
      <c r="K125" s="70"/>
      <c r="L125" s="145">
        <f>_xlfn.STDEV.S(M124:M125)</f>
        <v>0.84852813742384892</v>
      </c>
      <c r="M125" s="70">
        <v>85.1</v>
      </c>
      <c r="N125" s="70" t="s">
        <v>803</v>
      </c>
      <c r="O125" s="87"/>
      <c r="P125" s="52"/>
      <c r="Q125" s="47"/>
      <c r="R125" s="78"/>
      <c r="S125" s="22"/>
      <c r="T125" s="45"/>
      <c r="U125" s="75">
        <f>_xlfn.STDEV.S(V124:V126)</f>
        <v>0.18111204260696584</v>
      </c>
      <c r="V125" s="9">
        <v>9.4499999999999993</v>
      </c>
      <c r="W125" s="45" t="s">
        <v>2638</v>
      </c>
      <c r="X125" s="75">
        <f ca="1">_xlfn.STDEV.S(Y124:Y125)</f>
        <v>0.23630218299684957</v>
      </c>
      <c r="Y125" s="15">
        <f ca="1">'Table S4 Conversions and Notes'!$J$203</f>
        <v>5.4158182479874863</v>
      </c>
      <c r="Z125" s="45" t="s">
        <v>815</v>
      </c>
      <c r="AB125" s="47"/>
      <c r="AC125" s="47"/>
      <c r="AD125" s="45"/>
      <c r="AE125" s="75">
        <f ca="1">_xlfn.STDEV.S(AF124:AF130)</f>
        <v>0.19585145013701558</v>
      </c>
      <c r="AF125" s="6">
        <f ca="1">'Table S4 Conversions and Notes'!J104</f>
        <v>-2.5841654041406725</v>
      </c>
      <c r="AG125" s="7" t="s">
        <v>375</v>
      </c>
      <c r="AH125" s="131">
        <f>ABS(AH124*RSD_SW)</f>
        <v>0.36830774156804713</v>
      </c>
      <c r="AJ125" s="47"/>
      <c r="AK125" s="45"/>
      <c r="AL125" s="75">
        <f ca="1">AL124*RSD_SO</f>
        <v>0.62104838787758443</v>
      </c>
      <c r="AM125" s="47"/>
      <c r="AN125" s="47"/>
      <c r="AO125" s="45"/>
      <c r="AP125" s="168">
        <f>_xlfn.STDEV.S(AQ124:AQ127)</f>
        <v>4.7361176093360013</v>
      </c>
      <c r="AQ125" s="47">
        <v>70.3</v>
      </c>
      <c r="AR125" s="45" t="s">
        <v>804</v>
      </c>
      <c r="AS125" s="168">
        <f>_xlfn.STDEV.S(AT124:AT127)</f>
        <v>0.77513439694890829</v>
      </c>
      <c r="AT125" s="107">
        <f>AVERAGE(74,74.5)</f>
        <v>74.25</v>
      </c>
      <c r="AU125" s="107">
        <f>273.15+AT125</f>
        <v>347.4</v>
      </c>
      <c r="AV125" s="7" t="s">
        <v>810</v>
      </c>
      <c r="AW125" s="47"/>
      <c r="AX125" s="47"/>
    </row>
    <row r="126" spans="1:50">
      <c r="A126" s="3"/>
      <c r="B126" s="4"/>
      <c r="C126" s="324">
        <f>COUNTA(D124:D127)</f>
        <v>3</v>
      </c>
      <c r="D126" s="26">
        <v>86.838999999999999</v>
      </c>
      <c r="E126" s="70" t="s">
        <v>803</v>
      </c>
      <c r="F126" s="324">
        <f>COUNTA(G124:G127)</f>
        <v>1</v>
      </c>
      <c r="G126" s="70"/>
      <c r="H126" s="70"/>
      <c r="I126" s="324">
        <f>COUNTA(J124:J126)</f>
        <v>1</v>
      </c>
      <c r="J126" s="70"/>
      <c r="K126" s="70"/>
      <c r="L126" s="324">
        <f>COUNTA(M124:M125)</f>
        <v>2</v>
      </c>
      <c r="M126" s="204">
        <f>'Table S4 Conversions and Notes'!$J$561</f>
        <v>87.885381780000003</v>
      </c>
      <c r="N126" s="180" t="s">
        <v>1790</v>
      </c>
      <c r="O126" s="87"/>
      <c r="P126" s="52"/>
      <c r="Q126" s="47"/>
      <c r="R126" s="78"/>
      <c r="S126" s="22"/>
      <c r="T126" s="47"/>
      <c r="U126" s="324">
        <f>COUNTA(V124:V127)</f>
        <v>3</v>
      </c>
      <c r="V126" s="9">
        <v>9.8000000000000007</v>
      </c>
      <c r="W126" s="45" t="s">
        <v>802</v>
      </c>
      <c r="X126" s="324">
        <f ca="1">COUNTA(Y124:Y127)</f>
        <v>2</v>
      </c>
      <c r="Y126" s="9"/>
      <c r="Z126" s="45"/>
      <c r="AB126" s="47"/>
      <c r="AC126" s="47"/>
      <c r="AD126" s="45"/>
      <c r="AE126" s="324">
        <f ca="1">COUNTA(AF124:AF130)</f>
        <v>7</v>
      </c>
      <c r="AF126" s="6">
        <f>LOG(0.0006)</f>
        <v>-3.2218487496163566</v>
      </c>
      <c r="AG126" s="7" t="s">
        <v>341</v>
      </c>
      <c r="AH126" s="324">
        <f>COUNTA(AI124:AI126)</f>
        <v>1</v>
      </c>
      <c r="AJ126" s="47"/>
      <c r="AK126" s="45"/>
      <c r="AL126" s="324">
        <f ca="1">COUNTA(AM124)</f>
        <v>1</v>
      </c>
      <c r="AM126" s="47"/>
      <c r="AN126" s="47"/>
      <c r="AO126" s="45"/>
      <c r="AP126" s="324">
        <f>COUNTA(AQ124:AQ127)</f>
        <v>4</v>
      </c>
      <c r="AQ126" s="107">
        <f>6500*4.184/AU124</f>
        <v>77.92550143266476</v>
      </c>
      <c r="AR126" s="7" t="s">
        <v>807</v>
      </c>
      <c r="AS126" s="324">
        <f>COUNTA(AT124:AT127)</f>
        <v>4</v>
      </c>
      <c r="AT126" s="107">
        <v>74.2</v>
      </c>
      <c r="AU126" s="107">
        <f>273.15+AT126</f>
        <v>347.34999999999997</v>
      </c>
      <c r="AV126" s="45" t="s">
        <v>831</v>
      </c>
      <c r="AW126" s="47"/>
      <c r="AX126" s="47"/>
    </row>
    <row r="127" spans="1:50">
      <c r="A127" s="3"/>
      <c r="B127" s="4"/>
      <c r="C127" s="87"/>
      <c r="D127" s="26"/>
      <c r="E127" s="26"/>
      <c r="F127" s="83"/>
      <c r="G127" s="70"/>
      <c r="H127" s="70"/>
      <c r="I127" s="83"/>
      <c r="J127" s="70"/>
      <c r="K127" s="70"/>
      <c r="L127" s="115"/>
      <c r="M127" s="70"/>
      <c r="N127" s="70"/>
      <c r="O127" s="87"/>
      <c r="P127" s="52"/>
      <c r="Q127" s="47"/>
      <c r="R127" s="78"/>
      <c r="S127" s="22"/>
      <c r="T127" s="47"/>
      <c r="U127" s="87"/>
      <c r="V127" s="9"/>
      <c r="W127" s="45"/>
      <c r="Y127" s="9"/>
      <c r="Z127" s="45"/>
      <c r="AB127" s="47"/>
      <c r="AC127" s="47"/>
      <c r="AD127" s="45"/>
      <c r="AF127" s="6">
        <f>LOG(0.00161)</f>
        <v>-2.7931741239681505</v>
      </c>
      <c r="AG127" s="7" t="s">
        <v>336</v>
      </c>
      <c r="AJ127" s="47"/>
      <c r="AK127" s="45"/>
      <c r="AL127" s="84"/>
      <c r="AM127" s="47"/>
      <c r="AN127" s="47"/>
      <c r="AO127" s="45"/>
      <c r="AP127" s="47"/>
      <c r="AQ127" s="107">
        <f>5519*4.184/AU128</f>
        <v>66.777027183342966</v>
      </c>
      <c r="AR127" s="45" t="s">
        <v>1748</v>
      </c>
      <c r="AS127" s="84"/>
      <c r="AT127" s="107">
        <v>75</v>
      </c>
      <c r="AU127" s="107">
        <f>273.15+AT127</f>
        <v>348.15</v>
      </c>
      <c r="AV127" s="45" t="s">
        <v>831</v>
      </c>
      <c r="AW127" s="47"/>
      <c r="AX127" s="47"/>
    </row>
    <row r="128" spans="1:50">
      <c r="A128" s="3"/>
      <c r="B128" s="4"/>
      <c r="C128" s="87"/>
      <c r="D128" s="26"/>
      <c r="E128" s="26"/>
      <c r="F128" s="83"/>
      <c r="G128" s="70"/>
      <c r="H128" s="70"/>
      <c r="I128" s="83"/>
      <c r="J128" s="70"/>
      <c r="K128" s="70"/>
      <c r="L128" s="115"/>
      <c r="M128" s="70"/>
      <c r="N128" s="70"/>
      <c r="O128" s="87"/>
      <c r="P128" s="52"/>
      <c r="Q128" s="47"/>
      <c r="R128" s="78"/>
      <c r="S128" s="22"/>
      <c r="T128" s="47"/>
      <c r="U128" s="87"/>
      <c r="V128" s="9"/>
      <c r="W128" s="45"/>
      <c r="Y128" s="9"/>
      <c r="Z128" s="45"/>
      <c r="AB128" s="47"/>
      <c r="AC128" s="47"/>
      <c r="AD128" s="45"/>
      <c r="AF128" s="6">
        <f>LOG(0.00128)</f>
        <v>-2.8927900303521317</v>
      </c>
      <c r="AG128" s="7" t="s">
        <v>336</v>
      </c>
      <c r="AJ128" s="47"/>
      <c r="AK128" s="45"/>
      <c r="AL128" s="84"/>
      <c r="AM128" s="47"/>
      <c r="AN128" s="47"/>
      <c r="AO128" s="45"/>
      <c r="AP128" s="47"/>
      <c r="AQ128" s="47"/>
      <c r="AR128" s="47"/>
      <c r="AS128" s="84"/>
      <c r="AT128" s="121">
        <f>AU128-273.15</f>
        <v>72.650000000000034</v>
      </c>
      <c r="AU128" s="47">
        <v>345.8</v>
      </c>
      <c r="AV128" s="45" t="s">
        <v>1748</v>
      </c>
      <c r="AW128" s="47"/>
      <c r="AX128" s="47"/>
    </row>
    <row r="129" spans="1:50">
      <c r="A129" s="3"/>
      <c r="B129" s="4"/>
      <c r="C129" s="87"/>
      <c r="D129" s="26"/>
      <c r="E129" s="26"/>
      <c r="F129" s="83"/>
      <c r="G129" s="70"/>
      <c r="H129" s="70"/>
      <c r="I129" s="83"/>
      <c r="J129" s="70"/>
      <c r="K129" s="70"/>
      <c r="L129" s="115"/>
      <c r="M129" s="70"/>
      <c r="N129" s="70"/>
      <c r="O129" s="87"/>
      <c r="P129" s="52"/>
      <c r="Q129" s="47"/>
      <c r="R129" s="78"/>
      <c r="S129" s="22"/>
      <c r="T129" s="47"/>
      <c r="U129" s="87"/>
      <c r="V129" s="9"/>
      <c r="W129" s="45"/>
      <c r="Y129" s="9"/>
      <c r="Z129" s="45"/>
      <c r="AB129" s="47"/>
      <c r="AC129" s="47"/>
      <c r="AD129" s="45"/>
      <c r="AF129" s="6">
        <v>-2.81</v>
      </c>
      <c r="AG129" s="7" t="s">
        <v>802</v>
      </c>
      <c r="AJ129" s="47"/>
      <c r="AK129" s="45"/>
      <c r="AL129" s="84"/>
      <c r="AM129" s="47"/>
      <c r="AN129" s="47"/>
      <c r="AO129" s="45"/>
      <c r="AP129" s="47"/>
      <c r="AQ129" s="47"/>
      <c r="AR129" s="47"/>
      <c r="AS129" s="84"/>
      <c r="AT129" s="121"/>
      <c r="AU129" s="47"/>
      <c r="AV129" s="45"/>
      <c r="AW129" s="47"/>
      <c r="AX129" s="47"/>
    </row>
    <row r="130" spans="1:50">
      <c r="A130" s="3"/>
      <c r="B130" s="4"/>
      <c r="C130" s="87"/>
      <c r="D130" s="26"/>
      <c r="E130" s="26"/>
      <c r="F130" s="83"/>
      <c r="G130" s="70"/>
      <c r="H130" s="70"/>
      <c r="I130" s="83"/>
      <c r="J130" s="70"/>
      <c r="K130" s="70"/>
      <c r="L130" s="115"/>
      <c r="M130" s="70"/>
      <c r="N130" s="70"/>
      <c r="O130" s="87"/>
      <c r="P130" s="52"/>
      <c r="Q130" s="47"/>
      <c r="R130" s="78"/>
      <c r="S130" s="22"/>
      <c r="T130" s="47"/>
      <c r="U130" s="87"/>
      <c r="V130" s="9"/>
      <c r="W130" s="45"/>
      <c r="Y130" s="9"/>
      <c r="Z130" s="45"/>
      <c r="AB130" s="47"/>
      <c r="AC130" s="47"/>
      <c r="AD130" s="45"/>
      <c r="AF130" s="6">
        <v>-2.738</v>
      </c>
      <c r="AG130" s="7" t="s">
        <v>66</v>
      </c>
      <c r="AJ130" s="47"/>
      <c r="AK130" s="45"/>
      <c r="AL130" s="84"/>
      <c r="AM130" s="47"/>
      <c r="AN130" s="47"/>
      <c r="AO130" s="45"/>
      <c r="AP130" s="47"/>
      <c r="AQ130" s="47"/>
      <c r="AR130" s="47"/>
      <c r="AS130" s="84"/>
      <c r="AT130" s="121"/>
      <c r="AU130" s="47"/>
      <c r="AV130" s="45"/>
      <c r="AW130" s="47"/>
      <c r="AX130" s="47"/>
    </row>
    <row r="131" spans="1:50">
      <c r="A131" s="3"/>
      <c r="B131" s="4" t="s">
        <v>20</v>
      </c>
      <c r="C131" s="87"/>
      <c r="D131" s="4"/>
      <c r="E131" s="4"/>
      <c r="F131" s="3"/>
      <c r="G131" s="4"/>
      <c r="H131" s="4"/>
      <c r="I131" s="3"/>
      <c r="J131" s="4"/>
      <c r="K131" s="4"/>
      <c r="L131" s="115"/>
      <c r="M131" s="4"/>
      <c r="N131" s="4"/>
      <c r="O131" s="87"/>
      <c r="P131" s="4"/>
      <c r="Q131" s="4"/>
      <c r="R131" s="3"/>
      <c r="S131" s="4"/>
      <c r="T131" s="122"/>
      <c r="V131" s="9"/>
      <c r="W131" s="45"/>
      <c r="Y131" s="9"/>
      <c r="Z131" s="45"/>
      <c r="AB131" s="47"/>
      <c r="AC131" s="47"/>
      <c r="AD131" s="45"/>
      <c r="AF131" s="6"/>
      <c r="AG131" s="7"/>
      <c r="AJ131" s="47"/>
      <c r="AK131" s="45"/>
      <c r="AL131" s="84"/>
      <c r="AM131" s="47"/>
      <c r="AN131" s="47"/>
      <c r="AO131" s="45"/>
      <c r="AP131" s="47"/>
      <c r="AQ131" s="47"/>
      <c r="AR131" s="47"/>
      <c r="AS131" s="84"/>
      <c r="AT131" s="121"/>
      <c r="AU131" s="47"/>
      <c r="AV131" s="45"/>
      <c r="AW131" s="47"/>
      <c r="AX131" s="47"/>
    </row>
    <row r="132" spans="1:50" ht="18">
      <c r="A132" s="3" t="s">
        <v>62</v>
      </c>
      <c r="B132" s="4" t="s">
        <v>63</v>
      </c>
      <c r="C132" s="158">
        <f>AVERAGE(D132:D134)</f>
        <v>77.347043836255963</v>
      </c>
      <c r="D132" s="30">
        <v>85.6</v>
      </c>
      <c r="E132" s="30" t="s">
        <v>243</v>
      </c>
      <c r="F132" s="191">
        <f>AVERAGE(G132:G133)</f>
        <v>29.079368261186517</v>
      </c>
      <c r="G132" s="148">
        <f>'Table S4 Conversions and Notes'!J444</f>
        <v>33.699944794042423</v>
      </c>
      <c r="H132" s="70" t="s">
        <v>2236</v>
      </c>
      <c r="I132" s="83"/>
      <c r="J132" s="70"/>
      <c r="K132" s="70"/>
      <c r="L132" s="3">
        <f>M132</f>
        <v>73.2</v>
      </c>
      <c r="M132" s="70">
        <v>73.2</v>
      </c>
      <c r="N132" s="70" t="s">
        <v>243</v>
      </c>
      <c r="O132" s="201">
        <f>P132</f>
        <v>29.809000000000005</v>
      </c>
      <c r="P132" s="107">
        <f>32.2-2.391</f>
        <v>29.809000000000005</v>
      </c>
      <c r="Q132" s="47" t="s">
        <v>386</v>
      </c>
      <c r="R132" s="78"/>
      <c r="S132" s="22"/>
      <c r="T132" s="45"/>
      <c r="U132" s="75">
        <f>AVERAGE(V133:V135)</f>
        <v>8.222192323207425</v>
      </c>
      <c r="V132" s="202">
        <v>8.26</v>
      </c>
      <c r="W132" s="185" t="s">
        <v>55</v>
      </c>
      <c r="X132" s="75">
        <f>AVERAGE(Y133)</f>
        <v>6.4960000000000004</v>
      </c>
      <c r="Y132" s="177">
        <v>6.24</v>
      </c>
      <c r="Z132" s="155" t="s">
        <v>55</v>
      </c>
      <c r="AA132" s="75">
        <f>AVERAGE(AC133:AC134)</f>
        <v>-2.7753503109531596</v>
      </c>
      <c r="AB132" s="210">
        <v>23</v>
      </c>
      <c r="AC132" s="154">
        <f>LOG(AB132/8.314/298.15)</f>
        <v>-2.0325169978343611</v>
      </c>
      <c r="AD132" s="185" t="s">
        <v>55</v>
      </c>
      <c r="AE132" s="139">
        <f>AVERAGE(AF133:AF138)</f>
        <v>-1.4798096171291917</v>
      </c>
      <c r="AF132" s="176">
        <f>LOG(0.064)</f>
        <v>-1.1938200260161129</v>
      </c>
      <c r="AG132" s="185" t="s">
        <v>55</v>
      </c>
      <c r="AH132" s="75">
        <f>AVERAGE(AI133:AI134)</f>
        <v>-2.6051793070033451</v>
      </c>
      <c r="AI132" s="46">
        <f>LOG(AJ132/$B$133)</f>
        <v>-2.5686362358410126</v>
      </c>
      <c r="AJ132" s="154">
        <f>364.896*0.0027</f>
        <v>0.98521920000000007</v>
      </c>
      <c r="AK132" s="210" t="s">
        <v>55</v>
      </c>
      <c r="AL132" s="5"/>
      <c r="AM132" s="6"/>
      <c r="AN132" s="6"/>
      <c r="AO132" s="7"/>
      <c r="AP132" s="168">
        <f>AVERAGE(AQ132:AQ133)</f>
        <v>54.267815648747543</v>
      </c>
      <c r="AQ132" s="107">
        <f>'Table S4 Conversions and Notes'!J206</f>
        <v>52.17</v>
      </c>
      <c r="AR132" s="7" t="s">
        <v>1650</v>
      </c>
      <c r="AS132" s="168">
        <f>AVERAGE(AT132:AT136)</f>
        <v>103.37</v>
      </c>
      <c r="AT132" s="107">
        <f>AU132-273.15</f>
        <v>103.85000000000002</v>
      </c>
      <c r="AU132" s="6">
        <v>377</v>
      </c>
      <c r="AV132" s="7" t="s">
        <v>807</v>
      </c>
      <c r="AW132" s="6"/>
      <c r="AX132" s="6"/>
    </row>
    <row r="133" spans="1:50" ht="18">
      <c r="A133" s="3"/>
      <c r="B133" s="171">
        <v>364.89600000000002</v>
      </c>
      <c r="C133" s="145">
        <f>_xlfn.STDEV.S(D132:D134)</f>
        <v>7.3953189102177799</v>
      </c>
      <c r="D133" s="26">
        <f>3924*LN(10)*8.314/1000</f>
        <v>75.119849225410391</v>
      </c>
      <c r="E133" s="30" t="s">
        <v>805</v>
      </c>
      <c r="F133" s="130">
        <f>_xlfn.STDEV.S(G132:G133)</f>
        <v>6.5344819987476823</v>
      </c>
      <c r="G133" s="107">
        <f>'Table S4 Conversions and Notes'!J445</f>
        <v>24.45879172833061</v>
      </c>
      <c r="H133" s="70" t="s">
        <v>2237</v>
      </c>
      <c r="I133" s="84"/>
      <c r="J133" s="47"/>
      <c r="K133" s="47"/>
      <c r="L133" s="182">
        <f>L132*RSD_dUoa</f>
        <v>4.637811732716516</v>
      </c>
      <c r="M133" s="47"/>
      <c r="N133" s="47"/>
      <c r="O133" s="182">
        <f>O132*RSD_dUaw</f>
        <v>8.9427000000000003</v>
      </c>
      <c r="P133" s="361"/>
      <c r="Q133" s="47"/>
      <c r="R133" s="78"/>
      <c r="S133" s="22"/>
      <c r="T133" s="45"/>
      <c r="U133" s="75">
        <f>_xlfn.STDEV.S(V133:V135)</f>
        <v>0.13232171787153463</v>
      </c>
      <c r="V133" s="9">
        <v>8.07</v>
      </c>
      <c r="W133" s="7" t="s">
        <v>1788</v>
      </c>
      <c r="X133" s="75">
        <f>RSD_Kow*X132</f>
        <v>0.4403671534472236</v>
      </c>
      <c r="Y133" s="15">
        <v>6.4960000000000004</v>
      </c>
      <c r="Z133" s="45" t="s">
        <v>2387</v>
      </c>
      <c r="AA133" s="75">
        <f>_xlfn.STDEV.S(AC133:AC134)</f>
        <v>4.8532968131012003E-2</v>
      </c>
      <c r="AB133" s="26">
        <v>4.5</v>
      </c>
      <c r="AC133" s="17">
        <f>LOG(AB133/8.314/298.15)</f>
        <v>-2.7410323200766102</v>
      </c>
      <c r="AD133" s="7" t="s">
        <v>388</v>
      </c>
      <c r="AE133" s="139">
        <f>_xlfn.STDEV.S(AF133:AF138)</f>
        <v>0.2105699012314845</v>
      </c>
      <c r="AF133" s="15">
        <v>-1.7299035047634834</v>
      </c>
      <c r="AG133" s="45" t="s">
        <v>256</v>
      </c>
      <c r="AH133" s="162">
        <f>_xlfn.STDEV.S(AI133:AI134)</f>
        <v>3.2355431865532899E-2</v>
      </c>
      <c r="AI133" s="46">
        <f>LOG(AJ133/B133)</f>
        <v>-2.5823005617230077</v>
      </c>
      <c r="AJ133" s="6">
        <f>'Table S4 Conversions and Notes'!J106</f>
        <v>0.95470355760027814</v>
      </c>
      <c r="AK133" s="7" t="s">
        <v>1765</v>
      </c>
      <c r="AL133" s="5"/>
      <c r="AM133" s="6"/>
      <c r="AN133" s="6"/>
      <c r="AO133" s="7"/>
      <c r="AP133" s="168">
        <f>_xlfn.STDEV.S(AQ132:AQ133)</f>
        <v>2.9667593418172813</v>
      </c>
      <c r="AQ133" s="107">
        <f>'Table S4 Conversions and Notes'!$J$440</f>
        <v>56.365631297495078</v>
      </c>
      <c r="AR133" s="45" t="s">
        <v>2233</v>
      </c>
      <c r="AS133" s="168">
        <f>_xlfn.STDEV.S(AT132:AT136)</f>
        <v>1.050357082139215</v>
      </c>
      <c r="AT133" s="121">
        <v>104</v>
      </c>
      <c r="AU133" s="6">
        <f>AT133+273.15</f>
        <v>377.15</v>
      </c>
      <c r="AV133" s="7" t="s">
        <v>881</v>
      </c>
      <c r="AW133" s="6"/>
      <c r="AX133" s="6"/>
    </row>
    <row r="134" spans="1:50" ht="18">
      <c r="A134" s="3"/>
      <c r="B134" s="4"/>
      <c r="C134" s="324">
        <f>COUNTA(D132:D135)</f>
        <v>3</v>
      </c>
      <c r="D134" s="26">
        <f>'Table S4 Conversions and Notes'!J443</f>
        <v>71.321282283357505</v>
      </c>
      <c r="E134" s="30" t="s">
        <v>2583</v>
      </c>
      <c r="F134" s="324">
        <f>COUNTA(G132:G135)</f>
        <v>2</v>
      </c>
      <c r="G134" s="47"/>
      <c r="H134" s="47"/>
      <c r="I134" s="84"/>
      <c r="J134" s="47"/>
      <c r="K134" s="47"/>
      <c r="L134" s="324">
        <f>COUNTA(M132:M134)</f>
        <v>1</v>
      </c>
      <c r="M134" s="47"/>
      <c r="N134" s="47"/>
      <c r="O134" s="324">
        <f>COUNTA(P132:P134)</f>
        <v>1</v>
      </c>
      <c r="P134" s="361"/>
      <c r="Q134" s="47"/>
      <c r="R134" s="78"/>
      <c r="S134" s="22"/>
      <c r="T134" s="47"/>
      <c r="U134" s="324">
        <f>COUNTA(V133:V135)</f>
        <v>3</v>
      </c>
      <c r="V134" s="6">
        <f>'Table S4 Conversions and Notes'!$J$450</f>
        <v>8.31</v>
      </c>
      <c r="W134" s="7" t="s">
        <v>2242</v>
      </c>
      <c r="X134" s="324">
        <f>COUNTA(Y133)</f>
        <v>1</v>
      </c>
      <c r="Y134" s="176">
        <f ca="1">'Table S4 Conversions and Notes'!J109</f>
        <v>5.7165523150269459</v>
      </c>
      <c r="Z134" s="185" t="s">
        <v>2607</v>
      </c>
      <c r="AA134" s="324">
        <f>COUNTA(AB133:AB134)</f>
        <v>2</v>
      </c>
      <c r="AB134" s="121">
        <f>10^AC134*8.314*298.15</f>
        <v>3.842169604999996</v>
      </c>
      <c r="AC134" s="17">
        <f>LOG(0.00155)</f>
        <v>-2.8096683018297086</v>
      </c>
      <c r="AD134" s="7" t="s">
        <v>1702</v>
      </c>
      <c r="AE134" s="324">
        <f>COUNTA(AF133:AF138)</f>
        <v>6</v>
      </c>
      <c r="AF134" s="6">
        <f>'Table S4 Conversions and Notes'!J442</f>
        <v>-1.4126764358656672</v>
      </c>
      <c r="AG134" s="7" t="s">
        <v>2235</v>
      </c>
      <c r="AH134" s="324">
        <f>COUNTA(AI133:AI134)</f>
        <v>2</v>
      </c>
      <c r="AI134" s="46">
        <f>LOG(AJ134/$B$133)</f>
        <v>-2.6280580522836829</v>
      </c>
      <c r="AJ134" s="6">
        <f>'Table S4 Conversions and Notes'!J107</f>
        <v>0.8592332018402502</v>
      </c>
      <c r="AK134" s="7" t="s">
        <v>1768</v>
      </c>
      <c r="AL134" s="5"/>
      <c r="AM134" s="6"/>
      <c r="AN134" s="6"/>
      <c r="AO134" s="7"/>
      <c r="AP134" s="324">
        <f>COUNTA(AQ132:AQ133)</f>
        <v>2</v>
      </c>
      <c r="AQ134" s="176">
        <f>16.19/(273.15+AS132)*1000</f>
        <v>42.999043875491346</v>
      </c>
      <c r="AR134" s="185" t="s">
        <v>838</v>
      </c>
      <c r="AS134" s="324">
        <f>COUNTA(AT132:AT136)</f>
        <v>5</v>
      </c>
      <c r="AT134" s="121">
        <f>AVERAGE(101,102)</f>
        <v>101.5</v>
      </c>
      <c r="AU134" s="6">
        <f>AT134+273.15</f>
        <v>374.65</v>
      </c>
      <c r="AV134" s="7" t="s">
        <v>1651</v>
      </c>
      <c r="AW134" s="6"/>
      <c r="AX134" s="6"/>
    </row>
    <row r="135" spans="1:50" ht="18">
      <c r="A135" s="3"/>
      <c r="B135" s="4"/>
      <c r="C135" s="87"/>
      <c r="D135" s="26"/>
      <c r="E135" s="26"/>
      <c r="F135" s="84"/>
      <c r="G135" s="47"/>
      <c r="H135" s="47"/>
      <c r="I135" s="84"/>
      <c r="J135" s="47"/>
      <c r="K135" s="47"/>
      <c r="L135" s="115"/>
      <c r="M135" s="47"/>
      <c r="N135" s="47"/>
      <c r="O135" s="87"/>
      <c r="P135" s="361"/>
      <c r="Q135" s="47"/>
      <c r="R135" s="78"/>
      <c r="S135" s="22"/>
      <c r="T135" s="47"/>
      <c r="U135" s="87"/>
      <c r="V135" s="15">
        <v>8.286576969622276</v>
      </c>
      <c r="W135" s="45" t="s">
        <v>256</v>
      </c>
      <c r="Y135" s="177">
        <f ca="1">'Table S4 Conversions and Notes'!J108</f>
        <v>7.3407808979637572</v>
      </c>
      <c r="Z135" s="185" t="s">
        <v>2608</v>
      </c>
      <c r="AB135" s="227">
        <v>51.4</v>
      </c>
      <c r="AC135" s="154">
        <f>LOG(AB135/8.314/298.15)</f>
        <v>-1.6832817148566783</v>
      </c>
      <c r="AD135" s="185" t="s">
        <v>386</v>
      </c>
      <c r="AF135" s="6">
        <v>-1.121</v>
      </c>
      <c r="AG135" s="7" t="s">
        <v>66</v>
      </c>
      <c r="AH135" s="5"/>
      <c r="AI135" s="225">
        <f ca="1">LOG(AJ135/$B$133)</f>
        <v>-3.4823793121738316</v>
      </c>
      <c r="AJ135" s="176">
        <f ca="1">'Table S4 Conversions and Notes'!J211</f>
        <v>0.12016826489851207</v>
      </c>
      <c r="AK135" s="185" t="s">
        <v>844</v>
      </c>
      <c r="AL135" s="5"/>
      <c r="AM135" s="6"/>
      <c r="AN135" s="6"/>
      <c r="AO135" s="7"/>
      <c r="AP135" s="6"/>
      <c r="AS135" s="5"/>
      <c r="AT135" s="121">
        <f>AVERAGE(103,104.5)</f>
        <v>103.75</v>
      </c>
      <c r="AU135" s="6">
        <f>AT135+273.15</f>
        <v>376.9</v>
      </c>
      <c r="AV135" s="7" t="s">
        <v>837</v>
      </c>
      <c r="AW135" s="6"/>
      <c r="AX135" s="6"/>
    </row>
    <row r="136" spans="1:50" ht="18">
      <c r="A136" s="3"/>
      <c r="B136" s="4"/>
      <c r="C136" s="87"/>
      <c r="D136" s="26"/>
      <c r="E136" s="26"/>
      <c r="F136" s="84"/>
      <c r="G136" s="47"/>
      <c r="H136" s="47"/>
      <c r="I136" s="84"/>
      <c r="J136" s="47"/>
      <c r="K136" s="47"/>
      <c r="L136" s="115"/>
      <c r="M136" s="47"/>
      <c r="N136" s="47"/>
      <c r="O136" s="87"/>
      <c r="P136" s="361"/>
      <c r="Q136" s="47"/>
      <c r="R136" s="78"/>
      <c r="S136" s="22"/>
      <c r="T136" s="47"/>
      <c r="U136" s="87"/>
      <c r="W136" s="42"/>
      <c r="Z136" s="42"/>
      <c r="AB136" s="227">
        <v>50</v>
      </c>
      <c r="AC136" s="154">
        <f>LOG(AB136/8.314/298.15)</f>
        <v>-1.6952748295159352</v>
      </c>
      <c r="AD136" s="185" t="s">
        <v>1660</v>
      </c>
      <c r="AF136" s="6">
        <v>-1.64</v>
      </c>
      <c r="AG136" s="7" t="s">
        <v>336</v>
      </c>
      <c r="AH136" s="5"/>
      <c r="AI136" s="225">
        <f ca="1">LOG(AJ136/$B$133)</f>
        <v>-3.7640910569329185</v>
      </c>
      <c r="AJ136" s="176">
        <f ca="1">'Table S4 Conversions and Notes'!$J$212</f>
        <v>6.2817123536841227E-2</v>
      </c>
      <c r="AK136" s="185" t="s">
        <v>845</v>
      </c>
      <c r="AL136" s="5"/>
      <c r="AM136" s="6"/>
      <c r="AN136" s="6"/>
      <c r="AO136" s="7"/>
      <c r="AP136" s="6"/>
      <c r="AS136" s="5"/>
      <c r="AT136" s="121">
        <f>AVERAGE(103,104.5)</f>
        <v>103.75</v>
      </c>
      <c r="AU136" s="6">
        <v>376.2</v>
      </c>
      <c r="AV136" s="45" t="s">
        <v>1750</v>
      </c>
      <c r="AW136" s="6"/>
      <c r="AX136" s="6"/>
    </row>
    <row r="137" spans="1:50">
      <c r="A137" s="3"/>
      <c r="B137" s="4"/>
      <c r="C137" s="87"/>
      <c r="D137" s="26"/>
      <c r="E137" s="26"/>
      <c r="F137" s="84"/>
      <c r="G137" s="47"/>
      <c r="H137" s="47"/>
      <c r="I137" s="84"/>
      <c r="J137" s="47"/>
      <c r="K137" s="47"/>
      <c r="L137" s="115"/>
      <c r="M137" s="47"/>
      <c r="N137" s="47"/>
      <c r="O137" s="87"/>
      <c r="P137" s="361"/>
      <c r="Q137" s="47"/>
      <c r="R137" s="78"/>
      <c r="S137" s="22"/>
      <c r="T137" s="47"/>
      <c r="U137" s="87"/>
      <c r="V137" s="9"/>
      <c r="W137" s="7"/>
      <c r="Y137" s="9"/>
      <c r="Z137" s="7"/>
      <c r="AD137" s="42"/>
      <c r="AF137" s="6">
        <v>-1.48</v>
      </c>
      <c r="AG137" s="7" t="s">
        <v>336</v>
      </c>
      <c r="AH137" s="5"/>
      <c r="AI137" s="6"/>
      <c r="AJ137" s="6"/>
      <c r="AK137" s="7"/>
      <c r="AL137" s="5"/>
      <c r="AM137" s="6"/>
      <c r="AN137" s="6"/>
      <c r="AO137" s="7"/>
      <c r="AP137" s="6"/>
      <c r="AQ137" s="6"/>
      <c r="AR137" s="6"/>
      <c r="AS137" s="5"/>
      <c r="AT137" s="371">
        <f>AU137-273.15</f>
        <v>98.850000000000023</v>
      </c>
      <c r="AU137" s="449">
        <v>372</v>
      </c>
      <c r="AV137" s="7" t="s">
        <v>2689</v>
      </c>
      <c r="AW137" s="6"/>
      <c r="AX137" s="6"/>
    </row>
    <row r="138" spans="1:50" ht="18">
      <c r="A138" s="3"/>
      <c r="B138" s="4"/>
      <c r="C138" s="87"/>
      <c r="D138" s="26"/>
      <c r="E138" s="26"/>
      <c r="F138" s="84"/>
      <c r="G138" s="47"/>
      <c r="H138" s="47"/>
      <c r="I138" s="84"/>
      <c r="J138" s="47"/>
      <c r="K138" s="47"/>
      <c r="L138" s="115"/>
      <c r="M138" s="47"/>
      <c r="N138" s="47"/>
      <c r="O138" s="87"/>
      <c r="P138" s="361"/>
      <c r="Q138" s="47"/>
      <c r="R138" s="78"/>
      <c r="S138" s="22"/>
      <c r="T138" s="47"/>
      <c r="U138" s="87"/>
      <c r="V138" s="9"/>
      <c r="W138" s="7"/>
      <c r="Y138" s="9"/>
      <c r="Z138" s="7"/>
      <c r="AB138" s="6"/>
      <c r="AC138" s="6"/>
      <c r="AD138" s="7"/>
      <c r="AF138" s="6">
        <f>'Table S4 Conversions and Notes'!J105</f>
        <v>-1.4952777621459994</v>
      </c>
      <c r="AG138" s="7" t="s">
        <v>2798</v>
      </c>
      <c r="AH138" s="5"/>
      <c r="AI138" s="6"/>
      <c r="AJ138" s="6"/>
      <c r="AK138" s="7"/>
      <c r="AL138" s="5"/>
      <c r="AM138" s="6"/>
      <c r="AN138" s="6"/>
      <c r="AO138" s="7"/>
      <c r="AP138" s="6"/>
      <c r="AQ138" s="6"/>
      <c r="AR138" s="6"/>
      <c r="AS138" s="5"/>
      <c r="AT138" s="121"/>
      <c r="AU138" s="6"/>
      <c r="AV138" s="7"/>
      <c r="AW138" s="6"/>
      <c r="AX138" s="6"/>
    </row>
    <row r="139" spans="1:50">
      <c r="A139" s="3"/>
      <c r="B139" s="4"/>
      <c r="C139" s="87"/>
      <c r="D139" s="26"/>
      <c r="E139" s="26"/>
      <c r="F139" s="84"/>
      <c r="G139" s="47"/>
      <c r="H139" s="47"/>
      <c r="I139" s="84"/>
      <c r="J139" s="47"/>
      <c r="K139" s="47"/>
      <c r="L139" s="115"/>
      <c r="M139" s="47"/>
      <c r="N139" s="47"/>
      <c r="O139" s="87"/>
      <c r="P139" s="361"/>
      <c r="Q139" s="47"/>
      <c r="R139" s="78"/>
      <c r="S139" s="22"/>
      <c r="T139" s="47"/>
      <c r="U139" s="87"/>
      <c r="V139" s="9"/>
      <c r="W139" s="7"/>
      <c r="Y139" s="9"/>
      <c r="Z139" s="7"/>
      <c r="AD139" s="42"/>
      <c r="AH139" s="5"/>
      <c r="AI139" s="6"/>
      <c r="AJ139" s="6"/>
      <c r="AK139" s="7"/>
      <c r="AL139" s="5"/>
      <c r="AM139" s="6"/>
      <c r="AN139" s="6"/>
      <c r="AO139" s="7"/>
      <c r="AP139" s="6"/>
      <c r="AQ139" s="6"/>
      <c r="AR139" s="6"/>
      <c r="AS139" s="5"/>
      <c r="AT139" s="121"/>
      <c r="AU139" s="6"/>
      <c r="AV139" s="7"/>
      <c r="AW139" s="6"/>
      <c r="AX139" s="6"/>
    </row>
    <row r="140" spans="1:50">
      <c r="A140" s="3"/>
      <c r="B140" s="4" t="s">
        <v>20</v>
      </c>
      <c r="C140" s="87"/>
      <c r="D140" s="4"/>
      <c r="E140" s="4"/>
      <c r="F140" s="3"/>
      <c r="G140" s="4"/>
      <c r="H140" s="4"/>
      <c r="I140" s="3"/>
      <c r="J140" s="4"/>
      <c r="K140" s="4"/>
      <c r="L140" s="115"/>
      <c r="M140" s="4"/>
      <c r="N140" s="4"/>
      <c r="O140" s="87"/>
      <c r="P140" s="352"/>
      <c r="Q140" s="4"/>
      <c r="R140" s="3"/>
      <c r="S140" s="4"/>
      <c r="T140" s="4"/>
      <c r="U140" s="87"/>
      <c r="V140" s="9"/>
      <c r="W140" s="45"/>
      <c r="Y140" s="9"/>
      <c r="Z140" s="45"/>
      <c r="AB140" s="47"/>
      <c r="AC140" s="47"/>
      <c r="AD140" s="45"/>
      <c r="AH140" s="84"/>
      <c r="AI140" s="47"/>
      <c r="AJ140" s="47"/>
      <c r="AK140" s="45"/>
      <c r="AL140" s="84"/>
      <c r="AM140" s="47"/>
      <c r="AN140" s="47"/>
      <c r="AO140" s="45"/>
      <c r="AP140" s="47"/>
      <c r="AQ140" s="47"/>
      <c r="AR140" s="47"/>
      <c r="AS140" s="84"/>
      <c r="AT140" s="121"/>
      <c r="AU140" s="47"/>
      <c r="AV140" s="45"/>
      <c r="AW140" s="47"/>
      <c r="AX140" s="47"/>
    </row>
    <row r="141" spans="1:50" ht="18">
      <c r="A141" s="3" t="s">
        <v>64</v>
      </c>
      <c r="B141" s="4" t="s">
        <v>65</v>
      </c>
      <c r="C141" s="158">
        <f>AVERAGE(D141:D142)</f>
        <v>80.667008962682672</v>
      </c>
      <c r="D141" s="30">
        <v>75.8</v>
      </c>
      <c r="E141" s="30" t="s">
        <v>250</v>
      </c>
      <c r="F141" s="83"/>
      <c r="G141" s="70"/>
      <c r="H141" s="70"/>
      <c r="I141" s="83"/>
      <c r="J141" s="70"/>
      <c r="K141" s="70"/>
      <c r="L141" s="3">
        <f>M141</f>
        <v>74.7</v>
      </c>
      <c r="M141" s="70">
        <v>74.7</v>
      </c>
      <c r="N141" s="70" t="s">
        <v>250</v>
      </c>
      <c r="O141" s="158">
        <f>AVERAGE(P141:P142)</f>
        <v>50.459000000000003</v>
      </c>
      <c r="P141" s="107">
        <f>39.6-2.391</f>
        <v>37.209000000000003</v>
      </c>
      <c r="Q141" s="47" t="s">
        <v>381</v>
      </c>
      <c r="R141" s="78"/>
      <c r="S141" s="22"/>
      <c r="T141" s="47"/>
      <c r="U141" s="130">
        <f>AVERAGE(V141:V142)</f>
        <v>9.1223628792302236</v>
      </c>
      <c r="V141" s="15">
        <v>8.954725758460448</v>
      </c>
      <c r="W141" s="45" t="s">
        <v>256</v>
      </c>
      <c r="X141" s="130">
        <f>AVERAGE(Y141:Y142)</f>
        <v>6.35</v>
      </c>
      <c r="Y141" s="15">
        <v>6.35</v>
      </c>
      <c r="Z141" s="45" t="s">
        <v>391</v>
      </c>
      <c r="AA141" s="130"/>
      <c r="AB141" s="175">
        <v>10.7</v>
      </c>
      <c r="AC141" s="154">
        <f>LOG(AB141/8.314/298.15)</f>
        <v>-2.3648610561667445</v>
      </c>
      <c r="AD141" s="155" t="s">
        <v>2859</v>
      </c>
      <c r="AE141" s="131">
        <f>AVERAGE(AF141:AF143)</f>
        <v>-2.3516932036933884</v>
      </c>
      <c r="AF141" s="15">
        <v>-2.2007731349843858</v>
      </c>
      <c r="AG141" s="45" t="s">
        <v>256</v>
      </c>
      <c r="AH141" s="84"/>
      <c r="AI141" s="47"/>
      <c r="AJ141" s="47"/>
      <c r="AK141" s="45"/>
      <c r="AL141" s="84"/>
      <c r="AM141" s="47"/>
      <c r="AN141" s="47"/>
      <c r="AO141" s="45"/>
      <c r="AP141" s="47"/>
      <c r="AQ141" s="47"/>
      <c r="AR141" s="47"/>
      <c r="AS141" s="150">
        <f>AVERAGE(AT141:AT143)</f>
        <v>126.90000000000002</v>
      </c>
      <c r="AT141" s="107">
        <f>'Table S4 Conversions and Notes'!$J$213</f>
        <v>126.5</v>
      </c>
      <c r="AU141" s="26">
        <f>AT141+273.15</f>
        <v>399.65</v>
      </c>
      <c r="AV141" s="45" t="s">
        <v>854</v>
      </c>
      <c r="AW141" s="47"/>
      <c r="AX141" s="47"/>
    </row>
    <row r="142" spans="1:50" ht="18">
      <c r="A142" s="3"/>
      <c r="B142" s="171">
        <v>444.2</v>
      </c>
      <c r="C142" s="145">
        <f>_xlfn.STDEV.S(D141:D142)</f>
        <v>6.8829900832172575</v>
      </c>
      <c r="D142" s="26">
        <f>4468*(LN(10)*8.314)/1000</f>
        <v>85.534017925365362</v>
      </c>
      <c r="E142" s="30" t="s">
        <v>805</v>
      </c>
      <c r="F142" s="84"/>
      <c r="G142" s="47"/>
      <c r="H142" s="47"/>
      <c r="I142" s="84"/>
      <c r="J142" s="47"/>
      <c r="K142" s="47"/>
      <c r="L142" s="201">
        <f>RSD_dUoa*L141</f>
        <v>4.7328488583869364</v>
      </c>
      <c r="M142" s="204">
        <f>5501*8.314*2.303/1000</f>
        <v>105.32842814199999</v>
      </c>
      <c r="N142" s="180" t="s">
        <v>1790</v>
      </c>
      <c r="O142" s="150">
        <f>_xlfn.STDEV.S(P141:P142)</f>
        <v>18.738329701443487</v>
      </c>
      <c r="P142" s="107">
        <f>66.1-2.391</f>
        <v>63.708999999999996</v>
      </c>
      <c r="Q142" s="47" t="s">
        <v>386</v>
      </c>
      <c r="R142" s="78"/>
      <c r="S142" s="22"/>
      <c r="T142" s="47"/>
      <c r="U142" s="130">
        <f>_xlfn.STDEV.S(V141:V142)</f>
        <v>0.23707468974979304</v>
      </c>
      <c r="V142" s="9">
        <v>9.2899999999999991</v>
      </c>
      <c r="W142" s="7" t="s">
        <v>1788</v>
      </c>
      <c r="X142" s="130">
        <f>RSD_Con*X141</f>
        <v>0.63500000000000001</v>
      </c>
      <c r="Y142" s="9"/>
      <c r="Z142" s="45"/>
      <c r="AA142" s="130"/>
      <c r="AB142" s="175">
        <v>32</v>
      </c>
      <c r="AC142" s="154">
        <f>LOG(AB142/8.314/298.15)</f>
        <v>-1.8890948555320479</v>
      </c>
      <c r="AD142" s="155" t="s">
        <v>1671</v>
      </c>
      <c r="AE142" s="130">
        <f>_xlfn.STDEV.S(AF141:AF143)</f>
        <v>0.13078312861872404</v>
      </c>
      <c r="AF142" s="6">
        <v>-2.431798275933005</v>
      </c>
      <c r="AG142" s="7" t="s">
        <v>66</v>
      </c>
      <c r="AH142" s="84"/>
      <c r="AI142" s="47"/>
      <c r="AJ142" s="47"/>
      <c r="AK142" s="45"/>
      <c r="AL142" s="84"/>
      <c r="AM142" s="47"/>
      <c r="AN142" s="47"/>
      <c r="AO142" s="45"/>
      <c r="AP142" s="47"/>
      <c r="AQ142" s="47"/>
      <c r="AR142" s="47"/>
      <c r="AS142" s="130">
        <f>_xlfn.STDEV.S(AT141:AT143)</f>
        <v>0.49244289008983061</v>
      </c>
      <c r="AT142" s="107">
        <f>'Table S4 Conversions and Notes'!$J$214</f>
        <v>126.75</v>
      </c>
      <c r="AU142" s="26">
        <f>AT142+273.15</f>
        <v>399.9</v>
      </c>
      <c r="AV142" s="45" t="s">
        <v>855</v>
      </c>
      <c r="AW142" s="47"/>
      <c r="AX142" s="47"/>
    </row>
    <row r="143" spans="1:50">
      <c r="A143" s="3"/>
      <c r="B143" s="4" t="s">
        <v>20</v>
      </c>
      <c r="C143" s="324">
        <f>COUNTA(D141:D144)</f>
        <v>2</v>
      </c>
      <c r="D143" s="4"/>
      <c r="E143" s="4"/>
      <c r="F143" s="3"/>
      <c r="G143" s="4"/>
      <c r="H143" s="4"/>
      <c r="I143" s="3"/>
      <c r="J143" s="4"/>
      <c r="K143" s="4"/>
      <c r="L143" s="324">
        <f>COUNTA(M141)</f>
        <v>1</v>
      </c>
      <c r="M143" s="4"/>
      <c r="N143" s="4"/>
      <c r="O143" s="325">
        <f>COUNTA(P141:P143)</f>
        <v>2</v>
      </c>
      <c r="P143" s="4"/>
      <c r="Q143" s="4"/>
      <c r="R143" s="3"/>
      <c r="S143" s="4"/>
      <c r="T143" s="4"/>
      <c r="U143" s="324">
        <f>COUNTA(V141:V142)</f>
        <v>2</v>
      </c>
      <c r="V143" s="9"/>
      <c r="W143" s="45"/>
      <c r="X143" s="324">
        <f>COUNTA(Y141:Y143)</f>
        <v>1</v>
      </c>
      <c r="Y143" s="9"/>
      <c r="Z143" s="45"/>
      <c r="AA143" s="324"/>
      <c r="AB143" s="47"/>
      <c r="AC143" s="47"/>
      <c r="AD143" s="45"/>
      <c r="AE143" s="324">
        <f>COUNTA(AF141:AF143)</f>
        <v>3</v>
      </c>
      <c r="AF143" s="6">
        <f>LOG(0.00378)</f>
        <v>-2.4225082001627745</v>
      </c>
      <c r="AG143" s="7" t="s">
        <v>389</v>
      </c>
      <c r="AH143" s="84"/>
      <c r="AI143" s="47"/>
      <c r="AJ143" s="47"/>
      <c r="AK143" s="45"/>
      <c r="AL143" s="84"/>
      <c r="AM143" s="47"/>
      <c r="AN143" s="47"/>
      <c r="AO143" s="45"/>
      <c r="AP143" s="47"/>
      <c r="AQ143" s="47"/>
      <c r="AR143" s="47"/>
      <c r="AS143" s="324">
        <f>COUNTA(AT141:AT143)</f>
        <v>3</v>
      </c>
      <c r="AT143" s="371">
        <f>AU143-273.15</f>
        <v>127.45000000000005</v>
      </c>
      <c r="AU143" s="48">
        <v>400.6</v>
      </c>
      <c r="AV143" s="45" t="s">
        <v>2689</v>
      </c>
      <c r="AW143" s="47"/>
      <c r="AX143" s="47"/>
    </row>
    <row r="144" spans="1:50">
      <c r="A144" s="504" t="s">
        <v>67</v>
      </c>
      <c r="B144" s="504"/>
      <c r="C144" s="504"/>
      <c r="D144" s="504"/>
      <c r="E144" s="504"/>
      <c r="F144" s="504"/>
      <c r="G144" s="504"/>
      <c r="H144" s="504"/>
      <c r="I144" s="504"/>
      <c r="J144" s="504"/>
      <c r="K144" s="504"/>
      <c r="L144" s="504"/>
      <c r="M144" s="504"/>
      <c r="N144" s="504"/>
      <c r="O144" s="504"/>
      <c r="P144" s="504"/>
      <c r="Q144" s="504"/>
      <c r="R144" s="504"/>
      <c r="S144" s="504"/>
      <c r="T144" s="504"/>
      <c r="U144" s="504"/>
      <c r="V144" s="504"/>
      <c r="W144" s="504"/>
      <c r="X144" s="504"/>
      <c r="Y144" s="504"/>
      <c r="Z144" s="504"/>
      <c r="AA144" s="504"/>
      <c r="AB144" s="504"/>
      <c r="AC144" s="504"/>
      <c r="AD144" s="504"/>
      <c r="AE144" s="504"/>
      <c r="AF144" s="504"/>
      <c r="AG144" s="504"/>
      <c r="AH144" s="504"/>
      <c r="AI144" s="504"/>
      <c r="AJ144" s="504"/>
      <c r="AK144" s="504"/>
      <c r="AL144" s="504"/>
      <c r="AM144" s="504"/>
      <c r="AN144" s="504"/>
      <c r="AO144" s="504"/>
      <c r="AP144" s="504"/>
      <c r="AQ144" s="504"/>
      <c r="AR144" s="504"/>
      <c r="AS144" s="504"/>
      <c r="AT144" s="504"/>
      <c r="AU144" s="504"/>
      <c r="AV144" s="504"/>
      <c r="AW144" s="4"/>
      <c r="AX144" s="4"/>
    </row>
    <row r="145" spans="1:50" ht="18">
      <c r="A145" s="3" t="s">
        <v>68</v>
      </c>
      <c r="B145" s="4" t="s">
        <v>69</v>
      </c>
      <c r="C145" s="150">
        <f>AVERAGE(D145:D147)</f>
        <v>81.233333333333334</v>
      </c>
      <c r="D145" s="218">
        <v>81.5</v>
      </c>
      <c r="E145" s="30" t="s">
        <v>243</v>
      </c>
      <c r="F145" s="83"/>
      <c r="G145" s="70"/>
      <c r="H145" s="70"/>
      <c r="I145" s="83"/>
      <c r="J145" s="70"/>
      <c r="K145" s="70"/>
      <c r="L145" s="130">
        <f>AVERAGE(M145:M147)</f>
        <v>79.8</v>
      </c>
      <c r="M145" s="212">
        <v>69.099999999999994</v>
      </c>
      <c r="N145" s="70" t="s">
        <v>243</v>
      </c>
      <c r="O145" s="80"/>
      <c r="P145" s="119"/>
      <c r="Q145" s="30"/>
      <c r="R145" s="80"/>
      <c r="S145" s="171"/>
      <c r="T145" s="30"/>
      <c r="U145" s="130">
        <f>AVERAGE(V145:V147)</f>
        <v>7.914452287052451</v>
      </c>
      <c r="V145" s="211">
        <v>7.8533568611573497</v>
      </c>
      <c r="W145" s="45" t="s">
        <v>256</v>
      </c>
      <c r="X145" s="130">
        <f ca="1">AVERAGE(Y145:Y147)</f>
        <v>1.6487788978175042</v>
      </c>
      <c r="Y145" s="15">
        <v>1.43</v>
      </c>
      <c r="Z145" s="45" t="s">
        <v>394</v>
      </c>
      <c r="AB145" s="198">
        <v>2.4099999999999998E-3</v>
      </c>
      <c r="AC145" s="154">
        <f>LOG(AB145/8.314/298.15)</f>
        <v>-6.0122277912770858</v>
      </c>
      <c r="AD145" s="155" t="s">
        <v>859</v>
      </c>
      <c r="AE145" s="130">
        <f>AVERAGE(AF145:AF148)</f>
        <v>-1.3849533306583126</v>
      </c>
      <c r="AF145" s="211">
        <v>-1.251995840744613</v>
      </c>
      <c r="AG145" s="47" t="s">
        <v>256</v>
      </c>
      <c r="AH145" s="130">
        <f ca="1">AVERAGE(AI145:AI147)</f>
        <v>1.4162808651238727</v>
      </c>
      <c r="AI145" s="46">
        <f ca="1">LOG(AJ145/$B$146)</f>
        <v>1.3819491199302976</v>
      </c>
      <c r="AJ145" s="216">
        <f ca="1">'Table S4 Conversions and Notes'!J123</f>
        <v>6879.0402500050268</v>
      </c>
      <c r="AK145" s="7" t="s">
        <v>434</v>
      </c>
      <c r="AL145" s="5"/>
      <c r="AM145" s="6"/>
      <c r="AN145" s="6"/>
      <c r="AO145" s="7"/>
      <c r="AP145" s="6"/>
      <c r="AQ145" s="6"/>
      <c r="AR145" s="6"/>
      <c r="AS145" s="150">
        <f>AVERAGE(AT145:AT146)</f>
        <v>-45</v>
      </c>
      <c r="AT145" s="121">
        <v>-35</v>
      </c>
      <c r="AU145" s="26">
        <f>AT145+273.15</f>
        <v>238.14999999999998</v>
      </c>
      <c r="AV145" s="7" t="s">
        <v>882</v>
      </c>
      <c r="AW145" s="6"/>
      <c r="AX145" s="6"/>
    </row>
    <row r="146" spans="1:50" ht="18">
      <c r="A146" s="3"/>
      <c r="B146" s="171">
        <v>285.48200000000003</v>
      </c>
      <c r="C146" s="130">
        <f>_xlfn.STDEV.S(D145:D147)</f>
        <v>2.9091808698211468</v>
      </c>
      <c r="D146" s="119">
        <v>78.2</v>
      </c>
      <c r="E146" s="30" t="s">
        <v>225</v>
      </c>
      <c r="F146" s="83"/>
      <c r="G146" s="70"/>
      <c r="H146" s="70"/>
      <c r="I146" s="83"/>
      <c r="J146" s="70"/>
      <c r="K146" s="70"/>
      <c r="L146" s="130">
        <f>_xlfn.STDEV.S(M145:M147)</f>
        <v>14.117011015083925</v>
      </c>
      <c r="M146" s="26">
        <v>74.5</v>
      </c>
      <c r="N146" s="30" t="s">
        <v>227</v>
      </c>
      <c r="O146" s="80"/>
      <c r="P146" s="119"/>
      <c r="Q146" s="30"/>
      <c r="R146" s="80"/>
      <c r="S146" s="171"/>
      <c r="T146" s="30"/>
      <c r="U146" s="130">
        <f>_xlfn.STDEV.S(V145:V147)</f>
        <v>6.3438854805062408E-2</v>
      </c>
      <c r="V146" s="14">
        <v>7.98</v>
      </c>
      <c r="W146" s="7" t="s">
        <v>71</v>
      </c>
      <c r="X146" s="130">
        <f ca="1">_xlfn.STDEV.S(Y145:Y147)</f>
        <v>0.19072172315272956</v>
      </c>
      <c r="Y146" s="15">
        <f ca="1">'Table S4 Conversions and Notes'!$J$117</f>
        <v>1.7363366934525124</v>
      </c>
      <c r="Z146" s="7" t="s">
        <v>876</v>
      </c>
      <c r="AB146" s="198">
        <v>4.155E-5</v>
      </c>
      <c r="AC146" s="154">
        <f>LOG(AB146/8.314/298.15)</f>
        <v>-7.7756738057318238</v>
      </c>
      <c r="AD146" s="155" t="s">
        <v>860</v>
      </c>
      <c r="AE146" s="130">
        <f>_xlfn.STDEV.S(AF145:AF148)</f>
        <v>0.17815080358449792</v>
      </c>
      <c r="AF146" s="6">
        <v>-1.32</v>
      </c>
      <c r="AG146" s="7" t="s">
        <v>70</v>
      </c>
      <c r="AH146" s="131">
        <f ca="1">_xlfn.STDEV.S(AI145:AI147)</f>
        <v>2.992467579434344E-2</v>
      </c>
      <c r="AI146" s="46">
        <f ca="1">LOG(AJ146/$B$146)</f>
        <v>1.4368356424654318</v>
      </c>
      <c r="AJ146" s="123">
        <f ca="1">'Table S4 Conversions and Notes'!J111</f>
        <v>7805.7452436842741</v>
      </c>
      <c r="AK146" s="7" t="s">
        <v>401</v>
      </c>
      <c r="AL146" s="5"/>
      <c r="AM146" s="6"/>
      <c r="AN146" s="6"/>
      <c r="AO146" s="7"/>
      <c r="AP146" s="6"/>
      <c r="AQ146" s="6"/>
      <c r="AR146" s="6"/>
      <c r="AS146" s="129">
        <f>_xlfn.STDEV.S(AT145:AT146)</f>
        <v>14.142135623730951</v>
      </c>
      <c r="AT146" s="121">
        <v>-55</v>
      </c>
      <c r="AU146" s="26">
        <f>AT146+273.15</f>
        <v>218.14999999999998</v>
      </c>
      <c r="AV146" s="7" t="s">
        <v>883</v>
      </c>
      <c r="AW146" s="6"/>
      <c r="AX146" s="6"/>
    </row>
    <row r="147" spans="1:50" ht="18">
      <c r="A147" s="3"/>
      <c r="B147" s="4"/>
      <c r="C147" s="324">
        <f>COUNTA(D145:D147)</f>
        <v>3</v>
      </c>
      <c r="D147" s="271">
        <v>84</v>
      </c>
      <c r="E147" s="255" t="s">
        <v>2626</v>
      </c>
      <c r="F147" s="80"/>
      <c r="G147" s="119"/>
      <c r="H147" s="30"/>
      <c r="I147" s="80"/>
      <c r="J147" s="119"/>
      <c r="K147" s="30"/>
      <c r="L147" s="324">
        <f>COUNTA(M145:M147)</f>
        <v>3</v>
      </c>
      <c r="M147" s="101">
        <v>95.8</v>
      </c>
      <c r="N147" s="255" t="s">
        <v>2626</v>
      </c>
      <c r="O147" s="80"/>
      <c r="P147" s="119"/>
      <c r="Q147" s="4"/>
      <c r="R147" s="80"/>
      <c r="S147" s="171"/>
      <c r="T147" s="4"/>
      <c r="U147" s="324">
        <f>COUNTA(V145:V147)</f>
        <v>3</v>
      </c>
      <c r="V147" s="473">
        <v>7.91</v>
      </c>
      <c r="W147" s="269" t="s">
        <v>2620</v>
      </c>
      <c r="X147" s="324">
        <f ca="1">COUNTA(Y145:Y147)</f>
        <v>3</v>
      </c>
      <c r="Y147" s="15">
        <f>'Table S4 Conversions and Notes'!$J$218</f>
        <v>1.78</v>
      </c>
      <c r="Z147" s="45" t="s">
        <v>877</v>
      </c>
      <c r="AB147" s="52"/>
      <c r="AC147" s="52"/>
      <c r="AD147" s="42"/>
      <c r="AE147" s="324">
        <f>COUNTA(AF145:AF148)</f>
        <v>4</v>
      </c>
      <c r="AF147" s="17">
        <v>-1.6478174818886375</v>
      </c>
      <c r="AG147" s="6" t="s">
        <v>72</v>
      </c>
      <c r="AH147" s="324">
        <f ca="1">COUNTA(AI145:AI147)</f>
        <v>3</v>
      </c>
      <c r="AI147" s="46">
        <f ca="1">LOG(AJ147/$B$146)</f>
        <v>1.4300578329758888</v>
      </c>
      <c r="AJ147" s="114">
        <f ca="1">'Table S4 Conversions and Notes'!J118</f>
        <v>7684.8706792913326</v>
      </c>
      <c r="AK147" s="7" t="s">
        <v>417</v>
      </c>
      <c r="AL147" s="78"/>
      <c r="AM147" s="52"/>
      <c r="AN147" s="52"/>
      <c r="AO147" s="42"/>
      <c r="AP147" s="52"/>
      <c r="AQ147" s="52"/>
      <c r="AR147" s="52"/>
      <c r="AS147" s="324">
        <f>COUNTA(AT145:AT146)</f>
        <v>2</v>
      </c>
      <c r="AT147" s="121"/>
      <c r="AU147" s="52"/>
      <c r="AW147" s="52"/>
      <c r="AX147" s="52"/>
    </row>
    <row r="148" spans="1:50" ht="18">
      <c r="A148" s="3"/>
      <c r="B148" s="4"/>
      <c r="C148" s="87"/>
      <c r="D148" s="435">
        <v>36.700000000000003</v>
      </c>
      <c r="E148" s="435" t="s">
        <v>2690</v>
      </c>
      <c r="F148" s="80"/>
      <c r="G148" s="119"/>
      <c r="H148" s="4"/>
      <c r="I148" s="80"/>
      <c r="J148" s="119"/>
      <c r="K148" s="4"/>
      <c r="L148" s="115"/>
      <c r="M148" s="119"/>
      <c r="N148" s="4"/>
      <c r="O148" s="80"/>
      <c r="P148" s="119"/>
      <c r="Q148" s="4"/>
      <c r="R148" s="80"/>
      <c r="S148" s="171"/>
      <c r="T148" s="4"/>
      <c r="U148" s="87"/>
      <c r="V148" s="52"/>
      <c r="W148" s="42"/>
      <c r="Y148" s="177">
        <f>'Table S4 Conversions and Notes'!$J$219</f>
        <v>1.48</v>
      </c>
      <c r="Z148" s="155" t="s">
        <v>872</v>
      </c>
      <c r="AB148" s="52"/>
      <c r="AC148" s="52"/>
      <c r="AD148" s="42"/>
      <c r="AF148" s="260">
        <v>-1.32</v>
      </c>
      <c r="AG148" s="257" t="s">
        <v>2630</v>
      </c>
      <c r="AH148" s="78"/>
      <c r="AJ148" s="52"/>
      <c r="AK148" s="42"/>
      <c r="AL148" s="78"/>
      <c r="AM148" s="52"/>
      <c r="AN148" s="52"/>
      <c r="AO148" s="42"/>
      <c r="AP148" s="52"/>
      <c r="AQ148" s="52"/>
      <c r="AR148" s="52"/>
      <c r="AS148" s="78"/>
      <c r="AT148" s="121"/>
      <c r="AU148" s="52"/>
      <c r="AW148" s="52"/>
      <c r="AX148" s="52"/>
    </row>
    <row r="149" spans="1:50" ht="18">
      <c r="A149" s="3"/>
      <c r="B149" s="4"/>
      <c r="C149" s="87"/>
      <c r="D149" s="119"/>
      <c r="E149" s="4"/>
      <c r="F149" s="80"/>
      <c r="G149" s="119"/>
      <c r="H149" s="4"/>
      <c r="I149" s="80"/>
      <c r="J149" s="119"/>
      <c r="K149" s="4"/>
      <c r="L149" s="115"/>
      <c r="M149" s="119"/>
      <c r="N149" s="4"/>
      <c r="O149" s="80"/>
      <c r="P149" s="119"/>
      <c r="Q149" s="4"/>
      <c r="R149" s="80"/>
      <c r="S149" s="171"/>
      <c r="T149" s="4"/>
      <c r="U149" s="87"/>
      <c r="V149" s="52"/>
      <c r="W149" s="42"/>
      <c r="Y149" s="177">
        <f>'Table S4 Conversions and Notes'!$J$217</f>
        <v>1.44</v>
      </c>
      <c r="Z149" s="155" t="s">
        <v>871</v>
      </c>
      <c r="AB149" s="52"/>
      <c r="AC149" s="52"/>
      <c r="AD149" s="42"/>
      <c r="AF149" s="223">
        <f>'Table S4 Conversions and Notes'!$J$215</f>
        <v>-1.28</v>
      </c>
      <c r="AG149" s="224" t="s">
        <v>869</v>
      </c>
      <c r="AH149" s="78"/>
      <c r="AJ149" s="52"/>
      <c r="AK149" s="42"/>
      <c r="AL149" s="78"/>
      <c r="AM149" s="52"/>
      <c r="AN149" s="52"/>
      <c r="AO149" s="42"/>
      <c r="AP149" s="52"/>
      <c r="AQ149" s="52"/>
      <c r="AR149" s="52"/>
      <c r="AS149" s="78"/>
      <c r="AT149" s="121"/>
      <c r="AU149" s="52"/>
      <c r="AW149" s="52"/>
      <c r="AX149" s="52"/>
    </row>
    <row r="150" spans="1:50" ht="18">
      <c r="A150" s="3"/>
      <c r="B150" s="4"/>
      <c r="C150" s="87"/>
      <c r="D150" s="119"/>
      <c r="E150" s="4"/>
      <c r="F150" s="80"/>
      <c r="G150" s="119"/>
      <c r="H150" s="4"/>
      <c r="I150" s="80"/>
      <c r="J150" s="119"/>
      <c r="K150" s="4"/>
      <c r="L150" s="115"/>
      <c r="M150" s="119"/>
      <c r="N150" s="4"/>
      <c r="O150" s="80"/>
      <c r="P150" s="119"/>
      <c r="Q150" s="4"/>
      <c r="R150" s="80"/>
      <c r="S150" s="171"/>
      <c r="T150" s="4"/>
      <c r="U150" s="87"/>
      <c r="V150" s="52"/>
      <c r="W150" s="42"/>
      <c r="AA150" s="78"/>
      <c r="AB150" s="52"/>
      <c r="AC150" s="52"/>
      <c r="AD150" s="42"/>
      <c r="AF150" s="223">
        <f>'Table S4 Conversions and Notes'!$J$216</f>
        <v>-2.67</v>
      </c>
      <c r="AG150" s="224" t="s">
        <v>870</v>
      </c>
      <c r="AH150" s="78"/>
      <c r="AJ150" s="52"/>
      <c r="AK150" s="42"/>
      <c r="AL150" s="78"/>
      <c r="AM150" s="52"/>
      <c r="AN150" s="52"/>
      <c r="AO150" s="42"/>
      <c r="AP150" s="52"/>
      <c r="AQ150" s="52"/>
      <c r="AR150" s="52"/>
      <c r="AS150" s="78"/>
      <c r="AT150" s="121"/>
      <c r="AU150" s="52"/>
      <c r="AW150" s="52"/>
      <c r="AX150" s="52"/>
    </row>
    <row r="151" spans="1:50">
      <c r="A151" s="3"/>
      <c r="B151" s="4"/>
      <c r="C151" s="87"/>
      <c r="D151" s="119"/>
      <c r="E151" s="4"/>
      <c r="F151" s="80"/>
      <c r="G151" s="119"/>
      <c r="H151" s="4"/>
      <c r="I151" s="80"/>
      <c r="J151" s="119"/>
      <c r="K151" s="4"/>
      <c r="L151" s="115"/>
      <c r="M151" s="119"/>
      <c r="N151" s="4"/>
      <c r="O151" s="80"/>
      <c r="P151" s="119"/>
      <c r="Q151" s="4"/>
      <c r="R151" s="80"/>
      <c r="S151" s="171"/>
      <c r="T151" s="4"/>
      <c r="U151" s="87"/>
      <c r="V151" s="52"/>
      <c r="W151" s="42"/>
      <c r="AA151" s="52"/>
      <c r="AB151" s="52"/>
      <c r="AC151" s="52"/>
      <c r="AD151" s="42"/>
      <c r="AH151" s="78"/>
      <c r="AJ151" s="52"/>
      <c r="AK151" s="42"/>
      <c r="AL151" s="78"/>
      <c r="AM151" s="52"/>
      <c r="AN151" s="52"/>
      <c r="AO151" s="42"/>
      <c r="AP151" s="52"/>
      <c r="AQ151" s="52"/>
      <c r="AR151" s="52"/>
      <c r="AS151" s="78"/>
      <c r="AT151" s="121"/>
      <c r="AU151" s="52"/>
      <c r="AW151" s="52"/>
      <c r="AX151" s="52"/>
    </row>
    <row r="152" spans="1:50" ht="16.5">
      <c r="A152" s="3" t="s">
        <v>73</v>
      </c>
      <c r="B152" s="4" t="s">
        <v>74</v>
      </c>
      <c r="C152" s="150">
        <f>AVERAGE(D152:D154)</f>
        <v>90.566666666666663</v>
      </c>
      <c r="D152" s="30">
        <v>84.7</v>
      </c>
      <c r="E152" s="30" t="s">
        <v>243</v>
      </c>
      <c r="F152" s="83"/>
      <c r="G152" s="70"/>
      <c r="H152" s="70"/>
      <c r="I152" s="83"/>
      <c r="J152" s="70"/>
      <c r="K152" s="70"/>
      <c r="L152" s="130">
        <f>AVERAGE(M152:M154)</f>
        <v>90.3</v>
      </c>
      <c r="M152" s="70">
        <v>72.3</v>
      </c>
      <c r="N152" s="70" t="s">
        <v>243</v>
      </c>
      <c r="O152" s="80"/>
      <c r="P152" s="119"/>
      <c r="Q152" s="30"/>
      <c r="R152" s="80"/>
      <c r="S152" s="171"/>
      <c r="T152" s="30"/>
      <c r="U152" s="130">
        <f>AVERAGE(V152:V154)</f>
        <v>8.5999801895500738</v>
      </c>
      <c r="V152" s="15">
        <v>8.0399405686502252</v>
      </c>
      <c r="W152" s="45" t="s">
        <v>256</v>
      </c>
      <c r="X152" s="130">
        <f>AVERAGE(Y152:Y153)</f>
        <v>2.6349999999999998</v>
      </c>
      <c r="Y152" s="15">
        <v>2.68</v>
      </c>
      <c r="Z152" s="45" t="s">
        <v>418</v>
      </c>
      <c r="AB152" s="198">
        <v>3.9599999999999998E-4</v>
      </c>
      <c r="AC152" s="154">
        <f>LOG(AB152/8.314/298.15)</f>
        <v>-6.796549647926442</v>
      </c>
      <c r="AD152" s="155" t="s">
        <v>861</v>
      </c>
      <c r="AE152" s="130">
        <f>AVERAGE(AF152:AF156)</f>
        <v>-2.0793529564966393</v>
      </c>
      <c r="AF152" s="15">
        <v>-1.4578260458748966</v>
      </c>
      <c r="AG152" s="47" t="s">
        <v>256</v>
      </c>
      <c r="AH152" s="130">
        <f ca="1">AVERAGE(AI152:AI154)</f>
        <v>0.56851833009543651</v>
      </c>
      <c r="AI152" s="46">
        <f ca="1">LOG(AJ152/$B$153)</f>
        <v>0.48569075517238153</v>
      </c>
      <c r="AJ152" s="123">
        <f ca="1">'Table S4 Conversions and Notes'!J119</f>
        <v>1002.2719937454126</v>
      </c>
      <c r="AK152" s="7" t="s">
        <v>424</v>
      </c>
      <c r="AL152" s="5"/>
      <c r="AM152" s="6"/>
      <c r="AN152" s="6"/>
      <c r="AO152" s="7"/>
      <c r="AP152" s="6"/>
      <c r="AQ152" s="6"/>
      <c r="AR152" s="6"/>
      <c r="AS152" s="182">
        <f>AVERAGE(AT152:AT153)</f>
        <v>-45.5</v>
      </c>
      <c r="AT152" s="121">
        <v>-40</v>
      </c>
      <c r="AU152" s="26">
        <f>AT152+273.15</f>
        <v>233.14999999999998</v>
      </c>
      <c r="AV152" s="7" t="s">
        <v>884</v>
      </c>
      <c r="AW152" s="6"/>
      <c r="AX152" s="6"/>
    </row>
    <row r="153" spans="1:50">
      <c r="A153" s="3"/>
      <c r="B153" s="171">
        <v>327.56299999999999</v>
      </c>
      <c r="C153" s="130">
        <f>_xlfn.STDEV.S(D152:D154)</f>
        <v>9.2251467919666919</v>
      </c>
      <c r="D153" s="119">
        <v>101.2</v>
      </c>
      <c r="E153" s="30" t="s">
        <v>225</v>
      </c>
      <c r="F153" s="83"/>
      <c r="G153" s="70"/>
      <c r="H153" s="70"/>
      <c r="I153" s="83"/>
      <c r="J153" s="70"/>
      <c r="K153" s="70"/>
      <c r="L153" s="130">
        <f>_xlfn.STDEV.S(M152:M154)</f>
        <v>15.703821191035079</v>
      </c>
      <c r="M153" s="119">
        <v>101.2</v>
      </c>
      <c r="N153" s="30" t="s">
        <v>227</v>
      </c>
      <c r="O153" s="80"/>
      <c r="P153" s="119"/>
      <c r="Q153" s="30"/>
      <c r="R153" s="80"/>
      <c r="S153" s="171"/>
      <c r="T153" s="30"/>
      <c r="U153" s="130">
        <f>_xlfn.STDEV.S(V152:V154)</f>
        <v>0.93553903324940713</v>
      </c>
      <c r="V153" s="14">
        <v>9.68</v>
      </c>
      <c r="W153" s="7" t="s">
        <v>71</v>
      </c>
      <c r="X153" s="130">
        <f>_xlfn.STDEV.S(Y152:Y153)</f>
        <v>6.3639610306789496E-2</v>
      </c>
      <c r="Y153" s="15">
        <v>2.59</v>
      </c>
      <c r="Z153" s="45" t="s">
        <v>420</v>
      </c>
      <c r="AB153" s="176"/>
      <c r="AC153" s="176"/>
      <c r="AD153" s="185"/>
      <c r="AE153" s="130">
        <f>_xlfn.STDEV.S(AF152:AF156)</f>
        <v>0.83649137759001246</v>
      </c>
      <c r="AF153" s="6">
        <v>-1.46</v>
      </c>
      <c r="AG153" s="6" t="s">
        <v>70</v>
      </c>
      <c r="AH153" s="130">
        <f ca="1">_xlfn.STDEV.S(AI152:AI154)</f>
        <v>8.5459697155219894E-2</v>
      </c>
      <c r="AI153" s="46">
        <f>LOG(AJ153/$B$153)</f>
        <v>0.56347725277257177</v>
      </c>
      <c r="AJ153" s="123">
        <v>1198.8699999999999</v>
      </c>
      <c r="AK153" s="7" t="s">
        <v>420</v>
      </c>
      <c r="AL153" s="5"/>
      <c r="AM153" s="6"/>
      <c r="AN153" s="6"/>
      <c r="AO153" s="7"/>
      <c r="AP153" s="6"/>
      <c r="AQ153" s="6"/>
      <c r="AR153" s="6"/>
      <c r="AS153" s="182">
        <f>_xlfn.STDEV.S(AT152:AT153)</f>
        <v>7.7781745930520225</v>
      </c>
      <c r="AT153" s="121">
        <v>-51</v>
      </c>
      <c r="AU153" s="26">
        <f>AT153+273.15</f>
        <v>222.14999999999998</v>
      </c>
      <c r="AV153" s="7" t="s">
        <v>885</v>
      </c>
      <c r="AW153" s="6"/>
      <c r="AX153" s="6"/>
    </row>
    <row r="154" spans="1:50" ht="18">
      <c r="A154" s="3"/>
      <c r="B154" s="4"/>
      <c r="C154" s="324">
        <f>COUNTA(D152:D155)</f>
        <v>3</v>
      </c>
      <c r="D154" s="119">
        <f>'Table S4 Conversions and Notes'!J532</f>
        <v>85.8</v>
      </c>
      <c r="E154" s="30" t="s">
        <v>2626</v>
      </c>
      <c r="F154" s="80"/>
      <c r="G154" s="119"/>
      <c r="H154" s="30"/>
      <c r="I154" s="80"/>
      <c r="J154" s="119"/>
      <c r="K154" s="30"/>
      <c r="L154" s="324">
        <f>COUNTA(M152:M154)</f>
        <v>3</v>
      </c>
      <c r="M154" s="119">
        <f>'Table S4 Conversions and Notes'!J531</f>
        <v>97.4</v>
      </c>
      <c r="N154" s="30" t="s">
        <v>2626</v>
      </c>
      <c r="O154" s="80"/>
      <c r="P154" s="119"/>
      <c r="Q154" s="4"/>
      <c r="R154" s="80"/>
      <c r="S154" s="171"/>
      <c r="T154" s="4"/>
      <c r="U154" s="324">
        <f>COUNTA(V152:V154)</f>
        <v>3</v>
      </c>
      <c r="V154" s="14">
        <f>'Table S4 Conversions and Notes'!J530</f>
        <v>8.08</v>
      </c>
      <c r="W154" s="7" t="s">
        <v>2620</v>
      </c>
      <c r="X154" s="324">
        <f>COUNTA(Y152:Y153)</f>
        <v>2</v>
      </c>
      <c r="Y154" s="223">
        <f>'Table S4 Conversions and Notes'!$J$221</f>
        <v>3.33</v>
      </c>
      <c r="Z154" s="185" t="s">
        <v>891</v>
      </c>
      <c r="AB154" s="221"/>
      <c r="AC154" s="221"/>
      <c r="AD154" s="222"/>
      <c r="AE154" s="324">
        <f>COUNTA(AF152:AF156)</f>
        <v>5</v>
      </c>
      <c r="AF154" s="6">
        <v>-2.8540000000000001</v>
      </c>
      <c r="AG154" s="6" t="s">
        <v>213</v>
      </c>
      <c r="AH154" s="324">
        <f ca="1">COUNTA(AI152:AI154)</f>
        <v>3</v>
      </c>
      <c r="AI154" s="46">
        <f ca="1">LOG(AJ154/$B$153)</f>
        <v>0.6563869823413564</v>
      </c>
      <c r="AJ154" s="114">
        <f ca="1">'Table S4 Conversions and Notes'!J120</f>
        <v>1484.8473981413513</v>
      </c>
      <c r="AK154" s="45" t="s">
        <v>422</v>
      </c>
      <c r="AL154" s="78"/>
      <c r="AM154" s="52"/>
      <c r="AN154" s="52"/>
      <c r="AO154" s="42"/>
      <c r="AP154" s="52"/>
      <c r="AQ154" s="52"/>
      <c r="AR154" s="52"/>
      <c r="AS154" s="324">
        <f>COUNTA(AT152:AT153)</f>
        <v>2</v>
      </c>
      <c r="AT154" s="192" t="str">
        <f>'Table S4 Conversions and Notes'!$J$220</f>
        <v>&lt; -20</v>
      </c>
      <c r="AU154" s="178" t="s">
        <v>887</v>
      </c>
      <c r="AV154" s="185" t="s">
        <v>1589</v>
      </c>
      <c r="AW154" s="52"/>
      <c r="AX154" s="52"/>
    </row>
    <row r="155" spans="1:50" ht="18">
      <c r="A155" s="3"/>
      <c r="B155" s="4"/>
      <c r="C155" s="87"/>
      <c r="D155" s="119"/>
      <c r="E155" s="4"/>
      <c r="F155" s="80"/>
      <c r="G155" s="119"/>
      <c r="H155" s="4"/>
      <c r="I155" s="80"/>
      <c r="J155" s="119"/>
      <c r="K155" s="4"/>
      <c r="L155" s="115"/>
      <c r="M155" s="119"/>
      <c r="N155" s="4"/>
      <c r="O155" s="80"/>
      <c r="P155" s="119"/>
      <c r="Q155" s="4"/>
      <c r="R155" s="80"/>
      <c r="S155" s="171"/>
      <c r="T155" s="4"/>
      <c r="U155" s="87"/>
      <c r="V155" s="52"/>
      <c r="W155" s="42"/>
      <c r="Y155" s="52"/>
      <c r="Z155" s="42"/>
      <c r="AB155" s="221"/>
      <c r="AC155" s="221"/>
      <c r="AD155" s="222"/>
      <c r="AF155" s="260">
        <f>'Table S4 Conversions and Notes'!J533</f>
        <v>-1.5</v>
      </c>
      <c r="AG155" s="6" t="s">
        <v>2630</v>
      </c>
      <c r="AH155" s="78"/>
      <c r="AJ155" s="52"/>
      <c r="AK155" s="42"/>
      <c r="AL155" s="78"/>
      <c r="AM155" s="52"/>
      <c r="AN155" s="52"/>
      <c r="AO155" s="42"/>
      <c r="AP155" s="52"/>
      <c r="AQ155" s="52"/>
      <c r="AR155" s="52"/>
      <c r="AS155" s="78"/>
      <c r="AW155" s="52"/>
      <c r="AX155" s="52"/>
    </row>
    <row r="156" spans="1:50">
      <c r="A156" s="3"/>
      <c r="B156" s="4"/>
      <c r="C156" s="87"/>
      <c r="D156" s="119"/>
      <c r="E156" s="4"/>
      <c r="F156" s="80"/>
      <c r="G156" s="119"/>
      <c r="H156" s="4"/>
      <c r="I156" s="80"/>
      <c r="J156" s="119"/>
      <c r="K156" s="4"/>
      <c r="L156" s="115"/>
      <c r="M156" s="119"/>
      <c r="N156" s="4"/>
      <c r="O156" s="80"/>
      <c r="P156" s="119"/>
      <c r="Q156" s="4"/>
      <c r="R156" s="80"/>
      <c r="S156" s="171"/>
      <c r="T156" s="4"/>
      <c r="U156" s="87"/>
      <c r="V156" s="52"/>
      <c r="W156" s="42"/>
      <c r="Y156" s="52"/>
      <c r="Z156" s="42"/>
      <c r="AB156" s="221"/>
      <c r="AC156" s="221"/>
      <c r="AD156" s="222"/>
      <c r="AF156" s="17">
        <v>-3.1249387366082999</v>
      </c>
      <c r="AG156" s="6" t="s">
        <v>72</v>
      </c>
      <c r="AH156" s="78"/>
      <c r="AJ156" s="52"/>
      <c r="AK156" s="42"/>
      <c r="AL156" s="78"/>
      <c r="AM156" s="52"/>
      <c r="AN156" s="52"/>
      <c r="AO156" s="42"/>
      <c r="AP156" s="52"/>
      <c r="AQ156" s="52"/>
      <c r="AR156" s="52"/>
      <c r="AS156" s="78"/>
      <c r="AT156" s="121"/>
      <c r="AU156" s="52"/>
      <c r="AW156" s="52"/>
      <c r="AX156" s="52"/>
    </row>
    <row r="157" spans="1:50">
      <c r="A157" s="3"/>
      <c r="B157" s="4"/>
      <c r="C157" s="87"/>
      <c r="D157" s="119"/>
      <c r="E157" s="4"/>
      <c r="F157" s="80"/>
      <c r="G157" s="119"/>
      <c r="H157" s="4"/>
      <c r="I157" s="80"/>
      <c r="J157" s="119"/>
      <c r="K157" s="4"/>
      <c r="L157" s="115"/>
      <c r="M157" s="119"/>
      <c r="N157" s="4"/>
      <c r="O157" s="80"/>
      <c r="P157" s="119"/>
      <c r="Q157" s="4"/>
      <c r="R157" s="80"/>
      <c r="S157" s="171"/>
      <c r="T157" s="4"/>
      <c r="U157" s="87"/>
      <c r="V157" s="52"/>
      <c r="W157" s="42"/>
      <c r="Y157" s="52"/>
      <c r="Z157" s="42"/>
      <c r="AB157" s="221"/>
      <c r="AC157" s="221"/>
      <c r="AD157" s="222"/>
      <c r="AF157" s="223">
        <v>-2.12</v>
      </c>
      <c r="AG157" s="224" t="s">
        <v>182</v>
      </c>
      <c r="AH157" s="78"/>
      <c r="AJ157" s="52"/>
      <c r="AK157" s="42"/>
      <c r="AL157" s="78"/>
      <c r="AM157" s="52"/>
      <c r="AN157" s="52"/>
      <c r="AO157" s="42"/>
      <c r="AP157" s="52"/>
      <c r="AQ157" s="52"/>
      <c r="AR157" s="52"/>
      <c r="AS157" s="78"/>
      <c r="AT157" s="121"/>
      <c r="AU157" s="52"/>
      <c r="AW157" s="52"/>
      <c r="AX157" s="52"/>
    </row>
    <row r="158" spans="1:50">
      <c r="A158" s="3"/>
      <c r="B158" s="4"/>
      <c r="C158" s="87"/>
      <c r="D158" s="119"/>
      <c r="E158" s="4"/>
      <c r="F158" s="80"/>
      <c r="G158" s="119"/>
      <c r="H158" s="4"/>
      <c r="I158" s="80"/>
      <c r="J158" s="119"/>
      <c r="K158" s="4"/>
      <c r="L158" s="115"/>
      <c r="M158" s="119"/>
      <c r="N158" s="4"/>
      <c r="O158" s="80"/>
      <c r="P158" s="119"/>
      <c r="Q158" s="4"/>
      <c r="R158" s="80"/>
      <c r="S158" s="171"/>
      <c r="T158" s="4"/>
      <c r="U158" s="87"/>
      <c r="V158" s="52"/>
      <c r="W158" s="42"/>
      <c r="Y158" s="52"/>
      <c r="Z158" s="42"/>
      <c r="AB158" s="221"/>
      <c r="AC158" s="221"/>
      <c r="AD158" s="222"/>
      <c r="AH158" s="78"/>
      <c r="AJ158" s="52"/>
      <c r="AK158" s="42"/>
      <c r="AL158" s="78"/>
      <c r="AM158" s="52"/>
      <c r="AN158" s="52"/>
      <c r="AO158" s="42"/>
      <c r="AP158" s="52"/>
      <c r="AQ158" s="52"/>
      <c r="AR158" s="52"/>
      <c r="AS158" s="78"/>
      <c r="AT158" s="121"/>
      <c r="AU158" s="52"/>
      <c r="AW158" s="52"/>
      <c r="AX158" s="52"/>
    </row>
    <row r="159" spans="1:50" ht="18">
      <c r="A159" s="3" t="s">
        <v>75</v>
      </c>
      <c r="B159" s="4" t="s">
        <v>76</v>
      </c>
      <c r="C159" s="150">
        <f>AVERAGE(D159:D161)</f>
        <v>97</v>
      </c>
      <c r="D159" s="30">
        <v>91.2</v>
      </c>
      <c r="E159" s="30" t="s">
        <v>249</v>
      </c>
      <c r="F159" s="83"/>
      <c r="G159" s="70"/>
      <c r="H159" s="70"/>
      <c r="I159" s="83"/>
      <c r="J159" s="70"/>
      <c r="K159" s="70"/>
      <c r="L159" s="130">
        <f>AVERAGE(M159:M161)</f>
        <v>93.066666666666663</v>
      </c>
      <c r="M159" s="70">
        <v>90</v>
      </c>
      <c r="N159" s="70" t="s">
        <v>249</v>
      </c>
      <c r="O159" s="80"/>
      <c r="P159" s="119"/>
      <c r="Q159" s="30"/>
      <c r="R159" s="80"/>
      <c r="S159" s="171"/>
      <c r="T159" s="30"/>
      <c r="U159" s="266">
        <f>AVERAGE(V159:V161)</f>
        <v>10.196734960730311</v>
      </c>
      <c r="V159" s="15">
        <v>9.9202048821909319</v>
      </c>
      <c r="W159" s="45" t="s">
        <v>256</v>
      </c>
      <c r="X159" s="130">
        <f ca="1">AVERAGE(Y159:Y163)</f>
        <v>3.7354013998198079</v>
      </c>
      <c r="Y159" s="15">
        <f>LOG(5720)</f>
        <v>3.7573960287930244</v>
      </c>
      <c r="Z159" s="45" t="s">
        <v>394</v>
      </c>
      <c r="AB159" s="198">
        <v>1.2400000000000001E-4</v>
      </c>
      <c r="AC159" s="154">
        <f>LOG(AB159/8.314/298.15)</f>
        <v>-7.3008231486897186</v>
      </c>
      <c r="AD159" s="155" t="s">
        <v>862</v>
      </c>
      <c r="AE159" s="130">
        <f>AVERAGE(AF159:AF163)</f>
        <v>-3.8968901507926397</v>
      </c>
      <c r="AF159" s="15">
        <v>-3.2658434391214253</v>
      </c>
      <c r="AG159" s="47" t="s">
        <v>256</v>
      </c>
      <c r="AH159" s="130">
        <f ca="1">AVERAGE(AI159:AI161)</f>
        <v>-1.5157161364205862</v>
      </c>
      <c r="AI159" s="46">
        <f ca="1">LOG(AJ159/$B$160)</f>
        <v>-1.4068168633942832</v>
      </c>
      <c r="AJ159" s="26">
        <f ca="1">'Table S4 Conversions and Notes'!$J$121</f>
        <v>16.886846041195113</v>
      </c>
      <c r="AK159" s="7" t="s">
        <v>427</v>
      </c>
      <c r="AL159" s="5"/>
      <c r="AM159" s="6"/>
      <c r="AN159" s="6"/>
      <c r="AO159" s="7"/>
      <c r="AP159" s="6"/>
      <c r="AQ159" s="6"/>
      <c r="AR159" s="6"/>
      <c r="AS159" s="201">
        <f>AT159</f>
        <v>27</v>
      </c>
      <c r="AT159" s="121">
        <v>27</v>
      </c>
      <c r="AU159" s="26">
        <f>AT159+273.15</f>
        <v>300.14999999999998</v>
      </c>
      <c r="AV159" s="7" t="s">
        <v>893</v>
      </c>
      <c r="AW159" s="6"/>
      <c r="AX159" s="6"/>
    </row>
    <row r="160" spans="1:50" ht="18">
      <c r="A160" s="3"/>
      <c r="B160" s="171">
        <v>430.88900000000001</v>
      </c>
      <c r="C160" s="130">
        <f>_xlfn.STDEV.S(D159:D161)</f>
        <v>5.0239426748321856</v>
      </c>
      <c r="D160" s="119">
        <v>99.8</v>
      </c>
      <c r="E160" s="30" t="s">
        <v>225</v>
      </c>
      <c r="F160" s="83"/>
      <c r="G160" s="70"/>
      <c r="H160" s="70"/>
      <c r="I160" s="83"/>
      <c r="J160" s="70"/>
      <c r="K160" s="70"/>
      <c r="L160" s="130">
        <f>_xlfn.STDEV.S(M159:M161)</f>
        <v>5.7500724633115148</v>
      </c>
      <c r="M160" s="119">
        <v>99.7</v>
      </c>
      <c r="N160" s="30" t="s">
        <v>227</v>
      </c>
      <c r="O160" s="80"/>
      <c r="P160" s="119"/>
      <c r="Q160" s="30"/>
      <c r="R160" s="80"/>
      <c r="S160" s="171"/>
      <c r="T160" s="30"/>
      <c r="U160" s="266">
        <f>_xlfn.STDEV.S(V159:V161)</f>
        <v>0.35717875532112214</v>
      </c>
      <c r="V160" s="14">
        <v>10.6</v>
      </c>
      <c r="W160" s="7" t="s">
        <v>71</v>
      </c>
      <c r="X160" s="130">
        <f ca="1">_xlfn.STDEV.S(Y159:Y163)</f>
        <v>5.478325049151412E-2</v>
      </c>
      <c r="Y160" s="15">
        <v>3.74</v>
      </c>
      <c r="Z160" s="45" t="s">
        <v>446</v>
      </c>
      <c r="AB160" s="176"/>
      <c r="AC160" s="176"/>
      <c r="AD160" s="185"/>
      <c r="AE160" s="130">
        <f>_xlfn.STDEV.S(AF159:AF163)</f>
        <v>0.8017700738440946</v>
      </c>
      <c r="AF160" s="6">
        <v>-3.38</v>
      </c>
      <c r="AG160" s="6" t="s">
        <v>70</v>
      </c>
      <c r="AH160" s="130">
        <f ca="1">_xlfn.STDEV.S(AI159:AI161)</f>
        <v>0.23853678415206614</v>
      </c>
      <c r="AI160" s="46">
        <f>LOG(AJ160/$B$160)</f>
        <v>-1.3510641785890916</v>
      </c>
      <c r="AJ160" s="47">
        <v>19.2</v>
      </c>
      <c r="AK160" s="7" t="s">
        <v>365</v>
      </c>
      <c r="AL160" s="5"/>
      <c r="AM160" s="6"/>
      <c r="AN160" s="6"/>
      <c r="AO160" s="7"/>
      <c r="AP160" s="6"/>
      <c r="AQ160" s="6"/>
      <c r="AR160" s="6"/>
      <c r="AS160" s="182">
        <f>RSD_Unr*AS159</f>
        <v>8.1</v>
      </c>
      <c r="AT160" s="192" t="s">
        <v>886</v>
      </c>
      <c r="AU160" s="178">
        <v>253.2</v>
      </c>
      <c r="AV160" s="185" t="s">
        <v>1592</v>
      </c>
      <c r="AW160" s="6"/>
      <c r="AX160" s="6"/>
    </row>
    <row r="161" spans="1:50" ht="18">
      <c r="A161" s="3"/>
      <c r="B161" s="4"/>
      <c r="C161" s="324">
        <f>COUNTA(D159:D162)</f>
        <v>3</v>
      </c>
      <c r="D161" s="119">
        <v>100</v>
      </c>
      <c r="E161" s="30" t="s">
        <v>2625</v>
      </c>
      <c r="F161" s="80"/>
      <c r="G161" s="119"/>
      <c r="H161" s="30"/>
      <c r="I161" s="80"/>
      <c r="J161" s="119"/>
      <c r="K161" s="30"/>
      <c r="L161" s="324">
        <f>COUNTA(M159:M161)</f>
        <v>3</v>
      </c>
      <c r="M161" s="119">
        <v>89.5</v>
      </c>
      <c r="N161" s="30" t="s">
        <v>2625</v>
      </c>
      <c r="O161" s="80"/>
      <c r="P161" s="119"/>
      <c r="Q161" s="47"/>
      <c r="R161" s="80"/>
      <c r="S161" s="171"/>
      <c r="T161" s="47"/>
      <c r="U161" s="324">
        <f>COUNTA(V159:V161)</f>
        <v>3</v>
      </c>
      <c r="V161" s="14">
        <v>10.07</v>
      </c>
      <c r="W161" s="7" t="s">
        <v>2620</v>
      </c>
      <c r="X161" s="324">
        <f ca="1">COUNTA(Y159:Y163)</f>
        <v>5</v>
      </c>
      <c r="Y161" s="136">
        <f ca="1">'Table S4 Conversions and Notes'!$J$223</f>
        <v>3.7296109703060139</v>
      </c>
      <c r="Z161" s="7" t="s">
        <v>1595</v>
      </c>
      <c r="AB161" s="176"/>
      <c r="AC161" s="176"/>
      <c r="AD161" s="185"/>
      <c r="AE161" s="324">
        <f>COUNTA(AF159:AF163)</f>
        <v>5</v>
      </c>
      <c r="AF161" s="6">
        <v>-3.9586073148417751</v>
      </c>
      <c r="AG161" s="6" t="s">
        <v>72</v>
      </c>
      <c r="AH161" s="324">
        <f ca="1">COUNTA(AI159:AI161)</f>
        <v>3</v>
      </c>
      <c r="AI161" s="46">
        <f>LOG(AJ161/$B$160)</f>
        <v>-1.7892673672783843</v>
      </c>
      <c r="AJ161" s="26">
        <v>7</v>
      </c>
      <c r="AK161" s="7" t="s">
        <v>913</v>
      </c>
      <c r="AL161" s="5"/>
      <c r="AM161" s="6"/>
      <c r="AN161" s="6"/>
      <c r="AO161" s="7"/>
      <c r="AP161" s="6"/>
      <c r="AQ161" s="6"/>
      <c r="AR161" s="6"/>
      <c r="AS161" s="324">
        <f>COUNTA(AT159)</f>
        <v>1</v>
      </c>
      <c r="AW161" s="6"/>
      <c r="AX161" s="6"/>
    </row>
    <row r="162" spans="1:50" ht="18">
      <c r="A162" s="3"/>
      <c r="B162" s="4"/>
      <c r="C162" s="87"/>
      <c r="D162" s="119"/>
      <c r="E162" s="4"/>
      <c r="F162" s="80"/>
      <c r="G162" s="119"/>
      <c r="H162" s="4"/>
      <c r="I162" s="80"/>
      <c r="J162" s="119"/>
      <c r="K162" s="4"/>
      <c r="L162" s="115"/>
      <c r="M162" s="119"/>
      <c r="N162" s="4"/>
      <c r="O162" s="80"/>
      <c r="P162" s="119"/>
      <c r="Q162" s="4"/>
      <c r="R162" s="80"/>
      <c r="S162" s="171"/>
      <c r="T162" s="4"/>
      <c r="U162" s="87"/>
      <c r="V162" s="143"/>
      <c r="W162" s="42"/>
      <c r="Y162" s="17">
        <v>3.65</v>
      </c>
      <c r="Z162" s="45" t="s">
        <v>436</v>
      </c>
      <c r="AB162" s="221"/>
      <c r="AC162" s="221"/>
      <c r="AD162" s="222"/>
      <c r="AF162" s="136">
        <v>-5.25</v>
      </c>
      <c r="AG162" s="134" t="s">
        <v>214</v>
      </c>
      <c r="AH162" s="78"/>
      <c r="AI162" s="225">
        <f ca="1">LOG(AJ162/$B$160)</f>
        <v>-0.66449543826346757</v>
      </c>
      <c r="AJ162" s="227">
        <f ca="1">'Table S4 Conversions and Notes'!J124</f>
        <v>93.297491940304525</v>
      </c>
      <c r="AK162" s="185" t="s">
        <v>896</v>
      </c>
      <c r="AL162" s="78"/>
      <c r="AM162" s="52"/>
      <c r="AN162" s="52"/>
      <c r="AO162" s="42"/>
      <c r="AP162" s="52"/>
      <c r="AQ162" s="52"/>
      <c r="AR162" s="52"/>
      <c r="AS162" s="78"/>
      <c r="AT162" s="121"/>
      <c r="AU162" s="52"/>
      <c r="AW162" s="52"/>
      <c r="AX162" s="52"/>
    </row>
    <row r="163" spans="1:50">
      <c r="A163" s="3"/>
      <c r="B163" s="4"/>
      <c r="C163" s="87"/>
      <c r="D163" s="119"/>
      <c r="E163" s="4"/>
      <c r="F163" s="80"/>
      <c r="G163" s="119"/>
      <c r="H163" s="4"/>
      <c r="I163" s="80"/>
      <c r="J163" s="119"/>
      <c r="K163" s="4"/>
      <c r="L163" s="115"/>
      <c r="M163" s="119"/>
      <c r="N163" s="4"/>
      <c r="O163" s="80"/>
      <c r="P163" s="119"/>
      <c r="Q163" s="4"/>
      <c r="R163" s="80"/>
      <c r="S163" s="171"/>
      <c r="T163" s="4"/>
      <c r="U163" s="87"/>
      <c r="V163" s="144"/>
      <c r="W163" s="42"/>
      <c r="Y163" s="17">
        <v>3.8</v>
      </c>
      <c r="Z163" s="45" t="s">
        <v>436</v>
      </c>
      <c r="AB163" s="221"/>
      <c r="AC163" s="221"/>
      <c r="AD163" s="222"/>
      <c r="AF163" s="260">
        <v>-3.63</v>
      </c>
      <c r="AG163" s="269" t="s">
        <v>2620</v>
      </c>
      <c r="AH163" s="78"/>
      <c r="AL163" s="78"/>
      <c r="AM163" s="52"/>
      <c r="AN163" s="52"/>
      <c r="AO163" s="42"/>
      <c r="AP163" s="52"/>
      <c r="AQ163" s="52"/>
      <c r="AR163" s="52"/>
      <c r="AS163" s="78"/>
      <c r="AT163" s="121"/>
      <c r="AU163" s="52"/>
      <c r="AW163" s="52"/>
      <c r="AX163" s="52"/>
    </row>
    <row r="164" spans="1:50">
      <c r="A164" s="3"/>
      <c r="B164" s="4" t="s">
        <v>20</v>
      </c>
      <c r="C164" s="87"/>
      <c r="D164" s="119"/>
      <c r="E164" s="4"/>
      <c r="F164" s="80"/>
      <c r="G164" s="119"/>
      <c r="H164" s="4"/>
      <c r="I164" s="80"/>
      <c r="J164" s="119"/>
      <c r="K164" s="4"/>
      <c r="L164" s="115"/>
      <c r="M164" s="119"/>
      <c r="N164" s="4"/>
      <c r="O164" s="80"/>
      <c r="P164" s="119"/>
      <c r="Q164" s="4"/>
      <c r="R164" s="80"/>
      <c r="S164" s="171"/>
      <c r="T164" s="4"/>
      <c r="U164" s="87"/>
      <c r="V164" s="47"/>
      <c r="W164" s="45"/>
      <c r="Y164" s="47"/>
      <c r="Z164" s="45"/>
      <c r="AB164" s="175"/>
      <c r="AC164" s="175"/>
      <c r="AD164" s="155"/>
      <c r="AF164" s="223">
        <v>-4.4000000000000004</v>
      </c>
      <c r="AG164" s="224" t="s">
        <v>182</v>
      </c>
      <c r="AH164" s="78"/>
      <c r="AJ164" s="47"/>
      <c r="AK164" s="45"/>
      <c r="AL164" s="84"/>
      <c r="AM164" s="47"/>
      <c r="AN164" s="47"/>
      <c r="AO164" s="45"/>
      <c r="AP164" s="47"/>
      <c r="AQ164" s="47"/>
      <c r="AR164" s="47"/>
      <c r="AS164" s="84"/>
      <c r="AT164" s="121"/>
      <c r="AU164" s="47"/>
      <c r="AV164" s="45"/>
      <c r="AW164" s="47"/>
      <c r="AX164" s="47"/>
    </row>
    <row r="165" spans="1:50">
      <c r="A165" s="3"/>
      <c r="B165" s="4"/>
      <c r="C165" s="87"/>
      <c r="D165" s="119"/>
      <c r="E165" s="4"/>
      <c r="F165" s="80"/>
      <c r="G165" s="119"/>
      <c r="H165" s="4"/>
      <c r="I165" s="80"/>
      <c r="J165" s="119"/>
      <c r="K165" s="4"/>
      <c r="L165" s="115"/>
      <c r="M165" s="119"/>
      <c r="N165" s="4"/>
      <c r="O165" s="80"/>
      <c r="P165" s="119"/>
      <c r="Q165" s="4"/>
      <c r="R165" s="80"/>
      <c r="S165" s="171"/>
      <c r="T165" s="4"/>
      <c r="U165" s="87"/>
      <c r="V165" s="47"/>
      <c r="W165" s="45"/>
      <c r="Y165" s="47"/>
      <c r="Z165" s="45"/>
      <c r="AB165" s="175"/>
      <c r="AC165" s="175"/>
      <c r="AD165" s="155"/>
      <c r="AF165" s="257"/>
      <c r="AG165" s="257"/>
      <c r="AH165" s="78"/>
      <c r="AJ165" s="47"/>
      <c r="AK165" s="45"/>
      <c r="AL165" s="84"/>
      <c r="AM165" s="47"/>
      <c r="AN165" s="47"/>
      <c r="AO165" s="45"/>
      <c r="AP165" s="47"/>
      <c r="AQ165" s="47"/>
      <c r="AR165" s="47"/>
      <c r="AS165" s="84"/>
      <c r="AT165" s="121"/>
      <c r="AU165" s="47"/>
      <c r="AV165" s="45"/>
      <c r="AW165" s="47"/>
      <c r="AX165" s="47"/>
    </row>
    <row r="166" spans="1:50" ht="18.75">
      <c r="A166" s="3" t="s">
        <v>77</v>
      </c>
      <c r="B166" s="4" t="s">
        <v>78</v>
      </c>
      <c r="C166" s="150">
        <f>AVERAGE(D166:D170)</f>
        <v>94.320000000000007</v>
      </c>
      <c r="D166" s="30">
        <v>92.8</v>
      </c>
      <c r="E166" s="30" t="s">
        <v>249</v>
      </c>
      <c r="F166" s="83"/>
      <c r="G166" s="70"/>
      <c r="H166" s="70"/>
      <c r="I166" s="83"/>
      <c r="J166" s="70"/>
      <c r="K166" s="70"/>
      <c r="L166" s="130">
        <f>AVERAGE(M166:M168)</f>
        <v>95.100000000000009</v>
      </c>
      <c r="M166" s="70">
        <v>91.5</v>
      </c>
      <c r="N166" s="70" t="s">
        <v>249</v>
      </c>
      <c r="O166" s="80"/>
      <c r="P166" s="119"/>
      <c r="Q166" s="30"/>
      <c r="R166" s="80"/>
      <c r="S166" s="171"/>
      <c r="T166" s="30"/>
      <c r="U166" s="158">
        <f>AVERAGE(V166:V167)</f>
        <v>10.202624059176518</v>
      </c>
      <c r="V166" s="229">
        <v>10.085248118353034</v>
      </c>
      <c r="W166" s="45" t="s">
        <v>256</v>
      </c>
      <c r="X166" s="130">
        <f>AVERAGE(Y166:Y170)</f>
        <v>4.281560068433973</v>
      </c>
      <c r="Y166" s="15">
        <f>LOG(42500)</f>
        <v>4.6283889300503116</v>
      </c>
      <c r="Z166" s="45" t="s">
        <v>412</v>
      </c>
      <c r="AB166" s="175">
        <v>0.16800000000000001</v>
      </c>
      <c r="AC166" s="154">
        <f>LOG(AB166/8.314/298.15)</f>
        <v>-4.1689355521260909</v>
      </c>
      <c r="AD166" s="155" t="s">
        <v>859</v>
      </c>
      <c r="AE166" s="130">
        <f>AVERAGE(AF166:AF170)</f>
        <v>-3.6388660479834938</v>
      </c>
      <c r="AF166" s="15">
        <v>-3.4479112284856646</v>
      </c>
      <c r="AG166" s="47" t="s">
        <v>256</v>
      </c>
      <c r="AH166" s="130">
        <f ca="1">AVERAGE(AI166:AI169)</f>
        <v>-2.3752720246754775</v>
      </c>
      <c r="AI166" s="46">
        <f>LOG(AJ166/$B$167)</f>
        <v>-2.2348475009391993</v>
      </c>
      <c r="AJ166" s="47">
        <v>1.9</v>
      </c>
      <c r="AK166" s="45" t="s">
        <v>412</v>
      </c>
      <c r="AL166" s="84"/>
      <c r="AM166" s="47"/>
      <c r="AN166" s="47"/>
      <c r="AO166" s="45"/>
      <c r="AP166" s="132">
        <f>AVERAGE(AQ166:AQ166)</f>
        <v>91.84</v>
      </c>
      <c r="AQ166" s="47">
        <f>'Table S4 Conversions and Notes'!$J$547</f>
        <v>91.84</v>
      </c>
      <c r="AR166" s="48" t="s">
        <v>2691</v>
      </c>
      <c r="AS166" s="201">
        <f>AVERAGE(AT166:AT171)</f>
        <v>49.708333333333336</v>
      </c>
      <c r="AT166" s="121">
        <v>50.5</v>
      </c>
      <c r="AU166" s="26">
        <f t="shared" ref="AU166:AU172" si="2">AT166+273.15</f>
        <v>323.64999999999998</v>
      </c>
      <c r="AV166" s="7" t="s">
        <v>899</v>
      </c>
      <c r="AW166" s="47"/>
      <c r="AX166" s="47"/>
    </row>
    <row r="167" spans="1:50" ht="18">
      <c r="A167" s="3"/>
      <c r="B167" s="171">
        <v>326.28800000000001</v>
      </c>
      <c r="C167" s="130">
        <f>_xlfn.STDEV.S(D166:D170)</f>
        <v>8.6586373061816122</v>
      </c>
      <c r="D167" s="119">
        <v>92.8</v>
      </c>
      <c r="E167" s="26" t="s">
        <v>170</v>
      </c>
      <c r="F167" s="83"/>
      <c r="G167" s="70"/>
      <c r="H167" s="70"/>
      <c r="I167" s="83"/>
      <c r="J167" s="70"/>
      <c r="K167" s="70"/>
      <c r="L167" s="130">
        <f>_xlfn.STDEV.S(M166:M168)</f>
        <v>5.8077534382926403</v>
      </c>
      <c r="M167" s="119">
        <v>101.8</v>
      </c>
      <c r="N167" s="30" t="s">
        <v>227</v>
      </c>
      <c r="O167" s="80"/>
      <c r="P167" s="119"/>
      <c r="Q167" s="30"/>
      <c r="R167" s="80"/>
      <c r="S167" s="171"/>
      <c r="T167" s="30"/>
      <c r="U167" s="266">
        <f>_xlfn.STDEV.S(V166:V167)</f>
        <v>0.16599464740887165</v>
      </c>
      <c r="V167" s="15">
        <v>10.32</v>
      </c>
      <c r="W167" s="269" t="s">
        <v>2620</v>
      </c>
      <c r="X167" s="130">
        <f>_xlfn.STDEV.S(Y166:Y170)</f>
        <v>0.75778339429101471</v>
      </c>
      <c r="Y167" s="15">
        <f>LOG(57260)</f>
        <v>4.75785134368558</v>
      </c>
      <c r="Z167" s="45" t="s">
        <v>394</v>
      </c>
      <c r="AB167" s="47"/>
      <c r="AC167" s="47"/>
      <c r="AD167" s="45"/>
      <c r="AE167" s="130">
        <f>_xlfn.STDEV.S(AF166:AF170)</f>
        <v>0.42628200846392272</v>
      </c>
      <c r="AF167" s="6">
        <v>-3.57</v>
      </c>
      <c r="AG167" s="6" t="s">
        <v>70</v>
      </c>
      <c r="AH167" s="130">
        <f ca="1">_xlfn.STDEV.S(AI166:AI169)</f>
        <v>0.18822354636508534</v>
      </c>
      <c r="AI167" s="46">
        <f ca="1">LOG(AJ167/$B$167)</f>
        <v>-2.3386465315471394</v>
      </c>
      <c r="AJ167" s="17">
        <f ca="1">'Table S4 Conversions and Notes'!$J$126</f>
        <v>1.4960791495819781</v>
      </c>
      <c r="AK167" s="45" t="s">
        <v>442</v>
      </c>
      <c r="AL167" s="84"/>
      <c r="AM167" s="47"/>
      <c r="AN167" s="47"/>
      <c r="AO167" s="45"/>
      <c r="AP167" s="132">
        <f>AP166*RSD_dSf</f>
        <v>7.2387944533560509</v>
      </c>
      <c r="AQ167" s="154">
        <f>'Table S4 Conversions and Notes'!$J$225</f>
        <v>74.243089074155336</v>
      </c>
      <c r="AR167" s="175" t="s">
        <v>2761</v>
      </c>
      <c r="AS167" s="182">
        <f>_xlfn.STDEV.S(AT166:AT171)</f>
        <v>0.6003471218109292</v>
      </c>
      <c r="AT167" s="121">
        <v>50</v>
      </c>
      <c r="AU167" s="26">
        <f t="shared" si="2"/>
        <v>323.14999999999998</v>
      </c>
      <c r="AV167" s="7" t="s">
        <v>900</v>
      </c>
      <c r="AW167" s="47"/>
      <c r="AX167" s="47"/>
    </row>
    <row r="168" spans="1:50">
      <c r="A168" s="3"/>
      <c r="B168" s="4"/>
      <c r="C168" s="324">
        <f>COUNTA(D166:D170)</f>
        <v>5</v>
      </c>
      <c r="D168" s="119">
        <v>81.400000000000006</v>
      </c>
      <c r="E168" s="26" t="s">
        <v>169</v>
      </c>
      <c r="F168" s="80"/>
      <c r="G168" s="119"/>
      <c r="H168" s="30"/>
      <c r="I168" s="80"/>
      <c r="J168" s="119"/>
      <c r="K168" s="70"/>
      <c r="L168" s="324">
        <f>COUNTA(M166:M168)</f>
        <v>3</v>
      </c>
      <c r="M168" s="268">
        <v>92</v>
      </c>
      <c r="N168" s="255" t="s">
        <v>2625</v>
      </c>
      <c r="O168" s="80"/>
      <c r="P168" s="119"/>
      <c r="Q168" s="47"/>
      <c r="R168" s="80"/>
      <c r="S168" s="171"/>
      <c r="T168" s="47"/>
      <c r="U168" s="324">
        <f>COUNTA(V166:V167)</f>
        <v>2</v>
      </c>
      <c r="V168" s="47"/>
      <c r="W168" s="45"/>
      <c r="X168" s="324">
        <f>COUNTA(Y166:Y170)</f>
        <v>4</v>
      </c>
      <c r="Y168" s="47">
        <v>4.59</v>
      </c>
      <c r="Z168" s="45" t="s">
        <v>441</v>
      </c>
      <c r="AB168" s="47"/>
      <c r="AC168" s="47"/>
      <c r="AD168" s="45"/>
      <c r="AE168" s="324">
        <f>COUNTA(AF166:AF170)</f>
        <v>5</v>
      </c>
      <c r="AF168" s="6">
        <v>-4.1864190114318083</v>
      </c>
      <c r="AG168" s="6" t="s">
        <v>72</v>
      </c>
      <c r="AH168" s="324">
        <f ca="1">COUNTA(AI166:AI169)</f>
        <v>4</v>
      </c>
      <c r="AI168" s="46">
        <f>LOG(AJ168/$B$167)</f>
        <v>-2.2773158244439995</v>
      </c>
      <c r="AJ168" s="17">
        <v>1.7230000000000001</v>
      </c>
      <c r="AK168" s="45" t="s">
        <v>441</v>
      </c>
      <c r="AL168" s="84"/>
      <c r="AM168" s="47"/>
      <c r="AN168" s="47"/>
      <c r="AO168" s="45"/>
      <c r="AP168" s="324">
        <f>COUNTA(AQ166:AQ166)</f>
        <v>1</v>
      </c>
      <c r="AS168" s="324">
        <f>COUNTA(AT166:AT172)</f>
        <v>7</v>
      </c>
      <c r="AT168" s="121">
        <v>49</v>
      </c>
      <c r="AU168" s="26">
        <f t="shared" si="2"/>
        <v>322.14999999999998</v>
      </c>
      <c r="AV168" s="7" t="s">
        <v>901</v>
      </c>
      <c r="AW168" s="47"/>
      <c r="AX168" s="47"/>
    </row>
    <row r="169" spans="1:50" ht="18">
      <c r="A169" s="3"/>
      <c r="B169" s="4"/>
      <c r="C169" s="87"/>
      <c r="D169" s="119">
        <v>101.6</v>
      </c>
      <c r="E169" s="30" t="s">
        <v>225</v>
      </c>
      <c r="F169" s="80"/>
      <c r="G169" s="119"/>
      <c r="H169" s="47"/>
      <c r="I169" s="80"/>
      <c r="J169" s="119"/>
      <c r="K169" s="47"/>
      <c r="L169" s="115"/>
      <c r="M169" s="119"/>
      <c r="O169" s="80"/>
      <c r="P169" s="119"/>
      <c r="Q169" s="47"/>
      <c r="R169" s="80"/>
      <c r="S169" s="171"/>
      <c r="T169" s="47"/>
      <c r="U169" s="87"/>
      <c r="V169" s="47"/>
      <c r="W169" s="45"/>
      <c r="Y169" s="47">
        <v>3.15</v>
      </c>
      <c r="Z169" s="45" t="s">
        <v>466</v>
      </c>
      <c r="AB169" s="47"/>
      <c r="AC169" s="47"/>
      <c r="AD169" s="45"/>
      <c r="AF169" s="134">
        <v>-3.08</v>
      </c>
      <c r="AG169" s="134" t="s">
        <v>209</v>
      </c>
      <c r="AH169" s="78"/>
      <c r="AI169" s="46">
        <f>LOG(AJ169/$B$167)</f>
        <v>-2.6502782417715722</v>
      </c>
      <c r="AJ169" s="47">
        <f>'Table S4 Conversions and Notes'!J125</f>
        <v>0.73</v>
      </c>
      <c r="AK169" s="7" t="s">
        <v>910</v>
      </c>
      <c r="AL169" s="84"/>
      <c r="AM169" s="47"/>
      <c r="AN169" s="47"/>
      <c r="AO169" s="45"/>
      <c r="AP169" s="47"/>
      <c r="AQ169" s="47"/>
      <c r="AR169" s="47"/>
      <c r="AS169" s="84"/>
      <c r="AT169" s="121">
        <v>50</v>
      </c>
      <c r="AU169" s="26">
        <f t="shared" si="2"/>
        <v>323.14999999999998</v>
      </c>
      <c r="AV169" s="7" t="s">
        <v>902</v>
      </c>
      <c r="AW169" s="47"/>
      <c r="AX169" s="47"/>
    </row>
    <row r="170" spans="1:50" ht="18">
      <c r="A170" s="3"/>
      <c r="B170" s="4"/>
      <c r="C170" s="87"/>
      <c r="D170" s="119">
        <v>103</v>
      </c>
      <c r="E170" s="255" t="s">
        <v>2625</v>
      </c>
      <c r="F170" s="80"/>
      <c r="G170" s="119"/>
      <c r="H170" s="47"/>
      <c r="I170" s="80"/>
      <c r="J170" s="119"/>
      <c r="K170" s="47"/>
      <c r="L170" s="115"/>
      <c r="M170" s="119"/>
      <c r="N170" s="47"/>
      <c r="O170" s="80"/>
      <c r="P170" s="119"/>
      <c r="Q170" s="47"/>
      <c r="R170" s="80"/>
      <c r="S170" s="171"/>
      <c r="T170" s="47"/>
      <c r="U170" s="87"/>
      <c r="V170" s="47"/>
      <c r="W170" s="45"/>
      <c r="Y170" s="47"/>
      <c r="Z170" s="45"/>
      <c r="AB170" s="47"/>
      <c r="AC170" s="47"/>
      <c r="AD170" s="45"/>
      <c r="AF170" s="6">
        <v>-3.91</v>
      </c>
      <c r="AG170" s="269" t="s">
        <v>2620</v>
      </c>
      <c r="AH170" s="78"/>
      <c r="AL170" s="84"/>
      <c r="AM170" s="47"/>
      <c r="AN170" s="47"/>
      <c r="AO170" s="45"/>
      <c r="AP170" s="47"/>
      <c r="AQ170" s="47"/>
      <c r="AR170" s="47"/>
      <c r="AS170" s="84"/>
      <c r="AT170" s="121">
        <f>AVERAGE(49.5,50)</f>
        <v>49.75</v>
      </c>
      <c r="AU170" s="26">
        <f t="shared" si="2"/>
        <v>322.89999999999998</v>
      </c>
      <c r="AV170" s="45" t="s">
        <v>906</v>
      </c>
      <c r="AW170" s="47"/>
      <c r="AX170" s="47"/>
    </row>
    <row r="171" spans="1:50" ht="18">
      <c r="A171" s="3"/>
      <c r="B171" s="4"/>
      <c r="C171" s="87"/>
      <c r="D171" s="119"/>
      <c r="E171" s="26"/>
      <c r="F171" s="80"/>
      <c r="G171" s="119"/>
      <c r="H171" s="47"/>
      <c r="I171" s="80"/>
      <c r="J171" s="119"/>
      <c r="K171" s="47"/>
      <c r="L171" s="115"/>
      <c r="M171" s="119"/>
      <c r="N171" s="47"/>
      <c r="O171" s="80"/>
      <c r="P171" s="119"/>
      <c r="Q171" s="47"/>
      <c r="R171" s="80"/>
      <c r="S171" s="171"/>
      <c r="T171" s="47"/>
      <c r="U171" s="87"/>
      <c r="V171" s="47"/>
      <c r="W171" s="45"/>
      <c r="Y171" s="47"/>
      <c r="Z171" s="45"/>
      <c r="AB171" s="47"/>
      <c r="AC171" s="47"/>
      <c r="AD171" s="45"/>
      <c r="AF171" s="176">
        <f ca="1">'Table S4 Conversions and Notes'!$J$54</f>
        <v>-4.4540829561665278</v>
      </c>
      <c r="AG171" s="176" t="s">
        <v>1512</v>
      </c>
      <c r="AH171" s="78"/>
      <c r="AJ171" s="47"/>
      <c r="AK171" s="45"/>
      <c r="AL171" s="84"/>
      <c r="AM171" s="47"/>
      <c r="AN171" s="47"/>
      <c r="AO171" s="45"/>
      <c r="AP171" s="47"/>
      <c r="AQ171" s="47"/>
      <c r="AR171" s="47"/>
      <c r="AS171" s="84"/>
      <c r="AT171" s="121">
        <v>49</v>
      </c>
      <c r="AU171" s="26">
        <f t="shared" si="2"/>
        <v>322.14999999999998</v>
      </c>
      <c r="AV171" s="45" t="s">
        <v>944</v>
      </c>
      <c r="AW171" s="47"/>
      <c r="AX171" s="47"/>
    </row>
    <row r="172" spans="1:50">
      <c r="A172" s="3"/>
      <c r="B172" s="4"/>
      <c r="C172" s="87"/>
      <c r="D172" s="119"/>
      <c r="E172" s="26"/>
      <c r="F172" s="80"/>
      <c r="G172" s="119"/>
      <c r="H172" s="47"/>
      <c r="I172" s="80"/>
      <c r="J172" s="119"/>
      <c r="K172" s="47"/>
      <c r="L172" s="115"/>
      <c r="M172" s="119"/>
      <c r="N172" s="47"/>
      <c r="O172" s="80"/>
      <c r="P172" s="119"/>
      <c r="Q172" s="47"/>
      <c r="R172" s="80"/>
      <c r="S172" s="171"/>
      <c r="T172" s="47"/>
      <c r="U172" s="87"/>
      <c r="V172" s="47"/>
      <c r="W172" s="45"/>
      <c r="Y172" s="47"/>
      <c r="Z172" s="45"/>
      <c r="AB172" s="47"/>
      <c r="AC172" s="47"/>
      <c r="AD172" s="45"/>
      <c r="AF172" s="224">
        <v>-3.92</v>
      </c>
      <c r="AG172" s="224" t="s">
        <v>184</v>
      </c>
      <c r="AH172" s="78"/>
      <c r="AL172" s="84"/>
      <c r="AM172" s="47"/>
      <c r="AN172" s="47"/>
      <c r="AO172" s="45"/>
      <c r="AP172" s="47"/>
      <c r="AQ172" s="47"/>
      <c r="AR172" s="47"/>
      <c r="AS172" s="84"/>
      <c r="AT172" s="121">
        <v>49</v>
      </c>
      <c r="AU172" s="47">
        <f t="shared" si="2"/>
        <v>322.14999999999998</v>
      </c>
      <c r="AV172" s="45" t="s">
        <v>948</v>
      </c>
      <c r="AW172" s="47"/>
      <c r="AX172" s="47"/>
    </row>
    <row r="173" spans="1:50">
      <c r="A173" s="3"/>
      <c r="B173" s="4"/>
      <c r="C173" s="87"/>
      <c r="D173" s="119"/>
      <c r="E173" s="26"/>
      <c r="F173" s="80"/>
      <c r="G173" s="119"/>
      <c r="H173" s="47"/>
      <c r="I173" s="80"/>
      <c r="J173" s="119"/>
      <c r="K173" s="47"/>
      <c r="L173" s="115"/>
      <c r="M173" s="119"/>
      <c r="N173" s="47"/>
      <c r="O173" s="80"/>
      <c r="P173" s="119"/>
      <c r="Q173" s="47"/>
      <c r="R173" s="80"/>
      <c r="S173" s="171"/>
      <c r="T173" s="47"/>
      <c r="U173" s="87"/>
      <c r="V173" s="47"/>
      <c r="W173" s="45"/>
      <c r="Y173" s="47"/>
      <c r="Z173" s="45"/>
      <c r="AB173" s="47"/>
      <c r="AC173" s="47"/>
      <c r="AD173" s="45"/>
      <c r="AF173" s="224">
        <v>-2.95</v>
      </c>
      <c r="AG173" s="224" t="s">
        <v>184</v>
      </c>
      <c r="AH173" s="78"/>
      <c r="AJ173" s="47"/>
      <c r="AK173" s="45"/>
      <c r="AL173" s="84"/>
      <c r="AM173" s="47"/>
      <c r="AN173" s="47"/>
      <c r="AO173" s="45"/>
      <c r="AP173" s="47"/>
      <c r="AQ173" s="47"/>
      <c r="AR173" s="47"/>
      <c r="AS173" s="84"/>
      <c r="AT173" s="121"/>
      <c r="AU173" s="47"/>
      <c r="AV173" s="45"/>
      <c r="AW173" s="47"/>
      <c r="AX173" s="47"/>
    </row>
    <row r="174" spans="1:50">
      <c r="A174" s="3"/>
      <c r="B174" s="4" t="s">
        <v>20</v>
      </c>
      <c r="C174" s="87"/>
      <c r="D174" s="119"/>
      <c r="F174" s="80"/>
      <c r="G174" s="119"/>
      <c r="H174" s="47"/>
      <c r="I174" s="80"/>
      <c r="J174" s="119"/>
      <c r="K174" s="47"/>
      <c r="L174" s="115"/>
      <c r="M174" s="119"/>
      <c r="N174" s="47"/>
      <c r="O174" s="80"/>
      <c r="P174" s="119"/>
      <c r="Q174" s="47"/>
      <c r="R174" s="80"/>
      <c r="S174" s="171"/>
      <c r="T174" s="47"/>
      <c r="U174" s="87"/>
      <c r="V174" s="47"/>
      <c r="W174" s="45"/>
      <c r="Y174" s="47"/>
      <c r="Z174" s="45"/>
      <c r="AB174" s="47"/>
      <c r="AC174" s="47"/>
      <c r="AD174" s="45"/>
      <c r="AF174" s="224">
        <v>-2.39</v>
      </c>
      <c r="AG174" s="224" t="s">
        <v>184</v>
      </c>
      <c r="AH174" s="78"/>
      <c r="AJ174" s="47"/>
      <c r="AK174" s="45"/>
      <c r="AL174" s="84"/>
      <c r="AM174" s="47"/>
      <c r="AN174" s="47"/>
      <c r="AO174" s="45"/>
      <c r="AP174" s="47"/>
      <c r="AQ174" s="47"/>
      <c r="AR174" s="47"/>
      <c r="AS174" s="84"/>
      <c r="AT174" s="121"/>
      <c r="AU174" s="47"/>
      <c r="AV174" s="45"/>
      <c r="AW174" s="47"/>
      <c r="AX174" s="47"/>
    </row>
    <row r="175" spans="1:50">
      <c r="A175" s="3"/>
      <c r="B175" s="4" t="s">
        <v>20</v>
      </c>
      <c r="C175" s="87"/>
      <c r="D175" s="119"/>
      <c r="E175" s="4"/>
      <c r="F175" s="80"/>
      <c r="G175" s="119"/>
      <c r="H175" s="4"/>
      <c r="I175" s="80"/>
      <c r="J175" s="119"/>
      <c r="K175" s="4"/>
      <c r="L175" s="115"/>
      <c r="M175" s="119"/>
      <c r="N175" s="4"/>
      <c r="O175" s="80"/>
      <c r="P175" s="119"/>
      <c r="Q175" s="4"/>
      <c r="R175" s="80"/>
      <c r="S175" s="171"/>
      <c r="T175" s="4"/>
      <c r="U175" s="87"/>
      <c r="V175" s="47"/>
      <c r="W175" s="45"/>
      <c r="Y175" s="47"/>
      <c r="Z175" s="45"/>
      <c r="AB175" s="47"/>
      <c r="AC175" s="47"/>
      <c r="AD175" s="45"/>
      <c r="AF175" s="224">
        <v>-4.2</v>
      </c>
      <c r="AG175" s="224" t="s">
        <v>182</v>
      </c>
      <c r="AH175" s="78"/>
      <c r="AJ175" s="47"/>
      <c r="AK175" s="45"/>
      <c r="AL175" s="84"/>
      <c r="AM175" s="47"/>
      <c r="AN175" s="47"/>
      <c r="AO175" s="45"/>
      <c r="AP175" s="47"/>
      <c r="AQ175" s="47"/>
      <c r="AR175" s="47"/>
      <c r="AS175" s="84"/>
      <c r="AT175" s="121"/>
      <c r="AU175" s="47"/>
      <c r="AV175" s="45"/>
      <c r="AW175" s="47"/>
      <c r="AX175" s="47"/>
    </row>
    <row r="176" spans="1:50">
      <c r="A176" s="3"/>
      <c r="B176" s="4"/>
      <c r="C176" s="87"/>
      <c r="D176" s="119"/>
      <c r="E176" s="4"/>
      <c r="F176" s="80"/>
      <c r="G176" s="119"/>
      <c r="H176" s="4"/>
      <c r="I176" s="80"/>
      <c r="J176" s="119"/>
      <c r="K176" s="4"/>
      <c r="L176" s="115"/>
      <c r="M176" s="119"/>
      <c r="N176" s="4"/>
      <c r="O176" s="80"/>
      <c r="P176" s="119"/>
      <c r="Q176" s="4"/>
      <c r="R176" s="80"/>
      <c r="S176" s="171"/>
      <c r="T176" s="4"/>
      <c r="U176" s="87"/>
      <c r="V176" s="47"/>
      <c r="W176" s="45"/>
      <c r="Y176" s="47"/>
      <c r="Z176" s="45"/>
      <c r="AB176" s="47"/>
      <c r="AC176" s="47"/>
      <c r="AD176" s="45"/>
      <c r="AF176" s="6"/>
      <c r="AG176" s="6"/>
      <c r="AH176" s="78"/>
      <c r="AJ176" s="47"/>
      <c r="AK176" s="45"/>
      <c r="AL176" s="84"/>
      <c r="AM176" s="47"/>
      <c r="AN176" s="47"/>
      <c r="AO176" s="45"/>
      <c r="AP176" s="47"/>
      <c r="AQ176" s="47"/>
      <c r="AR176" s="47"/>
      <c r="AS176" s="84"/>
      <c r="AT176" s="121"/>
      <c r="AU176" s="47"/>
      <c r="AV176" s="45"/>
      <c r="AW176" s="47"/>
      <c r="AX176" s="47"/>
    </row>
    <row r="177" spans="1:50" ht="18">
      <c r="A177" s="3" t="s">
        <v>79</v>
      </c>
      <c r="B177" s="4" t="s">
        <v>80</v>
      </c>
      <c r="C177" s="129">
        <f>AVERAGE(104,D177:D182)</f>
        <v>109.58571428571429</v>
      </c>
      <c r="D177" s="30">
        <v>104</v>
      </c>
      <c r="E177" s="30" t="s">
        <v>249</v>
      </c>
      <c r="F177" s="83"/>
      <c r="G177" s="70"/>
      <c r="H177" s="70"/>
      <c r="I177" s="83"/>
      <c r="J177" s="70"/>
      <c r="K177" s="70"/>
      <c r="L177" s="213">
        <f>M177</f>
        <v>102</v>
      </c>
      <c r="M177" s="70">
        <v>102</v>
      </c>
      <c r="N177" s="70" t="s">
        <v>249</v>
      </c>
      <c r="O177" s="80"/>
      <c r="P177" s="119"/>
      <c r="Q177" s="47"/>
      <c r="R177" s="80"/>
      <c r="S177" s="171"/>
      <c r="T177" s="47"/>
      <c r="U177" s="158">
        <f>AVERAGE(V177:V178)</f>
        <v>11.064474887288533</v>
      </c>
      <c r="V177" s="15">
        <v>11.064474887288533</v>
      </c>
      <c r="W177" s="45" t="s">
        <v>256</v>
      </c>
      <c r="Y177" s="15"/>
      <c r="Z177" s="45"/>
      <c r="AA177" s="75"/>
      <c r="AB177" s="175">
        <f>'Table S4 Conversions and Notes'!$J$317</f>
        <v>8.3800000000000008</v>
      </c>
      <c r="AC177" s="154">
        <f>LOG(AB177/8.314/298.15)</f>
        <v>-2.4710008152216774</v>
      </c>
      <c r="AD177" s="155" t="s">
        <v>2860</v>
      </c>
      <c r="AE177" s="130">
        <f>AVERAGE(AF177:AF179)</f>
        <v>-4.9827157586780739</v>
      </c>
      <c r="AF177" s="15">
        <v>-4.5281472760342227</v>
      </c>
      <c r="AG177" s="47" t="s">
        <v>256</v>
      </c>
      <c r="AH177" s="78"/>
      <c r="AJ177" s="47"/>
      <c r="AK177" s="45"/>
      <c r="AL177" s="84"/>
      <c r="AM177" s="47"/>
      <c r="AN177" s="47"/>
      <c r="AO177" s="45"/>
      <c r="AP177" s="47"/>
      <c r="AQ177" s="47"/>
      <c r="AR177" s="47"/>
      <c r="AS177" s="201">
        <f>AVERAGE(AT177:AT181)</f>
        <v>25.5</v>
      </c>
      <c r="AT177" s="121">
        <v>25.5</v>
      </c>
      <c r="AU177" s="26">
        <f>AT177+273.15</f>
        <v>298.64999999999998</v>
      </c>
      <c r="AV177" s="7" t="s">
        <v>935</v>
      </c>
      <c r="AW177" s="47"/>
      <c r="AX177" s="47"/>
    </row>
    <row r="178" spans="1:50">
      <c r="A178" s="3"/>
      <c r="B178" s="171">
        <v>368.36900000000003</v>
      </c>
      <c r="C178" s="130">
        <f>_xlfn.STDEV.S(104,D177:D182)</f>
        <v>7.9982140863713171</v>
      </c>
      <c r="D178" s="119">
        <v>103.7</v>
      </c>
      <c r="E178" s="26" t="s">
        <v>170</v>
      </c>
      <c r="F178" s="83"/>
      <c r="G178" s="70"/>
      <c r="H178" s="70"/>
      <c r="I178" s="83"/>
      <c r="J178" s="70"/>
      <c r="K178" s="70"/>
      <c r="L178" s="145">
        <f>RSD_dUoa*L177</f>
        <v>6.4625245455885869</v>
      </c>
      <c r="M178" s="70"/>
      <c r="N178" s="70"/>
      <c r="O178" s="80"/>
      <c r="P178" s="119"/>
      <c r="Q178" s="47"/>
      <c r="R178" s="80"/>
      <c r="S178" s="171"/>
      <c r="T178" s="47"/>
      <c r="U178" s="145" cm="1">
        <f t="array" ref="U178">RSD_Koa*U177</f>
        <v>0.28488608664306192</v>
      </c>
      <c r="V178" s="15"/>
      <c r="W178" s="45"/>
      <c r="Y178" s="15"/>
      <c r="Z178" s="45"/>
      <c r="AA178" s="75"/>
      <c r="AB178" s="47"/>
      <c r="AC178" s="47"/>
      <c r="AD178" s="45"/>
      <c r="AE178" s="130">
        <f>_xlfn.STDEV.S(AF177:AF179)</f>
        <v>0.66020783020185903</v>
      </c>
      <c r="AF178" s="6">
        <v>-4.68</v>
      </c>
      <c r="AG178" s="6" t="s">
        <v>70</v>
      </c>
      <c r="AH178" s="78"/>
      <c r="AJ178" s="47"/>
      <c r="AK178" s="45"/>
      <c r="AL178" s="84"/>
      <c r="AM178" s="47"/>
      <c r="AN178" s="47"/>
      <c r="AO178" s="45"/>
      <c r="AP178" s="47"/>
      <c r="AQ178" s="47"/>
      <c r="AR178" s="47"/>
      <c r="AS178" s="130">
        <f>RSD_Tm*AS177</f>
        <v>1.1772257883074695</v>
      </c>
      <c r="AT178" s="121"/>
      <c r="AU178" s="26"/>
      <c r="AV178" s="45"/>
      <c r="AW178" s="47"/>
      <c r="AX178" s="47"/>
    </row>
    <row r="179" spans="1:50">
      <c r="A179" s="3"/>
      <c r="B179" s="4"/>
      <c r="C179" s="324">
        <f>COUNTA(D177:D182)</f>
        <v>6</v>
      </c>
      <c r="D179" s="119">
        <v>116.3</v>
      </c>
      <c r="E179" s="26" t="s">
        <v>224</v>
      </c>
      <c r="F179" s="80"/>
      <c r="G179" s="119"/>
      <c r="H179" s="47"/>
      <c r="I179" s="80"/>
      <c r="J179" s="119"/>
      <c r="K179" s="47"/>
      <c r="L179" s="324">
        <f>COUNTA(M177:M179)</f>
        <v>1</v>
      </c>
      <c r="M179" s="119"/>
      <c r="N179" s="47"/>
      <c r="O179" s="80"/>
      <c r="P179" s="119"/>
      <c r="Q179" s="47"/>
      <c r="R179" s="80"/>
      <c r="S179" s="171"/>
      <c r="T179" s="47"/>
      <c r="U179" s="324">
        <f>COUNTA(V177:V178)</f>
        <v>1</v>
      </c>
      <c r="V179" s="47"/>
      <c r="W179" s="45"/>
      <c r="Y179" s="47"/>
      <c r="Z179" s="45"/>
      <c r="AA179" s="324"/>
      <c r="AB179" s="47"/>
      <c r="AC179" s="47"/>
      <c r="AD179" s="45"/>
      <c r="AE179" s="324">
        <f>COUNTA(AF177:AF179)</f>
        <v>3</v>
      </c>
      <c r="AF179" s="134">
        <v>-5.74</v>
      </c>
      <c r="AG179" s="134" t="s">
        <v>216</v>
      </c>
      <c r="AH179" s="78"/>
      <c r="AJ179" s="47"/>
      <c r="AK179" s="45"/>
      <c r="AL179" s="84"/>
      <c r="AM179" s="47"/>
      <c r="AN179" s="47"/>
      <c r="AO179" s="45"/>
      <c r="AP179" s="47"/>
      <c r="AQ179" s="47"/>
      <c r="AR179" s="47"/>
      <c r="AS179" s="324">
        <f>COUNTA(AT177)</f>
        <v>1</v>
      </c>
      <c r="AT179" s="121"/>
      <c r="AU179" s="26"/>
      <c r="AV179" s="45"/>
      <c r="AW179" s="47"/>
      <c r="AX179" s="47"/>
    </row>
    <row r="180" spans="1:50" ht="18">
      <c r="A180" s="3"/>
      <c r="B180" s="4"/>
      <c r="C180" s="87"/>
      <c r="D180" s="119">
        <v>102.9</v>
      </c>
      <c r="E180" s="26" t="s">
        <v>224</v>
      </c>
      <c r="F180" s="80"/>
      <c r="G180" s="119"/>
      <c r="H180" s="47"/>
      <c r="I180" s="80"/>
      <c r="J180" s="119"/>
      <c r="K180" s="47"/>
      <c r="L180" s="213"/>
      <c r="M180" s="119"/>
      <c r="N180" s="47"/>
      <c r="O180" s="80"/>
      <c r="P180" s="119"/>
      <c r="Q180" s="47"/>
      <c r="R180" s="80"/>
      <c r="S180" s="171"/>
      <c r="T180" s="47"/>
      <c r="U180" s="87"/>
      <c r="V180" s="47"/>
      <c r="W180" s="45"/>
      <c r="Y180" s="47"/>
      <c r="Z180" s="45"/>
      <c r="AB180" s="47"/>
      <c r="AC180" s="47"/>
      <c r="AD180" s="45"/>
      <c r="AF180" s="224">
        <f>'Table S4 Conversions and Notes'!$J$55</f>
        <v>-3.75</v>
      </c>
      <c r="AG180" s="224" t="s">
        <v>914</v>
      </c>
      <c r="AH180" s="78"/>
      <c r="AJ180" s="47"/>
      <c r="AK180" s="45"/>
      <c r="AL180" s="84"/>
      <c r="AM180" s="47"/>
      <c r="AN180" s="47"/>
      <c r="AO180" s="45"/>
      <c r="AP180" s="47"/>
      <c r="AQ180" s="47"/>
      <c r="AR180" s="47"/>
      <c r="AS180" s="84"/>
      <c r="AT180" s="121"/>
      <c r="AU180" s="47"/>
      <c r="AV180" s="45"/>
      <c r="AW180" s="47"/>
      <c r="AX180" s="47"/>
    </row>
    <row r="181" spans="1:50">
      <c r="A181" s="3"/>
      <c r="B181" s="4" t="s">
        <v>20</v>
      </c>
      <c r="C181" s="87"/>
      <c r="D181" s="119">
        <v>113</v>
      </c>
      <c r="E181" s="26" t="s">
        <v>224</v>
      </c>
      <c r="F181" s="80"/>
      <c r="G181" s="119"/>
      <c r="H181" s="47"/>
      <c r="I181" s="80"/>
      <c r="J181" s="119"/>
      <c r="K181" s="47"/>
      <c r="L181" s="213"/>
      <c r="M181" s="119"/>
      <c r="N181" s="47"/>
      <c r="O181" s="80"/>
      <c r="P181" s="119"/>
      <c r="Q181" s="47"/>
      <c r="R181" s="80"/>
      <c r="S181" s="171"/>
      <c r="T181" s="47"/>
      <c r="U181" s="87"/>
      <c r="V181" s="47"/>
      <c r="W181" s="45"/>
      <c r="Y181" s="47"/>
      <c r="Z181" s="45"/>
      <c r="AB181" s="47"/>
      <c r="AC181" s="47"/>
      <c r="AD181" s="45"/>
      <c r="AF181" s="224">
        <v>-4.84</v>
      </c>
      <c r="AG181" s="224" t="s">
        <v>182</v>
      </c>
      <c r="AH181" s="78"/>
      <c r="AJ181" s="47"/>
      <c r="AK181" s="45"/>
      <c r="AL181" s="84"/>
      <c r="AM181" s="47"/>
      <c r="AN181" s="47"/>
      <c r="AO181" s="45"/>
      <c r="AP181" s="47"/>
      <c r="AQ181" s="47"/>
      <c r="AR181" s="47"/>
      <c r="AS181" s="84"/>
      <c r="AT181" s="121"/>
      <c r="AU181" s="47"/>
      <c r="AV181" s="45"/>
      <c r="AW181" s="47"/>
      <c r="AX181" s="47"/>
    </row>
    <row r="182" spans="1:50">
      <c r="A182" s="3"/>
      <c r="B182" s="4"/>
      <c r="C182" s="87"/>
      <c r="D182" s="119">
        <v>123.2</v>
      </c>
      <c r="E182" s="26" t="s">
        <v>171</v>
      </c>
      <c r="F182" s="80"/>
      <c r="G182" s="119"/>
      <c r="H182" s="47"/>
      <c r="I182" s="80"/>
      <c r="J182" s="119"/>
      <c r="K182" s="47"/>
      <c r="L182" s="213"/>
      <c r="M182" s="119"/>
      <c r="N182" s="47"/>
      <c r="O182" s="80"/>
      <c r="P182" s="119"/>
      <c r="Q182" s="47"/>
      <c r="R182" s="80"/>
      <c r="S182" s="171"/>
      <c r="T182" s="47"/>
      <c r="U182" s="87"/>
      <c r="V182" s="47"/>
      <c r="W182" s="45"/>
      <c r="Y182" s="47"/>
      <c r="Z182" s="45"/>
      <c r="AB182" s="47"/>
      <c r="AC182" s="47"/>
      <c r="AD182" s="45"/>
      <c r="AH182" s="78"/>
      <c r="AJ182" s="47"/>
      <c r="AK182" s="45"/>
      <c r="AL182" s="84"/>
      <c r="AM182" s="47"/>
      <c r="AN182" s="47"/>
      <c r="AO182" s="45"/>
      <c r="AP182" s="47"/>
      <c r="AQ182" s="47"/>
      <c r="AR182" s="47"/>
      <c r="AS182" s="84"/>
      <c r="AT182" s="121"/>
      <c r="AU182" s="47"/>
      <c r="AV182" s="45"/>
      <c r="AW182" s="47"/>
      <c r="AX182" s="47"/>
    </row>
    <row r="183" spans="1:50">
      <c r="A183" s="3"/>
      <c r="B183" s="4"/>
      <c r="C183" s="87"/>
      <c r="D183" s="16"/>
      <c r="F183" s="80"/>
      <c r="G183" s="119"/>
      <c r="H183" s="47"/>
      <c r="I183" s="80"/>
      <c r="J183" s="119"/>
      <c r="K183" s="47"/>
      <c r="L183" s="213"/>
      <c r="M183" s="119"/>
      <c r="N183" s="47"/>
      <c r="O183" s="80"/>
      <c r="P183" s="119"/>
      <c r="Q183" s="47"/>
      <c r="R183" s="80"/>
      <c r="S183" s="171"/>
      <c r="T183" s="47"/>
      <c r="U183" s="87"/>
      <c r="V183" s="47"/>
      <c r="W183" s="45"/>
      <c r="Y183" s="47"/>
      <c r="Z183" s="45"/>
      <c r="AB183" s="47"/>
      <c r="AC183" s="47"/>
      <c r="AD183" s="45"/>
      <c r="AH183" s="78"/>
      <c r="AJ183" s="47"/>
      <c r="AK183" s="45"/>
      <c r="AL183" s="84"/>
      <c r="AM183" s="47"/>
      <c r="AN183" s="47"/>
      <c r="AO183" s="45"/>
      <c r="AP183" s="47"/>
      <c r="AQ183" s="47"/>
      <c r="AR183" s="47"/>
      <c r="AS183" s="84"/>
      <c r="AT183" s="121"/>
      <c r="AU183" s="47"/>
      <c r="AV183" s="45"/>
      <c r="AW183" s="47"/>
      <c r="AX183" s="47"/>
    </row>
    <row r="184" spans="1:50">
      <c r="A184" s="3"/>
      <c r="B184" s="4"/>
      <c r="C184" s="87"/>
      <c r="D184" s="119"/>
      <c r="E184" s="30"/>
      <c r="F184" s="80"/>
      <c r="G184" s="119"/>
      <c r="H184" s="70"/>
      <c r="I184" s="80"/>
      <c r="J184" s="119"/>
      <c r="K184" s="70"/>
      <c r="L184" s="213"/>
      <c r="M184" s="119"/>
      <c r="N184" s="70"/>
      <c r="O184" s="80"/>
      <c r="P184" s="119"/>
      <c r="Q184" s="70"/>
      <c r="R184" s="80"/>
      <c r="S184" s="171"/>
      <c r="T184" s="70"/>
      <c r="U184" s="87"/>
      <c r="V184" s="8"/>
      <c r="W184" s="45"/>
      <c r="Y184" s="8"/>
      <c r="Z184" s="45"/>
      <c r="AB184" s="47"/>
      <c r="AC184" s="47"/>
      <c r="AD184" s="45"/>
      <c r="AF184" s="6"/>
      <c r="AG184" s="6"/>
      <c r="AH184" s="78"/>
      <c r="AJ184" s="47"/>
      <c r="AK184" s="45"/>
      <c r="AL184" s="84"/>
      <c r="AM184" s="47"/>
      <c r="AN184" s="47"/>
      <c r="AO184" s="45"/>
      <c r="AP184" s="47"/>
      <c r="AQ184" s="47"/>
      <c r="AR184" s="47"/>
      <c r="AS184" s="84"/>
      <c r="AT184" s="121"/>
      <c r="AU184" s="47"/>
      <c r="AV184" s="45"/>
      <c r="AW184" s="47"/>
      <c r="AX184" s="47"/>
    </row>
    <row r="185" spans="1:50" ht="18">
      <c r="A185" s="3" t="s">
        <v>81</v>
      </c>
      <c r="B185" s="4" t="s">
        <v>82</v>
      </c>
      <c r="C185" s="129">
        <f>AVERAGE(99.3,D185:D187)</f>
        <v>96.174999999999997</v>
      </c>
      <c r="D185" s="30">
        <v>99.3</v>
      </c>
      <c r="E185" s="30" t="s">
        <v>249</v>
      </c>
      <c r="F185" s="83"/>
      <c r="G185" s="70"/>
      <c r="H185" s="70"/>
      <c r="I185" s="83"/>
      <c r="J185" s="70"/>
      <c r="K185" s="70"/>
      <c r="L185" s="213">
        <f>M185</f>
        <v>97.9</v>
      </c>
      <c r="M185" s="70">
        <v>97.9</v>
      </c>
      <c r="N185" s="70" t="s">
        <v>249</v>
      </c>
      <c r="O185" s="80"/>
      <c r="P185" s="119"/>
      <c r="Q185" s="70"/>
      <c r="R185" s="80"/>
      <c r="S185" s="171"/>
      <c r="T185" s="70"/>
      <c r="U185" s="158">
        <f>AVERAGE(V185:V186)</f>
        <v>10.720407474148484</v>
      </c>
      <c r="V185" s="15">
        <v>10.720407474148484</v>
      </c>
      <c r="W185" s="45" t="s">
        <v>256</v>
      </c>
      <c r="Y185" s="15"/>
      <c r="Z185" s="45"/>
      <c r="AB185" s="47"/>
      <c r="AC185" s="47"/>
      <c r="AD185" s="45"/>
      <c r="AE185" s="130">
        <f>AVERAGE(AF185:AF187)</f>
        <v>-4.0295295311185804</v>
      </c>
      <c r="AF185" s="15">
        <v>-4.1485885933557407</v>
      </c>
      <c r="AG185" s="45" t="s">
        <v>256</v>
      </c>
      <c r="AH185" s="132">
        <f ca="1">AI185</f>
        <v>-2.1255891224464589</v>
      </c>
      <c r="AI185" s="46">
        <f ca="1">LOG(AJ185/$B$186)</f>
        <v>-2.1255891224464589</v>
      </c>
      <c r="AJ185" s="17">
        <f ca="1">'Table S4 Conversions and Notes'!$J$129</f>
        <v>2.7586331622683029</v>
      </c>
      <c r="AK185" s="7" t="s">
        <v>450</v>
      </c>
      <c r="AL185" s="84"/>
      <c r="AM185" s="47"/>
      <c r="AN185" s="47"/>
      <c r="AO185" s="45"/>
      <c r="AP185" s="47"/>
      <c r="AQ185" s="47"/>
      <c r="AR185" s="47"/>
      <c r="AS185" s="201">
        <f>AVERAGE(AT185:AT189)</f>
        <v>-10.95</v>
      </c>
      <c r="AT185" s="121">
        <v>11.1</v>
      </c>
      <c r="AU185" s="26">
        <f>AT185+273.15</f>
        <v>284.25</v>
      </c>
      <c r="AV185" s="7" t="s">
        <v>936</v>
      </c>
      <c r="AW185" s="47"/>
      <c r="AX185" s="47"/>
    </row>
    <row r="186" spans="1:50" ht="18">
      <c r="A186" s="3"/>
      <c r="B186" s="171">
        <v>368.36900000000003</v>
      </c>
      <c r="C186" s="130">
        <f>_xlfn.STDEV.S(D185:D189)</f>
        <v>7.2168783648703219</v>
      </c>
      <c r="D186" s="119">
        <v>99.3</v>
      </c>
      <c r="E186" s="30" t="s">
        <v>170</v>
      </c>
      <c r="F186" s="80"/>
      <c r="G186" s="119"/>
      <c r="H186" s="70"/>
      <c r="I186" s="80"/>
      <c r="J186" s="119"/>
      <c r="K186" s="70"/>
      <c r="L186" s="158">
        <f>RSD_dUoa*L185</f>
        <v>6.2027564020894381</v>
      </c>
      <c r="M186" s="119"/>
      <c r="N186" s="70"/>
      <c r="O186" s="80"/>
      <c r="P186" s="119"/>
      <c r="Q186" s="70"/>
      <c r="R186" s="80"/>
      <c r="S186" s="171"/>
      <c r="T186" s="70"/>
      <c r="U186" s="145" cm="1">
        <f t="array" ref="U186">RSD_Koa*U185</f>
        <v>0.27602710147933929</v>
      </c>
      <c r="V186" s="8"/>
      <c r="W186" s="45"/>
      <c r="Y186" s="8"/>
      <c r="Z186" s="45"/>
      <c r="AB186" s="47"/>
      <c r="AC186" s="47"/>
      <c r="AD186" s="45"/>
      <c r="AE186" s="130">
        <f>_xlfn.STDEV.S(AF185:AF187)</f>
        <v>0.33620127189764476</v>
      </c>
      <c r="AF186" s="6">
        <v>-4.29</v>
      </c>
      <c r="AG186" s="7" t="s">
        <v>70</v>
      </c>
      <c r="AH186" s="132">
        <f ca="1">ABS(AH185*RSD_Unr)</f>
        <v>0.63767673673393765</v>
      </c>
      <c r="AJ186" s="47"/>
      <c r="AK186" s="45"/>
      <c r="AL186" s="84"/>
      <c r="AM186" s="47"/>
      <c r="AN186" s="47"/>
      <c r="AO186" s="45"/>
      <c r="AP186" s="47"/>
      <c r="AQ186" s="47"/>
      <c r="AR186" s="47"/>
      <c r="AS186" s="182">
        <f>ABS(RSD_Tm*AS185)</f>
        <v>0.50551460321438391</v>
      </c>
      <c r="AT186" s="192">
        <f>'Table S4 Conversions and Notes'!$J$229</f>
        <v>-33</v>
      </c>
      <c r="AU186" s="26">
        <f>AT186+273.15</f>
        <v>240.14999999999998</v>
      </c>
      <c r="AV186" s="185" t="s">
        <v>938</v>
      </c>
      <c r="AW186" s="47"/>
      <c r="AX186" s="47"/>
    </row>
    <row r="187" spans="1:50">
      <c r="A187" s="3"/>
      <c r="B187" s="4"/>
      <c r="C187" s="324">
        <f>COUNTA(D185:D188)</f>
        <v>3</v>
      </c>
      <c r="D187" s="119">
        <v>86.8</v>
      </c>
      <c r="E187" s="30" t="s">
        <v>172</v>
      </c>
      <c r="F187" s="80"/>
      <c r="G187" s="119"/>
      <c r="H187" s="70"/>
      <c r="I187" s="80"/>
      <c r="J187" s="119"/>
      <c r="K187" s="70"/>
      <c r="L187" s="324">
        <f>COUNTA(M185:M187)</f>
        <v>1</v>
      </c>
      <c r="M187" s="119"/>
      <c r="N187" s="70"/>
      <c r="O187" s="80"/>
      <c r="P187" s="119"/>
      <c r="Q187" s="70"/>
      <c r="R187" s="80"/>
      <c r="S187" s="171"/>
      <c r="T187" s="70"/>
      <c r="U187" s="324">
        <f>COUNTA(V185:V186)</f>
        <v>1</v>
      </c>
      <c r="V187" s="8"/>
      <c r="W187" s="45"/>
      <c r="Y187" s="8"/>
      <c r="Z187" s="45"/>
      <c r="AB187" s="47"/>
      <c r="AD187" s="42"/>
      <c r="AE187" s="324">
        <f>COUNTA(AF185:AF187)</f>
        <v>3</v>
      </c>
      <c r="AF187" s="134">
        <v>-3.65</v>
      </c>
      <c r="AG187" s="134" t="s">
        <v>216</v>
      </c>
      <c r="AH187" s="324">
        <f ca="1">COUNTA(AI185:AI188)</f>
        <v>1</v>
      </c>
      <c r="AJ187" s="47"/>
      <c r="AK187" s="45"/>
      <c r="AL187" s="84"/>
      <c r="AM187" s="47"/>
      <c r="AN187" s="47"/>
      <c r="AO187" s="45"/>
      <c r="AP187" s="47"/>
      <c r="AQ187" s="47"/>
      <c r="AR187" s="47"/>
      <c r="AS187" s="324">
        <f>COUNTA(AT185)</f>
        <v>1</v>
      </c>
      <c r="AT187" s="121"/>
      <c r="AU187" s="47"/>
      <c r="AV187" s="45"/>
      <c r="AW187" s="47"/>
      <c r="AX187" s="47"/>
    </row>
    <row r="188" spans="1:50">
      <c r="A188" s="3"/>
      <c r="B188" s="4"/>
      <c r="C188" s="87"/>
      <c r="D188" s="119"/>
      <c r="E188" s="30"/>
      <c r="F188" s="80"/>
      <c r="G188" s="119"/>
      <c r="H188" s="70"/>
      <c r="I188" s="80"/>
      <c r="J188" s="119"/>
      <c r="K188" s="70"/>
      <c r="L188" s="115"/>
      <c r="M188" s="119"/>
      <c r="N188" s="70"/>
      <c r="O188" s="80"/>
      <c r="P188" s="119"/>
      <c r="Q188" s="70"/>
      <c r="R188" s="80"/>
      <c r="S188" s="171"/>
      <c r="T188" s="70"/>
      <c r="U188" s="87"/>
      <c r="V188" s="8"/>
      <c r="W188" s="45"/>
      <c r="Y188" s="8"/>
      <c r="Z188" s="45"/>
      <c r="AB188" s="47"/>
      <c r="AC188" s="47"/>
      <c r="AD188" s="45"/>
      <c r="AF188" s="224">
        <v>-4.0999999999999996</v>
      </c>
      <c r="AG188" s="224" t="s">
        <v>220</v>
      </c>
      <c r="AH188" s="78"/>
      <c r="AJ188" s="47"/>
      <c r="AK188" s="45"/>
      <c r="AL188" s="84"/>
      <c r="AM188" s="47"/>
      <c r="AN188" s="47"/>
      <c r="AO188" s="45"/>
      <c r="AP188" s="47"/>
      <c r="AQ188" s="47"/>
      <c r="AR188" s="47"/>
      <c r="AS188" s="84"/>
      <c r="AT188" s="121"/>
      <c r="AU188" s="47"/>
      <c r="AV188" s="45"/>
      <c r="AW188" s="47"/>
      <c r="AX188" s="47"/>
    </row>
    <row r="189" spans="1:50" ht="18">
      <c r="A189" s="3"/>
      <c r="B189" s="4"/>
      <c r="C189" s="87"/>
      <c r="D189" s="119"/>
      <c r="E189" s="30"/>
      <c r="F189" s="80"/>
      <c r="G189" s="119"/>
      <c r="H189" s="70"/>
      <c r="I189" s="80"/>
      <c r="J189" s="119"/>
      <c r="K189" s="70"/>
      <c r="L189" s="115"/>
      <c r="M189" s="119"/>
      <c r="N189" s="70"/>
      <c r="O189" s="80"/>
      <c r="P189" s="119"/>
      <c r="Q189" s="70"/>
      <c r="R189" s="80"/>
      <c r="S189" s="171"/>
      <c r="T189" s="70"/>
      <c r="U189" s="87"/>
      <c r="V189" s="8"/>
      <c r="W189" s="45"/>
      <c r="Y189" s="8"/>
      <c r="Z189" s="45"/>
      <c r="AB189" s="47"/>
      <c r="AC189" s="47"/>
      <c r="AD189" s="45"/>
      <c r="AF189" s="224">
        <f>'Table S4 Conversions and Notes'!$J$56</f>
        <v>-3.96</v>
      </c>
      <c r="AG189" s="224" t="s">
        <v>915</v>
      </c>
      <c r="AH189" s="78"/>
      <c r="AJ189" s="47"/>
      <c r="AK189" s="45"/>
      <c r="AL189" s="84"/>
      <c r="AM189" s="47"/>
      <c r="AN189" s="47"/>
      <c r="AO189" s="45"/>
      <c r="AP189" s="47"/>
      <c r="AQ189" s="47"/>
      <c r="AR189" s="47"/>
      <c r="AS189" s="84"/>
      <c r="AT189" s="121"/>
      <c r="AU189" s="47"/>
      <c r="AV189" s="45"/>
      <c r="AW189" s="47"/>
      <c r="AX189" s="47"/>
    </row>
    <row r="190" spans="1:50">
      <c r="A190" s="3"/>
      <c r="B190" s="4"/>
      <c r="C190" s="87"/>
      <c r="D190" s="119"/>
      <c r="E190" s="30"/>
      <c r="F190" s="80"/>
      <c r="G190" s="119"/>
      <c r="H190" s="70"/>
      <c r="I190" s="80"/>
      <c r="J190" s="119"/>
      <c r="K190" s="70"/>
      <c r="L190" s="115"/>
      <c r="M190" s="119"/>
      <c r="N190" s="70"/>
      <c r="O190" s="80"/>
      <c r="P190" s="119"/>
      <c r="Q190" s="70"/>
      <c r="R190" s="80"/>
      <c r="S190" s="171"/>
      <c r="T190" s="70"/>
      <c r="U190" s="87"/>
      <c r="V190" s="8"/>
      <c r="W190" s="45"/>
      <c r="Y190" s="8"/>
      <c r="Z190" s="45"/>
      <c r="AB190" s="47"/>
      <c r="AC190" s="47"/>
      <c r="AD190" s="45"/>
      <c r="AF190" s="224">
        <v>-2.2000000000000002</v>
      </c>
      <c r="AG190" s="224" t="s">
        <v>182</v>
      </c>
      <c r="AH190" s="78"/>
      <c r="AJ190" s="47"/>
      <c r="AK190" s="45"/>
      <c r="AL190" s="84"/>
      <c r="AM190" s="47"/>
      <c r="AN190" s="47"/>
      <c r="AO190" s="45"/>
      <c r="AP190" s="47"/>
      <c r="AQ190" s="47"/>
      <c r="AR190" s="47"/>
      <c r="AS190" s="84"/>
      <c r="AT190" s="121"/>
      <c r="AU190" s="47"/>
      <c r="AV190" s="45"/>
      <c r="AW190" s="47"/>
      <c r="AX190" s="47"/>
    </row>
    <row r="191" spans="1:50">
      <c r="A191" s="3"/>
      <c r="B191" s="4"/>
      <c r="C191" s="87"/>
      <c r="D191" s="119"/>
      <c r="E191" s="30"/>
      <c r="F191" s="80"/>
      <c r="G191" s="119"/>
      <c r="H191" s="70"/>
      <c r="I191" s="80"/>
      <c r="J191" s="119"/>
      <c r="K191" s="70"/>
      <c r="L191" s="115"/>
      <c r="M191" s="119"/>
      <c r="N191" s="70"/>
      <c r="O191" s="80"/>
      <c r="P191" s="119"/>
      <c r="Q191" s="70"/>
      <c r="R191" s="80"/>
      <c r="S191" s="171"/>
      <c r="T191" s="70"/>
      <c r="U191" s="87"/>
      <c r="V191" s="8"/>
      <c r="W191" s="45"/>
      <c r="Y191" s="8"/>
      <c r="Z191" s="45"/>
      <c r="AB191" s="47"/>
      <c r="AC191" s="47"/>
      <c r="AD191" s="45"/>
      <c r="AF191" s="6"/>
      <c r="AG191" s="6"/>
      <c r="AH191" s="78"/>
      <c r="AJ191" s="47"/>
      <c r="AK191" s="45"/>
      <c r="AL191" s="84"/>
      <c r="AM191" s="47"/>
      <c r="AN191" s="47"/>
      <c r="AO191" s="45"/>
      <c r="AP191" s="47"/>
      <c r="AQ191" s="47"/>
      <c r="AR191" s="47"/>
      <c r="AS191" s="84"/>
      <c r="AT191" s="121"/>
      <c r="AU191" s="47"/>
      <c r="AV191" s="45"/>
      <c r="AW191" s="47"/>
      <c r="AX191" s="47"/>
    </row>
    <row r="192" spans="1:50" ht="18">
      <c r="A192" s="3" t="s">
        <v>83</v>
      </c>
      <c r="B192" s="4" t="s">
        <v>84</v>
      </c>
      <c r="C192" s="129">
        <f>AVERAGE(D192:D195)</f>
        <v>107.25</v>
      </c>
      <c r="D192" s="30">
        <v>105</v>
      </c>
      <c r="E192" s="30" t="s">
        <v>249</v>
      </c>
      <c r="F192" s="83"/>
      <c r="G192" s="70"/>
      <c r="H192" s="70"/>
      <c r="I192" s="83"/>
      <c r="J192" s="70"/>
      <c r="K192" s="70"/>
      <c r="L192" s="213">
        <f>M192</f>
        <v>104</v>
      </c>
      <c r="M192" s="70">
        <v>104</v>
      </c>
      <c r="N192" s="70" t="s">
        <v>249</v>
      </c>
      <c r="O192" s="80"/>
      <c r="P192" s="119"/>
      <c r="Q192" s="70"/>
      <c r="R192" s="80"/>
      <c r="S192" s="171"/>
      <c r="T192" s="70"/>
      <c r="U192" s="158">
        <f>AVERAGE(V192:V193)</f>
        <v>11.296948484835518</v>
      </c>
      <c r="V192" s="15">
        <v>11.296948484835518</v>
      </c>
      <c r="W192" s="45" t="s">
        <v>256</v>
      </c>
      <c r="Y192" s="15"/>
      <c r="Z192" s="45"/>
      <c r="AB192" s="47"/>
      <c r="AC192" s="47"/>
      <c r="AD192" s="45"/>
      <c r="AE192" s="130">
        <f>AVERAGE(AF192:AF195)</f>
        <v>-4.8811502522142618</v>
      </c>
      <c r="AF192" s="15">
        <v>-4.7846010088570496</v>
      </c>
      <c r="AG192" s="45" t="s">
        <v>256</v>
      </c>
      <c r="AH192" s="131">
        <f>AI192</f>
        <v>-3.6970513553893394</v>
      </c>
      <c r="AI192" s="46">
        <f>LOG(AJ192/$B$193)</f>
        <v>-3.6970513553893394</v>
      </c>
      <c r="AJ192" s="47">
        <f>'Table S4 Conversions and Notes'!E127</f>
        <v>7.3999999999999996E-2</v>
      </c>
      <c r="AK192" s="7" t="s">
        <v>927</v>
      </c>
      <c r="AL192" s="84"/>
      <c r="AM192" s="47"/>
      <c r="AN192" s="47"/>
      <c r="AO192" s="45"/>
      <c r="AP192" s="47"/>
      <c r="AQ192" s="47"/>
      <c r="AR192" s="47"/>
      <c r="AS192" s="201">
        <f>AVERAGE(AT192:AT195)</f>
        <v>76.875</v>
      </c>
      <c r="AT192" s="121">
        <v>77.5</v>
      </c>
      <c r="AU192" s="26">
        <f>AT192+273.15</f>
        <v>350.65</v>
      </c>
      <c r="AV192" s="7" t="s">
        <v>943</v>
      </c>
      <c r="AW192" s="47"/>
      <c r="AX192" s="47"/>
    </row>
    <row r="193" spans="1:50">
      <c r="A193" s="3"/>
      <c r="B193" s="171">
        <v>368.36900000000003</v>
      </c>
      <c r="C193" s="130">
        <f>_xlfn.STDEV.S(D192:D195)</f>
        <v>4.1154181642533825</v>
      </c>
      <c r="D193" s="119">
        <v>105.7</v>
      </c>
      <c r="E193" s="30" t="s">
        <v>170</v>
      </c>
      <c r="F193" s="80"/>
      <c r="G193" s="119"/>
      <c r="H193" s="70"/>
      <c r="I193" s="80"/>
      <c r="J193" s="119"/>
      <c r="K193" s="70"/>
      <c r="L193" s="158">
        <f>RSD_dUoa*L192</f>
        <v>6.5892407131491479</v>
      </c>
      <c r="M193" s="119"/>
      <c r="N193" s="70"/>
      <c r="O193" s="80"/>
      <c r="P193" s="119"/>
      <c r="Q193" s="70"/>
      <c r="R193" s="80"/>
      <c r="S193" s="171"/>
      <c r="T193" s="70"/>
      <c r="U193" s="145" cm="1">
        <f t="array" ref="U193">RSD_Koa*U192</f>
        <v>0.29087177454308882</v>
      </c>
      <c r="V193" s="8"/>
      <c r="W193" s="45"/>
      <c r="Y193" s="8"/>
      <c r="Z193" s="45"/>
      <c r="AB193" s="47"/>
      <c r="AC193" s="47"/>
      <c r="AD193" s="45"/>
      <c r="AE193" s="130">
        <f>_xlfn.STDEV.S(AF192:AF195)</f>
        <v>0.52309835760605849</v>
      </c>
      <c r="AF193" s="6">
        <v>-4.95</v>
      </c>
      <c r="AG193" s="7" t="s">
        <v>70</v>
      </c>
      <c r="AH193" s="131">
        <f>ABS(AH192*RSD_Unr)</f>
        <v>1.1091154066168019</v>
      </c>
      <c r="AJ193" s="47"/>
      <c r="AK193" s="45"/>
      <c r="AL193" s="84"/>
      <c r="AM193" s="47"/>
      <c r="AN193" s="47"/>
      <c r="AO193" s="45"/>
      <c r="AP193" s="47"/>
      <c r="AQ193" s="47"/>
      <c r="AR193" s="47"/>
      <c r="AS193" s="182">
        <f>_xlfn.STDEV.S(AT192:AT195)</f>
        <v>0.62915286960589578</v>
      </c>
      <c r="AT193" s="121">
        <v>77</v>
      </c>
      <c r="AU193" s="26">
        <f>AT193+273.15</f>
        <v>350.15</v>
      </c>
      <c r="AV193" s="45" t="s">
        <v>944</v>
      </c>
      <c r="AW193" s="47"/>
      <c r="AX193" s="47"/>
    </row>
    <row r="194" spans="1:50">
      <c r="A194" s="3"/>
      <c r="B194" s="4"/>
      <c r="C194" s="324">
        <f>COUNTA(D192:D195)</f>
        <v>4</v>
      </c>
      <c r="D194" s="119">
        <v>113.4</v>
      </c>
      <c r="E194" s="26" t="s">
        <v>226</v>
      </c>
      <c r="F194" s="80"/>
      <c r="G194" s="119"/>
      <c r="H194" s="70"/>
      <c r="I194" s="80"/>
      <c r="J194" s="119"/>
      <c r="K194" s="70"/>
      <c r="L194" s="324">
        <f>COUNTA(M192:M194)</f>
        <v>1</v>
      </c>
      <c r="M194" s="119"/>
      <c r="N194" s="70"/>
      <c r="O194" s="80"/>
      <c r="P194" s="119"/>
      <c r="Q194" s="70"/>
      <c r="R194" s="80"/>
      <c r="S194" s="171"/>
      <c r="T194" s="70"/>
      <c r="U194" s="324">
        <f>COUNTA(V192:V193)</f>
        <v>1</v>
      </c>
      <c r="V194" s="8"/>
      <c r="W194" s="45"/>
      <c r="Y194" s="8"/>
      <c r="Z194" s="45"/>
      <c r="AB194" s="47"/>
      <c r="AC194" s="47"/>
      <c r="AD194" s="45"/>
      <c r="AE194" s="324">
        <f>COUNTA(AF192:AF195)</f>
        <v>4</v>
      </c>
      <c r="AF194" s="134">
        <v>-5.53</v>
      </c>
      <c r="AG194" s="65" t="s">
        <v>183</v>
      </c>
      <c r="AH194" s="324">
        <f>COUNTA(AI192:AI195)</f>
        <v>1</v>
      </c>
      <c r="AJ194" s="47"/>
      <c r="AK194" s="45"/>
      <c r="AL194" s="84"/>
      <c r="AM194" s="47"/>
      <c r="AN194" s="47"/>
      <c r="AO194" s="45"/>
      <c r="AP194" s="47"/>
      <c r="AQ194" s="47"/>
      <c r="AR194" s="47"/>
      <c r="AS194" s="324">
        <f>COUNTA(AT192:AT193)</f>
        <v>2</v>
      </c>
      <c r="AT194" s="121">
        <v>77</v>
      </c>
      <c r="AU194" s="26">
        <f>AT194+273.15</f>
        <v>350.15</v>
      </c>
      <c r="AV194" s="45" t="s">
        <v>948</v>
      </c>
      <c r="AW194" s="47"/>
      <c r="AX194" s="47"/>
    </row>
    <row r="195" spans="1:50" ht="18">
      <c r="A195" s="3"/>
      <c r="B195" s="4"/>
      <c r="C195" s="87"/>
      <c r="D195" s="119">
        <v>104.9</v>
      </c>
      <c r="E195" s="30" t="s">
        <v>173</v>
      </c>
      <c r="F195" s="80"/>
      <c r="G195" s="119"/>
      <c r="H195" s="70"/>
      <c r="I195" s="80"/>
      <c r="J195" s="119"/>
      <c r="K195" s="70"/>
      <c r="L195" s="115"/>
      <c r="M195" s="119"/>
      <c r="N195" s="70"/>
      <c r="O195" s="80"/>
      <c r="P195" s="119"/>
      <c r="Q195" s="70"/>
      <c r="R195" s="80"/>
      <c r="S195" s="171"/>
      <c r="T195" s="70"/>
      <c r="U195" s="87"/>
      <c r="V195" s="8"/>
      <c r="W195" s="45"/>
      <c r="Y195" s="8"/>
      <c r="Z195" s="45"/>
      <c r="AB195" s="47"/>
      <c r="AC195" s="47"/>
      <c r="AD195" s="45"/>
      <c r="AF195" s="134">
        <v>-4.26</v>
      </c>
      <c r="AG195" s="134" t="s">
        <v>219</v>
      </c>
      <c r="AH195" s="78"/>
      <c r="AJ195" s="47"/>
      <c r="AK195" s="45"/>
      <c r="AL195" s="84"/>
      <c r="AM195" s="47"/>
      <c r="AN195" s="47"/>
      <c r="AO195" s="45"/>
      <c r="AP195" s="47"/>
      <c r="AQ195" s="47"/>
      <c r="AR195" s="47"/>
      <c r="AS195" s="84"/>
      <c r="AT195" s="121">
        <f>'Table S4 Conversions and Notes'!$J$230</f>
        <v>76</v>
      </c>
      <c r="AU195" s="26">
        <f>AT195+273.15</f>
        <v>349.15</v>
      </c>
      <c r="AV195" s="45" t="s">
        <v>950</v>
      </c>
      <c r="AW195" s="47"/>
      <c r="AX195" s="47"/>
    </row>
    <row r="196" spans="1:50">
      <c r="A196" s="3"/>
      <c r="B196" s="4"/>
      <c r="C196" s="87"/>
      <c r="D196" s="119"/>
      <c r="E196" s="30"/>
      <c r="F196" s="80"/>
      <c r="G196" s="119"/>
      <c r="H196" s="70"/>
      <c r="I196" s="80"/>
      <c r="J196" s="119"/>
      <c r="K196" s="70"/>
      <c r="L196" s="115"/>
      <c r="M196" s="119"/>
      <c r="N196" s="70"/>
      <c r="O196" s="80"/>
      <c r="P196" s="119"/>
      <c r="Q196" s="70"/>
      <c r="R196" s="80"/>
      <c r="S196" s="171"/>
      <c r="T196" s="70"/>
      <c r="U196" s="87"/>
      <c r="V196" s="8"/>
      <c r="W196" s="45"/>
      <c r="Y196" s="8"/>
      <c r="Z196" s="45"/>
      <c r="AB196" s="47"/>
      <c r="AC196" s="47"/>
      <c r="AD196" s="45"/>
      <c r="AF196" s="224">
        <v>-4.83</v>
      </c>
      <c r="AG196" s="224" t="s">
        <v>182</v>
      </c>
      <c r="AH196" s="78"/>
      <c r="AJ196" s="47"/>
      <c r="AK196" s="45"/>
      <c r="AL196" s="84"/>
      <c r="AM196" s="47"/>
      <c r="AN196" s="47"/>
      <c r="AO196" s="45"/>
      <c r="AP196" s="47"/>
      <c r="AQ196" s="47"/>
      <c r="AR196" s="47"/>
      <c r="AS196" s="84"/>
      <c r="AT196" s="121"/>
      <c r="AU196" s="47"/>
      <c r="AV196" s="45"/>
      <c r="AW196" s="47"/>
      <c r="AX196" s="47"/>
    </row>
    <row r="197" spans="1:50" ht="18">
      <c r="A197" s="3"/>
      <c r="B197" s="4" t="s">
        <v>20</v>
      </c>
      <c r="C197" s="87"/>
      <c r="D197" s="119"/>
      <c r="F197" s="80"/>
      <c r="G197" s="119"/>
      <c r="H197" s="70"/>
      <c r="I197" s="80"/>
      <c r="J197" s="119"/>
      <c r="K197" s="70"/>
      <c r="L197" s="115"/>
      <c r="M197" s="119"/>
      <c r="N197" s="70"/>
      <c r="O197" s="80"/>
      <c r="P197" s="119"/>
      <c r="Q197" s="70"/>
      <c r="R197" s="80"/>
      <c r="S197" s="171"/>
      <c r="T197" s="70"/>
      <c r="U197" s="87"/>
      <c r="V197" s="8"/>
      <c r="W197" s="45"/>
      <c r="Y197" s="8"/>
      <c r="Z197" s="45"/>
      <c r="AB197" s="47"/>
      <c r="AC197" s="47"/>
      <c r="AD197" s="45"/>
      <c r="AF197" s="224">
        <f>'Table S4 Conversions and Notes'!$J$57</f>
        <v>-4.04</v>
      </c>
      <c r="AG197" s="224" t="s">
        <v>916</v>
      </c>
      <c r="AH197" s="78"/>
      <c r="AJ197" s="47"/>
      <c r="AK197" s="45"/>
      <c r="AL197" s="84"/>
      <c r="AM197" s="47"/>
      <c r="AN197" s="47"/>
      <c r="AO197" s="45"/>
      <c r="AP197" s="47"/>
      <c r="AQ197" s="47"/>
      <c r="AR197" s="47"/>
      <c r="AS197" s="84"/>
      <c r="AT197" s="121"/>
      <c r="AU197" s="47"/>
      <c r="AV197" s="45"/>
      <c r="AW197" s="47"/>
      <c r="AX197" s="47"/>
    </row>
    <row r="198" spans="1:50">
      <c r="A198" s="3"/>
      <c r="B198" s="4"/>
      <c r="C198" s="87"/>
      <c r="D198" s="119"/>
      <c r="E198" s="30"/>
      <c r="F198" s="80"/>
      <c r="G198" s="119"/>
      <c r="H198" s="70"/>
      <c r="I198" s="80"/>
      <c r="J198" s="119"/>
      <c r="K198" s="70"/>
      <c r="L198" s="115"/>
      <c r="M198" s="119"/>
      <c r="N198" s="70"/>
      <c r="O198" s="80"/>
      <c r="P198" s="119"/>
      <c r="Q198" s="70"/>
      <c r="R198" s="80"/>
      <c r="S198" s="171"/>
      <c r="T198" s="70"/>
      <c r="U198" s="87"/>
      <c r="V198" s="8"/>
      <c r="W198" s="45"/>
      <c r="Y198" s="8"/>
      <c r="Z198" s="45"/>
      <c r="AB198" s="47"/>
      <c r="AC198" s="47"/>
      <c r="AD198" s="45"/>
      <c r="AH198" s="78"/>
      <c r="AJ198" s="47"/>
      <c r="AK198" s="45"/>
      <c r="AL198" s="84"/>
      <c r="AM198" s="47"/>
      <c r="AN198" s="47"/>
      <c r="AO198" s="45"/>
      <c r="AP198" s="47"/>
      <c r="AQ198" s="47"/>
      <c r="AR198" s="47"/>
      <c r="AS198" s="84"/>
      <c r="AT198" s="121"/>
      <c r="AU198" s="47"/>
      <c r="AV198" s="45"/>
      <c r="AW198" s="47"/>
      <c r="AX198" s="47"/>
    </row>
    <row r="199" spans="1:50" ht="18">
      <c r="A199" s="3" t="s">
        <v>85</v>
      </c>
      <c r="B199" s="4" t="s">
        <v>86</v>
      </c>
      <c r="C199" s="129">
        <f>AVERAGE(D199:D202)</f>
        <v>106.39999999999999</v>
      </c>
      <c r="D199" s="30">
        <v>103</v>
      </c>
      <c r="E199" s="30" t="s">
        <v>249</v>
      </c>
      <c r="F199" s="83"/>
      <c r="G199" s="70"/>
      <c r="H199" s="70"/>
      <c r="I199" s="83"/>
      <c r="J199" s="70"/>
      <c r="K199" s="70"/>
      <c r="L199" s="130">
        <f>AVERAGE(M199:M201)</f>
        <v>103.56666666666666</v>
      </c>
      <c r="M199" s="70">
        <v>101</v>
      </c>
      <c r="N199" s="70" t="s">
        <v>249</v>
      </c>
      <c r="O199" s="80"/>
      <c r="P199" s="119"/>
      <c r="Q199" s="30"/>
      <c r="R199" s="80"/>
      <c r="S199" s="171"/>
      <c r="T199" s="30"/>
      <c r="U199" s="266">
        <f>AVERAGE(V199:V201)</f>
        <v>11.043333333333331</v>
      </c>
      <c r="V199" s="274">
        <v>10.8</v>
      </c>
      <c r="W199" s="45" t="s">
        <v>256</v>
      </c>
      <c r="X199" s="130">
        <f>AVERAGE(Y199:Y202)</f>
        <v>4.0149999999999997</v>
      </c>
      <c r="Y199" s="15">
        <v>3.75</v>
      </c>
      <c r="Z199" s="45" t="s">
        <v>451</v>
      </c>
      <c r="AB199" s="198">
        <v>9.1300000000000007E-6</v>
      </c>
      <c r="AC199" s="154">
        <f>LOG(AB199/8.314/298.15)</f>
        <v>-8.4337740563176542</v>
      </c>
      <c r="AD199" s="155" t="s">
        <v>863</v>
      </c>
      <c r="AE199" s="130">
        <f>AVERAGE(AF199:AF205)</f>
        <v>-4.5257014829074143</v>
      </c>
      <c r="AF199" s="15">
        <v>-4.1666309475083025</v>
      </c>
      <c r="AG199" s="47" t="s">
        <v>256</v>
      </c>
      <c r="AH199" s="151">
        <f ca="1">AVERAGE(AI199:AI200)</f>
        <v>0.22099596443744718</v>
      </c>
      <c r="AI199" s="46">
        <f ca="1">LOG(AJ199/$B$200)</f>
        <v>0.111220085458562</v>
      </c>
      <c r="AJ199" s="123">
        <f ca="1">'Table S4 Conversions and Notes'!$J$128</f>
        <v>514.78199015256428</v>
      </c>
      <c r="AK199" s="7" t="s">
        <v>448</v>
      </c>
      <c r="AL199" s="5"/>
      <c r="AM199" s="6"/>
      <c r="AN199" s="6"/>
      <c r="AO199" s="7"/>
      <c r="AP199" s="6"/>
      <c r="AQ199" s="6"/>
      <c r="AR199" s="6"/>
      <c r="AS199" s="201">
        <f>AVERAGE(AT199:AT203)</f>
        <v>-70</v>
      </c>
      <c r="AT199" s="121">
        <v>-70</v>
      </c>
      <c r="AU199" s="26">
        <f>AT199+273.15</f>
        <v>203.14999999999998</v>
      </c>
      <c r="AV199" s="7" t="s">
        <v>960</v>
      </c>
      <c r="AW199" s="6"/>
      <c r="AX199" s="6"/>
    </row>
    <row r="200" spans="1:50" ht="18">
      <c r="A200" s="3"/>
      <c r="B200" s="171">
        <v>398.47699999999998</v>
      </c>
      <c r="C200" s="130">
        <f>_xlfn.STDEV.S(D199:D202)</f>
        <v>3.9564293666554136</v>
      </c>
      <c r="D200" s="119">
        <v>103</v>
      </c>
      <c r="E200" s="30" t="s">
        <v>170</v>
      </c>
      <c r="F200" s="83"/>
      <c r="G200" s="70"/>
      <c r="H200" s="70"/>
      <c r="I200" s="83"/>
      <c r="J200" s="70"/>
      <c r="K200" s="70"/>
      <c r="L200" s="130">
        <f>_xlfn.STDEV.S(M199:M201)</f>
        <v>7.4875452141094492</v>
      </c>
      <c r="M200" s="119">
        <v>112</v>
      </c>
      <c r="N200" s="30" t="s">
        <v>227</v>
      </c>
      <c r="O200" s="80"/>
      <c r="P200" s="119"/>
      <c r="Q200" s="30"/>
      <c r="R200" s="80"/>
      <c r="S200" s="171"/>
      <c r="T200" s="30"/>
      <c r="U200" s="266">
        <f>_xlfn.STDEV.S(V199:V201)</f>
        <v>0.48335632129241141</v>
      </c>
      <c r="V200" s="14">
        <v>11.6</v>
      </c>
      <c r="W200" s="7" t="s">
        <v>71</v>
      </c>
      <c r="X200" s="130">
        <f>_xlfn.STDEV.S(Y199:Y202)</f>
        <v>0.41137979208188291</v>
      </c>
      <c r="Y200" s="15">
        <v>4.5599999999999996</v>
      </c>
      <c r="Z200" s="45" t="s">
        <v>454</v>
      </c>
      <c r="AB200" s="114"/>
      <c r="AC200" s="17"/>
      <c r="AD200" s="7"/>
      <c r="AE200" s="130">
        <f>_xlfn.STDEV.S(AF199:AF205)</f>
        <v>0.26343339067048643</v>
      </c>
      <c r="AF200" s="6">
        <v>-4.3099999999999996</v>
      </c>
      <c r="AG200" s="6" t="s">
        <v>70</v>
      </c>
      <c r="AH200" s="151">
        <f ca="1">_xlfn.STDEV.S(AI199:AI200)</f>
        <v>0.15524653687336698</v>
      </c>
      <c r="AI200" s="46">
        <f ca="1">LOG(AJ200/$B$200)</f>
        <v>0.33077184341633237</v>
      </c>
      <c r="AJ200" s="123">
        <f ca="1">'Table S4 Conversions and Notes'!$J$130</f>
        <v>853.44414343303731</v>
      </c>
      <c r="AK200" s="7" t="s">
        <v>453</v>
      </c>
      <c r="AL200" s="5"/>
      <c r="AM200" s="6"/>
      <c r="AN200" s="6"/>
      <c r="AO200" s="7"/>
      <c r="AP200" s="6"/>
      <c r="AQ200" s="6"/>
      <c r="AR200" s="6"/>
      <c r="AS200" s="182">
        <f>ABS(RSD_Tm*AS199)</f>
        <v>3.2316002031969751</v>
      </c>
      <c r="AT200" s="192"/>
      <c r="AU200" s="178"/>
      <c r="AV200" s="185"/>
      <c r="AW200" s="6"/>
      <c r="AX200" s="6"/>
    </row>
    <row r="201" spans="1:50">
      <c r="A201" s="3"/>
      <c r="B201" s="4"/>
      <c r="C201" s="324">
        <f>COUNTA(D199:D202)</f>
        <v>4</v>
      </c>
      <c r="D201" s="119">
        <v>110.4</v>
      </c>
      <c r="E201" s="30" t="s">
        <v>225</v>
      </c>
      <c r="F201" s="80"/>
      <c r="G201" s="119"/>
      <c r="H201" s="30"/>
      <c r="I201" s="80"/>
      <c r="J201" s="119"/>
      <c r="K201" s="30"/>
      <c r="L201" s="324">
        <f>COUNTA(M199:M201)</f>
        <v>3</v>
      </c>
      <c r="M201" s="268">
        <v>97.7</v>
      </c>
      <c r="N201" s="255" t="s">
        <v>2625</v>
      </c>
      <c r="O201" s="80"/>
      <c r="P201" s="119"/>
      <c r="Q201" s="4"/>
      <c r="R201" s="80"/>
      <c r="S201" s="171"/>
      <c r="T201" s="4"/>
      <c r="U201" s="324">
        <f>COUNTA(V199:V201)</f>
        <v>3</v>
      </c>
      <c r="V201" s="14">
        <v>10.73</v>
      </c>
      <c r="W201" s="7" t="s">
        <v>2620</v>
      </c>
      <c r="X201" s="324">
        <f>COUNTA(Y199:Y203)</f>
        <v>4</v>
      </c>
      <c r="Y201" s="14">
        <v>4.0999999999999996</v>
      </c>
      <c r="Z201" s="7" t="s">
        <v>451</v>
      </c>
      <c r="AB201" s="52"/>
      <c r="AC201" s="52"/>
      <c r="AD201" s="42"/>
      <c r="AE201" s="324">
        <f>COUNTA(AF199:AF205)</f>
        <v>7</v>
      </c>
      <c r="AF201" s="15">
        <v>-4.8632794328435933</v>
      </c>
      <c r="AG201" s="6" t="s">
        <v>72</v>
      </c>
      <c r="AH201" s="324">
        <f ca="1">COUNTA(AI199:AI202)</f>
        <v>2</v>
      </c>
      <c r="AJ201" s="123"/>
      <c r="AK201" s="7"/>
      <c r="AL201" s="78"/>
      <c r="AM201" s="52"/>
      <c r="AN201" s="52"/>
      <c r="AO201" s="42"/>
      <c r="AP201" s="52"/>
      <c r="AQ201" s="52"/>
      <c r="AR201" s="52"/>
      <c r="AS201" s="324">
        <f>COUNTA(AT199:AT200)</f>
        <v>1</v>
      </c>
      <c r="AT201" s="121"/>
      <c r="AU201" s="52"/>
      <c r="AW201" s="52"/>
      <c r="AX201" s="52"/>
    </row>
    <row r="202" spans="1:50">
      <c r="A202" s="3"/>
      <c r="B202" s="4" t="s">
        <v>20</v>
      </c>
      <c r="C202" s="87"/>
      <c r="D202" s="119">
        <v>109.2</v>
      </c>
      <c r="E202" s="255" t="s">
        <v>2625</v>
      </c>
      <c r="F202" s="80"/>
      <c r="G202" s="119"/>
      <c r="H202" s="4"/>
      <c r="I202" s="80"/>
      <c r="J202" s="119"/>
      <c r="K202" s="4"/>
      <c r="L202" s="115"/>
      <c r="M202" s="119"/>
      <c r="N202" s="4"/>
      <c r="O202" s="80"/>
      <c r="P202" s="119"/>
      <c r="Q202" s="4"/>
      <c r="R202" s="80"/>
      <c r="S202" s="171"/>
      <c r="T202" s="4"/>
      <c r="U202" s="87"/>
      <c r="V202" s="8"/>
      <c r="W202" s="45"/>
      <c r="Y202" s="8">
        <v>3.65</v>
      </c>
      <c r="Z202" s="45" t="s">
        <v>446</v>
      </c>
      <c r="AB202" s="47"/>
      <c r="AC202" s="47"/>
      <c r="AD202" s="45"/>
      <c r="AF202" s="14">
        <v>-4.55</v>
      </c>
      <c r="AG202" s="6" t="s">
        <v>66</v>
      </c>
      <c r="AH202" s="78"/>
      <c r="AJ202" s="47"/>
      <c r="AK202" s="45"/>
      <c r="AL202" s="84"/>
      <c r="AM202" s="47"/>
      <c r="AN202" s="47"/>
      <c r="AO202" s="45"/>
      <c r="AP202" s="47"/>
      <c r="AQ202" s="47"/>
      <c r="AR202" s="47"/>
      <c r="AS202" s="84"/>
      <c r="AT202" s="121"/>
      <c r="AU202" s="47"/>
      <c r="AV202" s="45"/>
      <c r="AW202" s="47"/>
      <c r="AX202" s="47"/>
    </row>
    <row r="203" spans="1:50">
      <c r="A203" s="3"/>
      <c r="B203" s="4"/>
      <c r="C203" s="87"/>
      <c r="D203" s="119"/>
      <c r="E203" s="4"/>
      <c r="F203" s="80"/>
      <c r="G203" s="119"/>
      <c r="H203" s="4"/>
      <c r="I203" s="80"/>
      <c r="J203" s="119"/>
      <c r="K203" s="4"/>
      <c r="L203" s="115"/>
      <c r="M203" s="119"/>
      <c r="N203" s="4"/>
      <c r="O203" s="80"/>
      <c r="P203" s="119"/>
      <c r="Q203" s="4"/>
      <c r="R203" s="80"/>
      <c r="S203" s="171"/>
      <c r="T203" s="4"/>
      <c r="U203" s="87"/>
      <c r="V203" s="8"/>
      <c r="W203" s="45"/>
      <c r="Y203" s="8"/>
      <c r="Z203" s="45"/>
      <c r="AB203" s="47"/>
      <c r="AC203" s="47"/>
      <c r="AD203" s="45"/>
      <c r="AF203" s="14">
        <v>-4.82</v>
      </c>
      <c r="AG203" s="6" t="s">
        <v>221</v>
      </c>
      <c r="AH203" s="78"/>
      <c r="AJ203" s="47"/>
      <c r="AK203" s="45"/>
      <c r="AL203" s="84"/>
      <c r="AM203" s="47"/>
      <c r="AN203" s="47"/>
      <c r="AO203" s="45"/>
      <c r="AP203" s="47"/>
      <c r="AQ203" s="47"/>
      <c r="AR203" s="47"/>
      <c r="AS203" s="84"/>
      <c r="AT203" s="121"/>
      <c r="AU203" s="47"/>
      <c r="AV203" s="45"/>
      <c r="AW203" s="47"/>
      <c r="AX203" s="47"/>
    </row>
    <row r="204" spans="1:50">
      <c r="A204" s="3"/>
      <c r="B204" s="4" t="s">
        <v>20</v>
      </c>
      <c r="C204" s="87"/>
      <c r="D204" s="119"/>
      <c r="E204" s="4"/>
      <c r="F204" s="80"/>
      <c r="G204" s="119"/>
      <c r="H204" s="4"/>
      <c r="I204" s="80"/>
      <c r="J204" s="119"/>
      <c r="K204" s="4"/>
      <c r="L204" s="115"/>
      <c r="M204" s="119"/>
      <c r="N204" s="4"/>
      <c r="O204" s="80"/>
      <c r="P204" s="119"/>
      <c r="Q204" s="4"/>
      <c r="R204" s="80"/>
      <c r="S204" s="171"/>
      <c r="T204" s="4"/>
      <c r="U204" s="87"/>
      <c r="V204" s="8"/>
      <c r="W204" s="45"/>
      <c r="Y204" s="8"/>
      <c r="Z204" s="45"/>
      <c r="AB204" s="47"/>
      <c r="AC204" s="47"/>
      <c r="AD204" s="45"/>
      <c r="AF204" s="134">
        <v>-4.62</v>
      </c>
      <c r="AG204" s="134" t="s">
        <v>183</v>
      </c>
      <c r="AH204" s="78"/>
      <c r="AJ204" s="47"/>
      <c r="AK204" s="45"/>
      <c r="AL204" s="84"/>
      <c r="AM204" s="47"/>
      <c r="AN204" s="47"/>
      <c r="AO204" s="45"/>
      <c r="AP204" s="47"/>
      <c r="AQ204" s="47"/>
      <c r="AR204" s="47"/>
      <c r="AS204" s="84"/>
      <c r="AT204" s="121"/>
      <c r="AU204" s="47"/>
      <c r="AV204" s="45"/>
      <c r="AW204" s="47"/>
      <c r="AX204" s="47"/>
    </row>
    <row r="205" spans="1:50">
      <c r="A205" s="3"/>
      <c r="B205" s="4"/>
      <c r="C205" s="87"/>
      <c r="D205" s="119"/>
      <c r="E205" s="4"/>
      <c r="F205" s="80"/>
      <c r="G205" s="119"/>
      <c r="H205" s="4"/>
      <c r="I205" s="80"/>
      <c r="J205" s="119"/>
      <c r="K205" s="4"/>
      <c r="L205" s="115"/>
      <c r="M205" s="119"/>
      <c r="N205" s="4"/>
      <c r="O205" s="80"/>
      <c r="P205" s="119"/>
      <c r="Q205" s="4"/>
      <c r="R205" s="80"/>
      <c r="S205" s="171"/>
      <c r="T205" s="4"/>
      <c r="U205" s="87"/>
      <c r="V205" s="8"/>
      <c r="W205" s="45"/>
      <c r="Y205" s="8"/>
      <c r="Z205" s="45"/>
      <c r="AB205" s="47"/>
      <c r="AC205" s="47"/>
      <c r="AD205" s="45"/>
      <c r="AF205" s="477">
        <v>-4.3499999999999996</v>
      </c>
      <c r="AG205" s="269" t="s">
        <v>2620</v>
      </c>
      <c r="AH205" s="78"/>
      <c r="AJ205" s="47"/>
      <c r="AK205" s="45"/>
      <c r="AL205" s="84"/>
      <c r="AM205" s="47"/>
      <c r="AN205" s="47"/>
      <c r="AO205" s="45"/>
      <c r="AP205" s="47"/>
      <c r="AQ205" s="47"/>
      <c r="AR205" s="47"/>
      <c r="AS205" s="84"/>
      <c r="AT205" s="121"/>
      <c r="AU205" s="47"/>
      <c r="AV205" s="45"/>
      <c r="AW205" s="47"/>
      <c r="AX205" s="47"/>
    </row>
    <row r="206" spans="1:50">
      <c r="A206" s="3"/>
      <c r="B206" s="4"/>
      <c r="C206" s="87"/>
      <c r="D206" s="119"/>
      <c r="E206" s="4"/>
      <c r="F206" s="80"/>
      <c r="G206" s="119"/>
      <c r="H206" s="4"/>
      <c r="I206" s="80"/>
      <c r="J206" s="119"/>
      <c r="K206" s="4"/>
      <c r="L206" s="115"/>
      <c r="M206" s="119"/>
      <c r="N206" s="4"/>
      <c r="O206" s="80"/>
      <c r="P206" s="119"/>
      <c r="Q206" s="4"/>
      <c r="R206" s="80"/>
      <c r="S206" s="171"/>
      <c r="T206" s="4"/>
      <c r="U206" s="87"/>
      <c r="V206" s="8"/>
      <c r="W206" s="45"/>
      <c r="Y206" s="8"/>
      <c r="Z206" s="45"/>
      <c r="AB206" s="47"/>
      <c r="AC206" s="47"/>
      <c r="AD206" s="45"/>
      <c r="AF206" s="224">
        <v>-3.79</v>
      </c>
      <c r="AG206" s="224" t="s">
        <v>182</v>
      </c>
      <c r="AH206" s="78"/>
      <c r="AJ206" s="47"/>
      <c r="AK206" s="45"/>
      <c r="AL206" s="84"/>
      <c r="AM206" s="47"/>
      <c r="AN206" s="47"/>
      <c r="AO206" s="45"/>
      <c r="AP206" s="47"/>
      <c r="AQ206" s="47"/>
      <c r="AR206" s="47"/>
      <c r="AS206" s="84"/>
      <c r="AT206" s="121"/>
      <c r="AU206" s="47"/>
      <c r="AV206" s="45"/>
      <c r="AW206" s="47"/>
      <c r="AX206" s="47"/>
    </row>
    <row r="207" spans="1:50">
      <c r="A207" s="3"/>
      <c r="B207" s="4"/>
      <c r="C207" s="87"/>
      <c r="D207" s="119"/>
      <c r="E207" s="4"/>
      <c r="F207" s="80"/>
      <c r="G207" s="119"/>
      <c r="H207" s="4"/>
      <c r="I207" s="80"/>
      <c r="J207" s="119"/>
      <c r="K207" s="4"/>
      <c r="L207" s="115"/>
      <c r="M207" s="119"/>
      <c r="N207" s="4"/>
      <c r="O207" s="80"/>
      <c r="P207" s="119"/>
      <c r="Q207" s="4"/>
      <c r="R207" s="80"/>
      <c r="S207" s="171"/>
      <c r="T207" s="4"/>
      <c r="U207" s="87"/>
      <c r="V207" s="8"/>
      <c r="W207" s="45"/>
      <c r="Y207" s="8"/>
      <c r="Z207" s="45"/>
      <c r="AB207" s="47"/>
      <c r="AC207" s="47"/>
      <c r="AD207" s="45"/>
      <c r="AF207" s="135"/>
      <c r="AG207" s="135"/>
      <c r="AH207" s="78"/>
      <c r="AL207" s="84"/>
      <c r="AM207" s="47"/>
      <c r="AN207" s="47"/>
      <c r="AO207" s="45"/>
      <c r="AP207" s="47"/>
      <c r="AQ207" s="47"/>
      <c r="AR207" s="47"/>
      <c r="AS207" s="84"/>
      <c r="AT207" s="121"/>
      <c r="AU207" s="47"/>
      <c r="AV207" s="45"/>
      <c r="AW207" s="47"/>
      <c r="AX207" s="47"/>
    </row>
    <row r="208" spans="1:50" ht="18">
      <c r="A208" s="3" t="s">
        <v>87</v>
      </c>
      <c r="B208" s="4" t="s">
        <v>88</v>
      </c>
      <c r="C208" s="129">
        <f>AVERAGE(D208:D212)</f>
        <v>108.8053199021883</v>
      </c>
      <c r="D208" s="30">
        <v>106</v>
      </c>
      <c r="E208" s="30" t="s">
        <v>249</v>
      </c>
      <c r="F208" s="83"/>
      <c r="G208" s="70"/>
      <c r="H208" s="70"/>
      <c r="I208" s="83"/>
      <c r="J208" s="70"/>
      <c r="K208" s="70"/>
      <c r="L208" s="130">
        <f>AVERAGE(M208:M210)</f>
        <v>105.63333333333333</v>
      </c>
      <c r="M208" s="70">
        <v>104</v>
      </c>
      <c r="N208" s="70" t="s">
        <v>249</v>
      </c>
      <c r="O208" s="80"/>
      <c r="P208" s="119"/>
      <c r="Q208" s="30"/>
      <c r="R208" s="80"/>
      <c r="S208" s="171"/>
      <c r="T208" s="30"/>
      <c r="U208" s="266">
        <f>AVERAGE(V208:V210)</f>
        <v>11.254058807284656</v>
      </c>
      <c r="V208" s="15">
        <v>10.972176421853963</v>
      </c>
      <c r="W208" s="45" t="s">
        <v>256</v>
      </c>
      <c r="X208" s="130">
        <f>AVERAGE(Y208:Y210)</f>
        <v>4.4551030939086207</v>
      </c>
      <c r="Y208" s="15">
        <f>LOG(16800)</f>
        <v>4.2253092817258633</v>
      </c>
      <c r="Z208" s="45" t="s">
        <v>412</v>
      </c>
      <c r="AB208" s="47"/>
      <c r="AC208" s="6"/>
      <c r="AD208" s="7"/>
      <c r="AE208" s="130">
        <f>AVERAGE(AF208:AF214)</f>
        <v>-4.6558136987291556</v>
      </c>
      <c r="AF208" s="15">
        <v>-4.5213560541939648</v>
      </c>
      <c r="AG208" s="47" t="s">
        <v>256</v>
      </c>
      <c r="AH208" s="130">
        <f ca="1">AVERAGE(AI208:AI209)</f>
        <v>-4.7043664347305514</v>
      </c>
      <c r="AI208" s="46">
        <f>LOG(AJ208/$B$209)</f>
        <v>-2.8599804400475182</v>
      </c>
      <c r="AJ208" s="6">
        <f>'Table S4 Conversions and Notes'!$J$131</f>
        <v>0.6</v>
      </c>
      <c r="AK208" s="7" t="s">
        <v>2827</v>
      </c>
      <c r="AL208" s="5"/>
      <c r="AM208" s="6"/>
      <c r="AN208" s="6"/>
      <c r="AO208" s="7"/>
      <c r="AP208" s="6"/>
      <c r="AQ208" s="6"/>
      <c r="AR208" s="6"/>
      <c r="AS208" s="201">
        <f>AVERAGE(AT208:AT211)</f>
        <v>-72</v>
      </c>
      <c r="AT208" s="121">
        <v>-74</v>
      </c>
      <c r="AU208" s="26">
        <f>AT208+273.15</f>
        <v>199.14999999999998</v>
      </c>
      <c r="AV208" s="7" t="s">
        <v>958</v>
      </c>
      <c r="AW208" s="6"/>
      <c r="AX208" s="6"/>
    </row>
    <row r="209" spans="1:50" ht="18">
      <c r="A209" s="3"/>
      <c r="B209" s="171">
        <v>434.642</v>
      </c>
      <c r="C209" s="130">
        <f>_xlfn.STDEV.S(D208:D212)</f>
        <v>2.7599602935757312</v>
      </c>
      <c r="D209" s="119">
        <v>106</v>
      </c>
      <c r="E209" s="30" t="s">
        <v>170</v>
      </c>
      <c r="F209" s="83"/>
      <c r="G209" s="70"/>
      <c r="H209" s="70"/>
      <c r="I209" s="83"/>
      <c r="J209" s="70"/>
      <c r="K209" s="70"/>
      <c r="L209" s="130">
        <f>_xlfn.STDEV.S(104,M208:M210)</f>
        <v>5.6109268396584868</v>
      </c>
      <c r="M209" s="271">
        <v>113.1</v>
      </c>
      <c r="N209" s="30" t="s">
        <v>227</v>
      </c>
      <c r="O209" s="80"/>
      <c r="P209" s="119"/>
      <c r="Q209" s="30"/>
      <c r="R209" s="80"/>
      <c r="S209" s="171"/>
      <c r="T209" s="30"/>
      <c r="U209" s="266">
        <f>_xlfn.STDEV.S(V208:V210)</f>
        <v>0.56090842337414826</v>
      </c>
      <c r="V209" s="14">
        <v>11.9</v>
      </c>
      <c r="W209" s="7" t="s">
        <v>71</v>
      </c>
      <c r="X209" s="130">
        <f>_xlfn.STDEV.S(Y208:Y210)</f>
        <v>0.51039582393287042</v>
      </c>
      <c r="Y209" s="15">
        <v>5.04</v>
      </c>
      <c r="Z209" s="45" t="s">
        <v>464</v>
      </c>
      <c r="AB209" s="6"/>
      <c r="AC209" s="6"/>
      <c r="AD209" s="7"/>
      <c r="AE209" s="130">
        <f>_xlfn.STDEV.S(AF208:AF214)</f>
        <v>0.27719074419421286</v>
      </c>
      <c r="AF209" s="6">
        <v>-4.68</v>
      </c>
      <c r="AG209" s="6" t="s">
        <v>70</v>
      </c>
      <c r="AH209" s="130">
        <f ca="1">_xlfn.STDEV.S(AI208:AI209)</f>
        <v>2.6083556879317391</v>
      </c>
      <c r="AI209" s="46">
        <f ca="1">LOG(AJ209/$B$209)</f>
        <v>-6.548752429413585</v>
      </c>
      <c r="AJ209" s="114">
        <f ca="1">'Table S4 Conversions and Notes'!$J$132</f>
        <v>1.2285115984004001E-4</v>
      </c>
      <c r="AK209" s="45" t="s">
        <v>459</v>
      </c>
      <c r="AL209" s="5"/>
      <c r="AM209" s="6"/>
      <c r="AN209" s="6"/>
      <c r="AO209" s="7"/>
      <c r="AP209" s="6"/>
      <c r="AQ209" s="6"/>
      <c r="AR209" s="6"/>
      <c r="AS209" s="182">
        <f>_xlfn.STDEV.S(AT208:AT211)</f>
        <v>2.8284271247461903</v>
      </c>
      <c r="AT209" s="121">
        <v>-70</v>
      </c>
      <c r="AU209" s="26">
        <f>AT209+273.15</f>
        <v>203.14999999999998</v>
      </c>
      <c r="AV209" s="7" t="s">
        <v>957</v>
      </c>
      <c r="AW209" s="6"/>
      <c r="AX209" s="6"/>
    </row>
    <row r="210" spans="1:50" ht="18">
      <c r="A210" s="3"/>
      <c r="B210" s="4"/>
      <c r="C210" s="324">
        <f>COUNTA(D208:D212)</f>
        <v>5</v>
      </c>
      <c r="D210" s="119">
        <v>111.4</v>
      </c>
      <c r="E210" s="30" t="s">
        <v>225</v>
      </c>
      <c r="F210" s="80"/>
      <c r="G210" s="119"/>
      <c r="H210" s="30"/>
      <c r="I210" s="80"/>
      <c r="J210" s="119"/>
      <c r="K210" s="30"/>
      <c r="L210" s="324">
        <f>COUNTA(M208:M210)</f>
        <v>3</v>
      </c>
      <c r="M210" s="268">
        <v>99.8</v>
      </c>
      <c r="N210" s="255" t="s">
        <v>2625</v>
      </c>
      <c r="O210" s="80"/>
      <c r="P210" s="119"/>
      <c r="Q210" s="4"/>
      <c r="R210" s="80"/>
      <c r="S210" s="171"/>
      <c r="T210" s="4"/>
      <c r="U210" s="324">
        <f>COUNTA(V208:V210)</f>
        <v>3</v>
      </c>
      <c r="V210" s="14">
        <v>10.89</v>
      </c>
      <c r="W210" s="7" t="s">
        <v>2620</v>
      </c>
      <c r="X210" s="324">
        <f>COUNTA(Y208:Y210)</f>
        <v>3</v>
      </c>
      <c r="Y210" s="15">
        <v>4.0999999999999996</v>
      </c>
      <c r="Z210" s="45" t="s">
        <v>464</v>
      </c>
      <c r="AB210" s="52"/>
      <c r="AC210" s="52"/>
      <c r="AD210" s="42"/>
      <c r="AE210" s="324">
        <f>COUNTA(AF208:AF214)</f>
        <v>7</v>
      </c>
      <c r="AF210" s="15">
        <v>-5.0883098412461392</v>
      </c>
      <c r="AG210" s="6" t="s">
        <v>72</v>
      </c>
      <c r="AH210" s="324">
        <f ca="1">COUNTA(AI209)</f>
        <v>1</v>
      </c>
      <c r="AI210" s="225">
        <f>LOG(0.000832/$B$209)</f>
        <v>-5.718008364140438</v>
      </c>
      <c r="AJ210" s="176" t="s">
        <v>461</v>
      </c>
      <c r="AK210" s="155" t="s">
        <v>933</v>
      </c>
      <c r="AL210" s="78"/>
      <c r="AM210" s="52"/>
      <c r="AN210" s="52"/>
      <c r="AO210" s="42"/>
      <c r="AP210" s="52"/>
      <c r="AQ210" s="52"/>
      <c r="AR210" s="52"/>
      <c r="AS210" s="324">
        <f>COUNTA(AT208:AT209)</f>
        <v>2</v>
      </c>
      <c r="AT210" s="121"/>
      <c r="AU210" s="52"/>
      <c r="AW210" s="52"/>
      <c r="AX210" s="52"/>
    </row>
    <row r="211" spans="1:50" ht="18">
      <c r="A211" s="3"/>
      <c r="B211" s="4" t="s">
        <v>20</v>
      </c>
      <c r="C211" s="87"/>
      <c r="D211" s="230">
        <f>'Table S4 Conversions and Notes'!$J$227</f>
        <v>111.62659951094155</v>
      </c>
      <c r="E211" s="30" t="s">
        <v>929</v>
      </c>
      <c r="F211" s="80"/>
      <c r="G211" s="119"/>
      <c r="H211" s="4"/>
      <c r="I211" s="80"/>
      <c r="J211" s="119"/>
      <c r="K211" s="4"/>
      <c r="L211" s="115"/>
      <c r="M211" s="119"/>
      <c r="N211" s="4"/>
      <c r="O211" s="80"/>
      <c r="P211" s="119"/>
      <c r="Q211" s="4"/>
      <c r="R211" s="80"/>
      <c r="S211" s="171"/>
      <c r="T211" s="4"/>
      <c r="U211" s="87"/>
      <c r="V211" s="8"/>
      <c r="W211" s="45"/>
      <c r="Y211" s="177" t="s">
        <v>462</v>
      </c>
      <c r="Z211" s="155" t="s">
        <v>463</v>
      </c>
      <c r="AB211" s="47"/>
      <c r="AC211" s="47"/>
      <c r="AD211" s="45"/>
      <c r="AF211" s="14">
        <v>-4.96</v>
      </c>
      <c r="AG211" s="6" t="s">
        <v>66</v>
      </c>
      <c r="AH211" s="78"/>
      <c r="AI211" s="225">
        <f>LOG(1/$B$209)</f>
        <v>-2.638131690431162</v>
      </c>
      <c r="AJ211" s="176" t="s">
        <v>457</v>
      </c>
      <c r="AK211" s="185" t="s">
        <v>930</v>
      </c>
      <c r="AL211" s="84"/>
      <c r="AM211" s="47"/>
      <c r="AN211" s="47"/>
      <c r="AO211" s="45"/>
      <c r="AP211" s="47"/>
      <c r="AQ211" s="47"/>
      <c r="AR211" s="47"/>
      <c r="AS211" s="84"/>
      <c r="AT211" s="121"/>
      <c r="AU211" s="47"/>
      <c r="AV211" s="45"/>
      <c r="AW211" s="47"/>
      <c r="AX211" s="47"/>
    </row>
    <row r="212" spans="1:50">
      <c r="A212" s="3"/>
      <c r="B212" s="4"/>
      <c r="C212" s="87"/>
      <c r="D212" s="119">
        <v>109</v>
      </c>
      <c r="E212" s="255" t="s">
        <v>2625</v>
      </c>
      <c r="F212" s="80"/>
      <c r="G212" s="119"/>
      <c r="H212" s="4"/>
      <c r="I212" s="80"/>
      <c r="J212" s="119"/>
      <c r="K212" s="4"/>
      <c r="L212" s="115"/>
      <c r="M212" s="119"/>
      <c r="N212" s="4"/>
      <c r="O212" s="80"/>
      <c r="P212" s="119"/>
      <c r="Q212" s="4"/>
      <c r="R212" s="80"/>
      <c r="S212" s="171"/>
      <c r="T212" s="4"/>
      <c r="U212" s="87"/>
      <c r="V212" s="8"/>
      <c r="W212" s="45"/>
      <c r="Z212" s="42"/>
      <c r="AB212" s="47"/>
      <c r="AC212" s="47"/>
      <c r="AD212" s="45"/>
      <c r="AF212" s="14">
        <v>-4.5199999999999996</v>
      </c>
      <c r="AG212" s="6" t="s">
        <v>211</v>
      </c>
      <c r="AH212" s="78"/>
      <c r="AL212" s="84"/>
      <c r="AM212" s="47"/>
      <c r="AN212" s="47"/>
      <c r="AO212" s="45"/>
      <c r="AP212" s="47"/>
      <c r="AQ212" s="47"/>
      <c r="AR212" s="47"/>
      <c r="AS212" s="84"/>
      <c r="AT212" s="121"/>
      <c r="AU212" s="47"/>
      <c r="AV212" s="45"/>
      <c r="AW212" s="47"/>
      <c r="AX212" s="47"/>
    </row>
    <row r="213" spans="1:50">
      <c r="A213" s="3"/>
      <c r="B213" s="4"/>
      <c r="C213" s="87"/>
      <c r="D213" s="119"/>
      <c r="E213" s="4"/>
      <c r="F213" s="80"/>
      <c r="G213" s="119"/>
      <c r="H213" s="4"/>
      <c r="I213" s="80"/>
      <c r="J213" s="119"/>
      <c r="K213" s="4"/>
      <c r="L213" s="115"/>
      <c r="M213" s="119"/>
      <c r="N213" s="4"/>
      <c r="O213" s="80"/>
      <c r="P213" s="119"/>
      <c r="Q213" s="4"/>
      <c r="R213" s="80"/>
      <c r="S213" s="171"/>
      <c r="T213" s="4"/>
      <c r="U213" s="87"/>
      <c r="V213" s="8"/>
      <c r="W213" s="45"/>
      <c r="Y213" s="8"/>
      <c r="Z213" s="45"/>
      <c r="AB213" s="47"/>
      <c r="AC213" s="47"/>
      <c r="AD213" s="45"/>
      <c r="AF213" s="136">
        <f>LOG(0.0000005*100)</f>
        <v>-4.3010299956639813</v>
      </c>
      <c r="AG213" s="6" t="s">
        <v>223</v>
      </c>
      <c r="AH213" s="78"/>
      <c r="AL213" s="84"/>
      <c r="AM213" s="47"/>
      <c r="AN213" s="47"/>
      <c r="AO213" s="45"/>
      <c r="AP213" s="47"/>
      <c r="AQ213" s="47"/>
      <c r="AR213" s="47"/>
      <c r="AS213" s="84"/>
      <c r="AT213" s="121"/>
      <c r="AU213" s="47"/>
      <c r="AV213" s="45"/>
      <c r="AW213" s="47"/>
      <c r="AX213" s="47"/>
    </row>
    <row r="214" spans="1:50">
      <c r="A214" s="3"/>
      <c r="B214" s="4"/>
      <c r="C214" s="87"/>
      <c r="D214" s="119"/>
      <c r="E214" s="4"/>
      <c r="F214" s="80"/>
      <c r="G214" s="119"/>
      <c r="H214" s="4"/>
      <c r="I214" s="80"/>
      <c r="J214" s="119"/>
      <c r="K214" s="4"/>
      <c r="L214" s="115"/>
      <c r="M214" s="119"/>
      <c r="N214" s="4"/>
      <c r="O214" s="80"/>
      <c r="P214" s="119"/>
      <c r="Q214" s="4"/>
      <c r="R214" s="80"/>
      <c r="S214" s="171"/>
      <c r="T214" s="4"/>
      <c r="U214" s="87"/>
      <c r="V214" s="8"/>
      <c r="W214" s="45"/>
      <c r="Y214" s="8"/>
      <c r="Z214" s="45"/>
      <c r="AB214" s="47"/>
      <c r="AC214" s="47"/>
      <c r="AD214" s="45"/>
      <c r="AF214" s="477">
        <v>-4.5199999999999996</v>
      </c>
      <c r="AG214" s="269" t="s">
        <v>2620</v>
      </c>
      <c r="AH214" s="78"/>
      <c r="AL214" s="84"/>
      <c r="AM214" s="114"/>
      <c r="AN214" s="47"/>
      <c r="AO214" s="45"/>
      <c r="AP214" s="47"/>
      <c r="AQ214" s="47"/>
      <c r="AR214" s="47"/>
      <c r="AS214" s="84"/>
      <c r="AT214" s="121"/>
      <c r="AU214" s="47"/>
      <c r="AV214" s="45"/>
      <c r="AW214" s="47"/>
      <c r="AX214" s="47"/>
    </row>
    <row r="215" spans="1:50">
      <c r="A215" s="3"/>
      <c r="B215" s="4"/>
      <c r="C215" s="87"/>
      <c r="D215" s="119"/>
      <c r="E215" s="4"/>
      <c r="F215" s="80"/>
      <c r="G215" s="119"/>
      <c r="H215" s="4"/>
      <c r="I215" s="80"/>
      <c r="J215" s="119"/>
      <c r="K215" s="4"/>
      <c r="L215" s="115"/>
      <c r="M215" s="119"/>
      <c r="N215" s="4"/>
      <c r="O215" s="80"/>
      <c r="P215" s="119"/>
      <c r="Q215" s="4"/>
      <c r="R215" s="80"/>
      <c r="S215" s="171"/>
      <c r="T215" s="4"/>
      <c r="U215" s="87"/>
      <c r="V215" s="8"/>
      <c r="W215" s="45"/>
      <c r="Y215" s="8"/>
      <c r="Z215" s="45"/>
      <c r="AB215" s="47"/>
      <c r="AC215" s="47"/>
      <c r="AD215" s="45"/>
      <c r="AF215" s="226">
        <v>-4.09</v>
      </c>
      <c r="AG215" s="224" t="s">
        <v>182</v>
      </c>
      <c r="AH215" s="78"/>
      <c r="AL215" s="84"/>
      <c r="AM215" s="47"/>
      <c r="AN215" s="47"/>
      <c r="AO215" s="45"/>
      <c r="AP215" s="47"/>
      <c r="AQ215" s="47"/>
      <c r="AR215" s="47"/>
      <c r="AS215" s="84"/>
      <c r="AT215" s="121"/>
      <c r="AU215" s="47"/>
      <c r="AV215" s="45"/>
      <c r="AW215" s="47"/>
      <c r="AX215" s="47"/>
    </row>
    <row r="216" spans="1:50" ht="18">
      <c r="A216" s="3"/>
      <c r="B216" s="4"/>
      <c r="C216" s="87"/>
      <c r="D216" s="119"/>
      <c r="E216" s="4"/>
      <c r="F216" s="80"/>
      <c r="G216" s="119"/>
      <c r="H216" s="4"/>
      <c r="I216" s="80"/>
      <c r="J216" s="119"/>
      <c r="K216" s="4"/>
      <c r="L216" s="115"/>
      <c r="M216" s="119"/>
      <c r="N216" s="4"/>
      <c r="O216" s="80"/>
      <c r="P216" s="119"/>
      <c r="Q216" s="4"/>
      <c r="R216" s="80"/>
      <c r="S216" s="171"/>
      <c r="T216" s="4"/>
      <c r="U216" s="87"/>
      <c r="V216" s="8"/>
      <c r="W216" s="45"/>
      <c r="Y216" s="8"/>
      <c r="Z216" s="45"/>
      <c r="AB216" s="47"/>
      <c r="AC216" s="47"/>
      <c r="AD216" s="45"/>
      <c r="AF216" s="226">
        <f>'Table S4 Conversions and Notes'!$J$226</f>
        <v>-2.5299999999999998</v>
      </c>
      <c r="AG216" s="224" t="s">
        <v>919</v>
      </c>
      <c r="AH216" s="78"/>
      <c r="AJ216" s="47"/>
      <c r="AK216" s="45"/>
      <c r="AL216" s="84"/>
      <c r="AM216" s="47"/>
      <c r="AN216" s="47"/>
      <c r="AO216" s="45"/>
      <c r="AP216" s="47"/>
      <c r="AQ216" s="47"/>
      <c r="AR216" s="47"/>
      <c r="AS216" s="84"/>
      <c r="AT216" s="121"/>
      <c r="AU216" s="47"/>
      <c r="AV216" s="45"/>
      <c r="AW216" s="47"/>
      <c r="AX216" s="47"/>
    </row>
    <row r="217" spans="1:50">
      <c r="A217" s="3"/>
      <c r="B217" s="4"/>
      <c r="C217" s="87"/>
      <c r="D217" s="119"/>
      <c r="E217" s="4"/>
      <c r="F217" s="80"/>
      <c r="G217" s="119"/>
      <c r="H217" s="4"/>
      <c r="I217" s="80"/>
      <c r="J217" s="119"/>
      <c r="K217" s="4"/>
      <c r="L217" s="115"/>
      <c r="M217" s="119"/>
      <c r="N217" s="4"/>
      <c r="O217" s="80"/>
      <c r="P217" s="119"/>
      <c r="Q217" s="4"/>
      <c r="R217" s="80"/>
      <c r="S217" s="171"/>
      <c r="T217" s="4"/>
      <c r="U217" s="87"/>
      <c r="V217" s="8"/>
      <c r="W217" s="45"/>
      <c r="Y217" s="8"/>
      <c r="Z217" s="45"/>
      <c r="AB217" s="47"/>
      <c r="AC217" s="47"/>
      <c r="AD217" s="45"/>
      <c r="AH217" s="78"/>
      <c r="AJ217" s="47"/>
      <c r="AK217" s="45"/>
      <c r="AL217" s="84"/>
      <c r="AM217" s="47"/>
      <c r="AN217" s="47"/>
      <c r="AO217" s="45"/>
      <c r="AP217" s="47"/>
      <c r="AQ217" s="47"/>
      <c r="AR217" s="47"/>
      <c r="AS217" s="84"/>
      <c r="AT217" s="121"/>
      <c r="AU217" s="47"/>
      <c r="AV217" s="45"/>
      <c r="AW217" s="47"/>
      <c r="AX217" s="47"/>
    </row>
    <row r="218" spans="1:50" ht="18">
      <c r="A218" s="3" t="s">
        <v>89</v>
      </c>
      <c r="B218" s="4" t="s">
        <v>90</v>
      </c>
      <c r="C218" s="129">
        <f>D218</f>
        <v>135</v>
      </c>
      <c r="D218" s="30">
        <v>135</v>
      </c>
      <c r="E218" s="30" t="s">
        <v>255</v>
      </c>
      <c r="F218" s="80"/>
      <c r="G218" s="119"/>
      <c r="H218" s="56"/>
      <c r="I218" s="80"/>
      <c r="J218" s="119"/>
      <c r="K218" s="56"/>
      <c r="L218" s="115"/>
      <c r="M218" s="119"/>
      <c r="N218" s="56"/>
      <c r="O218" s="80"/>
      <c r="P218" s="119"/>
      <c r="Q218" s="56"/>
      <c r="R218" s="80"/>
      <c r="S218" s="171"/>
      <c r="T218" s="56"/>
      <c r="U218" s="87"/>
      <c r="V218" s="8"/>
      <c r="W218" s="45"/>
      <c r="Y218" s="8"/>
      <c r="Z218" s="45"/>
      <c r="AB218" s="47"/>
      <c r="AC218" s="47"/>
      <c r="AD218" s="45"/>
      <c r="AE218" s="130">
        <f>AVERAGE(AF218:AF228)</f>
        <v>-5.9337440369338292</v>
      </c>
      <c r="AF218" s="15">
        <v>-8.5876633794858712</v>
      </c>
      <c r="AG218" s="47" t="s">
        <v>256</v>
      </c>
      <c r="AH218" s="78"/>
      <c r="AJ218" s="47"/>
      <c r="AK218" s="45"/>
      <c r="AL218" s="84"/>
      <c r="AM218" s="47"/>
      <c r="AN218" s="47"/>
      <c r="AO218" s="45"/>
      <c r="AP218" s="47"/>
      <c r="AQ218" s="47"/>
      <c r="AR218" s="47"/>
      <c r="AS218" s="201">
        <f>AVERAGE(AT218:AT221)</f>
        <v>99.75</v>
      </c>
      <c r="AT218" s="121">
        <f>'Table S4 Conversions and Notes'!$J$231</f>
        <v>99.5</v>
      </c>
      <c r="AU218" s="26">
        <f>AT218+273.15</f>
        <v>372.65</v>
      </c>
      <c r="AV218" s="45" t="s">
        <v>961</v>
      </c>
      <c r="AW218" s="47"/>
      <c r="AX218" s="47"/>
    </row>
    <row r="219" spans="1:50">
      <c r="A219" s="3"/>
      <c r="B219" s="171">
        <v>449.75934000000001</v>
      </c>
      <c r="C219" s="150">
        <f>RSD_dHvap*C218</f>
        <v>9.6340614933147393</v>
      </c>
      <c r="D219" s="119"/>
      <c r="E219" s="4"/>
      <c r="F219" s="80"/>
      <c r="G219" s="119"/>
      <c r="H219" s="4"/>
      <c r="I219" s="80"/>
      <c r="J219" s="119"/>
      <c r="K219" s="4"/>
      <c r="L219" s="115"/>
      <c r="M219" s="119"/>
      <c r="N219" s="4"/>
      <c r="O219" s="80"/>
      <c r="P219" s="119"/>
      <c r="Q219" s="4"/>
      <c r="R219" s="80"/>
      <c r="S219" s="171"/>
      <c r="T219" s="4"/>
      <c r="U219" s="87"/>
      <c r="V219" s="8"/>
      <c r="W219" s="45"/>
      <c r="Y219" s="8"/>
      <c r="Z219" s="45"/>
      <c r="AB219" s="47"/>
      <c r="AC219" s="47"/>
      <c r="AD219" s="45"/>
      <c r="AE219" s="130">
        <f>ABS(RSD_PL*AE218)</f>
        <v>0.94147379508925533</v>
      </c>
      <c r="AF219" s="6"/>
      <c r="AG219" s="6"/>
      <c r="AH219" s="78"/>
      <c r="AJ219" s="47"/>
      <c r="AK219" s="45"/>
      <c r="AL219" s="84"/>
      <c r="AM219" s="47"/>
      <c r="AN219" s="47"/>
      <c r="AO219" s="45"/>
      <c r="AP219" s="47"/>
      <c r="AQ219" s="47"/>
      <c r="AR219" s="47"/>
      <c r="AS219" s="182">
        <f>_xlfn.STDEV.S(AT218:AT221)</f>
        <v>0.35355339059327379</v>
      </c>
      <c r="AT219" s="121">
        <v>100</v>
      </c>
      <c r="AU219" s="26">
        <f>AT219+273.15</f>
        <v>373.15</v>
      </c>
      <c r="AV219" s="45" t="s">
        <v>948</v>
      </c>
      <c r="AW219" s="47"/>
      <c r="AX219" s="47"/>
    </row>
    <row r="220" spans="1:50">
      <c r="A220" s="3"/>
      <c r="B220" s="171"/>
      <c r="C220" s="324">
        <f>COUNTA(D218:D221)</f>
        <v>1</v>
      </c>
      <c r="D220" s="119"/>
      <c r="E220" s="4"/>
      <c r="F220" s="80"/>
      <c r="G220" s="119"/>
      <c r="H220" s="4"/>
      <c r="I220" s="80"/>
      <c r="J220" s="119"/>
      <c r="K220" s="4"/>
      <c r="L220" s="115"/>
      <c r="M220" s="119"/>
      <c r="N220" s="4"/>
      <c r="O220" s="80"/>
      <c r="P220" s="119"/>
      <c r="Q220" s="4"/>
      <c r="R220" s="80"/>
      <c r="S220" s="171"/>
      <c r="T220" s="4"/>
      <c r="U220" s="87"/>
      <c r="V220" s="8"/>
      <c r="W220" s="45"/>
      <c r="Y220" s="8"/>
      <c r="Z220" s="45"/>
      <c r="AB220" s="47"/>
      <c r="AC220" s="47"/>
      <c r="AD220" s="45"/>
      <c r="AE220" s="324">
        <f>COUNTA(AF218:AF220)</f>
        <v>1</v>
      </c>
      <c r="AF220" s="6"/>
      <c r="AG220" s="6"/>
      <c r="AH220" s="78"/>
      <c r="AJ220" s="47"/>
      <c r="AK220" s="45"/>
      <c r="AL220" s="84"/>
      <c r="AM220" s="47"/>
      <c r="AN220" s="47"/>
      <c r="AO220" s="45"/>
      <c r="AP220" s="47"/>
      <c r="AQ220" s="47"/>
      <c r="AR220" s="47"/>
      <c r="AS220" s="324">
        <f>COUNTA(AT218:AT219)</f>
        <v>2</v>
      </c>
      <c r="AT220" s="121"/>
      <c r="AU220" s="47"/>
      <c r="AV220" s="45"/>
      <c r="AW220" s="47"/>
      <c r="AX220" s="47"/>
    </row>
    <row r="221" spans="1:50">
      <c r="A221" s="3"/>
      <c r="B221" s="171"/>
      <c r="C221" s="150"/>
      <c r="D221" s="119"/>
      <c r="E221" s="4"/>
      <c r="F221" s="80"/>
      <c r="G221" s="119"/>
      <c r="H221" s="4"/>
      <c r="I221" s="80"/>
      <c r="J221" s="119"/>
      <c r="K221" s="4"/>
      <c r="L221" s="115"/>
      <c r="M221" s="119"/>
      <c r="N221" s="4"/>
      <c r="O221" s="80"/>
      <c r="P221" s="119"/>
      <c r="Q221" s="4"/>
      <c r="R221" s="80"/>
      <c r="S221" s="171"/>
      <c r="T221" s="4"/>
      <c r="U221" s="87"/>
      <c r="V221" s="8"/>
      <c r="W221" s="45"/>
      <c r="Y221" s="8"/>
      <c r="Z221" s="45"/>
      <c r="AB221" s="47"/>
      <c r="AC221" s="47"/>
      <c r="AD221" s="45"/>
      <c r="AE221" s="131"/>
      <c r="AF221" s="6"/>
      <c r="AG221" s="6"/>
      <c r="AH221" s="78"/>
      <c r="AJ221" s="47"/>
      <c r="AK221" s="45"/>
      <c r="AL221" s="84"/>
      <c r="AM221" s="47"/>
      <c r="AN221" s="47"/>
      <c r="AO221" s="45"/>
      <c r="AP221" s="47"/>
      <c r="AQ221" s="47"/>
      <c r="AR221" s="47"/>
      <c r="AS221" s="84"/>
      <c r="AT221" s="121"/>
      <c r="AU221" s="47"/>
      <c r="AV221" s="45"/>
      <c r="AW221" s="47"/>
      <c r="AX221" s="47"/>
    </row>
    <row r="222" spans="1:50">
      <c r="A222" s="3"/>
      <c r="B222" s="171"/>
      <c r="C222" s="150"/>
      <c r="D222" s="119"/>
      <c r="E222" s="4"/>
      <c r="F222" s="80"/>
      <c r="G222" s="119"/>
      <c r="H222" s="4"/>
      <c r="I222" s="80"/>
      <c r="J222" s="119"/>
      <c r="K222" s="4"/>
      <c r="L222" s="115"/>
      <c r="M222" s="119"/>
      <c r="N222" s="4"/>
      <c r="O222" s="80"/>
      <c r="P222" s="119"/>
      <c r="Q222" s="4"/>
      <c r="R222" s="80"/>
      <c r="S222" s="171"/>
      <c r="T222" s="4"/>
      <c r="U222" s="87"/>
      <c r="V222" s="8"/>
      <c r="W222" s="45"/>
      <c r="Y222" s="8"/>
      <c r="Z222" s="45"/>
      <c r="AB222" s="47"/>
      <c r="AC222" s="47"/>
      <c r="AD222" s="45"/>
      <c r="AE222" s="131"/>
      <c r="AF222" s="6"/>
      <c r="AG222" s="6"/>
      <c r="AH222" s="78"/>
      <c r="AJ222" s="47"/>
      <c r="AK222" s="45"/>
      <c r="AL222" s="84"/>
      <c r="AM222" s="47"/>
      <c r="AN222" s="47"/>
      <c r="AO222" s="45"/>
      <c r="AP222" s="47"/>
      <c r="AQ222" s="47"/>
      <c r="AR222" s="47"/>
      <c r="AS222" s="84"/>
      <c r="AT222" s="121"/>
      <c r="AU222" s="47"/>
      <c r="AV222" s="45"/>
      <c r="AW222" s="47"/>
      <c r="AX222" s="47"/>
    </row>
    <row r="223" spans="1:50">
      <c r="A223" s="3"/>
      <c r="B223" s="171"/>
      <c r="C223" s="150"/>
      <c r="D223" s="119"/>
      <c r="E223" s="4"/>
      <c r="F223" s="80"/>
      <c r="G223" s="119"/>
      <c r="H223" s="4"/>
      <c r="I223" s="80"/>
      <c r="J223" s="119"/>
      <c r="K223" s="4"/>
      <c r="L223" s="115"/>
      <c r="M223" s="119"/>
      <c r="N223" s="4"/>
      <c r="O223" s="80"/>
      <c r="P223" s="119"/>
      <c r="Q223" s="4"/>
      <c r="R223" s="80"/>
      <c r="S223" s="171"/>
      <c r="T223" s="4"/>
      <c r="U223" s="87"/>
      <c r="V223" s="8"/>
      <c r="W223" s="45"/>
      <c r="Y223" s="8"/>
      <c r="Z223" s="45"/>
      <c r="AB223" s="47"/>
      <c r="AC223" s="47"/>
      <c r="AD223" s="45"/>
      <c r="AE223" s="131"/>
      <c r="AF223" s="6"/>
      <c r="AG223" s="6"/>
      <c r="AH223" s="78"/>
      <c r="AJ223" s="47"/>
      <c r="AK223" s="45"/>
      <c r="AL223" s="84"/>
      <c r="AM223" s="47"/>
      <c r="AN223" s="47"/>
      <c r="AO223" s="45"/>
      <c r="AP223" s="47"/>
      <c r="AQ223" s="47"/>
      <c r="AR223" s="47"/>
      <c r="AS223" s="84"/>
      <c r="AT223" s="121"/>
      <c r="AU223" s="47"/>
      <c r="AV223" s="45"/>
      <c r="AW223" s="47"/>
      <c r="AX223" s="47"/>
    </row>
    <row r="224" spans="1:50">
      <c r="A224" s="3"/>
      <c r="B224" s="171"/>
      <c r="C224" s="87"/>
      <c r="D224" s="119"/>
      <c r="E224" s="4"/>
      <c r="F224" s="80"/>
      <c r="G224" s="119"/>
      <c r="H224" s="4"/>
      <c r="I224" s="80"/>
      <c r="J224" s="119"/>
      <c r="K224" s="4"/>
      <c r="L224" s="115"/>
      <c r="M224" s="119"/>
      <c r="N224" s="4"/>
      <c r="O224" s="80"/>
      <c r="P224" s="119"/>
      <c r="Q224" s="4"/>
      <c r="R224" s="80"/>
      <c r="S224" s="171"/>
      <c r="T224" s="4"/>
      <c r="U224" s="87"/>
      <c r="V224" s="8"/>
      <c r="W224" s="45"/>
      <c r="Y224" s="8"/>
      <c r="Z224" s="45"/>
      <c r="AB224" s="47"/>
      <c r="AC224" s="47"/>
      <c r="AD224" s="45"/>
      <c r="AF224" s="6"/>
      <c r="AG224" s="6"/>
      <c r="AH224" s="78"/>
      <c r="AJ224" s="47"/>
      <c r="AK224" s="45"/>
      <c r="AL224" s="84"/>
      <c r="AM224" s="47"/>
      <c r="AN224" s="47"/>
      <c r="AO224" s="45"/>
      <c r="AP224" s="47"/>
      <c r="AQ224" s="47"/>
      <c r="AR224" s="47"/>
      <c r="AS224" s="84"/>
      <c r="AT224" s="121"/>
      <c r="AU224" s="47"/>
      <c r="AV224" s="45"/>
      <c r="AW224" s="47"/>
      <c r="AX224" s="47"/>
    </row>
    <row r="225" spans="1:50">
      <c r="A225" s="18" t="s">
        <v>91</v>
      </c>
      <c r="B225" s="19" t="s">
        <v>92</v>
      </c>
      <c r="C225" s="287">
        <f>AVERAGE(D225:D228)</f>
        <v>111.56666666666666</v>
      </c>
      <c r="D225" s="30">
        <v>109</v>
      </c>
      <c r="E225" s="30" t="s">
        <v>249</v>
      </c>
      <c r="F225" s="83"/>
      <c r="G225" s="70"/>
      <c r="H225" s="70"/>
      <c r="I225" s="83"/>
      <c r="J225" s="70"/>
      <c r="K225" s="70"/>
      <c r="L225" s="266">
        <f>AVERAGE(M225:M227)</f>
        <v>106.65</v>
      </c>
      <c r="M225" s="70">
        <v>106</v>
      </c>
      <c r="N225" s="70" t="s">
        <v>249</v>
      </c>
      <c r="O225" s="80"/>
      <c r="P225" s="119"/>
      <c r="Q225" s="70"/>
      <c r="R225" s="80"/>
      <c r="S225" s="171"/>
      <c r="T225" s="70"/>
      <c r="U225" s="158">
        <f>AVERAGE(V225:V226)</f>
        <v>11.609699222331166</v>
      </c>
      <c r="V225" s="15">
        <v>11.439398444662331</v>
      </c>
      <c r="W225" s="45" t="s">
        <v>256</v>
      </c>
      <c r="Y225" s="15"/>
      <c r="Z225" s="45"/>
      <c r="AB225" s="47"/>
      <c r="AC225" s="47"/>
      <c r="AD225" s="45"/>
      <c r="AE225" s="130">
        <f>AVERAGE(AF225:AF228)</f>
        <v>-5.2702642012958201</v>
      </c>
      <c r="AF225" s="15">
        <v>-5.0510568051832792</v>
      </c>
      <c r="AG225" s="47" t="s">
        <v>256</v>
      </c>
      <c r="AH225" s="78"/>
      <c r="AJ225" s="47"/>
      <c r="AK225" s="45"/>
      <c r="AL225" s="84"/>
      <c r="AM225" s="47"/>
      <c r="AN225" s="47"/>
      <c r="AO225" s="45"/>
      <c r="AP225" s="47"/>
      <c r="AQ225" s="47"/>
      <c r="AR225" s="47"/>
      <c r="AS225" s="84"/>
      <c r="AT225" s="121"/>
      <c r="AU225" s="47"/>
      <c r="AV225" s="45"/>
      <c r="AW225" s="47"/>
      <c r="AX225" s="47"/>
    </row>
    <row r="226" spans="1:50">
      <c r="A226" s="18"/>
      <c r="B226" s="171">
        <v>452.53100000000001</v>
      </c>
      <c r="C226" s="266">
        <f>_xlfn.STDEV.S(D225:D228)</f>
        <v>4.8850110883531626</v>
      </c>
      <c r="D226" s="119">
        <v>108.5</v>
      </c>
      <c r="E226" s="30" t="s">
        <v>170</v>
      </c>
      <c r="F226" s="83"/>
      <c r="G226" s="70"/>
      <c r="H226" s="70"/>
      <c r="I226" s="83"/>
      <c r="J226" s="70"/>
      <c r="K226" s="70"/>
      <c r="L226" s="158">
        <f>_xlfn.STDEV.S(M225:M226)</f>
        <v>0.91923881554250975</v>
      </c>
      <c r="M226" s="70">
        <v>107.3</v>
      </c>
      <c r="N226" s="255" t="s">
        <v>2625</v>
      </c>
      <c r="O226" s="80"/>
      <c r="P226" s="119"/>
      <c r="Q226" s="70"/>
      <c r="R226" s="80"/>
      <c r="S226" s="171"/>
      <c r="T226" s="70"/>
      <c r="U226" s="145">
        <f>_xlfn.STDEV.S(V225:V226)</f>
        <v>0.24084166946195062</v>
      </c>
      <c r="V226" s="15">
        <v>11.78</v>
      </c>
      <c r="W226" s="269" t="s">
        <v>2620</v>
      </c>
      <c r="Y226" s="15"/>
      <c r="Z226" s="45"/>
      <c r="AE226" s="130">
        <f>_xlfn.STDEV.S(AF225:AF228)</f>
        <v>0.18378959287479971</v>
      </c>
      <c r="AF226" s="6">
        <v>-5.22</v>
      </c>
      <c r="AG226" s="6" t="s">
        <v>70</v>
      </c>
      <c r="AH226" s="78"/>
      <c r="AJ226" s="47"/>
      <c r="AK226" s="45"/>
      <c r="AL226" s="84"/>
      <c r="AM226" s="47"/>
      <c r="AN226" s="47"/>
      <c r="AO226" s="45"/>
      <c r="AP226" s="47"/>
      <c r="AQ226" s="47"/>
      <c r="AR226" s="47"/>
      <c r="AS226" s="84"/>
      <c r="AT226" s="121"/>
      <c r="AU226" s="47"/>
      <c r="AV226" s="45"/>
      <c r="AW226" s="47"/>
      <c r="AX226" s="47"/>
    </row>
    <row r="227" spans="1:50">
      <c r="A227" s="18"/>
      <c r="B227" s="19" t="s">
        <v>20</v>
      </c>
      <c r="C227" s="475">
        <f>COUNTA(D225:D228)</f>
        <v>3</v>
      </c>
      <c r="D227" s="271">
        <v>117.2</v>
      </c>
      <c r="E227" s="255" t="s">
        <v>2625</v>
      </c>
      <c r="F227" s="80"/>
      <c r="G227" s="119"/>
      <c r="H227" s="19"/>
      <c r="I227" s="80"/>
      <c r="J227" s="119"/>
      <c r="K227" s="19"/>
      <c r="L227" s="324">
        <f>COUNTA(M225:M227)</f>
        <v>2</v>
      </c>
      <c r="M227" s="119"/>
      <c r="N227" s="19"/>
      <c r="O227" s="80"/>
      <c r="P227" s="119"/>
      <c r="Q227" s="19"/>
      <c r="R227" s="80"/>
      <c r="S227" s="171"/>
      <c r="T227" s="19"/>
      <c r="U227" s="324">
        <f>COUNTA(V225:V226)</f>
        <v>2</v>
      </c>
      <c r="V227" s="8"/>
      <c r="W227" s="45"/>
      <c r="Y227" s="8"/>
      <c r="Z227" s="45"/>
      <c r="AA227" s="359"/>
      <c r="AE227" s="324">
        <f>COUNTA(AF225:AF228)</f>
        <v>4</v>
      </c>
      <c r="AF227" s="134">
        <v>-5.32</v>
      </c>
      <c r="AG227" s="134" t="s">
        <v>222</v>
      </c>
      <c r="AH227" s="78"/>
      <c r="AJ227" s="47"/>
      <c r="AK227" s="45"/>
      <c r="AL227" s="84"/>
      <c r="AM227" s="47"/>
      <c r="AN227" s="47"/>
      <c r="AO227" s="45"/>
      <c r="AP227" s="47"/>
      <c r="AQ227" s="47"/>
      <c r="AR227" s="47"/>
      <c r="AS227" s="84"/>
      <c r="AT227" s="121"/>
      <c r="AU227" s="47"/>
      <c r="AV227" s="45"/>
      <c r="AW227" s="47"/>
      <c r="AX227" s="47"/>
    </row>
    <row r="228" spans="1:50">
      <c r="A228" s="18"/>
      <c r="B228" s="19"/>
      <c r="C228" s="319"/>
      <c r="D228" s="119"/>
      <c r="E228" s="19"/>
      <c r="F228" s="80"/>
      <c r="G228" s="119"/>
      <c r="H228" s="19"/>
      <c r="I228" s="80"/>
      <c r="J228" s="119"/>
      <c r="K228" s="19"/>
      <c r="L228" s="115"/>
      <c r="M228" s="119"/>
      <c r="N228" s="19"/>
      <c r="O228" s="80"/>
      <c r="P228" s="119"/>
      <c r="Q228" s="19"/>
      <c r="R228" s="80"/>
      <c r="S228" s="171"/>
      <c r="T228" s="19"/>
      <c r="U228" s="87"/>
      <c r="V228" s="8"/>
      <c r="W228" s="45"/>
      <c r="Y228" s="8"/>
      <c r="Z228" s="45"/>
      <c r="AD228" s="42"/>
      <c r="AF228" s="476">
        <v>-5.49</v>
      </c>
      <c r="AG228" s="269" t="s">
        <v>2620</v>
      </c>
      <c r="AH228" s="78"/>
      <c r="AJ228" s="47"/>
      <c r="AK228" s="45"/>
      <c r="AL228" s="84"/>
      <c r="AM228" s="47"/>
      <c r="AN228" s="47"/>
      <c r="AO228" s="45"/>
      <c r="AP228" s="47"/>
      <c r="AQ228" s="47"/>
      <c r="AR228" s="47"/>
      <c r="AS228" s="84"/>
      <c r="AT228" s="121"/>
      <c r="AU228" s="47"/>
      <c r="AV228" s="45"/>
      <c r="AW228" s="47"/>
      <c r="AX228" s="47"/>
    </row>
    <row r="229" spans="1:50">
      <c r="A229" s="18"/>
      <c r="B229" s="19"/>
      <c r="C229" s="319"/>
      <c r="D229" s="119"/>
      <c r="E229" s="19"/>
      <c r="F229" s="80"/>
      <c r="G229" s="119"/>
      <c r="H229" s="19"/>
      <c r="I229" s="80"/>
      <c r="J229" s="119"/>
      <c r="K229" s="19"/>
      <c r="L229" s="115"/>
      <c r="M229" s="119"/>
      <c r="N229" s="19"/>
      <c r="O229" s="80"/>
      <c r="P229" s="119"/>
      <c r="Q229" s="19"/>
      <c r="R229" s="80"/>
      <c r="S229" s="171"/>
      <c r="T229" s="19"/>
      <c r="U229" s="87"/>
      <c r="V229" s="8"/>
      <c r="W229" s="45"/>
      <c r="Y229" s="8"/>
      <c r="Z229" s="45"/>
      <c r="AD229" s="42"/>
      <c r="AF229" s="135"/>
      <c r="AG229" s="135"/>
      <c r="AH229" s="78"/>
      <c r="AJ229" s="47"/>
      <c r="AK229" s="45"/>
      <c r="AL229" s="47"/>
      <c r="AM229" s="47"/>
      <c r="AN229" s="47"/>
      <c r="AO229" s="45"/>
      <c r="AP229" s="47"/>
      <c r="AQ229" s="47"/>
      <c r="AR229" s="47"/>
      <c r="AS229" s="84"/>
      <c r="AT229" s="121"/>
      <c r="AU229" s="47"/>
      <c r="AV229" s="45"/>
      <c r="AW229" s="47"/>
      <c r="AX229" s="47"/>
    </row>
    <row r="230" spans="1:50">
      <c r="A230" s="18" t="s">
        <v>410</v>
      </c>
      <c r="B230" s="19" t="s">
        <v>437</v>
      </c>
      <c r="C230" s="129">
        <f>AVERAGE(D230:D233)</f>
        <v>98.617666666666665</v>
      </c>
      <c r="D230" s="119">
        <v>104</v>
      </c>
      <c r="E230" s="30" t="s">
        <v>225</v>
      </c>
      <c r="F230" s="80"/>
      <c r="G230" s="119"/>
      <c r="H230" s="19"/>
      <c r="I230" s="80"/>
      <c r="J230" s="119"/>
      <c r="K230" s="19"/>
      <c r="L230" s="266">
        <f>AVERAGE(M230:M232)</f>
        <v>99.75</v>
      </c>
      <c r="M230" s="119">
        <v>104.5</v>
      </c>
      <c r="N230" s="30" t="s">
        <v>227</v>
      </c>
      <c r="O230" s="80"/>
      <c r="P230" s="119"/>
      <c r="Q230" s="19"/>
      <c r="R230" s="80"/>
      <c r="S230" s="171"/>
      <c r="T230" s="19"/>
      <c r="U230" s="158">
        <f>AVERAGE(V230:V231)</f>
        <v>10.879999999999999</v>
      </c>
      <c r="V230" s="26">
        <v>11.2</v>
      </c>
      <c r="W230" s="45" t="s">
        <v>71</v>
      </c>
      <c r="X230" s="130">
        <f>AVERAGE(Y230:Y232)</f>
        <v>5.5325137523428518</v>
      </c>
      <c r="Y230" s="15">
        <f>LOG(534000)</f>
        <v>5.7275412570285562</v>
      </c>
      <c r="Z230" s="45" t="s">
        <v>412</v>
      </c>
      <c r="AA230" s="75">
        <f>AC230</f>
        <v>-5.5353437273052064</v>
      </c>
      <c r="AB230" s="114">
        <f>133.322*0.0000542</f>
        <v>7.2260524000000003E-3</v>
      </c>
      <c r="AC230" s="17">
        <f>LOG(AB230/8.314/298.15)</f>
        <v>-5.5353437273052064</v>
      </c>
      <c r="AD230" s="45" t="s">
        <v>472</v>
      </c>
      <c r="AE230" s="131">
        <f>AVERAGE(AF230:AF232)</f>
        <v>-4.2249019599857434</v>
      </c>
      <c r="AF230" s="134">
        <v>-4.05</v>
      </c>
      <c r="AG230" s="6" t="s">
        <v>70</v>
      </c>
      <c r="AH230" s="151">
        <f ca="1">AVERAGE(AI230:AI232)</f>
        <v>-2.8238365561540544</v>
      </c>
      <c r="AI230" s="46">
        <f>LOG(AJ230/$B$231)</f>
        <v>-2.2804417782984165</v>
      </c>
      <c r="AJ230" s="47">
        <v>1.9</v>
      </c>
      <c r="AK230" s="45" t="s">
        <v>412</v>
      </c>
      <c r="AO230" s="42"/>
      <c r="AP230" s="47"/>
      <c r="AQ230" s="47"/>
      <c r="AR230" s="47"/>
      <c r="AS230" s="129">
        <f>AVERAGE(AT230:AT231)</f>
        <v>-67</v>
      </c>
      <c r="AT230" s="121">
        <v>-54</v>
      </c>
      <c r="AU230" s="26">
        <f>AT230+273.15</f>
        <v>219.14999999999998</v>
      </c>
      <c r="AV230" s="7" t="s">
        <v>2636</v>
      </c>
      <c r="AW230" s="47"/>
      <c r="AX230" s="47"/>
    </row>
    <row r="231" spans="1:50" ht="16.5">
      <c r="A231" s="18"/>
      <c r="B231" s="171">
        <v>362.40600000000001</v>
      </c>
      <c r="C231" s="130">
        <f>_xlfn.STDEV.S(D230:D233)</f>
        <v>11.372626624194313</v>
      </c>
      <c r="D231" s="26">
        <f>85553/1000</f>
        <v>85.552999999999997</v>
      </c>
      <c r="E231" s="68" t="s">
        <v>473</v>
      </c>
      <c r="F231" s="80"/>
      <c r="G231" s="119"/>
      <c r="H231" s="19"/>
      <c r="I231" s="80"/>
      <c r="J231" s="119"/>
      <c r="K231" s="19"/>
      <c r="L231" s="158">
        <f>_xlfn.STDEV.S(M230:M231)</f>
        <v>6.7175144212722016</v>
      </c>
      <c r="M231" s="119">
        <v>95</v>
      </c>
      <c r="N231" s="255" t="s">
        <v>2625</v>
      </c>
      <c r="O231" s="80"/>
      <c r="P231" s="119"/>
      <c r="Q231" s="19"/>
      <c r="R231" s="80"/>
      <c r="S231" s="171"/>
      <c r="T231" s="19"/>
      <c r="U231" s="474">
        <f>_xlfn.STDEV.S(V230:V231)</f>
        <v>0.45254833995938959</v>
      </c>
      <c r="V231" s="8">
        <v>10.56</v>
      </c>
      <c r="W231" s="269" t="s">
        <v>2620</v>
      </c>
      <c r="X231" s="130">
        <f>_xlfn.STDEV.S(Y230:Y232)</f>
        <v>0.4666388278829241</v>
      </c>
      <c r="Y231" s="15">
        <v>5</v>
      </c>
      <c r="Z231" s="45" t="s">
        <v>466</v>
      </c>
      <c r="AA231" s="75">
        <f>ABS(RSD_Unr*AA230)</f>
        <v>1.6606031181915619</v>
      </c>
      <c r="AB231" s="175">
        <v>1.6</v>
      </c>
      <c r="AC231" s="154">
        <f>LOG(AB231/8.314/298.15)</f>
        <v>-3.1901248511960292</v>
      </c>
      <c r="AD231" s="155" t="s">
        <v>859</v>
      </c>
      <c r="AE231" s="130">
        <f>_xlfn.STDEV.S(AF230:AF232)</f>
        <v>0.21483584436789924</v>
      </c>
      <c r="AF231" s="134">
        <f>LOG(0.0000343)</f>
        <v>-4.4647058799572292</v>
      </c>
      <c r="AG231" s="6" t="s">
        <v>72</v>
      </c>
      <c r="AH231" s="151">
        <f ca="1">_xlfn.STDEV.S(AI230:AI232)</f>
        <v>0.90185046293129689</v>
      </c>
      <c r="AI231" s="46">
        <f>LOG(AJ231/$B$231)</f>
        <v>-2.3261992688590918</v>
      </c>
      <c r="AJ231" s="47">
        <v>1.71</v>
      </c>
      <c r="AK231" s="45" t="s">
        <v>472</v>
      </c>
      <c r="AL231" s="84"/>
      <c r="AM231" s="47"/>
      <c r="AN231" s="47"/>
      <c r="AO231" s="45"/>
      <c r="AP231" s="47"/>
      <c r="AQ231" s="47"/>
      <c r="AR231" s="47"/>
      <c r="AS231" s="129">
        <f>_xlfn.STDEV.S(AT230:AT231)</f>
        <v>18.384776310850235</v>
      </c>
      <c r="AT231" s="121">
        <v>-80</v>
      </c>
      <c r="AU231" s="26">
        <f>AT231+273.15</f>
        <v>193.14999999999998</v>
      </c>
      <c r="AV231" s="45" t="s">
        <v>446</v>
      </c>
      <c r="AW231" s="47"/>
      <c r="AX231" s="47"/>
    </row>
    <row r="232" spans="1:50" ht="18">
      <c r="A232" s="18"/>
      <c r="B232" s="19"/>
      <c r="C232" s="324">
        <f>COUNTA(D230:D233)</f>
        <v>3</v>
      </c>
      <c r="D232" s="119">
        <v>106.3</v>
      </c>
      <c r="E232" s="255" t="s">
        <v>2625</v>
      </c>
      <c r="F232" s="80"/>
      <c r="G232" s="119"/>
      <c r="H232" s="19"/>
      <c r="I232" s="80"/>
      <c r="J232" s="119"/>
      <c r="K232" s="19"/>
      <c r="L232" s="324">
        <f>COUNTA(M230:M232)</f>
        <v>2</v>
      </c>
      <c r="M232" s="119"/>
      <c r="N232" s="19"/>
      <c r="O232" s="80"/>
      <c r="P232" s="119"/>
      <c r="Q232" s="19"/>
      <c r="R232" s="80"/>
      <c r="S232" s="171"/>
      <c r="T232" s="19"/>
      <c r="U232" s="324">
        <f>COUNTA(V230:V231)</f>
        <v>2</v>
      </c>
      <c r="V232" s="8"/>
      <c r="W232" s="45"/>
      <c r="X232" s="324">
        <f>COUNTA(Y230:Y232)</f>
        <v>3</v>
      </c>
      <c r="Y232" s="47">
        <v>5.87</v>
      </c>
      <c r="Z232" s="45" t="s">
        <v>470</v>
      </c>
      <c r="AA232" s="324">
        <f>COUNTA(AB232)</f>
        <v>1</v>
      </c>
      <c r="AB232" s="175">
        <v>5.49</v>
      </c>
      <c r="AC232" s="154">
        <f>LOG(AB232/8.314/298.15)</f>
        <v>-2.6546724894018618</v>
      </c>
      <c r="AD232" s="155" t="s">
        <v>1693</v>
      </c>
      <c r="AE232" s="324">
        <f>COUNTA(AF230:AF232)</f>
        <v>3</v>
      </c>
      <c r="AF232" s="476">
        <v>-4.16</v>
      </c>
      <c r="AG232" s="269" t="s">
        <v>2620</v>
      </c>
      <c r="AH232" s="324">
        <f>COUNTA(AI230:AI231)</f>
        <v>2</v>
      </c>
      <c r="AI232" s="46">
        <f ca="1">LOG(AJ232/$B$231)</f>
        <v>-3.8648686213046548</v>
      </c>
      <c r="AJ232" s="114">
        <f ca="1">'Table S4 Conversions and Notes'!$J$134</f>
        <v>4.9468274035123397E-2</v>
      </c>
      <c r="AK232" s="45" t="s">
        <v>1644</v>
      </c>
      <c r="AL232" s="84"/>
      <c r="AM232" s="47"/>
      <c r="AN232" s="47"/>
      <c r="AO232" s="45"/>
      <c r="AP232" s="47"/>
      <c r="AQ232" s="47"/>
      <c r="AR232" s="47"/>
      <c r="AS232" s="324">
        <f>COUNTA(AT230:AT231)</f>
        <v>2</v>
      </c>
      <c r="AT232" s="192" t="s">
        <v>1600</v>
      </c>
      <c r="AU232" s="178" t="s">
        <v>964</v>
      </c>
      <c r="AV232" s="185" t="s">
        <v>965</v>
      </c>
      <c r="AW232" s="47"/>
      <c r="AX232" s="47"/>
    </row>
    <row r="233" spans="1:50">
      <c r="A233" s="18"/>
      <c r="B233" s="19"/>
      <c r="C233" s="87"/>
      <c r="D233" s="119"/>
      <c r="E233" s="19"/>
      <c r="F233" s="80"/>
      <c r="G233" s="119"/>
      <c r="H233" s="19"/>
      <c r="I233" s="80"/>
      <c r="J233" s="119"/>
      <c r="K233" s="19"/>
      <c r="L233" s="115"/>
      <c r="M233" s="119"/>
      <c r="N233" s="19"/>
      <c r="O233" s="80"/>
      <c r="P233" s="119"/>
      <c r="Q233" s="19"/>
      <c r="R233" s="80"/>
      <c r="S233" s="171"/>
      <c r="T233" s="19"/>
      <c r="U233" s="87"/>
      <c r="V233" s="8"/>
      <c r="W233" s="45"/>
      <c r="Y233" s="47"/>
      <c r="Z233" s="45"/>
      <c r="AB233" s="47"/>
      <c r="AC233" s="47"/>
      <c r="AD233" s="45"/>
      <c r="AF233" s="224">
        <f>LOG(0.00062)</f>
        <v>-3.2076083105017461</v>
      </c>
      <c r="AG233" s="176" t="s">
        <v>475</v>
      </c>
      <c r="AH233" s="78"/>
      <c r="AL233" s="84"/>
      <c r="AM233" s="47"/>
      <c r="AN233" s="47"/>
      <c r="AO233" s="45"/>
      <c r="AP233" s="47"/>
      <c r="AQ233" s="47"/>
      <c r="AR233" s="47"/>
      <c r="AS233" s="84"/>
      <c r="AT233" s="121"/>
      <c r="AU233" s="47"/>
      <c r="AV233" s="45"/>
      <c r="AW233" s="47"/>
      <c r="AX233" s="47"/>
    </row>
    <row r="234" spans="1:50">
      <c r="A234" s="18"/>
      <c r="B234" s="19"/>
      <c r="C234" s="87"/>
      <c r="D234" s="119"/>
      <c r="E234" s="19"/>
      <c r="F234" s="80"/>
      <c r="G234" s="119"/>
      <c r="H234" s="19"/>
      <c r="I234" s="80"/>
      <c r="J234" s="119"/>
      <c r="K234" s="19"/>
      <c r="L234" s="115"/>
      <c r="M234" s="119"/>
      <c r="N234" s="19"/>
      <c r="O234" s="80"/>
      <c r="P234" s="119"/>
      <c r="Q234" s="19"/>
      <c r="R234" s="80"/>
      <c r="S234" s="171"/>
      <c r="T234" s="19"/>
      <c r="U234" s="87"/>
      <c r="V234" s="8"/>
      <c r="W234" s="45"/>
      <c r="Y234" s="8"/>
      <c r="Z234" s="45"/>
      <c r="AB234" s="47"/>
      <c r="AC234" s="47"/>
      <c r="AD234" s="45"/>
      <c r="AF234" s="224">
        <v>-4.5999999999999996</v>
      </c>
      <c r="AG234" s="224" t="s">
        <v>182</v>
      </c>
      <c r="AH234" s="78"/>
      <c r="AJ234" s="47"/>
      <c r="AK234" s="45"/>
      <c r="AL234" s="84"/>
      <c r="AM234" s="47"/>
      <c r="AN234" s="47"/>
      <c r="AO234" s="45"/>
      <c r="AP234" s="47"/>
      <c r="AQ234" s="47"/>
      <c r="AR234" s="47"/>
      <c r="AS234" s="84"/>
      <c r="AT234" s="121"/>
      <c r="AU234" s="47"/>
      <c r="AV234" s="45"/>
      <c r="AW234" s="47"/>
      <c r="AX234" s="47"/>
    </row>
    <row r="235" spans="1:50">
      <c r="A235" s="18"/>
      <c r="B235" s="19"/>
      <c r="C235" s="87"/>
      <c r="D235" s="119"/>
      <c r="E235" s="19"/>
      <c r="F235" s="80"/>
      <c r="G235" s="119"/>
      <c r="H235" s="19"/>
      <c r="I235" s="80"/>
      <c r="J235" s="119"/>
      <c r="K235" s="19"/>
      <c r="L235" s="115"/>
      <c r="M235" s="119"/>
      <c r="N235" s="19"/>
      <c r="O235" s="80"/>
      <c r="P235" s="119"/>
      <c r="Q235" s="19"/>
      <c r="R235" s="80"/>
      <c r="S235" s="171"/>
      <c r="T235" s="19"/>
      <c r="U235" s="87"/>
      <c r="V235" s="8"/>
      <c r="W235" s="45"/>
      <c r="Y235" s="8"/>
      <c r="Z235" s="45"/>
      <c r="AB235" s="47"/>
      <c r="AC235" s="47"/>
      <c r="AD235" s="45"/>
      <c r="AF235" s="134"/>
      <c r="AG235" s="134"/>
      <c r="AH235" s="78"/>
      <c r="AJ235" s="47"/>
      <c r="AK235" s="45"/>
      <c r="AL235" s="84"/>
      <c r="AM235" s="47"/>
      <c r="AN235" s="47"/>
      <c r="AO235" s="45"/>
      <c r="AP235" s="47"/>
      <c r="AQ235" s="47"/>
      <c r="AR235" s="47"/>
      <c r="AS235" s="84"/>
      <c r="AT235" s="121"/>
      <c r="AU235" s="47"/>
      <c r="AV235" s="45"/>
      <c r="AW235" s="47"/>
      <c r="AX235" s="47"/>
    </row>
    <row r="236" spans="1:50" ht="18">
      <c r="A236" s="3" t="s">
        <v>93</v>
      </c>
      <c r="B236" s="4" t="s">
        <v>94</v>
      </c>
      <c r="C236" s="129">
        <f>D236</f>
        <v>77.2</v>
      </c>
      <c r="D236" s="30">
        <v>77.2</v>
      </c>
      <c r="E236" s="30" t="s">
        <v>255</v>
      </c>
      <c r="F236" s="80"/>
      <c r="G236" s="119"/>
      <c r="H236" s="56"/>
      <c r="I236" s="80"/>
      <c r="J236" s="119"/>
      <c r="K236" s="56"/>
      <c r="L236" s="115"/>
      <c r="M236" s="119"/>
      <c r="N236" s="56"/>
      <c r="O236" s="80"/>
      <c r="P236" s="119"/>
      <c r="Q236" s="56"/>
      <c r="R236" s="80"/>
      <c r="S236" s="171"/>
      <c r="T236" s="56"/>
      <c r="U236" s="87"/>
      <c r="V236" s="8"/>
      <c r="W236" s="45"/>
      <c r="X236" s="130">
        <f>AVERAGE(Y236:Y237)</f>
        <v>4.6850000000000005</v>
      </c>
      <c r="Y236" s="8">
        <v>4.9800000000000004</v>
      </c>
      <c r="Z236" s="45" t="s">
        <v>476</v>
      </c>
      <c r="AB236" s="175">
        <v>1.0800000000000001E-2</v>
      </c>
      <c r="AC236" s="154">
        <f>LOG(AB236/8.314/298.15)</f>
        <v>-5.3608210783650039</v>
      </c>
      <c r="AD236" s="155" t="s">
        <v>859</v>
      </c>
      <c r="AE236" s="130">
        <f>AVERAGE(AF236)</f>
        <v>-4.3871611703129787</v>
      </c>
      <c r="AF236" s="15">
        <v>-4.3871611703129787</v>
      </c>
      <c r="AG236" s="47" t="s">
        <v>256</v>
      </c>
      <c r="AH236" s="130">
        <f>AVERAGE(AI236:AI237)</f>
        <v>-2.2900095802422902</v>
      </c>
      <c r="AI236" s="46">
        <f>LOG(AJ236/$B$237)</f>
        <v>-1.940524578074281</v>
      </c>
      <c r="AJ236" s="17">
        <v>8</v>
      </c>
      <c r="AK236" s="7" t="s">
        <v>928</v>
      </c>
      <c r="AL236" s="84"/>
      <c r="AM236" s="47"/>
      <c r="AN236" s="47"/>
      <c r="AO236" s="45"/>
      <c r="AP236" s="47"/>
      <c r="AQ236" s="47"/>
      <c r="AR236" s="47"/>
      <c r="AS236" s="201">
        <f>AVERAGE(AT236:AT241)</f>
        <v>119.5</v>
      </c>
      <c r="AT236" s="107">
        <v>5.5</v>
      </c>
      <c r="AU236" s="119">
        <f>AT236+273.15</f>
        <v>278.64999999999998</v>
      </c>
      <c r="AV236" s="7" t="s">
        <v>968</v>
      </c>
      <c r="AW236" s="47"/>
      <c r="AX236" s="47"/>
    </row>
    <row r="237" spans="1:50">
      <c r="A237" s="3"/>
      <c r="B237" s="171">
        <v>697.61300000000006</v>
      </c>
      <c r="C237" s="150">
        <f>RSD_dHvap*C236</f>
        <v>5.5092559058066515</v>
      </c>
      <c r="D237" s="4"/>
      <c r="E237" s="4"/>
      <c r="F237" s="80"/>
      <c r="G237" s="119"/>
      <c r="H237" s="4"/>
      <c r="I237" s="80"/>
      <c r="J237" s="119"/>
      <c r="K237" s="4"/>
      <c r="L237" s="115"/>
      <c r="M237" s="119"/>
      <c r="N237" s="4"/>
      <c r="O237" s="80"/>
      <c r="P237" s="119"/>
      <c r="Q237" s="4"/>
      <c r="R237" s="80"/>
      <c r="S237" s="171"/>
      <c r="T237" s="4"/>
      <c r="U237" s="87"/>
      <c r="V237" s="8"/>
      <c r="W237" s="45"/>
      <c r="X237" s="130">
        <f>_xlfn.STDEV.S(Y236:Y237)</f>
        <v>0.41719300090006356</v>
      </c>
      <c r="Y237" s="8">
        <v>4.3899999999999997</v>
      </c>
      <c r="Z237" s="45" t="s">
        <v>446</v>
      </c>
      <c r="AA237" s="47"/>
      <c r="AB237" s="47"/>
      <c r="AC237" s="47"/>
      <c r="AD237" s="45"/>
      <c r="AE237" s="130">
        <f>ABS(RSD_PL*AE236)</f>
        <v>0.69608618959187496</v>
      </c>
      <c r="AF237" s="6"/>
      <c r="AG237" s="6"/>
      <c r="AH237" s="151">
        <f>_xlfn.STDEV.S(AI236:AI237)</f>
        <v>0.49424642991199053</v>
      </c>
      <c r="AI237" s="46">
        <f>LOG(AJ237/$B$237)</f>
        <v>-2.6394945824102996</v>
      </c>
      <c r="AJ237" s="47">
        <v>1.6</v>
      </c>
      <c r="AK237" s="45" t="s">
        <v>446</v>
      </c>
      <c r="AL237" s="84"/>
      <c r="AM237" s="47"/>
      <c r="AN237" s="47"/>
      <c r="AO237" s="45"/>
      <c r="AP237" s="47"/>
      <c r="AQ237" s="47"/>
      <c r="AR237" s="47"/>
      <c r="AS237" s="182">
        <f>RSD_Tm*AS236</f>
        <v>5.5168032040291219</v>
      </c>
      <c r="AT237" s="121"/>
      <c r="AU237" s="47"/>
      <c r="AV237" s="45"/>
      <c r="AW237" s="47"/>
      <c r="AX237" s="47"/>
    </row>
    <row r="238" spans="1:50">
      <c r="A238" s="3"/>
      <c r="B238" s="171"/>
      <c r="C238" s="324">
        <f>COUNTA(D236:D239)</f>
        <v>1</v>
      </c>
      <c r="D238" s="4"/>
      <c r="E238" s="4"/>
      <c r="F238" s="80"/>
      <c r="G238" s="119"/>
      <c r="H238" s="4"/>
      <c r="I238" s="80"/>
      <c r="J238" s="119"/>
      <c r="K238" s="4"/>
      <c r="L238" s="214"/>
      <c r="M238" s="217"/>
      <c r="N238" s="4"/>
      <c r="O238" s="80"/>
      <c r="P238" s="119"/>
      <c r="Q238" s="4"/>
      <c r="R238" s="80"/>
      <c r="S238" s="171"/>
      <c r="T238" s="4"/>
      <c r="U238" s="215"/>
      <c r="V238" s="24"/>
      <c r="W238" s="45"/>
      <c r="X238" s="324">
        <f>COUNTA(Y236:Y238)</f>
        <v>2</v>
      </c>
      <c r="Y238" s="8"/>
      <c r="Z238" s="45"/>
      <c r="AA238" s="47"/>
      <c r="AB238" s="47"/>
      <c r="AC238" s="47"/>
      <c r="AD238" s="45"/>
      <c r="AE238" s="324">
        <f>COUNTA(AF236)</f>
        <v>1</v>
      </c>
      <c r="AF238" s="6"/>
      <c r="AG238" s="6"/>
      <c r="AH238" s="324">
        <f>COUNTA(AI236:AI238)</f>
        <v>2</v>
      </c>
      <c r="AI238" s="46"/>
      <c r="AJ238" s="89"/>
      <c r="AK238" s="45"/>
      <c r="AL238" s="84"/>
      <c r="AM238" s="47"/>
      <c r="AN238" s="47"/>
      <c r="AO238" s="45"/>
      <c r="AP238" s="47"/>
      <c r="AQ238" s="47"/>
      <c r="AR238" s="47"/>
      <c r="AS238" s="324">
        <f>COUNTA(AT236:AT239)</f>
        <v>1</v>
      </c>
      <c r="AT238" s="121"/>
      <c r="AU238" s="47"/>
      <c r="AV238" s="45"/>
      <c r="AW238" s="47"/>
      <c r="AX238" s="47"/>
    </row>
    <row r="239" spans="1:50">
      <c r="A239" s="504" t="s">
        <v>95</v>
      </c>
      <c r="B239" s="504"/>
      <c r="C239" s="504"/>
      <c r="D239" s="504"/>
      <c r="E239" s="504"/>
      <c r="F239" s="504"/>
      <c r="G239" s="504"/>
      <c r="H239" s="504"/>
      <c r="I239" s="504"/>
      <c r="J239" s="504"/>
      <c r="K239" s="504"/>
      <c r="L239" s="504"/>
      <c r="M239" s="504"/>
      <c r="N239" s="504"/>
      <c r="O239" s="504"/>
      <c r="P239" s="504"/>
      <c r="Q239" s="504"/>
      <c r="R239" s="504"/>
      <c r="S239" s="504"/>
      <c r="T239" s="504"/>
      <c r="U239" s="504"/>
      <c r="V239" s="504"/>
      <c r="W239" s="504"/>
      <c r="X239" s="504"/>
      <c r="Y239" s="504"/>
      <c r="Z239" s="504"/>
      <c r="AA239" s="504"/>
      <c r="AB239" s="504"/>
      <c r="AC239" s="504"/>
      <c r="AD239" s="504"/>
      <c r="AE239" s="504"/>
      <c r="AF239" s="504"/>
      <c r="AG239" s="504"/>
      <c r="AH239" s="504"/>
      <c r="AI239" s="504"/>
      <c r="AJ239" s="504"/>
      <c r="AK239" s="504"/>
      <c r="AL239" s="504"/>
      <c r="AM239" s="504"/>
      <c r="AN239" s="504"/>
      <c r="AO239" s="504"/>
      <c r="AP239" s="504"/>
      <c r="AQ239" s="504"/>
      <c r="AR239" s="504"/>
      <c r="AS239" s="504"/>
      <c r="AT239" s="504"/>
      <c r="AU239" s="504"/>
      <c r="AV239" s="504"/>
      <c r="AW239" s="4"/>
      <c r="AX239" s="4"/>
    </row>
    <row r="240" spans="1:50" ht="16.5">
      <c r="A240" s="3" t="s">
        <v>96</v>
      </c>
      <c r="B240" s="280" t="s">
        <v>97</v>
      </c>
      <c r="C240" s="131">
        <f>AVERAGE(D240:D247)</f>
        <v>102.97044542908371</v>
      </c>
      <c r="D240" s="30">
        <v>101</v>
      </c>
      <c r="E240" s="30" t="s">
        <v>249</v>
      </c>
      <c r="F240" s="181">
        <f>AVERAGE(G240:G242)</f>
        <v>28.535700146660066</v>
      </c>
      <c r="G240" s="148">
        <f>'Table S4 Conversions and Notes'!$J$475</f>
        <v>34.065598516000918</v>
      </c>
      <c r="H240" s="70" t="s">
        <v>2266</v>
      </c>
      <c r="I240" s="187">
        <f>J240</f>
        <v>7.6253721994684973</v>
      </c>
      <c r="J240" s="318">
        <f>'Table S4 Conversions and Notes'!$J$461</f>
        <v>7.6253721994684973</v>
      </c>
      <c r="K240" s="70" t="s">
        <v>2252</v>
      </c>
      <c r="L240" s="181">
        <f>AVERAGE(M240:M241)</f>
        <v>101.25</v>
      </c>
      <c r="M240" s="212">
        <v>99.4</v>
      </c>
      <c r="N240" s="70" t="s">
        <v>249</v>
      </c>
      <c r="O240" s="129">
        <f>P240</f>
        <v>36.872581419041104</v>
      </c>
      <c r="P240" s="15">
        <f>'Table S4 Conversions and Notes'!J238-2.391</f>
        <v>36.872581419041104</v>
      </c>
      <c r="Q240" s="70" t="s">
        <v>1904</v>
      </c>
      <c r="R240" s="3">
        <f>S240</f>
        <v>-25.4</v>
      </c>
      <c r="S240" s="170">
        <v>-25.4</v>
      </c>
      <c r="T240" s="207" t="s">
        <v>1414</v>
      </c>
      <c r="U240" s="142">
        <f>AVERAGE(V242:V243)</f>
        <v>11.228588497286774</v>
      </c>
      <c r="V240" s="208">
        <v>11.48</v>
      </c>
      <c r="W240" s="155" t="s">
        <v>186</v>
      </c>
      <c r="X240" s="130">
        <f ca="1">AVERAGE(Y242:Y246)</f>
        <v>6.1318209339345842</v>
      </c>
      <c r="Y240" s="208">
        <v>6.05</v>
      </c>
      <c r="Z240" s="155" t="s">
        <v>186</v>
      </c>
      <c r="AA240" s="75">
        <f>AVERAGE(AC242)</f>
        <v>-4.5228787452803374</v>
      </c>
      <c r="AB240" s="156">
        <f>10^AC240*8.314*298.15</f>
        <v>7.6602833427574388E-2</v>
      </c>
      <c r="AC240" s="208">
        <v>-4.51</v>
      </c>
      <c r="AD240" s="155" t="s">
        <v>186</v>
      </c>
      <c r="AE240" s="130">
        <f>AVERAGE(AF242:AF243)</f>
        <v>-4.6349999999999998</v>
      </c>
      <c r="AF240" s="176">
        <v>-5.2</v>
      </c>
      <c r="AG240" s="185" t="s">
        <v>98</v>
      </c>
      <c r="AH240" s="130">
        <f ca="1">AVERAGE(AI242:AI252)</f>
        <v>-4.1856271642104357</v>
      </c>
      <c r="AI240" s="225">
        <v>-3.98</v>
      </c>
      <c r="AJ240" s="165">
        <f>10^AI240*$B$241</f>
        <v>2.6420728673001052E-2</v>
      </c>
      <c r="AK240" s="185" t="s">
        <v>186</v>
      </c>
      <c r="AL240" s="75">
        <f ca="1">AM241</f>
        <v>2.2353977200130184</v>
      </c>
      <c r="AM240" s="225">
        <v>2.99</v>
      </c>
      <c r="AN240" s="198">
        <f>10^AM240*B241</f>
        <v>246572.58664268651</v>
      </c>
      <c r="AO240" s="185" t="s">
        <v>186</v>
      </c>
      <c r="AP240" s="131">
        <f>AVERAGE(AQ240:AQ243)</f>
        <v>36.703691924967444</v>
      </c>
      <c r="AQ240" s="17">
        <f>15.1/AU243*1000</f>
        <v>33.470021057298013</v>
      </c>
      <c r="AR240" s="45" t="s">
        <v>1840</v>
      </c>
      <c r="AS240" s="129">
        <f>AVERAGE(AT240:AT242)</f>
        <v>177.33333333333334</v>
      </c>
      <c r="AT240" s="121">
        <v>177</v>
      </c>
      <c r="AU240" s="26">
        <f t="shared" ref="AU240:AU245" si="3">AT240+273.15</f>
        <v>450.15</v>
      </c>
      <c r="AV240" s="7" t="s">
        <v>1075</v>
      </c>
      <c r="AW240" s="47"/>
      <c r="AX240" s="47"/>
    </row>
    <row r="241" spans="1:50" ht="18">
      <c r="A241" s="3"/>
      <c r="B241" s="281">
        <v>252.316</v>
      </c>
      <c r="C241" s="131">
        <f>_xlfn.STDEV.S(D240:D247)</f>
        <v>8.2645317733743067</v>
      </c>
      <c r="D241" s="30">
        <v>117</v>
      </c>
      <c r="E241" s="36" t="s">
        <v>230</v>
      </c>
      <c r="F241" s="158">
        <f>_xlfn.STDEV.S(G240:G242)</f>
        <v>9.3194645443453155</v>
      </c>
      <c r="G241" s="148">
        <f>'Table S4 Conversions and Notes'!$J$481</f>
        <v>33.765598516000914</v>
      </c>
      <c r="H241" s="70" t="s">
        <v>2268</v>
      </c>
      <c r="I241" s="187">
        <f>ABS(RSD_Unr*I240)</f>
        <v>2.2876116598405489</v>
      </c>
      <c r="J241" s="70"/>
      <c r="K241" s="70"/>
      <c r="L241" s="158">
        <f>_xlfn.STDEV.S(M240:M241)</f>
        <v>2.616295090390218</v>
      </c>
      <c r="M241" s="70">
        <v>103.1</v>
      </c>
      <c r="N241" s="30" t="s">
        <v>858</v>
      </c>
      <c r="O241" s="150">
        <f>RSD_dUaw*O240</f>
        <v>11.061774425712331</v>
      </c>
      <c r="P241" s="147"/>
      <c r="Q241" s="70"/>
      <c r="R241" s="182">
        <f>ABS(R240*RSD_dUow)</f>
        <v>5.08</v>
      </c>
      <c r="S241" s="170"/>
      <c r="T241" s="207"/>
      <c r="U241" s="142">
        <f>_xlfn.STDEV.S(V242:V243)</f>
        <v>0.46868664186349301</v>
      </c>
      <c r="V241" s="208">
        <v>11.15</v>
      </c>
      <c r="W241" s="155" t="s">
        <v>185</v>
      </c>
      <c r="X241" s="130">
        <f ca="1">_xlfn.STDEV.S(Y242:Y246)</f>
        <v>0.2700030284701323</v>
      </c>
      <c r="Y241" s="177">
        <f>LOG(880000)</f>
        <v>5.9444826721501682</v>
      </c>
      <c r="Z241" s="155" t="s">
        <v>98</v>
      </c>
      <c r="AA241" s="130">
        <f>ABS(AA240*RSD_Kaw)</f>
        <v>0.90457574905606752</v>
      </c>
      <c r="AB241" s="156">
        <f>10^AC241*8.314*298.15</f>
        <v>5.379037446999993E-2</v>
      </c>
      <c r="AC241" s="177">
        <f>LOG(0.0000217)</f>
        <v>-4.6635402661514709</v>
      </c>
      <c r="AD241" s="155" t="s">
        <v>98</v>
      </c>
      <c r="AE241" s="130">
        <f>_xlfn.STDEV.S(AF242:AF243)</f>
        <v>0.57275649276110319</v>
      </c>
      <c r="AF241" s="176">
        <v>-5.0999999999999996</v>
      </c>
      <c r="AG241" s="185" t="s">
        <v>186</v>
      </c>
      <c r="AH241" s="130">
        <f ca="1">_xlfn.STDEV.S(AI242:AI252)</f>
        <v>0.27611870329049543</v>
      </c>
      <c r="AI241" s="225">
        <f>LOG(0.000116)</f>
        <v>-3.9355420107730814</v>
      </c>
      <c r="AJ241" s="165">
        <f>10^AI241*$B$241</f>
        <v>2.9268655999999983E-2</v>
      </c>
      <c r="AK241" s="185" t="s">
        <v>98</v>
      </c>
      <c r="AL241" s="75">
        <f ca="1">AL240*RSD_SO</f>
        <v>0.44707954400260369</v>
      </c>
      <c r="AM241" s="17">
        <f ca="1">'Table S4 Conversions and Notes'!J458</f>
        <v>2.2353977200130184</v>
      </c>
      <c r="AN241" s="123">
        <f ca="1">10^AM241*B241</f>
        <v>43385.290636702739</v>
      </c>
      <c r="AO241" s="7" t="s">
        <v>2249</v>
      </c>
      <c r="AP241" s="182">
        <f>_xlfn.STDEV.S(AQ240:AQ243)</f>
        <v>2.8061861822140384</v>
      </c>
      <c r="AQ241" s="17">
        <f>4.14*4.184/AU244*1000</f>
        <v>38.141054717604312</v>
      </c>
      <c r="AR241" s="47" t="s">
        <v>1843</v>
      </c>
      <c r="AS241" s="182">
        <f>_xlfn.STDEV.S(AT240:AT242)</f>
        <v>1.5275252316519465</v>
      </c>
      <c r="AT241" s="121">
        <v>176</v>
      </c>
      <c r="AU241" s="26">
        <f t="shared" si="3"/>
        <v>449.15</v>
      </c>
      <c r="AV241" s="7" t="s">
        <v>1076</v>
      </c>
      <c r="AW241" s="47"/>
      <c r="AX241" s="47"/>
    </row>
    <row r="242" spans="1:50" ht="18">
      <c r="A242" s="3"/>
      <c r="B242" s="122"/>
      <c r="C242" s="324">
        <f>COUNTA(D240:D247)</f>
        <v>8</v>
      </c>
      <c r="D242" s="113">
        <v>100.6</v>
      </c>
      <c r="E242" s="30" t="s">
        <v>858</v>
      </c>
      <c r="F242" s="324">
        <f>COUNTA(G240:G242)</f>
        <v>3</v>
      </c>
      <c r="G242" s="318">
        <f>'Table S4 Conversions and Notes'!$J$483</f>
        <v>17.775903407978383</v>
      </c>
      <c r="H242" s="70" t="s">
        <v>2267</v>
      </c>
      <c r="I242" s="324">
        <f>COUNTA(J240:J242)</f>
        <v>1</v>
      </c>
      <c r="J242" s="70"/>
      <c r="K242" s="70"/>
      <c r="L242" s="324">
        <f>COUNTA(M240:M242)</f>
        <v>2</v>
      </c>
      <c r="M242" s="70"/>
      <c r="N242" s="70"/>
      <c r="O242" s="324">
        <f>COUNTA(P240:P242)</f>
        <v>1</v>
      </c>
      <c r="P242" s="147"/>
      <c r="Q242" s="70"/>
      <c r="R242" s="324">
        <f>COUNTA(S240:S242)</f>
        <v>1</v>
      </c>
      <c r="S242" s="170"/>
      <c r="T242" s="70"/>
      <c r="U242" s="324">
        <f>COUNTA(V242:V243)</f>
        <v>2</v>
      </c>
      <c r="V242" s="15">
        <v>10.897176994573547</v>
      </c>
      <c r="W242" s="45" t="s">
        <v>256</v>
      </c>
      <c r="X242" s="324">
        <f ca="1">COUNTA(Y242:Y246)</f>
        <v>5</v>
      </c>
      <c r="Y242" s="15">
        <v>6.27</v>
      </c>
      <c r="Z242" s="45" t="s">
        <v>1886</v>
      </c>
      <c r="AA242" s="324">
        <f>COUNTA(AC242)</f>
        <v>1</v>
      </c>
      <c r="AB242" s="104">
        <f>10^AC242*8.314*298.15</f>
        <v>7.4364572999999934E-2</v>
      </c>
      <c r="AC242" s="17">
        <f>LOG(0.00003)</f>
        <v>-4.5228787452803374</v>
      </c>
      <c r="AD242" s="45" t="s">
        <v>388</v>
      </c>
      <c r="AE242" s="324">
        <f>COUNTA(AF242:AF250)</f>
        <v>9</v>
      </c>
      <c r="AF242" s="6">
        <v>-5.04</v>
      </c>
      <c r="AG242" s="7" t="s">
        <v>856</v>
      </c>
      <c r="AH242" s="324">
        <f ca="1">COUNTA(AI242:AI252)</f>
        <v>11</v>
      </c>
      <c r="AI242" s="46">
        <f ca="1">LOG(AJ242/$B$241)</f>
        <v>-3.9981408539617851</v>
      </c>
      <c r="AJ242" s="114">
        <f ca="1">'Table S4 Conversions and Notes'!$J$241</f>
        <v>2.5339844014284407E-2</v>
      </c>
      <c r="AK242" s="7" t="s">
        <v>1130</v>
      </c>
      <c r="AL242" s="324">
        <f ca="1">COUNTA(AM241)</f>
        <v>1</v>
      </c>
      <c r="AP242" s="324">
        <f>COUNTA(AQ240:AQ241)</f>
        <v>2</v>
      </c>
      <c r="AQ242" s="47">
        <v>38.5</v>
      </c>
      <c r="AR242" s="47" t="s">
        <v>1866</v>
      </c>
      <c r="AS242" s="324">
        <f>COUNTA(AT240:AT243)</f>
        <v>4</v>
      </c>
      <c r="AT242" s="121">
        <v>179</v>
      </c>
      <c r="AU242" s="26">
        <f t="shared" si="3"/>
        <v>452.15</v>
      </c>
      <c r="AV242" s="7" t="s">
        <v>1077</v>
      </c>
      <c r="AW242" s="47"/>
      <c r="AX242" s="47"/>
    </row>
    <row r="243" spans="1:50" ht="18">
      <c r="A243" s="3"/>
      <c r="B243" s="122"/>
      <c r="D243" s="113">
        <f>'Table S4 Conversions and Notes'!$J$467</f>
        <v>101.81408321800092</v>
      </c>
      <c r="E243" s="30" t="s">
        <v>2258</v>
      </c>
      <c r="F243" s="83"/>
      <c r="G243" s="70"/>
      <c r="H243" s="70"/>
      <c r="I243" s="83"/>
      <c r="J243" s="70"/>
      <c r="K243" s="70"/>
      <c r="L243" s="83"/>
      <c r="M243" s="70"/>
      <c r="N243" s="70"/>
      <c r="O243" s="77"/>
      <c r="P243" s="147"/>
      <c r="Q243" s="70"/>
      <c r="R243" s="77"/>
      <c r="S243" s="170"/>
      <c r="T243" s="70"/>
      <c r="U243" s="87"/>
      <c r="V243" s="15">
        <v>11.56</v>
      </c>
      <c r="W243" s="45" t="s">
        <v>856</v>
      </c>
      <c r="X243" s="8"/>
      <c r="Y243" s="8">
        <v>6.5</v>
      </c>
      <c r="Z243" s="45" t="s">
        <v>1893</v>
      </c>
      <c r="AA243" s="47"/>
      <c r="AB243" s="156">
        <f>'Table S4 Conversions and Notes'!$J$237</f>
        <v>4.6278730120914782E-2</v>
      </c>
      <c r="AC243" s="154">
        <f>LOG(AB243/8.314/298.15)</f>
        <v>-4.7288634003623429</v>
      </c>
      <c r="AD243" s="155" t="s">
        <v>2861</v>
      </c>
      <c r="AE243" s="278"/>
      <c r="AF243" s="15">
        <v>-4.2300000000000004</v>
      </c>
      <c r="AG243" s="45" t="s">
        <v>256</v>
      </c>
      <c r="AH243" s="111"/>
      <c r="AI243" s="46">
        <f>LOG(AJ243/$B$241)</f>
        <v>-3.8944211224417842</v>
      </c>
      <c r="AJ243" s="114">
        <f>'Table S4 Conversions and Notes'!J463</f>
        <v>3.2175378809064771E-2</v>
      </c>
      <c r="AK243" s="45" t="s">
        <v>2254</v>
      </c>
      <c r="AL243" s="84"/>
      <c r="AM243" s="47"/>
      <c r="AN243" s="47"/>
      <c r="AO243" s="45"/>
      <c r="AP243" s="47"/>
      <c r="AQ243" s="47"/>
      <c r="AR243" s="47"/>
      <c r="AS243" s="84"/>
      <c r="AT243" s="121">
        <v>178</v>
      </c>
      <c r="AU243" s="26">
        <f t="shared" si="3"/>
        <v>451.15</v>
      </c>
      <c r="AV243" s="45" t="s">
        <v>1840</v>
      </c>
      <c r="AW243" s="47"/>
      <c r="AX243" s="47"/>
    </row>
    <row r="244" spans="1:50" ht="18">
      <c r="A244" s="3"/>
      <c r="B244" s="122"/>
      <c r="D244" s="30">
        <f>4.184*26.5</f>
        <v>110.876</v>
      </c>
      <c r="E244" s="30" t="s">
        <v>1902</v>
      </c>
      <c r="F244" s="83"/>
      <c r="G244" s="70"/>
      <c r="H244" s="70"/>
      <c r="I244" s="83"/>
      <c r="J244" s="70"/>
      <c r="K244" s="70"/>
      <c r="L244" s="83"/>
      <c r="M244" s="70"/>
      <c r="N244" s="70"/>
      <c r="O244" s="77"/>
      <c r="P244" s="147"/>
      <c r="Q244" s="70"/>
      <c r="R244" s="77"/>
      <c r="S244" s="170"/>
      <c r="T244" s="70"/>
      <c r="U244" s="87"/>
      <c r="V244" s="15"/>
      <c r="W244" s="45"/>
      <c r="X244" s="8"/>
      <c r="Y244" s="8">
        <v>6.13</v>
      </c>
      <c r="Z244" s="45" t="s">
        <v>1907</v>
      </c>
      <c r="AA244" s="47"/>
      <c r="AB244" s="47"/>
      <c r="AC244" s="47"/>
      <c r="AD244" s="45"/>
      <c r="AE244" s="278"/>
      <c r="AF244" s="15">
        <f>'Table S4 Conversions and Notes'!$J$465</f>
        <v>-5.2913371145240129</v>
      </c>
      <c r="AG244" s="47" t="s">
        <v>2256</v>
      </c>
      <c r="AH244" s="111"/>
      <c r="AI244" s="46">
        <f>LOG(AJ244/$B$241)</f>
        <v>-4.5313964373464417</v>
      </c>
      <c r="AJ244" s="114">
        <f>'Table S4 Conversions and Notes'!$J$469</f>
        <v>7.4224683390223499E-3</v>
      </c>
      <c r="AK244" s="45" t="s">
        <v>2260</v>
      </c>
      <c r="AL244" s="84"/>
      <c r="AM244" s="47"/>
      <c r="AN244" s="47"/>
      <c r="AO244" s="45"/>
      <c r="AP244" s="47"/>
      <c r="AQ244" s="47"/>
      <c r="AR244" s="47"/>
      <c r="AS244" s="84"/>
      <c r="AT244" s="121">
        <v>181</v>
      </c>
      <c r="AU244" s="47">
        <f t="shared" si="3"/>
        <v>454.15</v>
      </c>
      <c r="AV244" s="45" t="s">
        <v>1843</v>
      </c>
      <c r="AW244" s="47"/>
      <c r="AX244" s="47"/>
    </row>
    <row r="245" spans="1:50" ht="18">
      <c r="A245" s="3"/>
      <c r="B245" s="122"/>
      <c r="D245" s="113">
        <f>'Table S4 Conversions and Notes'!$J$548</f>
        <v>105.96559851600091</v>
      </c>
      <c r="E245" s="448" t="s">
        <v>2692</v>
      </c>
      <c r="F245" s="83"/>
      <c r="G245" s="70"/>
      <c r="H245" s="70"/>
      <c r="I245" s="83"/>
      <c r="J245" s="70"/>
      <c r="K245" s="70"/>
      <c r="L245" s="83"/>
      <c r="M245" s="70"/>
      <c r="N245" s="70"/>
      <c r="O245" s="77"/>
      <c r="P245" s="147"/>
      <c r="Q245" s="70"/>
      <c r="R245" s="77"/>
      <c r="S245" s="170"/>
      <c r="T245" s="70"/>
      <c r="U245" s="87"/>
      <c r="V245" s="15"/>
      <c r="W245" s="45"/>
      <c r="X245" s="8"/>
      <c r="Y245" s="8">
        <v>5.81</v>
      </c>
      <c r="Z245" s="45" t="s">
        <v>1913</v>
      </c>
      <c r="AA245" s="47"/>
      <c r="AB245" s="47"/>
      <c r="AC245" s="47"/>
      <c r="AD245" s="45"/>
      <c r="AE245" s="278"/>
      <c r="AF245" s="15">
        <f>LOG((10^-6.948)*133.322)</f>
        <v>-4.823098179991641</v>
      </c>
      <c r="AG245" s="47" t="s">
        <v>336</v>
      </c>
      <c r="AH245" s="111"/>
      <c r="AI245" s="46">
        <f>LOG(AJ245/$B$241)</f>
        <v>-3.9890393386702554</v>
      </c>
      <c r="AJ245" s="114">
        <f>'Table S4 Conversions and Notes'!$J$471</f>
        <v>2.5876495126866909E-2</v>
      </c>
      <c r="AK245" s="45" t="s">
        <v>2262</v>
      </c>
      <c r="AL245" s="84"/>
      <c r="AM245" s="47"/>
      <c r="AN245" s="47"/>
      <c r="AO245" s="45"/>
      <c r="AP245" s="47"/>
      <c r="AQ245" s="47"/>
      <c r="AR245" s="47"/>
      <c r="AS245" s="84"/>
      <c r="AT245" s="121">
        <v>176.4</v>
      </c>
      <c r="AU245" s="26">
        <f t="shared" si="3"/>
        <v>449.54999999999995</v>
      </c>
      <c r="AV245" s="45" t="s">
        <v>1845</v>
      </c>
      <c r="AW245" s="47"/>
      <c r="AX245" s="47"/>
    </row>
    <row r="246" spans="1:50" ht="18">
      <c r="A246" s="3"/>
      <c r="B246" s="122"/>
      <c r="D246" s="113">
        <v>91</v>
      </c>
      <c r="E246" s="30" t="s">
        <v>1899</v>
      </c>
      <c r="F246" s="83"/>
      <c r="G246" s="70"/>
      <c r="H246" s="70"/>
      <c r="I246" s="83"/>
      <c r="J246" s="70"/>
      <c r="K246" s="70"/>
      <c r="L246" s="83"/>
      <c r="M246" s="70"/>
      <c r="N246" s="70"/>
      <c r="O246" s="77"/>
      <c r="P246" s="147"/>
      <c r="Q246" s="70"/>
      <c r="R246" s="77"/>
      <c r="S246" s="170"/>
      <c r="T246" s="70"/>
      <c r="U246" s="87"/>
      <c r="V246" s="15"/>
      <c r="W246" s="45"/>
      <c r="X246" s="8"/>
      <c r="Y246" s="15">
        <f ca="1">'Table S4 Conversions and Notes'!$J$486</f>
        <v>5.9491046696729217</v>
      </c>
      <c r="Z246" s="45" t="s">
        <v>2275</v>
      </c>
      <c r="AA246" s="47"/>
      <c r="AB246" s="47"/>
      <c r="AC246" s="47"/>
      <c r="AD246" s="45"/>
      <c r="AE246" s="278"/>
      <c r="AF246" s="15">
        <v>-5.1379999999999999</v>
      </c>
      <c r="AG246" s="47" t="s">
        <v>66</v>
      </c>
      <c r="AH246" s="111"/>
      <c r="AI246" s="46">
        <f>LOG('Table S4 Conversions and Notes'!$J$472*1000)</f>
        <v>-3.8881245432245573</v>
      </c>
      <c r="AJ246" s="114">
        <f>10^AI246*$B$241</f>
        <v>3.2645268722152752E-2</v>
      </c>
      <c r="AK246" s="45" t="s">
        <v>2263</v>
      </c>
      <c r="AL246" s="84"/>
      <c r="AM246" s="47"/>
      <c r="AN246" s="47"/>
      <c r="AO246" s="45"/>
      <c r="AP246" s="47"/>
      <c r="AQ246" s="47"/>
      <c r="AR246" s="47"/>
      <c r="AS246" s="84"/>
      <c r="AT246" s="121"/>
      <c r="AU246" s="26"/>
      <c r="AV246" s="45"/>
      <c r="AW246" s="47"/>
      <c r="AX246" s="47"/>
    </row>
    <row r="247" spans="1:50" ht="18">
      <c r="A247" s="3"/>
      <c r="B247" s="122"/>
      <c r="D247" s="113">
        <f>4989*LN(10)*8.314/1000</f>
        <v>95.507881698667816</v>
      </c>
      <c r="E247" s="30" t="s">
        <v>805</v>
      </c>
      <c r="F247" s="83"/>
      <c r="G247" s="70"/>
      <c r="H247" s="70"/>
      <c r="I247" s="83"/>
      <c r="J247" s="70"/>
      <c r="K247" s="70"/>
      <c r="L247" s="83"/>
      <c r="M247" s="70"/>
      <c r="N247" s="70"/>
      <c r="O247" s="77"/>
      <c r="P247" s="147"/>
      <c r="Q247" s="70"/>
      <c r="R247" s="77"/>
      <c r="S247" s="170"/>
      <c r="T247" s="70"/>
      <c r="U247" s="87"/>
      <c r="V247" s="15"/>
      <c r="W247" s="45"/>
      <c r="X247" s="8"/>
      <c r="Y247" s="8"/>
      <c r="Z247" s="45"/>
      <c r="AA247" s="47"/>
      <c r="AB247" s="47"/>
      <c r="AC247" s="47"/>
      <c r="AD247" s="45"/>
      <c r="AE247" s="278"/>
      <c r="AF247" s="15">
        <f>LOG(0.0000059)</f>
        <v>-5.2291479883578562</v>
      </c>
      <c r="AG247" s="47" t="s">
        <v>101</v>
      </c>
      <c r="AH247" s="111"/>
      <c r="AI247" s="46">
        <f>LOG(AJ247/$B$241)</f>
        <v>-4.3647029526311405</v>
      </c>
      <c r="AJ247" s="114">
        <f>'Table S4 Conversions and Notes'!$J$473</f>
        <v>1.089536636920712E-2</v>
      </c>
      <c r="AK247" s="45" t="s">
        <v>2264</v>
      </c>
      <c r="AL247" s="84"/>
      <c r="AM247" s="47"/>
      <c r="AN247" s="47"/>
      <c r="AO247" s="45"/>
      <c r="AP247" s="47"/>
      <c r="AQ247" s="47"/>
      <c r="AR247" s="47"/>
      <c r="AS247" s="84"/>
      <c r="AT247" s="121"/>
      <c r="AU247" s="26"/>
      <c r="AV247" s="45"/>
      <c r="AW247" s="47"/>
      <c r="AX247" s="47"/>
    </row>
    <row r="248" spans="1:50" ht="18">
      <c r="A248" s="3"/>
      <c r="B248" s="122"/>
      <c r="F248" s="83"/>
      <c r="G248" s="70"/>
      <c r="H248" s="70"/>
      <c r="I248" s="83"/>
      <c r="J248" s="70"/>
      <c r="K248" s="70"/>
      <c r="L248" s="83"/>
      <c r="M248" s="70"/>
      <c r="N248" s="70"/>
      <c r="O248" s="77"/>
      <c r="P248" s="147"/>
      <c r="Q248" s="70"/>
      <c r="R248" s="77"/>
      <c r="S248" s="170"/>
      <c r="T248" s="70"/>
      <c r="U248" s="87"/>
      <c r="V248" s="15"/>
      <c r="W248" s="45"/>
      <c r="X248" s="8"/>
      <c r="Y248" s="8"/>
      <c r="Z248" s="45"/>
      <c r="AA248" s="47"/>
      <c r="AB248" s="47"/>
      <c r="AC248" s="47"/>
      <c r="AD248" s="45"/>
      <c r="AE248" s="278"/>
      <c r="AF248" s="15">
        <f>LOG(0.0000000903*133.322)</f>
        <v>-4.919410429678134</v>
      </c>
      <c r="AG248" s="47" t="s">
        <v>1901</v>
      </c>
      <c r="AH248" s="111"/>
      <c r="AI248" s="46">
        <f>LOG('Table S4 Conversions and Notes'!$J$478)</f>
        <v>-4.3701658483326433</v>
      </c>
      <c r="AJ248" s="114">
        <f>10^AI248*$B$241</f>
        <v>1.0759174289592008E-2</v>
      </c>
      <c r="AK248" s="45" t="s">
        <v>2269</v>
      </c>
      <c r="AL248" s="84"/>
      <c r="AM248" s="47"/>
      <c r="AN248" s="47"/>
      <c r="AO248" s="45"/>
      <c r="AP248" s="47"/>
      <c r="AQ248" s="47"/>
      <c r="AR248" s="47"/>
      <c r="AS248" s="84"/>
      <c r="AT248" s="121"/>
      <c r="AU248" s="26"/>
      <c r="AV248" s="45"/>
      <c r="AW248" s="47"/>
      <c r="AX248" s="47"/>
    </row>
    <row r="249" spans="1:50" ht="18">
      <c r="A249" s="3"/>
      <c r="B249" s="122"/>
      <c r="F249" s="83"/>
      <c r="G249" s="70"/>
      <c r="H249" s="70"/>
      <c r="I249" s="83"/>
      <c r="J249" s="70"/>
      <c r="K249" s="70"/>
      <c r="L249" s="83"/>
      <c r="M249" s="70"/>
      <c r="N249" s="70"/>
      <c r="O249" s="77"/>
      <c r="P249" s="147"/>
      <c r="Q249" s="70"/>
      <c r="R249" s="77"/>
      <c r="S249" s="170"/>
      <c r="T249" s="70"/>
      <c r="U249" s="87"/>
      <c r="V249" s="15"/>
      <c r="W249" s="45"/>
      <c r="X249" s="8"/>
      <c r="Y249" s="8"/>
      <c r="Z249" s="45"/>
      <c r="AA249" s="47"/>
      <c r="AB249" s="47"/>
      <c r="AC249" s="47"/>
      <c r="AD249" s="45"/>
      <c r="AE249" s="278"/>
      <c r="AF249" s="177">
        <f>LOG((10^-6.076)*133.322)</f>
        <v>-3.9510981799916403</v>
      </c>
      <c r="AG249" s="175" t="s">
        <v>2274</v>
      </c>
      <c r="AH249" s="111"/>
      <c r="AI249" s="46">
        <f>LOG(AJ249/$B$241)</f>
        <v>-3.7750325505962472</v>
      </c>
      <c r="AJ249" s="114">
        <f>'Table S4 Conversions and Notes'!$J$479</f>
        <v>4.2355736760292674E-2</v>
      </c>
      <c r="AK249" s="45" t="s">
        <v>2270</v>
      </c>
      <c r="AL249" s="84"/>
      <c r="AM249" s="47"/>
      <c r="AN249" s="47"/>
      <c r="AO249" s="45"/>
      <c r="AP249" s="47"/>
      <c r="AQ249" s="47"/>
      <c r="AR249" s="47"/>
      <c r="AS249" s="84"/>
      <c r="AT249" s="121"/>
      <c r="AU249" s="26"/>
      <c r="AV249" s="45"/>
      <c r="AW249" s="47"/>
      <c r="AX249" s="47"/>
    </row>
    <row r="250" spans="1:50" ht="18">
      <c r="A250" s="3"/>
      <c r="B250" s="122"/>
      <c r="D250" s="113"/>
      <c r="E250" s="30"/>
      <c r="F250" s="83"/>
      <c r="G250" s="70"/>
      <c r="H250" s="70"/>
      <c r="I250" s="83"/>
      <c r="J250" s="70"/>
      <c r="K250" s="70"/>
      <c r="L250" s="83"/>
      <c r="M250" s="70"/>
      <c r="N250" s="70"/>
      <c r="O250" s="77"/>
      <c r="P250" s="147"/>
      <c r="Q250" s="70"/>
      <c r="R250" s="77"/>
      <c r="S250" s="170"/>
      <c r="T250" s="70"/>
      <c r="U250" s="87"/>
      <c r="V250" s="15"/>
      <c r="W250" s="45"/>
      <c r="X250" s="8"/>
      <c r="Y250" s="8"/>
      <c r="Z250" s="45"/>
      <c r="AA250" s="47"/>
      <c r="AB250" s="47"/>
      <c r="AC250" s="47"/>
      <c r="AD250" s="45"/>
      <c r="AF250" s="177">
        <f>'Table S4 Conversions and Notes'!J254</f>
        <v>-6.1360000000000001</v>
      </c>
      <c r="AG250" s="175" t="s">
        <v>1614</v>
      </c>
      <c r="AH250" s="111"/>
      <c r="AI250" s="46">
        <f>LOG('Table S4 Conversions and Notes'!$J$480)</f>
        <v>-4.3593431161085325</v>
      </c>
      <c r="AJ250" s="114">
        <f>10^AI250*$B$241</f>
        <v>1.1030664484011615E-2</v>
      </c>
      <c r="AK250" s="45" t="s">
        <v>2271</v>
      </c>
      <c r="AL250" s="84"/>
      <c r="AM250" s="47"/>
      <c r="AN250" s="47"/>
      <c r="AO250" s="45"/>
      <c r="AP250" s="47"/>
      <c r="AQ250" s="47"/>
      <c r="AR250" s="47"/>
      <c r="AS250" s="84"/>
      <c r="AW250" s="47"/>
      <c r="AX250" s="47"/>
    </row>
    <row r="251" spans="1:50" ht="18">
      <c r="A251" s="3"/>
      <c r="B251" s="122"/>
      <c r="D251" s="113"/>
      <c r="E251" s="30"/>
      <c r="F251" s="83"/>
      <c r="G251" s="70"/>
      <c r="H251" s="70"/>
      <c r="I251" s="83"/>
      <c r="J251" s="70"/>
      <c r="K251" s="70"/>
      <c r="L251" s="83"/>
      <c r="M251" s="70"/>
      <c r="N251" s="70"/>
      <c r="O251" s="77"/>
      <c r="P251" s="147"/>
      <c r="Q251" s="70"/>
      <c r="R251" s="77"/>
      <c r="S251" s="170"/>
      <c r="T251" s="70"/>
      <c r="U251" s="87"/>
      <c r="V251" s="15"/>
      <c r="W251" s="45"/>
      <c r="X251" s="8"/>
      <c r="Y251" s="8"/>
      <c r="Z251" s="45"/>
      <c r="AA251" s="47"/>
      <c r="AB251" s="47"/>
      <c r="AC251" s="47"/>
      <c r="AD251" s="45"/>
      <c r="AF251" s="177">
        <f>'Table S4 Conversions and Notes'!J253</f>
        <v>-6.43</v>
      </c>
      <c r="AG251" s="175" t="s">
        <v>1613</v>
      </c>
      <c r="AH251" s="111"/>
      <c r="AI251" s="46">
        <f>LOG('Table S4 Conversions and Notes'!$J$482)</f>
        <v>-4.3822608515445109</v>
      </c>
      <c r="AJ251" s="114">
        <f>10^AI251*$B$241</f>
        <v>1.0463667711468942E-2</v>
      </c>
      <c r="AK251" s="45" t="s">
        <v>2272</v>
      </c>
      <c r="AL251" s="84"/>
      <c r="AM251" s="47"/>
      <c r="AN251" s="47"/>
      <c r="AO251" s="45"/>
      <c r="AP251" s="47"/>
      <c r="AQ251" s="47"/>
      <c r="AR251" s="47"/>
      <c r="AS251" s="84"/>
      <c r="AT251" s="121"/>
      <c r="AU251" s="47"/>
      <c r="AV251" s="45"/>
      <c r="AW251" s="47"/>
      <c r="AX251" s="47"/>
    </row>
    <row r="252" spans="1:50" ht="18">
      <c r="A252" s="3"/>
      <c r="B252" s="122"/>
      <c r="C252" s="4"/>
      <c r="D252" s="4"/>
      <c r="E252" s="4"/>
      <c r="F252" s="3"/>
      <c r="G252" s="4"/>
      <c r="H252" s="4"/>
      <c r="I252" s="3"/>
      <c r="J252" s="4"/>
      <c r="K252" s="4"/>
      <c r="L252" s="3"/>
      <c r="M252" s="4"/>
      <c r="N252" s="4"/>
      <c r="O252" s="3"/>
      <c r="P252" s="4"/>
      <c r="Q252" s="4"/>
      <c r="R252" s="3"/>
      <c r="S252" s="4"/>
      <c r="T252" s="122"/>
      <c r="U252" s="8"/>
      <c r="V252" s="8"/>
      <c r="W252" s="45"/>
      <c r="X252" s="8"/>
      <c r="Y252" s="8"/>
      <c r="Z252" s="45"/>
      <c r="AA252" s="47"/>
      <c r="AB252" s="47"/>
      <c r="AC252" s="47"/>
      <c r="AD252" s="45"/>
      <c r="AH252" s="84"/>
      <c r="AI252" s="46">
        <f>LOG('Table S4 Conversions and Notes'!J484)</f>
        <v>-4.4892711914568935</v>
      </c>
      <c r="AJ252" s="114">
        <f>10^AI252*$B$241</f>
        <v>8.178498900918249E-3</v>
      </c>
      <c r="AK252" s="45" t="s">
        <v>2273</v>
      </c>
      <c r="AL252" s="84"/>
      <c r="AM252" s="47"/>
      <c r="AN252" s="47"/>
      <c r="AO252" s="45"/>
      <c r="AP252" s="47"/>
      <c r="AQ252" s="47"/>
      <c r="AR252" s="47"/>
      <c r="AS252" s="84"/>
      <c r="AT252" s="121"/>
      <c r="AU252" s="47"/>
      <c r="AV252" s="45"/>
      <c r="AW252" s="47"/>
      <c r="AX252" s="47"/>
    </row>
    <row r="253" spans="1:50" ht="18">
      <c r="A253" s="3"/>
      <c r="B253" s="122"/>
      <c r="C253" s="4"/>
      <c r="D253" s="4"/>
      <c r="E253" s="4"/>
      <c r="F253" s="3"/>
      <c r="G253" s="4"/>
      <c r="H253" s="4"/>
      <c r="I253" s="3"/>
      <c r="J253" s="4"/>
      <c r="K253" s="4"/>
      <c r="L253" s="3"/>
      <c r="M253" s="4"/>
      <c r="N253" s="4"/>
      <c r="O253" s="3"/>
      <c r="P253" s="4"/>
      <c r="Q253" s="4"/>
      <c r="R253" s="3"/>
      <c r="S253" s="4"/>
      <c r="T253" s="122"/>
      <c r="U253" s="8"/>
      <c r="V253" s="8"/>
      <c r="W253" s="45"/>
      <c r="X253" s="8"/>
      <c r="Y253" s="8"/>
      <c r="Z253" s="45"/>
      <c r="AA253" s="47"/>
      <c r="AB253" s="47"/>
      <c r="AC253" s="47"/>
      <c r="AD253" s="45"/>
      <c r="AH253" s="84"/>
      <c r="AI253" s="225">
        <f>LOG('Table S4 Conversions and Notes'!J474)</f>
        <v>-1.8658481485134051</v>
      </c>
      <c r="AJ253" s="165">
        <f>10^AI253*$B$241</f>
        <v>3.4363440760160766</v>
      </c>
      <c r="AK253" s="155" t="s">
        <v>2265</v>
      </c>
      <c r="AL253" s="84"/>
      <c r="AM253" s="47"/>
      <c r="AN253" s="47"/>
      <c r="AO253" s="45"/>
      <c r="AP253" s="47"/>
      <c r="AQ253" s="47"/>
      <c r="AR253" s="47"/>
      <c r="AS253" s="84"/>
      <c r="AT253" s="121"/>
      <c r="AU253" s="47"/>
      <c r="AV253" s="45"/>
      <c r="AW253" s="47"/>
      <c r="AX253" s="47"/>
    </row>
    <row r="254" spans="1:50">
      <c r="A254" s="3"/>
      <c r="B254" s="122"/>
      <c r="C254" s="4"/>
      <c r="D254" s="4"/>
      <c r="E254" s="4"/>
      <c r="F254" s="3"/>
      <c r="G254" s="4"/>
      <c r="H254" s="4"/>
      <c r="I254" s="3"/>
      <c r="J254" s="4"/>
      <c r="K254" s="4"/>
      <c r="L254" s="3"/>
      <c r="M254" s="4"/>
      <c r="N254" s="4"/>
      <c r="O254" s="3"/>
      <c r="P254" s="4"/>
      <c r="Q254" s="4"/>
      <c r="R254" s="3"/>
      <c r="S254" s="4"/>
      <c r="T254" s="122"/>
      <c r="U254" s="8"/>
      <c r="V254" s="8"/>
      <c r="W254" s="45"/>
      <c r="X254" s="8"/>
      <c r="Y254" s="8"/>
      <c r="Z254" s="45"/>
      <c r="AA254" s="47"/>
      <c r="AB254" s="47"/>
      <c r="AC254" s="47"/>
      <c r="AD254" s="45"/>
      <c r="AH254" s="84"/>
      <c r="AI254" s="225">
        <f>LOG(AJ254/$B$241)</f>
        <v>-4.9248235363900168</v>
      </c>
      <c r="AJ254" s="165">
        <v>3.0000000000000001E-3</v>
      </c>
      <c r="AK254" s="155" t="s">
        <v>2571</v>
      </c>
      <c r="AL254" s="84"/>
      <c r="AM254" s="47"/>
      <c r="AN254" s="47"/>
      <c r="AO254" s="45"/>
      <c r="AP254" s="47"/>
      <c r="AQ254" s="47"/>
      <c r="AR254" s="47"/>
      <c r="AS254" s="84"/>
      <c r="AT254" s="121"/>
      <c r="AU254" s="47"/>
      <c r="AV254" s="45"/>
      <c r="AW254" s="47"/>
      <c r="AX254" s="47"/>
    </row>
    <row r="255" spans="1:50">
      <c r="A255" s="3"/>
      <c r="B255" s="122"/>
      <c r="C255" s="4"/>
      <c r="F255" s="3"/>
      <c r="G255" s="4"/>
      <c r="H255" s="4"/>
      <c r="I255" s="3"/>
      <c r="J255" s="4"/>
      <c r="K255" s="4"/>
      <c r="L255" s="3"/>
      <c r="M255" s="4"/>
      <c r="N255" s="4"/>
      <c r="O255" s="3"/>
      <c r="P255" s="4"/>
      <c r="Q255" s="4"/>
      <c r="R255" s="3"/>
      <c r="S255" s="4"/>
      <c r="T255" s="122"/>
      <c r="U255" s="8"/>
      <c r="V255" s="8"/>
      <c r="W255" s="45"/>
      <c r="X255" s="8"/>
      <c r="Y255" s="8"/>
      <c r="Z255" s="45"/>
      <c r="AA255" s="47"/>
      <c r="AB255" s="47"/>
      <c r="AC255" s="47"/>
      <c r="AD255" s="45"/>
      <c r="AH255" s="84"/>
      <c r="AI255" s="47"/>
      <c r="AJ255" s="228"/>
      <c r="AK255" s="45"/>
      <c r="AL255" s="84"/>
      <c r="AM255" s="47"/>
      <c r="AN255" s="47"/>
      <c r="AO255" s="45"/>
      <c r="AP255" s="47"/>
      <c r="AQ255" s="47"/>
      <c r="AR255" s="47"/>
      <c r="AS255" s="84"/>
      <c r="AT255" s="121"/>
      <c r="AU255" s="47"/>
      <c r="AV255" s="45"/>
      <c r="AW255" s="47"/>
      <c r="AX255" s="47"/>
    </row>
    <row r="256" spans="1:50" ht="16.5">
      <c r="A256" s="3" t="s">
        <v>99</v>
      </c>
      <c r="B256" s="122" t="s">
        <v>100</v>
      </c>
      <c r="C256" s="131">
        <f>AVERAGE(D256:D260)</f>
        <v>105.49559435946666</v>
      </c>
      <c r="D256" s="30">
        <v>100</v>
      </c>
      <c r="E256" s="36" t="s">
        <v>249</v>
      </c>
      <c r="F256" s="95"/>
      <c r="G256" s="96"/>
      <c r="H256" s="96"/>
      <c r="I256" s="95"/>
      <c r="J256" s="96"/>
      <c r="K256" s="96"/>
      <c r="L256" s="129">
        <f>AVERAGE(M256:M257)</f>
        <v>100.05</v>
      </c>
      <c r="M256" s="70">
        <v>101.5</v>
      </c>
      <c r="N256" s="30" t="s">
        <v>858</v>
      </c>
      <c r="O256" s="129">
        <f>P256</f>
        <v>46.260425888396732</v>
      </c>
      <c r="P256" s="15">
        <f>'Table S4 Conversions and Notes'!$J$240-2.391</f>
        <v>46.260425888396732</v>
      </c>
      <c r="Q256" s="70" t="s">
        <v>1905</v>
      </c>
      <c r="R256" s="95"/>
      <c r="S256" s="170"/>
      <c r="T256" s="279"/>
      <c r="U256" s="142">
        <f>AVERAGE(V257:V258)</f>
        <v>11.073997910243794</v>
      </c>
      <c r="V256" s="208">
        <v>11.36</v>
      </c>
      <c r="W256" s="155" t="s">
        <v>186</v>
      </c>
      <c r="X256" s="130">
        <f>AVERAGE(Y257:Y258)</f>
        <v>5.6850000000000005</v>
      </c>
      <c r="Y256" s="208">
        <v>5.86</v>
      </c>
      <c r="Z256" s="155" t="s">
        <v>186</v>
      </c>
      <c r="AA256" s="75"/>
      <c r="AB256" s="156">
        <f>10^AC256*8.314*298.15</f>
        <v>5.6786464932529229E-2</v>
      </c>
      <c r="AC256" s="208">
        <v>-4.6399999999999997</v>
      </c>
      <c r="AD256" s="155" t="s">
        <v>186</v>
      </c>
      <c r="AE256" s="130">
        <f>AVERAGE(AF257:AF260)</f>
        <v>-4.6904457173535388</v>
      </c>
      <c r="AF256" s="176">
        <v>-5.1100000000000003</v>
      </c>
      <c r="AG256" s="185" t="s">
        <v>186</v>
      </c>
      <c r="AH256" s="130">
        <f>AI257</f>
        <v>-3.2450748650495234</v>
      </c>
      <c r="AI256" s="225">
        <v>-3.87</v>
      </c>
      <c r="AJ256" s="165">
        <f>10^AI256*$B$241</f>
        <v>3.4036491868399563E-2</v>
      </c>
      <c r="AK256" s="185" t="s">
        <v>186</v>
      </c>
      <c r="AL256" s="84"/>
      <c r="AM256" s="225">
        <v>2.85</v>
      </c>
      <c r="AN256" s="198">
        <f>10^AM256*B257</f>
        <v>178626.04853266836</v>
      </c>
      <c r="AO256" s="185" t="s">
        <v>186</v>
      </c>
      <c r="AP256" s="47"/>
      <c r="AQ256" s="47"/>
      <c r="AR256" s="47"/>
      <c r="AS256" s="129">
        <f>AVERAGE(AT256:AT258)</f>
        <v>216.61666666666667</v>
      </c>
      <c r="AT256" s="121">
        <v>217</v>
      </c>
      <c r="AU256" s="26">
        <f>AT256+273.15</f>
        <v>490.15</v>
      </c>
      <c r="AV256" s="7" t="s">
        <v>1137</v>
      </c>
      <c r="AW256" s="47"/>
      <c r="AX256" s="47"/>
    </row>
    <row r="257" spans="1:50" ht="18">
      <c r="A257" s="3"/>
      <c r="B257" s="281">
        <v>252.316</v>
      </c>
      <c r="C257" s="131">
        <f>_xlfn.STDEV.S(D256:D260)</f>
        <v>7.5751191460147407</v>
      </c>
      <c r="D257" s="30">
        <v>117</v>
      </c>
      <c r="E257" s="30" t="s">
        <v>174</v>
      </c>
      <c r="F257" s="83"/>
      <c r="G257" s="70"/>
      <c r="H257" s="70"/>
      <c r="I257" s="83"/>
      <c r="J257" s="70"/>
      <c r="K257" s="70"/>
      <c r="L257" s="150">
        <f>_xlfn.STDEV.S(M256:M257)</f>
        <v>2.0506096654409918</v>
      </c>
      <c r="M257" s="70">
        <v>98.6</v>
      </c>
      <c r="N257" s="70" t="s">
        <v>249</v>
      </c>
      <c r="O257" s="150">
        <f>RSD_dUaw*O256</f>
        <v>13.87812776651902</v>
      </c>
      <c r="P257" s="147"/>
      <c r="Q257" s="70"/>
      <c r="R257" s="77"/>
      <c r="S257" s="170"/>
      <c r="T257" s="207"/>
      <c r="U257" s="142">
        <f>_xlfn.STDEV.S(V257:V258)</f>
        <v>0.41861016982400551</v>
      </c>
      <c r="V257" s="15">
        <v>10.777995820487586</v>
      </c>
      <c r="W257" s="45" t="s">
        <v>256</v>
      </c>
      <c r="X257" s="130">
        <f>_xlfn.STDEV.S(Y257:Y258)</f>
        <v>0.36062445840513968</v>
      </c>
      <c r="Y257" s="15">
        <f>'Table S4 Conversions and Notes'!$J$488</f>
        <v>5.94</v>
      </c>
      <c r="Z257" s="45" t="s">
        <v>2277</v>
      </c>
      <c r="AA257" s="75"/>
      <c r="AB257" s="156">
        <f>'Table S4 Conversions and Notes'!J239</f>
        <v>5.9371378271385576E-2</v>
      </c>
      <c r="AC257" s="154">
        <f>LOG(AB257/8.314/298.15)</f>
        <v>-4.6206677029196719</v>
      </c>
      <c r="AD257" s="155" t="s">
        <v>2862</v>
      </c>
      <c r="AE257" s="130">
        <f>_xlfn.STDEV.S(AF257:AF260)</f>
        <v>0.35274120168317763</v>
      </c>
      <c r="AF257" s="15">
        <v>-4.2121172974391019</v>
      </c>
      <c r="AG257" s="45" t="s">
        <v>256</v>
      </c>
      <c r="AH257" s="130">
        <f>_xlfn.STDEV.S(AI257:AI258)</f>
        <v>0.25242396939971734</v>
      </c>
      <c r="AI257" s="46">
        <f>LOG(AJ257/$B$257)</f>
        <v>-3.2450748650495234</v>
      </c>
      <c r="AJ257" s="114">
        <f>'Table S4 Conversions and Notes'!$J$470</f>
        <v>0.14350595595816029</v>
      </c>
      <c r="AK257" s="45" t="s">
        <v>2261</v>
      </c>
      <c r="AL257" s="84"/>
      <c r="AM257" s="47"/>
      <c r="AN257" s="47"/>
      <c r="AO257" s="45"/>
      <c r="AP257" s="47"/>
      <c r="AQ257" s="47"/>
      <c r="AR257" s="47"/>
      <c r="AS257" s="182">
        <f>_xlfn.STDEV.S(AT256:AT258)</f>
        <v>0.53928965624545278</v>
      </c>
      <c r="AT257" s="121">
        <v>216</v>
      </c>
      <c r="AU257" s="26">
        <f>AT257+273.15</f>
        <v>489.15</v>
      </c>
      <c r="AV257" s="7" t="s">
        <v>1137</v>
      </c>
      <c r="AW257" s="47"/>
      <c r="AX257" s="47"/>
    </row>
    <row r="258" spans="1:50" ht="18">
      <c r="A258" s="3"/>
      <c r="B258" s="281"/>
      <c r="C258" s="324">
        <f>COUNTA(D256:D260)</f>
        <v>5</v>
      </c>
      <c r="D258" s="30">
        <v>98.9</v>
      </c>
      <c r="E258" s="30" t="s">
        <v>858</v>
      </c>
      <c r="F258" s="83"/>
      <c r="G258" s="70"/>
      <c r="H258" s="70"/>
      <c r="I258" s="83"/>
      <c r="J258" s="70"/>
      <c r="K258" s="70"/>
      <c r="L258" s="324">
        <f>COUNTA(M256:M258)</f>
        <v>2</v>
      </c>
      <c r="M258" s="70"/>
      <c r="N258" s="70"/>
      <c r="O258" s="324">
        <f>COUNTA(P256:P258)</f>
        <v>1</v>
      </c>
      <c r="P258" s="147"/>
      <c r="Q258" s="70"/>
      <c r="R258" s="77"/>
      <c r="S258" s="170"/>
      <c r="T258" s="70"/>
      <c r="U258" s="324">
        <f>COUNTA(V257:V258)</f>
        <v>2</v>
      </c>
      <c r="V258" s="15">
        <v>11.37</v>
      </c>
      <c r="W258" s="45" t="s">
        <v>856</v>
      </c>
      <c r="X258" s="324">
        <f>COUNTA(Y257:Y258)</f>
        <v>2</v>
      </c>
      <c r="Y258" s="15">
        <v>5.43</v>
      </c>
      <c r="Z258" s="45" t="s">
        <v>1913</v>
      </c>
      <c r="AA258" s="324"/>
      <c r="AB258" s="47"/>
      <c r="AC258" s="47"/>
      <c r="AD258" s="45"/>
      <c r="AE258" s="324">
        <f>COUNTA(AF257:AF260)</f>
        <v>4</v>
      </c>
      <c r="AF258" s="6">
        <f>LOG(0.00000896)</f>
        <v>-5.0476919903378752</v>
      </c>
      <c r="AG258" s="7" t="s">
        <v>101</v>
      </c>
      <c r="AH258" s="324">
        <f>COUNTA(AI257:AI258)</f>
        <v>2</v>
      </c>
      <c r="AI258" s="46">
        <f>LOG('Table S4 Conversions and Notes'!$J$487)</f>
        <v>-3.6020562660426547</v>
      </c>
      <c r="AJ258" s="165">
        <f>10^AI258*$B$241</f>
        <v>6.3079541080509935E-2</v>
      </c>
      <c r="AK258" s="45" t="s">
        <v>2276</v>
      </c>
      <c r="AL258" s="84"/>
      <c r="AM258" s="47"/>
      <c r="AN258" s="47"/>
      <c r="AO258" s="45"/>
      <c r="AP258" s="47"/>
      <c r="AQ258" s="47"/>
      <c r="AR258" s="47"/>
      <c r="AS258" s="324">
        <f>COUNTA(AT256:AT258)</f>
        <v>3</v>
      </c>
      <c r="AT258" s="371">
        <f>AU258-273.15</f>
        <v>216.85000000000002</v>
      </c>
      <c r="AU258" s="48">
        <v>490</v>
      </c>
      <c r="AV258" s="45" t="s">
        <v>2688</v>
      </c>
      <c r="AW258" s="47"/>
      <c r="AX258" s="47"/>
    </row>
    <row r="259" spans="1:50" ht="18">
      <c r="A259" s="3"/>
      <c r="B259" s="4"/>
      <c r="D259" s="30">
        <f>4.184*26.1</f>
        <v>109.20240000000001</v>
      </c>
      <c r="E259" s="30" t="s">
        <v>1903</v>
      </c>
      <c r="F259" s="3"/>
      <c r="G259" s="4"/>
      <c r="H259" s="4"/>
      <c r="I259" s="3"/>
      <c r="J259" s="4"/>
      <c r="K259" s="4"/>
      <c r="L259" s="3"/>
      <c r="M259" s="4"/>
      <c r="N259" s="4"/>
      <c r="O259" s="3"/>
      <c r="P259" s="4"/>
      <c r="Q259" s="4"/>
      <c r="R259" s="3"/>
      <c r="S259" s="4"/>
      <c r="T259" s="4"/>
      <c r="U259" s="100"/>
      <c r="V259" s="8"/>
      <c r="W259" s="45"/>
      <c r="X259" s="8"/>
      <c r="Y259" s="8"/>
      <c r="Z259" s="45"/>
      <c r="AA259" s="47"/>
      <c r="AB259" s="47"/>
      <c r="AC259" s="47"/>
      <c r="AD259" s="45"/>
      <c r="AF259" s="6">
        <v>-4.82</v>
      </c>
      <c r="AG259" s="7" t="s">
        <v>856</v>
      </c>
      <c r="AH259" s="84"/>
      <c r="AI259" s="225">
        <f>LOG(AJ259/$B$257)</f>
        <v>-5.0040047824376419</v>
      </c>
      <c r="AJ259" s="456">
        <v>2.5000000000000001E-3</v>
      </c>
      <c r="AK259" s="155" t="s">
        <v>2571</v>
      </c>
      <c r="AL259" s="84"/>
      <c r="AM259" s="47"/>
      <c r="AN259" s="47"/>
      <c r="AO259" s="45"/>
      <c r="AP259" s="47"/>
      <c r="AQ259" s="47"/>
      <c r="AR259" s="47"/>
      <c r="AS259" s="84"/>
      <c r="AT259" s="192">
        <f>'Table S4 Conversions and Notes'!$J$464</f>
        <v>207.5</v>
      </c>
      <c r="AU259" s="178">
        <f>AT259+273.15</f>
        <v>480.65</v>
      </c>
      <c r="AV259" s="155" t="s">
        <v>2255</v>
      </c>
      <c r="AW259" s="47"/>
      <c r="AX259" s="47"/>
    </row>
    <row r="260" spans="1:50" ht="15.75">
      <c r="A260" s="3"/>
      <c r="B260" s="122"/>
      <c r="D260" s="384">
        <f>'Table S4 Conversions and Notes'!$J$468</f>
        <v>102.37557179733332</v>
      </c>
      <c r="E260" s="30" t="s">
        <v>2259</v>
      </c>
      <c r="F260" s="3"/>
      <c r="G260" s="4"/>
      <c r="H260" s="4"/>
      <c r="I260" s="3"/>
      <c r="J260" s="4"/>
      <c r="K260" s="4"/>
      <c r="L260" s="3"/>
      <c r="M260" s="4"/>
      <c r="N260" s="4"/>
      <c r="O260" s="3"/>
      <c r="P260" s="4"/>
      <c r="Q260" s="4"/>
      <c r="R260" s="3"/>
      <c r="S260" s="4"/>
      <c r="T260" s="4"/>
      <c r="U260" s="100"/>
      <c r="V260" s="8"/>
      <c r="W260" s="45"/>
      <c r="X260" s="8"/>
      <c r="Y260" s="8"/>
      <c r="Z260" s="45"/>
      <c r="AA260" s="47"/>
      <c r="AB260" s="47"/>
      <c r="AC260" s="47"/>
      <c r="AD260" s="45"/>
      <c r="AE260" s="84"/>
      <c r="AF260" s="15">
        <f>LOG(0.000000156*133.322)</f>
        <v>-4.6819735816371777</v>
      </c>
      <c r="AG260" s="47" t="s">
        <v>1901</v>
      </c>
      <c r="AH260" s="84"/>
      <c r="AI260" s="47"/>
      <c r="AJ260" s="47"/>
      <c r="AK260" s="45"/>
      <c r="AL260" s="84"/>
      <c r="AM260" s="47"/>
      <c r="AN260" s="47"/>
      <c r="AO260" s="45"/>
      <c r="AP260" s="47"/>
      <c r="AQ260" s="47"/>
      <c r="AR260" s="47"/>
      <c r="AS260" s="84"/>
      <c r="AW260" s="47"/>
      <c r="AX260" s="47"/>
    </row>
    <row r="261" spans="1:50" ht="18">
      <c r="A261" s="3"/>
      <c r="B261" s="122"/>
      <c r="D261" s="490">
        <v>88.5</v>
      </c>
      <c r="E261" s="206" t="s">
        <v>2768</v>
      </c>
      <c r="F261" s="3"/>
      <c r="G261" s="4"/>
      <c r="H261" s="4"/>
      <c r="I261" s="3"/>
      <c r="J261" s="4"/>
      <c r="K261" s="4"/>
      <c r="L261" s="3"/>
      <c r="M261" s="4"/>
      <c r="N261" s="4"/>
      <c r="O261" s="3"/>
      <c r="P261" s="4"/>
      <c r="Q261" s="4"/>
      <c r="R261" s="3"/>
      <c r="S261" s="4"/>
      <c r="T261" s="4"/>
      <c r="U261" s="100"/>
      <c r="V261" s="8"/>
      <c r="W261" s="45"/>
      <c r="X261" s="8"/>
      <c r="Y261" s="8"/>
      <c r="Z261" s="45"/>
      <c r="AA261" s="47"/>
      <c r="AB261" s="47"/>
      <c r="AC261" s="47"/>
      <c r="AD261" s="45"/>
      <c r="AE261" s="84"/>
      <c r="AF261" s="176">
        <f>'Table S4 Conversions and Notes'!J466</f>
        <v>-4.9929644738613508</v>
      </c>
      <c r="AG261" s="185" t="s">
        <v>2257</v>
      </c>
      <c r="AH261" s="84"/>
      <c r="AI261" s="47"/>
      <c r="AJ261" s="47"/>
      <c r="AK261" s="45"/>
      <c r="AL261" s="84"/>
      <c r="AM261" s="47"/>
      <c r="AN261" s="47"/>
      <c r="AO261" s="45"/>
      <c r="AP261" s="47"/>
      <c r="AQ261" s="47"/>
      <c r="AR261" s="47"/>
      <c r="AS261" s="84"/>
      <c r="AT261" s="121"/>
      <c r="AU261" s="47"/>
      <c r="AV261" s="45"/>
      <c r="AW261" s="47"/>
      <c r="AX261" s="47"/>
    </row>
    <row r="262" spans="1:50">
      <c r="A262" s="504" t="s">
        <v>102</v>
      </c>
      <c r="B262" s="504"/>
      <c r="C262" s="504"/>
      <c r="D262" s="504"/>
      <c r="E262" s="504"/>
      <c r="F262" s="504"/>
      <c r="G262" s="504"/>
      <c r="H262" s="504"/>
      <c r="I262" s="504"/>
      <c r="J262" s="504"/>
      <c r="K262" s="504"/>
      <c r="L262" s="504"/>
      <c r="M262" s="504"/>
      <c r="N262" s="504"/>
      <c r="O262" s="504"/>
      <c r="P262" s="504"/>
      <c r="Q262" s="504"/>
      <c r="R262" s="504"/>
      <c r="S262" s="504"/>
      <c r="T262" s="504"/>
      <c r="U262" s="504"/>
      <c r="V262" s="504"/>
      <c r="W262" s="504"/>
      <c r="X262" s="504"/>
      <c r="Y262" s="504"/>
      <c r="Z262" s="504"/>
      <c r="AA262" s="504"/>
      <c r="AB262" s="504"/>
      <c r="AC262" s="504"/>
      <c r="AD262" s="504"/>
      <c r="AE262" s="504"/>
      <c r="AF262" s="504"/>
      <c r="AG262" s="504"/>
      <c r="AH262" s="504"/>
      <c r="AI262" s="504"/>
      <c r="AJ262" s="504"/>
      <c r="AK262" s="504"/>
      <c r="AL262" s="504"/>
      <c r="AM262" s="504"/>
      <c r="AN262" s="504"/>
      <c r="AO262" s="504"/>
      <c r="AP262" s="504"/>
      <c r="AQ262" s="504"/>
      <c r="AR262" s="504"/>
      <c r="AS262" s="504"/>
      <c r="AT262" s="504"/>
      <c r="AU262" s="504"/>
      <c r="AV262" s="504"/>
      <c r="AW262" s="4"/>
      <c r="AX262" s="4"/>
    </row>
    <row r="263" spans="1:50" ht="18">
      <c r="A263" s="3" t="s">
        <v>103</v>
      </c>
      <c r="B263" s="4" t="s">
        <v>104</v>
      </c>
      <c r="C263" s="266">
        <f>AVERAGE(98.2,D264:D267)</f>
        <v>94.14</v>
      </c>
      <c r="D263" s="206">
        <f>86.7+2.391</f>
        <v>89.091000000000008</v>
      </c>
      <c r="E263" s="290" t="s">
        <v>229</v>
      </c>
      <c r="F263" s="292">
        <f>G264</f>
        <v>14.9</v>
      </c>
      <c r="G263" s="301">
        <v>20.399999999999999</v>
      </c>
      <c r="H263" s="301" t="s">
        <v>229</v>
      </c>
      <c r="I263" s="83"/>
      <c r="J263" s="70"/>
      <c r="K263" s="70"/>
      <c r="L263" s="291">
        <f>AVERAGE(M264:M265)</f>
        <v>93.4</v>
      </c>
      <c r="M263" s="206">
        <v>97</v>
      </c>
      <c r="N263" s="206" t="s">
        <v>229</v>
      </c>
      <c r="O263" s="157">
        <f>P264</f>
        <v>58.509</v>
      </c>
      <c r="P263" s="290">
        <v>66.400000000000006</v>
      </c>
      <c r="Q263" s="290" t="s">
        <v>1621</v>
      </c>
      <c r="R263" s="201">
        <f>S263</f>
        <v>-21.7</v>
      </c>
      <c r="S263" s="172">
        <v>-21.7</v>
      </c>
      <c r="T263" s="30" t="s">
        <v>398</v>
      </c>
      <c r="U263" s="291">
        <f>AVERAGE(V265:V266)</f>
        <v>10.434999999999999</v>
      </c>
      <c r="V263" s="294">
        <v>10.39</v>
      </c>
      <c r="W263" s="155" t="s">
        <v>229</v>
      </c>
      <c r="X263" s="168">
        <f>AVERAGE(Y265:Y268)</f>
        <v>6.6174999999999997</v>
      </c>
      <c r="Y263" s="176">
        <v>6.53</v>
      </c>
      <c r="Z263" s="155" t="s">
        <v>229</v>
      </c>
      <c r="AA263" s="75"/>
      <c r="AB263" s="261">
        <f>10^AC263*8.314*298.15</f>
        <v>1.8803765818140212</v>
      </c>
      <c r="AC263" s="258">
        <v>-3.12</v>
      </c>
      <c r="AD263" s="259" t="s">
        <v>229</v>
      </c>
      <c r="AE263" s="130">
        <f>AVERAGE(AF265:AF269)</f>
        <v>-3.7075139892385729</v>
      </c>
      <c r="AF263" s="258">
        <v>-3.62</v>
      </c>
      <c r="AG263" s="185" t="s">
        <v>229</v>
      </c>
      <c r="AH263" s="130">
        <f>AVERAGE(AI265:AI267)</f>
        <v>-4.0697069918861315</v>
      </c>
      <c r="AI263" s="261">
        <f>LOG(0.000126)</f>
        <v>-3.8996294548824371</v>
      </c>
      <c r="AJ263" s="264">
        <f>10^AI263*$B$264</f>
        <v>6.1210169999999973E-2</v>
      </c>
      <c r="AK263" s="259" t="s">
        <v>1107</v>
      </c>
      <c r="AL263" s="84"/>
      <c r="AM263" s="154">
        <f>LOG((7040))</f>
        <v>3.847572659142112</v>
      </c>
      <c r="AN263" s="264">
        <f>10^AM263*$B$264</f>
        <v>3419996.8000000003</v>
      </c>
      <c r="AO263" s="259" t="s">
        <v>1187</v>
      </c>
      <c r="AP263" s="131">
        <f>AQ263</f>
        <v>48.472961613897454</v>
      </c>
      <c r="AQ263" s="17">
        <f>17.3/AU264*1000</f>
        <v>48.472961613897454</v>
      </c>
      <c r="AR263" s="47" t="s">
        <v>1146</v>
      </c>
      <c r="AS263" s="150">
        <f>AVERAGE(AT263:AT264)</f>
        <v>83.875</v>
      </c>
      <c r="AT263" s="107">
        <f>'Table S4 Conversions and Notes'!$J$252</f>
        <v>84</v>
      </c>
      <c r="AU263" s="270">
        <f>AT263+273.15</f>
        <v>357.15</v>
      </c>
      <c r="AV263" s="45" t="s">
        <v>1656</v>
      </c>
      <c r="AW263" s="47"/>
      <c r="AX263" s="47"/>
    </row>
    <row r="264" spans="1:50" ht="18">
      <c r="A264" s="20" t="s">
        <v>1419</v>
      </c>
      <c r="B264" s="171">
        <v>485.79500000000002</v>
      </c>
      <c r="C264" s="266">
        <f>_xlfn.STDEV.S(98.2,D264:D267)</f>
        <v>4.4506179346243595</v>
      </c>
      <c r="D264" s="30">
        <v>98.2</v>
      </c>
      <c r="E264" s="30" t="s">
        <v>248</v>
      </c>
      <c r="F264" s="292">
        <f>F263*RSD_dHw</f>
        <v>2.9800000000000004</v>
      </c>
      <c r="G264" s="70">
        <f>'Table S4 Conversions and Notes'!$J$264</f>
        <v>14.9</v>
      </c>
      <c r="H264" s="70" t="s">
        <v>1224</v>
      </c>
      <c r="I264" s="83"/>
      <c r="J264" s="70"/>
      <c r="K264" s="70"/>
      <c r="L264" s="145">
        <f>_xlfn.STDEV.S(M264:M265)</f>
        <v>4.6669047558312196</v>
      </c>
      <c r="M264" s="70">
        <v>96.7</v>
      </c>
      <c r="N264" s="70" t="s">
        <v>248</v>
      </c>
      <c r="O264" s="150">
        <f>RSD_Unr*O263</f>
        <v>17.552699999999998</v>
      </c>
      <c r="P264" s="255">
        <f>60.9-2.391</f>
        <v>58.509</v>
      </c>
      <c r="Q264" s="30" t="s">
        <v>1689</v>
      </c>
      <c r="R264" s="182">
        <f>ABS(R263*RSD_dUow)</f>
        <v>4.34</v>
      </c>
      <c r="S264" s="172"/>
      <c r="T264" s="30"/>
      <c r="U264" s="145">
        <f>_xlfn.STDEV.S(V265:V266)</f>
        <v>0.13435028842544369</v>
      </c>
      <c r="V264" s="176">
        <v>10.75</v>
      </c>
      <c r="W264" s="155" t="s">
        <v>106</v>
      </c>
      <c r="X264" s="168">
        <f>_xlfn.STDEV.S(Y265:Y268)</f>
        <v>0.39969780251251513</v>
      </c>
      <c r="Y264" s="210">
        <v>6.66</v>
      </c>
      <c r="Z264" s="155" t="s">
        <v>106</v>
      </c>
      <c r="AA264" s="75"/>
      <c r="AB264" s="210">
        <v>1.27</v>
      </c>
      <c r="AC264" s="261">
        <f>LOG(AB264/8.314/298.15)</f>
        <v>-3.2904411128959969</v>
      </c>
      <c r="AD264" s="210" t="s">
        <v>106</v>
      </c>
      <c r="AE264" s="130">
        <f>_xlfn.STDEV.S(AF265:AF269)</f>
        <v>0.19995588786711851</v>
      </c>
      <c r="AF264" s="258">
        <v>-3.5044556624535517</v>
      </c>
      <c r="AG264" s="185" t="s">
        <v>106</v>
      </c>
      <c r="AH264" s="130">
        <f>_xlfn.STDEV.S(AI265:AI267)</f>
        <v>7.1457772538696201E-2</v>
      </c>
      <c r="AI264" s="261">
        <f>LOG(0.000247)</f>
        <v>-3.6073030467403342</v>
      </c>
      <c r="AJ264" s="264">
        <f>10^AI264*$B$264</f>
        <v>0.119991365</v>
      </c>
      <c r="AK264" s="259" t="s">
        <v>1187</v>
      </c>
      <c r="AL264" s="84"/>
      <c r="AM264" s="47"/>
      <c r="AN264" s="47"/>
      <c r="AO264" s="45"/>
      <c r="AP264" s="131">
        <f>RSD_dSf*AQ263</f>
        <v>3.820620706319922</v>
      </c>
      <c r="AQ264" s="47"/>
      <c r="AR264" s="47"/>
      <c r="AS264" s="182">
        <f>_xlfn.STDEV.S(AT263:AT264)</f>
        <v>0.17677669529663689</v>
      </c>
      <c r="AT264" s="107">
        <f>AU264-273.15</f>
        <v>83.75</v>
      </c>
      <c r="AU264" s="47">
        <v>356.9</v>
      </c>
      <c r="AV264" s="45" t="s">
        <v>1146</v>
      </c>
      <c r="AW264" s="47"/>
      <c r="AX264" s="47"/>
    </row>
    <row r="265" spans="1:50" ht="18">
      <c r="A265" s="3"/>
      <c r="C265" s="324">
        <f>COUNTA(D264:D267)</f>
        <v>4</v>
      </c>
      <c r="D265" s="30">
        <v>92</v>
      </c>
      <c r="E265" s="30" t="s">
        <v>826</v>
      </c>
      <c r="F265" s="324">
        <f>COUNTA(G264)</f>
        <v>1</v>
      </c>
      <c r="G265" s="70"/>
      <c r="H265" s="70"/>
      <c r="I265" s="267"/>
      <c r="J265" s="268"/>
      <c r="K265" s="70"/>
      <c r="L265" s="324">
        <f>COUNTA(M264:M265)</f>
        <v>2</v>
      </c>
      <c r="M265" s="255">
        <v>90.1</v>
      </c>
      <c r="N265" s="255" t="s">
        <v>1164</v>
      </c>
      <c r="O265" s="324">
        <f>COUNTA(P264:P265)</f>
        <v>1</v>
      </c>
      <c r="P265" s="293"/>
      <c r="R265" s="324">
        <f>COUNTA(S263:S265)</f>
        <v>1</v>
      </c>
      <c r="S265" s="172"/>
      <c r="T265" s="30"/>
      <c r="U265" s="324">
        <f>COUNTA(V265:V266)</f>
        <v>2</v>
      </c>
      <c r="V265" s="6">
        <v>10.53</v>
      </c>
      <c r="W265" s="45" t="s">
        <v>114</v>
      </c>
      <c r="X265" s="324">
        <f>COUNTA(Y265:Y268)</f>
        <v>4</v>
      </c>
      <c r="Y265" s="6">
        <v>6.81</v>
      </c>
      <c r="Z265" s="45" t="s">
        <v>1094</v>
      </c>
      <c r="AA265" s="324"/>
      <c r="AB265" s="261">
        <v>0.85</v>
      </c>
      <c r="AC265" s="261">
        <f>LOG(AB265/8.314/298.15)</f>
        <v>-3.4648259081376613</v>
      </c>
      <c r="AD265" s="259" t="s">
        <v>2863</v>
      </c>
      <c r="AE265" s="324">
        <f>COUNTA(AF265:AF269)</f>
        <v>5</v>
      </c>
      <c r="AF265" s="6">
        <f>LOG(0.000103)</f>
        <v>-3.987162775294828</v>
      </c>
      <c r="AG265" s="7" t="s">
        <v>1145</v>
      </c>
      <c r="AH265" s="324">
        <f>COUNTA(AI265:AI267)</f>
        <v>3</v>
      </c>
      <c r="AI265" s="260">
        <f>LOG(AJ265/$B$264)</f>
        <v>-4.0497325327806291</v>
      </c>
      <c r="AJ265" s="114">
        <f>'Table S4 Conversions and Notes'!$J$258</f>
        <v>4.3323198020772564E-2</v>
      </c>
      <c r="AK265" s="45" t="s">
        <v>1616</v>
      </c>
      <c r="AL265" s="84"/>
      <c r="AM265" s="47"/>
      <c r="AN265" s="47"/>
      <c r="AO265" s="45"/>
      <c r="AP265" s="324">
        <f>COUNTA(AQ263:AQ264)</f>
        <v>1</v>
      </c>
      <c r="AQ265" s="47"/>
      <c r="AR265" s="47"/>
      <c r="AS265" s="324">
        <f>COUNTA(AT263:AT265)</f>
        <v>3</v>
      </c>
      <c r="AT265" s="121">
        <f>AVERAGE(82,83)</f>
        <v>82.5</v>
      </c>
      <c r="AU265" s="47">
        <v>356.9</v>
      </c>
      <c r="AV265" s="45" t="s">
        <v>1195</v>
      </c>
      <c r="AW265" s="47"/>
      <c r="AX265" s="47"/>
    </row>
    <row r="266" spans="1:50" ht="18">
      <c r="A266" s="3"/>
      <c r="B266" s="4" t="s">
        <v>20</v>
      </c>
      <c r="C266" s="87"/>
      <c r="D266" s="234">
        <v>94.6</v>
      </c>
      <c r="E266" s="30" t="s">
        <v>825</v>
      </c>
      <c r="F266" s="29"/>
      <c r="G266" s="30"/>
      <c r="H266" s="30"/>
      <c r="I266" s="29"/>
      <c r="J266" s="30"/>
      <c r="K266" s="30"/>
      <c r="L266" s="115"/>
      <c r="M266" s="290">
        <v>97</v>
      </c>
      <c r="N266" s="290" t="s">
        <v>2778</v>
      </c>
      <c r="O266" s="29"/>
      <c r="P266" s="30"/>
      <c r="Q266" s="30"/>
      <c r="R266" s="29"/>
      <c r="S266" s="172"/>
      <c r="T266" s="30"/>
      <c r="U266" s="87"/>
      <c r="V266" s="9">
        <v>10.34</v>
      </c>
      <c r="W266" s="45" t="s">
        <v>1109</v>
      </c>
      <c r="X266" s="9"/>
      <c r="Y266" s="6">
        <v>6.78</v>
      </c>
      <c r="Z266" s="220" t="s">
        <v>1158</v>
      </c>
      <c r="AA266" s="47"/>
      <c r="AB266" s="286">
        <v>6.4</v>
      </c>
      <c r="AC266" s="225">
        <f>LOG(AB266/8.314/298.15)</f>
        <v>-2.5880648598680667</v>
      </c>
      <c r="AD266" s="155" t="s">
        <v>1675</v>
      </c>
      <c r="AE266" s="87"/>
      <c r="AF266" s="6">
        <f>LOG(0.000319)</f>
        <v>-3.496209316942819</v>
      </c>
      <c r="AG266" s="7" t="s">
        <v>107</v>
      </c>
      <c r="AH266" s="84"/>
      <c r="AI266" s="260">
        <f>LOG(AJ266/$B$264)</f>
        <v>-4.0103618408813544</v>
      </c>
      <c r="AJ266" s="114">
        <f>'Table S4 Conversions and Notes'!J255</f>
        <v>4.7434158416904265E-2</v>
      </c>
      <c r="AK266" s="45" t="s">
        <v>1139</v>
      </c>
      <c r="AL266" s="84"/>
      <c r="AM266" s="47"/>
      <c r="AN266" s="47"/>
      <c r="AO266" s="45"/>
      <c r="AP266" s="47"/>
      <c r="AQ266" s="47"/>
      <c r="AR266" s="47"/>
      <c r="AS266" s="84"/>
      <c r="AW266" s="47"/>
      <c r="AX266" s="47"/>
    </row>
    <row r="267" spans="1:50" ht="18.75">
      <c r="A267" s="3"/>
      <c r="B267" s="4" t="s">
        <v>20</v>
      </c>
      <c r="C267" s="87"/>
      <c r="D267" s="234">
        <f>'Table S4 Conversions and Notes'!$J$438</f>
        <v>87.7</v>
      </c>
      <c r="E267" s="7" t="s">
        <v>2231</v>
      </c>
      <c r="F267" s="29"/>
      <c r="G267" s="30"/>
      <c r="H267" s="30"/>
      <c r="I267" s="29"/>
      <c r="J267" s="30"/>
      <c r="K267" s="30"/>
      <c r="L267" s="115"/>
      <c r="O267" s="29"/>
      <c r="P267" s="30"/>
      <c r="Q267" s="30"/>
      <c r="R267" s="29"/>
      <c r="S267" s="172"/>
      <c r="T267" s="30"/>
      <c r="U267" s="87"/>
      <c r="V267" s="9"/>
      <c r="W267" s="45"/>
      <c r="X267" s="9"/>
      <c r="Y267" s="6">
        <v>6.02</v>
      </c>
      <c r="Z267" s="45" t="s">
        <v>1176</v>
      </c>
      <c r="AA267" s="47"/>
      <c r="AB267" s="261">
        <f>10^AC267*8.314*298.15</f>
        <v>1.4936362108492103</v>
      </c>
      <c r="AC267" s="175">
        <v>-3.22</v>
      </c>
      <c r="AD267" s="155" t="s">
        <v>1203</v>
      </c>
      <c r="AE267" s="87"/>
      <c r="AF267" s="6">
        <f>LOG(0.000186)</f>
        <v>-3.7304870557820835</v>
      </c>
      <c r="AG267" s="7" t="s">
        <v>105</v>
      </c>
      <c r="AH267" s="84"/>
      <c r="AI267" s="260">
        <f>LOG(AJ267/$B$264)</f>
        <v>-4.1490266019964119</v>
      </c>
      <c r="AJ267" s="114">
        <f>'Table S4 Conversions and Notes'!$J$256</f>
        <v>3.4468821782950437E-2</v>
      </c>
      <c r="AK267" s="45" t="s">
        <v>1615</v>
      </c>
      <c r="AL267" s="84"/>
      <c r="AM267" s="47"/>
      <c r="AN267" s="47"/>
      <c r="AO267" s="45"/>
      <c r="AP267" s="47"/>
      <c r="AQ267" s="47"/>
      <c r="AR267" s="47"/>
      <c r="AS267" s="84"/>
      <c r="AT267" s="121"/>
      <c r="AU267" s="47"/>
      <c r="AV267" s="45"/>
      <c r="AW267" s="47"/>
      <c r="AX267" s="47"/>
    </row>
    <row r="268" spans="1:50" ht="18">
      <c r="A268" s="3"/>
      <c r="B268" s="4"/>
      <c r="C268" s="87"/>
      <c r="D268" s="283">
        <v>103.13</v>
      </c>
      <c r="E268" s="206" t="s">
        <v>2232</v>
      </c>
      <c r="F268" s="29"/>
      <c r="G268" s="30"/>
      <c r="H268" s="30"/>
      <c r="I268" s="29"/>
      <c r="J268" s="30"/>
      <c r="K268" s="30"/>
      <c r="L268" s="115"/>
      <c r="M268" s="30"/>
      <c r="N268" s="30"/>
      <c r="O268" s="29"/>
      <c r="P268" s="30"/>
      <c r="Q268" s="30"/>
      <c r="R268" s="29"/>
      <c r="S268" s="172"/>
      <c r="T268" s="30"/>
      <c r="U268" s="87"/>
      <c r="V268" s="9"/>
      <c r="W268" s="45"/>
      <c r="X268" s="9"/>
      <c r="Y268" s="6">
        <v>6.86</v>
      </c>
      <c r="Z268" s="326" t="s">
        <v>398</v>
      </c>
      <c r="AA268" s="47"/>
      <c r="AB268" s="261">
        <f>10^AC268*8.314*298.15</f>
        <v>1.1072478198804163</v>
      </c>
      <c r="AC268" s="175">
        <v>-3.35</v>
      </c>
      <c r="AD268" s="155" t="s">
        <v>1731</v>
      </c>
      <c r="AE268" s="87"/>
      <c r="AF268" s="260">
        <v>-3.7890936496215519</v>
      </c>
      <c r="AG268" s="45" t="s">
        <v>256</v>
      </c>
      <c r="AH268" s="84"/>
      <c r="AI268" s="261">
        <f>LOG(AJ268/$B$264)</f>
        <v>-4.0017616691194373</v>
      </c>
      <c r="AJ268" s="165">
        <f>'Table S4 Conversions and Notes'!$J$257</f>
        <v>4.838284158524235E-2</v>
      </c>
      <c r="AK268" s="155" t="s">
        <v>1617</v>
      </c>
      <c r="AL268" s="84"/>
      <c r="AM268" s="47"/>
      <c r="AN268" s="47"/>
      <c r="AO268" s="45"/>
      <c r="AP268" s="47"/>
      <c r="AQ268" s="47"/>
      <c r="AR268" s="47"/>
      <c r="AS268" s="84"/>
      <c r="AT268" s="121"/>
      <c r="AU268" s="47"/>
      <c r="AV268" s="45"/>
      <c r="AW268" s="47"/>
      <c r="AX268" s="47"/>
    </row>
    <row r="269" spans="1:50" ht="18">
      <c r="A269" s="3"/>
      <c r="B269" s="4"/>
      <c r="C269" s="87"/>
      <c r="F269" s="29"/>
      <c r="G269" s="30"/>
      <c r="H269" s="30"/>
      <c r="I269" s="29"/>
      <c r="J269" s="30"/>
      <c r="K269" s="30"/>
      <c r="L269" s="115"/>
      <c r="M269" s="30"/>
      <c r="N269" s="30"/>
      <c r="O269" s="29"/>
      <c r="P269" s="30"/>
      <c r="Q269" s="30"/>
      <c r="R269" s="29"/>
      <c r="S269" s="172"/>
      <c r="T269" s="30"/>
      <c r="U269" s="87"/>
      <c r="V269" s="9"/>
      <c r="W269" s="45"/>
      <c r="X269" s="9"/>
      <c r="Y269" s="202">
        <f>'Table S4 Conversions and Notes'!$J$242</f>
        <v>6.67</v>
      </c>
      <c r="Z269" s="155" t="s">
        <v>1725</v>
      </c>
      <c r="AA269" s="47"/>
      <c r="AB269" s="286">
        <v>5.3</v>
      </c>
      <c r="AC269" s="225">
        <f>LOG(AB269/8.314/298.15)</f>
        <v>-2.669968964251165</v>
      </c>
      <c r="AD269" s="155" t="s">
        <v>1661</v>
      </c>
      <c r="AE269" s="87"/>
      <c r="AF269" s="260">
        <f>LOG(0.000292)</f>
        <v>-3.5346171485515816</v>
      </c>
      <c r="AG269" s="269" t="s">
        <v>1739</v>
      </c>
      <c r="AH269" s="84"/>
      <c r="AI269" s="154">
        <f>'Table S4 Conversions and Notes'!$J$248</f>
        <v>-4.1337126609158048</v>
      </c>
      <c r="AJ269" s="165">
        <f>10^AI269*$B$264</f>
        <v>3.5705932500000009E-2</v>
      </c>
      <c r="AK269" s="155" t="s">
        <v>1736</v>
      </c>
      <c r="AL269" s="84"/>
      <c r="AM269" s="47"/>
      <c r="AN269" s="47"/>
      <c r="AO269" s="45"/>
      <c r="AP269" s="47"/>
      <c r="AQ269" s="47"/>
      <c r="AR269" s="47"/>
      <c r="AS269" s="84"/>
      <c r="AT269" s="121"/>
      <c r="AU269" s="47"/>
      <c r="AV269" s="45"/>
      <c r="AW269" s="47"/>
      <c r="AX269" s="47"/>
    </row>
    <row r="270" spans="1:50" ht="18">
      <c r="A270" s="3"/>
      <c r="B270" s="4"/>
      <c r="C270" s="87"/>
      <c r="D270" s="234"/>
      <c r="E270" s="30"/>
      <c r="F270" s="29"/>
      <c r="G270" s="30"/>
      <c r="H270" s="30"/>
      <c r="I270" s="29"/>
      <c r="J270" s="30"/>
      <c r="K270" s="30"/>
      <c r="L270" s="115"/>
      <c r="M270" s="30"/>
      <c r="N270" s="30"/>
      <c r="O270" s="29"/>
      <c r="P270" s="30"/>
      <c r="Q270" s="30"/>
      <c r="R270" s="29"/>
      <c r="S270" s="172"/>
      <c r="T270" s="30"/>
      <c r="U270" s="87"/>
      <c r="V270" s="9"/>
      <c r="W270" s="45"/>
      <c r="X270" s="9"/>
      <c r="Y270" s="202">
        <v>7.4</v>
      </c>
      <c r="Z270" s="155" t="s">
        <v>1099</v>
      </c>
      <c r="AA270" s="47"/>
      <c r="AB270" s="286">
        <v>5.8</v>
      </c>
      <c r="AC270" s="225">
        <f>LOG(AB270/8.314/298.15)</f>
        <v>-2.6308168402890169</v>
      </c>
      <c r="AD270" s="155" t="s">
        <v>1662</v>
      </c>
      <c r="AE270" s="16"/>
      <c r="AF270" s="258">
        <f>LOG(0.0000818)</f>
        <v>-4.0872466963286769</v>
      </c>
      <c r="AG270" s="262" t="s">
        <v>1737</v>
      </c>
      <c r="AH270" s="84"/>
      <c r="AJ270" s="114"/>
      <c r="AK270" s="45"/>
      <c r="AL270" s="84"/>
      <c r="AM270" s="47"/>
      <c r="AN270" s="47"/>
      <c r="AO270" s="45"/>
      <c r="AP270" s="47"/>
      <c r="AQ270" s="47"/>
      <c r="AR270" s="47"/>
      <c r="AS270" s="84"/>
      <c r="AT270" s="121"/>
      <c r="AU270" s="47"/>
      <c r="AV270" s="45"/>
      <c r="AW270" s="47"/>
      <c r="AX270" s="47"/>
    </row>
    <row r="271" spans="1:50" ht="18">
      <c r="A271" s="3"/>
      <c r="B271" s="4"/>
      <c r="C271" s="87"/>
      <c r="D271" s="234"/>
      <c r="E271" s="30"/>
      <c r="F271" s="29"/>
      <c r="G271" s="30"/>
      <c r="H271" s="30"/>
      <c r="I271" s="29"/>
      <c r="J271" s="30"/>
      <c r="K271" s="30"/>
      <c r="L271" s="115"/>
      <c r="M271" s="30"/>
      <c r="N271" s="30"/>
      <c r="O271" s="29"/>
      <c r="P271" s="30"/>
      <c r="Q271" s="30"/>
      <c r="R271" s="29"/>
      <c r="S271" s="172"/>
      <c r="T271" s="30"/>
      <c r="U271" s="87"/>
      <c r="V271" s="9"/>
      <c r="W271" s="45"/>
      <c r="X271" s="9"/>
      <c r="Y271" s="202">
        <v>6.55</v>
      </c>
      <c r="Z271" s="155" t="s">
        <v>1729</v>
      </c>
      <c r="AA271" s="47"/>
      <c r="AD271" s="42"/>
      <c r="AE271" s="16"/>
      <c r="AF271" s="261">
        <v>-4.66</v>
      </c>
      <c r="AG271" s="210" t="s">
        <v>1181</v>
      </c>
      <c r="AH271" s="84"/>
      <c r="AL271" s="84"/>
      <c r="AM271" s="47"/>
      <c r="AN271" s="47"/>
      <c r="AO271" s="45"/>
      <c r="AP271" s="47"/>
      <c r="AQ271" s="47"/>
      <c r="AR271" s="47"/>
      <c r="AS271" s="84"/>
      <c r="AT271" s="121"/>
      <c r="AU271" s="47"/>
      <c r="AV271" s="45"/>
      <c r="AW271" s="47"/>
      <c r="AX271" s="47"/>
    </row>
    <row r="272" spans="1:50" ht="18">
      <c r="A272" s="3"/>
      <c r="B272" s="4" t="s">
        <v>20</v>
      </c>
      <c r="C272" s="87"/>
      <c r="D272" s="234"/>
      <c r="E272" s="30"/>
      <c r="F272" s="29"/>
      <c r="G272" s="30"/>
      <c r="H272" s="30"/>
      <c r="I272" s="29"/>
      <c r="J272" s="30"/>
      <c r="K272" s="30"/>
      <c r="L272" s="115"/>
      <c r="M272" s="30"/>
      <c r="N272" s="30"/>
      <c r="O272" s="29"/>
      <c r="P272" s="30"/>
      <c r="Q272" s="30"/>
      <c r="R272" s="29"/>
      <c r="S272" s="172"/>
      <c r="T272" s="30"/>
      <c r="U272" s="87"/>
      <c r="V272" s="9"/>
      <c r="W272" s="45"/>
      <c r="X272" s="9"/>
      <c r="Y272" s="202">
        <v>6.19</v>
      </c>
      <c r="Z272" s="155" t="s">
        <v>1180</v>
      </c>
      <c r="AA272" s="47"/>
      <c r="AE272" s="87"/>
      <c r="AF272" s="284">
        <f>'Table S4 Conversions and Notes'!$J$260</f>
        <v>-5.03</v>
      </c>
      <c r="AG272" s="285" t="s">
        <v>1154</v>
      </c>
      <c r="AH272" s="47"/>
      <c r="AI272" s="261"/>
      <c r="AJ272" s="165"/>
      <c r="AK272" s="155"/>
      <c r="AL272" s="84"/>
      <c r="AM272" s="47"/>
      <c r="AN272" s="47"/>
      <c r="AO272" s="45"/>
      <c r="AP272" s="47"/>
      <c r="AQ272" s="47"/>
      <c r="AR272" s="47"/>
      <c r="AS272" s="84"/>
      <c r="AT272" s="121"/>
      <c r="AU272" s="47"/>
      <c r="AV272" s="45"/>
      <c r="AW272" s="47"/>
      <c r="AX272" s="47"/>
    </row>
    <row r="273" spans="1:50" ht="18">
      <c r="A273" s="3"/>
      <c r="B273" s="4"/>
      <c r="C273" s="87"/>
      <c r="D273" s="234"/>
      <c r="E273" s="30"/>
      <c r="F273" s="29"/>
      <c r="G273" s="30"/>
      <c r="H273" s="30"/>
      <c r="I273" s="29"/>
      <c r="J273" s="30"/>
      <c r="K273" s="30"/>
      <c r="L273" s="115"/>
      <c r="M273" s="30"/>
      <c r="N273" s="30"/>
      <c r="O273" s="29"/>
      <c r="P273" s="30"/>
      <c r="Q273" s="30"/>
      <c r="R273" s="29"/>
      <c r="S273" s="172"/>
      <c r="T273" s="30"/>
      <c r="U273" s="87"/>
      <c r="V273" s="9"/>
      <c r="W273" s="45"/>
      <c r="X273" s="9"/>
      <c r="Y273" s="289"/>
      <c r="Z273" s="259"/>
      <c r="AA273" s="47"/>
      <c r="AB273" s="359"/>
      <c r="AD273" s="42"/>
      <c r="AF273" s="284">
        <f>'Table S4 Conversions and Notes'!$J$250</f>
        <v>-4.4934949675951277</v>
      </c>
      <c r="AG273" s="285" t="s">
        <v>1608</v>
      </c>
      <c r="AH273" s="47"/>
      <c r="AL273" s="84"/>
      <c r="AM273" s="47"/>
      <c r="AN273" s="47"/>
      <c r="AO273" s="45"/>
      <c r="AP273" s="47"/>
      <c r="AQ273" s="47"/>
      <c r="AR273" s="47"/>
      <c r="AS273" s="84"/>
      <c r="AT273" s="121"/>
      <c r="AU273" s="47"/>
      <c r="AV273" s="45"/>
      <c r="AW273" s="47"/>
      <c r="AX273" s="47"/>
    </row>
    <row r="274" spans="1:50">
      <c r="A274" s="3"/>
      <c r="B274" s="4"/>
      <c r="C274" s="87"/>
      <c r="D274" s="234"/>
      <c r="E274" s="30"/>
      <c r="F274" s="29"/>
      <c r="G274" s="30"/>
      <c r="H274" s="30"/>
      <c r="I274" s="29"/>
      <c r="J274" s="30"/>
      <c r="K274" s="30"/>
      <c r="L274" s="115"/>
      <c r="M274" s="30"/>
      <c r="N274" s="30"/>
      <c r="O274" s="29"/>
      <c r="P274" s="30"/>
      <c r="Q274" s="30"/>
      <c r="R274" s="29"/>
      <c r="S274" s="172"/>
      <c r="T274" s="30"/>
      <c r="U274" s="87"/>
      <c r="V274" s="9"/>
      <c r="W274" s="45"/>
      <c r="X274" s="9"/>
      <c r="Z274" s="42"/>
      <c r="AA274" s="47"/>
      <c r="AB274" s="359"/>
      <c r="AD274" s="42"/>
      <c r="AF274" s="176"/>
      <c r="AG274" s="259"/>
      <c r="AH274" s="47"/>
      <c r="AL274" s="84"/>
      <c r="AM274" s="47"/>
      <c r="AN274" s="47"/>
      <c r="AO274" s="45"/>
      <c r="AP274" s="47"/>
      <c r="AQ274" s="47"/>
      <c r="AR274" s="47"/>
      <c r="AS274" s="84"/>
      <c r="AT274" s="121"/>
      <c r="AU274" s="47"/>
      <c r="AV274" s="45"/>
      <c r="AW274" s="47"/>
      <c r="AX274" s="47"/>
    </row>
    <row r="275" spans="1:50">
      <c r="A275" s="3"/>
      <c r="B275" s="4"/>
      <c r="C275" s="87"/>
      <c r="D275" s="234"/>
      <c r="E275" s="30"/>
      <c r="F275" s="29"/>
      <c r="G275" s="30"/>
      <c r="H275" s="30"/>
      <c r="I275" s="29"/>
      <c r="J275" s="30"/>
      <c r="K275" s="30"/>
      <c r="L275" s="115"/>
      <c r="M275" s="30"/>
      <c r="N275" s="30"/>
      <c r="O275" s="29"/>
      <c r="P275" s="30"/>
      <c r="Q275" s="30"/>
      <c r="R275" s="29"/>
      <c r="S275" s="172"/>
      <c r="T275" s="30"/>
      <c r="U275" s="87"/>
      <c r="V275" s="9"/>
      <c r="W275" s="45"/>
      <c r="X275" s="9"/>
      <c r="Z275" s="42"/>
      <c r="AA275" s="47"/>
      <c r="AB275" s="261"/>
      <c r="AC275" s="175"/>
      <c r="AD275" s="155"/>
      <c r="AF275" s="176"/>
      <c r="AG275" s="259"/>
      <c r="AH275" s="47"/>
      <c r="AI275" s="260"/>
      <c r="AJ275" s="47"/>
      <c r="AK275" s="45"/>
      <c r="AL275" s="84"/>
      <c r="AM275" s="47"/>
      <c r="AN275" s="47"/>
      <c r="AO275" s="45"/>
      <c r="AP275" s="47"/>
      <c r="AQ275" s="47"/>
      <c r="AR275" s="47"/>
      <c r="AS275" s="84"/>
      <c r="AT275" s="121"/>
      <c r="AU275" s="47"/>
      <c r="AV275" s="45"/>
      <c r="AW275" s="47"/>
      <c r="AX275" s="47"/>
    </row>
    <row r="276" spans="1:50">
      <c r="A276" s="3"/>
      <c r="B276" s="4"/>
      <c r="C276" s="87"/>
      <c r="D276" s="234"/>
      <c r="E276" s="30"/>
      <c r="F276" s="29"/>
      <c r="G276" s="30"/>
      <c r="H276" s="30"/>
      <c r="I276" s="29"/>
      <c r="J276" s="30"/>
      <c r="K276" s="30"/>
      <c r="L276" s="115"/>
      <c r="M276" s="30"/>
      <c r="N276" s="30"/>
      <c r="O276" s="29"/>
      <c r="P276" s="30"/>
      <c r="Q276" s="30"/>
      <c r="R276" s="29"/>
      <c r="S276" s="172"/>
      <c r="T276" s="30"/>
      <c r="U276" s="87"/>
      <c r="V276" s="9"/>
      <c r="W276" s="45"/>
      <c r="X276" s="9"/>
      <c r="Z276" s="42"/>
      <c r="AA276" s="47"/>
      <c r="AB276" s="261"/>
      <c r="AC276" s="175"/>
      <c r="AD276" s="155"/>
      <c r="AF276" s="260"/>
      <c r="AG276" s="259"/>
      <c r="AH276" s="47"/>
      <c r="AI276" s="260"/>
      <c r="AJ276" s="47"/>
      <c r="AK276" s="45"/>
      <c r="AL276" s="84"/>
      <c r="AM276" s="47"/>
      <c r="AN276" s="47"/>
      <c r="AO276" s="45"/>
      <c r="AP276" s="47"/>
      <c r="AQ276" s="47"/>
      <c r="AR276" s="47"/>
      <c r="AS276" s="84"/>
      <c r="AT276" s="121"/>
      <c r="AU276" s="47"/>
      <c r="AV276" s="45"/>
      <c r="AW276" s="47"/>
      <c r="AX276" s="47"/>
    </row>
    <row r="277" spans="1:50">
      <c r="A277" s="3"/>
      <c r="B277" s="4"/>
      <c r="C277" s="87"/>
      <c r="D277" s="234"/>
      <c r="E277" s="30"/>
      <c r="F277" s="29"/>
      <c r="G277" s="30"/>
      <c r="H277" s="30"/>
      <c r="I277" s="29"/>
      <c r="J277" s="30"/>
      <c r="K277" s="30"/>
      <c r="L277" s="115"/>
      <c r="M277" s="30"/>
      <c r="N277" s="30"/>
      <c r="O277" s="29"/>
      <c r="P277" s="30"/>
      <c r="Q277" s="30"/>
      <c r="R277" s="29"/>
      <c r="S277" s="172"/>
      <c r="T277" s="30"/>
      <c r="U277" s="87"/>
      <c r="V277" s="9"/>
      <c r="W277" s="45"/>
      <c r="X277" s="9"/>
      <c r="Z277" s="42"/>
      <c r="AA277" s="47"/>
      <c r="AB277" s="261"/>
      <c r="AC277" s="175"/>
      <c r="AD277" s="155"/>
      <c r="AG277" s="275"/>
      <c r="AH277" s="47"/>
      <c r="AL277" s="84"/>
      <c r="AM277" s="47"/>
      <c r="AN277" s="47"/>
      <c r="AO277" s="45"/>
      <c r="AP277" s="47"/>
      <c r="AQ277" s="47"/>
      <c r="AR277" s="47"/>
      <c r="AS277" s="84"/>
      <c r="AT277" s="121"/>
      <c r="AU277" s="47"/>
      <c r="AV277" s="45"/>
      <c r="AW277" s="47"/>
      <c r="AX277" s="47"/>
    </row>
    <row r="278" spans="1:50">
      <c r="A278" s="3"/>
      <c r="B278" s="4"/>
      <c r="C278" s="87"/>
      <c r="D278" s="234"/>
      <c r="E278" s="30"/>
      <c r="F278" s="29"/>
      <c r="G278" s="30"/>
      <c r="H278" s="30"/>
      <c r="I278" s="29"/>
      <c r="J278" s="30"/>
      <c r="K278" s="30"/>
      <c r="L278" s="115"/>
      <c r="M278" s="30"/>
      <c r="N278" s="30"/>
      <c r="O278" s="29"/>
      <c r="P278" s="30"/>
      <c r="Q278" s="30"/>
      <c r="R278" s="29"/>
      <c r="S278" s="172"/>
      <c r="T278" s="30"/>
      <c r="U278" s="87"/>
      <c r="V278" s="9"/>
      <c r="W278" s="45"/>
      <c r="X278" s="9"/>
      <c r="Z278" s="42"/>
      <c r="AA278" s="47"/>
      <c r="AB278" s="261"/>
      <c r="AC278" s="175"/>
      <c r="AD278" s="155"/>
      <c r="AF278" s="16"/>
      <c r="AG278" s="275"/>
      <c r="AH278" s="47"/>
      <c r="AI278" s="260"/>
      <c r="AJ278" s="47"/>
      <c r="AK278" s="45"/>
      <c r="AL278" s="84"/>
      <c r="AM278" s="47"/>
      <c r="AN278" s="47"/>
      <c r="AO278" s="45"/>
      <c r="AP278" s="47"/>
      <c r="AQ278" s="47"/>
      <c r="AR278" s="47"/>
      <c r="AS278" s="84"/>
      <c r="AT278" s="121"/>
      <c r="AU278" s="47"/>
      <c r="AV278" s="45"/>
      <c r="AW278" s="47"/>
      <c r="AX278" s="47"/>
    </row>
    <row r="279" spans="1:50">
      <c r="A279" s="3"/>
      <c r="B279" s="4"/>
      <c r="C279" s="87"/>
      <c r="D279" s="234"/>
      <c r="E279" s="30"/>
      <c r="F279" s="29"/>
      <c r="G279" s="30"/>
      <c r="H279" s="30"/>
      <c r="I279" s="29"/>
      <c r="J279" s="30"/>
      <c r="K279" s="30"/>
      <c r="L279" s="115"/>
      <c r="M279" s="30"/>
      <c r="N279" s="30"/>
      <c r="O279" s="29"/>
      <c r="P279" s="30"/>
      <c r="Q279" s="30"/>
      <c r="R279" s="29"/>
      <c r="S279" s="172"/>
      <c r="T279" s="30"/>
      <c r="U279" s="87"/>
      <c r="V279" s="9"/>
      <c r="W279" s="45"/>
      <c r="X279" s="9"/>
      <c r="Z279" s="42"/>
      <c r="AA279" s="47"/>
      <c r="AB279" s="261"/>
      <c r="AC279" s="175"/>
      <c r="AD279" s="155"/>
      <c r="AF279" s="16"/>
      <c r="AG279" s="275"/>
      <c r="AH279" s="47"/>
      <c r="AI279" s="260"/>
      <c r="AJ279" s="114"/>
      <c r="AK279" s="45"/>
      <c r="AL279" s="84"/>
      <c r="AM279" s="47"/>
      <c r="AN279" s="47"/>
      <c r="AO279" s="45"/>
      <c r="AP279" s="47"/>
      <c r="AQ279" s="47"/>
      <c r="AR279" s="47"/>
      <c r="AS279" s="84"/>
      <c r="AT279" s="121"/>
      <c r="AU279" s="47"/>
      <c r="AV279" s="45"/>
      <c r="AW279" s="47"/>
      <c r="AX279" s="47"/>
    </row>
    <row r="280" spans="1:50">
      <c r="A280" s="3"/>
      <c r="B280" s="4"/>
      <c r="C280" s="87"/>
      <c r="D280" s="234"/>
      <c r="E280" s="30"/>
      <c r="F280" s="29"/>
      <c r="G280" s="30"/>
      <c r="H280" s="30"/>
      <c r="I280" s="29"/>
      <c r="J280" s="30"/>
      <c r="K280" s="30"/>
      <c r="L280" s="115"/>
      <c r="M280" s="30"/>
      <c r="N280" s="30"/>
      <c r="O280" s="29"/>
      <c r="P280" s="30"/>
      <c r="Q280" s="30"/>
      <c r="R280" s="29"/>
      <c r="S280" s="172"/>
      <c r="T280" s="30"/>
      <c r="U280" s="87"/>
      <c r="V280" s="9"/>
      <c r="W280" s="45"/>
      <c r="X280" s="9"/>
      <c r="Y280" s="273"/>
      <c r="Z280" s="155"/>
      <c r="AA280" s="47"/>
      <c r="AB280" s="261"/>
      <c r="AC280" s="175"/>
      <c r="AD280" s="155"/>
      <c r="AF280" s="16"/>
      <c r="AG280" s="275"/>
      <c r="AH280" s="47"/>
      <c r="AI280" s="47"/>
      <c r="AJ280" s="47"/>
      <c r="AK280" s="45"/>
      <c r="AL280" s="84"/>
      <c r="AM280" s="47"/>
      <c r="AN280" s="47"/>
      <c r="AO280" s="45"/>
      <c r="AP280" s="47"/>
      <c r="AQ280" s="47"/>
      <c r="AR280" s="47"/>
      <c r="AS280" s="84"/>
      <c r="AT280" s="121"/>
      <c r="AU280" s="47"/>
      <c r="AV280" s="45"/>
      <c r="AW280" s="47"/>
      <c r="AX280" s="47"/>
    </row>
    <row r="281" spans="1:50" ht="18">
      <c r="A281" s="3" t="s">
        <v>108</v>
      </c>
      <c r="B281" s="4" t="s">
        <v>109</v>
      </c>
      <c r="C281" s="266">
        <f>AVERAGE(D281:D283)</f>
        <v>96.833333333333329</v>
      </c>
      <c r="D281" s="30">
        <v>99.2</v>
      </c>
      <c r="E281" s="30" t="s">
        <v>251</v>
      </c>
      <c r="F281" s="83"/>
      <c r="G281" s="70"/>
      <c r="H281" s="70"/>
      <c r="I281" s="83"/>
      <c r="J281" s="70"/>
      <c r="K281" s="70"/>
      <c r="L281" s="213">
        <f>M281</f>
        <v>103</v>
      </c>
      <c r="M281" s="70">
        <v>103</v>
      </c>
      <c r="N281" s="70" t="s">
        <v>251</v>
      </c>
      <c r="O281" s="29"/>
      <c r="P281" s="30"/>
      <c r="Q281" s="30"/>
      <c r="R281" s="29"/>
      <c r="S281" s="172"/>
      <c r="T281" s="30"/>
      <c r="U281" s="145">
        <f>AVERAGE(V282:V283)</f>
        <v>10.655000000000001</v>
      </c>
      <c r="V281" s="177">
        <f>LOG(45700000000)</f>
        <v>10.65991620006985</v>
      </c>
      <c r="W281" s="155" t="s">
        <v>106</v>
      </c>
      <c r="X281" s="9"/>
      <c r="Y281" s="258">
        <f>LOG(2770000)</f>
        <v>6.4424797690644482</v>
      </c>
      <c r="Z281" s="155" t="s">
        <v>106</v>
      </c>
      <c r="AA281" s="47"/>
      <c r="AB281" s="295">
        <v>3.5</v>
      </c>
      <c r="AC281" s="261">
        <f>LOG(AB281/8.314/298.15)</f>
        <v>-2.8501767895016781</v>
      </c>
      <c r="AD281" s="299" t="s">
        <v>106</v>
      </c>
      <c r="AE281" s="130">
        <f>AVERAGE(AF282:AF284)</f>
        <v>-3.8064674031393619</v>
      </c>
      <c r="AF281" s="261">
        <f>LOG(0.000238)</f>
        <v>-3.6234230429434882</v>
      </c>
      <c r="AG281" s="155" t="s">
        <v>106</v>
      </c>
      <c r="AH281" s="130">
        <f>AI282</f>
        <v>-3.6293678108253968</v>
      </c>
      <c r="AI281" s="295">
        <f>LOG(0.263/1000)</f>
        <v>-3.580044251510242</v>
      </c>
      <c r="AJ281" s="264">
        <f>10^AI281*$B$282</f>
        <v>0.12776408499999997</v>
      </c>
      <c r="AK281" s="296" t="s">
        <v>1187</v>
      </c>
      <c r="AL281" s="84"/>
      <c r="AM281" s="261">
        <f>LOG((3830))</f>
        <v>3.5831987739686229</v>
      </c>
      <c r="AN281" s="264">
        <f>10^AM281*$B$282</f>
        <v>1860594.8500000031</v>
      </c>
      <c r="AO281" s="259" t="s">
        <v>1187</v>
      </c>
      <c r="AP281" s="47"/>
      <c r="AQ281" s="47"/>
      <c r="AR281" s="47"/>
      <c r="AS281" s="150">
        <f>AVERAGE(AT281:AT283)</f>
        <v>106</v>
      </c>
      <c r="AT281" s="121">
        <f>AVERAGE(104,108)</f>
        <v>106</v>
      </c>
      <c r="AU281" s="270">
        <f>AT281+273.15</f>
        <v>379.15</v>
      </c>
      <c r="AV281" s="45" t="s">
        <v>1193</v>
      </c>
      <c r="AW281" s="47"/>
      <c r="AX281" s="47"/>
    </row>
    <row r="282" spans="1:50" ht="18.75">
      <c r="A282" s="20" t="s">
        <v>1418</v>
      </c>
      <c r="B282" s="171">
        <v>485.79500000000002</v>
      </c>
      <c r="C282" s="266">
        <f>_xlfn.STDEV.S(D281:D283)</f>
        <v>2.9704096238285618</v>
      </c>
      <c r="D282" s="30">
        <v>93.5</v>
      </c>
      <c r="E282" s="30" t="s">
        <v>826</v>
      </c>
      <c r="F282" s="83"/>
      <c r="G282" s="70"/>
      <c r="H282" s="70"/>
      <c r="I282" s="83"/>
      <c r="J282" s="70"/>
      <c r="K282" s="70"/>
      <c r="L282" s="145">
        <f>RSD_dUoa*L281</f>
        <v>6.5258826293688674</v>
      </c>
      <c r="M282" s="70"/>
      <c r="N282" s="70"/>
      <c r="O282" s="29"/>
      <c r="P282" s="30"/>
      <c r="Q282" s="30"/>
      <c r="R282" s="29"/>
      <c r="S282" s="172"/>
      <c r="T282" s="30"/>
      <c r="U282" s="145">
        <f>_xlfn.STDEV.S(V282:V283)</f>
        <v>0.23334523779156074</v>
      </c>
      <c r="V282" s="9">
        <v>10.82</v>
      </c>
      <c r="W282" s="45" t="s">
        <v>114</v>
      </c>
      <c r="X282" s="9"/>
      <c r="Y282" s="273"/>
      <c r="Z282" s="45"/>
      <c r="AA282" s="47"/>
      <c r="AB282" s="175">
        <v>0.5</v>
      </c>
      <c r="AC282" s="261">
        <f>LOG(AB282/8.314/298.15)</f>
        <v>-3.695274829515935</v>
      </c>
      <c r="AD282" s="155" t="s">
        <v>1194</v>
      </c>
      <c r="AE282" s="130">
        <f>_xlfn.STDEV.S(AF282:AF284)</f>
        <v>0.15897540206098351</v>
      </c>
      <c r="AF282" s="6">
        <v>-3.91</v>
      </c>
      <c r="AG282" s="7" t="s">
        <v>105</v>
      </c>
      <c r="AH282" s="130">
        <f>ABS(AH281*RSD_SW)</f>
        <v>0.44878797989465358</v>
      </c>
      <c r="AI282" s="260">
        <f>LOG(AJ282/$B$282)</f>
        <v>-3.6293678108253968</v>
      </c>
      <c r="AJ282" s="114">
        <f>'Table S4 Conversions and Notes'!J268</f>
        <v>0.11404735820679074</v>
      </c>
      <c r="AK282" s="45" t="s">
        <v>1189</v>
      </c>
      <c r="AL282" s="84"/>
      <c r="AM282" s="47"/>
      <c r="AN282" s="47"/>
      <c r="AO282" s="45"/>
      <c r="AP282" s="47"/>
      <c r="AQ282" s="47"/>
      <c r="AR282" s="47"/>
      <c r="AS282" s="182">
        <f>RSD_Tm*AS281</f>
        <v>4.8935660219839905</v>
      </c>
      <c r="AT282" s="121"/>
      <c r="AU282" s="47"/>
      <c r="AV282" s="45"/>
      <c r="AW282" s="47"/>
      <c r="AX282" s="47"/>
    </row>
    <row r="283" spans="1:50">
      <c r="A283" s="3"/>
      <c r="C283" s="324">
        <f>COUNTA(D281:D284)</f>
        <v>3</v>
      </c>
      <c r="D283" s="13">
        <v>97.8</v>
      </c>
      <c r="E283" s="30" t="s">
        <v>825</v>
      </c>
      <c r="F283" s="83"/>
      <c r="G283" s="70"/>
      <c r="H283" s="70"/>
      <c r="I283" s="83"/>
      <c r="J283" s="70"/>
      <c r="K283" s="70"/>
      <c r="L283" s="324">
        <f>COUNTA(M281:M283)</f>
        <v>1</v>
      </c>
      <c r="M283" s="70"/>
      <c r="N283" s="70"/>
      <c r="O283" s="29"/>
      <c r="P283" s="30"/>
      <c r="Q283" s="30"/>
      <c r="R283" s="29"/>
      <c r="S283" s="172"/>
      <c r="T283" s="30"/>
      <c r="U283" s="324">
        <f>COUNTA(V282:V283)</f>
        <v>2</v>
      </c>
      <c r="V283" s="9">
        <v>10.49</v>
      </c>
      <c r="W283" s="45" t="s">
        <v>1109</v>
      </c>
      <c r="X283" s="9"/>
      <c r="Y283" s="273"/>
      <c r="Z283" s="45"/>
      <c r="AA283" s="47"/>
      <c r="AB283" s="47"/>
      <c r="AC283" s="47"/>
      <c r="AD283" s="45"/>
      <c r="AE283" s="324">
        <f>COUNTA(AF282:AF284)</f>
        <v>3</v>
      </c>
      <c r="AF283" s="17">
        <v>-3.8859791664745975</v>
      </c>
      <c r="AG283" s="45" t="s">
        <v>256</v>
      </c>
      <c r="AH283" s="324">
        <f>COUNTA(AI282:AI284)</f>
        <v>1</v>
      </c>
      <c r="AI283" s="263"/>
      <c r="AJ283" s="51"/>
      <c r="AK283" s="220"/>
      <c r="AL283" s="84"/>
      <c r="AM283" s="47"/>
      <c r="AN283" s="47"/>
      <c r="AO283" s="45"/>
      <c r="AP283" s="47"/>
      <c r="AQ283" s="47"/>
      <c r="AR283" s="47"/>
      <c r="AS283" s="324">
        <f>COUNTA(AT281:AT283)</f>
        <v>1</v>
      </c>
      <c r="AT283" s="121"/>
      <c r="AU283" s="47"/>
      <c r="AV283" s="45"/>
      <c r="AW283" s="47"/>
      <c r="AX283" s="47"/>
    </row>
    <row r="284" spans="1:50">
      <c r="A284" s="3"/>
      <c r="B284" s="4" t="s">
        <v>20</v>
      </c>
      <c r="C284" s="87"/>
      <c r="D284" s="234"/>
      <c r="E284" s="30"/>
      <c r="F284" s="29"/>
      <c r="G284" s="30"/>
      <c r="H284" s="30"/>
      <c r="I284" s="29"/>
      <c r="J284" s="30"/>
      <c r="K284" s="30"/>
      <c r="L284" s="115"/>
      <c r="M284" s="30"/>
      <c r="N284" s="30"/>
      <c r="O284" s="29"/>
      <c r="P284" s="30"/>
      <c r="Q284" s="30"/>
      <c r="R284" s="29"/>
      <c r="S284" s="172"/>
      <c r="T284" s="300"/>
      <c r="W284" s="42"/>
      <c r="X284" s="273"/>
      <c r="Y284" s="273"/>
      <c r="Z284" s="45"/>
      <c r="AA284" s="47"/>
      <c r="AB284" s="47"/>
      <c r="AC284" s="47"/>
      <c r="AD284" s="45"/>
      <c r="AF284" s="17">
        <f>LOG(0.000238)</f>
        <v>-3.6234230429434882</v>
      </c>
      <c r="AG284" s="13" t="s">
        <v>107</v>
      </c>
      <c r="AH284" s="84"/>
      <c r="AI284" s="47"/>
      <c r="AJ284" s="1"/>
      <c r="AK284" s="1"/>
      <c r="AL284" s="84"/>
      <c r="AM284" s="47"/>
      <c r="AN284" s="47"/>
      <c r="AO284" s="45"/>
      <c r="AP284" s="47"/>
      <c r="AQ284" s="47"/>
      <c r="AR284" s="47"/>
      <c r="AS284" s="84"/>
      <c r="AT284" s="121"/>
      <c r="AU284" s="47"/>
      <c r="AV284" s="45"/>
      <c r="AW284" s="47"/>
      <c r="AX284" s="47"/>
    </row>
    <row r="285" spans="1:50">
      <c r="A285" s="3"/>
      <c r="B285" s="4"/>
      <c r="C285" s="87"/>
      <c r="D285" s="234"/>
      <c r="E285" s="30"/>
      <c r="F285" s="29"/>
      <c r="G285" s="30"/>
      <c r="H285" s="30"/>
      <c r="I285" s="29"/>
      <c r="J285" s="30"/>
      <c r="K285" s="30"/>
      <c r="L285" s="115"/>
      <c r="M285" s="30"/>
      <c r="N285" s="30"/>
      <c r="O285" s="29"/>
      <c r="P285" s="30"/>
      <c r="Q285" s="30"/>
      <c r="R285" s="29"/>
      <c r="S285" s="172"/>
      <c r="T285" s="30"/>
      <c r="U285" s="87"/>
      <c r="V285" s="9"/>
      <c r="W285" s="45"/>
      <c r="X285" s="273"/>
      <c r="Y285" s="273"/>
      <c r="Z285" s="45"/>
      <c r="AA285" s="47"/>
      <c r="AB285" s="47"/>
      <c r="AC285" s="47"/>
      <c r="AD285" s="45"/>
      <c r="AF285" s="17"/>
      <c r="AG285" s="45"/>
      <c r="AH285" s="84"/>
      <c r="AI285" s="47"/>
      <c r="AJ285" s="1"/>
      <c r="AK285" s="1"/>
      <c r="AL285" s="84"/>
      <c r="AM285" s="47"/>
      <c r="AN285" s="47"/>
      <c r="AO285" s="45"/>
      <c r="AP285" s="47"/>
      <c r="AQ285" s="47"/>
      <c r="AR285" s="47"/>
      <c r="AS285" s="84"/>
      <c r="AT285" s="121"/>
      <c r="AU285" s="47"/>
      <c r="AV285" s="45"/>
      <c r="AW285" s="47"/>
      <c r="AX285" s="47"/>
    </row>
    <row r="286" spans="1:50" ht="18">
      <c r="A286" s="3" t="s">
        <v>110</v>
      </c>
      <c r="B286" s="4" t="s">
        <v>111</v>
      </c>
      <c r="C286" s="287">
        <f>AVERAGE(D286:D287)</f>
        <v>100</v>
      </c>
      <c r="D286" s="30">
        <v>100</v>
      </c>
      <c r="E286" s="30" t="s">
        <v>251</v>
      </c>
      <c r="F286" s="83"/>
      <c r="G286" s="70"/>
      <c r="H286" s="70"/>
      <c r="I286" s="83"/>
      <c r="J286" s="70"/>
      <c r="K286" s="70"/>
      <c r="L286" s="213">
        <f>M286</f>
        <v>98.4</v>
      </c>
      <c r="M286" s="70">
        <v>98.4</v>
      </c>
      <c r="N286" s="70" t="s">
        <v>251</v>
      </c>
      <c r="O286" s="29"/>
      <c r="P286" s="30"/>
      <c r="Q286" s="30"/>
      <c r="R286" s="29"/>
      <c r="S286" s="172"/>
      <c r="T286" s="30"/>
      <c r="U286" s="145">
        <f>V287</f>
        <v>10.361775178295694</v>
      </c>
      <c r="V286" s="177">
        <f>LOG(34200000000)</f>
        <v>10.534026106056135</v>
      </c>
      <c r="W286" s="155" t="s">
        <v>106</v>
      </c>
      <c r="X286" s="274"/>
      <c r="Y286" s="258">
        <f>LOG(2090000)</f>
        <v>6.3201462861110542</v>
      </c>
      <c r="Z286" s="155" t="s">
        <v>106</v>
      </c>
      <c r="AA286" s="47"/>
      <c r="AB286" s="175">
        <v>3.54</v>
      </c>
      <c r="AC286" s="261">
        <f>LOG(AB286/8.314/298.15)</f>
        <v>-2.8452415718261661</v>
      </c>
      <c r="AD286" s="155" t="s">
        <v>106</v>
      </c>
      <c r="AE286" s="130">
        <f>AVERAGE(AF287)</f>
        <v>-3.7529626300087369</v>
      </c>
      <c r="AF286" s="176">
        <f>LOG(0.000205)</f>
        <v>-3.6882461389442458</v>
      </c>
      <c r="AG286" s="185" t="s">
        <v>106</v>
      </c>
      <c r="AH286" s="84"/>
      <c r="AI286" s="154">
        <f>LOG((0.000286))</f>
        <v>-3.5436339668709569</v>
      </c>
      <c r="AJ286" s="264">
        <f>10^AI286*$B$287</f>
        <v>0.13893737000000003</v>
      </c>
      <c r="AK286" s="262" t="s">
        <v>1187</v>
      </c>
      <c r="AL286" s="84"/>
      <c r="AM286" s="261">
        <f>LOG((2830))</f>
        <v>3.4517864355242902</v>
      </c>
      <c r="AN286" s="264">
        <f>10^AM286*$B$287</f>
        <v>1374799.8500000006</v>
      </c>
      <c r="AO286" s="259" t="s">
        <v>1187</v>
      </c>
      <c r="AP286" s="47"/>
      <c r="AQ286" s="47"/>
      <c r="AR286" s="47"/>
      <c r="AS286" s="84"/>
      <c r="AT286" s="121"/>
      <c r="AU286" s="47"/>
      <c r="AV286" s="45"/>
      <c r="AW286" s="47"/>
      <c r="AX286" s="47"/>
    </row>
    <row r="287" spans="1:50">
      <c r="A287" s="20" t="s">
        <v>1417</v>
      </c>
      <c r="B287" s="171">
        <v>485.79500000000002</v>
      </c>
      <c r="C287" s="287">
        <f>C286*RSD_dHvap</f>
        <v>7.136341846899807</v>
      </c>
      <c r="D287" s="234"/>
      <c r="E287" s="30"/>
      <c r="F287" s="29"/>
      <c r="G287" s="30"/>
      <c r="H287" s="30"/>
      <c r="I287" s="29"/>
      <c r="J287" s="30"/>
      <c r="K287" s="30"/>
      <c r="L287" s="145">
        <f>RSD_dUoa*L286</f>
        <v>6.2344354439795788</v>
      </c>
      <c r="M287" s="30"/>
      <c r="N287" s="30"/>
      <c r="O287" s="29"/>
      <c r="P287" s="30"/>
      <c r="Q287" s="30"/>
      <c r="R287" s="29"/>
      <c r="S287" s="172"/>
      <c r="T287" s="30"/>
      <c r="U287" s="145" cm="1">
        <f t="array" ref="U287">U286*RSD_Koa</f>
        <v>0.26679310236504827</v>
      </c>
      <c r="V287" s="15">
        <v>10.361775178295694</v>
      </c>
      <c r="W287" s="45" t="s">
        <v>256</v>
      </c>
      <c r="X287" s="112"/>
      <c r="Y287" s="273"/>
      <c r="Z287" s="45"/>
      <c r="AA287" s="47"/>
      <c r="AB287" s="47"/>
      <c r="AC287" s="47"/>
      <c r="AD287" s="45"/>
      <c r="AE287" s="130">
        <f>ABS(RSD_PL*AE286)</f>
        <v>0.59546147392098581</v>
      </c>
      <c r="AF287" s="17">
        <v>-3.7529626300087369</v>
      </c>
      <c r="AG287" s="45" t="s">
        <v>256</v>
      </c>
      <c r="AH287" s="84"/>
      <c r="AI287" s="47"/>
      <c r="AJ287" s="47"/>
      <c r="AK287" s="45"/>
      <c r="AL287" s="84"/>
      <c r="AM287" s="175"/>
      <c r="AN287" s="175"/>
      <c r="AO287" s="155"/>
      <c r="AP287" s="47"/>
      <c r="AQ287" s="47"/>
      <c r="AR287" s="47"/>
      <c r="AS287" s="84"/>
      <c r="AT287" s="121"/>
      <c r="AU287" s="47"/>
      <c r="AV287" s="45"/>
      <c r="AW287" s="47"/>
      <c r="AX287" s="47"/>
    </row>
    <row r="288" spans="1:50">
      <c r="A288" s="3"/>
      <c r="B288" s="171"/>
      <c r="C288" s="324">
        <f>COUNTA(D286:D288)</f>
        <v>1</v>
      </c>
      <c r="D288" s="234"/>
      <c r="E288" s="30"/>
      <c r="F288" s="29"/>
      <c r="G288" s="30"/>
      <c r="H288" s="30"/>
      <c r="I288" s="29"/>
      <c r="J288" s="30"/>
      <c r="K288" s="30"/>
      <c r="L288" s="324">
        <f>COUNTA(M286:M288)</f>
        <v>1</v>
      </c>
      <c r="M288" s="30"/>
      <c r="N288" s="30"/>
      <c r="O288" s="29"/>
      <c r="P288" s="30"/>
      <c r="Q288" s="30"/>
      <c r="R288" s="29"/>
      <c r="S288" s="172"/>
      <c r="T288" s="30"/>
      <c r="U288" s="324">
        <f>COUNTA(V287:V288)</f>
        <v>1</v>
      </c>
      <c r="V288" s="8"/>
      <c r="W288" s="45"/>
      <c r="X288" s="112"/>
      <c r="Y288" s="273"/>
      <c r="Z288" s="220"/>
      <c r="AA288" s="47"/>
      <c r="AB288" s="47"/>
      <c r="AC288" s="47"/>
      <c r="AD288" s="45"/>
      <c r="AE288" s="324">
        <f>COUNTA(AF287)</f>
        <v>1</v>
      </c>
      <c r="AF288" s="6"/>
      <c r="AG288" s="7"/>
      <c r="AH288" s="84"/>
      <c r="AI288" s="47"/>
      <c r="AJ288" s="47"/>
      <c r="AK288" s="45"/>
      <c r="AL288" s="84"/>
      <c r="AM288" s="175"/>
      <c r="AN288" s="175"/>
      <c r="AO288" s="155"/>
      <c r="AP288" s="47"/>
      <c r="AQ288" s="47"/>
      <c r="AR288" s="47"/>
      <c r="AS288" s="84"/>
      <c r="AT288" s="121"/>
      <c r="AU288" s="47"/>
      <c r="AV288" s="45"/>
      <c r="AW288" s="47"/>
      <c r="AX288" s="47"/>
    </row>
    <row r="289" spans="1:50" ht="18">
      <c r="A289" s="3" t="s">
        <v>112</v>
      </c>
      <c r="B289" s="4" t="s">
        <v>113</v>
      </c>
      <c r="C289" s="287">
        <f>AVERAGE(D290:D291)</f>
        <v>113</v>
      </c>
      <c r="D289" s="206">
        <v>99.5</v>
      </c>
      <c r="E289" s="206" t="s">
        <v>229</v>
      </c>
      <c r="F289" s="83"/>
      <c r="G289" s="70"/>
      <c r="H289" s="70"/>
      <c r="I289" s="83"/>
      <c r="J289" s="70"/>
      <c r="K289" s="70"/>
      <c r="L289" s="145">
        <f>AVERAGE(M290)</f>
        <v>122</v>
      </c>
      <c r="M289" s="206">
        <v>105</v>
      </c>
      <c r="N289" s="206" t="s">
        <v>229</v>
      </c>
      <c r="O289" s="157">
        <f>P290</f>
        <v>54.209000000000003</v>
      </c>
      <c r="P289" s="206">
        <v>56.6</v>
      </c>
      <c r="Q289" s="290" t="s">
        <v>1621</v>
      </c>
      <c r="R289" s="29"/>
      <c r="S289" s="172"/>
      <c r="T289" s="30"/>
      <c r="U289" s="145">
        <f>AVERAGE(V291:V292)</f>
        <v>11.375613387532628</v>
      </c>
      <c r="V289" s="176">
        <v>11.26</v>
      </c>
      <c r="W289" s="155" t="s">
        <v>229</v>
      </c>
      <c r="X289" s="303">
        <f>AVERAGE(Y291:Y292)</f>
        <v>6.98</v>
      </c>
      <c r="Y289" s="258">
        <v>6.68</v>
      </c>
      <c r="Z289" s="259" t="s">
        <v>229</v>
      </c>
      <c r="AA289" s="130"/>
      <c r="AB289" s="261">
        <f>10^AC289*8.314*298.15</f>
        <v>0.41138157242661516</v>
      </c>
      <c r="AC289" s="258">
        <v>-3.78</v>
      </c>
      <c r="AD289" s="259" t="s">
        <v>229</v>
      </c>
      <c r="AE289" s="130">
        <f>AVERAGE(AF291:AF293)</f>
        <v>-4.4248091794189603</v>
      </c>
      <c r="AF289" s="176">
        <v>-4.22</v>
      </c>
      <c r="AG289" s="185" t="s">
        <v>229</v>
      </c>
      <c r="AH289" s="130">
        <f>AVERAGE(AI291:AI292)</f>
        <v>-3.9164203700479505</v>
      </c>
      <c r="AI289" s="261">
        <f>LOG(0.000145)</f>
        <v>-3.8386319977650252</v>
      </c>
      <c r="AJ289" s="264">
        <f>10^AI289*$B$290</f>
        <v>8.1880194999999878E-2</v>
      </c>
      <c r="AK289" s="259" t="s">
        <v>229</v>
      </c>
      <c r="AL289" s="219"/>
      <c r="AM289" s="261">
        <f>LOG((18600))</f>
        <v>4.2695129442179161</v>
      </c>
      <c r="AN289" s="264">
        <f>10^AM289*$B$290</f>
        <v>10503252.600000009</v>
      </c>
      <c r="AO289" s="259" t="s">
        <v>1187</v>
      </c>
      <c r="AP289" s="47"/>
      <c r="AQ289" s="47"/>
      <c r="AR289" s="47"/>
      <c r="AS289" s="150">
        <f>AVERAGE(AT289:AT291)</f>
        <v>99</v>
      </c>
      <c r="AT289" s="121">
        <v>100.5</v>
      </c>
      <c r="AU289" s="270">
        <f>AT289+273.15</f>
        <v>373.65</v>
      </c>
      <c r="AV289" s="45" t="s">
        <v>1620</v>
      </c>
      <c r="AW289" s="47"/>
      <c r="AX289" s="47"/>
    </row>
    <row r="290" spans="1:50" ht="18">
      <c r="A290" s="20" t="s">
        <v>1416</v>
      </c>
      <c r="B290" s="171">
        <v>564.69100000000003</v>
      </c>
      <c r="C290" s="266">
        <f>_xlfn.STDEV.S(D290:D291)</f>
        <v>15.556349186104045</v>
      </c>
      <c r="D290" s="234">
        <v>124</v>
      </c>
      <c r="E290" s="30" t="s">
        <v>252</v>
      </c>
      <c r="F290" s="83"/>
      <c r="G290" s="70"/>
      <c r="H290" s="70"/>
      <c r="I290" s="83"/>
      <c r="J290" s="70"/>
      <c r="K290" s="70"/>
      <c r="L290" s="145">
        <f>RSD_dUoa*L289</f>
        <v>7.7296862211941928</v>
      </c>
      <c r="M290" s="70">
        <v>122</v>
      </c>
      <c r="N290" s="70" t="s">
        <v>252</v>
      </c>
      <c r="O290" s="150">
        <f>RSD_Unr*O289</f>
        <v>16.262699999999999</v>
      </c>
      <c r="P290" s="30">
        <f>56.6-2.391</f>
        <v>54.209000000000003</v>
      </c>
      <c r="Q290" s="30" t="s">
        <v>1688</v>
      </c>
      <c r="R290" s="29"/>
      <c r="S290" s="172"/>
      <c r="T290" s="30"/>
      <c r="U290" s="145">
        <f>_xlfn.STDEV.S(V291:V292)</f>
        <v>0.34734978374903991</v>
      </c>
      <c r="V290" s="258">
        <v>11.88</v>
      </c>
      <c r="W290" s="285" t="s">
        <v>106</v>
      </c>
      <c r="X290" s="145">
        <f>_xlfn.STDEV.S(Y291:Y292)</f>
        <v>0.36769552621700502</v>
      </c>
      <c r="Y290" s="258">
        <v>7.31</v>
      </c>
      <c r="Z290" s="259" t="s">
        <v>106</v>
      </c>
      <c r="AA290" s="130"/>
      <c r="AB290" s="175">
        <v>0.71</v>
      </c>
      <c r="AC290" s="261">
        <f>LOG(0.71/8.314/298.15)</f>
        <v>-3.5429864851328787</v>
      </c>
      <c r="AD290" s="155" t="s">
        <v>106</v>
      </c>
      <c r="AE290" s="130">
        <f>_xlfn.STDEV.S(AF291:AF293)</f>
        <v>0.1257038377706223</v>
      </c>
      <c r="AF290" s="176">
        <v>-4.2168113089247425</v>
      </c>
      <c r="AG290" s="185" t="s">
        <v>106</v>
      </c>
      <c r="AH290" s="130">
        <f>_xlfn.STDEV.S(AI291:AI292)</f>
        <v>0.21552936573178999</v>
      </c>
      <c r="AI290" s="261">
        <f>LOG(0.0000851)</f>
        <v>-4.070070439915412</v>
      </c>
      <c r="AJ290" s="264">
        <f>10^AI290*$B$290</f>
        <v>4.8055204099999943E-2</v>
      </c>
      <c r="AK290" s="259" t="s">
        <v>1187</v>
      </c>
      <c r="AL290" s="219"/>
      <c r="AM290" s="47"/>
      <c r="AN290" s="47"/>
      <c r="AO290" s="45"/>
      <c r="AP290" s="47"/>
      <c r="AQ290" s="47"/>
      <c r="AR290" s="47"/>
      <c r="AS290" s="182">
        <f>_xlfn.STDEV.S(AT289:AT291)</f>
        <v>2.1213203435596424</v>
      </c>
      <c r="AT290" s="272">
        <f>AVERAGE(97,98)</f>
        <v>97.5</v>
      </c>
      <c r="AU290" s="270">
        <f>AT290+273.15</f>
        <v>370.65</v>
      </c>
      <c r="AV290" s="45" t="s">
        <v>1195</v>
      </c>
      <c r="AW290" s="47"/>
      <c r="AX290" s="47"/>
    </row>
    <row r="291" spans="1:50" ht="18">
      <c r="A291" s="3"/>
      <c r="C291" s="324">
        <f>COUNTA(D290:D291)</f>
        <v>2</v>
      </c>
      <c r="D291" s="255">
        <v>102</v>
      </c>
      <c r="E291" s="30" t="s">
        <v>1108</v>
      </c>
      <c r="F291" s="83"/>
      <c r="G291" s="70"/>
      <c r="H291" s="70"/>
      <c r="I291" s="83"/>
      <c r="J291" s="70"/>
      <c r="K291" s="70"/>
      <c r="L291" s="324">
        <f>COUNTA(M290)</f>
        <v>1</v>
      </c>
      <c r="M291" s="301">
        <v>105</v>
      </c>
      <c r="N291" s="290" t="s">
        <v>2779</v>
      </c>
      <c r="O291" s="324">
        <f>COUNTA(P290:P291)</f>
        <v>1</v>
      </c>
      <c r="R291" s="29"/>
      <c r="S291" s="172"/>
      <c r="T291" s="30"/>
      <c r="U291" s="324">
        <f>COUNTA(V291:V292)</f>
        <v>2</v>
      </c>
      <c r="V291" s="15">
        <v>11.621226775065255</v>
      </c>
      <c r="W291" s="45" t="s">
        <v>256</v>
      </c>
      <c r="X291" s="324">
        <f>COUNTA(Y291:Y292)</f>
        <v>2</v>
      </c>
      <c r="Y291" s="257">
        <v>7.24</v>
      </c>
      <c r="Z291" s="220" t="s">
        <v>1095</v>
      </c>
      <c r="AA291" s="324"/>
      <c r="AB291" s="258">
        <v>0.24</v>
      </c>
      <c r="AC291" s="261">
        <f>LOG(0.24/8.314/298.15)</f>
        <v>-4.0140335921403478</v>
      </c>
      <c r="AD291" s="155" t="s">
        <v>2864</v>
      </c>
      <c r="AE291" s="324">
        <f>COUNTA(AF291:AF293)</f>
        <v>3</v>
      </c>
      <c r="AF291" s="6">
        <v>-4.54</v>
      </c>
      <c r="AG291" s="7" t="s">
        <v>105</v>
      </c>
      <c r="AH291" s="324">
        <f>COUNTA(AI291:AI292)</f>
        <v>2</v>
      </c>
      <c r="AI291" s="260">
        <f>LOG(AJ291/$B$290)</f>
        <v>-3.7640180939941663</v>
      </c>
      <c r="AJ291" s="263">
        <f>'Table S4 Conversions and Notes'!$J$270</f>
        <v>9.7228317843718798E-2</v>
      </c>
      <c r="AK291" s="45" t="s">
        <v>1196</v>
      </c>
      <c r="AL291" s="219"/>
      <c r="AM291" s="47"/>
      <c r="AN291" s="47"/>
      <c r="AO291" s="45"/>
      <c r="AP291" s="47"/>
      <c r="AQ291" s="47"/>
      <c r="AR291" s="47"/>
      <c r="AS291" s="324">
        <f>COUNTA(AT289:AT291)</f>
        <v>2</v>
      </c>
      <c r="AT291" s="272"/>
      <c r="AU291" s="270"/>
      <c r="AV291" s="45"/>
      <c r="AW291" s="47"/>
      <c r="AX291" s="47"/>
    </row>
    <row r="292" spans="1:50" ht="18">
      <c r="A292" s="3"/>
      <c r="B292" s="4"/>
      <c r="C292" s="87"/>
      <c r="F292" s="29"/>
      <c r="G292" s="30"/>
      <c r="H292" s="30"/>
      <c r="I292" s="29"/>
      <c r="J292" s="30"/>
      <c r="K292" s="30"/>
      <c r="L292" s="115"/>
      <c r="O292" s="29"/>
      <c r="P292" s="30"/>
      <c r="Q292" s="30"/>
      <c r="R292" s="29"/>
      <c r="S292" s="172"/>
      <c r="T292" s="30"/>
      <c r="U292" s="87"/>
      <c r="V292" s="9">
        <v>11.13</v>
      </c>
      <c r="W292" s="45" t="s">
        <v>114</v>
      </c>
      <c r="X292" s="257"/>
      <c r="Y292" s="257">
        <v>6.72</v>
      </c>
      <c r="Z292" s="45" t="s">
        <v>1176</v>
      </c>
      <c r="AA292" s="47"/>
      <c r="AB292" s="286">
        <v>3</v>
      </c>
      <c r="AC292" s="225">
        <f>LOG(3/8.314/298.15)</f>
        <v>-2.9171235791322916</v>
      </c>
      <c r="AD292" s="155" t="s">
        <v>1680</v>
      </c>
      <c r="AF292" s="257">
        <f>LOG(0.0000512)</f>
        <v>-4.2907300390241696</v>
      </c>
      <c r="AG292" s="269" t="s">
        <v>1739</v>
      </c>
      <c r="AH292" s="84"/>
      <c r="AI292" s="260">
        <f>LOG('Table S4 Conversions and Notes'!$J$271)</f>
        <v>-4.0688226461017347</v>
      </c>
      <c r="AJ292" s="263">
        <f>10^AI292*$B$290</f>
        <v>4.8193472516527731E-2</v>
      </c>
      <c r="AK292" s="263" t="s">
        <v>1202</v>
      </c>
      <c r="AL292" s="219"/>
      <c r="AM292" s="47"/>
      <c r="AN292" s="47"/>
      <c r="AO292" s="45"/>
      <c r="AP292" s="47"/>
      <c r="AQ292" s="47"/>
      <c r="AR292" s="47"/>
      <c r="AS292" s="84"/>
      <c r="AW292" s="47"/>
      <c r="AX292" s="47"/>
    </row>
    <row r="293" spans="1:50" ht="18">
      <c r="A293" s="3"/>
      <c r="B293" s="4" t="s">
        <v>20</v>
      </c>
      <c r="C293" s="87"/>
      <c r="D293" s="234"/>
      <c r="E293" s="255"/>
      <c r="F293" s="265"/>
      <c r="G293" s="30"/>
      <c r="H293" s="30"/>
      <c r="I293" s="29"/>
      <c r="J293" s="30"/>
      <c r="K293" s="30"/>
      <c r="L293" s="115"/>
      <c r="M293" s="30"/>
      <c r="N293" s="30"/>
      <c r="O293" s="29"/>
      <c r="P293" s="30"/>
      <c r="Q293" s="30"/>
      <c r="R293" s="29"/>
      <c r="S293" s="172"/>
      <c r="T293" s="30"/>
      <c r="U293" s="87"/>
      <c r="V293" s="1"/>
      <c r="W293" s="275"/>
      <c r="X293" s="273"/>
      <c r="Y293" s="258">
        <v>6.3</v>
      </c>
      <c r="Z293" s="155" t="s">
        <v>1180</v>
      </c>
      <c r="AA293" s="17"/>
      <c r="AB293" s="175">
        <v>3.1</v>
      </c>
      <c r="AC293" s="225">
        <f>LOG(3.1/8.314/298.15)</f>
        <v>-2.9028831400176811</v>
      </c>
      <c r="AD293" s="155" t="s">
        <v>1662</v>
      </c>
      <c r="AF293" s="6">
        <f>LOG(0.000036)</f>
        <v>-4.4436974992327123</v>
      </c>
      <c r="AG293" s="7" t="s">
        <v>1920</v>
      </c>
      <c r="AH293" s="84"/>
      <c r="AI293" s="261">
        <f>LOG(0.0000000009)</f>
        <v>-9.0457574905606748</v>
      </c>
      <c r="AJ293" s="165">
        <v>8.9999999999999999E-10</v>
      </c>
      <c r="AK293" s="259" t="s">
        <v>1113</v>
      </c>
      <c r="AL293" s="219"/>
      <c r="AM293" s="47"/>
      <c r="AN293" s="47"/>
      <c r="AO293" s="45"/>
      <c r="AP293" s="47"/>
      <c r="AQ293" s="47"/>
      <c r="AR293" s="47"/>
      <c r="AS293" s="84"/>
      <c r="AT293" s="121"/>
      <c r="AU293" s="47"/>
      <c r="AV293" s="45"/>
      <c r="AW293" s="47"/>
      <c r="AX293" s="47"/>
    </row>
    <row r="294" spans="1:50" ht="18">
      <c r="A294" s="3"/>
      <c r="B294" s="4"/>
      <c r="C294" s="87"/>
      <c r="D294" s="234"/>
      <c r="E294" s="30"/>
      <c r="F294" s="29"/>
      <c r="G294" s="30"/>
      <c r="H294" s="30"/>
      <c r="I294" s="29"/>
      <c r="J294" s="30"/>
      <c r="K294" s="30"/>
      <c r="L294" s="115"/>
      <c r="M294" s="1"/>
      <c r="N294" s="1"/>
      <c r="O294" s="29"/>
      <c r="P294" s="30"/>
      <c r="Q294" s="30"/>
      <c r="R294" s="29"/>
      <c r="S294" s="172"/>
      <c r="T294" s="30"/>
      <c r="U294" s="87"/>
      <c r="V294" s="9"/>
      <c r="W294" s="45"/>
      <c r="X294" s="273"/>
      <c r="Y294" s="258">
        <v>7.8</v>
      </c>
      <c r="Z294" s="259" t="s">
        <v>1099</v>
      </c>
      <c r="AA294" s="17"/>
      <c r="AB294" s="286">
        <v>8.3000000000000007</v>
      </c>
      <c r="AC294" s="225">
        <f>LOG(8.3/8.314/298.15)</f>
        <v>-2.47516674147588</v>
      </c>
      <c r="AD294" s="155" t="s">
        <v>1661</v>
      </c>
      <c r="AH294" s="84"/>
      <c r="AI294" s="260"/>
      <c r="AJ294" s="263"/>
      <c r="AK294" s="220"/>
      <c r="AL294" s="219"/>
      <c r="AM294" s="47"/>
      <c r="AN294" s="47"/>
      <c r="AO294" s="45"/>
      <c r="AP294" s="47"/>
      <c r="AQ294" s="47"/>
      <c r="AR294" s="47"/>
      <c r="AS294" s="84"/>
      <c r="AT294" s="121"/>
      <c r="AU294" s="270"/>
      <c r="AV294" s="45"/>
      <c r="AW294" s="47"/>
      <c r="AX294" s="47"/>
    </row>
    <row r="295" spans="1:50" ht="18.75">
      <c r="A295" s="3"/>
      <c r="B295" s="4"/>
      <c r="C295" s="87"/>
      <c r="D295" s="234"/>
      <c r="E295" s="30"/>
      <c r="F295" s="29"/>
      <c r="G295" s="30"/>
      <c r="H295" s="30"/>
      <c r="I295" s="29"/>
      <c r="J295" s="30"/>
      <c r="K295" s="30"/>
      <c r="L295" s="115"/>
      <c r="M295" s="30"/>
      <c r="N295" s="30"/>
      <c r="O295" s="29"/>
      <c r="P295" s="30"/>
      <c r="Q295" s="30"/>
      <c r="R295" s="29"/>
      <c r="S295" s="172"/>
      <c r="T295" s="30"/>
      <c r="U295" s="87"/>
      <c r="V295" s="9"/>
      <c r="W295" s="45"/>
      <c r="X295" s="273"/>
      <c r="Y295" s="258">
        <v>6.86</v>
      </c>
      <c r="Z295" s="259" t="s">
        <v>1100</v>
      </c>
      <c r="AA295" s="47"/>
      <c r="AB295" s="261">
        <f>10^AC295*8.314*298.15</f>
        <v>6.8272347156028743E-2</v>
      </c>
      <c r="AC295" s="175">
        <v>-4.5599999999999996</v>
      </c>
      <c r="AD295" s="155" t="s">
        <v>1203</v>
      </c>
      <c r="AH295" s="84"/>
      <c r="AL295" s="219"/>
      <c r="AM295" s="47"/>
      <c r="AN295" s="47"/>
      <c r="AO295" s="45"/>
      <c r="AP295" s="47"/>
      <c r="AQ295" s="47"/>
      <c r="AR295" s="47"/>
      <c r="AS295" s="84"/>
      <c r="AT295" s="121"/>
      <c r="AU295" s="47"/>
      <c r="AV295" s="45"/>
      <c r="AW295" s="47"/>
      <c r="AX295" s="47"/>
    </row>
    <row r="296" spans="1:50" ht="18">
      <c r="A296" s="3"/>
      <c r="B296" s="4"/>
      <c r="C296" s="87"/>
      <c r="D296" s="234"/>
      <c r="E296" s="30"/>
      <c r="F296" s="29"/>
      <c r="G296" s="30"/>
      <c r="H296" s="30"/>
      <c r="I296" s="29"/>
      <c r="J296" s="30"/>
      <c r="K296" s="30"/>
      <c r="L296" s="115"/>
      <c r="M296" s="30"/>
      <c r="N296" s="30"/>
      <c r="O296" s="29"/>
      <c r="P296" s="30"/>
      <c r="Q296" s="30"/>
      <c r="R296" s="29"/>
      <c r="S296" s="172"/>
      <c r="T296" s="30"/>
      <c r="U296" s="87"/>
      <c r="V296" s="9"/>
      <c r="W296" s="45"/>
      <c r="X296" s="273"/>
      <c r="Y296" s="257"/>
      <c r="Z296" s="220"/>
      <c r="AA296" s="47"/>
      <c r="AB296" s="261">
        <f>10^AC296*8.314*298.15</f>
        <v>0.38392362173576755</v>
      </c>
      <c r="AC296" s="175">
        <v>-3.81</v>
      </c>
      <c r="AD296" s="155" t="s">
        <v>1731</v>
      </c>
      <c r="AF296" s="257"/>
      <c r="AG296" s="269"/>
      <c r="AH296" s="84"/>
      <c r="AI296" s="47"/>
      <c r="AJ296" s="47"/>
      <c r="AK296" s="263"/>
      <c r="AL296" s="219"/>
      <c r="AM296" s="47"/>
      <c r="AN296" s="47"/>
      <c r="AO296" s="45"/>
      <c r="AP296" s="47"/>
      <c r="AQ296" s="47"/>
      <c r="AR296" s="47"/>
      <c r="AS296" s="84"/>
      <c r="AT296" s="121"/>
      <c r="AU296" s="47"/>
      <c r="AV296" s="45"/>
      <c r="AW296" s="47"/>
      <c r="AX296" s="47"/>
    </row>
    <row r="297" spans="1:50">
      <c r="A297" s="3"/>
      <c r="B297" s="4"/>
      <c r="C297" s="87"/>
      <c r="D297" s="234"/>
      <c r="E297" s="30"/>
      <c r="F297" s="29"/>
      <c r="G297" s="30"/>
      <c r="H297" s="30"/>
      <c r="I297" s="29"/>
      <c r="J297" s="30"/>
      <c r="K297" s="30"/>
      <c r="L297" s="115"/>
      <c r="M297" s="30"/>
      <c r="N297" s="30"/>
      <c r="O297" s="29"/>
      <c r="P297" s="30"/>
      <c r="Q297" s="30"/>
      <c r="R297" s="29"/>
      <c r="S297" s="172"/>
      <c r="T297" s="30"/>
      <c r="U297" s="87"/>
      <c r="V297" s="9"/>
      <c r="W297" s="45"/>
      <c r="X297" s="273"/>
      <c r="Y297" s="257"/>
      <c r="Z297" s="220"/>
      <c r="AA297" s="47"/>
      <c r="AD297" s="42"/>
      <c r="AF297" s="6"/>
      <c r="AG297" s="7"/>
      <c r="AH297" s="84"/>
      <c r="AI297" s="260"/>
      <c r="AJ297" s="47"/>
      <c r="AK297" s="220"/>
      <c r="AL297" s="219"/>
      <c r="AM297" s="47"/>
      <c r="AN297" s="47"/>
      <c r="AO297" s="45"/>
      <c r="AP297" s="47"/>
      <c r="AQ297" s="47"/>
      <c r="AR297" s="47"/>
      <c r="AS297" s="84"/>
      <c r="AT297" s="121"/>
      <c r="AU297" s="47"/>
      <c r="AV297" s="45"/>
      <c r="AW297" s="47"/>
      <c r="AX297" s="47"/>
    </row>
    <row r="298" spans="1:50" ht="18">
      <c r="A298" s="3" t="s">
        <v>115</v>
      </c>
      <c r="B298" s="4" t="s">
        <v>116</v>
      </c>
      <c r="C298" s="287">
        <f>AVERAGE(D299:D302)</f>
        <v>100.15</v>
      </c>
      <c r="D298" s="206">
        <f>'Table S4 Conversions and Notes'!$J$261</f>
        <v>97.191000000000003</v>
      </c>
      <c r="E298" s="206" t="s">
        <v>1162</v>
      </c>
      <c r="F298" s="149">
        <f>G299</f>
        <v>3.1000000000000014</v>
      </c>
      <c r="G298" s="180">
        <v>12.3</v>
      </c>
      <c r="H298" s="180" t="s">
        <v>229</v>
      </c>
      <c r="I298" s="83"/>
      <c r="J298" s="70"/>
      <c r="K298" s="70"/>
      <c r="L298" s="145">
        <f>M299</f>
        <v>91.1</v>
      </c>
      <c r="M298" s="206">
        <v>91.1</v>
      </c>
      <c r="N298" s="206" t="s">
        <v>229</v>
      </c>
      <c r="O298" s="157">
        <f>P299</f>
        <v>70.908999999999992</v>
      </c>
      <c r="P298" s="206">
        <v>82.5</v>
      </c>
      <c r="Q298" s="290" t="s">
        <v>1621</v>
      </c>
      <c r="R298" s="29"/>
      <c r="S298" s="172"/>
      <c r="T298" s="30"/>
      <c r="U298" s="145">
        <f>AVERAGE(V300:V302)</f>
        <v>11.200000000000001</v>
      </c>
      <c r="V298" s="176">
        <v>11.29</v>
      </c>
      <c r="W298" s="155" t="s">
        <v>229</v>
      </c>
      <c r="X298" s="142">
        <f>AVERAGE(Y300:Y302)</f>
        <v>7.1433333333333335</v>
      </c>
      <c r="Y298" s="258">
        <v>7</v>
      </c>
      <c r="Z298" s="285" t="s">
        <v>229</v>
      </c>
      <c r="AA298" s="130"/>
      <c r="AB298" s="261">
        <f>10^AC298*8.314*298.15</f>
        <v>1.0574134588741961</v>
      </c>
      <c r="AC298" s="258">
        <v>-3.37</v>
      </c>
      <c r="AD298" s="259" t="s">
        <v>229</v>
      </c>
      <c r="AE298" s="130">
        <f>AVERAGE(AF300:AF303)</f>
        <v>-4.4678337478400705</v>
      </c>
      <c r="AF298" s="176">
        <v>-4.4000000000000004</v>
      </c>
      <c r="AG298" s="185" t="s">
        <v>229</v>
      </c>
      <c r="AH298" s="130">
        <f>AVERAGE(AI300:AI302)</f>
        <v>-4.2943158888599235</v>
      </c>
      <c r="AI298" s="261">
        <f>LOG(0.000037)</f>
        <v>-4.431798275933005</v>
      </c>
      <c r="AJ298" s="264">
        <f>10^AI298*$B$299</f>
        <v>2.089356699999996E-2</v>
      </c>
      <c r="AK298" s="259" t="s">
        <v>229</v>
      </c>
      <c r="AL298" s="219"/>
      <c r="AM298" s="261">
        <f>LOG((12400))</f>
        <v>4.0934216851622347</v>
      </c>
      <c r="AN298" s="264">
        <f>10^AM298*$B$299</f>
        <v>7002168.3999999985</v>
      </c>
      <c r="AO298" s="259" t="s">
        <v>1187</v>
      </c>
      <c r="AP298" s="150">
        <f>AQ298</f>
        <v>77.464788732394354</v>
      </c>
      <c r="AQ298" s="17">
        <f>27.5/355*1000</f>
        <v>77.464788732394354</v>
      </c>
      <c r="AR298" s="47" t="s">
        <v>1146</v>
      </c>
      <c r="AS298" s="150">
        <f>AVERAGE(AT298:AT300)</f>
        <v>86.283333333333346</v>
      </c>
      <c r="AT298" s="107">
        <f>AVERAGE(90.5,94.5)</f>
        <v>92.5</v>
      </c>
      <c r="AU298" s="270">
        <f>AT298+273.15</f>
        <v>365.65</v>
      </c>
      <c r="AV298" s="45" t="s">
        <v>1183</v>
      </c>
      <c r="AW298" s="47"/>
      <c r="AX298" s="47"/>
    </row>
    <row r="299" spans="1:50" ht="18">
      <c r="A299" s="20" t="s">
        <v>1415</v>
      </c>
      <c r="B299" s="171">
        <v>564.69100000000003</v>
      </c>
      <c r="C299" s="266">
        <f>_xlfn.STDEV.S(D299:D302)</f>
        <v>9.0053687690547495</v>
      </c>
      <c r="D299" s="234">
        <v>100.3</v>
      </c>
      <c r="E299" s="30" t="s">
        <v>826</v>
      </c>
      <c r="F299" s="149">
        <f>RSD_dHw*F298</f>
        <v>0.62000000000000033</v>
      </c>
      <c r="G299" s="112">
        <f>30.6-27.5</f>
        <v>3.1000000000000014</v>
      </c>
      <c r="H299" s="70" t="s">
        <v>1223</v>
      </c>
      <c r="I299" s="83"/>
      <c r="J299" s="70"/>
      <c r="K299" s="70"/>
      <c r="L299" s="145">
        <f>RSD_Unr*L298</f>
        <v>27.33</v>
      </c>
      <c r="M299" s="276">
        <f>'Table S4 Conversions and Notes'!$J$565</f>
        <v>91.1</v>
      </c>
      <c r="N299" s="255" t="s">
        <v>2781</v>
      </c>
      <c r="O299" s="150">
        <f>RSD_Unr*O298</f>
        <v>21.272699999999997</v>
      </c>
      <c r="P299" s="30">
        <f>73.3-2.391</f>
        <v>70.908999999999992</v>
      </c>
      <c r="Q299" s="30" t="s">
        <v>1687</v>
      </c>
      <c r="R299" s="29"/>
      <c r="S299" s="172"/>
      <c r="T299" s="30"/>
      <c r="U299" s="145">
        <f>_xlfn.STDEV.S(V300:V302)</f>
        <v>0.1652271164185832</v>
      </c>
      <c r="V299" s="202">
        <v>11.61</v>
      </c>
      <c r="W299" s="155" t="s">
        <v>106</v>
      </c>
      <c r="X299" s="142">
        <f>_xlfn.STDEV.S(Y300:Y302)</f>
        <v>0.36828431046317112</v>
      </c>
      <c r="Y299" s="258">
        <v>7.12</v>
      </c>
      <c r="Z299" s="285" t="s">
        <v>106</v>
      </c>
      <c r="AA299" s="130"/>
      <c r="AB299" s="261">
        <v>0.74</v>
      </c>
      <c r="AC299" s="261">
        <f>LOG(AB299/8.314/298.15)</f>
        <v>-3.525013114120978</v>
      </c>
      <c r="AD299" s="304" t="s">
        <v>106</v>
      </c>
      <c r="AE299" s="130">
        <f>_xlfn.STDEV.S(AF300:AF303)</f>
        <v>0.28281797910706313</v>
      </c>
      <c r="AF299" s="176">
        <v>-4.123205023799299</v>
      </c>
      <c r="AG299" s="185" t="s">
        <v>106</v>
      </c>
      <c r="AH299" s="130">
        <f>_xlfn.STDEV.S(AI300:AI302)</f>
        <v>0.29719362983561609</v>
      </c>
      <c r="AI299" s="261">
        <f>LOG(0.000101)</f>
        <v>-3.9956786262173574</v>
      </c>
      <c r="AJ299" s="264">
        <f>10^AI299*$B$299</f>
        <v>5.7033790999999986E-2</v>
      </c>
      <c r="AK299" s="259" t="s">
        <v>1187</v>
      </c>
      <c r="AL299" s="219"/>
      <c r="AM299" s="47"/>
      <c r="AN299" s="47"/>
      <c r="AO299" s="45"/>
      <c r="AP299" s="182">
        <f>AP298*RSD_dSf</f>
        <v>6.1057456773350891</v>
      </c>
      <c r="AQ299" s="47"/>
      <c r="AR299" s="47"/>
      <c r="AS299" s="182">
        <f>_xlfn.STDEV.S(AT298:AT299)</f>
        <v>7.5306872196367154</v>
      </c>
      <c r="AT299" s="107">
        <f>AU299-273.15</f>
        <v>81.850000000000023</v>
      </c>
      <c r="AU299" s="270">
        <v>355</v>
      </c>
      <c r="AV299" s="45" t="s">
        <v>1146</v>
      </c>
      <c r="AW299" s="47"/>
      <c r="AX299" s="47"/>
    </row>
    <row r="300" spans="1:50" ht="18">
      <c r="A300" s="3"/>
      <c r="B300" s="171"/>
      <c r="C300" s="324">
        <f>COUNTA(D299:D302)</f>
        <v>4</v>
      </c>
      <c r="D300" s="234">
        <v>104.8</v>
      </c>
      <c r="E300" s="30" t="s">
        <v>175</v>
      </c>
      <c r="F300" s="324">
        <f>COUNTA(G299)</f>
        <v>1</v>
      </c>
      <c r="G300" s="70"/>
      <c r="H300" s="70"/>
      <c r="I300" s="83"/>
      <c r="J300" s="70"/>
      <c r="K300" s="70"/>
      <c r="L300" s="324">
        <f>COUNTA(M299)</f>
        <v>1</v>
      </c>
      <c r="M300" s="180">
        <v>136</v>
      </c>
      <c r="N300" s="180" t="s">
        <v>1213</v>
      </c>
      <c r="O300" s="324">
        <f>COUNTA(P299:P300)</f>
        <v>1</v>
      </c>
      <c r="P300" s="30"/>
      <c r="Q300" s="30"/>
      <c r="R300" s="29"/>
      <c r="S300" s="172"/>
      <c r="T300" s="30"/>
      <c r="U300" s="324">
        <f>COUNTA(V300:V302)</f>
        <v>3</v>
      </c>
      <c r="V300" s="273">
        <v>11.31</v>
      </c>
      <c r="W300" s="45" t="s">
        <v>114</v>
      </c>
      <c r="X300" s="324">
        <f>COUNTA(Y300:Y302)</f>
        <v>3</v>
      </c>
      <c r="Y300" s="257">
        <v>7.32</v>
      </c>
      <c r="Z300" s="45" t="s">
        <v>1094</v>
      </c>
      <c r="AA300" s="324"/>
      <c r="AB300" s="261">
        <v>0.6</v>
      </c>
      <c r="AC300" s="261">
        <f>LOG(0.6/8.314/298.15)</f>
        <v>-3.6160935834683103</v>
      </c>
      <c r="AD300" s="304" t="s">
        <v>2865</v>
      </c>
      <c r="AE300" s="324">
        <f>COUNTA(AF300:AF303)</f>
        <v>4</v>
      </c>
      <c r="AF300" s="260">
        <f>LOG(0.0000682)</f>
        <v>-4.1662156253435212</v>
      </c>
      <c r="AG300" s="220" t="s">
        <v>107</v>
      </c>
      <c r="AH300" s="324">
        <f>COUNTA(AI300:AI302)</f>
        <v>3</v>
      </c>
      <c r="AI300" s="260">
        <f>LOG(AJ300/$B$299)</f>
        <v>-3.9857948793541342</v>
      </c>
      <c r="AJ300" s="263">
        <f>'Table S4 Conversions and Notes'!$J$275</f>
        <v>5.8346658169617031E-2</v>
      </c>
      <c r="AK300" s="45" t="s">
        <v>1214</v>
      </c>
      <c r="AL300" s="219"/>
      <c r="AM300" s="47"/>
      <c r="AN300" s="47"/>
      <c r="AO300" s="45"/>
      <c r="AP300" s="324">
        <f>COUNTA(AQ298:AQ299)</f>
        <v>1</v>
      </c>
      <c r="AQ300" s="47"/>
      <c r="AR300" s="47"/>
      <c r="AS300" s="324">
        <f>COUNTA(AT298:AT300)</f>
        <v>3</v>
      </c>
      <c r="AT300" s="107">
        <v>84.5</v>
      </c>
      <c r="AU300" s="270">
        <f>AT300+273.15</f>
        <v>357.65</v>
      </c>
      <c r="AV300" s="45" t="s">
        <v>1195</v>
      </c>
      <c r="AW300" s="47"/>
      <c r="AX300" s="47"/>
    </row>
    <row r="301" spans="1:50" ht="18">
      <c r="A301" s="3"/>
      <c r="B301" s="171"/>
      <c r="C301" s="87"/>
      <c r="D301" s="234">
        <v>108</v>
      </c>
      <c r="E301" s="30" t="s">
        <v>1108</v>
      </c>
      <c r="F301" s="83"/>
      <c r="G301" s="70"/>
      <c r="H301" s="70"/>
      <c r="I301" s="83"/>
      <c r="J301" s="70"/>
      <c r="K301" s="70"/>
      <c r="L301" s="115"/>
      <c r="O301" s="29"/>
      <c r="P301" s="30"/>
      <c r="Q301" s="30"/>
      <c r="R301" s="29"/>
      <c r="S301" s="172"/>
      <c r="T301" s="30"/>
      <c r="U301" s="87"/>
      <c r="V301" s="273">
        <v>11.28</v>
      </c>
      <c r="W301" s="45" t="s">
        <v>1109</v>
      </c>
      <c r="X301" s="15"/>
      <c r="Y301" s="48">
        <v>7.39</v>
      </c>
      <c r="Z301" s="220" t="s">
        <v>1158</v>
      </c>
      <c r="AA301" s="47"/>
      <c r="AB301" s="175">
        <v>1.6</v>
      </c>
      <c r="AC301" s="261">
        <f>LOG(1.6/8.314/298.15)</f>
        <v>-3.1901248511960292</v>
      </c>
      <c r="AD301" s="155" t="s">
        <v>1680</v>
      </c>
      <c r="AF301" s="6">
        <v>-4.75</v>
      </c>
      <c r="AG301" s="7" t="s">
        <v>105</v>
      </c>
      <c r="AH301" s="84"/>
      <c r="AI301" s="260">
        <f>LOG(AJ301/$B$299)</f>
        <v>-4.5787114912422266</v>
      </c>
      <c r="AJ301" s="263">
        <f>'Table S4 Conversions and Notes'!$J$276</f>
        <v>1.4897019107136261E-2</v>
      </c>
      <c r="AK301" s="220" t="s">
        <v>1215</v>
      </c>
      <c r="AL301" s="219"/>
      <c r="AM301" s="47"/>
      <c r="AN301" s="47"/>
      <c r="AO301" s="45"/>
      <c r="AP301" s="47"/>
      <c r="AQ301" s="47"/>
      <c r="AR301" s="47"/>
      <c r="AS301" s="84"/>
      <c r="AT301" s="192">
        <v>-5</v>
      </c>
      <c r="AU301" s="288">
        <f>AT301+273.15</f>
        <v>268.14999999999998</v>
      </c>
      <c r="AV301" s="285" t="s">
        <v>1116</v>
      </c>
      <c r="AW301" s="47"/>
      <c r="AX301" s="47"/>
    </row>
    <row r="302" spans="1:50" ht="18">
      <c r="A302" s="3"/>
      <c r="B302" s="171"/>
      <c r="C302" s="87"/>
      <c r="D302" s="30">
        <f>'Table S4 Conversions and Notes'!$J$439</f>
        <v>87.5</v>
      </c>
      <c r="E302" s="7" t="s">
        <v>1744</v>
      </c>
      <c r="F302" s="83"/>
      <c r="G302" s="70"/>
      <c r="H302" s="70"/>
      <c r="I302" s="83"/>
      <c r="J302" s="70"/>
      <c r="K302" s="70"/>
      <c r="L302" s="115"/>
      <c r="M302" s="70"/>
      <c r="N302" s="70"/>
      <c r="O302" s="29"/>
      <c r="P302" s="30"/>
      <c r="Q302" s="30"/>
      <c r="R302" s="29"/>
      <c r="S302" s="172"/>
      <c r="T302" s="30"/>
      <c r="U302" s="87"/>
      <c r="V302" s="273">
        <v>11.01</v>
      </c>
      <c r="W302" s="45" t="s">
        <v>43</v>
      </c>
      <c r="X302" s="15"/>
      <c r="Y302" s="257">
        <v>6.72</v>
      </c>
      <c r="Z302" s="45" t="s">
        <v>1176</v>
      </c>
      <c r="AA302" s="47"/>
      <c r="AB302" s="153">
        <v>3</v>
      </c>
      <c r="AC302" s="225">
        <f>LOG(AB302/8.314/298.15)</f>
        <v>-2.9171235791322916</v>
      </c>
      <c r="AD302" s="155" t="s">
        <v>1662</v>
      </c>
      <c r="AF302" s="260">
        <f>LOG(0.0000511)</f>
        <v>-4.2915790998652872</v>
      </c>
      <c r="AG302" s="269" t="s">
        <v>1739</v>
      </c>
      <c r="AH302" s="84"/>
      <c r="AI302" s="260">
        <f>LOG(AJ302/$B$299)</f>
        <v>-4.3184412959834111</v>
      </c>
      <c r="AJ302" s="264">
        <f>'Table S4 Conversions and Notes'!$J$277</f>
        <v>2.7124988957577277E-2</v>
      </c>
      <c r="AK302" s="45" t="s">
        <v>1220</v>
      </c>
      <c r="AL302" s="219"/>
      <c r="AM302" s="47"/>
      <c r="AN302" s="47"/>
      <c r="AO302" s="45"/>
      <c r="AP302" s="47"/>
      <c r="AQ302" s="47"/>
      <c r="AR302" s="47"/>
      <c r="AS302" s="84"/>
      <c r="AW302" s="47"/>
      <c r="AX302" s="47"/>
    </row>
    <row r="303" spans="1:50" ht="18">
      <c r="A303" s="3"/>
      <c r="B303" s="171"/>
      <c r="C303" s="87"/>
      <c r="D303" s="283">
        <v>138</v>
      </c>
      <c r="E303" s="206" t="s">
        <v>1469</v>
      </c>
      <c r="F303" s="83"/>
      <c r="G303" s="70"/>
      <c r="H303" s="70"/>
      <c r="I303" s="83"/>
      <c r="J303" s="70"/>
      <c r="K303" s="70"/>
      <c r="L303" s="115"/>
      <c r="M303" s="70"/>
      <c r="N303" s="70"/>
      <c r="O303" s="29"/>
      <c r="P303" s="30"/>
      <c r="Q303" s="30"/>
      <c r="R303" s="29"/>
      <c r="S303" s="172"/>
      <c r="T303" s="30"/>
      <c r="U303" s="87"/>
      <c r="V303" s="154">
        <v>12.361623379205117</v>
      </c>
      <c r="W303" s="155" t="s">
        <v>1212</v>
      </c>
      <c r="X303" s="15"/>
      <c r="Y303" s="258">
        <v>6.53</v>
      </c>
      <c r="Z303" s="155" t="s">
        <v>1180</v>
      </c>
      <c r="AA303" s="47"/>
      <c r="AB303" s="305">
        <v>12</v>
      </c>
      <c r="AC303" s="225">
        <f>LOG(AB303/8.314/298.15)</f>
        <v>-2.3150635878043291</v>
      </c>
      <c r="AD303" s="155" t="s">
        <v>1661</v>
      </c>
      <c r="AF303" s="6">
        <f>LOG(0.0000217)</f>
        <v>-4.6635402661514709</v>
      </c>
      <c r="AG303" s="7" t="s">
        <v>1145</v>
      </c>
      <c r="AH303" s="84"/>
      <c r="AI303" s="260"/>
      <c r="AJ303" s="47"/>
      <c r="AK303" s="220"/>
      <c r="AL303" s="219"/>
      <c r="AM303" s="47"/>
      <c r="AN303" s="47"/>
      <c r="AO303" s="45"/>
      <c r="AP303" s="47"/>
      <c r="AQ303" s="47"/>
      <c r="AR303" s="47"/>
      <c r="AS303" s="84"/>
      <c r="AT303" s="107"/>
      <c r="AU303" s="270"/>
      <c r="AV303" s="45"/>
      <c r="AW303" s="47"/>
      <c r="AX303" s="47"/>
    </row>
    <row r="304" spans="1:50" ht="18">
      <c r="A304" s="3"/>
      <c r="B304" s="171"/>
      <c r="C304" s="87"/>
      <c r="D304" s="30"/>
      <c r="E304" s="30"/>
      <c r="F304" s="83"/>
      <c r="G304" s="70"/>
      <c r="H304" s="70"/>
      <c r="I304" s="83"/>
      <c r="J304" s="70"/>
      <c r="K304" s="70"/>
      <c r="L304" s="115"/>
      <c r="M304" s="70"/>
      <c r="N304" s="70"/>
      <c r="O304" s="29"/>
      <c r="P304" s="30"/>
      <c r="Q304" s="30"/>
      <c r="R304" s="29"/>
      <c r="S304" s="172"/>
      <c r="T304" s="30"/>
      <c r="U304" s="87"/>
      <c r="W304" s="42"/>
      <c r="X304" s="15"/>
      <c r="Z304" s="42"/>
      <c r="AA304" s="47"/>
      <c r="AB304" s="47"/>
      <c r="AC304" s="47"/>
      <c r="AD304" s="45"/>
      <c r="AF304" s="154">
        <v>-5.9590993337631897</v>
      </c>
      <c r="AG304" s="155" t="s">
        <v>1212</v>
      </c>
      <c r="AH304" s="84"/>
      <c r="AI304" s="1"/>
      <c r="AJ304" s="1"/>
      <c r="AK304" s="1"/>
      <c r="AL304" s="219"/>
      <c r="AM304" s="47"/>
      <c r="AN304" s="47"/>
      <c r="AO304" s="45"/>
      <c r="AP304" s="47"/>
      <c r="AQ304" s="47"/>
      <c r="AR304" s="47"/>
      <c r="AS304" s="84"/>
      <c r="AT304" s="107"/>
      <c r="AU304" s="270"/>
      <c r="AV304" s="45"/>
      <c r="AW304" s="47"/>
      <c r="AX304" s="47"/>
    </row>
    <row r="305" spans="1:50" ht="18">
      <c r="A305" s="3"/>
      <c r="B305" s="171"/>
      <c r="C305" s="87"/>
      <c r="D305" s="30"/>
      <c r="E305" s="30"/>
      <c r="F305" s="83"/>
      <c r="G305" s="70"/>
      <c r="H305" s="70"/>
      <c r="I305" s="83"/>
      <c r="J305" s="70"/>
      <c r="K305" s="70"/>
      <c r="L305" s="115"/>
      <c r="M305" s="70"/>
      <c r="N305" s="70"/>
      <c r="O305" s="29"/>
      <c r="P305" s="30"/>
      <c r="Q305" s="30"/>
      <c r="R305" s="29"/>
      <c r="S305" s="172"/>
      <c r="T305" s="30"/>
      <c r="U305" s="87"/>
      <c r="W305" s="42"/>
      <c r="X305" s="15"/>
      <c r="Y305" s="1"/>
      <c r="Z305" s="275"/>
      <c r="AA305" s="47"/>
      <c r="AB305" s="47"/>
      <c r="AC305" s="47"/>
      <c r="AD305" s="45"/>
      <c r="AF305" s="261">
        <f>LOG(0.000012)</f>
        <v>-4.9208187539523749</v>
      </c>
      <c r="AG305" s="259" t="s">
        <v>1221</v>
      </c>
      <c r="AH305" s="84"/>
      <c r="AI305" s="260"/>
      <c r="AJ305" s="47"/>
      <c r="AK305" s="220"/>
      <c r="AL305" s="219"/>
      <c r="AM305" s="47"/>
      <c r="AN305" s="47"/>
      <c r="AO305" s="45"/>
      <c r="AP305" s="47"/>
      <c r="AQ305" s="47"/>
      <c r="AR305" s="47"/>
      <c r="AS305" s="84"/>
      <c r="AT305" s="107"/>
      <c r="AU305" s="270"/>
      <c r="AV305" s="45"/>
      <c r="AW305" s="47"/>
      <c r="AX305" s="47"/>
    </row>
    <row r="306" spans="1:50">
      <c r="A306" s="511" t="s">
        <v>117</v>
      </c>
      <c r="B306" s="511"/>
      <c r="C306" s="511"/>
      <c r="D306" s="511"/>
      <c r="E306" s="511"/>
      <c r="F306" s="511"/>
      <c r="G306" s="511"/>
      <c r="H306" s="511"/>
      <c r="I306" s="511"/>
      <c r="J306" s="511"/>
      <c r="K306" s="511"/>
      <c r="L306" s="511"/>
      <c r="M306" s="511"/>
      <c r="N306" s="511"/>
      <c r="O306" s="511"/>
      <c r="P306" s="511"/>
      <c r="Q306" s="511"/>
      <c r="R306" s="511"/>
      <c r="S306" s="511"/>
      <c r="T306" s="511"/>
      <c r="U306" s="511"/>
      <c r="V306" s="511"/>
      <c r="W306" s="511"/>
      <c r="X306" s="511"/>
      <c r="Y306" s="511"/>
      <c r="Z306" s="511"/>
      <c r="AA306" s="511"/>
      <c r="AB306" s="511"/>
      <c r="AC306" s="511"/>
      <c r="AD306" s="511"/>
      <c r="AE306" s="511"/>
      <c r="AF306" s="511"/>
      <c r="AG306" s="511"/>
      <c r="AH306" s="511"/>
      <c r="AI306" s="511"/>
      <c r="AJ306" s="511"/>
      <c r="AK306" s="511"/>
      <c r="AL306" s="511"/>
      <c r="AM306" s="511"/>
      <c r="AN306" s="511"/>
      <c r="AO306" s="511"/>
      <c r="AP306" s="511"/>
      <c r="AQ306" s="511"/>
      <c r="AR306" s="511"/>
      <c r="AS306" s="511"/>
      <c r="AT306" s="511"/>
      <c r="AU306" s="511"/>
      <c r="AV306" s="511"/>
      <c r="AW306" s="4"/>
      <c r="AX306" s="4"/>
    </row>
    <row r="307" spans="1:50" ht="18">
      <c r="A307" s="20" t="s">
        <v>118</v>
      </c>
      <c r="B307" s="21" t="s">
        <v>119</v>
      </c>
      <c r="C307" s="287">
        <f>AVERAGE(D307:D308)</f>
        <v>73.524218355999992</v>
      </c>
      <c r="D307" s="218">
        <v>73.599999999999994</v>
      </c>
      <c r="E307" s="30" t="s">
        <v>243</v>
      </c>
      <c r="F307" s="191">
        <f>G307</f>
        <v>39</v>
      </c>
      <c r="G307" s="70">
        <v>39</v>
      </c>
      <c r="H307" s="70" t="s">
        <v>1346</v>
      </c>
      <c r="I307" s="83"/>
      <c r="J307" s="70"/>
      <c r="K307" s="70"/>
      <c r="L307" s="191">
        <f>M307</f>
        <v>61.2</v>
      </c>
      <c r="M307" s="212">
        <v>61.2</v>
      </c>
      <c r="N307" s="70" t="s">
        <v>243</v>
      </c>
      <c r="O307" s="77"/>
      <c r="P307" s="147"/>
      <c r="Q307" s="70"/>
      <c r="R307" s="77"/>
      <c r="S307" s="170"/>
      <c r="T307" s="312"/>
      <c r="U307" s="142">
        <f>V307</f>
        <v>7.5390552184404918</v>
      </c>
      <c r="V307" s="15">
        <v>7.5390552184404918</v>
      </c>
      <c r="W307" s="45" t="s">
        <v>256</v>
      </c>
      <c r="X307" s="142">
        <f>AVERAGE(Y307:Y308)</f>
        <v>5.26</v>
      </c>
      <c r="Y307" s="8">
        <v>5.48</v>
      </c>
      <c r="Z307" s="7" t="s">
        <v>1338</v>
      </c>
      <c r="AA307" s="130">
        <f ca="1">AVERAGE(AC307:AC308)</f>
        <v>-1.9124978394296193</v>
      </c>
      <c r="AB307" s="17">
        <f>2.3*101325/10000</f>
        <v>23.304749999999999</v>
      </c>
      <c r="AC307" s="46">
        <f>LOG(AB307/8.314/298.15)</f>
        <v>-2.0268003854206307</v>
      </c>
      <c r="AD307" s="73" t="s">
        <v>1350</v>
      </c>
      <c r="AE307" s="130">
        <f ca="1">AVERAGE(AF307:AF309)</f>
        <v>-1.1806733242754686</v>
      </c>
      <c r="AF307" s="276">
        <f>-3836/293.15+11.93</f>
        <v>-1.1554511342316225</v>
      </c>
      <c r="AG307" s="7" t="s">
        <v>124</v>
      </c>
      <c r="AH307" s="130">
        <f ca="1">AVERAGE(AI307:AI308)</f>
        <v>-2.4696037487087663</v>
      </c>
      <c r="AI307" s="260">
        <f ca="1">LOG(AJ307/$B$308)</f>
        <v>-2.6597409588746292</v>
      </c>
      <c r="AJ307" s="311">
        <f ca="1">'Table S4 Conversions and Notes'!$J$434</f>
        <v>0.56376792024347855</v>
      </c>
      <c r="AK307" s="45" t="s">
        <v>2227</v>
      </c>
      <c r="AL307" s="84"/>
      <c r="AM307" s="47"/>
      <c r="AN307" s="47"/>
      <c r="AO307" s="45"/>
      <c r="AP307" s="47"/>
      <c r="AQ307" s="47"/>
      <c r="AR307" s="47"/>
      <c r="AS307" s="150">
        <f>AVERAGE(AT307:AT309)</f>
        <v>91</v>
      </c>
      <c r="AT307" s="107">
        <f>AVERAGE(90,92)</f>
        <v>91</v>
      </c>
      <c r="AU307" s="270">
        <f>AT307+273.15</f>
        <v>364.15</v>
      </c>
      <c r="AV307" s="108" t="s">
        <v>1229</v>
      </c>
      <c r="AW307" s="47"/>
      <c r="AX307" s="47"/>
    </row>
    <row r="308" spans="1:50" ht="18">
      <c r="A308" s="20" t="s">
        <v>1233</v>
      </c>
      <c r="B308" s="171">
        <v>257.53800000000001</v>
      </c>
      <c r="C308" s="266">
        <f>_xlfn.STDEV.S(D307:D308)</f>
        <v>0.10717142872373359</v>
      </c>
      <c r="D308" s="30">
        <f>3836*2.303*8.314/1000</f>
        <v>73.448436711999989</v>
      </c>
      <c r="E308" s="30" t="s">
        <v>124</v>
      </c>
      <c r="F308" s="187">
        <f>RSD_dHw*F307</f>
        <v>7.8000000000000007</v>
      </c>
      <c r="G308" s="21"/>
      <c r="H308" s="21"/>
      <c r="I308" s="20"/>
      <c r="J308" s="21"/>
      <c r="K308" s="21"/>
      <c r="L308" s="187">
        <f>RSD_dUoa*L307</f>
        <v>3.8775147273531525</v>
      </c>
      <c r="M308" s="21"/>
      <c r="N308" s="21"/>
      <c r="O308" s="20"/>
      <c r="P308" s="21"/>
      <c r="Q308" s="21"/>
      <c r="R308" s="20"/>
      <c r="S308" s="21"/>
      <c r="T308" s="313"/>
      <c r="U308" s="142" cm="1">
        <f t="array" ref="U308">RSD_Koa*U307</f>
        <v>0.19411422232382147</v>
      </c>
      <c r="V308" s="8"/>
      <c r="W308" s="45"/>
      <c r="X308" s="142">
        <f>_xlfn.STDEV.S(Y307:Y308)</f>
        <v>0.3111269837220812</v>
      </c>
      <c r="Y308" s="8">
        <f>'Table S4 Conversions and Notes'!$J$308</f>
        <v>5.04</v>
      </c>
      <c r="Z308" s="45" t="s">
        <v>1358</v>
      </c>
      <c r="AA308" s="130">
        <f ca="1">_xlfn.STDEV.S(AC307:AC308)</f>
        <v>0.16164821075426294</v>
      </c>
      <c r="AB308" s="260">
        <f ca="1">10^AC308*8.314*298.15</f>
        <v>39.450230078747218</v>
      </c>
      <c r="AC308" s="46">
        <f ca="1">'Table S4 Conversions and Notes'!$J$433</f>
        <v>-1.7981952934386076</v>
      </c>
      <c r="AD308" s="73" t="s">
        <v>2226</v>
      </c>
      <c r="AE308" s="130">
        <f ca="1">_xlfn.STDEV.S(AF307:AF309)</f>
        <v>0.14119223273996104</v>
      </c>
      <c r="AF308" s="6">
        <f ca="1">'Table S4 Conversions and Notes'!$J$435</f>
        <v>-1.053792027271377</v>
      </c>
      <c r="AG308" s="7" t="s">
        <v>2228</v>
      </c>
      <c r="AH308" s="130">
        <f ca="1">_xlfn.STDEV.S(AI307:AI308)</f>
        <v>0.26889462132834718</v>
      </c>
      <c r="AI308" s="260">
        <f>LOG(AJ308/$B$308)</f>
        <v>-2.2794665385429029</v>
      </c>
      <c r="AJ308" s="114">
        <f>'Table S4 Conversions and Notes'!$J$304</f>
        <v>1.3532398556821623</v>
      </c>
      <c r="AK308" s="45" t="s">
        <v>1351</v>
      </c>
      <c r="AL308" s="84"/>
      <c r="AM308" s="47"/>
      <c r="AN308" s="47"/>
      <c r="AO308" s="45"/>
      <c r="AP308" s="47"/>
      <c r="AQ308" s="47"/>
      <c r="AR308" s="47"/>
      <c r="AS308" s="182">
        <f>RSD_Tm*AS307</f>
        <v>4.2010802641560678</v>
      </c>
      <c r="AT308" s="107"/>
      <c r="AU308" s="47"/>
      <c r="AV308" s="45"/>
      <c r="AW308" s="47"/>
      <c r="AX308" s="47"/>
    </row>
    <row r="309" spans="1:50" ht="18">
      <c r="A309" s="20"/>
      <c r="B309" s="171"/>
      <c r="C309" s="324">
        <f>COUNTA(D307:D308)</f>
        <v>2</v>
      </c>
      <c r="D309" s="21"/>
      <c r="E309" s="21"/>
      <c r="F309" s="324">
        <f>COUNTA(G307:G309)</f>
        <v>1</v>
      </c>
      <c r="G309" s="21"/>
      <c r="H309" s="21"/>
      <c r="I309" s="20"/>
      <c r="J309" s="21"/>
      <c r="K309" s="21"/>
      <c r="L309" s="324">
        <f>COUNTA(M307:M309)</f>
        <v>1</v>
      </c>
      <c r="M309" s="21"/>
      <c r="N309" s="21"/>
      <c r="O309" s="20"/>
      <c r="P309" s="21"/>
      <c r="Q309" s="21"/>
      <c r="R309" s="20"/>
      <c r="S309" s="21"/>
      <c r="T309" s="313"/>
      <c r="U309" s="324">
        <f>COUNTA(V307:V308)</f>
        <v>1</v>
      </c>
      <c r="V309" s="8"/>
      <c r="W309" s="45"/>
      <c r="X309" s="324">
        <f>COUNTA(Y307:Y308)</f>
        <v>2</v>
      </c>
      <c r="Y309" s="8"/>
      <c r="Z309" s="45"/>
      <c r="AA309" s="324">
        <f ca="1">COUNTA(AB307:AB308)</f>
        <v>2</v>
      </c>
      <c r="AB309" s="154">
        <f ca="1">'Table S4 Conversions and Notes'!$J$302</f>
        <v>30.091187710091109</v>
      </c>
      <c r="AC309" s="225">
        <f ca="1">LOG(AB309/8.314/298.15)</f>
        <v>-1.9158055040128765</v>
      </c>
      <c r="AD309" s="155" t="s">
        <v>1663</v>
      </c>
      <c r="AE309" s="324">
        <f ca="1">COUNTA(AF307:AF309)</f>
        <v>3</v>
      </c>
      <c r="AF309" s="6">
        <f>'Table S4 Conversions and Notes'!$J$305</f>
        <v>-1.3327768113234066</v>
      </c>
      <c r="AG309" s="7" t="s">
        <v>1629</v>
      </c>
      <c r="AH309" s="324">
        <f ca="1">COUNTA(AI307:AI309)</f>
        <v>2</v>
      </c>
      <c r="AI309" s="47"/>
      <c r="AJ309" s="47"/>
      <c r="AK309" s="45"/>
      <c r="AL309" s="84"/>
      <c r="AM309" s="47"/>
      <c r="AN309" s="47"/>
      <c r="AO309" s="45"/>
      <c r="AP309" s="47"/>
      <c r="AQ309" s="47"/>
      <c r="AR309" s="47"/>
      <c r="AS309" s="324">
        <f>COUNTA(AT307:AT309)</f>
        <v>1</v>
      </c>
      <c r="AT309" s="107"/>
      <c r="AU309" s="47"/>
      <c r="AV309" s="45"/>
      <c r="AW309" s="47"/>
      <c r="AX309" s="47"/>
    </row>
    <row r="310" spans="1:50" ht="17.25">
      <c r="A310" s="20"/>
      <c r="B310" s="171"/>
      <c r="C310" s="87"/>
      <c r="D310" s="21"/>
      <c r="E310" s="21"/>
      <c r="F310" s="20"/>
      <c r="G310" s="21"/>
      <c r="H310" s="21"/>
      <c r="I310" s="20"/>
      <c r="J310" s="21"/>
      <c r="K310" s="21"/>
      <c r="L310" s="115"/>
      <c r="M310" s="21"/>
      <c r="N310" s="21"/>
      <c r="O310" s="20"/>
      <c r="P310" s="21"/>
      <c r="Q310" s="21"/>
      <c r="R310" s="20"/>
      <c r="S310" s="21"/>
      <c r="T310" s="21"/>
      <c r="U310" s="87"/>
      <c r="V310" s="8"/>
      <c r="W310" s="45"/>
      <c r="X310" s="8"/>
      <c r="Y310" s="8"/>
      <c r="Z310" s="45"/>
      <c r="AA310" s="47"/>
      <c r="AB310" s="47"/>
      <c r="AC310" s="47"/>
      <c r="AD310" s="45"/>
      <c r="AE310" s="5"/>
      <c r="AF310" s="17">
        <f>'Table S4 Conversions and Notes'!$J$306</f>
        <v>-0.94500000000000006</v>
      </c>
      <c r="AG310" s="45" t="s">
        <v>1355</v>
      </c>
      <c r="AH310" s="84"/>
      <c r="AI310" s="47"/>
      <c r="AJ310" s="47"/>
      <c r="AK310" s="45"/>
      <c r="AL310" s="84"/>
      <c r="AM310" s="47"/>
      <c r="AN310" s="47"/>
      <c r="AO310" s="45"/>
      <c r="AP310" s="47"/>
      <c r="AQ310" s="47"/>
      <c r="AR310" s="47"/>
      <c r="AS310" s="84"/>
      <c r="AT310" s="107"/>
      <c r="AU310" s="47"/>
      <c r="AV310" s="45"/>
      <c r="AW310" s="47"/>
      <c r="AX310" s="47"/>
    </row>
    <row r="311" spans="1:50" ht="18">
      <c r="A311" s="20"/>
      <c r="B311" s="171"/>
      <c r="C311" s="87"/>
      <c r="D311" s="21"/>
      <c r="E311" s="21"/>
      <c r="F311" s="20"/>
      <c r="G311" s="21"/>
      <c r="H311" s="21"/>
      <c r="I311" s="20"/>
      <c r="J311" s="21"/>
      <c r="K311" s="21"/>
      <c r="L311" s="115"/>
      <c r="M311" s="21"/>
      <c r="N311" s="21"/>
      <c r="O311" s="20"/>
      <c r="P311" s="21"/>
      <c r="Q311" s="21"/>
      <c r="R311" s="20"/>
      <c r="S311" s="21"/>
      <c r="T311" s="21"/>
      <c r="U311" s="87"/>
      <c r="V311" s="8"/>
      <c r="W311" s="45"/>
      <c r="X311" s="8"/>
      <c r="Y311" s="8"/>
      <c r="Z311" s="45"/>
      <c r="AA311" s="47"/>
      <c r="AB311" s="47"/>
      <c r="AC311" s="47"/>
      <c r="AD311" s="45"/>
      <c r="AE311" s="5"/>
      <c r="AF311" s="154">
        <f>LOG(10^-3.009*133.322)</f>
        <v>-0.88409817999163987</v>
      </c>
      <c r="AG311" s="155" t="s">
        <v>1323</v>
      </c>
      <c r="AH311" s="84"/>
      <c r="AI311" s="47"/>
      <c r="AJ311" s="47"/>
      <c r="AK311" s="45"/>
      <c r="AL311" s="84"/>
      <c r="AM311" s="47"/>
      <c r="AN311" s="47"/>
      <c r="AO311" s="45"/>
      <c r="AP311" s="47"/>
      <c r="AQ311" s="47"/>
      <c r="AR311" s="47"/>
      <c r="AS311" s="84"/>
      <c r="AT311" s="107"/>
      <c r="AU311" s="47"/>
      <c r="AV311" s="45"/>
      <c r="AW311" s="47"/>
      <c r="AX311" s="47"/>
    </row>
    <row r="312" spans="1:50" ht="18">
      <c r="A312" s="20"/>
      <c r="B312" s="171"/>
      <c r="C312" s="87"/>
      <c r="D312" s="21"/>
      <c r="E312" s="21"/>
      <c r="F312" s="20"/>
      <c r="G312" s="21"/>
      <c r="H312" s="21"/>
      <c r="I312" s="20"/>
      <c r="J312" s="21"/>
      <c r="K312" s="21"/>
      <c r="L312" s="115"/>
      <c r="M312" s="21"/>
      <c r="N312" s="21"/>
      <c r="O312" s="20"/>
      <c r="P312" s="21"/>
      <c r="Q312" s="21"/>
      <c r="R312" s="20"/>
      <c r="S312" s="21"/>
      <c r="T312" s="21"/>
      <c r="U312" s="87"/>
      <c r="V312" s="8"/>
      <c r="W312" s="45"/>
      <c r="X312" s="8"/>
      <c r="Y312" s="8"/>
      <c r="Z312" s="45"/>
      <c r="AA312" s="47"/>
      <c r="AB312" s="47"/>
      <c r="AC312" s="47"/>
      <c r="AD312" s="45"/>
      <c r="AE312" s="5"/>
      <c r="AF312" s="154">
        <f>LOG(10^-3.071*133.322)</f>
        <v>-0.94609817999163992</v>
      </c>
      <c r="AG312" s="155" t="s">
        <v>1323</v>
      </c>
      <c r="AH312" s="84"/>
      <c r="AI312" s="47"/>
      <c r="AJ312" s="47"/>
      <c r="AK312" s="45"/>
      <c r="AL312" s="84"/>
      <c r="AM312" s="47"/>
      <c r="AN312" s="47"/>
      <c r="AO312" s="45"/>
      <c r="AP312" s="47"/>
      <c r="AQ312" s="47"/>
      <c r="AR312" s="47"/>
      <c r="AS312" s="84"/>
      <c r="AT312" s="107"/>
      <c r="AU312" s="47"/>
      <c r="AV312" s="45"/>
      <c r="AW312" s="47"/>
      <c r="AX312" s="47"/>
    </row>
    <row r="313" spans="1:50">
      <c r="A313" s="20"/>
      <c r="B313" s="171"/>
      <c r="C313" s="87"/>
      <c r="D313" s="21"/>
      <c r="E313" s="21"/>
      <c r="F313" s="20"/>
      <c r="G313" s="21"/>
      <c r="H313" s="21"/>
      <c r="I313" s="20"/>
      <c r="J313" s="21"/>
      <c r="K313" s="21"/>
      <c r="L313" s="115"/>
      <c r="M313" s="21"/>
      <c r="N313" s="21"/>
      <c r="O313" s="20"/>
      <c r="P313" s="21"/>
      <c r="Q313" s="21"/>
      <c r="R313" s="20"/>
      <c r="S313" s="21"/>
      <c r="T313" s="21"/>
      <c r="U313" s="87"/>
      <c r="V313" s="8"/>
      <c r="W313" s="45"/>
      <c r="X313" s="8"/>
      <c r="Y313" s="8"/>
      <c r="Z313" s="45"/>
      <c r="AA313" s="47"/>
      <c r="AB313" s="47"/>
      <c r="AC313" s="47"/>
      <c r="AD313" s="45"/>
      <c r="AE313" s="5"/>
      <c r="AG313" s="185"/>
      <c r="AH313" s="84"/>
      <c r="AI313" s="47"/>
      <c r="AJ313" s="47"/>
      <c r="AK313" s="45"/>
      <c r="AL313" s="84"/>
      <c r="AM313" s="47"/>
      <c r="AN313" s="47"/>
      <c r="AO313" s="45"/>
      <c r="AP313" s="47"/>
      <c r="AQ313" s="47"/>
      <c r="AR313" s="47"/>
      <c r="AS313" s="84"/>
      <c r="AT313" s="107"/>
      <c r="AU313" s="47"/>
      <c r="AV313" s="45"/>
      <c r="AW313" s="47"/>
      <c r="AX313" s="47"/>
    </row>
    <row r="314" spans="1:50" ht="18">
      <c r="A314" s="20" t="s">
        <v>120</v>
      </c>
      <c r="B314" s="21" t="s">
        <v>121</v>
      </c>
      <c r="C314" s="287">
        <f>AVERAGE(D314:D315)</f>
        <v>80.262301825000009</v>
      </c>
      <c r="D314" s="30">
        <v>82.5</v>
      </c>
      <c r="E314" s="30" t="s">
        <v>243</v>
      </c>
      <c r="F314" s="83"/>
      <c r="G314" s="70"/>
      <c r="H314" s="70"/>
      <c r="I314" s="83"/>
      <c r="J314" s="70"/>
      <c r="K314" s="70"/>
      <c r="L314" s="191">
        <f>M314</f>
        <v>70.099999999999994</v>
      </c>
      <c r="M314" s="70">
        <v>70.099999999999994</v>
      </c>
      <c r="N314" s="70" t="s">
        <v>243</v>
      </c>
      <c r="O314" s="77"/>
      <c r="P314" s="147"/>
      <c r="Q314" s="70"/>
      <c r="R314" s="77"/>
      <c r="S314" s="170"/>
      <c r="T314" s="207"/>
      <c r="U314" s="142">
        <f>V314</f>
        <v>7.993297276476711</v>
      </c>
      <c r="V314" s="15">
        <v>7.993297276476711</v>
      </c>
      <c r="W314" s="45" t="s">
        <v>256</v>
      </c>
      <c r="X314" s="130">
        <f>Y314</f>
        <v>5.71</v>
      </c>
      <c r="Y314" s="8">
        <v>5.71</v>
      </c>
      <c r="Z314" s="45" t="s">
        <v>1296</v>
      </c>
      <c r="AA314" s="182">
        <f>AC314</f>
        <v>-2.087498225774242</v>
      </c>
      <c r="AB314" s="17">
        <f>2*101325/10000</f>
        <v>20.265000000000001</v>
      </c>
      <c r="AC314" s="46">
        <f>LOG(AB314/8.314/298.15)</f>
        <v>-2.087498225774242</v>
      </c>
      <c r="AD314" s="73" t="s">
        <v>1350</v>
      </c>
      <c r="AE314" s="182">
        <f>AVERAGE(AF314:AF315)</f>
        <v>-1.4403667064642687</v>
      </c>
      <c r="AF314" s="276">
        <f>-4075/293.15+12.37</f>
        <v>-1.5307334129285373</v>
      </c>
      <c r="AG314" s="7" t="s">
        <v>124</v>
      </c>
      <c r="AH314" s="130">
        <f>AI314</f>
        <v>-2.98523196960676</v>
      </c>
      <c r="AI314" s="260">
        <f>LOG(AJ314/$B$315)</f>
        <v>-2.98523196960676</v>
      </c>
      <c r="AJ314" s="114">
        <f>'Table S4 Conversions and Notes'!$J$309</f>
        <v>0.26644608852275198</v>
      </c>
      <c r="AK314" s="45" t="s">
        <v>1362</v>
      </c>
      <c r="AL314" s="84"/>
      <c r="AM314" s="47"/>
      <c r="AN314" s="47"/>
      <c r="AO314" s="45"/>
      <c r="AP314" s="47"/>
      <c r="AQ314" s="47"/>
      <c r="AR314" s="47"/>
      <c r="AS314" s="150">
        <f>AVERAGE(AT314:AT315)</f>
        <v>57.75</v>
      </c>
      <c r="AT314" s="107">
        <f>AVERAGE(57,58)</f>
        <v>57.5</v>
      </c>
      <c r="AU314" s="270">
        <f>AT314+273.15</f>
        <v>330.65</v>
      </c>
      <c r="AV314" s="45" t="s">
        <v>1229</v>
      </c>
      <c r="AW314" s="47"/>
      <c r="AX314" s="47"/>
    </row>
    <row r="315" spans="1:50">
      <c r="A315" s="20" t="s">
        <v>1232</v>
      </c>
      <c r="B315" s="171">
        <v>257.53800000000001</v>
      </c>
      <c r="C315" s="266">
        <f>_xlfn.STDEV.S(D314:D315)</f>
        <v>3.164583107582521</v>
      </c>
      <c r="D315" s="30">
        <f>4075*2.303*8.314/1000</f>
        <v>78.024603650000003</v>
      </c>
      <c r="E315" s="30" t="s">
        <v>124</v>
      </c>
      <c r="F315" s="20"/>
      <c r="G315" s="21"/>
      <c r="H315" s="21"/>
      <c r="I315" s="20"/>
      <c r="J315" s="21"/>
      <c r="K315" s="21"/>
      <c r="L315" s="187">
        <f>RSD_dUoa*L314</f>
        <v>4.441401672997646</v>
      </c>
      <c r="M315" s="21"/>
      <c r="N315" s="21"/>
      <c r="O315" s="20"/>
      <c r="P315" s="21"/>
      <c r="Q315" s="21"/>
      <c r="R315" s="20"/>
      <c r="S315" s="21"/>
      <c r="T315" s="313"/>
      <c r="U315" s="142" cm="1">
        <f t="array" ref="U315">RSD_Koa*U314</f>
        <v>0.20580996420229952</v>
      </c>
      <c r="V315" s="8"/>
      <c r="W315" s="45"/>
      <c r="X315" s="130">
        <f>RSD_Inf*X314</f>
        <v>1.1420000000000001</v>
      </c>
      <c r="Y315" s="8"/>
      <c r="Z315" s="45"/>
      <c r="AA315" s="130">
        <f>ABS(RSD_Kaw*AA314)</f>
        <v>0.41749964515484844</v>
      </c>
      <c r="AB315" s="47"/>
      <c r="AC315" s="47"/>
      <c r="AD315" s="45"/>
      <c r="AE315" s="182">
        <f>_xlfn.STDEV.S(AF314:AF315)</f>
        <v>0.12779782186875707</v>
      </c>
      <c r="AF315" s="6">
        <f>-1.35</f>
        <v>-1.35</v>
      </c>
      <c r="AG315" s="7" t="s">
        <v>1329</v>
      </c>
      <c r="AH315" s="130">
        <f>ABS(RSD_SW*AH314)</f>
        <v>0.36913762809068135</v>
      </c>
      <c r="AI315" s="47"/>
      <c r="AJ315" s="47"/>
      <c r="AK315" s="45"/>
      <c r="AL315" s="84"/>
      <c r="AM315" s="47"/>
      <c r="AN315" s="47"/>
      <c r="AO315" s="45"/>
      <c r="AP315" s="47"/>
      <c r="AQ315" s="47"/>
      <c r="AR315" s="47"/>
      <c r="AS315" s="182">
        <f>_xlfn.STDEV.S(AT314:AT315)</f>
        <v>0.35355339059327379</v>
      </c>
      <c r="AT315" s="107">
        <v>58</v>
      </c>
      <c r="AU315" s="270">
        <f>AT315+273.15</f>
        <v>331.15</v>
      </c>
      <c r="AV315" s="45" t="s">
        <v>1235</v>
      </c>
      <c r="AW315" s="47"/>
      <c r="AX315" s="47"/>
    </row>
    <row r="316" spans="1:50">
      <c r="A316" s="20"/>
      <c r="B316" s="171"/>
      <c r="C316" s="324">
        <f>COUNTA(D314:D315)</f>
        <v>2</v>
      </c>
      <c r="D316" s="21"/>
      <c r="E316" s="21"/>
      <c r="F316" s="20"/>
      <c r="G316" s="21"/>
      <c r="H316" s="21"/>
      <c r="I316" s="20"/>
      <c r="J316" s="21"/>
      <c r="K316" s="21"/>
      <c r="L316" s="324">
        <f>COUNTA(M314:M316)</f>
        <v>1</v>
      </c>
      <c r="M316" s="21"/>
      <c r="N316" s="21"/>
      <c r="O316" s="20"/>
      <c r="P316" s="21"/>
      <c r="Q316" s="21"/>
      <c r="R316" s="20"/>
      <c r="S316" s="21"/>
      <c r="T316" s="313"/>
      <c r="U316" s="324">
        <f>COUNTA(V314:V315)</f>
        <v>1</v>
      </c>
      <c r="V316" s="8"/>
      <c r="W316" s="45"/>
      <c r="X316" s="324">
        <f>COUNTA(Y314:Y315)</f>
        <v>1</v>
      </c>
      <c r="Y316" s="8"/>
      <c r="Z316" s="45"/>
      <c r="AA316" s="324">
        <f>COUNTA(AB314:AB316)</f>
        <v>1</v>
      </c>
      <c r="AB316" s="47"/>
      <c r="AC316" s="47"/>
      <c r="AD316" s="45"/>
      <c r="AE316" s="324">
        <f>COUNTA(AF314:AF316)</f>
        <v>2</v>
      </c>
      <c r="AF316" s="6"/>
      <c r="AG316" s="7"/>
      <c r="AH316" s="324">
        <f>COUNTA(AI314:AI316)</f>
        <v>1</v>
      </c>
      <c r="AI316" s="47"/>
      <c r="AJ316" s="47"/>
      <c r="AK316" s="45"/>
      <c r="AL316" s="84"/>
      <c r="AM316" s="47"/>
      <c r="AN316" s="47"/>
      <c r="AO316" s="45"/>
      <c r="AP316" s="47"/>
      <c r="AQ316" s="47"/>
      <c r="AR316" s="47"/>
      <c r="AS316" s="324">
        <f>COUNTA(AT314:AT316)</f>
        <v>2</v>
      </c>
      <c r="AT316" s="107"/>
      <c r="AU316" s="47"/>
      <c r="AV316" s="45"/>
      <c r="AW316" s="47"/>
      <c r="AX316" s="47"/>
    </row>
    <row r="317" spans="1:50">
      <c r="A317" s="20"/>
      <c r="B317" s="171"/>
      <c r="C317" s="87"/>
      <c r="D317" s="21"/>
      <c r="E317" s="21"/>
      <c r="F317" s="20"/>
      <c r="G317" s="21"/>
      <c r="H317" s="21"/>
      <c r="I317" s="20"/>
      <c r="J317" s="21"/>
      <c r="K317" s="21"/>
      <c r="L317" s="115"/>
      <c r="M317" s="21"/>
      <c r="N317" s="21"/>
      <c r="O317" s="20"/>
      <c r="P317" s="21"/>
      <c r="Q317" s="21"/>
      <c r="R317" s="20"/>
      <c r="S317" s="21"/>
      <c r="T317" s="313"/>
      <c r="V317" s="8"/>
      <c r="W317" s="45"/>
      <c r="X317" s="8"/>
      <c r="Y317" s="8"/>
      <c r="Z317" s="45"/>
      <c r="AA317" s="47"/>
      <c r="AB317" s="47"/>
      <c r="AC317" s="47"/>
      <c r="AD317" s="45"/>
      <c r="AE317" s="6"/>
      <c r="AF317" s="6"/>
      <c r="AG317" s="7"/>
      <c r="AH317" s="84"/>
      <c r="AI317" s="47"/>
      <c r="AJ317" s="47"/>
      <c r="AK317" s="45"/>
      <c r="AL317" s="84"/>
      <c r="AM317" s="47"/>
      <c r="AN317" s="47"/>
      <c r="AO317" s="45"/>
      <c r="AP317" s="47"/>
      <c r="AQ317" s="47"/>
      <c r="AR317" s="47"/>
      <c r="AS317" s="84"/>
      <c r="AT317" s="107"/>
      <c r="AU317" s="47"/>
      <c r="AV317" s="45"/>
      <c r="AW317" s="47"/>
      <c r="AX317" s="47"/>
    </row>
    <row r="318" spans="1:50" ht="18">
      <c r="A318" s="20" t="s">
        <v>122</v>
      </c>
      <c r="B318" s="21" t="s">
        <v>123</v>
      </c>
      <c r="C318" s="287">
        <f>AVERAGE(D318:D319)</f>
        <v>77.099999999999994</v>
      </c>
      <c r="D318" s="30">
        <v>77.099999999999994</v>
      </c>
      <c r="E318" s="30" t="s">
        <v>250</v>
      </c>
      <c r="F318" s="191">
        <f>G318</f>
        <v>31.8</v>
      </c>
      <c r="G318" s="70">
        <v>31.8</v>
      </c>
      <c r="H318" s="70" t="s">
        <v>1346</v>
      </c>
      <c r="I318" s="83"/>
      <c r="J318" s="70"/>
      <c r="K318" s="70"/>
      <c r="L318" s="191">
        <f>M318</f>
        <v>76.099999999999994</v>
      </c>
      <c r="M318" s="70">
        <v>76.099999999999994</v>
      </c>
      <c r="N318" s="70" t="s">
        <v>250</v>
      </c>
      <c r="O318" s="77"/>
      <c r="P318" s="147"/>
      <c r="Q318" s="70"/>
      <c r="R318" s="77"/>
      <c r="S318" s="170"/>
      <c r="T318" s="207"/>
      <c r="U318" s="142">
        <f>V318</f>
        <v>9.0261907024857795</v>
      </c>
      <c r="V318" s="15">
        <v>9.0261907024857795</v>
      </c>
      <c r="W318" s="45" t="s">
        <v>256</v>
      </c>
      <c r="X318" s="130">
        <f>Y318</f>
        <v>6.4024999999999999</v>
      </c>
      <c r="Y318" s="15">
        <f>'Table S4 Conversions and Notes'!J310</f>
        <v>6.4024999999999999</v>
      </c>
      <c r="Z318" s="45" t="s">
        <v>1630</v>
      </c>
      <c r="AA318" s="182">
        <f>AC318</f>
        <v>-2.5192965017072471</v>
      </c>
      <c r="AB318" s="17">
        <f>0.74*101325/10000</f>
        <v>7.4980500000000001</v>
      </c>
      <c r="AC318" s="46">
        <f>LOG(AB318/8.314/298.15)</f>
        <v>-2.5192965017072471</v>
      </c>
      <c r="AD318" s="73" t="s">
        <v>1350</v>
      </c>
      <c r="AE318" s="182">
        <f>AVERAGE(AF318:AF320)</f>
        <v>-2.4598699455590731</v>
      </c>
      <c r="AF318" s="15">
        <v>-2.2796098366772188</v>
      </c>
      <c r="AG318" s="45" t="s">
        <v>256</v>
      </c>
      <c r="AH318" s="130">
        <f>AI318</f>
        <v>-4.4217108558101943</v>
      </c>
      <c r="AI318" s="260">
        <f>LOG(AJ318/$B$319)</f>
        <v>-4.4217108558101943</v>
      </c>
      <c r="AJ318" s="114">
        <f>'Table S4 Conversions and Notes'!$J$319</f>
        <v>1.2361425778730393E-2</v>
      </c>
      <c r="AK318" s="45" t="s">
        <v>1377</v>
      </c>
      <c r="AL318" s="84"/>
      <c r="AM318" s="47"/>
      <c r="AN318" s="47"/>
      <c r="AO318" s="45"/>
      <c r="AP318" s="47"/>
      <c r="AQ318" s="47"/>
      <c r="AR318" s="47"/>
      <c r="AS318" s="150">
        <f>AVERAGE(AT318:AT320)</f>
        <v>76</v>
      </c>
      <c r="AT318" s="107">
        <f>AVERAGE(75,77)</f>
        <v>76</v>
      </c>
      <c r="AU318" s="270">
        <f>AT318+273.15</f>
        <v>349.15</v>
      </c>
      <c r="AV318" s="45" t="s">
        <v>1229</v>
      </c>
      <c r="AW318" s="47"/>
      <c r="AX318" s="47"/>
    </row>
    <row r="319" spans="1:50" ht="18">
      <c r="A319" s="20" t="s">
        <v>1237</v>
      </c>
      <c r="B319" s="171">
        <v>326.42200000000003</v>
      </c>
      <c r="C319" s="266">
        <f>C318*RSD_dHvap</f>
        <v>5.5021195639597513</v>
      </c>
      <c r="D319" s="21"/>
      <c r="E319" s="21"/>
      <c r="F319" s="187">
        <f>RSD_dHw*F318</f>
        <v>6.36</v>
      </c>
      <c r="G319" s="21"/>
      <c r="H319" s="21"/>
      <c r="I319" s="20"/>
      <c r="J319" s="21"/>
      <c r="K319" s="21"/>
      <c r="L319" s="187">
        <f>RSD_dUoa*L318</f>
        <v>4.8215501756793282</v>
      </c>
      <c r="M319" s="21"/>
      <c r="N319" s="21"/>
      <c r="O319" s="20"/>
      <c r="P319" s="21"/>
      <c r="Q319" s="21"/>
      <c r="R319" s="20"/>
      <c r="S319" s="21"/>
      <c r="T319" s="313"/>
      <c r="U319" s="142" cm="1">
        <f t="array" ref="U319">RSD_Koa*U318</f>
        <v>0.23240471624002404</v>
      </c>
      <c r="V319" s="8"/>
      <c r="W319" s="45"/>
      <c r="X319" s="130">
        <f>RSD_Inf*X318</f>
        <v>1.2805</v>
      </c>
      <c r="Y319" s="8"/>
      <c r="Z319" s="45"/>
      <c r="AA319" s="130">
        <f>ABS(RSD_Kaw*AA318)</f>
        <v>0.50385930034144943</v>
      </c>
      <c r="AB319" s="154">
        <f ca="1">'Table S4 Conversions and Notes'!$J$303</f>
        <v>83.051622501545253</v>
      </c>
      <c r="AC319" s="225">
        <f ca="1">LOG(AB319/8.314/298.15)</f>
        <v>-1.4748967125782677</v>
      </c>
      <c r="AD319" s="155" t="s">
        <v>1664</v>
      </c>
      <c r="AE319" s="182">
        <f>_xlfn.STDEV.S(AF318:AF320)</f>
        <v>0.15642979300815249</v>
      </c>
      <c r="AF319" s="6">
        <v>-2.56</v>
      </c>
      <c r="AG319" s="7" t="s">
        <v>124</v>
      </c>
      <c r="AH319" s="130">
        <f>ABS(RSD_SW*AH318)</f>
        <v>0.54676483235961115</v>
      </c>
      <c r="AI319" s="47"/>
      <c r="AJ319" s="47"/>
      <c r="AK319" s="45"/>
      <c r="AL319" s="84"/>
      <c r="AM319" s="47"/>
      <c r="AN319" s="47"/>
      <c r="AO319" s="45"/>
      <c r="AP319" s="47"/>
      <c r="AQ319" s="47"/>
      <c r="AR319" s="47"/>
      <c r="AS319" s="182">
        <f>RSD_Tm*AS318</f>
        <v>3.5085945063281443</v>
      </c>
      <c r="AT319" s="107"/>
      <c r="AU319" s="47"/>
      <c r="AV319" s="45"/>
      <c r="AW319" s="47"/>
      <c r="AX319" s="47"/>
    </row>
    <row r="320" spans="1:50">
      <c r="A320" s="20"/>
      <c r="B320" s="171"/>
      <c r="C320" s="324">
        <f>COUNTA(D318:D319)</f>
        <v>1</v>
      </c>
      <c r="D320" s="21"/>
      <c r="E320" s="21"/>
      <c r="F320" s="324">
        <f>COUNTA(G318:G320)</f>
        <v>1</v>
      </c>
      <c r="G320" s="21"/>
      <c r="H320" s="21"/>
      <c r="I320" s="20"/>
      <c r="J320" s="21"/>
      <c r="K320" s="21"/>
      <c r="L320" s="324">
        <f>COUNTA(M318:M320)</f>
        <v>1</v>
      </c>
      <c r="M320" s="21"/>
      <c r="N320" s="21"/>
      <c r="O320" s="20"/>
      <c r="P320" s="21"/>
      <c r="Q320" s="21"/>
      <c r="R320" s="20"/>
      <c r="S320" s="21"/>
      <c r="T320" s="21"/>
      <c r="U320" s="324">
        <f>COUNTA(V318:V319)</f>
        <v>1</v>
      </c>
      <c r="V320" s="8"/>
      <c r="W320" s="45"/>
      <c r="X320" s="324">
        <f>COUNTA(Y318:Y319)</f>
        <v>1</v>
      </c>
      <c r="Y320" s="8"/>
      <c r="Z320" s="45"/>
      <c r="AA320" s="324">
        <f>COUNTA(AB318)</f>
        <v>1</v>
      </c>
      <c r="AB320" s="47"/>
      <c r="AC320" s="47"/>
      <c r="AD320" s="45"/>
      <c r="AE320" s="324">
        <f>COUNTA(AF318:AF320)</f>
        <v>3</v>
      </c>
      <c r="AF320" s="6">
        <f>-2.54</f>
        <v>-2.54</v>
      </c>
      <c r="AG320" s="7" t="s">
        <v>1329</v>
      </c>
      <c r="AH320" s="324">
        <f>COUNTA(AI318:AI320)</f>
        <v>1</v>
      </c>
      <c r="AI320" s="47"/>
      <c r="AJ320" s="47"/>
      <c r="AK320" s="45"/>
      <c r="AL320" s="84"/>
      <c r="AM320" s="47"/>
      <c r="AN320" s="47"/>
      <c r="AO320" s="45"/>
      <c r="AP320" s="47"/>
      <c r="AQ320" s="47"/>
      <c r="AR320" s="47"/>
      <c r="AS320" s="324">
        <f>COUNTA(AT318:AT320)</f>
        <v>1</v>
      </c>
      <c r="AT320" s="107"/>
      <c r="AU320" s="47"/>
      <c r="AV320" s="45"/>
      <c r="AW320" s="47"/>
      <c r="AX320" s="47"/>
    </row>
    <row r="321" spans="1:50">
      <c r="A321" s="20"/>
      <c r="B321" s="171"/>
      <c r="C321" s="87"/>
      <c r="D321" s="21"/>
      <c r="E321" s="21"/>
      <c r="F321" s="20"/>
      <c r="G321" s="21"/>
      <c r="H321" s="21"/>
      <c r="I321" s="20"/>
      <c r="J321" s="21"/>
      <c r="K321" s="21"/>
      <c r="L321" s="115"/>
      <c r="M321" s="21"/>
      <c r="N321" s="21"/>
      <c r="O321" s="20"/>
      <c r="P321" s="21"/>
      <c r="Q321" s="21"/>
      <c r="R321" s="20"/>
      <c r="S321" s="21"/>
      <c r="T321" s="21"/>
      <c r="U321" s="87"/>
      <c r="V321" s="8"/>
      <c r="W321" s="45"/>
      <c r="X321" s="8"/>
      <c r="Y321" s="8"/>
      <c r="Z321" s="45"/>
      <c r="AA321" s="47"/>
      <c r="AB321" s="47"/>
      <c r="AC321" s="47"/>
      <c r="AD321" s="45"/>
      <c r="AF321" s="6"/>
      <c r="AG321" s="7"/>
      <c r="AH321" s="84"/>
      <c r="AI321" s="47"/>
      <c r="AJ321" s="47"/>
      <c r="AK321" s="45"/>
      <c r="AL321" s="84"/>
      <c r="AM321" s="47"/>
      <c r="AN321" s="47"/>
      <c r="AO321" s="45"/>
      <c r="AP321" s="47"/>
      <c r="AQ321" s="47"/>
      <c r="AR321" s="47"/>
      <c r="AS321" s="84"/>
      <c r="AT321" s="107"/>
      <c r="AU321" s="47"/>
      <c r="AV321" s="45"/>
      <c r="AW321" s="47"/>
      <c r="AX321" s="47"/>
    </row>
    <row r="322" spans="1:50" ht="18">
      <c r="A322" s="20" t="s">
        <v>125</v>
      </c>
      <c r="B322" s="21" t="s">
        <v>126</v>
      </c>
      <c r="C322" s="287">
        <f>AVERAGE(D322:D324)</f>
        <v>77.521050303999999</v>
      </c>
      <c r="D322" s="30">
        <v>76.2</v>
      </c>
      <c r="E322" s="30" t="s">
        <v>243</v>
      </c>
      <c r="F322" s="83"/>
      <c r="G322" s="70"/>
      <c r="H322" s="70"/>
      <c r="I322" s="83"/>
      <c r="J322" s="70"/>
      <c r="K322" s="207"/>
      <c r="L322" s="142">
        <f>M322</f>
        <v>63.8</v>
      </c>
      <c r="M322" s="70">
        <v>63.8</v>
      </c>
      <c r="N322" s="70" t="s">
        <v>243</v>
      </c>
      <c r="O322" s="77"/>
      <c r="P322" s="147"/>
      <c r="Q322" s="70"/>
      <c r="R322" s="77"/>
      <c r="S322" s="170"/>
      <c r="T322" s="207"/>
      <c r="U322" s="142">
        <f ca="1">AVERAGE(V322:V323)</f>
        <v>7.6828040702811879</v>
      </c>
      <c r="V322" s="15">
        <v>7.6673997978814983</v>
      </c>
      <c r="W322" s="45" t="s">
        <v>256</v>
      </c>
      <c r="X322" s="130">
        <f>AVERAGE(Y322:Y323)</f>
        <v>5.2862499999999999</v>
      </c>
      <c r="Y322" s="15">
        <v>5.3</v>
      </c>
      <c r="Z322" s="45" t="s">
        <v>1371</v>
      </c>
      <c r="AA322" s="182"/>
      <c r="AB322" s="154">
        <f>'Table S4 Conversions and Notes'!$J$262</f>
        <v>23.61</v>
      </c>
      <c r="AC322" s="225">
        <f>LOG(AB322/8.314/298.15)</f>
        <v>-2.0211488467732268</v>
      </c>
      <c r="AD322" s="155" t="s">
        <v>2866</v>
      </c>
      <c r="AE322" s="182">
        <f>AVERAGE(AF322:AF323)</f>
        <v>-1.1641242474646873</v>
      </c>
      <c r="AF322" s="276">
        <f>-3936/293.15+12.14</f>
        <v>-1.2865734265734279</v>
      </c>
      <c r="AG322" s="7" t="s">
        <v>124</v>
      </c>
      <c r="AH322" s="130">
        <f>AVERAGE(AI322:AI323)</f>
        <v>-3.2819205999699497</v>
      </c>
      <c r="AI322" s="260">
        <f>LOG(AJ322/$B$323)</f>
        <v>-3.5962301098936647</v>
      </c>
      <c r="AJ322" s="114">
        <f>'Table S4 Conversions and Notes'!$J$311</f>
        <v>9.1435206249058223E-2</v>
      </c>
      <c r="AK322" s="45" t="s">
        <v>1367</v>
      </c>
      <c r="AL322" s="84"/>
      <c r="AM322" s="47"/>
      <c r="AN322" s="47"/>
      <c r="AO322" s="45"/>
      <c r="AP322" s="47"/>
      <c r="AQ322" s="47"/>
      <c r="AR322" s="47"/>
      <c r="AS322" s="150">
        <f>AVERAGE(AT322:AT324)</f>
        <v>29.083333333333332</v>
      </c>
      <c r="AT322" s="107">
        <f>AVERAGE(29,30)</f>
        <v>29.5</v>
      </c>
      <c r="AU322" s="270">
        <f>AT322+273.15</f>
        <v>302.64999999999998</v>
      </c>
      <c r="AV322" s="45" t="s">
        <v>1229</v>
      </c>
      <c r="AW322" s="47"/>
      <c r="AX322" s="47"/>
    </row>
    <row r="323" spans="1:50" ht="18">
      <c r="A323" s="20" t="s">
        <v>1234</v>
      </c>
      <c r="B323" s="171">
        <v>360.86399999999998</v>
      </c>
      <c r="C323" s="266">
        <f>_xlfn.STDEV.S(D322:D324)</f>
        <v>3.0417753598014903</v>
      </c>
      <c r="D323" s="30">
        <f>3936*2.303*8.314/1000</f>
        <v>75.363150911999995</v>
      </c>
      <c r="E323" s="30" t="s">
        <v>124</v>
      </c>
      <c r="F323" s="20"/>
      <c r="G323" s="21"/>
      <c r="H323" s="21"/>
      <c r="I323" s="20"/>
      <c r="J323" s="21"/>
      <c r="K323" s="313"/>
      <c r="L323" s="142">
        <f>RSD_dUoa*L322</f>
        <v>4.042245745181881</v>
      </c>
      <c r="M323" s="21"/>
      <c r="N323" s="21"/>
      <c r="O323" s="20"/>
      <c r="P323" s="21"/>
      <c r="Q323" s="21"/>
      <c r="R323" s="20"/>
      <c r="S323" s="21"/>
      <c r="T323" s="313"/>
      <c r="U323" s="142">
        <f ca="1">_xlfn.STDEV.S(V322:V323)</f>
        <v>2.1784930946130668E-2</v>
      </c>
      <c r="V323" s="15">
        <f ca="1">'Table S4 Conversions and Notes'!$J$318</f>
        <v>7.6982083426808776</v>
      </c>
      <c r="W323" s="45" t="s">
        <v>1375</v>
      </c>
      <c r="X323" s="130">
        <f>_xlfn.STDEV.S(Y322:Y323)</f>
        <v>1.9445436482629957E-2</v>
      </c>
      <c r="Y323" s="15">
        <f>'Table S4 Conversions and Notes'!J313</f>
        <v>5.2725</v>
      </c>
      <c r="Z323" s="45" t="s">
        <v>1373</v>
      </c>
      <c r="AA323" s="130"/>
      <c r="AB323" s="47"/>
      <c r="AC323" s="47"/>
      <c r="AD323" s="45"/>
      <c r="AE323" s="182">
        <f>_xlfn.STDEV.S(AF322:AF323)</f>
        <v>0.17316928979703319</v>
      </c>
      <c r="AF323" s="276">
        <f>LOG(AVERAGE(0.0952,0.0865))</f>
        <v>-1.0416750683559468</v>
      </c>
      <c r="AG323" s="7" t="s">
        <v>336</v>
      </c>
      <c r="AH323" s="130">
        <f>_xlfn.STDEV.S(AI322:AI323)</f>
        <v>0.44450077171695895</v>
      </c>
      <c r="AI323" s="260">
        <f>LOG(AJ323/$B$323)</f>
        <v>-2.9676110900462342</v>
      </c>
      <c r="AJ323" s="114">
        <f>'Table S4 Conversions and Notes'!$J$312</f>
        <v>0.38880556170770703</v>
      </c>
      <c r="AK323" s="45" t="s">
        <v>1631</v>
      </c>
      <c r="AL323" s="84"/>
      <c r="AM323" s="47"/>
      <c r="AN323" s="47"/>
      <c r="AO323" s="45"/>
      <c r="AP323" s="47"/>
      <c r="AQ323" s="47"/>
      <c r="AR323" s="47"/>
      <c r="AS323" s="182">
        <f>_xlfn.STDEV.S(AT322:AT324)</f>
        <v>0.38188130791298669</v>
      </c>
      <c r="AT323" s="107">
        <v>29</v>
      </c>
      <c r="AU323" s="270">
        <f>AT323+273.15</f>
        <v>302.14999999999998</v>
      </c>
      <c r="AV323" s="45" t="s">
        <v>1235</v>
      </c>
      <c r="AW323" s="47"/>
      <c r="AX323" s="47"/>
    </row>
    <row r="324" spans="1:50" ht="18">
      <c r="A324" s="20"/>
      <c r="B324" s="171"/>
      <c r="C324" s="324">
        <f>COUNTA(D322:D324)</f>
        <v>3</v>
      </c>
      <c r="D324" s="448">
        <v>81</v>
      </c>
      <c r="E324" s="448" t="s">
        <v>2693</v>
      </c>
      <c r="F324" s="20"/>
      <c r="G324" s="21"/>
      <c r="H324" s="21"/>
      <c r="I324" s="20"/>
      <c r="J324" s="21"/>
      <c r="K324" s="21"/>
      <c r="L324" s="324">
        <f>COUNTA(M322:M324)</f>
        <v>1</v>
      </c>
      <c r="M324" s="21"/>
      <c r="N324" s="21"/>
      <c r="O324" s="20"/>
      <c r="P324" s="21"/>
      <c r="Q324" s="21"/>
      <c r="R324" s="20"/>
      <c r="S324" s="21"/>
      <c r="T324" s="21"/>
      <c r="U324" s="324">
        <f ca="1">COUNTA(V322:V324)</f>
        <v>2</v>
      </c>
      <c r="V324" s="8"/>
      <c r="W324" s="45"/>
      <c r="X324" s="324">
        <f>COUNTA(Y322:Y323)</f>
        <v>2</v>
      </c>
      <c r="Y324" s="8">
        <v>5.34</v>
      </c>
      <c r="Z324" s="45" t="s">
        <v>1893</v>
      </c>
      <c r="AA324" s="324"/>
      <c r="AB324" s="47"/>
      <c r="AC324" s="47"/>
      <c r="AD324" s="45"/>
      <c r="AE324" s="324">
        <f>COUNTA(AF322:AF323)</f>
        <v>2</v>
      </c>
      <c r="AF324" s="176">
        <f>LOG(10^-3.244*133.322)</f>
        <v>-1.11909817999164</v>
      </c>
      <c r="AG324" s="185" t="s">
        <v>1323</v>
      </c>
      <c r="AH324" s="324">
        <f>COUNTA(AI322:AI324)</f>
        <v>2</v>
      </c>
      <c r="AK324" s="45"/>
      <c r="AL324" s="84"/>
      <c r="AM324" s="47"/>
      <c r="AN324" s="47"/>
      <c r="AO324" s="45"/>
      <c r="AP324" s="47"/>
      <c r="AQ324" s="47"/>
      <c r="AR324" s="47"/>
      <c r="AS324" s="324">
        <f>COUNTA(AT322:AT324)</f>
        <v>3</v>
      </c>
      <c r="AT324" s="107">
        <f>AVERAGE(28,29.5)</f>
        <v>28.75</v>
      </c>
      <c r="AU324" s="270">
        <f>AT324+273.15</f>
        <v>301.89999999999998</v>
      </c>
      <c r="AV324" s="45" t="s">
        <v>1364</v>
      </c>
      <c r="AW324" s="47"/>
      <c r="AX324" s="47"/>
    </row>
    <row r="325" spans="1:50" ht="18">
      <c r="A325" s="20"/>
      <c r="B325" s="171"/>
      <c r="C325" s="266"/>
      <c r="D325" s="30"/>
      <c r="E325" s="21"/>
      <c r="F325" s="20"/>
      <c r="G325" s="21"/>
      <c r="H325" s="21"/>
      <c r="I325" s="20"/>
      <c r="J325" s="21"/>
      <c r="K325" s="21"/>
      <c r="L325" s="115"/>
      <c r="M325" s="21"/>
      <c r="N325" s="21"/>
      <c r="O325" s="20"/>
      <c r="P325" s="21"/>
      <c r="Q325" s="21"/>
      <c r="R325" s="20"/>
      <c r="S325" s="21"/>
      <c r="T325" s="21"/>
      <c r="U325" s="87"/>
      <c r="V325" s="8"/>
      <c r="W325" s="45"/>
      <c r="X325" s="8"/>
      <c r="Y325" s="8"/>
      <c r="Z325" s="45"/>
      <c r="AA325" s="47"/>
      <c r="AB325" s="47"/>
      <c r="AC325" s="47"/>
      <c r="AD325" s="45"/>
      <c r="AF325" s="176">
        <f>LOG(10^-3.164*133.322)</f>
        <v>-1.0390981799916399</v>
      </c>
      <c r="AG325" s="185" t="s">
        <v>1323</v>
      </c>
      <c r="AH325" s="84"/>
      <c r="AK325" s="45"/>
      <c r="AL325" s="84"/>
      <c r="AM325" s="47"/>
      <c r="AN325" s="47"/>
      <c r="AO325" s="45"/>
      <c r="AP325" s="47"/>
      <c r="AQ325" s="47"/>
      <c r="AR325" s="47"/>
      <c r="AS325" s="84"/>
      <c r="AT325" s="107"/>
      <c r="AU325" s="270"/>
      <c r="AV325" s="45"/>
      <c r="AW325" s="47"/>
      <c r="AX325" s="47"/>
    </row>
    <row r="326" spans="1:50">
      <c r="A326" s="20"/>
      <c r="B326" s="171"/>
      <c r="C326" s="87"/>
      <c r="D326" s="21"/>
      <c r="E326" s="21"/>
      <c r="F326" s="20"/>
      <c r="G326" s="21"/>
      <c r="H326" s="21"/>
      <c r="I326" s="20"/>
      <c r="J326" s="21"/>
      <c r="K326" s="21"/>
      <c r="L326" s="115"/>
      <c r="M326" s="21"/>
      <c r="N326" s="21"/>
      <c r="O326" s="20"/>
      <c r="P326" s="21"/>
      <c r="Q326" s="21"/>
      <c r="R326" s="20"/>
      <c r="S326" s="21"/>
      <c r="T326" s="21"/>
      <c r="U326" s="87"/>
      <c r="V326" s="8"/>
      <c r="W326" s="45"/>
      <c r="X326" s="8"/>
      <c r="Y326" s="8"/>
      <c r="Z326" s="45"/>
      <c r="AA326" s="47"/>
      <c r="AB326" s="17"/>
      <c r="AC326" s="47"/>
      <c r="AD326" s="45"/>
      <c r="AF326" s="6"/>
      <c r="AG326" s="7"/>
      <c r="AH326" s="84"/>
      <c r="AI326" s="17"/>
      <c r="AJ326" s="47"/>
      <c r="AK326" s="45"/>
      <c r="AL326" s="84"/>
      <c r="AM326" s="47"/>
      <c r="AN326" s="47"/>
      <c r="AO326" s="45"/>
      <c r="AP326" s="47"/>
      <c r="AQ326" s="47"/>
      <c r="AR326" s="47"/>
      <c r="AS326" s="84"/>
      <c r="AT326" s="107"/>
      <c r="AU326" s="47"/>
      <c r="AV326" s="45"/>
      <c r="AW326" s="47"/>
      <c r="AX326" s="47"/>
    </row>
    <row r="327" spans="1:50" ht="18">
      <c r="A327" s="3" t="s">
        <v>127</v>
      </c>
      <c r="B327" s="4" t="s">
        <v>128</v>
      </c>
      <c r="C327" s="287">
        <f>AVERAGE(D327:D328)</f>
        <v>85.341688061999989</v>
      </c>
      <c r="D327" s="30">
        <v>84.1</v>
      </c>
      <c r="E327" s="30" t="s">
        <v>250</v>
      </c>
      <c r="F327" s="83"/>
      <c r="G327" s="70"/>
      <c r="H327" s="70"/>
      <c r="I327" s="83"/>
      <c r="J327" s="70"/>
      <c r="K327" s="207"/>
      <c r="L327" s="142">
        <f>M327</f>
        <v>83</v>
      </c>
      <c r="M327" s="70">
        <v>83</v>
      </c>
      <c r="N327" s="70" t="s">
        <v>250</v>
      </c>
      <c r="O327" s="77"/>
      <c r="P327" s="147"/>
      <c r="Q327" s="70"/>
      <c r="R327" s="77"/>
      <c r="S327" s="170"/>
      <c r="T327" s="70"/>
      <c r="U327" s="130">
        <f ca="1">AVERAGE(V327:V328)</f>
        <v>9.5354454649199933</v>
      </c>
      <c r="V327" s="15">
        <v>9.4926973477064358</v>
      </c>
      <c r="W327" s="45" t="s">
        <v>256</v>
      </c>
      <c r="X327" s="130">
        <f>AVERAGE(Y327:Y328)</f>
        <v>6.665</v>
      </c>
      <c r="Y327" s="15">
        <v>6.78</v>
      </c>
      <c r="Z327" s="45" t="s">
        <v>1296</v>
      </c>
      <c r="AA327" s="182">
        <f ca="1">AVERAGE(AC327:AC328)</f>
        <v>-2.5888519995337749</v>
      </c>
      <c r="AB327" s="17">
        <f>0.39*101325/10000</f>
        <v>3.9516749999999998</v>
      </c>
      <c r="AC327" s="46">
        <f>LOG(AB327/8.314/298.15)</f>
        <v>-2.7974636144117242</v>
      </c>
      <c r="AD327" s="73" t="s">
        <v>1350</v>
      </c>
      <c r="AE327" s="182">
        <f ca="1">AVERAGE(AF327:AF330)</f>
        <v>-3.0450153498164276</v>
      </c>
      <c r="AF327" s="15">
        <v>-2.7942376129747561</v>
      </c>
      <c r="AG327" s="45" t="s">
        <v>256</v>
      </c>
      <c r="AH327" s="130">
        <f ca="1">AVERAGE(AI327:AI328)</f>
        <v>-4.9723347322518059</v>
      </c>
      <c r="AI327" s="260">
        <f>LOG(AJ327/$B$328)</f>
        <v>-4.5181995978699918</v>
      </c>
      <c r="AJ327" s="114">
        <f>'Table S4 Conversions and Notes'!$J$320</f>
        <v>1.0943190534265028E-2</v>
      </c>
      <c r="AK327" s="45" t="s">
        <v>1380</v>
      </c>
      <c r="AL327" s="84"/>
      <c r="AM327" s="47"/>
      <c r="AN327" s="47"/>
      <c r="AO327" s="45"/>
      <c r="AP327" s="47"/>
      <c r="AQ327" s="47"/>
      <c r="AR327" s="47"/>
      <c r="AS327" s="150">
        <f>AVERAGE(AT327:AT329)</f>
        <v>136</v>
      </c>
      <c r="AT327" s="107">
        <f>AVERAGE(135,137)</f>
        <v>136</v>
      </c>
      <c r="AU327" s="270">
        <f>AT327+273.15</f>
        <v>409.15</v>
      </c>
      <c r="AV327" s="45" t="s">
        <v>1229</v>
      </c>
      <c r="AW327" s="47"/>
      <c r="AX327" s="47"/>
    </row>
    <row r="328" spans="1:50" ht="18">
      <c r="A328" s="3" t="s">
        <v>1239</v>
      </c>
      <c r="B328" s="171">
        <v>360.86399999999998</v>
      </c>
      <c r="C328" s="266">
        <f>_xlfn.STDEV.S(D327:D328)</f>
        <v>1.7560120975171565</v>
      </c>
      <c r="D328" s="30">
        <f>4522*2.303*8.314/1000</f>
        <v>86.583376123999983</v>
      </c>
      <c r="E328" s="30" t="s">
        <v>124</v>
      </c>
      <c r="F328" s="83"/>
      <c r="G328" s="70"/>
      <c r="H328" s="70"/>
      <c r="I328" s="83"/>
      <c r="J328" s="70"/>
      <c r="K328" s="207"/>
      <c r="L328" s="142">
        <f>RSD_dUoa*L327</f>
        <v>5.2587209537632624</v>
      </c>
      <c r="M328" s="70"/>
      <c r="N328" s="70"/>
      <c r="O328" s="77"/>
      <c r="P328" s="147"/>
      <c r="Q328" s="70"/>
      <c r="R328" s="77"/>
      <c r="S328" s="170"/>
      <c r="T328" s="70"/>
      <c r="U328" s="130">
        <f ca="1">_xlfn.STDEV.S(V327:V328)</f>
        <v>6.0454967129327825E-2</v>
      </c>
      <c r="V328" s="15">
        <f ca="1">'Table S4 Conversions and Notes'!$J$324</f>
        <v>9.5781935821335509</v>
      </c>
      <c r="W328" s="45" t="s">
        <v>1390</v>
      </c>
      <c r="X328" s="130">
        <f>_xlfn.STDEV.S(Y327:Y328)</f>
        <v>0.16263455967290624</v>
      </c>
      <c r="Y328" s="15">
        <f>'Table S4 Conversions and Notes'!J323</f>
        <v>6.55</v>
      </c>
      <c r="Z328" s="45" t="s">
        <v>1388</v>
      </c>
      <c r="AA328" s="130">
        <f ca="1">_xlfn.STDEV.S(AC327:AC328)</f>
        <v>0.29502137502894887</v>
      </c>
      <c r="AB328" s="260">
        <f ca="1">10^AC328*8.314*298.15</f>
        <v>10.327719860974971</v>
      </c>
      <c r="AC328" s="17">
        <f ca="1">'Table S4 Conversions and Notes'!$J$436</f>
        <v>-2.3802403846558255</v>
      </c>
      <c r="AD328" s="73" t="s">
        <v>2229</v>
      </c>
      <c r="AE328" s="182">
        <f ca="1">_xlfn.STDEV.S(AF327:AF330)</f>
        <v>0.24220774330514885</v>
      </c>
      <c r="AF328" s="6">
        <v>-2.9</v>
      </c>
      <c r="AG328" s="7" t="s">
        <v>124</v>
      </c>
      <c r="AH328" s="130">
        <f ca="1">_xlfn.STDEV.S(AI327:AI328)</f>
        <v>0.64224406619288954</v>
      </c>
      <c r="AI328" s="260">
        <f ca="1">LOG(AJ328/$B$328)</f>
        <v>-5.42646986663362</v>
      </c>
      <c r="AJ328" s="311">
        <f ca="1">'Table S4 Conversions and Notes'!$J$321</f>
        <v>1.3516793908310201E-3</v>
      </c>
      <c r="AK328" s="45" t="s">
        <v>1381</v>
      </c>
      <c r="AL328" s="84"/>
      <c r="AM328" s="47"/>
      <c r="AN328" s="47"/>
      <c r="AO328" s="45"/>
      <c r="AP328" s="47"/>
      <c r="AQ328" s="47"/>
      <c r="AR328" s="47"/>
      <c r="AS328" s="130">
        <f>RSD_Tm*AS327</f>
        <v>6.2785375376398376</v>
      </c>
      <c r="AT328" s="107"/>
      <c r="AU328" s="47"/>
      <c r="AV328" s="45"/>
      <c r="AW328" s="47"/>
      <c r="AX328" s="47"/>
    </row>
    <row r="329" spans="1:50">
      <c r="A329" s="3"/>
      <c r="B329" s="4" t="s">
        <v>20</v>
      </c>
      <c r="C329" s="324">
        <f>COUNTA(D327:D328)</f>
        <v>2</v>
      </c>
      <c r="D329" s="4"/>
      <c r="E329" s="4"/>
      <c r="F329" s="3"/>
      <c r="G329" s="4"/>
      <c r="H329" s="4"/>
      <c r="I329" s="3"/>
      <c r="J329" s="4"/>
      <c r="K329" s="4"/>
      <c r="L329" s="324">
        <f>COUNTA(M327:M329)</f>
        <v>1</v>
      </c>
      <c r="M329" s="4"/>
      <c r="N329" s="4"/>
      <c r="O329" s="3"/>
      <c r="P329" s="4"/>
      <c r="Q329" s="4"/>
      <c r="R329" s="3"/>
      <c r="S329" s="4"/>
      <c r="T329" s="4"/>
      <c r="U329" s="324">
        <f ca="1">COUNTA(V327:V329)</f>
        <v>2</v>
      </c>
      <c r="V329" s="8"/>
      <c r="W329" s="45"/>
      <c r="X329" s="324">
        <f>COUNTA(Y327:Y329)</f>
        <v>2</v>
      </c>
      <c r="Y329" s="8"/>
      <c r="Z329" s="45"/>
      <c r="AA329" s="324">
        <f ca="1">COUNTA(AB327:AB329)</f>
        <v>2</v>
      </c>
      <c r="AB329" s="47"/>
      <c r="AC329" s="47"/>
      <c r="AD329" s="45"/>
      <c r="AE329" s="324">
        <f ca="1">COUNTA(AF327:AF330)</f>
        <v>4</v>
      </c>
      <c r="AF329" s="6">
        <f>-3.16</f>
        <v>-3.16</v>
      </c>
      <c r="AG329" s="7" t="s">
        <v>1329</v>
      </c>
      <c r="AH329" s="324">
        <f ca="1">COUNTA(AI327:AI329)</f>
        <v>2</v>
      </c>
      <c r="AI329" s="47"/>
      <c r="AJ329" s="47"/>
      <c r="AK329" s="45"/>
      <c r="AL329" s="84"/>
      <c r="AM329" s="47"/>
      <c r="AN329" s="47"/>
      <c r="AO329" s="45"/>
      <c r="AP329" s="47"/>
      <c r="AQ329" s="47"/>
      <c r="AR329" s="47"/>
      <c r="AS329" s="324">
        <f>COUNTA(AT327:AT329)</f>
        <v>1</v>
      </c>
      <c r="AT329" s="107"/>
      <c r="AU329" s="47"/>
      <c r="AV329" s="45"/>
      <c r="AW329" s="47"/>
      <c r="AX329" s="47"/>
    </row>
    <row r="330" spans="1:50" ht="18">
      <c r="A330" s="3"/>
      <c r="B330" s="4"/>
      <c r="C330" s="87"/>
      <c r="D330" s="4"/>
      <c r="E330" s="4"/>
      <c r="F330" s="3"/>
      <c r="G330" s="4"/>
      <c r="H330" s="4"/>
      <c r="I330" s="3"/>
      <c r="J330" s="4"/>
      <c r="K330" s="4"/>
      <c r="L330" s="115"/>
      <c r="M330" s="4"/>
      <c r="N330" s="4"/>
      <c r="O330" s="3"/>
      <c r="P330" s="4"/>
      <c r="Q330" s="4"/>
      <c r="R330" s="3"/>
      <c r="S330" s="4"/>
      <c r="T330" s="4"/>
      <c r="U330" s="87"/>
      <c r="V330" s="8"/>
      <c r="W330" s="45"/>
      <c r="X330" s="8"/>
      <c r="Y330" s="8"/>
      <c r="Z330" s="45"/>
      <c r="AA330" s="47"/>
      <c r="AB330" s="47"/>
      <c r="AC330" s="47"/>
      <c r="AD330" s="45"/>
      <c r="AF330" s="6">
        <f ca="1">'Table S4 Conversions and Notes'!J322</f>
        <v>-3.3258237862909548</v>
      </c>
      <c r="AG330" s="7" t="s">
        <v>1387</v>
      </c>
      <c r="AH330" s="84"/>
      <c r="AI330" s="47"/>
      <c r="AJ330" s="47"/>
      <c r="AK330" s="45"/>
      <c r="AL330" s="84"/>
      <c r="AM330" s="47"/>
      <c r="AN330" s="47"/>
      <c r="AO330" s="45"/>
      <c r="AP330" s="47"/>
      <c r="AQ330" s="47"/>
      <c r="AR330" s="47"/>
      <c r="AS330" s="84"/>
      <c r="AT330" s="107"/>
      <c r="AU330" s="47"/>
      <c r="AV330" s="45"/>
      <c r="AW330" s="47"/>
      <c r="AX330" s="47"/>
    </row>
    <row r="331" spans="1:50" ht="18">
      <c r="A331" s="3"/>
      <c r="B331" s="4"/>
      <c r="C331" s="87"/>
      <c r="D331" s="4"/>
      <c r="E331" s="4"/>
      <c r="F331" s="3"/>
      <c r="G331" s="4"/>
      <c r="H331" s="4"/>
      <c r="I331" s="3"/>
      <c r="J331" s="4"/>
      <c r="K331" s="4"/>
      <c r="L331" s="115"/>
      <c r="M331" s="4"/>
      <c r="N331" s="4"/>
      <c r="O331" s="3"/>
      <c r="P331" s="4"/>
      <c r="Q331" s="4"/>
      <c r="R331" s="3"/>
      <c r="S331" s="4"/>
      <c r="T331" s="4"/>
      <c r="U331" s="87"/>
      <c r="V331" s="8"/>
      <c r="W331" s="45"/>
      <c r="X331" s="8"/>
      <c r="Y331" s="8"/>
      <c r="Z331" s="45"/>
      <c r="AA331" s="8"/>
      <c r="AB331" s="47"/>
      <c r="AC331" s="47"/>
      <c r="AD331" s="45"/>
      <c r="AF331" s="176">
        <f>LOG(10^-4.905*133.322)</f>
        <v>-2.78009817999164</v>
      </c>
      <c r="AG331" s="185" t="s">
        <v>1323</v>
      </c>
      <c r="AH331" s="84"/>
      <c r="AI331" s="47"/>
      <c r="AJ331" s="47"/>
      <c r="AK331" s="45"/>
      <c r="AL331" s="84"/>
      <c r="AM331" s="47"/>
      <c r="AN331" s="47"/>
      <c r="AO331" s="45"/>
      <c r="AP331" s="47"/>
      <c r="AQ331" s="47"/>
      <c r="AR331" s="47"/>
      <c r="AS331" s="84"/>
      <c r="AT331" s="107"/>
      <c r="AU331" s="47"/>
      <c r="AV331" s="45"/>
      <c r="AW331" s="47"/>
      <c r="AX331" s="47"/>
    </row>
    <row r="332" spans="1:50" ht="18">
      <c r="A332" s="3"/>
      <c r="B332" s="4"/>
      <c r="C332" s="87"/>
      <c r="D332" s="4"/>
      <c r="E332" s="4"/>
      <c r="F332" s="3"/>
      <c r="G332" s="4"/>
      <c r="H332" s="4"/>
      <c r="I332" s="3"/>
      <c r="J332" s="4"/>
      <c r="K332" s="4"/>
      <c r="L332" s="115"/>
      <c r="M332" s="4"/>
      <c r="N332" s="4"/>
      <c r="O332" s="3"/>
      <c r="P332" s="4"/>
      <c r="Q332" s="4"/>
      <c r="R332" s="3"/>
      <c r="S332" s="4"/>
      <c r="T332" s="4"/>
      <c r="U332" s="87"/>
      <c r="V332" s="8"/>
      <c r="W332" s="45"/>
      <c r="X332" s="8"/>
      <c r="Y332" s="8"/>
      <c r="Z332" s="45"/>
      <c r="AA332" s="8"/>
      <c r="AB332" s="47"/>
      <c r="AC332" s="47"/>
      <c r="AD332" s="45"/>
      <c r="AF332" s="176">
        <f>LOG(10^-5.023*133.322)</f>
        <v>-2.8980981799916399</v>
      </c>
      <c r="AG332" s="185" t="s">
        <v>1323</v>
      </c>
      <c r="AH332" s="84"/>
      <c r="AI332" s="47"/>
      <c r="AJ332" s="47"/>
      <c r="AK332" s="45"/>
      <c r="AL332" s="84"/>
      <c r="AM332" s="47"/>
      <c r="AN332" s="47"/>
      <c r="AO332" s="45"/>
      <c r="AP332" s="47"/>
      <c r="AQ332" s="47"/>
      <c r="AR332" s="47"/>
      <c r="AS332" s="84"/>
      <c r="AT332" s="107"/>
      <c r="AU332" s="47"/>
      <c r="AV332" s="45"/>
      <c r="AW332" s="47"/>
      <c r="AX332" s="47"/>
    </row>
    <row r="333" spans="1:50">
      <c r="A333" s="3"/>
      <c r="B333" s="4"/>
      <c r="C333" s="87"/>
      <c r="D333" s="4"/>
      <c r="E333" s="4"/>
      <c r="F333" s="3"/>
      <c r="G333" s="4"/>
      <c r="H333" s="4"/>
      <c r="I333" s="3"/>
      <c r="J333" s="4"/>
      <c r="K333" s="4"/>
      <c r="L333" s="115"/>
      <c r="M333" s="4"/>
      <c r="N333" s="4"/>
      <c r="O333" s="3"/>
      <c r="P333" s="4"/>
      <c r="Q333" s="4"/>
      <c r="R333" s="3"/>
      <c r="S333" s="4"/>
      <c r="T333" s="4"/>
      <c r="U333" s="87"/>
      <c r="V333" s="8"/>
      <c r="W333" s="45"/>
      <c r="X333" s="8"/>
      <c r="Y333" s="8"/>
      <c r="Z333" s="45"/>
      <c r="AA333" s="8"/>
      <c r="AB333" s="47"/>
      <c r="AC333" s="47"/>
      <c r="AD333" s="45"/>
      <c r="AF333" s="6"/>
      <c r="AG333" s="7"/>
      <c r="AH333" s="84"/>
      <c r="AI333" s="47"/>
      <c r="AJ333" s="47"/>
      <c r="AK333" s="45"/>
      <c r="AL333" s="84"/>
      <c r="AM333" s="47"/>
      <c r="AN333" s="47"/>
      <c r="AO333" s="45"/>
      <c r="AP333" s="47"/>
      <c r="AQ333" s="47"/>
      <c r="AR333" s="47"/>
      <c r="AS333" s="84"/>
      <c r="AT333" s="107"/>
      <c r="AU333" s="47"/>
      <c r="AV333" s="45"/>
      <c r="AW333" s="47"/>
      <c r="AX333" s="47"/>
    </row>
    <row r="334" spans="1:50">
      <c r="A334" s="3" t="s">
        <v>129</v>
      </c>
      <c r="B334" s="22" t="s">
        <v>130</v>
      </c>
      <c r="C334" s="287">
        <f>AVERAGE(D334:D335)</f>
        <v>85.186631759000008</v>
      </c>
      <c r="D334" s="30">
        <v>89.4</v>
      </c>
      <c r="E334" s="30" t="s">
        <v>243</v>
      </c>
      <c r="F334" s="191">
        <f>G334</f>
        <v>32</v>
      </c>
      <c r="G334" s="148">
        <v>32</v>
      </c>
      <c r="H334" s="70" t="s">
        <v>1315</v>
      </c>
      <c r="I334" s="83"/>
      <c r="J334" s="70"/>
      <c r="K334" s="70"/>
      <c r="L334" s="213">
        <f>M335</f>
        <v>77</v>
      </c>
      <c r="M334" s="180">
        <v>78.569999999999993</v>
      </c>
      <c r="N334" s="180" t="s">
        <v>1335</v>
      </c>
      <c r="O334" s="77"/>
      <c r="P334" s="147"/>
      <c r="Q334" s="70"/>
      <c r="R334" s="77"/>
      <c r="S334" s="170"/>
      <c r="T334" s="70"/>
      <c r="U334" s="130">
        <f ca="1">AVERAGE(V335:V336)</f>
        <v>8.3783125260505589</v>
      </c>
      <c r="V334" s="177">
        <f>LOG(438000000)</f>
        <v>8.6414741105040989</v>
      </c>
      <c r="W334" s="308" t="s">
        <v>98</v>
      </c>
      <c r="X334" s="130">
        <f>AVERAGE(Y335:Y337)</f>
        <v>5.9708333333333323</v>
      </c>
      <c r="Y334" s="177">
        <f>LOG(871000)</f>
        <v>5.9400181550076629</v>
      </c>
      <c r="Z334" s="259" t="s">
        <v>98</v>
      </c>
      <c r="AA334" s="130">
        <f>AC335</f>
        <v>-2.1097746204853944</v>
      </c>
      <c r="AB334" s="261">
        <f>10^AC334*8.314*298.15</f>
        <v>17.029487216999993</v>
      </c>
      <c r="AC334" s="258">
        <f>LOG(0.00687)</f>
        <v>-2.1630432629404495</v>
      </c>
      <c r="AD334" s="259" t="s">
        <v>98</v>
      </c>
      <c r="AE334" s="310">
        <f>AVERAGE(AF335:AF338)</f>
        <v>-1.8415366630123795</v>
      </c>
      <c r="AF334" s="176">
        <f>LOG(0.0173)</f>
        <v>-1.7619538968712045</v>
      </c>
      <c r="AG334" s="185" t="s">
        <v>98</v>
      </c>
      <c r="AH334" s="310">
        <f>AVERAGE(AI335:AI337)</f>
        <v>-3.7707483866126688</v>
      </c>
      <c r="AI334" s="261">
        <f>LOG(0.00102)</f>
        <v>-2.9913998282380825</v>
      </c>
      <c r="AJ334" s="165">
        <f>10^AI334*$B$335</f>
        <v>0.36808127999999979</v>
      </c>
      <c r="AK334" s="308" t="s">
        <v>98</v>
      </c>
      <c r="AL334" s="88"/>
      <c r="AM334" s="261">
        <f>LOG(3060)</f>
        <v>3.4857214264815801</v>
      </c>
      <c r="AN334" s="264">
        <f>10^AM334*$B$335</f>
        <v>1104243.840000001</v>
      </c>
      <c r="AO334" s="155" t="s">
        <v>98</v>
      </c>
      <c r="AP334" s="309">
        <f>AQ334</f>
        <v>60</v>
      </c>
      <c r="AQ334" s="14">
        <v>60</v>
      </c>
      <c r="AR334" s="14" t="s">
        <v>1266</v>
      </c>
      <c r="AS334" s="306">
        <f>AVERAGE(AT334:AT336)</f>
        <v>42.916666666666664</v>
      </c>
      <c r="AT334" s="107">
        <v>41.5</v>
      </c>
      <c r="AU334" s="270">
        <f>AT334+273.15</f>
        <v>314.64999999999998</v>
      </c>
      <c r="AV334" s="45" t="s">
        <v>1231</v>
      </c>
      <c r="AW334" s="14"/>
      <c r="AX334" s="14"/>
    </row>
    <row r="335" spans="1:50" ht="18">
      <c r="A335" s="3" t="s">
        <v>1236</v>
      </c>
      <c r="B335" s="171">
        <v>360.86399999999998</v>
      </c>
      <c r="C335" s="266">
        <f>_xlfn.STDEV.S(D334:D335)</f>
        <v>5.9586025096942681</v>
      </c>
      <c r="D335" s="26">
        <f>4229*8.314*2.303/1000</f>
        <v>80.97326351800001</v>
      </c>
      <c r="E335" s="30" t="s">
        <v>124</v>
      </c>
      <c r="F335" s="187">
        <f>RSD_dHw*F334</f>
        <v>6.4</v>
      </c>
      <c r="G335" s="70"/>
      <c r="H335" s="70"/>
      <c r="I335" s="83"/>
      <c r="J335" s="70"/>
      <c r="K335" s="70"/>
      <c r="L335" s="145">
        <f>RSD_dUoa*L334</f>
        <v>4.8785724510815802</v>
      </c>
      <c r="M335" s="70">
        <v>77</v>
      </c>
      <c r="N335" s="70" t="s">
        <v>243</v>
      </c>
      <c r="O335" s="77"/>
      <c r="P335" s="147"/>
      <c r="Q335" s="70"/>
      <c r="R335" s="77"/>
      <c r="S335" s="170"/>
      <c r="T335" s="70"/>
      <c r="U335" s="130">
        <f ca="1">_xlfn.STDEV.S(V335:V336)</f>
        <v>6.3856714674023748E-2</v>
      </c>
      <c r="V335" s="15">
        <v>8.4234660420208556</v>
      </c>
      <c r="W335" s="45" t="s">
        <v>256</v>
      </c>
      <c r="X335" s="130">
        <f>_xlfn.STDEV.S(Y335:Y337)</f>
        <v>0.30598542993635075</v>
      </c>
      <c r="Y335" s="15">
        <v>5.68</v>
      </c>
      <c r="Z335" s="7" t="s">
        <v>818</v>
      </c>
      <c r="AA335" s="130">
        <f>ABS(AA334*RSD_Kaw)</f>
        <v>0.42195492409707891</v>
      </c>
      <c r="AB335" s="17">
        <f>1.9*101325/10000</f>
        <v>19.251750000000001</v>
      </c>
      <c r="AC335" s="46">
        <f>LOG(AB335/8.314/298.15)</f>
        <v>-2.1097746204853944</v>
      </c>
      <c r="AD335" s="73" t="s">
        <v>1350</v>
      </c>
      <c r="AE335" s="310">
        <f>_xlfn.STDEV.S(AF335:AF338)</f>
        <v>3.7003294481798843E-2</v>
      </c>
      <c r="AF335" s="6">
        <f>-4229/298.15+12.37</f>
        <v>-1.8141355022639623</v>
      </c>
      <c r="AG335" s="7" t="s">
        <v>124</v>
      </c>
      <c r="AH335" s="310">
        <f>_xlfn.STDEV.S(AI335:AI337)</f>
        <v>0.31763768319090768</v>
      </c>
      <c r="AI335" s="260">
        <f>LOG(AJ335/$B$335)</f>
        <v>-4.1333033618943764</v>
      </c>
      <c r="AJ335" s="114">
        <f>'Table S4 Conversions and Notes'!$J$295</f>
        <v>2.6548512748461865E-2</v>
      </c>
      <c r="AK335" s="45" t="s">
        <v>1313</v>
      </c>
      <c r="AL335" s="88"/>
      <c r="AM335" s="14"/>
      <c r="AN335" s="14"/>
      <c r="AO335" s="73"/>
      <c r="AP335" s="367">
        <f>AP334*RSD_dSf</f>
        <v>4.7291775609904514</v>
      </c>
      <c r="AQ335" s="14"/>
      <c r="AR335" s="14"/>
      <c r="AS335" s="130">
        <f>_xlfn.STDEV.S(AT334:AT336)</f>
        <v>2.4537386440559095</v>
      </c>
      <c r="AT335" s="107">
        <f>AVERAGE(45.5,46)</f>
        <v>45.75</v>
      </c>
      <c r="AU335" s="270">
        <f>AT335+273.15</f>
        <v>318.89999999999998</v>
      </c>
      <c r="AV335" s="45" t="s">
        <v>1229</v>
      </c>
      <c r="AW335" s="14"/>
      <c r="AX335" s="14"/>
    </row>
    <row r="336" spans="1:50" ht="18">
      <c r="A336" s="3"/>
      <c r="B336" s="4" t="s">
        <v>20</v>
      </c>
      <c r="C336" s="324">
        <f>COUNTA(D334:D335)</f>
        <v>2</v>
      </c>
      <c r="D336" s="9"/>
      <c r="E336" s="4"/>
      <c r="F336" s="324">
        <f>COUNTA(G334:G336)</f>
        <v>1</v>
      </c>
      <c r="G336" s="70"/>
      <c r="H336" s="70"/>
      <c r="I336" s="83"/>
      <c r="J336" s="70"/>
      <c r="K336" s="70"/>
      <c r="L336" s="324">
        <f>COUNTA(M335)</f>
        <v>1</v>
      </c>
      <c r="O336" s="3"/>
      <c r="P336" s="4"/>
      <c r="Q336" s="4"/>
      <c r="R336" s="3"/>
      <c r="S336" s="4"/>
      <c r="T336" s="4"/>
      <c r="U336" s="324">
        <f ca="1">COUNTA(V335:V336)</f>
        <v>2</v>
      </c>
      <c r="V336" s="15">
        <f ca="1">'Table S4 Conversions and Notes'!$J$300</f>
        <v>8.3331590100802622</v>
      </c>
      <c r="W336" s="45" t="s">
        <v>1921</v>
      </c>
      <c r="X336" s="324">
        <f>COUNTA(Y335:Y337)</f>
        <v>3</v>
      </c>
      <c r="Y336" s="8">
        <v>6.29</v>
      </c>
      <c r="Z336" s="7" t="s">
        <v>1338</v>
      </c>
      <c r="AA336" s="324">
        <f>COUNTA(AB335)</f>
        <v>1</v>
      </c>
      <c r="AB336" s="47"/>
      <c r="AC336" s="47"/>
      <c r="AD336" s="45"/>
      <c r="AE336" s="324">
        <f>COUNTA(AF335:AF337)</f>
        <v>3</v>
      </c>
      <c r="AF336" s="15">
        <v>-1.880912969793916</v>
      </c>
      <c r="AG336" s="45" t="s">
        <v>256</v>
      </c>
      <c r="AH336" s="324">
        <f>COUNTA(AI335:AI337)</f>
        <v>3</v>
      </c>
      <c r="AI336" s="260">
        <f>LOG(AJ336/$B$335)</f>
        <v>-3.5414176451095871</v>
      </c>
      <c r="AJ336" s="114">
        <f>'Table S4 Conversions and Notes'!$J$294</f>
        <v>0.10373514387966287</v>
      </c>
      <c r="AK336" s="45" t="s">
        <v>1312</v>
      </c>
      <c r="AL336" s="84"/>
      <c r="AM336" s="47"/>
      <c r="AN336" s="47"/>
      <c r="AO336" s="45"/>
      <c r="AP336" s="324">
        <f>COUNTA(AQ334:AQ335)</f>
        <v>1</v>
      </c>
      <c r="AQ336" s="47"/>
      <c r="AR336" s="47"/>
      <c r="AS336" s="324">
        <f>COUNTA(AT334:AT336)</f>
        <v>3</v>
      </c>
      <c r="AT336" s="107">
        <v>41.5</v>
      </c>
      <c r="AU336" s="270">
        <f>AT336+273.15</f>
        <v>314.64999999999998</v>
      </c>
      <c r="AV336" s="45" t="s">
        <v>1227</v>
      </c>
      <c r="AW336" s="47"/>
      <c r="AX336" s="47"/>
    </row>
    <row r="337" spans="1:50" ht="18">
      <c r="A337" s="3"/>
      <c r="B337" s="4"/>
      <c r="C337" s="87"/>
      <c r="D337" s="9"/>
      <c r="E337" s="4"/>
      <c r="F337" s="3"/>
      <c r="G337" s="4"/>
      <c r="H337" s="4"/>
      <c r="I337" s="3"/>
      <c r="J337" s="4"/>
      <c r="K337" s="4"/>
      <c r="L337" s="115"/>
      <c r="O337" s="3"/>
      <c r="P337" s="4"/>
      <c r="Q337" s="4"/>
      <c r="R337" s="3"/>
      <c r="S337" s="4"/>
      <c r="T337" s="4"/>
      <c r="U337" s="87"/>
      <c r="V337" s="15"/>
      <c r="W337" s="45"/>
      <c r="X337" s="8"/>
      <c r="Y337" s="15">
        <f>'Table S4 Conversions and Notes'!J301</f>
        <v>5.9424999999999999</v>
      </c>
      <c r="Z337" s="45" t="s">
        <v>1627</v>
      </c>
      <c r="AA337" s="47"/>
      <c r="AB337" s="17"/>
      <c r="AC337" s="47"/>
      <c r="AD337" s="45"/>
      <c r="AF337" s="15">
        <f>'Table S4 Conversions and Notes'!$J$299</f>
        <v>-1.865</v>
      </c>
      <c r="AG337" s="45" t="s">
        <v>1334</v>
      </c>
      <c r="AH337" s="84"/>
      <c r="AI337" s="260">
        <f>LOG(AJ337/$B$335)</f>
        <v>-3.6375241528340427</v>
      </c>
      <c r="AJ337" s="114">
        <f>'Table S4 Conversions and Notes'!$J$296</f>
        <v>8.3141796798366835E-2</v>
      </c>
      <c r="AK337" s="45" t="s">
        <v>1316</v>
      </c>
      <c r="AL337" s="84"/>
      <c r="AM337" s="47"/>
      <c r="AN337" s="47"/>
      <c r="AO337" s="45"/>
      <c r="AP337" s="47"/>
      <c r="AQ337" s="47"/>
      <c r="AR337" s="47"/>
      <c r="AS337" s="84"/>
      <c r="AT337" s="153">
        <v>-18.899999999999999</v>
      </c>
      <c r="AU337" s="288">
        <f>AT337+273.15</f>
        <v>254.24999999999997</v>
      </c>
      <c r="AV337" s="285" t="s">
        <v>1121</v>
      </c>
      <c r="AW337" s="47"/>
      <c r="AX337" s="47"/>
    </row>
    <row r="338" spans="1:50" ht="18">
      <c r="A338" s="3"/>
      <c r="B338" s="4"/>
      <c r="C338" s="87"/>
      <c r="D338" s="9"/>
      <c r="E338" s="4"/>
      <c r="F338" s="3"/>
      <c r="G338" s="4"/>
      <c r="H338" s="4"/>
      <c r="I338" s="3"/>
      <c r="J338" s="4"/>
      <c r="K338" s="4"/>
      <c r="L338" s="115"/>
      <c r="M338" s="4"/>
      <c r="N338" s="4"/>
      <c r="O338" s="3"/>
      <c r="P338" s="4"/>
      <c r="Q338" s="4"/>
      <c r="R338" s="3"/>
      <c r="S338" s="4"/>
      <c r="T338" s="4"/>
      <c r="U338" s="87"/>
      <c r="V338" s="8"/>
      <c r="W338" s="45"/>
      <c r="X338" s="8"/>
      <c r="Y338" s="177">
        <f ca="1">'Table S4 Conversions and Notes'!J456</f>
        <v>6.0789192139077066</v>
      </c>
      <c r="Z338" s="155" t="s">
        <v>2247</v>
      </c>
      <c r="AA338" s="47"/>
      <c r="AB338" s="47"/>
      <c r="AC338" s="47"/>
      <c r="AD338" s="45"/>
      <c r="AF338" s="177">
        <f>LOG(10^-3.931*133.322)</f>
        <v>-1.8060981799916398</v>
      </c>
      <c r="AG338" s="185" t="s">
        <v>1323</v>
      </c>
      <c r="AH338" s="84"/>
      <c r="AI338" s="261">
        <f>LOG(0.00115)</f>
        <v>-2.9393021596463882</v>
      </c>
      <c r="AJ338" s="165">
        <f>10^AI338*$B$335</f>
        <v>0.41499359999999996</v>
      </c>
      <c r="AK338" s="155" t="s">
        <v>1319</v>
      </c>
      <c r="AL338" s="84"/>
      <c r="AM338" s="47"/>
      <c r="AN338" s="47"/>
      <c r="AO338" s="45"/>
      <c r="AP338" s="47"/>
      <c r="AQ338" s="47"/>
      <c r="AR338" s="47"/>
      <c r="AS338" s="84"/>
      <c r="AT338" s="107"/>
      <c r="AU338" s="288"/>
      <c r="AV338" s="285"/>
      <c r="AW338" s="47"/>
      <c r="AX338" s="47"/>
    </row>
    <row r="339" spans="1:50" ht="18">
      <c r="A339" s="3"/>
      <c r="B339" s="4"/>
      <c r="C339" s="87"/>
      <c r="D339" s="9"/>
      <c r="E339" s="4"/>
      <c r="F339" s="3"/>
      <c r="G339" s="4"/>
      <c r="H339" s="4"/>
      <c r="I339" s="3"/>
      <c r="J339" s="4"/>
      <c r="K339" s="4"/>
      <c r="L339" s="115"/>
      <c r="M339" s="4"/>
      <c r="N339" s="4"/>
      <c r="O339" s="3"/>
      <c r="P339" s="4"/>
      <c r="Q339" s="4"/>
      <c r="R339" s="3"/>
      <c r="S339" s="4"/>
      <c r="T339" s="4"/>
      <c r="U339" s="87"/>
      <c r="V339" s="8"/>
      <c r="W339" s="45"/>
      <c r="X339" s="8"/>
      <c r="Z339" s="42"/>
      <c r="AA339" s="47"/>
      <c r="AB339" s="47"/>
      <c r="AC339" s="47"/>
      <c r="AD339" s="45"/>
      <c r="AF339" s="176">
        <f>LOG(10^-3.943*133.322)</f>
        <v>-1.8180981799916403</v>
      </c>
      <c r="AG339" s="185" t="s">
        <v>1323</v>
      </c>
      <c r="AH339" s="84"/>
      <c r="AK339" s="45"/>
      <c r="AL339" s="84"/>
      <c r="AM339" s="47"/>
      <c r="AN339" s="47"/>
      <c r="AO339" s="45"/>
      <c r="AP339" s="47"/>
      <c r="AQ339" s="47"/>
      <c r="AR339" s="47"/>
      <c r="AS339" s="84"/>
      <c r="AT339" s="107"/>
      <c r="AU339" s="288"/>
      <c r="AV339" s="285"/>
      <c r="AW339" s="47"/>
      <c r="AX339" s="47"/>
    </row>
    <row r="340" spans="1:50" ht="18">
      <c r="A340" s="3"/>
      <c r="B340" s="4"/>
      <c r="C340" s="87"/>
      <c r="E340" s="4"/>
      <c r="F340" s="3"/>
      <c r="G340" s="4"/>
      <c r="H340" s="4"/>
      <c r="I340" s="3"/>
      <c r="J340" s="4"/>
      <c r="K340" s="4"/>
      <c r="L340" s="115"/>
      <c r="M340" s="4"/>
      <c r="N340" s="4"/>
      <c r="O340" s="3"/>
      <c r="P340" s="4"/>
      <c r="Q340" s="4"/>
      <c r="R340" s="3"/>
      <c r="S340" s="4"/>
      <c r="T340" s="4"/>
      <c r="U340" s="87"/>
      <c r="V340" s="8"/>
      <c r="W340" s="45"/>
      <c r="X340" s="8"/>
      <c r="Y340" s="8"/>
      <c r="Z340" s="45"/>
      <c r="AA340" s="47"/>
      <c r="AB340" s="47"/>
      <c r="AC340" s="47"/>
      <c r="AD340" s="45"/>
      <c r="AF340" s="176">
        <f>'Table S4 Conversions and Notes'!$J$298</f>
        <v>-2.9393021596463882</v>
      </c>
      <c r="AG340" s="185" t="s">
        <v>2639</v>
      </c>
      <c r="AH340" s="84"/>
      <c r="AI340" s="260"/>
      <c r="AJ340" s="17"/>
      <c r="AK340" s="45"/>
      <c r="AL340" s="84"/>
      <c r="AM340" s="47"/>
      <c r="AN340" s="47"/>
      <c r="AO340" s="45"/>
      <c r="AP340" s="47"/>
      <c r="AQ340" s="47"/>
      <c r="AR340" s="47"/>
      <c r="AS340" s="84"/>
      <c r="AT340" s="107"/>
      <c r="AU340" s="288"/>
      <c r="AV340" s="285"/>
      <c r="AW340" s="47"/>
      <c r="AX340" s="47"/>
    </row>
    <row r="341" spans="1:50">
      <c r="A341" s="3"/>
      <c r="B341" s="4"/>
      <c r="C341" s="87"/>
      <c r="D341" s="9"/>
      <c r="E341" s="4"/>
      <c r="F341" s="3"/>
      <c r="G341" s="4"/>
      <c r="H341" s="4"/>
      <c r="I341" s="3"/>
      <c r="J341" s="4"/>
      <c r="K341" s="4"/>
      <c r="L341" s="115"/>
      <c r="M341" s="4"/>
      <c r="N341" s="4"/>
      <c r="O341" s="3"/>
      <c r="P341" s="4"/>
      <c r="Q341" s="4"/>
      <c r="R341" s="3"/>
      <c r="S341" s="4"/>
      <c r="T341" s="4"/>
      <c r="U341" s="87"/>
      <c r="V341" s="8"/>
      <c r="W341" s="45"/>
      <c r="X341" s="8"/>
      <c r="Y341" s="8"/>
      <c r="Z341" s="45"/>
      <c r="AA341" s="47"/>
      <c r="AB341" s="47"/>
      <c r="AC341" s="47"/>
      <c r="AD341" s="45"/>
      <c r="AH341" s="84"/>
      <c r="AI341" s="260"/>
      <c r="AJ341" s="17"/>
      <c r="AK341" s="45"/>
      <c r="AL341" s="84"/>
      <c r="AM341" s="47"/>
      <c r="AN341" s="47"/>
      <c r="AO341" s="45"/>
      <c r="AP341" s="47"/>
      <c r="AQ341" s="47"/>
      <c r="AR341" s="47"/>
      <c r="AS341" s="84"/>
      <c r="AT341" s="107"/>
      <c r="AU341" s="288"/>
      <c r="AV341" s="285"/>
      <c r="AW341" s="47"/>
      <c r="AX341" s="47"/>
    </row>
    <row r="342" spans="1:50">
      <c r="A342" s="3"/>
      <c r="B342" s="4"/>
      <c r="C342" s="87"/>
      <c r="D342" s="4"/>
      <c r="E342" s="4"/>
      <c r="F342" s="3"/>
      <c r="G342" s="4"/>
      <c r="H342" s="4"/>
      <c r="I342" s="3"/>
      <c r="J342" s="4"/>
      <c r="K342" s="4"/>
      <c r="L342" s="115"/>
      <c r="M342" s="4"/>
      <c r="N342" s="4"/>
      <c r="O342" s="3"/>
      <c r="P342" s="4"/>
      <c r="Q342" s="4"/>
      <c r="R342" s="3"/>
      <c r="S342" s="4"/>
      <c r="T342" s="4"/>
      <c r="U342" s="87"/>
      <c r="V342" s="8"/>
      <c r="W342" s="45"/>
      <c r="X342" s="8"/>
      <c r="Y342" s="8"/>
      <c r="Z342" s="45"/>
      <c r="AA342" s="47"/>
      <c r="AB342" s="47"/>
      <c r="AC342" s="47"/>
      <c r="AD342" s="45"/>
      <c r="AF342" s="6"/>
      <c r="AG342" s="6"/>
      <c r="AH342" s="84"/>
      <c r="AI342" s="260"/>
      <c r="AJ342" s="17"/>
      <c r="AK342" s="45"/>
      <c r="AL342" s="84"/>
      <c r="AM342" s="47"/>
      <c r="AN342" s="47"/>
      <c r="AO342" s="45"/>
      <c r="AP342" s="47"/>
      <c r="AQ342" s="47"/>
      <c r="AR342" s="47"/>
      <c r="AS342" s="84"/>
      <c r="AT342" s="107"/>
      <c r="AU342" s="288"/>
      <c r="AV342" s="285"/>
      <c r="AW342" s="47"/>
      <c r="AX342" s="47"/>
    </row>
    <row r="343" spans="1:50">
      <c r="A343" s="3"/>
      <c r="B343" s="4"/>
      <c r="C343" s="87"/>
      <c r="D343" s="4"/>
      <c r="E343" s="4"/>
      <c r="F343" s="3"/>
      <c r="G343" s="4"/>
      <c r="H343" s="4"/>
      <c r="I343" s="3"/>
      <c r="J343" s="4"/>
      <c r="K343" s="4"/>
      <c r="L343" s="115"/>
      <c r="M343" s="4"/>
      <c r="N343" s="4"/>
      <c r="O343" s="3"/>
      <c r="P343" s="4"/>
      <c r="Q343" s="4"/>
      <c r="R343" s="3"/>
      <c r="S343" s="4"/>
      <c r="T343" s="4"/>
      <c r="U343" s="87"/>
      <c r="V343" s="8"/>
      <c r="W343" s="45"/>
      <c r="X343" s="8"/>
      <c r="Y343" s="8"/>
      <c r="Z343" s="45"/>
      <c r="AA343" s="47"/>
      <c r="AB343" s="47"/>
      <c r="AC343" s="47"/>
      <c r="AD343" s="45"/>
      <c r="AF343" s="6"/>
      <c r="AG343" s="6"/>
      <c r="AH343" s="84"/>
      <c r="AI343" s="260"/>
      <c r="AJ343" s="17"/>
      <c r="AK343" s="45"/>
      <c r="AL343" s="84"/>
      <c r="AM343" s="47"/>
      <c r="AN343" s="47"/>
      <c r="AO343" s="45"/>
      <c r="AP343" s="47"/>
      <c r="AQ343" s="47"/>
      <c r="AR343" s="47"/>
      <c r="AS343" s="84"/>
      <c r="AT343" s="107"/>
      <c r="AU343" s="288"/>
      <c r="AV343" s="285"/>
      <c r="AW343" s="47"/>
      <c r="AX343" s="47"/>
    </row>
    <row r="344" spans="1:50">
      <c r="A344" s="3"/>
      <c r="B344" s="4"/>
      <c r="C344" s="87"/>
      <c r="D344" s="4"/>
      <c r="E344" s="4"/>
      <c r="F344" s="3"/>
      <c r="G344" s="4"/>
      <c r="H344" s="4"/>
      <c r="I344" s="3"/>
      <c r="J344" s="4"/>
      <c r="K344" s="4"/>
      <c r="L344" s="115"/>
      <c r="M344" s="4"/>
      <c r="N344" s="4"/>
      <c r="O344" s="3"/>
      <c r="P344" s="4"/>
      <c r="Q344" s="4"/>
      <c r="R344" s="3"/>
      <c r="S344" s="4"/>
      <c r="T344" s="4"/>
      <c r="U344" s="87"/>
      <c r="V344" s="8"/>
      <c r="W344" s="45"/>
      <c r="X344" s="8"/>
      <c r="Y344" s="8"/>
      <c r="Z344" s="45"/>
      <c r="AA344" s="47"/>
      <c r="AB344" s="47"/>
      <c r="AC344" s="47"/>
      <c r="AD344" s="45"/>
      <c r="AH344" s="84"/>
      <c r="AI344" s="47"/>
      <c r="AJ344" s="47"/>
      <c r="AK344" s="45"/>
      <c r="AL344" s="84"/>
      <c r="AM344" s="47"/>
      <c r="AN344" s="47"/>
      <c r="AO344" s="45"/>
      <c r="AP344" s="47"/>
      <c r="AQ344" s="47"/>
      <c r="AR344" s="47"/>
      <c r="AS344" s="84"/>
      <c r="AT344" s="107"/>
      <c r="AU344" s="47"/>
      <c r="AV344" s="45"/>
      <c r="AW344" s="47"/>
      <c r="AX344" s="47"/>
    </row>
    <row r="345" spans="1:50" ht="18">
      <c r="A345" s="3" t="s">
        <v>131</v>
      </c>
      <c r="B345" s="4" t="s">
        <v>132</v>
      </c>
      <c r="C345" s="287">
        <f>AVERAGE(D345:D346)</f>
        <v>93.6</v>
      </c>
      <c r="D345" s="30">
        <v>93.6</v>
      </c>
      <c r="E345" s="30" t="s">
        <v>250</v>
      </c>
      <c r="F345" s="83"/>
      <c r="G345" s="70"/>
      <c r="H345" s="70"/>
      <c r="I345" s="83"/>
      <c r="J345" s="70"/>
      <c r="K345" s="207"/>
      <c r="L345" s="142">
        <f>M345</f>
        <v>82.3</v>
      </c>
      <c r="M345" s="70">
        <v>82.3</v>
      </c>
      <c r="N345" s="70" t="s">
        <v>250</v>
      </c>
      <c r="O345" s="77"/>
      <c r="P345" s="147"/>
      <c r="Q345" s="70"/>
      <c r="R345" s="77"/>
      <c r="S345" s="170"/>
      <c r="T345" s="70"/>
      <c r="U345" s="130">
        <f ca="1">AVERAGE(V345:V346)</f>
        <v>10.270436050858564</v>
      </c>
      <c r="V345" s="15">
        <v>10.192998157298083</v>
      </c>
      <c r="W345" s="45" t="s">
        <v>256</v>
      </c>
      <c r="X345" s="15"/>
      <c r="Y345" s="15"/>
      <c r="Z345" s="45"/>
      <c r="AA345" s="130">
        <f>AC345</f>
        <v>-3.2424001857599851</v>
      </c>
      <c r="AB345" s="17">
        <f>0.14*101325/10000</f>
        <v>1.4185500000000002</v>
      </c>
      <c r="AC345" s="46">
        <f>LOG(AB345/8.314/298.15)</f>
        <v>-3.2424001857599851</v>
      </c>
      <c r="AD345" s="73" t="s">
        <v>1350</v>
      </c>
      <c r="AE345" s="130">
        <f>AF345</f>
        <v>-3.5667759081346233</v>
      </c>
      <c r="AF345" s="15">
        <v>-3.5667759081346233</v>
      </c>
      <c r="AG345" s="45" t="s">
        <v>256</v>
      </c>
      <c r="AH345" s="130">
        <f ca="1">AI345</f>
        <v>-4.9091550554090064</v>
      </c>
      <c r="AI345" s="260">
        <f ca="1">LOG(AJ345/$B$346)</f>
        <v>-4.9091550554090064</v>
      </c>
      <c r="AJ345" s="311">
        <f ca="1">'Table S4 Conversions and Notes'!$J$325</f>
        <v>4.8727973550150242E-3</v>
      </c>
      <c r="AK345" s="45" t="s">
        <v>1637</v>
      </c>
      <c r="AL345" s="84"/>
      <c r="AM345" s="47"/>
      <c r="AN345" s="47"/>
      <c r="AO345" s="45"/>
      <c r="AP345" s="47"/>
      <c r="AQ345" s="47"/>
      <c r="AR345" s="47"/>
      <c r="AS345" s="150">
        <f>AVERAGE(AT345:AT347)</f>
        <v>204.5</v>
      </c>
      <c r="AT345" s="107">
        <f>AVERAGE(204,205)</f>
        <v>204.5</v>
      </c>
      <c r="AU345" s="270">
        <f>AT345+273.15</f>
        <v>477.65</v>
      </c>
      <c r="AV345" s="45" t="s">
        <v>1229</v>
      </c>
      <c r="AW345" s="47"/>
      <c r="AX345" s="47"/>
    </row>
    <row r="346" spans="1:50" ht="18">
      <c r="A346" s="3" t="s">
        <v>1238</v>
      </c>
      <c r="B346" s="171">
        <v>395.30599999999998</v>
      </c>
      <c r="C346" s="266">
        <f>C345*RSD_dHvap</f>
        <v>6.6796159686982195</v>
      </c>
      <c r="D346" s="4"/>
      <c r="E346" s="4"/>
      <c r="F346" s="3"/>
      <c r="G346" s="4"/>
      <c r="H346" s="4"/>
      <c r="I346" s="3"/>
      <c r="J346" s="4"/>
      <c r="K346" s="122"/>
      <c r="L346" s="142">
        <f>RSD_dUoa*L345</f>
        <v>5.2143702951170656</v>
      </c>
      <c r="M346" s="4"/>
      <c r="N346" s="4"/>
      <c r="O346" s="3"/>
      <c r="P346" s="4"/>
      <c r="Q346" s="4"/>
      <c r="R346" s="3"/>
      <c r="S346" s="4"/>
      <c r="T346" s="4"/>
      <c r="U346" s="130">
        <f ca="1">_xlfn.STDEV.S(V345:V346)</f>
        <v>0.10951371931483565</v>
      </c>
      <c r="V346" s="15">
        <f ca="1">'Table S4 Conversions and Notes'!$J$326</f>
        <v>10.347873944419044</v>
      </c>
      <c r="W346" s="45" t="s">
        <v>1641</v>
      </c>
      <c r="X346" s="8"/>
      <c r="Y346" s="8"/>
      <c r="Z346" s="45"/>
      <c r="AA346" s="130">
        <f>ABS(RSD_Kaw*AA345)</f>
        <v>0.64848003715199709</v>
      </c>
      <c r="AB346" s="47"/>
      <c r="AC346" s="47"/>
      <c r="AD346" s="45"/>
      <c r="AE346" s="130">
        <f>ABS(RSD_PL*AE345)</f>
        <v>0.56592027387140831</v>
      </c>
      <c r="AF346" s="6"/>
      <c r="AG346" s="7"/>
      <c r="AH346" s="130">
        <f ca="1">ABS(RSD_SW*AH345)</f>
        <v>0.60703954383878933</v>
      </c>
      <c r="AI346" s="175">
        <v>-5.14</v>
      </c>
      <c r="AJ346" s="165">
        <f>10^AI346*$B$346</f>
        <v>2.8637388163340383E-3</v>
      </c>
      <c r="AK346" s="155" t="s">
        <v>2114</v>
      </c>
      <c r="AL346" s="84"/>
      <c r="AM346" s="47"/>
      <c r="AN346" s="47"/>
      <c r="AO346" s="45"/>
      <c r="AP346" s="47"/>
      <c r="AQ346" s="47"/>
      <c r="AR346" s="47"/>
      <c r="AS346" s="130">
        <f>RSD_Tm*AS345</f>
        <v>9.4408891650540205</v>
      </c>
      <c r="AT346" s="107"/>
      <c r="AU346" s="47"/>
      <c r="AV346" s="45"/>
      <c r="AW346" s="47"/>
      <c r="AX346" s="47"/>
    </row>
    <row r="347" spans="1:50">
      <c r="A347" s="3"/>
      <c r="B347" s="171"/>
      <c r="C347" s="324">
        <f>COUNTA(D345:D346)</f>
        <v>1</v>
      </c>
      <c r="D347" s="4"/>
      <c r="E347" s="4"/>
      <c r="F347" s="3"/>
      <c r="G347" s="4"/>
      <c r="H347" s="4"/>
      <c r="I347" s="3"/>
      <c r="J347" s="4"/>
      <c r="K347" s="122"/>
      <c r="L347" s="324">
        <f>COUNTA(M345:M347)</f>
        <v>1</v>
      </c>
      <c r="M347" s="4"/>
      <c r="N347" s="4"/>
      <c r="O347" s="3"/>
      <c r="P347" s="4"/>
      <c r="Q347" s="4"/>
      <c r="R347" s="3"/>
      <c r="S347" s="4"/>
      <c r="T347" s="4"/>
      <c r="U347" s="324">
        <f ca="1">COUNTA(V345:V347)</f>
        <v>2</v>
      </c>
      <c r="V347" s="8"/>
      <c r="W347" s="45"/>
      <c r="X347" s="8"/>
      <c r="Y347" s="8"/>
      <c r="Z347" s="45"/>
      <c r="AA347" s="324">
        <f>COUNTA(AB345)</f>
        <v>1</v>
      </c>
      <c r="AB347" s="47"/>
      <c r="AC347" s="47"/>
      <c r="AD347" s="45"/>
      <c r="AE347" s="324">
        <f>COUNTA(AF345:AF347)</f>
        <v>1</v>
      </c>
      <c r="AF347" s="6"/>
      <c r="AG347" s="7"/>
      <c r="AH347" s="324">
        <f ca="1">COUNTA(AI345)</f>
        <v>1</v>
      </c>
      <c r="AI347" s="47"/>
      <c r="AJ347" s="47"/>
      <c r="AK347" s="45"/>
      <c r="AL347" s="84"/>
      <c r="AM347" s="47"/>
      <c r="AN347" s="47"/>
      <c r="AO347" s="45"/>
      <c r="AP347" s="47"/>
      <c r="AQ347" s="47"/>
      <c r="AR347" s="47"/>
      <c r="AS347" s="324">
        <f>COUNTA(AT345)</f>
        <v>1</v>
      </c>
      <c r="AT347" s="107"/>
      <c r="AU347" s="47"/>
      <c r="AV347" s="45"/>
      <c r="AW347" s="47"/>
      <c r="AX347" s="47"/>
    </row>
    <row r="348" spans="1:50" ht="18">
      <c r="A348" s="3" t="s">
        <v>133</v>
      </c>
      <c r="B348" s="4" t="s">
        <v>134</v>
      </c>
      <c r="C348" s="287">
        <f>AVERAGE(D348:D349)</f>
        <v>88.187381608999999</v>
      </c>
      <c r="D348" s="30">
        <v>88.7</v>
      </c>
      <c r="E348" s="30" t="s">
        <v>250</v>
      </c>
      <c r="F348" s="83"/>
      <c r="G348" s="70"/>
      <c r="H348" s="70"/>
      <c r="I348" s="83"/>
      <c r="J348" s="70"/>
      <c r="K348" s="207"/>
      <c r="L348" s="142">
        <f>M348</f>
        <v>87.5</v>
      </c>
      <c r="M348" s="70">
        <v>87.5</v>
      </c>
      <c r="N348" s="70" t="s">
        <v>250</v>
      </c>
      <c r="O348" s="77"/>
      <c r="P348" s="147"/>
      <c r="Q348" s="70"/>
      <c r="R348" s="77"/>
      <c r="S348" s="170"/>
      <c r="T348" s="70"/>
      <c r="U348" s="130">
        <f ca="1">AVERAGE(V348:V349)</f>
        <v>9.80286139538212</v>
      </c>
      <c r="V348" s="15">
        <v>9.7978488463451932</v>
      </c>
      <c r="W348" s="45" t="s">
        <v>256</v>
      </c>
      <c r="X348" s="130">
        <f>AVERAGE(Y348:Y349)</f>
        <v>6.6549999999999994</v>
      </c>
      <c r="Y348" s="15">
        <v>6.55</v>
      </c>
      <c r="Z348" s="45" t="s">
        <v>1296</v>
      </c>
      <c r="AA348" s="130">
        <f ca="1">AC348</f>
        <v>-2.2302775143706985</v>
      </c>
      <c r="AB348" s="260">
        <f ca="1">10^AC348*8.314*298.15</f>
        <v>14.587044891061234</v>
      </c>
      <c r="AC348" s="17">
        <f ca="1">'Table S4 Conversions and Notes'!$J$437</f>
        <v>-2.2302775143706985</v>
      </c>
      <c r="AD348" s="73" t="s">
        <v>2230</v>
      </c>
      <c r="AE348" s="310">
        <f>AVERAGE(AF348:AF350)</f>
        <v>-3.2215368249492431</v>
      </c>
      <c r="AF348" s="15">
        <v>-3.130866123601963</v>
      </c>
      <c r="AG348" s="45" t="s">
        <v>256</v>
      </c>
      <c r="AH348" s="130">
        <f ca="1">AVERAGE(AI348:AI349)</f>
        <v>-4.6128134783762764</v>
      </c>
      <c r="AI348" s="260">
        <f ca="1">LOG(AJ348/$B$349)</f>
        <v>-4.7782995230283882</v>
      </c>
      <c r="AJ348" s="311">
        <f ca="1">'Table S4 Conversions and Notes'!$J$327</f>
        <v>6.5861843577292439E-3</v>
      </c>
      <c r="AK348" s="45" t="s">
        <v>1397</v>
      </c>
      <c r="AL348" s="84"/>
      <c r="AM348" s="47"/>
      <c r="AN348" s="47"/>
      <c r="AO348" s="45"/>
      <c r="AP348" s="47"/>
      <c r="AQ348" s="47"/>
      <c r="AR348" s="47"/>
      <c r="AS348" s="150">
        <f>AVERAGE(AT348:AT350)</f>
        <v>102.5</v>
      </c>
      <c r="AT348" s="107">
        <f>AVERAGE(102,103)</f>
        <v>102.5</v>
      </c>
      <c r="AU348" s="270">
        <f>AT348+273.15</f>
        <v>375.65</v>
      </c>
      <c r="AV348" s="45" t="s">
        <v>1229</v>
      </c>
      <c r="AW348" s="47"/>
      <c r="AX348" s="47"/>
    </row>
    <row r="349" spans="1:50" ht="18">
      <c r="A349" s="3" t="s">
        <v>1240</v>
      </c>
      <c r="B349" s="171">
        <v>395.30599999999998</v>
      </c>
      <c r="C349" s="266">
        <f>_xlfn.STDEV.S(D348:D349)</f>
        <v>0.72495188087407936</v>
      </c>
      <c r="D349" s="30">
        <f>4579*2.303*8.314/1000</f>
        <v>87.674763217999995</v>
      </c>
      <c r="E349" s="30" t="s">
        <v>124</v>
      </c>
      <c r="F349" s="3"/>
      <c r="G349" s="4"/>
      <c r="H349" s="4"/>
      <c r="I349" s="3"/>
      <c r="J349" s="4"/>
      <c r="K349" s="122"/>
      <c r="L349" s="142">
        <f>RSD_dUoa*L348</f>
        <v>5.5438323307745234</v>
      </c>
      <c r="M349" s="4"/>
      <c r="N349" s="4"/>
      <c r="O349" s="3"/>
      <c r="P349" s="4"/>
      <c r="Q349" s="4"/>
      <c r="R349" s="3"/>
      <c r="S349" s="4"/>
      <c r="T349" s="4"/>
      <c r="U349" s="130">
        <f ca="1">_xlfn.STDEV.S(V348:V349)</f>
        <v>7.0888148300808597E-3</v>
      </c>
      <c r="V349" s="15">
        <f ca="1">'Table S4 Conversions and Notes'!$J$316</f>
        <v>9.807873944419045</v>
      </c>
      <c r="W349" s="45" t="s">
        <v>1393</v>
      </c>
      <c r="X349" s="130">
        <f>_xlfn.STDEV.S(Y348:Y349)</f>
        <v>0.14849242404917495</v>
      </c>
      <c r="Y349" s="8">
        <v>6.76</v>
      </c>
      <c r="Z349" s="45" t="s">
        <v>1398</v>
      </c>
      <c r="AA349" s="130">
        <f ca="1">ABS(RSD_Kaw*AA348)</f>
        <v>0.44605550287413975</v>
      </c>
      <c r="AB349" s="47"/>
      <c r="AC349" s="47"/>
      <c r="AD349" s="45"/>
      <c r="AE349" s="310">
        <f>_xlfn.STDEV.S(AF348:AF350)</f>
        <v>8.1858281942174385E-2</v>
      </c>
      <c r="AF349" s="6">
        <v>-3.29</v>
      </c>
      <c r="AG349" s="7" t="s">
        <v>124</v>
      </c>
      <c r="AH349" s="130">
        <f ca="1">_xlfn.STDEV.S(AI348:AI349)</f>
        <v>0.23403260873049611</v>
      </c>
      <c r="AI349" s="260">
        <f>LOG(AJ349/$B$349)</f>
        <v>-4.4473274337241646</v>
      </c>
      <c r="AJ349" s="114">
        <f>'Table S4 Conversions and Notes'!$J$328</f>
        <v>1.4112565559526035E-2</v>
      </c>
      <c r="AK349" s="45" t="s">
        <v>1396</v>
      </c>
      <c r="AL349" s="84"/>
      <c r="AM349" s="47"/>
      <c r="AN349" s="47"/>
      <c r="AO349" s="45"/>
      <c r="AP349" s="47"/>
      <c r="AQ349" s="47"/>
      <c r="AR349" s="47"/>
      <c r="AS349" s="130">
        <f>RSD_Tm*AS348</f>
        <v>4.7319860118241417</v>
      </c>
      <c r="AT349" s="107"/>
      <c r="AU349" s="47"/>
      <c r="AV349" s="45"/>
      <c r="AW349" s="47"/>
      <c r="AX349" s="47"/>
    </row>
    <row r="350" spans="1:50" ht="18">
      <c r="A350" s="3"/>
      <c r="B350" s="171"/>
      <c r="C350" s="324">
        <f>COUNTA(D348:D349)</f>
        <v>2</v>
      </c>
      <c r="D350" s="4"/>
      <c r="E350" s="4"/>
      <c r="F350" s="3"/>
      <c r="G350" s="4"/>
      <c r="H350" s="4"/>
      <c r="I350" s="3"/>
      <c r="J350" s="4"/>
      <c r="K350" s="122"/>
      <c r="L350" s="324">
        <f>COUNTA(M348:M350)</f>
        <v>1</v>
      </c>
      <c r="M350" s="4"/>
      <c r="N350" s="4"/>
      <c r="O350" s="3"/>
      <c r="P350" s="4"/>
      <c r="Q350" s="4"/>
      <c r="R350" s="3"/>
      <c r="S350" s="4"/>
      <c r="T350" s="4"/>
      <c r="U350" s="324">
        <f ca="1">COUNTA(V348:V350)</f>
        <v>2</v>
      </c>
      <c r="V350" s="8"/>
      <c r="W350" s="45"/>
      <c r="X350" s="324">
        <f>COUNTA(Y348:Y350)</f>
        <v>2</v>
      </c>
      <c r="Y350" s="8"/>
      <c r="Z350" s="45"/>
      <c r="AA350" s="324">
        <f ca="1">COUNTA(AB348:AB351)</f>
        <v>1</v>
      </c>
      <c r="AB350" s="47"/>
      <c r="AC350" s="47"/>
      <c r="AD350" s="45"/>
      <c r="AE350" s="324">
        <f>COUNTA(AF348:AF350)</f>
        <v>3</v>
      </c>
      <c r="AF350" s="15">
        <f>'Table S4 Conversions and Notes'!$J$315</f>
        <v>-3.2437443512457667</v>
      </c>
      <c r="AG350" s="45" t="s">
        <v>1640</v>
      </c>
      <c r="AH350" s="324">
        <f ca="1">COUNTA(AI348:AI350)</f>
        <v>2</v>
      </c>
      <c r="AL350" s="84"/>
      <c r="AM350" s="47"/>
      <c r="AN350" s="47"/>
      <c r="AO350" s="45"/>
      <c r="AP350" s="47"/>
      <c r="AQ350" s="47"/>
      <c r="AR350" s="47"/>
      <c r="AS350" s="324">
        <f>COUNTA(AT348:AT353)</f>
        <v>1</v>
      </c>
      <c r="AT350" s="107"/>
      <c r="AU350" s="47"/>
      <c r="AV350" s="45"/>
      <c r="AW350" s="47"/>
      <c r="AX350" s="47"/>
    </row>
    <row r="351" spans="1:50" ht="18">
      <c r="A351" s="3"/>
      <c r="B351" s="171"/>
      <c r="C351" s="266"/>
      <c r="D351" s="4"/>
      <c r="E351" s="4"/>
      <c r="F351" s="3"/>
      <c r="G351" s="4"/>
      <c r="H351" s="4"/>
      <c r="I351" s="3"/>
      <c r="J351" s="4"/>
      <c r="K351" s="4"/>
      <c r="L351" s="115"/>
      <c r="M351" s="4"/>
      <c r="N351" s="4"/>
      <c r="O351" s="3"/>
      <c r="P351" s="4"/>
      <c r="Q351" s="4"/>
      <c r="R351" s="3"/>
      <c r="S351" s="4"/>
      <c r="T351" s="4"/>
      <c r="U351" s="87"/>
      <c r="V351" s="8"/>
      <c r="W351" s="45"/>
      <c r="X351" s="8"/>
      <c r="Y351" s="8"/>
      <c r="Z351" s="45"/>
      <c r="AA351" s="47"/>
      <c r="AB351" s="47"/>
      <c r="AC351" s="47"/>
      <c r="AD351" s="45"/>
      <c r="AF351" s="176">
        <f ca="1">'Table S4 Conversions and Notes'!$J$314</f>
        <v>-4.6070296341319761</v>
      </c>
      <c r="AG351" s="185" t="s">
        <v>1639</v>
      </c>
      <c r="AH351" s="84"/>
      <c r="AL351" s="84"/>
      <c r="AM351" s="47"/>
      <c r="AN351" s="47"/>
      <c r="AO351" s="45"/>
      <c r="AP351" s="47"/>
      <c r="AQ351" s="47"/>
      <c r="AR351" s="47"/>
      <c r="AS351" s="84"/>
      <c r="AT351" s="107"/>
      <c r="AU351" s="47"/>
      <c r="AV351" s="45"/>
      <c r="AW351" s="47"/>
      <c r="AX351" s="47"/>
    </row>
    <row r="352" spans="1:50" ht="18">
      <c r="A352" s="3"/>
      <c r="B352" s="4"/>
      <c r="C352" s="87"/>
      <c r="D352" s="4"/>
      <c r="E352" s="4"/>
      <c r="F352" s="3"/>
      <c r="G352" s="4"/>
      <c r="H352" s="4"/>
      <c r="I352" s="3"/>
      <c r="J352" s="4"/>
      <c r="K352" s="4"/>
      <c r="L352" s="115"/>
      <c r="M352" s="4"/>
      <c r="N352" s="4"/>
      <c r="O352" s="3"/>
      <c r="P352" s="4"/>
      <c r="Q352" s="4"/>
      <c r="R352" s="3"/>
      <c r="S352" s="4"/>
      <c r="T352" s="4"/>
      <c r="U352" s="87"/>
      <c r="V352" s="8"/>
      <c r="W352" s="45"/>
      <c r="X352" s="8"/>
      <c r="Y352" s="8"/>
      <c r="Z352" s="45"/>
      <c r="AA352" s="47"/>
      <c r="AB352" s="47"/>
      <c r="AC352" s="47"/>
      <c r="AD352" s="45"/>
      <c r="AE352" s="5"/>
      <c r="AF352" s="176">
        <f>LOG(10^-5.179*133.322)</f>
        <v>-3.05409817999164</v>
      </c>
      <c r="AG352" s="185" t="s">
        <v>1323</v>
      </c>
      <c r="AH352" s="84"/>
      <c r="AI352" s="47"/>
      <c r="AJ352" s="47"/>
      <c r="AK352" s="45"/>
      <c r="AL352" s="84"/>
      <c r="AM352" s="47"/>
      <c r="AN352" s="47"/>
      <c r="AO352" s="45"/>
      <c r="AP352" s="47"/>
      <c r="AQ352" s="47"/>
      <c r="AR352" s="47"/>
      <c r="AS352" s="84"/>
      <c r="AT352" s="107"/>
      <c r="AU352" s="47"/>
      <c r="AV352" s="45"/>
      <c r="AW352" s="47"/>
      <c r="AX352" s="47"/>
    </row>
    <row r="353" spans="1:50" ht="18">
      <c r="A353" s="3"/>
      <c r="B353" s="4"/>
      <c r="C353" s="87"/>
      <c r="D353" s="4"/>
      <c r="E353" s="4"/>
      <c r="F353" s="3"/>
      <c r="G353" s="4"/>
      <c r="H353" s="4"/>
      <c r="I353" s="3"/>
      <c r="J353" s="4"/>
      <c r="K353" s="4"/>
      <c r="L353" s="115"/>
      <c r="M353" s="4"/>
      <c r="N353" s="4"/>
      <c r="O353" s="3"/>
      <c r="P353" s="4"/>
      <c r="Q353" s="4"/>
      <c r="R353" s="3"/>
      <c r="S353" s="4"/>
      <c r="T353" s="4"/>
      <c r="U353" s="87"/>
      <c r="V353" s="8"/>
      <c r="W353" s="45"/>
      <c r="X353" s="8"/>
      <c r="Y353" s="8"/>
      <c r="Z353" s="45"/>
      <c r="AA353" s="47"/>
      <c r="AB353" s="47"/>
      <c r="AC353" s="47"/>
      <c r="AD353" s="45"/>
      <c r="AE353" s="5"/>
      <c r="AF353" s="176">
        <f>LOG(10^-5.4*133.322)</f>
        <v>-3.2750981799916401</v>
      </c>
      <c r="AG353" s="185" t="s">
        <v>1323</v>
      </c>
      <c r="AH353" s="84"/>
      <c r="AI353" s="47"/>
      <c r="AJ353" s="47"/>
      <c r="AK353" s="45"/>
      <c r="AL353" s="84"/>
      <c r="AM353" s="47"/>
      <c r="AN353" s="47"/>
      <c r="AO353" s="45"/>
      <c r="AP353" s="47"/>
      <c r="AQ353" s="47"/>
      <c r="AR353" s="47"/>
      <c r="AS353" s="84"/>
      <c r="AT353" s="107"/>
      <c r="AU353" s="47"/>
      <c r="AV353" s="45"/>
      <c r="AW353" s="47"/>
      <c r="AX353" s="47"/>
    </row>
    <row r="354" spans="1:50">
      <c r="A354" s="3"/>
      <c r="B354" s="4"/>
      <c r="C354" s="87"/>
      <c r="D354" s="4"/>
      <c r="E354" s="4"/>
      <c r="F354" s="3"/>
      <c r="G354" s="4"/>
      <c r="H354" s="4"/>
      <c r="I354" s="3"/>
      <c r="J354" s="4"/>
      <c r="K354" s="4"/>
      <c r="L354" s="115"/>
      <c r="M354" s="4"/>
      <c r="N354" s="4"/>
      <c r="O354" s="3"/>
      <c r="P354" s="4"/>
      <c r="Q354" s="4"/>
      <c r="R354" s="3"/>
      <c r="S354" s="4"/>
      <c r="T354" s="4"/>
      <c r="U354" s="87"/>
      <c r="V354" s="8"/>
      <c r="W354" s="45"/>
      <c r="X354" s="8"/>
      <c r="Y354" s="8"/>
      <c r="Z354" s="45"/>
      <c r="AA354" s="47"/>
      <c r="AB354" s="47"/>
      <c r="AC354" s="47"/>
      <c r="AD354" s="45"/>
      <c r="AE354" s="5"/>
      <c r="AF354" s="6"/>
      <c r="AG354" s="7"/>
      <c r="AH354" s="84"/>
      <c r="AI354" s="47"/>
      <c r="AJ354" s="47"/>
      <c r="AK354" s="45"/>
      <c r="AL354" s="84"/>
      <c r="AM354" s="47"/>
      <c r="AN354" s="47"/>
      <c r="AO354" s="45"/>
      <c r="AP354" s="47"/>
      <c r="AQ354" s="47"/>
      <c r="AR354" s="47"/>
      <c r="AS354" s="84"/>
      <c r="AT354" s="107"/>
      <c r="AU354" s="47"/>
      <c r="AV354" s="45"/>
      <c r="AW354" s="47"/>
      <c r="AX354" s="47"/>
    </row>
    <row r="355" spans="1:50" ht="18">
      <c r="A355" s="3" t="s">
        <v>135</v>
      </c>
      <c r="B355" s="4" t="s">
        <v>136</v>
      </c>
      <c r="C355" s="287">
        <f>AVERAGE(D355:D357)</f>
        <v>104.05587005119456</v>
      </c>
      <c r="D355" s="30">
        <v>104</v>
      </c>
      <c r="E355" s="30" t="s">
        <v>249</v>
      </c>
      <c r="F355" s="191">
        <f>G355</f>
        <v>37.809999999999995</v>
      </c>
      <c r="G355" s="70">
        <f>'Table S4 Conversions and Notes'!$J$285</f>
        <v>37.809999999999995</v>
      </c>
      <c r="H355" s="70" t="s">
        <v>1272</v>
      </c>
      <c r="I355" s="83"/>
      <c r="J355" s="70"/>
      <c r="K355" s="70"/>
      <c r="L355" s="213">
        <f>M355</f>
        <v>104</v>
      </c>
      <c r="M355" s="70">
        <v>104</v>
      </c>
      <c r="N355" s="70" t="s">
        <v>249</v>
      </c>
      <c r="O355" s="77"/>
      <c r="P355" s="147"/>
      <c r="Q355" s="70"/>
      <c r="R355" s="3">
        <f>S355</f>
        <v>-23.8</v>
      </c>
      <c r="S355" s="70">
        <v>-23.8</v>
      </c>
      <c r="T355" s="70" t="s">
        <v>398</v>
      </c>
      <c r="U355" s="130">
        <f ca="1">AVERAGE(V355:V356)</f>
        <v>11.525637381635953</v>
      </c>
      <c r="V355" s="15">
        <v>11.38432802715635</v>
      </c>
      <c r="W355" s="45" t="s">
        <v>256</v>
      </c>
      <c r="X355" s="130">
        <f>AVERAGE(Y355:Y362)</f>
        <v>8.1416737508306145</v>
      </c>
      <c r="Y355" s="15">
        <v>8.26</v>
      </c>
      <c r="Z355" s="45" t="s">
        <v>1289</v>
      </c>
      <c r="AA355" s="47"/>
      <c r="AB355" s="47"/>
      <c r="AC355" s="47"/>
      <c r="AD355" s="45"/>
      <c r="AE355" s="130">
        <f>AVERAGE(AF355:AF358)</f>
        <v>-4.6996349403159625</v>
      </c>
      <c r="AF355" s="6">
        <f>LOG(0.00004)</f>
        <v>-4.3979400086720375</v>
      </c>
      <c r="AG355" s="7" t="s">
        <v>1277</v>
      </c>
      <c r="AH355" s="130">
        <f ca="1">AVERAGE(AI355:AI359)</f>
        <v>-4.9065768596922759</v>
      </c>
      <c r="AI355" s="260">
        <f>LOG('Table S4 Conversions and Notes'!J279)</f>
        <v>-5.0866613480783975</v>
      </c>
      <c r="AJ355" s="114">
        <f>10^AI355*$B$356</f>
        <v>4.0843109439853463E-3</v>
      </c>
      <c r="AK355" s="45" t="s">
        <v>1252</v>
      </c>
      <c r="AL355" s="75">
        <f ca="1">AVERAGE(AM355:AM356)</f>
        <v>2.013540181656575</v>
      </c>
      <c r="AM355" s="17">
        <f ca="1">'Table S4 Conversions and Notes'!$J$462</f>
        <v>2.9747586063344462</v>
      </c>
      <c r="AN355" s="263">
        <f ca="1">10^AM355*$B$356</f>
        <v>470477.38498570741</v>
      </c>
      <c r="AO355" s="45" t="s">
        <v>2253</v>
      </c>
      <c r="AP355" s="132">
        <f>AVERAGE(AQ355:AQ357)</f>
        <v>55.188213787105745</v>
      </c>
      <c r="AQ355" s="17">
        <f>28.7/AU357*1000</f>
        <v>49.576783555018139</v>
      </c>
      <c r="AR355" s="47" t="s">
        <v>1249</v>
      </c>
      <c r="AS355" s="306">
        <f>AVERAGE(AT355:AT361)</f>
        <v>308.39285714285717</v>
      </c>
      <c r="AT355" s="107">
        <v>306</v>
      </c>
      <c r="AU355" s="270">
        <f>AT355+273.15</f>
        <v>579.15</v>
      </c>
      <c r="AV355" s="269" t="s">
        <v>1119</v>
      </c>
      <c r="AW355" s="47"/>
      <c r="AX355" s="47"/>
    </row>
    <row r="356" spans="1:50" ht="18">
      <c r="A356" s="3" t="s">
        <v>1241</v>
      </c>
      <c r="B356" s="171">
        <v>498.63200000000001</v>
      </c>
      <c r="C356" s="266">
        <f>_xlfn.STDEV.S(D355:D357)</f>
        <v>0.65273974807507618</v>
      </c>
      <c r="D356" s="30">
        <f>'Table S4 Conversions and Notes'!$J$288</f>
        <v>104.73474906958364</v>
      </c>
      <c r="E356" s="30" t="s">
        <v>1282</v>
      </c>
      <c r="F356" s="187">
        <f>RSD_dHw*F355</f>
        <v>7.5619999999999994</v>
      </c>
      <c r="G356" s="70"/>
      <c r="H356" s="70"/>
      <c r="I356" s="83"/>
      <c r="J356" s="70"/>
      <c r="K356" s="70"/>
      <c r="L356" s="145">
        <f>RSD_dUoa*L355</f>
        <v>6.5892407131491479</v>
      </c>
      <c r="M356" s="70"/>
      <c r="N356" s="70"/>
      <c r="O356" s="77"/>
      <c r="P356" s="147"/>
      <c r="Q356" s="70"/>
      <c r="R356" s="182">
        <f>ABS(R355*RSD_dUow)</f>
        <v>4.7600000000000007</v>
      </c>
      <c r="S356" s="170"/>
      <c r="T356" s="70"/>
      <c r="U356" s="130">
        <f ca="1">_xlfn.STDEV.S(V355:V356)</f>
        <v>0.19984160559524264</v>
      </c>
      <c r="V356" s="15">
        <f ca="1">LOG('Table S4 Conversions and Notes'!$J$293)</f>
        <v>11.666946736115557</v>
      </c>
      <c r="W356" s="45" t="s">
        <v>1308</v>
      </c>
      <c r="X356" s="130">
        <f>_xlfn.STDEV.S(Y355:Y362)</f>
        <v>0.25421187957856911</v>
      </c>
      <c r="Y356" s="15">
        <v>8.1999999999999993</v>
      </c>
      <c r="Z356" s="45" t="s">
        <v>1290</v>
      </c>
      <c r="AA356" s="47"/>
      <c r="AB356" s="47"/>
      <c r="AC356" s="47"/>
      <c r="AD356" s="45"/>
      <c r="AE356" s="130">
        <f>_xlfn.STDEV.S(AF355:AF358)</f>
        <v>0.28490908503016454</v>
      </c>
      <c r="AF356" s="6">
        <f>LOG('Table S4 Conversions and Notes'!$J$287)</f>
        <v>-4.5355717468898824</v>
      </c>
      <c r="AG356" s="7" t="s">
        <v>1280</v>
      </c>
      <c r="AH356" s="130">
        <f ca="1">_xlfn.STDEV.S(AI355:AI359)</f>
        <v>0.22757118902063608</v>
      </c>
      <c r="AI356" s="17">
        <f>LOG('Table S4 Conversions and Notes'!J280)</f>
        <v>-4.7533425840857992</v>
      </c>
      <c r="AJ356" s="114">
        <f>10^AI356*$B$356</f>
        <v>8.7990859934181011E-3</v>
      </c>
      <c r="AK356" s="45" t="s">
        <v>1257</v>
      </c>
      <c r="AL356" s="75">
        <f ca="1">_xlfn.STDEV.S(AM355:AM356)</f>
        <v>1.3593681325823463</v>
      </c>
      <c r="AM356" s="17">
        <f>LOG(AN356/B356)</f>
        <v>1.0523217569787036</v>
      </c>
      <c r="AN356" s="114">
        <f>'Table S4 Conversions and Notes'!$J$476</f>
        <v>5624.7328881031754</v>
      </c>
      <c r="AO356" s="45" t="s">
        <v>1877</v>
      </c>
      <c r="AP356" s="131">
        <f>_xlfn.STDEV.S(AQ355:AQ357)</f>
        <v>9.8727770120457699</v>
      </c>
      <c r="AQ356" s="17">
        <f>39430/AU361</f>
        <v>66.587857806299084</v>
      </c>
      <c r="AR356" s="47" t="s">
        <v>1748</v>
      </c>
      <c r="AS356" s="130">
        <f>_xlfn.STDEV.S(AT355:AT361)</f>
        <v>5.139425111448797</v>
      </c>
      <c r="AT356" s="107">
        <v>310</v>
      </c>
      <c r="AU356" s="270">
        <f>AT356+273.15</f>
        <v>583.15</v>
      </c>
      <c r="AV356" s="269" t="s">
        <v>1235</v>
      </c>
      <c r="AW356" s="47"/>
      <c r="AX356" s="47"/>
    </row>
    <row r="357" spans="1:50" ht="18">
      <c r="A357" s="3"/>
      <c r="B357" s="171"/>
      <c r="C357" s="324">
        <f>COUNTA(D355:D357)</f>
        <v>3</v>
      </c>
      <c r="D357" s="30">
        <f>5402*2.303*8.314/1000</f>
        <v>103.43286108400001</v>
      </c>
      <c r="E357" s="30" t="s">
        <v>1336</v>
      </c>
      <c r="F357" s="324">
        <f>COUNTA(G355:G357)</f>
        <v>1</v>
      </c>
      <c r="G357" s="70"/>
      <c r="H357" s="70"/>
      <c r="I357" s="83"/>
      <c r="J357" s="70"/>
      <c r="K357" s="70"/>
      <c r="L357" s="324">
        <f>COUNTA(M355:M357)</f>
        <v>1</v>
      </c>
      <c r="M357" s="70"/>
      <c r="N357" s="70"/>
      <c r="O357" s="77"/>
      <c r="P357" s="147"/>
      <c r="Q357" s="70"/>
      <c r="R357" s="324">
        <f>COUNTA(S355:S357)</f>
        <v>1</v>
      </c>
      <c r="S357" s="170"/>
      <c r="T357" s="70"/>
      <c r="U357" s="324">
        <f ca="1">COUNTA(V355:V357)</f>
        <v>2</v>
      </c>
      <c r="V357" s="15"/>
      <c r="W357" s="45"/>
      <c r="X357" s="324">
        <f>COUNTA(Y355:Y362)</f>
        <v>8</v>
      </c>
      <c r="Y357" s="15">
        <v>8.3000000000000007</v>
      </c>
      <c r="Z357" s="45" t="s">
        <v>1291</v>
      </c>
      <c r="AA357" s="47"/>
      <c r="AB357" s="47"/>
      <c r="AC357" s="47"/>
      <c r="AD357" s="45"/>
      <c r="AE357" s="324">
        <f>COUNTA(AF355:AF358)</f>
        <v>4</v>
      </c>
      <c r="AF357" s="276">
        <f>LOG(0.00000944)</f>
        <v>-5.0250280057019312</v>
      </c>
      <c r="AG357" s="7" t="s">
        <v>1175</v>
      </c>
      <c r="AH357" s="324">
        <f ca="1">COUNTA(AI355:AI359)</f>
        <v>5</v>
      </c>
      <c r="AI357" s="260">
        <f ca="1">LOG(AJ357/$B$356)</f>
        <v>-4.5803729182099753</v>
      </c>
      <c r="AJ357" s="114">
        <f ca="1">'Table S4 Conversions and Notes'!$J$284</f>
        <v>1.3104100885210584E-2</v>
      </c>
      <c r="AK357" s="45" t="s">
        <v>1267</v>
      </c>
      <c r="AL357" s="324">
        <f ca="1">COUNT(AM355:AM358)</f>
        <v>2</v>
      </c>
      <c r="AM357" s="47"/>
      <c r="AN357" s="47"/>
      <c r="AO357" s="45"/>
      <c r="AP357" s="324">
        <f>COUNTA(AQ355:AQ357)</f>
        <v>3</v>
      </c>
      <c r="AQ357" s="17">
        <v>49.4</v>
      </c>
      <c r="AR357" s="47" t="s">
        <v>804</v>
      </c>
      <c r="AS357" s="324">
        <f>COUNTA(AT355:AT361)</f>
        <v>7</v>
      </c>
      <c r="AT357" s="107">
        <f>AU357-273.15</f>
        <v>305.75</v>
      </c>
      <c r="AU357" s="270">
        <v>578.9</v>
      </c>
      <c r="AV357" s="269" t="s">
        <v>1248</v>
      </c>
      <c r="AW357" s="47"/>
      <c r="AX357" s="47"/>
    </row>
    <row r="358" spans="1:50" ht="18">
      <c r="A358" s="3"/>
      <c r="B358" s="171"/>
      <c r="C358" s="287"/>
      <c r="F358" s="83"/>
      <c r="G358" s="70"/>
      <c r="H358" s="70"/>
      <c r="I358" s="83"/>
      <c r="J358" s="70"/>
      <c r="K358" s="70"/>
      <c r="L358" s="115"/>
      <c r="M358" s="70"/>
      <c r="N358" s="70"/>
      <c r="O358" s="77"/>
      <c r="P358" s="147"/>
      <c r="Q358" s="70"/>
      <c r="R358" s="77"/>
      <c r="S358" s="170"/>
      <c r="T358" s="70"/>
      <c r="U358" s="87"/>
      <c r="V358" s="15"/>
      <c r="W358" s="45"/>
      <c r="X358" s="15"/>
      <c r="Y358" s="15">
        <v>8.1999999999999993</v>
      </c>
      <c r="Z358" s="45" t="s">
        <v>1294</v>
      </c>
      <c r="AA358" s="47"/>
      <c r="AB358" s="47"/>
      <c r="AC358" s="47"/>
      <c r="AD358" s="45"/>
      <c r="AE358" s="5"/>
      <c r="AF358" s="276">
        <v>-4.84</v>
      </c>
      <c r="AG358" s="7" t="s">
        <v>124</v>
      </c>
      <c r="AH358" s="84"/>
      <c r="AI358" s="260">
        <f>LOG(AJ358/$B$356)</f>
        <v>-5.0525067767226854</v>
      </c>
      <c r="AJ358" s="114">
        <f>'Table S4 Conversions and Notes'!$J$283</f>
        <v>4.4184848419480099E-3</v>
      </c>
      <c r="AK358" s="45" t="s">
        <v>1260</v>
      </c>
      <c r="AL358" s="84"/>
      <c r="AM358" s="47"/>
      <c r="AN358" s="47"/>
      <c r="AO358" s="45"/>
      <c r="AP358" s="47"/>
      <c r="AQ358" s="47"/>
      <c r="AR358" s="47"/>
      <c r="AS358" s="84"/>
      <c r="AT358" s="107">
        <v>309</v>
      </c>
      <c r="AU358" s="270">
        <v>578.9</v>
      </c>
      <c r="AV358" s="269" t="s">
        <v>365</v>
      </c>
      <c r="AW358" s="47"/>
      <c r="AX358" s="47"/>
    </row>
    <row r="359" spans="1:50" ht="18">
      <c r="A359" s="3"/>
      <c r="B359" s="171"/>
      <c r="C359" s="287"/>
      <c r="D359" s="30"/>
      <c r="E359" s="30"/>
      <c r="F359" s="83"/>
      <c r="G359" s="70"/>
      <c r="H359" s="70"/>
      <c r="I359" s="83"/>
      <c r="J359" s="70"/>
      <c r="K359" s="70"/>
      <c r="L359" s="115"/>
      <c r="M359" s="70"/>
      <c r="N359" s="70"/>
      <c r="O359" s="77"/>
      <c r="P359" s="147"/>
      <c r="Q359" s="70"/>
      <c r="R359" s="77"/>
      <c r="S359" s="170"/>
      <c r="T359" s="70"/>
      <c r="U359" s="87"/>
      <c r="V359" s="15"/>
      <c r="W359" s="45"/>
      <c r="X359" s="15"/>
      <c r="Y359" s="48">
        <f>'Table S4 Conversions and Notes'!$J$291</f>
        <v>8.36</v>
      </c>
      <c r="Z359" s="45" t="s">
        <v>1624</v>
      </c>
      <c r="AA359" s="47"/>
      <c r="AB359" s="47"/>
      <c r="AC359" s="47"/>
      <c r="AD359" s="45"/>
      <c r="AE359" s="5"/>
      <c r="AF359" s="307">
        <f>LOG(10^-7.378*133.322)</f>
        <v>-5.2530981799916407</v>
      </c>
      <c r="AG359" s="185" t="s">
        <v>1323</v>
      </c>
      <c r="AH359" s="84"/>
      <c r="AI359" s="260">
        <f>LOG(AJ359/$B$356)</f>
        <v>-5.0600006713645227</v>
      </c>
      <c r="AJ359" s="114">
        <f>'Table S4 Conversions and Notes'!$J$286</f>
        <v>4.3428964542941567E-3</v>
      </c>
      <c r="AK359" s="45" t="s">
        <v>1276</v>
      </c>
      <c r="AL359" s="84"/>
      <c r="AM359" s="47"/>
      <c r="AN359" s="47"/>
      <c r="AO359" s="45"/>
      <c r="AP359" s="47"/>
      <c r="AQ359" s="47"/>
      <c r="AR359" s="47"/>
      <c r="AS359" s="84"/>
      <c r="AT359" s="107">
        <v>304.5</v>
      </c>
      <c r="AU359" s="270">
        <v>578.9</v>
      </c>
      <c r="AV359" s="269" t="s">
        <v>1748</v>
      </c>
      <c r="AW359" s="47"/>
      <c r="AX359" s="47"/>
    </row>
    <row r="360" spans="1:50" ht="18">
      <c r="A360" s="3"/>
      <c r="B360" s="171"/>
      <c r="C360" s="287"/>
      <c r="D360" s="30"/>
      <c r="E360" s="30"/>
      <c r="F360" s="83"/>
      <c r="G360" s="70"/>
      <c r="H360" s="70"/>
      <c r="I360" s="83"/>
      <c r="J360" s="70"/>
      <c r="K360" s="70"/>
      <c r="L360" s="115"/>
      <c r="M360" s="70"/>
      <c r="N360" s="70"/>
      <c r="O360" s="77"/>
      <c r="P360" s="147"/>
      <c r="Q360" s="70"/>
      <c r="R360" s="77"/>
      <c r="S360" s="170"/>
      <c r="T360" s="70"/>
      <c r="U360" s="87"/>
      <c r="V360" s="15"/>
      <c r="W360" s="45"/>
      <c r="X360" s="15"/>
      <c r="Y360" s="46">
        <v>8.2739999999999991</v>
      </c>
      <c r="Z360" s="45" t="s">
        <v>2387</v>
      </c>
      <c r="AA360" s="47"/>
      <c r="AB360" s="47"/>
      <c r="AC360" s="47"/>
      <c r="AD360" s="45"/>
      <c r="AE360" s="5"/>
      <c r="AF360" s="307">
        <f>LOG(10^-7.003*133.322)</f>
        <v>-4.8780981799916407</v>
      </c>
      <c r="AG360" s="185" t="s">
        <v>1323</v>
      </c>
      <c r="AH360" s="84"/>
      <c r="AI360" s="261">
        <f>LOG(AJ360/$B$356)</f>
        <v>-6.1460527567843704</v>
      </c>
      <c r="AJ360" s="165">
        <f>'Table S4 Conversions and Notes'!J281</f>
        <v>3.5622745599779918E-4</v>
      </c>
      <c r="AK360" s="155" t="s">
        <v>1275</v>
      </c>
      <c r="AL360" s="84"/>
      <c r="AM360" s="47"/>
      <c r="AN360" s="47"/>
      <c r="AO360" s="45"/>
      <c r="AP360" s="47"/>
      <c r="AQ360" s="47"/>
      <c r="AR360" s="47"/>
      <c r="AS360" s="84"/>
      <c r="AT360" s="370">
        <f>AU360-273.15</f>
        <v>304.5</v>
      </c>
      <c r="AU360" s="488">
        <v>577.65</v>
      </c>
      <c r="AV360" s="7" t="s">
        <v>2694</v>
      </c>
      <c r="AW360" s="47"/>
      <c r="AX360" s="47"/>
    </row>
    <row r="361" spans="1:50" ht="18">
      <c r="A361" s="3"/>
      <c r="B361" s="171"/>
      <c r="C361" s="287"/>
      <c r="D361" s="30"/>
      <c r="E361" s="30"/>
      <c r="F361" s="83"/>
      <c r="G361" s="70"/>
      <c r="H361" s="70"/>
      <c r="I361" s="83"/>
      <c r="J361" s="70"/>
      <c r="K361" s="70"/>
      <c r="L361" s="115"/>
      <c r="M361" s="70"/>
      <c r="N361" s="70"/>
      <c r="O361" s="77"/>
      <c r="P361" s="147"/>
      <c r="Q361" s="70"/>
      <c r="R361" s="77"/>
      <c r="S361" s="170"/>
      <c r="T361" s="70"/>
      <c r="U361" s="87"/>
      <c r="V361" s="15"/>
      <c r="W361" s="45"/>
      <c r="X361" s="15"/>
      <c r="Y361" s="46">
        <f>LOG(89000000)</f>
        <v>7.9493900066449124</v>
      </c>
      <c r="Z361" s="45" t="s">
        <v>1301</v>
      </c>
      <c r="AA361" s="47"/>
      <c r="AB361" s="47"/>
      <c r="AC361" s="47"/>
      <c r="AD361" s="45"/>
      <c r="AE361" s="5"/>
      <c r="AH361" s="84"/>
      <c r="AI361" s="261">
        <f>LOG(AJ361/$B$356)</f>
        <v>-1.7815365035992827</v>
      </c>
      <c r="AJ361" s="165">
        <f>'Table S4 Conversions and Notes'!$J$282</f>
        <v>8.2460059258749805</v>
      </c>
      <c r="AK361" s="155" t="s">
        <v>1255</v>
      </c>
      <c r="AL361" s="84"/>
      <c r="AM361" s="47"/>
      <c r="AN361" s="47"/>
      <c r="AO361" s="45"/>
      <c r="AP361" s="47"/>
      <c r="AQ361" s="47"/>
      <c r="AR361" s="47"/>
      <c r="AS361" s="84"/>
      <c r="AT361" s="153">
        <f>AVERAGE(318,320)</f>
        <v>319</v>
      </c>
      <c r="AU361" s="288">
        <f>AT361+273.15</f>
        <v>592.15</v>
      </c>
      <c r="AV361" s="285" t="s">
        <v>1229</v>
      </c>
      <c r="AW361" s="47"/>
      <c r="AX361" s="47"/>
    </row>
    <row r="362" spans="1:50">
      <c r="A362" s="3"/>
      <c r="B362" s="171"/>
      <c r="C362" s="287"/>
      <c r="D362" s="30"/>
      <c r="E362" s="30"/>
      <c r="F362" s="83"/>
      <c r="G362" s="70"/>
      <c r="H362" s="70"/>
      <c r="I362" s="83"/>
      <c r="J362" s="70"/>
      <c r="K362" s="70"/>
      <c r="L362" s="115"/>
      <c r="M362" s="70"/>
      <c r="N362" s="70"/>
      <c r="O362" s="77"/>
      <c r="P362" s="147"/>
      <c r="Q362" s="70"/>
      <c r="R362" s="77"/>
      <c r="S362" s="170"/>
      <c r="T362" s="70"/>
      <c r="U362" s="87"/>
      <c r="V362" s="15"/>
      <c r="W362" s="45"/>
      <c r="X362" s="15"/>
      <c r="Y362" s="46">
        <v>7.59</v>
      </c>
      <c r="Z362" s="45" t="s">
        <v>1302</v>
      </c>
      <c r="AA362" s="47"/>
      <c r="AB362" s="47"/>
      <c r="AC362" s="47"/>
      <c r="AD362" s="45"/>
      <c r="AE362" s="5"/>
      <c r="AF362" s="307"/>
      <c r="AG362" s="176"/>
      <c r="AH362" s="84"/>
      <c r="AI362" s="261"/>
      <c r="AJ362" s="165"/>
      <c r="AK362" s="155"/>
      <c r="AL362" s="84"/>
      <c r="AM362" s="47"/>
      <c r="AN362" s="47"/>
      <c r="AO362" s="45"/>
      <c r="AP362" s="47"/>
      <c r="AQ362" s="47"/>
      <c r="AR362" s="47"/>
      <c r="AS362" s="84"/>
      <c r="AW362" s="47"/>
      <c r="AX362" s="47"/>
    </row>
    <row r="363" spans="1:50" ht="18">
      <c r="A363" s="3"/>
      <c r="B363" s="171"/>
      <c r="C363" s="287"/>
      <c r="D363" s="30"/>
      <c r="E363" s="30"/>
      <c r="F363" s="83"/>
      <c r="G363" s="70"/>
      <c r="H363" s="70"/>
      <c r="I363" s="83"/>
      <c r="J363" s="70"/>
      <c r="K363" s="70"/>
      <c r="L363" s="115"/>
      <c r="M363" s="70"/>
      <c r="N363" s="70"/>
      <c r="O363" s="77"/>
      <c r="P363" s="147"/>
      <c r="Q363" s="70"/>
      <c r="R363" s="77"/>
      <c r="S363" s="170"/>
      <c r="T363" s="70"/>
      <c r="U363" s="87"/>
      <c r="V363" s="15"/>
      <c r="W363" s="45"/>
      <c r="X363" s="15"/>
      <c r="Y363" s="177">
        <v>9.6</v>
      </c>
      <c r="Z363" s="155" t="s">
        <v>1305</v>
      </c>
      <c r="AA363" s="47"/>
      <c r="AB363" s="47"/>
      <c r="AC363" s="47"/>
      <c r="AD363" s="45"/>
      <c r="AE363" s="5"/>
      <c r="AH363" s="84"/>
      <c r="AL363" s="84"/>
      <c r="AM363" s="47"/>
      <c r="AN363" s="47"/>
      <c r="AO363" s="45"/>
      <c r="AP363" s="47"/>
      <c r="AQ363" s="47"/>
      <c r="AR363" s="47"/>
      <c r="AS363" s="84"/>
      <c r="AW363" s="47"/>
      <c r="AX363" s="47"/>
    </row>
    <row r="364" spans="1:50" ht="18">
      <c r="A364" s="3"/>
      <c r="F364" s="3"/>
      <c r="G364" s="4"/>
      <c r="H364" s="4"/>
      <c r="I364" s="3"/>
      <c r="J364" s="4"/>
      <c r="K364" s="4"/>
      <c r="L364" s="58"/>
      <c r="M364" s="4"/>
      <c r="N364" s="4"/>
      <c r="O364" s="3"/>
      <c r="P364" s="4"/>
      <c r="Q364" s="4"/>
      <c r="R364" s="3"/>
      <c r="S364" s="4"/>
      <c r="T364" s="4"/>
      <c r="U364" s="237"/>
      <c r="V364" s="8"/>
      <c r="W364" s="45"/>
      <c r="X364" s="8"/>
      <c r="Y364" s="208">
        <v>11.19</v>
      </c>
      <c r="Z364" s="155" t="s">
        <v>1288</v>
      </c>
      <c r="AA364" s="47"/>
      <c r="AB364" s="47"/>
      <c r="AC364" s="47"/>
      <c r="AD364" s="45"/>
      <c r="AE364" s="5"/>
      <c r="AH364" s="84"/>
      <c r="AL364" s="84"/>
      <c r="AM364" s="47"/>
      <c r="AN364" s="47"/>
      <c r="AO364" s="45"/>
      <c r="AP364" s="47"/>
      <c r="AQ364" s="47"/>
      <c r="AR364" s="47"/>
      <c r="AS364" s="84"/>
      <c r="AT364" s="107"/>
      <c r="AU364" s="270"/>
      <c r="AV364" s="72"/>
      <c r="AW364" s="47"/>
      <c r="AX364" s="47"/>
    </row>
    <row r="365" spans="1:50" customFormat="1">
      <c r="A365" s="505" t="s">
        <v>2028</v>
      </c>
      <c r="B365" s="505"/>
      <c r="C365" s="505"/>
      <c r="D365" s="505"/>
      <c r="E365" s="505"/>
      <c r="F365" s="505"/>
      <c r="G365" s="505"/>
      <c r="H365" s="505"/>
      <c r="I365" s="505"/>
      <c r="J365" s="505"/>
      <c r="K365" s="505"/>
      <c r="L365" s="505"/>
      <c r="M365" s="505"/>
      <c r="N365" s="505"/>
      <c r="O365" s="505"/>
      <c r="P365" s="505"/>
      <c r="Q365" s="505"/>
      <c r="R365" s="505"/>
      <c r="S365" s="505"/>
      <c r="T365" s="505"/>
      <c r="U365" s="505"/>
      <c r="V365" s="505"/>
      <c r="W365" s="505"/>
      <c r="X365" s="505"/>
      <c r="Y365" s="505"/>
      <c r="Z365" s="505"/>
      <c r="AA365" s="505"/>
      <c r="AB365" s="505"/>
      <c r="AC365" s="505"/>
      <c r="AD365" s="505"/>
      <c r="AE365" s="505"/>
      <c r="AF365" s="506"/>
      <c r="AG365" s="505"/>
      <c r="AH365" s="505"/>
      <c r="AI365" s="505"/>
      <c r="AJ365" s="505"/>
      <c r="AK365" s="505"/>
      <c r="AL365" s="505"/>
      <c r="AM365" s="505"/>
      <c r="AN365" s="505"/>
      <c r="AO365" s="505"/>
      <c r="AP365" s="505"/>
      <c r="AQ365" s="505"/>
      <c r="AR365" s="505"/>
      <c r="AS365" s="505"/>
      <c r="AT365" s="505"/>
      <c r="AU365" s="505"/>
      <c r="AV365" s="505"/>
      <c r="AW365" s="51"/>
      <c r="AX365" s="51"/>
    </row>
    <row r="366" spans="1:50" customFormat="1" ht="18">
      <c r="A366" s="3" t="s">
        <v>2027</v>
      </c>
      <c r="B366" s="396" t="s">
        <v>2026</v>
      </c>
      <c r="C366" s="395">
        <f>AVERAGE(D366:D372)</f>
        <v>77.251485714285693</v>
      </c>
      <c r="D366" s="255">
        <v>78.66</v>
      </c>
      <c r="E366" s="270" t="s">
        <v>2338</v>
      </c>
      <c r="F366" s="267"/>
      <c r="G366" s="268"/>
      <c r="H366" s="268"/>
      <c r="I366" s="267"/>
      <c r="J366" s="268"/>
      <c r="K366" s="268"/>
      <c r="L366" s="213">
        <f>M366</f>
        <v>54.963853999999998</v>
      </c>
      <c r="M366" s="448">
        <f>'Table S4 Conversions and Notes'!$J$571</f>
        <v>54.963853999999998</v>
      </c>
      <c r="N366" s="448" t="s">
        <v>2838</v>
      </c>
      <c r="O366" s="393"/>
      <c r="P366" s="394"/>
      <c r="Q366" s="268"/>
      <c r="R366" s="393"/>
      <c r="S366" s="392"/>
      <c r="T366" s="268"/>
      <c r="U366" s="130">
        <f>AVERAGE(V366:V367)</f>
        <v>7</v>
      </c>
      <c r="V366" s="274">
        <v>7</v>
      </c>
      <c r="W366" s="220" t="s">
        <v>2799</v>
      </c>
      <c r="X366" s="303" t="e">
        <f ca="1">AVERAGE(Y366:Y379)</f>
        <v>#N/A</v>
      </c>
      <c r="Y366" s="274">
        <f>'Table S4 Conversions and Notes'!$J$337</f>
        <v>1.61</v>
      </c>
      <c r="Z366" s="220" t="s">
        <v>2025</v>
      </c>
      <c r="AA366" s="130">
        <f>AC366</f>
        <v>-4.7471469690201067</v>
      </c>
      <c r="AB366" s="263">
        <f>10^AC366*8.314*298.15</f>
        <v>4.4370861889999967E-2</v>
      </c>
      <c r="AC366" s="260">
        <f>LOG(0.0000179)</f>
        <v>-4.7471469690201067</v>
      </c>
      <c r="AD366" s="220" t="s">
        <v>1702</v>
      </c>
      <c r="AE366" s="303">
        <f>AVERAGE(AF366:AF371)</f>
        <v>-0.5737975003434046</v>
      </c>
      <c r="AF366" s="400">
        <f>LOG(0.22,10)</f>
        <v>-0.65757731917779372</v>
      </c>
      <c r="AG366" s="269" t="s">
        <v>1929</v>
      </c>
      <c r="AH366" s="303" t="e">
        <f ca="1">AVERAGE(AI366:AI370)</f>
        <v>#N/A</v>
      </c>
      <c r="AI366" s="260" t="e">
        <f ca="1">LOG(AJ366/$B$367)</f>
        <v>#N/A</v>
      </c>
      <c r="AJ366" s="263" t="e">
        <f ca="1">'Table S4 Conversions and Notes'!$J$344</f>
        <v>#N/A</v>
      </c>
      <c r="AK366" s="51" t="s">
        <v>2461</v>
      </c>
      <c r="AL366" s="219"/>
      <c r="AM366" s="51"/>
      <c r="AN366" s="51"/>
      <c r="AO366" s="220"/>
      <c r="AP366" s="132">
        <f>AVERAGE(AQ366:AQ368)</f>
        <v>61.8</v>
      </c>
      <c r="AQ366" s="46">
        <f>'Table S4 Conversions and Notes'!J535</f>
        <v>61.8</v>
      </c>
      <c r="AR366" s="48" t="s">
        <v>2695</v>
      </c>
      <c r="AS366" s="201">
        <f>AVERAGE(AT366:AT370)</f>
        <v>5.4119999999999999</v>
      </c>
      <c r="AT366" s="51">
        <v>5.5</v>
      </c>
      <c r="AU366" s="270">
        <f t="shared" ref="AU366:AU371" si="4">AT366+273.15</f>
        <v>278.64999999999998</v>
      </c>
      <c r="AV366" s="220" t="s">
        <v>1941</v>
      </c>
      <c r="AW366" s="51"/>
      <c r="AX366" s="51"/>
    </row>
    <row r="367" spans="1:50" customFormat="1" ht="18.75">
      <c r="A367" s="391" t="s">
        <v>2024</v>
      </c>
      <c r="B367" s="396">
        <v>194.18</v>
      </c>
      <c r="C367" s="434">
        <f>_xlfn.STDEV.S(D366:D372)</f>
        <v>0.96533834384387507</v>
      </c>
      <c r="D367" s="255">
        <v>78.040000000000006</v>
      </c>
      <c r="E367" s="255" t="s">
        <v>2337</v>
      </c>
      <c r="F367" s="267"/>
      <c r="G367" s="268"/>
      <c r="H367" s="268"/>
      <c r="I367" s="267"/>
      <c r="J367" s="268"/>
      <c r="K367" s="268"/>
      <c r="L367" s="145">
        <f>RSD_dUoa*L366</f>
        <v>3.4824044666190925</v>
      </c>
      <c r="M367" s="268"/>
      <c r="N367" s="268"/>
      <c r="O367" s="393"/>
      <c r="P367" s="394"/>
      <c r="Q367" s="268"/>
      <c r="R367" s="393"/>
      <c r="S367" s="392"/>
      <c r="T367" s="268"/>
      <c r="U367" s="130">
        <f>RSD_Koa*U366</f>
        <v>0.18023472661974055</v>
      </c>
      <c r="V367" s="274"/>
      <c r="W367" s="220"/>
      <c r="X367" s="303" t="e">
        <f ca="1">_xlfn.STDEV.S(Y366:Y379)</f>
        <v>#N/A</v>
      </c>
      <c r="Y367" s="274">
        <f>'Table S4 Conversions and Notes'!$J$339</f>
        <v>1.62</v>
      </c>
      <c r="Z367" s="220" t="s">
        <v>2023</v>
      </c>
      <c r="AA367" s="130">
        <f>ABS(RSD_Kaw*AA366)</f>
        <v>0.94942939380402136</v>
      </c>
      <c r="AB367" s="264">
        <v>0.111</v>
      </c>
      <c r="AC367" s="261">
        <f>LOG(AB367/8.314/298.15)</f>
        <v>-4.3489218550652966</v>
      </c>
      <c r="AD367" s="155" t="s">
        <v>2336</v>
      </c>
      <c r="AE367" s="303">
        <f>_xlfn.STDEV.S(AF366:AF371)</f>
        <v>9.5464368197886035E-2</v>
      </c>
      <c r="AF367" s="257">
        <f>LOG(0.245)</f>
        <v>-0.61083391563546752</v>
      </c>
      <c r="AG367" s="269" t="s">
        <v>211</v>
      </c>
      <c r="AH367" s="303" t="e">
        <f ca="1">_xlfn.STDEV.S(AI366:AI370)</f>
        <v>#N/A</v>
      </c>
      <c r="AI367" s="260">
        <f>LOG(AJ367/$B$367)</f>
        <v>1.3472792500633892</v>
      </c>
      <c r="AJ367" s="263">
        <v>4320</v>
      </c>
      <c r="AK367" s="51" t="s">
        <v>2462</v>
      </c>
      <c r="AL367" s="219"/>
      <c r="AM367" s="51"/>
      <c r="AN367" s="51"/>
      <c r="AO367" s="220"/>
      <c r="AP367" s="131">
        <f>AP366*RSD_dSf</f>
        <v>4.8710528878201647</v>
      </c>
      <c r="AQ367" s="51"/>
      <c r="AR367" s="51"/>
      <c r="AS367" s="182">
        <f>_xlfn.STDEV.S(AT366:AT370)</f>
        <v>0.23177575369309009</v>
      </c>
      <c r="AT367" s="51">
        <v>5.5</v>
      </c>
      <c r="AU367" s="270">
        <f t="shared" si="4"/>
        <v>278.64999999999998</v>
      </c>
      <c r="AV367" s="220" t="s">
        <v>2018</v>
      </c>
      <c r="AW367" s="51"/>
      <c r="AX367" s="51"/>
    </row>
    <row r="368" spans="1:50" customFormat="1" ht="18">
      <c r="A368" s="391"/>
      <c r="B368" s="396"/>
      <c r="C368" s="395">
        <f>COUNT(D366:D372)</f>
        <v>7</v>
      </c>
      <c r="D368" s="255">
        <v>77</v>
      </c>
      <c r="E368" s="255" t="s">
        <v>2356</v>
      </c>
      <c r="F368" s="267"/>
      <c r="G368" s="268"/>
      <c r="H368" s="268"/>
      <c r="I368" s="267"/>
      <c r="J368" s="268"/>
      <c r="K368" s="268"/>
      <c r="L368" s="324">
        <f>COUNTA(M366:M368)</f>
        <v>1</v>
      </c>
      <c r="M368" s="268"/>
      <c r="N368" s="268"/>
      <c r="O368" s="393"/>
      <c r="P368" s="394"/>
      <c r="Q368" s="268"/>
      <c r="R368" s="393"/>
      <c r="S368" s="392"/>
      <c r="T368" s="268"/>
      <c r="U368" s="324">
        <f>COUNTA(V366:V368)</f>
        <v>1</v>
      </c>
      <c r="V368" s="274"/>
      <c r="W368" s="220"/>
      <c r="X368" s="324">
        <f ca="1">COUNTA(Y366:Y379)</f>
        <v>14</v>
      </c>
      <c r="Y368" s="274" t="e">
        <f ca="1">'Table S4 Conversions and Notes'!$J$340</f>
        <v>#N/A</v>
      </c>
      <c r="Z368" s="220" t="s">
        <v>2363</v>
      </c>
      <c r="AA368" s="324">
        <f>COUNTA(AB366)</f>
        <v>1</v>
      </c>
      <c r="AB368" s="40"/>
      <c r="AC368" s="40"/>
      <c r="AD368" s="40"/>
      <c r="AE368" s="324">
        <f>COUNTA(AF366:AF374)</f>
        <v>9</v>
      </c>
      <c r="AF368" s="257">
        <f>LOG(0.2)</f>
        <v>-0.69897000433601875</v>
      </c>
      <c r="AG368" s="269" t="s">
        <v>2017</v>
      </c>
      <c r="AH368" s="324">
        <f ca="1">COUNT(AI366:AI370)</f>
        <v>3</v>
      </c>
      <c r="AI368" s="260">
        <f>LOG(AJ368/$B$367)</f>
        <v>1.3138554945764396</v>
      </c>
      <c r="AJ368" s="263">
        <v>4000</v>
      </c>
      <c r="AK368" s="51" t="s">
        <v>2365</v>
      </c>
      <c r="AL368" s="219"/>
      <c r="AM368" s="51"/>
      <c r="AN368" s="51"/>
      <c r="AO368" s="220"/>
      <c r="AP368" s="324">
        <f>COUNTA(AQ366:AQ368)</f>
        <v>1</v>
      </c>
      <c r="AQ368" s="51"/>
      <c r="AR368" s="51"/>
      <c r="AS368" s="324">
        <f>COUNTA(AT366:AT370)</f>
        <v>5</v>
      </c>
      <c r="AT368" s="51">
        <v>5.56</v>
      </c>
      <c r="AU368" s="270">
        <f t="shared" si="4"/>
        <v>278.70999999999998</v>
      </c>
      <c r="AV368" s="220" t="s">
        <v>2022</v>
      </c>
      <c r="AW368" s="51"/>
      <c r="AX368" s="51"/>
    </row>
    <row r="369" spans="1:50" customFormat="1" ht="18">
      <c r="A369" s="391"/>
      <c r="B369" s="396"/>
      <c r="C369" s="395"/>
      <c r="D369" s="255">
        <f>18.1*4.184</f>
        <v>75.730400000000003</v>
      </c>
      <c r="E369" s="13" t="s">
        <v>2341</v>
      </c>
      <c r="F369" s="267"/>
      <c r="G369" s="268"/>
      <c r="H369" s="268"/>
      <c r="I369" s="267"/>
      <c r="J369" s="268"/>
      <c r="K369" s="268"/>
      <c r="L369" s="338"/>
      <c r="M369" s="268"/>
      <c r="N369" s="268"/>
      <c r="O369" s="393"/>
      <c r="P369" s="394"/>
      <c r="Q369" s="268"/>
      <c r="R369" s="393"/>
      <c r="S369" s="392"/>
      <c r="T369" s="268"/>
      <c r="U369" s="319"/>
      <c r="V369" s="274"/>
      <c r="W369" s="220"/>
      <c r="X369" s="274"/>
      <c r="Y369" s="274">
        <v>1.47</v>
      </c>
      <c r="Z369" s="220" t="s">
        <v>2365</v>
      </c>
      <c r="AA369" s="51"/>
      <c r="AB369" s="51"/>
      <c r="AC369" s="51"/>
      <c r="AD369" s="220"/>
      <c r="AE369" s="389"/>
      <c r="AF369" s="257">
        <f>LOG(0.304243)</f>
        <v>-0.5167794051976371</v>
      </c>
      <c r="AG369" s="269" t="s">
        <v>2021</v>
      </c>
      <c r="AH369" s="219"/>
      <c r="AI369" s="260">
        <f>LOG('Table S4 Conversions and Notes'!$J$352)</f>
        <v>1.3399800113218898</v>
      </c>
      <c r="AJ369" s="263">
        <f>10^AI369*$B$367</f>
        <v>4248.0000000000018</v>
      </c>
      <c r="AK369" s="51" t="s">
        <v>2015</v>
      </c>
      <c r="AL369" s="219"/>
      <c r="AM369" s="51"/>
      <c r="AN369" s="51"/>
      <c r="AO369" s="220"/>
      <c r="AP369" s="51"/>
      <c r="AQ369" s="51"/>
      <c r="AR369" s="51"/>
      <c r="AS369" s="219"/>
      <c r="AT369" s="51">
        <v>5</v>
      </c>
      <c r="AU369" s="270">
        <f t="shared" si="4"/>
        <v>278.14999999999998</v>
      </c>
      <c r="AV369" s="220" t="s">
        <v>2020</v>
      </c>
      <c r="AW369" s="51"/>
      <c r="AX369" s="51"/>
    </row>
    <row r="370" spans="1:50" customFormat="1" ht="18">
      <c r="A370" s="391"/>
      <c r="B370" s="396"/>
      <c r="C370" s="287"/>
      <c r="D370" s="448">
        <v>77.7</v>
      </c>
      <c r="E370" s="13" t="s">
        <v>2530</v>
      </c>
      <c r="F370" s="267"/>
      <c r="G370" s="268"/>
      <c r="H370" s="268"/>
      <c r="I370" s="267"/>
      <c r="J370" s="268"/>
      <c r="K370" s="268"/>
      <c r="L370" s="338"/>
      <c r="M370" s="268"/>
      <c r="N370" s="268"/>
      <c r="O370" s="393"/>
      <c r="P370" s="394"/>
      <c r="Q370" s="268"/>
      <c r="R370" s="393"/>
      <c r="S370" s="392"/>
      <c r="T370" s="268"/>
      <c r="U370" s="319"/>
      <c r="V370" s="274"/>
      <c r="W370" s="220"/>
      <c r="X370" s="274"/>
      <c r="Y370" s="274">
        <v>1.9</v>
      </c>
      <c r="Z370" s="220" t="s">
        <v>2366</v>
      </c>
      <c r="AA370" s="51"/>
      <c r="AB370" s="51"/>
      <c r="AC370" s="51"/>
      <c r="AD370" s="220"/>
      <c r="AE370" s="389"/>
      <c r="AF370" s="257">
        <f>'Table S4 Conversions and Notes'!J526</f>
        <v>-0.4934949675951279</v>
      </c>
      <c r="AG370" s="7" t="s">
        <v>2595</v>
      </c>
      <c r="AH370" s="219"/>
      <c r="AI370" s="260" t="e">
        <f ca="1">LOG(AJ370/$B$367)</f>
        <v>#N/A</v>
      </c>
      <c r="AJ370" s="263" t="e">
        <f ca="1">'Table S4 Conversions and Notes'!$J$401</f>
        <v>#N/A</v>
      </c>
      <c r="AK370" s="51" t="s">
        <v>2463</v>
      </c>
      <c r="AL370" s="219"/>
      <c r="AM370" s="51"/>
      <c r="AN370" s="51"/>
      <c r="AO370" s="220"/>
      <c r="AP370" s="51"/>
      <c r="AQ370" s="51"/>
      <c r="AR370" s="51"/>
      <c r="AS370" s="219"/>
      <c r="AT370" s="51">
        <v>5.5</v>
      </c>
      <c r="AU370" s="51">
        <f t="shared" si="4"/>
        <v>278.64999999999998</v>
      </c>
      <c r="AV370" s="220" t="s">
        <v>2016</v>
      </c>
      <c r="AW370" s="51"/>
      <c r="AX370" s="51"/>
    </row>
    <row r="371" spans="1:50" customFormat="1" ht="18">
      <c r="A371" s="391"/>
      <c r="B371" s="396"/>
      <c r="C371" s="395"/>
      <c r="D371" s="448">
        <v>76.7</v>
      </c>
      <c r="E371" s="13" t="s">
        <v>2588</v>
      </c>
      <c r="F371" s="267"/>
      <c r="G371" s="268"/>
      <c r="H371" s="268"/>
      <c r="I371" s="267"/>
      <c r="J371" s="268"/>
      <c r="K371" s="268"/>
      <c r="L371" s="338"/>
      <c r="M371" s="268"/>
      <c r="N371" s="268"/>
      <c r="O371" s="393"/>
      <c r="P371" s="394"/>
      <c r="Q371" s="268"/>
      <c r="R371" s="393"/>
      <c r="S371" s="392"/>
      <c r="T371" s="268"/>
      <c r="U371" s="319"/>
      <c r="V371" s="274"/>
      <c r="W371" s="220"/>
      <c r="X371" s="274"/>
      <c r="Y371" s="274">
        <v>1.56</v>
      </c>
      <c r="Z371" s="220" t="s">
        <v>2019</v>
      </c>
      <c r="AA371" s="51"/>
      <c r="AB371" s="51"/>
      <c r="AC371" s="51"/>
      <c r="AD371" s="220"/>
      <c r="AE371" s="389"/>
      <c r="AF371" s="257">
        <f>LOG(EXP(-1.071))</f>
        <v>-0.46512939011838267</v>
      </c>
      <c r="AG371" s="7" t="s">
        <v>2799</v>
      </c>
      <c r="AH371" s="219"/>
      <c r="AI371" s="261">
        <f>LOG(0.0206*1000)</f>
        <v>1.3138672203691535</v>
      </c>
      <c r="AJ371" s="264">
        <f>10^AI371*$B$367</f>
        <v>4000.108000000002</v>
      </c>
      <c r="AK371" s="262" t="s">
        <v>1704</v>
      </c>
      <c r="AL371" s="219"/>
      <c r="AM371" s="51"/>
      <c r="AN371" s="51"/>
      <c r="AO371" s="220"/>
      <c r="AP371" s="51"/>
      <c r="AQ371" s="51"/>
      <c r="AR371" s="51"/>
      <c r="AS371" s="219"/>
      <c r="AT371" s="262">
        <v>2</v>
      </c>
      <c r="AU371" s="262">
        <f t="shared" si="4"/>
        <v>275.14999999999998</v>
      </c>
      <c r="AV371" s="259" t="s">
        <v>2018</v>
      </c>
      <c r="AW371" s="51"/>
      <c r="AX371" s="51"/>
    </row>
    <row r="372" spans="1:50" customFormat="1" ht="18">
      <c r="A372" s="391"/>
      <c r="B372" s="396"/>
      <c r="C372" s="395"/>
      <c r="D372" s="448">
        <v>76.930000000000007</v>
      </c>
      <c r="E372" s="448" t="s">
        <v>2821</v>
      </c>
      <c r="F372" s="267"/>
      <c r="G372" s="268"/>
      <c r="H372" s="268"/>
      <c r="I372" s="267"/>
      <c r="J372" s="268"/>
      <c r="K372" s="268"/>
      <c r="L372" s="338"/>
      <c r="M372" s="268"/>
      <c r="N372" s="268"/>
      <c r="O372" s="393"/>
      <c r="P372" s="394"/>
      <c r="Q372" s="268"/>
      <c r="R372" s="393"/>
      <c r="S372" s="392"/>
      <c r="T372" s="268"/>
      <c r="U372" s="319"/>
      <c r="V372" s="274"/>
      <c r="W372" s="220"/>
      <c r="X372" s="274"/>
      <c r="Y372" s="274">
        <v>1.62</v>
      </c>
      <c r="Z372" s="220" t="s">
        <v>2083</v>
      </c>
      <c r="AA372" s="51"/>
      <c r="AB372" s="51"/>
      <c r="AC372" s="51"/>
      <c r="AD372" s="220"/>
      <c r="AE372" s="389"/>
      <c r="AF372" s="258">
        <f>LOG(1.19,10)</f>
        <v>7.554696139253074E-2</v>
      </c>
      <c r="AG372" s="285" t="s">
        <v>2407</v>
      </c>
      <c r="AH372" s="219"/>
      <c r="AI372" s="261" t="e">
        <f ca="1">LOG(AJ372/$B$367)</f>
        <v>#N/A</v>
      </c>
      <c r="AJ372" s="264" t="e">
        <f ca="1">'Table S4 Conversions and Notes'!$J$351</f>
        <v>#N/A</v>
      </c>
      <c r="AK372" s="262" t="s">
        <v>2423</v>
      </c>
      <c r="AL372" s="219"/>
      <c r="AM372" s="51"/>
      <c r="AN372" s="51"/>
      <c r="AO372" s="220"/>
      <c r="AP372" s="51"/>
      <c r="AQ372" s="51"/>
      <c r="AR372" s="51"/>
      <c r="AS372" s="219"/>
      <c r="AT372" s="40"/>
      <c r="AU372" s="40"/>
      <c r="AV372" s="42"/>
      <c r="AW372" s="51"/>
      <c r="AX372" s="51"/>
    </row>
    <row r="373" spans="1:50" customFormat="1" ht="18">
      <c r="A373" s="391"/>
      <c r="B373" s="396"/>
      <c r="C373" s="395"/>
      <c r="D373" s="435">
        <v>63.7</v>
      </c>
      <c r="E373" s="435" t="s">
        <v>2739</v>
      </c>
      <c r="F373" s="267"/>
      <c r="G373" s="268"/>
      <c r="H373" s="268"/>
      <c r="I373" s="267"/>
      <c r="J373" s="268"/>
      <c r="K373" s="268"/>
      <c r="L373" s="338"/>
      <c r="M373" s="268"/>
      <c r="N373" s="268"/>
      <c r="O373" s="393"/>
      <c r="P373" s="394"/>
      <c r="Q373" s="268"/>
      <c r="R373" s="393"/>
      <c r="S373" s="392"/>
      <c r="T373" s="268"/>
      <c r="U373" s="319"/>
      <c r="V373" s="274"/>
      <c r="W373" s="220"/>
      <c r="X373" s="274"/>
      <c r="Y373" s="274">
        <v>1.54</v>
      </c>
      <c r="Z373" s="220" t="s">
        <v>2406</v>
      </c>
      <c r="AA373" s="51"/>
      <c r="AB373" s="51"/>
      <c r="AC373" s="51"/>
      <c r="AD373" s="220"/>
      <c r="AE373" s="389"/>
      <c r="AF373" s="258">
        <f>'Table S4 Conversions and Notes'!$J$566</f>
        <v>-0.38654746349119529</v>
      </c>
      <c r="AG373" s="285" t="s">
        <v>2795</v>
      </c>
      <c r="AH373" s="219"/>
      <c r="AI373" s="261">
        <f>LOG(AJ373/$B$367)</f>
        <v>1.3100386949020997</v>
      </c>
      <c r="AJ373" s="264">
        <f>'Table S4 Conversions and Notes'!$J$335</f>
        <v>3965</v>
      </c>
      <c r="AK373" s="259" t="s">
        <v>2465</v>
      </c>
      <c r="AL373" s="219"/>
      <c r="AM373" s="51"/>
      <c r="AN373" s="51"/>
      <c r="AO373" s="220"/>
      <c r="AP373" s="51"/>
      <c r="AQ373" s="51"/>
      <c r="AR373" s="51"/>
      <c r="AS373" s="219"/>
      <c r="AT373" s="51"/>
      <c r="AU373" s="51"/>
      <c r="AV373" s="220"/>
      <c r="AW373" s="51"/>
      <c r="AX373" s="51"/>
    </row>
    <row r="374" spans="1:50" customFormat="1" ht="18">
      <c r="A374" s="391"/>
      <c r="B374" s="396"/>
      <c r="C374" s="395"/>
      <c r="D374" s="290">
        <f>'Table S4 Conversions and Notes'!$J$409</f>
        <v>64.564444597133615</v>
      </c>
      <c r="E374" s="290" t="s">
        <v>2340</v>
      </c>
      <c r="F374" s="267"/>
      <c r="G374" s="268"/>
      <c r="H374" s="268"/>
      <c r="I374" s="267"/>
      <c r="J374" s="268"/>
      <c r="K374" s="268"/>
      <c r="L374" s="338"/>
      <c r="M374" s="268"/>
      <c r="N374" s="268"/>
      <c r="O374" s="393"/>
      <c r="P374" s="394"/>
      <c r="Q374" s="268"/>
      <c r="R374" s="393"/>
      <c r="S374" s="392"/>
      <c r="T374" s="268"/>
      <c r="U374" s="319"/>
      <c r="V374" s="274"/>
      <c r="W374" s="220"/>
      <c r="X374" s="274"/>
      <c r="Y374" s="274">
        <v>1.6</v>
      </c>
      <c r="Z374" s="220" t="s">
        <v>1940</v>
      </c>
      <c r="AA374" s="51"/>
      <c r="AB374" s="51"/>
      <c r="AC374" s="51"/>
      <c r="AD374" s="220"/>
      <c r="AE374" s="389"/>
      <c r="AF374" s="258">
        <f>'Table S4 Conversions and Notes'!$J$570</f>
        <v>-0.20035392374478461</v>
      </c>
      <c r="AG374" s="185" t="s">
        <v>2822</v>
      </c>
      <c r="AH374" s="219"/>
      <c r="AI374" s="261" t="e">
        <f ca="1">LOG('Table S4 Conversions and Notes'!$J$336,10)</f>
        <v>#N/A</v>
      </c>
      <c r="AJ374" s="264" t="e">
        <f ca="1">10^AI374*$B$367</f>
        <v>#N/A</v>
      </c>
      <c r="AK374" s="259" t="s">
        <v>2467</v>
      </c>
      <c r="AL374" s="219"/>
      <c r="AM374" s="51"/>
      <c r="AN374" s="51"/>
      <c r="AO374" s="220"/>
      <c r="AP374" s="51"/>
      <c r="AQ374" s="51"/>
      <c r="AR374" s="51"/>
      <c r="AS374" s="219"/>
      <c r="AT374" s="51"/>
      <c r="AU374" s="51"/>
      <c r="AV374" s="220"/>
      <c r="AW374" s="51"/>
      <c r="AX374" s="51"/>
    </row>
    <row r="375" spans="1:50" customFormat="1" ht="18">
      <c r="A375" s="391"/>
      <c r="B375" s="396"/>
      <c r="C375" s="395"/>
      <c r="D375" s="435">
        <v>68.599999999999994</v>
      </c>
      <c r="E375" s="435" t="s">
        <v>2757</v>
      </c>
      <c r="F375" s="267"/>
      <c r="G375" s="268"/>
      <c r="H375" s="268"/>
      <c r="I375" s="267"/>
      <c r="J375" s="268"/>
      <c r="K375" s="268"/>
      <c r="L375" s="338"/>
      <c r="M375" s="268"/>
      <c r="N375" s="268"/>
      <c r="O375" s="393"/>
      <c r="P375" s="394"/>
      <c r="Q375" s="268"/>
      <c r="R375" s="393"/>
      <c r="S375" s="392"/>
      <c r="T375" s="268"/>
      <c r="U375" s="319"/>
      <c r="V375" s="274"/>
      <c r="W375" s="220"/>
      <c r="X375" s="274"/>
      <c r="Y375" s="274" t="e">
        <f ca="1">'Table S4 Conversions and Notes'!$J$402</f>
        <v>#N/A</v>
      </c>
      <c r="Z375" s="220" t="s">
        <v>2597</v>
      </c>
      <c r="AA375" s="51"/>
      <c r="AB375" s="51"/>
      <c r="AC375" s="51"/>
      <c r="AD375" s="220"/>
      <c r="AE375" s="389"/>
      <c r="AF375" s="1"/>
      <c r="AG375" s="1"/>
      <c r="AH375" s="219"/>
      <c r="AI375" s="261" t="e">
        <f ca="1">LOG(AJ375/$B$367)</f>
        <v>#N/A</v>
      </c>
      <c r="AJ375" s="264" t="e">
        <f ca="1">'Table S4 Conversions and Notes'!$J$353</f>
        <v>#N/A</v>
      </c>
      <c r="AK375" s="262" t="s">
        <v>2469</v>
      </c>
      <c r="AL375" s="219"/>
      <c r="AM375" s="51"/>
      <c r="AN375" s="51"/>
      <c r="AO375" s="220"/>
      <c r="AP375" s="51"/>
      <c r="AQ375" s="51"/>
      <c r="AR375" s="51"/>
      <c r="AS375" s="219"/>
      <c r="AT375" s="51"/>
      <c r="AU375" s="51"/>
      <c r="AV375" s="220"/>
      <c r="AW375" s="51"/>
      <c r="AX375" s="51"/>
    </row>
    <row r="376" spans="1:50" customFormat="1" ht="18">
      <c r="A376" s="391"/>
      <c r="B376" s="396"/>
      <c r="C376" s="395"/>
      <c r="D376" s="255"/>
      <c r="E376" s="255"/>
      <c r="F376" s="267"/>
      <c r="G376" s="268"/>
      <c r="H376" s="268"/>
      <c r="I376" s="267"/>
      <c r="J376" s="268"/>
      <c r="K376" s="268"/>
      <c r="L376" s="338"/>
      <c r="M376" s="268"/>
      <c r="N376" s="268"/>
      <c r="O376" s="393"/>
      <c r="P376" s="394"/>
      <c r="Q376" s="268"/>
      <c r="R376" s="393"/>
      <c r="S376" s="392"/>
      <c r="T376" s="268"/>
      <c r="U376" s="319"/>
      <c r="V376" s="274"/>
      <c r="W376" s="220"/>
      <c r="X376" s="274"/>
      <c r="Y376" s="274">
        <v>1.74</v>
      </c>
      <c r="Z376" s="220" t="s">
        <v>2014</v>
      </c>
      <c r="AA376" s="51"/>
      <c r="AB376" s="51"/>
      <c r="AC376" s="51"/>
      <c r="AD376" s="220"/>
      <c r="AE376" s="389"/>
      <c r="AF376" s="1"/>
      <c r="AG376" s="1"/>
      <c r="AH376" s="219"/>
      <c r="AI376" s="261" t="e">
        <f ca="1">LOG(AJ376/$B$367)</f>
        <v>#N/A</v>
      </c>
      <c r="AJ376" s="264" t="e">
        <f ca="1">'Table S4 Conversions and Notes'!$J$354</f>
        <v>#N/A</v>
      </c>
      <c r="AK376" s="262" t="s">
        <v>2470</v>
      </c>
      <c r="AL376" s="219"/>
      <c r="AM376" s="51"/>
      <c r="AN376" s="51"/>
      <c r="AO376" s="220"/>
      <c r="AP376" s="51"/>
      <c r="AQ376" s="51"/>
      <c r="AR376" s="51"/>
      <c r="AS376" s="219"/>
      <c r="AT376" s="51"/>
      <c r="AU376" s="51"/>
      <c r="AV376" s="220"/>
      <c r="AW376" s="51"/>
      <c r="AX376" s="51"/>
    </row>
    <row r="377" spans="1:50" customFormat="1" ht="18">
      <c r="A377" s="391"/>
      <c r="B377" s="396"/>
      <c r="C377" s="395"/>
      <c r="D377" s="255"/>
      <c r="E377" s="255"/>
      <c r="F377" s="267"/>
      <c r="G377" s="268"/>
      <c r="H377" s="268"/>
      <c r="I377" s="267"/>
      <c r="J377" s="268"/>
      <c r="K377" s="268"/>
      <c r="L377" s="338"/>
      <c r="M377" s="268"/>
      <c r="N377" s="268"/>
      <c r="O377" s="393"/>
      <c r="P377" s="394"/>
      <c r="Q377" s="268"/>
      <c r="R377" s="393"/>
      <c r="S377" s="392"/>
      <c r="T377" s="268"/>
      <c r="U377" s="319"/>
      <c r="V377" s="274"/>
      <c r="W377" s="220"/>
      <c r="X377" s="274"/>
      <c r="Y377" s="274">
        <v>1.61</v>
      </c>
      <c r="Z377" s="220" t="s">
        <v>2014</v>
      </c>
      <c r="AA377" s="51"/>
      <c r="AB377" s="51"/>
      <c r="AC377" s="51"/>
      <c r="AD377" s="220"/>
      <c r="AE377" s="389"/>
      <c r="AF377" s="1"/>
      <c r="AG377" s="1"/>
      <c r="AH377" s="219"/>
      <c r="AI377" s="40"/>
      <c r="AJ377" s="40"/>
      <c r="AK377" s="40"/>
      <c r="AL377" s="219"/>
      <c r="AM377" s="51"/>
      <c r="AN377" s="51"/>
      <c r="AO377" s="220"/>
      <c r="AP377" s="51"/>
      <c r="AQ377" s="51"/>
      <c r="AR377" s="51"/>
      <c r="AS377" s="219"/>
      <c r="AT377" s="51"/>
      <c r="AU377" s="51"/>
      <c r="AV377" s="220"/>
      <c r="AW377" s="51"/>
      <c r="AX377" s="51"/>
    </row>
    <row r="378" spans="1:50" customFormat="1" ht="18">
      <c r="A378" s="391"/>
      <c r="B378" s="396"/>
      <c r="C378" s="395"/>
      <c r="D378" s="255"/>
      <c r="E378" s="255"/>
      <c r="F378" s="267"/>
      <c r="G378" s="268"/>
      <c r="H378" s="268"/>
      <c r="I378" s="267"/>
      <c r="J378" s="268"/>
      <c r="K378" s="268"/>
      <c r="L378" s="338"/>
      <c r="M378" s="268"/>
      <c r="N378" s="268"/>
      <c r="O378" s="393"/>
      <c r="P378" s="394"/>
      <c r="Q378" s="268"/>
      <c r="R378" s="393"/>
      <c r="S378" s="392"/>
      <c r="T378" s="268"/>
      <c r="U378" s="319"/>
      <c r="V378" s="274"/>
      <c r="W378" s="220"/>
      <c r="X378" s="274"/>
      <c r="Y378" s="274">
        <v>1.66</v>
      </c>
      <c r="Z378" s="220" t="s">
        <v>2013</v>
      </c>
      <c r="AA378" s="51"/>
      <c r="AB378" s="51"/>
      <c r="AC378" s="51"/>
      <c r="AD378" s="220"/>
      <c r="AE378" s="389"/>
      <c r="AF378" s="257"/>
      <c r="AG378" s="269"/>
      <c r="AH378" s="219"/>
      <c r="AI378" s="40"/>
      <c r="AJ378" s="40"/>
      <c r="AK378" s="40"/>
      <c r="AL378" s="219"/>
      <c r="AM378" s="51"/>
      <c r="AN378" s="51"/>
      <c r="AO378" s="220"/>
      <c r="AP378" s="51"/>
      <c r="AQ378" s="51"/>
      <c r="AR378" s="51"/>
      <c r="AS378" s="219"/>
      <c r="AT378" s="51"/>
      <c r="AU378" s="51"/>
      <c r="AV378" s="220"/>
      <c r="AW378" s="51"/>
      <c r="AX378" s="51"/>
    </row>
    <row r="379" spans="1:50" customFormat="1">
      <c r="A379" s="391"/>
      <c r="B379" s="396"/>
      <c r="C379" s="395"/>
      <c r="D379" s="255"/>
      <c r="E379" s="255"/>
      <c r="F379" s="267"/>
      <c r="G379" s="268"/>
      <c r="H379" s="268"/>
      <c r="I379" s="267"/>
      <c r="J379" s="268"/>
      <c r="K379" s="268"/>
      <c r="L379" s="338"/>
      <c r="M379" s="268"/>
      <c r="N379" s="268"/>
      <c r="O379" s="393"/>
      <c r="P379" s="394"/>
      <c r="Q379" s="268"/>
      <c r="R379" s="393"/>
      <c r="S379" s="392"/>
      <c r="T379" s="268"/>
      <c r="U379" s="319"/>
      <c r="V379" s="274"/>
      <c r="W379" s="220"/>
      <c r="X379" s="274"/>
      <c r="Y379" s="274">
        <v>1.54</v>
      </c>
      <c r="Z379" s="220" t="s">
        <v>2012</v>
      </c>
      <c r="AA379" s="51"/>
      <c r="AB379" s="51"/>
      <c r="AC379" s="51"/>
      <c r="AD379" s="220"/>
      <c r="AE379" s="389"/>
      <c r="AF379" s="257"/>
      <c r="AG379" s="269"/>
      <c r="AH379" s="219"/>
      <c r="AI379" s="260"/>
      <c r="AJ379" s="263"/>
      <c r="AK379" s="51"/>
      <c r="AL379" s="219"/>
      <c r="AM379" s="51"/>
      <c r="AN379" s="51"/>
      <c r="AO379" s="220"/>
      <c r="AP379" s="51"/>
      <c r="AQ379" s="51"/>
      <c r="AR379" s="51"/>
      <c r="AS379" s="219"/>
      <c r="AT379" s="51"/>
      <c r="AU379" s="51"/>
      <c r="AV379" s="220"/>
      <c r="AW379" s="51"/>
      <c r="AX379" s="51"/>
    </row>
    <row r="380" spans="1:50" customFormat="1">
      <c r="A380" s="391"/>
      <c r="B380" s="396"/>
      <c r="C380" s="395"/>
      <c r="D380" s="255"/>
      <c r="E380" s="255"/>
      <c r="F380" s="267"/>
      <c r="G380" s="268"/>
      <c r="H380" s="268"/>
      <c r="I380" s="267"/>
      <c r="J380" s="268"/>
      <c r="K380" s="268"/>
      <c r="L380" s="338"/>
      <c r="M380" s="268"/>
      <c r="N380" s="268"/>
      <c r="O380" s="393"/>
      <c r="P380" s="394"/>
      <c r="Q380" s="268"/>
      <c r="R380" s="393"/>
      <c r="S380" s="392"/>
      <c r="T380" s="268"/>
      <c r="U380" s="319"/>
      <c r="V380" s="274"/>
      <c r="W380" s="220"/>
      <c r="X380" s="274"/>
      <c r="Y380" s="307">
        <v>1.6</v>
      </c>
      <c r="Z380" s="259" t="s">
        <v>1704</v>
      </c>
      <c r="AA380" s="51"/>
      <c r="AB380" s="51"/>
      <c r="AC380" s="51"/>
      <c r="AD380" s="220"/>
      <c r="AE380" s="389"/>
      <c r="AF380" s="257"/>
      <c r="AG380" s="269"/>
      <c r="AH380" s="219"/>
      <c r="AI380" s="260"/>
      <c r="AJ380" s="263"/>
      <c r="AK380" s="51"/>
      <c r="AL380" s="219"/>
      <c r="AM380" s="51"/>
      <c r="AN380" s="51"/>
      <c r="AO380" s="220"/>
      <c r="AP380" s="51"/>
      <c r="AQ380" s="51"/>
      <c r="AR380" s="51"/>
      <c r="AS380" s="219"/>
      <c r="AT380" s="51"/>
      <c r="AU380" s="51"/>
      <c r="AV380" s="220"/>
      <c r="AW380" s="51"/>
      <c r="AX380" s="51"/>
    </row>
    <row r="381" spans="1:50" customFormat="1">
      <c r="A381" s="391"/>
      <c r="B381" s="396"/>
      <c r="C381" s="395"/>
      <c r="D381" s="255"/>
      <c r="E381" s="255"/>
      <c r="F381" s="267"/>
      <c r="G381" s="268"/>
      <c r="H381" s="268"/>
      <c r="I381" s="267"/>
      <c r="J381" s="268"/>
      <c r="K381" s="268"/>
      <c r="L381" s="338"/>
      <c r="M381" s="268"/>
      <c r="N381" s="268"/>
      <c r="O381" s="393"/>
      <c r="P381" s="394"/>
      <c r="Q381" s="268"/>
      <c r="R381" s="393"/>
      <c r="S381" s="392"/>
      <c r="T381" s="268"/>
      <c r="U381" s="319"/>
      <c r="V381" s="274"/>
      <c r="W381" s="220"/>
      <c r="X381" s="274"/>
      <c r="Y381" s="274"/>
      <c r="Z381" s="220"/>
      <c r="AA381" s="51"/>
      <c r="AB381" s="51"/>
      <c r="AC381" s="51"/>
      <c r="AD381" s="220"/>
      <c r="AE381" s="389"/>
      <c r="AF381" s="257"/>
      <c r="AG381" s="269"/>
      <c r="AH381" s="219"/>
      <c r="AI381" s="260"/>
      <c r="AJ381" s="263"/>
      <c r="AK381" s="51"/>
      <c r="AL381" s="219"/>
      <c r="AM381" s="51"/>
      <c r="AN381" s="51"/>
      <c r="AO381" s="220"/>
      <c r="AP381" s="51"/>
      <c r="AQ381" s="51"/>
      <c r="AR381" s="51"/>
      <c r="AS381" s="219"/>
      <c r="AT381" s="51"/>
      <c r="AU381" s="51"/>
      <c r="AV381" s="220"/>
      <c r="AW381" s="51"/>
      <c r="AX381" s="51"/>
    </row>
    <row r="382" spans="1:50" customFormat="1">
      <c r="A382" s="391"/>
      <c r="B382" s="396"/>
      <c r="C382" s="395"/>
      <c r="D382" s="255"/>
      <c r="E382" s="255"/>
      <c r="F382" s="267"/>
      <c r="G382" s="268"/>
      <c r="H382" s="268"/>
      <c r="I382" s="267"/>
      <c r="J382" s="268"/>
      <c r="K382" s="268"/>
      <c r="L382" s="338"/>
      <c r="M382" s="268"/>
      <c r="N382" s="268"/>
      <c r="O382" s="393"/>
      <c r="P382" s="394"/>
      <c r="Q382" s="268"/>
      <c r="R382" s="393"/>
      <c r="S382" s="392"/>
      <c r="T382" s="268"/>
      <c r="U382" s="319"/>
      <c r="V382" s="274"/>
      <c r="W382" s="220"/>
      <c r="X382" s="274"/>
      <c r="Y382" s="274"/>
      <c r="Z382" s="220"/>
      <c r="AA382" s="51"/>
      <c r="AB382" s="51"/>
      <c r="AC382" s="51"/>
      <c r="AD382" s="220"/>
      <c r="AE382" s="389"/>
      <c r="AF382" s="257"/>
      <c r="AG382" s="269"/>
      <c r="AH382" s="219"/>
      <c r="AI382" s="260"/>
      <c r="AJ382" s="263"/>
      <c r="AK382" s="51"/>
      <c r="AL382" s="219"/>
      <c r="AM382" s="51"/>
      <c r="AN382" s="51"/>
      <c r="AO382" s="220"/>
      <c r="AP382" s="51"/>
      <c r="AQ382" s="51"/>
      <c r="AR382" s="51"/>
      <c r="AS382" s="219"/>
      <c r="AT382" s="51"/>
      <c r="AU382" s="51"/>
      <c r="AV382" s="220"/>
      <c r="AW382" s="51"/>
      <c r="AX382" s="51"/>
    </row>
    <row r="383" spans="1:50" customFormat="1">
      <c r="A383" s="391"/>
      <c r="B383" s="396"/>
      <c r="C383" s="395"/>
      <c r="D383" s="255"/>
      <c r="E383" s="255"/>
      <c r="F383" s="267"/>
      <c r="G383" s="268"/>
      <c r="H383" s="268"/>
      <c r="I383" s="267"/>
      <c r="J383" s="268"/>
      <c r="K383" s="268"/>
      <c r="L383" s="338"/>
      <c r="M383" s="268"/>
      <c r="N383" s="268"/>
      <c r="O383" s="393"/>
      <c r="P383" s="394"/>
      <c r="Q383" s="268"/>
      <c r="R383" s="393"/>
      <c r="S383" s="392"/>
      <c r="T383" s="268"/>
      <c r="U383" s="319"/>
      <c r="V383" s="274"/>
      <c r="W383" s="220"/>
      <c r="X383" s="274"/>
      <c r="Y383" s="274"/>
      <c r="Z383" s="220"/>
      <c r="AA383" s="51"/>
      <c r="AB383" s="51"/>
      <c r="AC383" s="51"/>
      <c r="AD383" s="220"/>
      <c r="AE383" s="389"/>
      <c r="AF383" s="257"/>
      <c r="AG383" s="269"/>
      <c r="AH383" s="219"/>
      <c r="AI383" s="260"/>
      <c r="AJ383" s="263"/>
      <c r="AK383" s="51"/>
      <c r="AL383" s="219"/>
      <c r="AM383" s="51"/>
      <c r="AN383" s="51"/>
      <c r="AO383" s="220"/>
      <c r="AP383" s="51"/>
      <c r="AQ383" s="51"/>
      <c r="AR383" s="51"/>
      <c r="AS383" s="219"/>
      <c r="AT383" s="51"/>
      <c r="AU383" s="51"/>
      <c r="AV383" s="220"/>
      <c r="AW383" s="51"/>
      <c r="AX383" s="51"/>
    </row>
    <row r="384" spans="1:50" customFormat="1">
      <c r="A384" s="391"/>
      <c r="B384" s="396"/>
      <c r="C384" s="395"/>
      <c r="D384" s="255"/>
      <c r="E384" s="255"/>
      <c r="F384" s="267"/>
      <c r="G384" s="268"/>
      <c r="H384" s="268"/>
      <c r="I384" s="267"/>
      <c r="J384" s="268"/>
      <c r="K384" s="268"/>
      <c r="L384" s="338"/>
      <c r="M384" s="268"/>
      <c r="N384" s="268"/>
      <c r="O384" s="393"/>
      <c r="P384" s="394"/>
      <c r="Q384" s="268"/>
      <c r="R384" s="393"/>
      <c r="S384" s="392"/>
      <c r="T384" s="268"/>
      <c r="U384" s="319"/>
      <c r="V384" s="274"/>
      <c r="W384" s="220"/>
      <c r="X384" s="274"/>
      <c r="Y384" s="274"/>
      <c r="Z384" s="220"/>
      <c r="AA384" s="51"/>
      <c r="AB384" s="51"/>
      <c r="AC384" s="51"/>
      <c r="AD384" s="220"/>
      <c r="AE384" s="389"/>
      <c r="AF384" s="257"/>
      <c r="AG384" s="269"/>
      <c r="AH384" s="219"/>
      <c r="AI384" s="39"/>
      <c r="AJ384" s="263"/>
      <c r="AK384" s="39"/>
      <c r="AL384" s="219"/>
      <c r="AM384" s="51"/>
      <c r="AN384" s="51"/>
      <c r="AO384" s="220"/>
      <c r="AP384" s="51"/>
      <c r="AQ384" s="51"/>
      <c r="AR384" s="51"/>
      <c r="AS384" s="219"/>
      <c r="AT384" s="51"/>
      <c r="AU384" s="51"/>
      <c r="AV384" s="220"/>
      <c r="AW384" s="51"/>
      <c r="AX384" s="51"/>
    </row>
    <row r="385" spans="1:50" customFormat="1">
      <c r="A385" s="391"/>
      <c r="B385" s="396"/>
      <c r="C385" s="395"/>
      <c r="D385" s="255"/>
      <c r="E385" s="255"/>
      <c r="F385" s="267"/>
      <c r="G385" s="268"/>
      <c r="H385" s="268"/>
      <c r="I385" s="267"/>
      <c r="J385" s="268"/>
      <c r="K385" s="268"/>
      <c r="L385" s="338"/>
      <c r="M385" s="268"/>
      <c r="N385" s="268"/>
      <c r="O385" s="393"/>
      <c r="P385" s="394"/>
      <c r="Q385" s="268"/>
      <c r="R385" s="393"/>
      <c r="S385" s="392"/>
      <c r="T385" s="268"/>
      <c r="U385" s="319"/>
      <c r="V385" s="274"/>
      <c r="W385" s="220"/>
      <c r="X385" s="274"/>
      <c r="Y385" s="274"/>
      <c r="Z385" s="220"/>
      <c r="AA385" s="51"/>
      <c r="AB385" s="51"/>
      <c r="AC385" s="51"/>
      <c r="AD385" s="220"/>
      <c r="AE385" s="389"/>
      <c r="AF385" s="257"/>
      <c r="AG385" s="269"/>
      <c r="AH385" s="219"/>
      <c r="AI385" s="39"/>
      <c r="AJ385" s="263"/>
      <c r="AK385" s="39"/>
      <c r="AL385" s="219"/>
      <c r="AM385" s="51"/>
      <c r="AN385" s="51"/>
      <c r="AO385" s="220"/>
      <c r="AP385" s="51"/>
      <c r="AQ385" s="51"/>
      <c r="AR385" s="51"/>
      <c r="AS385" s="219"/>
      <c r="AT385" s="51"/>
      <c r="AU385" s="51"/>
      <c r="AV385" s="220"/>
      <c r="AW385" s="51"/>
      <c r="AX385" s="51"/>
    </row>
    <row r="386" spans="1:50" customFormat="1" ht="18">
      <c r="A386" s="3" t="s">
        <v>2011</v>
      </c>
      <c r="B386" s="396" t="s">
        <v>2010</v>
      </c>
      <c r="C386" s="395">
        <f>AVERAGE(D386:D391)</f>
        <v>83.510311011427788</v>
      </c>
      <c r="D386" s="255">
        <v>82.42</v>
      </c>
      <c r="E386" s="270" t="s">
        <v>224</v>
      </c>
      <c r="F386" s="267"/>
      <c r="G386" s="268"/>
      <c r="H386" s="268"/>
      <c r="I386" s="267"/>
      <c r="J386" s="268"/>
      <c r="K386" s="268"/>
      <c r="L386" s="213">
        <f>M386</f>
        <v>59.087598</v>
      </c>
      <c r="M386" s="452">
        <f>'Table S4 Conversions and Notes'!J572</f>
        <v>59.087598</v>
      </c>
      <c r="N386" s="448" t="s">
        <v>2839</v>
      </c>
      <c r="O386" s="393"/>
      <c r="P386" s="394"/>
      <c r="Q386" s="268"/>
      <c r="R386" s="393"/>
      <c r="S386" s="392"/>
      <c r="T386" s="268"/>
      <c r="U386" s="130">
        <f>AVERAGE(V386:V387)</f>
        <v>7.48</v>
      </c>
      <c r="V386" s="274">
        <v>7.48</v>
      </c>
      <c r="W386" s="220" t="s">
        <v>2799</v>
      </c>
      <c r="X386" s="303" t="e">
        <f ca="1">AVERAGE(Y386:Y395)</f>
        <v>#N/A</v>
      </c>
      <c r="Y386" s="274" t="e">
        <f ca="1">'Table S4 Conversions and Notes'!$J$341</f>
        <v>#N/A</v>
      </c>
      <c r="Z386" s="220" t="s">
        <v>2598</v>
      </c>
      <c r="AA386" s="130">
        <f>AC386</f>
        <v>-4.7375489102695703</v>
      </c>
      <c r="AB386" s="263">
        <f>10^AC386*8.314*298.15</f>
        <v>4.5362389529999991E-2</v>
      </c>
      <c r="AC386" s="260">
        <f>LOG(0.0000183)</f>
        <v>-4.7375489102695703</v>
      </c>
      <c r="AD386" s="220" t="s">
        <v>1702</v>
      </c>
      <c r="AE386" s="303" t="e">
        <f ca="1">AVERAGE(AF386:AF396)</f>
        <v>#N/A</v>
      </c>
      <c r="AF386" s="257">
        <f>LOG(0.22,10)</f>
        <v>-0.65757731917779372</v>
      </c>
      <c r="AG386" s="269" t="s">
        <v>1929</v>
      </c>
      <c r="AH386" s="303" t="e">
        <f ca="1">AVERAGE(AI386:AI391)</f>
        <v>#N/A</v>
      </c>
      <c r="AI386" s="260" t="e">
        <f ca="1">LOG('Table S4 Conversions and Notes'!$J$345,10)</f>
        <v>#N/A</v>
      </c>
      <c r="AJ386" s="263" t="e">
        <f ca="1">10^AI386*$B$387</f>
        <v>#N/A</v>
      </c>
      <c r="AK386" s="51" t="s">
        <v>2472</v>
      </c>
      <c r="AL386" s="219"/>
      <c r="AM386" s="51"/>
      <c r="AN386" s="51"/>
      <c r="AO386" s="220"/>
      <c r="AP386" s="132">
        <f>AVERAGE(AQ386:AQ388)</f>
        <v>66.64</v>
      </c>
      <c r="AQ386" s="48">
        <v>66.64</v>
      </c>
      <c r="AR386" s="48" t="s">
        <v>2697</v>
      </c>
      <c r="AS386" s="201">
        <f>AVERAGE(AT386:AT391)</f>
        <v>-50.183333333333337</v>
      </c>
      <c r="AT386" s="51">
        <v>-40.5</v>
      </c>
      <c r="AU386" s="270">
        <f>AT386+273.15</f>
        <v>232.64999999999998</v>
      </c>
      <c r="AV386" s="220" t="s">
        <v>1941</v>
      </c>
      <c r="AW386" s="51"/>
      <c r="AX386" s="51"/>
    </row>
    <row r="387" spans="1:50" customFormat="1" ht="16.5">
      <c r="A387" s="391" t="s">
        <v>2009</v>
      </c>
      <c r="B387" s="396">
        <v>222.24</v>
      </c>
      <c r="C387" s="434">
        <f>_xlfn.STDEV.S(D386:D391)</f>
        <v>2.0167132760553788</v>
      </c>
      <c r="D387" s="255">
        <v>82.09</v>
      </c>
      <c r="E387" s="255" t="s">
        <v>2357</v>
      </c>
      <c r="F387" s="267"/>
      <c r="G387" s="268"/>
      <c r="H387" s="268"/>
      <c r="I387" s="267"/>
      <c r="J387" s="268"/>
      <c r="K387" s="268"/>
      <c r="L387" s="145">
        <f>RSD_dUoa*L386</f>
        <v>3.7436769844595208</v>
      </c>
      <c r="M387" s="268"/>
      <c r="N387" s="268"/>
      <c r="O387" s="393"/>
      <c r="P387" s="394"/>
      <c r="Q387" s="268"/>
      <c r="R387" s="393"/>
      <c r="S387" s="392"/>
      <c r="T387" s="268"/>
      <c r="U387" s="130">
        <f>RSD_Koa*U386</f>
        <v>0.19259367930223703</v>
      </c>
      <c r="V387" s="274"/>
      <c r="W387" s="220"/>
      <c r="X387" s="303" t="e">
        <f ca="1">_xlfn.STDEV.S(Y386:Y395)</f>
        <v>#N/A</v>
      </c>
      <c r="Y387" s="274">
        <v>2.2400000000000002</v>
      </c>
      <c r="Z387" s="220" t="s">
        <v>2365</v>
      </c>
      <c r="AA387" s="130">
        <f>ABS(RSD_Kaw*AA386)</f>
        <v>0.94750978205391412</v>
      </c>
      <c r="AB387" s="264">
        <v>2E-3</v>
      </c>
      <c r="AC387" s="261">
        <f>LOG(AB387/8.314/298.15)</f>
        <v>-6.0932148381879729</v>
      </c>
      <c r="AD387" s="155" t="s">
        <v>2336</v>
      </c>
      <c r="AE387" s="303" t="e">
        <f ca="1">_xlfn.STDEV.S(AF386:AF396)</f>
        <v>#N/A</v>
      </c>
      <c r="AF387" s="257">
        <f>LOG(0.086)</f>
        <v>-1.0655015487564323</v>
      </c>
      <c r="AG387" s="269" t="s">
        <v>211</v>
      </c>
      <c r="AH387" s="303" t="e">
        <f ca="1">_xlfn.STDEV.S(AI386:AI391)</f>
        <v>#N/A</v>
      </c>
      <c r="AI387" s="260">
        <f>LOG(AJ387/$B$387)</f>
        <v>0.60548578126858477</v>
      </c>
      <c r="AJ387" s="263">
        <v>896</v>
      </c>
      <c r="AK387" s="51" t="s">
        <v>2462</v>
      </c>
      <c r="AL387" s="219"/>
      <c r="AM387" s="51"/>
      <c r="AN387" s="51"/>
      <c r="AO387" s="220"/>
      <c r="AP387" s="131">
        <f>AP386*RSD_dSf</f>
        <v>5.2525398777400616</v>
      </c>
      <c r="AQ387" s="51"/>
      <c r="AR387" s="51"/>
      <c r="AS387" s="182">
        <f>_xlfn.STDEV.S(AT386:AT391)</f>
        <v>10.907871775312827</v>
      </c>
      <c r="AT387" s="51">
        <v>-40.6</v>
      </c>
      <c r="AU387" s="270">
        <f>AT387+273.15</f>
        <v>232.54999999999998</v>
      </c>
      <c r="AV387" s="220" t="s">
        <v>2007</v>
      </c>
      <c r="AW387" s="51"/>
      <c r="AX387" s="51"/>
    </row>
    <row r="388" spans="1:50" customFormat="1" ht="18">
      <c r="A388" s="391"/>
      <c r="B388" s="396"/>
      <c r="C388" s="395">
        <f>COUNT(D386:D391)</f>
        <v>6</v>
      </c>
      <c r="D388" s="255">
        <f>20.4*4.184</f>
        <v>85.3536</v>
      </c>
      <c r="E388" s="13" t="s">
        <v>2341</v>
      </c>
      <c r="F388" s="267"/>
      <c r="G388" s="268"/>
      <c r="H388" s="268"/>
      <c r="I388" s="267"/>
      <c r="J388" s="268"/>
      <c r="K388" s="268"/>
      <c r="L388" s="324">
        <f>COUNTA(M386:M388)</f>
        <v>1</v>
      </c>
      <c r="M388" s="268"/>
      <c r="N388" s="268"/>
      <c r="O388" s="393"/>
      <c r="P388" s="394"/>
      <c r="Q388" s="268"/>
      <c r="R388" s="393"/>
      <c r="S388" s="392"/>
      <c r="T388" s="268"/>
      <c r="U388" s="324">
        <f>COUNTA(V386:V388)</f>
        <v>1</v>
      </c>
      <c r="V388" s="274"/>
      <c r="W388" s="220"/>
      <c r="X388" s="324">
        <f ca="1">COUNTA(Y386:Y395)</f>
        <v>10</v>
      </c>
      <c r="Y388" s="274">
        <v>2.29</v>
      </c>
      <c r="Z388" s="220" t="s">
        <v>2366</v>
      </c>
      <c r="AA388" s="324">
        <f>COUNTA(AB386)</f>
        <v>1</v>
      </c>
      <c r="AB388" s="40"/>
      <c r="AC388" s="40"/>
      <c r="AD388" s="40"/>
      <c r="AE388" s="324">
        <f ca="1">COUNTA(AF386:AF396)</f>
        <v>11</v>
      </c>
      <c r="AF388" s="257" t="e">
        <f ca="1">LOG('Table S4 Conversions and Notes'!$J$364)</f>
        <v>#N/A</v>
      </c>
      <c r="AG388" s="269" t="s">
        <v>2346</v>
      </c>
      <c r="AH388" s="324">
        <f ca="1">COUNTA(AI386:AI391)</f>
        <v>6</v>
      </c>
      <c r="AI388" s="260">
        <f>LOG(AJ388/$B$387)</f>
        <v>0.68660152709340927</v>
      </c>
      <c r="AJ388" s="263">
        <v>1080</v>
      </c>
      <c r="AK388" s="51" t="s">
        <v>2365</v>
      </c>
      <c r="AL388" s="219"/>
      <c r="AM388" s="51"/>
      <c r="AN388" s="51"/>
      <c r="AO388" s="220"/>
      <c r="AP388" s="324">
        <f>COUNTA(AQ386:AQ388)</f>
        <v>1</v>
      </c>
      <c r="AQ388" s="51"/>
      <c r="AR388" s="51"/>
      <c r="AS388" s="324">
        <f>COUNTA(AT386:AT391)</f>
        <v>6</v>
      </c>
      <c r="AT388" s="51">
        <v>-64</v>
      </c>
      <c r="AU388" s="270">
        <f>AT388+273.15</f>
        <v>209.14999999999998</v>
      </c>
      <c r="AV388" s="220" t="s">
        <v>2004</v>
      </c>
      <c r="AW388" s="51"/>
      <c r="AX388" s="51"/>
    </row>
    <row r="389" spans="1:50" customFormat="1" ht="18">
      <c r="A389" s="391"/>
      <c r="B389" s="396"/>
      <c r="C389" s="395"/>
      <c r="D389" s="448">
        <f>'Table S4 Conversions and Notes'!$J$537</f>
        <v>86.738266068566645</v>
      </c>
      <c r="E389" s="448" t="s">
        <v>2696</v>
      </c>
      <c r="F389" s="267"/>
      <c r="G389" s="268"/>
      <c r="H389" s="268"/>
      <c r="I389" s="267"/>
      <c r="J389" s="268"/>
      <c r="K389" s="268"/>
      <c r="L389" s="338"/>
      <c r="M389" s="268"/>
      <c r="N389" s="268"/>
      <c r="O389" s="393"/>
      <c r="P389" s="394"/>
      <c r="Q389" s="268"/>
      <c r="R389" s="393"/>
      <c r="S389" s="392"/>
      <c r="T389" s="268"/>
      <c r="U389" s="319"/>
      <c r="V389" s="274"/>
      <c r="W389" s="220"/>
      <c r="X389" s="274"/>
      <c r="Y389" s="274">
        <v>2.67</v>
      </c>
      <c r="Z389" s="220" t="s">
        <v>1966</v>
      </c>
      <c r="AA389" s="51"/>
      <c r="AB389" s="51"/>
      <c r="AC389" s="51"/>
      <c r="AD389" s="220"/>
      <c r="AE389" s="389"/>
      <c r="AF389" s="257" t="e">
        <f ca="1">LOG('Table S4 Conversions and Notes'!$J$404)</f>
        <v>#N/A</v>
      </c>
      <c r="AG389" s="269" t="s">
        <v>2005</v>
      </c>
      <c r="AH389" s="219"/>
      <c r="AI389" s="260" t="e">
        <f ca="1">LOG('Table S4 Conversions and Notes'!$J$360, 10)</f>
        <v>#N/A</v>
      </c>
      <c r="AJ389" s="263" t="e">
        <f ca="1">10^AI389*$B$387</f>
        <v>#N/A</v>
      </c>
      <c r="AK389" s="51" t="s">
        <v>2484</v>
      </c>
      <c r="AL389" s="219"/>
      <c r="AM389" s="51"/>
      <c r="AN389" s="51"/>
      <c r="AO389" s="220"/>
      <c r="AP389" s="51"/>
      <c r="AQ389" s="51"/>
      <c r="AR389" s="51"/>
      <c r="AS389" s="219"/>
      <c r="AT389" s="51">
        <v>-60</v>
      </c>
      <c r="AU389" s="51">
        <f>AT389+273.15</f>
        <v>213.14999999999998</v>
      </c>
      <c r="AV389" s="220" t="s">
        <v>2002</v>
      </c>
      <c r="AW389" s="51"/>
      <c r="AX389" s="51"/>
    </row>
    <row r="390" spans="1:50" customFormat="1" ht="17.25">
      <c r="A390" s="391"/>
      <c r="B390" s="396"/>
      <c r="C390" s="395"/>
      <c r="D390" s="255">
        <v>82.1</v>
      </c>
      <c r="E390" s="13" t="s">
        <v>2588</v>
      </c>
      <c r="F390" s="267"/>
      <c r="G390" s="268"/>
      <c r="H390" s="268"/>
      <c r="I390" s="267"/>
      <c r="J390" s="268"/>
      <c r="K390" s="268"/>
      <c r="L390" s="338"/>
      <c r="M390" s="268"/>
      <c r="N390" s="268"/>
      <c r="O390" s="393"/>
      <c r="P390" s="394"/>
      <c r="Q390" s="268"/>
      <c r="R390" s="393"/>
      <c r="S390" s="392"/>
      <c r="T390" s="268"/>
      <c r="U390" s="319"/>
      <c r="V390" s="274"/>
      <c r="W390" s="220"/>
      <c r="X390" s="274"/>
      <c r="Y390" s="274">
        <v>2.21</v>
      </c>
      <c r="Z390" s="220" t="s">
        <v>818</v>
      </c>
      <c r="AA390" s="51"/>
      <c r="AB390" s="51"/>
      <c r="AC390" s="51"/>
      <c r="AD390" s="220"/>
      <c r="AE390" s="389"/>
      <c r="AF390" s="257">
        <f>LOG(0.22)</f>
        <v>-0.65757731917779372</v>
      </c>
      <c r="AG390" s="269" t="s">
        <v>1999</v>
      </c>
      <c r="AH390" s="219"/>
      <c r="AI390" s="260">
        <f>LOG(AJ390/B387)</f>
        <v>0.62538060998552403</v>
      </c>
      <c r="AJ390" s="263">
        <v>938</v>
      </c>
      <c r="AK390" s="51" t="s">
        <v>2477</v>
      </c>
      <c r="AL390" s="219"/>
      <c r="AM390" s="51"/>
      <c r="AN390" s="51"/>
      <c r="AO390" s="220"/>
      <c r="AP390" s="51"/>
      <c r="AQ390" s="51"/>
      <c r="AR390" s="51"/>
      <c r="AS390" s="219"/>
      <c r="AT390" s="51">
        <v>-40.5</v>
      </c>
      <c r="AU390" s="270">
        <f>AT390+273.15</f>
        <v>232.64999999999998</v>
      </c>
      <c r="AV390" s="220" t="s">
        <v>1949</v>
      </c>
      <c r="AW390" s="51"/>
      <c r="AX390" s="51"/>
    </row>
    <row r="391" spans="1:50" customFormat="1" ht="18">
      <c r="A391" s="391"/>
      <c r="B391" s="396"/>
      <c r="C391" s="395"/>
      <c r="D391" s="448">
        <v>82.36</v>
      </c>
      <c r="E391" s="448" t="s">
        <v>2820</v>
      </c>
      <c r="F391" s="267"/>
      <c r="G391" s="268"/>
      <c r="H391" s="268"/>
      <c r="I391" s="267"/>
      <c r="J391" s="268"/>
      <c r="K391" s="268"/>
      <c r="L391" s="338"/>
      <c r="M391" s="268"/>
      <c r="N391" s="268"/>
      <c r="O391" s="393"/>
      <c r="P391" s="394"/>
      <c r="Q391" s="268"/>
      <c r="R391" s="393"/>
      <c r="S391" s="392"/>
      <c r="T391" s="268"/>
      <c r="U391" s="319"/>
      <c r="V391" s="274"/>
      <c r="W391" s="220"/>
      <c r="X391" s="274"/>
      <c r="Y391" s="274">
        <v>3</v>
      </c>
      <c r="Z391" s="220" t="s">
        <v>1948</v>
      </c>
      <c r="AA391" s="51"/>
      <c r="AB391" s="51"/>
      <c r="AC391" s="51"/>
      <c r="AD391" s="220"/>
      <c r="AE391" s="389"/>
      <c r="AF391" s="257">
        <f>LOG(10^(12.51-4614/298.15)*133.322)</f>
        <v>-0.84053000960760571</v>
      </c>
      <c r="AG391" s="7" t="s">
        <v>2404</v>
      </c>
      <c r="AH391" s="219"/>
      <c r="AI391" s="260" t="e">
        <f ca="1">LOG(AJ391/B387)</f>
        <v>#N/A</v>
      </c>
      <c r="AJ391" s="263" t="e">
        <f ca="1">'Table S4 Conversions and Notes'!$J$412</f>
        <v>#N/A</v>
      </c>
      <c r="AK391" s="51" t="s">
        <v>2421</v>
      </c>
      <c r="AL391" s="219"/>
      <c r="AM391" s="51"/>
      <c r="AN391" s="51"/>
      <c r="AO391" s="220"/>
      <c r="AP391" s="51"/>
      <c r="AQ391" s="51"/>
      <c r="AR391" s="51"/>
      <c r="AS391" s="219"/>
      <c r="AT391" s="399">
        <f>AVERAGE(-67,-44)</f>
        <v>-55.5</v>
      </c>
      <c r="AU391" s="51" t="s">
        <v>2000</v>
      </c>
      <c r="AV391" s="220" t="s">
        <v>1924</v>
      </c>
      <c r="AW391" s="51"/>
      <c r="AX391" s="51"/>
    </row>
    <row r="392" spans="1:50" customFormat="1" ht="18">
      <c r="A392" s="391"/>
      <c r="B392" s="396"/>
      <c r="C392" s="395"/>
      <c r="D392" s="290">
        <f>'Table S4 Conversions and Notes'!$J$477</f>
        <v>69</v>
      </c>
      <c r="E392" s="435" t="s">
        <v>2811</v>
      </c>
      <c r="F392" s="267"/>
      <c r="G392" s="268"/>
      <c r="H392" s="268"/>
      <c r="I392" s="267"/>
      <c r="J392" s="268"/>
      <c r="K392" s="268"/>
      <c r="L392" s="338"/>
      <c r="M392" s="268"/>
      <c r="N392" s="268"/>
      <c r="O392" s="393"/>
      <c r="P392" s="394"/>
      <c r="Q392" s="268"/>
      <c r="R392" s="393"/>
      <c r="S392" s="392"/>
      <c r="T392" s="268"/>
      <c r="U392" s="319"/>
      <c r="V392" s="274"/>
      <c r="W392" s="220"/>
      <c r="X392" s="274"/>
      <c r="Y392" s="274">
        <v>2.42</v>
      </c>
      <c r="Z392" s="220" t="s">
        <v>1940</v>
      </c>
      <c r="AA392" s="51"/>
      <c r="AB392" s="51"/>
      <c r="AC392" s="51"/>
      <c r="AD392" s="220"/>
      <c r="AE392" s="389"/>
      <c r="AF392" s="257">
        <f>LOG(10^(9.14-3509/298.15)*133.322)</f>
        <v>-0.50434184928561876</v>
      </c>
      <c r="AG392" s="269" t="s">
        <v>2354</v>
      </c>
      <c r="AH392" s="219"/>
      <c r="AI392" s="261">
        <f>LOG('Table S4 Conversions and Notes'!$J$362,10)</f>
        <v>1.4999999999999998</v>
      </c>
      <c r="AJ392" s="264">
        <f>10^AI392*$B$387</f>
        <v>7027.8458719582059</v>
      </c>
      <c r="AK392" s="262" t="s">
        <v>2482</v>
      </c>
      <c r="AL392" s="219"/>
      <c r="AM392" s="51"/>
      <c r="AN392" s="51"/>
      <c r="AO392" s="220"/>
      <c r="AP392" s="51"/>
      <c r="AQ392" s="51"/>
      <c r="AR392" s="51"/>
      <c r="AS392" s="219"/>
      <c r="AT392" s="262">
        <v>-40.5</v>
      </c>
      <c r="AU392" s="288">
        <f>AT392+273.15</f>
        <v>232.64999999999998</v>
      </c>
      <c r="AV392" s="259" t="s">
        <v>1943</v>
      </c>
      <c r="AW392" s="51"/>
      <c r="AX392" s="51"/>
    </row>
    <row r="393" spans="1:50" customFormat="1" ht="18">
      <c r="A393" s="391"/>
      <c r="B393" s="396"/>
      <c r="C393" s="395"/>
      <c r="D393" s="435">
        <f>'Table S4 Conversions and Notes'!$J$569</f>
        <v>68.2</v>
      </c>
      <c r="E393" s="435" t="s">
        <v>2815</v>
      </c>
      <c r="F393" s="267"/>
      <c r="G393" s="268"/>
      <c r="H393" s="268"/>
      <c r="I393" s="267"/>
      <c r="J393" s="268"/>
      <c r="K393" s="268"/>
      <c r="L393" s="338"/>
      <c r="M393" s="268"/>
      <c r="N393" s="268"/>
      <c r="O393" s="393"/>
      <c r="P393" s="394"/>
      <c r="Q393" s="268"/>
      <c r="R393" s="393"/>
      <c r="S393" s="392"/>
      <c r="T393" s="268"/>
      <c r="U393" s="319"/>
      <c r="V393" s="274"/>
      <c r="W393" s="220"/>
      <c r="X393" s="274"/>
      <c r="Y393" s="307">
        <v>2.42</v>
      </c>
      <c r="Z393" s="259" t="s">
        <v>1998</v>
      </c>
      <c r="AA393" s="51"/>
      <c r="AB393" s="51"/>
      <c r="AC393" s="51"/>
      <c r="AD393" s="220"/>
      <c r="AE393" s="389"/>
      <c r="AF393" s="257">
        <f>LOG(0.28,10)</f>
        <v>-0.55284196865778068</v>
      </c>
      <c r="AG393" s="269" t="s">
        <v>66</v>
      </c>
      <c r="AH393" s="219"/>
      <c r="AI393" s="261" t="e">
        <f ca="1">LOG('Table S4 Conversions and Notes'!$J$359,10)</f>
        <v>#N/A</v>
      </c>
      <c r="AJ393" s="264" t="e">
        <f ca="1">10^AI393*$B$387</f>
        <v>#N/A</v>
      </c>
      <c r="AK393" s="262" t="s">
        <v>2420</v>
      </c>
      <c r="AL393" s="219"/>
      <c r="AM393" s="51"/>
      <c r="AN393" s="51"/>
      <c r="AO393" s="220"/>
      <c r="AP393" s="51"/>
      <c r="AQ393" s="51"/>
      <c r="AR393" s="51"/>
      <c r="AS393" s="219"/>
      <c r="AT393" s="262">
        <v>-40.5</v>
      </c>
      <c r="AU393" s="288">
        <f>AT393+273.15</f>
        <v>232.64999999999998</v>
      </c>
      <c r="AV393" s="259" t="s">
        <v>2008</v>
      </c>
      <c r="AW393" s="51"/>
      <c r="AX393" s="51"/>
    </row>
    <row r="394" spans="1:50" customFormat="1" ht="18">
      <c r="A394" s="391"/>
      <c r="B394" s="396"/>
      <c r="C394" s="395"/>
      <c r="D394" s="290">
        <f>'Table S4 Conversions and Notes'!$J$410</f>
        <v>18.392287062655026</v>
      </c>
      <c r="E394" s="290" t="s">
        <v>2358</v>
      </c>
      <c r="F394" s="267"/>
      <c r="G394" s="268"/>
      <c r="H394" s="268"/>
      <c r="I394" s="267"/>
      <c r="J394" s="268"/>
      <c r="K394" s="268"/>
      <c r="L394" s="338"/>
      <c r="M394" s="268"/>
      <c r="N394" s="268"/>
      <c r="O394" s="393"/>
      <c r="P394" s="394"/>
      <c r="Q394" s="268"/>
      <c r="R394" s="393"/>
      <c r="S394" s="392"/>
      <c r="T394" s="268"/>
      <c r="U394" s="319"/>
      <c r="V394" s="274"/>
      <c r="W394" s="220"/>
      <c r="X394" s="274"/>
      <c r="Y394" s="307">
        <v>1.4</v>
      </c>
      <c r="Z394" s="259" t="s">
        <v>2383</v>
      </c>
      <c r="AA394" s="51"/>
      <c r="AB394" s="51"/>
      <c r="AC394" s="51"/>
      <c r="AD394" s="220"/>
      <c r="AE394" s="389"/>
      <c r="AF394" s="257">
        <f>LOG(0.098826)</f>
        <v>-1.0051287824260782</v>
      </c>
      <c r="AG394" s="269" t="s">
        <v>2001</v>
      </c>
      <c r="AH394" s="219"/>
      <c r="AI394" s="261">
        <f>LOG(AJ394/$B$387)</f>
        <v>0.42987895559487049</v>
      </c>
      <c r="AJ394" s="264">
        <f>'Table S4 Conversions and Notes'!$J$356</f>
        <v>598</v>
      </c>
      <c r="AK394" s="262" t="s">
        <v>2475</v>
      </c>
      <c r="AL394" s="219"/>
      <c r="AM394" s="51"/>
      <c r="AN394" s="51"/>
      <c r="AO394" s="220"/>
      <c r="AP394" s="51"/>
      <c r="AQ394" s="51"/>
      <c r="AR394" s="51"/>
      <c r="AS394" s="219"/>
      <c r="AT394" s="262">
        <v>-3</v>
      </c>
      <c r="AU394" s="288">
        <f>AT394+273.15</f>
        <v>270.14999999999998</v>
      </c>
      <c r="AV394" s="259" t="s">
        <v>2006</v>
      </c>
      <c r="AW394" s="51"/>
      <c r="AX394" s="51"/>
    </row>
    <row r="395" spans="1:50" customFormat="1" ht="18">
      <c r="A395" s="391"/>
      <c r="B395" s="396"/>
      <c r="C395" s="395"/>
      <c r="D395" s="290">
        <f>16*4.184</f>
        <v>66.944000000000003</v>
      </c>
      <c r="E395" s="290" t="s">
        <v>2807</v>
      </c>
      <c r="F395" s="267"/>
      <c r="G395" s="268"/>
      <c r="H395" s="268"/>
      <c r="I395" s="267"/>
      <c r="J395" s="268"/>
      <c r="K395" s="268"/>
      <c r="L395" s="338"/>
      <c r="M395" s="268"/>
      <c r="N395" s="268"/>
      <c r="O395" s="393"/>
      <c r="P395" s="394"/>
      <c r="Q395" s="268"/>
      <c r="R395" s="393"/>
      <c r="S395" s="392"/>
      <c r="T395" s="268"/>
      <c r="U395" s="319"/>
      <c r="V395" s="274"/>
      <c r="W395" s="220"/>
      <c r="X395" s="274"/>
      <c r="Y395" s="307" t="e">
        <f ca="1">'Table S4 Conversions and Notes'!$J$411</f>
        <v>#N/A</v>
      </c>
      <c r="Z395" s="259" t="s">
        <v>2433</v>
      </c>
      <c r="AA395" s="51"/>
      <c r="AB395" s="51"/>
      <c r="AC395" s="51"/>
      <c r="AD395" s="220"/>
      <c r="AE395" s="389"/>
      <c r="AF395" s="257">
        <f>'Table S4 Conversions and Notes'!$J$527</f>
        <v>-1.0383416513622847</v>
      </c>
      <c r="AG395" s="269" t="s">
        <v>2595</v>
      </c>
      <c r="AH395" s="219"/>
      <c r="AI395" s="261" t="e">
        <f ca="1">LOG('Table S4 Conversions and Notes'!$J$358,10)</f>
        <v>#N/A</v>
      </c>
      <c r="AJ395" s="264" t="e">
        <f ca="1">10^AI395*$B$387</f>
        <v>#N/A</v>
      </c>
      <c r="AK395" s="259" t="s">
        <v>2476</v>
      </c>
      <c r="AL395" s="219"/>
      <c r="AM395" s="51"/>
      <c r="AN395" s="51"/>
      <c r="AO395" s="220"/>
      <c r="AP395" s="51"/>
      <c r="AQ395" s="51"/>
      <c r="AR395" s="51"/>
      <c r="AS395" s="219"/>
      <c r="AT395" s="40"/>
      <c r="AU395" s="40"/>
      <c r="AV395" s="42"/>
      <c r="AW395" s="51"/>
      <c r="AX395" s="51"/>
    </row>
    <row r="396" spans="1:50" customFormat="1" ht="18">
      <c r="A396" s="391"/>
      <c r="B396" s="396"/>
      <c r="C396" s="395"/>
      <c r="D396" s="435">
        <f>'Table S4 Conversions and Notes'!$J$568</f>
        <v>65.900000000000006</v>
      </c>
      <c r="E396" s="435" t="s">
        <v>2814</v>
      </c>
      <c r="F396" s="267"/>
      <c r="G396" s="268"/>
      <c r="H396" s="268"/>
      <c r="I396" s="267"/>
      <c r="J396" s="268"/>
      <c r="K396" s="268"/>
      <c r="L396" s="338"/>
      <c r="M396" s="268"/>
      <c r="N396" s="268"/>
      <c r="O396" s="393"/>
      <c r="P396" s="394"/>
      <c r="Q396" s="268"/>
      <c r="R396" s="393"/>
      <c r="S396" s="392"/>
      <c r="T396" s="268"/>
      <c r="U396" s="319"/>
      <c r="V396" s="274"/>
      <c r="W396" s="220"/>
      <c r="X396" s="274"/>
      <c r="Y396" s="40"/>
      <c r="Z396" s="42"/>
      <c r="AA396" s="51"/>
      <c r="AB396" s="51"/>
      <c r="AC396" s="51"/>
      <c r="AD396" s="220"/>
      <c r="AE396" s="389"/>
      <c r="AF396" s="257">
        <f>LOG(EXP(-2.411))</f>
        <v>-1.0470839958687401</v>
      </c>
      <c r="AG396" s="7" t="s">
        <v>2799</v>
      </c>
      <c r="AH396" s="219"/>
      <c r="AI396" s="261">
        <f>LOG(AJ396/$B$387,10)</f>
        <v>0.4856866843126959</v>
      </c>
      <c r="AJ396" s="264">
        <v>680</v>
      </c>
      <c r="AK396" s="262" t="s">
        <v>2481</v>
      </c>
      <c r="AL396" s="219"/>
      <c r="AM396" s="51"/>
      <c r="AN396" s="51"/>
      <c r="AO396" s="220"/>
      <c r="AP396" s="51"/>
      <c r="AQ396" s="51"/>
      <c r="AR396" s="51"/>
      <c r="AS396" s="219"/>
      <c r="AT396" s="40"/>
      <c r="AU396" s="40"/>
      <c r="AV396" s="42"/>
      <c r="AW396" s="51"/>
      <c r="AX396" s="51"/>
    </row>
    <row r="397" spans="1:50" customFormat="1">
      <c r="A397" s="391"/>
      <c r="B397" s="396"/>
      <c r="C397" s="395"/>
      <c r="D397" s="435">
        <f>'Table S4 Conversions and Notes'!$J$538</f>
        <v>67.440131396985876</v>
      </c>
      <c r="E397" s="435" t="s">
        <v>2812</v>
      </c>
      <c r="F397" s="267"/>
      <c r="G397" s="268"/>
      <c r="H397" s="268"/>
      <c r="I397" s="267"/>
      <c r="J397" s="268"/>
      <c r="K397" s="268"/>
      <c r="L397" s="338"/>
      <c r="M397" s="268"/>
      <c r="N397" s="268"/>
      <c r="O397" s="393"/>
      <c r="P397" s="394"/>
      <c r="Q397" s="268"/>
      <c r="R397" s="393"/>
      <c r="S397" s="392"/>
      <c r="T397" s="268"/>
      <c r="U397" s="319"/>
      <c r="V397" s="274"/>
      <c r="W397" s="220"/>
      <c r="X397" s="274"/>
      <c r="Y397" s="274"/>
      <c r="Z397" s="220"/>
      <c r="AA397" s="51"/>
      <c r="AB397" s="51"/>
      <c r="AC397" s="51"/>
      <c r="AD397" s="220"/>
      <c r="AE397" s="389"/>
      <c r="AF397" s="258">
        <f>LOG(0.0021*133.322)</f>
        <v>-0.55287888525772022</v>
      </c>
      <c r="AG397" s="285" t="s">
        <v>1998</v>
      </c>
      <c r="AH397" s="219"/>
      <c r="AI397" s="261">
        <f>LOG(0.00483*1000)</f>
        <v>0.68394713075151214</v>
      </c>
      <c r="AJ397" s="264">
        <f>10^AI397*$B$387</f>
        <v>1073.4192000000003</v>
      </c>
      <c r="AK397" s="262" t="s">
        <v>1998</v>
      </c>
      <c r="AL397" s="219"/>
      <c r="AM397" s="51"/>
      <c r="AN397" s="51"/>
      <c r="AO397" s="220"/>
      <c r="AP397" s="51"/>
      <c r="AQ397" s="51"/>
      <c r="AR397" s="51"/>
      <c r="AS397" s="219"/>
      <c r="AT397" s="40"/>
      <c r="AU397" s="40"/>
      <c r="AV397" s="42"/>
      <c r="AW397" s="51"/>
      <c r="AX397" s="51"/>
    </row>
    <row r="398" spans="1:50" customFormat="1" ht="18">
      <c r="A398" s="391"/>
      <c r="B398" s="396"/>
      <c r="C398" s="395"/>
      <c r="D398" s="1"/>
      <c r="E398" s="1"/>
      <c r="F398" s="267"/>
      <c r="G398" s="268"/>
      <c r="H398" s="268"/>
      <c r="I398" s="267"/>
      <c r="J398" s="268"/>
      <c r="K398" s="268"/>
      <c r="L398" s="338"/>
      <c r="M398" s="268"/>
      <c r="N398" s="268"/>
      <c r="O398" s="393"/>
      <c r="P398" s="394"/>
      <c r="Q398" s="268"/>
      <c r="R398" s="393"/>
      <c r="S398" s="392"/>
      <c r="T398" s="268"/>
      <c r="U398" s="319"/>
      <c r="V398" s="274"/>
      <c r="W398" s="220"/>
      <c r="X398" s="274"/>
      <c r="Y398" s="274"/>
      <c r="Z398" s="220"/>
      <c r="AA398" s="51"/>
      <c r="AB398" s="51"/>
      <c r="AC398" s="51"/>
      <c r="AD398" s="220"/>
      <c r="AE398" s="389"/>
      <c r="AF398" s="258" t="e">
        <f ca="1">LOG('Table S4 Conversions and Notes'!$J$406)</f>
        <v>#N/A</v>
      </c>
      <c r="AG398" s="285" t="s">
        <v>2431</v>
      </c>
      <c r="AH398" s="219"/>
      <c r="AI398" s="40"/>
      <c r="AJ398" s="40"/>
      <c r="AK398" s="40"/>
      <c r="AL398" s="219"/>
      <c r="AM398" s="51"/>
      <c r="AN398" s="51"/>
      <c r="AO398" s="220"/>
      <c r="AP398" s="51"/>
      <c r="AQ398" s="51"/>
      <c r="AR398" s="51"/>
      <c r="AS398" s="219"/>
      <c r="AT398" s="51"/>
      <c r="AU398" s="51"/>
      <c r="AV398" s="220"/>
      <c r="AW398" s="51"/>
      <c r="AX398" s="51"/>
    </row>
    <row r="399" spans="1:50" customFormat="1" ht="18">
      <c r="A399" s="391"/>
      <c r="B399" s="396"/>
      <c r="C399" s="395"/>
      <c r="D399" s="1"/>
      <c r="E399" s="1"/>
      <c r="F399" s="267"/>
      <c r="G399" s="268"/>
      <c r="H399" s="268"/>
      <c r="I399" s="267"/>
      <c r="J399" s="268"/>
      <c r="K399" s="268"/>
      <c r="L399" s="338"/>
      <c r="M399" s="268"/>
      <c r="N399" s="268"/>
      <c r="O399" s="393"/>
      <c r="P399" s="394"/>
      <c r="Q399" s="268"/>
      <c r="R399" s="393"/>
      <c r="S399" s="392"/>
      <c r="T399" s="268"/>
      <c r="U399" s="319"/>
      <c r="V399" s="274"/>
      <c r="W399" s="220"/>
      <c r="X399" s="274"/>
      <c r="Y399" s="274"/>
      <c r="Z399" s="220"/>
      <c r="AA399" s="51"/>
      <c r="AB399" s="51"/>
      <c r="AC399" s="51"/>
      <c r="AD399" s="220"/>
      <c r="AE399" s="389"/>
      <c r="AF399" s="286" t="e">
        <f ca="1">LOG('Table S4 Conversions and Notes'!$J$540)</f>
        <v>#N/A</v>
      </c>
      <c r="AG399" s="286" t="s">
        <v>2786</v>
      </c>
      <c r="AH399" s="219"/>
      <c r="AI399" s="40"/>
      <c r="AJ399" s="40"/>
      <c r="AK399" s="40"/>
      <c r="AL399" s="219"/>
      <c r="AM399" s="51"/>
      <c r="AN399" s="51"/>
      <c r="AO399" s="220"/>
      <c r="AP399" s="51"/>
      <c r="AQ399" s="51"/>
      <c r="AR399" s="51"/>
      <c r="AS399" s="219"/>
      <c r="AT399" s="51"/>
      <c r="AU399" s="51"/>
      <c r="AV399" s="220"/>
      <c r="AW399" s="51"/>
      <c r="AX399" s="51"/>
    </row>
    <row r="400" spans="1:50" customFormat="1">
      <c r="A400" s="391"/>
      <c r="B400" s="396"/>
      <c r="C400" s="395"/>
      <c r="D400" s="255"/>
      <c r="E400" s="255"/>
      <c r="F400" s="267"/>
      <c r="G400" s="268"/>
      <c r="H400" s="268"/>
      <c r="I400" s="267"/>
      <c r="J400" s="268"/>
      <c r="K400" s="268"/>
      <c r="L400" s="338"/>
      <c r="M400" s="268"/>
      <c r="N400" s="268"/>
      <c r="O400" s="393"/>
      <c r="P400" s="394"/>
      <c r="Q400" s="268"/>
      <c r="R400" s="393"/>
      <c r="S400" s="392"/>
      <c r="T400" s="268"/>
      <c r="U400" s="319"/>
      <c r="V400" s="274"/>
      <c r="W400" s="220"/>
      <c r="X400" s="274"/>
      <c r="Y400" s="274"/>
      <c r="Z400" s="220"/>
      <c r="AA400" s="51"/>
      <c r="AB400" s="51"/>
      <c r="AC400" s="51"/>
      <c r="AD400" s="220"/>
      <c r="AE400" s="389"/>
      <c r="AF400" s="257"/>
      <c r="AG400" s="269"/>
      <c r="AH400" s="219"/>
      <c r="AI400" s="40"/>
      <c r="AJ400" s="40"/>
      <c r="AK400" s="40"/>
      <c r="AL400" s="219"/>
      <c r="AM400" s="51"/>
      <c r="AN400" s="51"/>
      <c r="AO400" s="220"/>
      <c r="AP400" s="51"/>
      <c r="AQ400" s="51"/>
      <c r="AR400" s="51"/>
      <c r="AS400" s="219"/>
      <c r="AT400" s="51"/>
      <c r="AU400" s="51"/>
      <c r="AV400" s="220"/>
      <c r="AW400" s="51"/>
      <c r="AX400" s="51"/>
    </row>
    <row r="401" spans="1:50" customFormat="1">
      <c r="A401" s="391"/>
      <c r="B401" s="396"/>
      <c r="C401" s="395"/>
      <c r="D401" s="255"/>
      <c r="E401" s="255"/>
      <c r="F401" s="267"/>
      <c r="G401" s="268"/>
      <c r="H401" s="268"/>
      <c r="I401" s="267"/>
      <c r="J401" s="268"/>
      <c r="K401" s="268"/>
      <c r="L401" s="338"/>
      <c r="M401" s="268"/>
      <c r="N401" s="268"/>
      <c r="O401" s="393"/>
      <c r="P401" s="394"/>
      <c r="Q401" s="268"/>
      <c r="R401" s="393"/>
      <c r="S401" s="392"/>
      <c r="T401" s="268"/>
      <c r="U401" s="319"/>
      <c r="V401" s="274"/>
      <c r="W401" s="220"/>
      <c r="X401" s="274"/>
      <c r="Y401" s="274"/>
      <c r="Z401" s="220"/>
      <c r="AA401" s="51"/>
      <c r="AB401" s="51"/>
      <c r="AC401" s="51"/>
      <c r="AD401" s="220"/>
      <c r="AE401" s="389"/>
      <c r="AF401" s="1"/>
      <c r="AG401" s="1"/>
      <c r="AH401" s="219"/>
      <c r="AI401" s="260"/>
      <c r="AJ401" s="263"/>
      <c r="AK401" s="51"/>
      <c r="AL401" s="219"/>
      <c r="AM401" s="51"/>
      <c r="AN401" s="51"/>
      <c r="AO401" s="220"/>
      <c r="AP401" s="51"/>
      <c r="AQ401" s="51"/>
      <c r="AR401" s="51"/>
      <c r="AS401" s="219"/>
      <c r="AT401" s="51"/>
      <c r="AU401" s="51"/>
      <c r="AV401" s="220"/>
      <c r="AW401" s="51"/>
      <c r="AX401" s="51"/>
    </row>
    <row r="402" spans="1:50" customFormat="1">
      <c r="A402" s="391"/>
      <c r="B402" s="396"/>
      <c r="C402" s="395"/>
      <c r="D402" s="255"/>
      <c r="E402" s="255"/>
      <c r="F402" s="267"/>
      <c r="G402" s="268"/>
      <c r="H402" s="268"/>
      <c r="I402" s="267"/>
      <c r="J402" s="268"/>
      <c r="K402" s="268"/>
      <c r="L402" s="338"/>
      <c r="M402" s="268"/>
      <c r="N402" s="268"/>
      <c r="O402" s="393"/>
      <c r="P402" s="394"/>
      <c r="Q402" s="268"/>
      <c r="R402" s="393"/>
      <c r="S402" s="392"/>
      <c r="T402" s="268"/>
      <c r="U402" s="319"/>
      <c r="V402" s="274"/>
      <c r="W402" s="220"/>
      <c r="X402" s="274"/>
      <c r="Y402" s="274"/>
      <c r="Z402" s="220"/>
      <c r="AA402" s="51"/>
      <c r="AB402" s="51"/>
      <c r="AC402" s="51"/>
      <c r="AD402" s="220"/>
      <c r="AE402" s="389"/>
      <c r="AF402" s="1"/>
      <c r="AG402" s="1"/>
      <c r="AH402" s="219"/>
      <c r="AI402" s="260"/>
      <c r="AJ402" s="263"/>
      <c r="AK402" s="51"/>
      <c r="AL402" s="219"/>
      <c r="AM402" s="51"/>
      <c r="AN402" s="51"/>
      <c r="AO402" s="220"/>
      <c r="AP402" s="51"/>
      <c r="AQ402" s="51"/>
      <c r="AR402" s="51"/>
      <c r="AS402" s="219"/>
      <c r="AT402" s="51"/>
      <c r="AU402" s="51"/>
      <c r="AV402" s="220"/>
      <c r="AW402" s="51"/>
      <c r="AX402" s="51"/>
    </row>
    <row r="403" spans="1:50" customFormat="1">
      <c r="A403" s="391"/>
      <c r="B403" s="396"/>
      <c r="C403" s="395"/>
      <c r="D403" s="255"/>
      <c r="E403" s="255"/>
      <c r="F403" s="267"/>
      <c r="G403" s="268"/>
      <c r="H403" s="268"/>
      <c r="I403" s="267"/>
      <c r="J403" s="268"/>
      <c r="K403" s="268"/>
      <c r="L403" s="338"/>
      <c r="M403" s="268"/>
      <c r="N403" s="268"/>
      <c r="O403" s="393"/>
      <c r="P403" s="394"/>
      <c r="Q403" s="268"/>
      <c r="R403" s="393"/>
      <c r="S403" s="392"/>
      <c r="T403" s="268"/>
      <c r="U403" s="319"/>
      <c r="V403" s="274"/>
      <c r="W403" s="220"/>
      <c r="X403" s="274"/>
      <c r="Y403" s="274"/>
      <c r="Z403" s="220"/>
      <c r="AA403" s="51"/>
      <c r="AB403" s="51"/>
      <c r="AC403" s="51"/>
      <c r="AD403" s="220"/>
      <c r="AE403" s="389"/>
      <c r="AF403" s="257"/>
      <c r="AG403" s="269"/>
      <c r="AH403" s="219"/>
      <c r="AI403" s="260"/>
      <c r="AJ403" s="263"/>
      <c r="AK403" s="51"/>
      <c r="AL403" s="219"/>
      <c r="AM403" s="51"/>
      <c r="AN403" s="51"/>
      <c r="AO403" s="220"/>
      <c r="AP403" s="51"/>
      <c r="AQ403" s="51"/>
      <c r="AR403" s="51"/>
      <c r="AS403" s="219"/>
      <c r="AT403" s="51"/>
      <c r="AU403" s="51"/>
      <c r="AV403" s="220"/>
      <c r="AW403" s="51"/>
      <c r="AX403" s="51"/>
    </row>
    <row r="404" spans="1:50" customFormat="1">
      <c r="A404" s="391"/>
      <c r="B404" s="396"/>
      <c r="C404" s="395"/>
      <c r="D404" s="255"/>
      <c r="E404" s="255"/>
      <c r="F404" s="267"/>
      <c r="G404" s="268"/>
      <c r="H404" s="268"/>
      <c r="I404" s="267"/>
      <c r="J404" s="268"/>
      <c r="K404" s="268"/>
      <c r="L404" s="338"/>
      <c r="M404" s="268"/>
      <c r="N404" s="268"/>
      <c r="O404" s="393"/>
      <c r="P404" s="394"/>
      <c r="Q404" s="268"/>
      <c r="R404" s="393"/>
      <c r="S404" s="392"/>
      <c r="T404" s="268"/>
      <c r="U404" s="319"/>
      <c r="V404" s="274"/>
      <c r="W404" s="220"/>
      <c r="X404" s="274"/>
      <c r="Y404" s="274"/>
      <c r="Z404" s="220"/>
      <c r="AA404" s="51"/>
      <c r="AB404" s="51"/>
      <c r="AC404" s="51"/>
      <c r="AD404" s="220"/>
      <c r="AE404" s="389"/>
      <c r="AF404" s="257"/>
      <c r="AG404" s="269"/>
      <c r="AH404" s="219"/>
      <c r="AI404" s="260"/>
      <c r="AJ404" s="263"/>
      <c r="AK404" s="51"/>
      <c r="AL404" s="219"/>
      <c r="AM404" s="51"/>
      <c r="AN404" s="51"/>
      <c r="AO404" s="220"/>
      <c r="AP404" s="51"/>
      <c r="AQ404" s="51"/>
      <c r="AR404" s="51"/>
      <c r="AS404" s="219"/>
      <c r="AT404" s="51"/>
      <c r="AU404" s="51"/>
      <c r="AV404" s="220"/>
      <c r="AW404" s="51"/>
      <c r="AX404" s="51"/>
    </row>
    <row r="405" spans="1:50" customFormat="1">
      <c r="A405" s="391"/>
      <c r="B405" s="396"/>
      <c r="C405" s="395"/>
      <c r="D405" s="255"/>
      <c r="E405" s="255"/>
      <c r="F405" s="267"/>
      <c r="G405" s="268"/>
      <c r="H405" s="268"/>
      <c r="I405" s="267"/>
      <c r="J405" s="268"/>
      <c r="K405" s="268"/>
      <c r="L405" s="338"/>
      <c r="M405" s="268"/>
      <c r="N405" s="268"/>
      <c r="O405" s="393"/>
      <c r="P405" s="394"/>
      <c r="Q405" s="268"/>
      <c r="R405" s="393"/>
      <c r="S405" s="392"/>
      <c r="T405" s="268"/>
      <c r="U405" s="319"/>
      <c r="V405" s="274"/>
      <c r="W405" s="220"/>
      <c r="X405" s="274"/>
      <c r="Y405" s="274"/>
      <c r="Z405" s="220"/>
      <c r="AA405" s="51"/>
      <c r="AB405" s="51"/>
      <c r="AC405" s="51"/>
      <c r="AD405" s="220"/>
      <c r="AE405" s="389"/>
      <c r="AF405" s="257"/>
      <c r="AG405" s="269"/>
      <c r="AH405" s="219"/>
      <c r="AI405" s="39"/>
      <c r="AJ405" s="263"/>
      <c r="AK405" s="39"/>
      <c r="AL405" s="219"/>
      <c r="AM405" s="51"/>
      <c r="AN405" s="51"/>
      <c r="AO405" s="220"/>
      <c r="AP405" s="51"/>
      <c r="AQ405" s="51"/>
      <c r="AR405" s="51"/>
      <c r="AS405" s="219"/>
      <c r="AT405" s="51"/>
      <c r="AU405" s="51"/>
      <c r="AV405" s="220"/>
      <c r="AW405" s="51"/>
      <c r="AX405" s="51"/>
    </row>
    <row r="406" spans="1:50" customFormat="1" ht="18.75">
      <c r="A406" s="3" t="s">
        <v>1997</v>
      </c>
      <c r="B406" s="396" t="s">
        <v>1996</v>
      </c>
      <c r="C406" s="395">
        <f>D406</f>
        <v>88.7</v>
      </c>
      <c r="D406" s="255">
        <v>88.7</v>
      </c>
      <c r="E406" s="255" t="s">
        <v>224</v>
      </c>
      <c r="F406" s="267"/>
      <c r="G406" s="268"/>
      <c r="H406" s="268"/>
      <c r="I406" s="267"/>
      <c r="J406" s="268"/>
      <c r="K406" s="268"/>
      <c r="L406" s="338"/>
      <c r="M406" s="268"/>
      <c r="N406" s="268"/>
      <c r="O406" s="393"/>
      <c r="P406" s="394"/>
      <c r="Q406" s="268"/>
      <c r="R406" s="393"/>
      <c r="S406" s="392"/>
      <c r="T406" s="268"/>
      <c r="U406" s="130"/>
      <c r="V406" s="274"/>
      <c r="W406" s="220"/>
      <c r="X406" s="303" t="e">
        <f ca="1">AVERAGE(Y406:Y408)</f>
        <v>#N/A</v>
      </c>
      <c r="Y406" s="274" t="e">
        <f ca="1">'Table S4 Conversions and Notes'!$J$342</f>
        <v>#N/A</v>
      </c>
      <c r="Z406" s="220" t="s">
        <v>2367</v>
      </c>
      <c r="AA406" s="130"/>
      <c r="AB406" s="264">
        <v>3.09E-2</v>
      </c>
      <c r="AC406" s="261">
        <f>LOG(AB406/8.314/298.15)</f>
        <v>-4.9042863544271196</v>
      </c>
      <c r="AD406" s="155" t="s">
        <v>2335</v>
      </c>
      <c r="AE406" s="444">
        <f>AF406</f>
        <v>-1.7569619513137056</v>
      </c>
      <c r="AF406" s="257">
        <f>LOG(0.0175)</f>
        <v>-1.7569619513137056</v>
      </c>
      <c r="AG406" s="269" t="s">
        <v>211</v>
      </c>
      <c r="AH406" s="303" t="e">
        <f ca="1">AI406</f>
        <v>#N/A</v>
      </c>
      <c r="AI406" s="260" t="e">
        <f ca="1">LOG(AJ406/$B$407)</f>
        <v>#N/A</v>
      </c>
      <c r="AJ406" s="263" t="e">
        <f ca="1">'Table S4 Conversions and Notes'!$J$346</f>
        <v>#N/A</v>
      </c>
      <c r="AK406" s="51" t="s">
        <v>2485</v>
      </c>
      <c r="AL406" s="219"/>
      <c r="AM406" s="51"/>
      <c r="AN406" s="51"/>
      <c r="AO406" s="220"/>
      <c r="AP406" s="51"/>
      <c r="AQ406" s="51"/>
      <c r="AR406" s="51"/>
      <c r="AS406" s="201">
        <f>AVERAGE(AT406:AT410)</f>
        <v>-31</v>
      </c>
      <c r="AT406" s="272">
        <v>-31</v>
      </c>
      <c r="AU406" s="270">
        <f>AT406+273.15</f>
        <v>242.14999999999998</v>
      </c>
      <c r="AV406" s="269" t="s">
        <v>1941</v>
      </c>
      <c r="AW406" s="51"/>
      <c r="AX406" s="51"/>
    </row>
    <row r="407" spans="1:50" customFormat="1">
      <c r="A407" s="391" t="s">
        <v>1995</v>
      </c>
      <c r="B407" s="396">
        <v>250.29</v>
      </c>
      <c r="C407" s="434">
        <f>RSD_dHvap*C406</f>
        <v>6.3299352182001298</v>
      </c>
      <c r="D407" s="448">
        <v>73.2</v>
      </c>
      <c r="E407" s="448" t="s">
        <v>2698</v>
      </c>
      <c r="F407" s="267"/>
      <c r="G407" s="268"/>
      <c r="H407" s="268"/>
      <c r="I407" s="267"/>
      <c r="J407" s="268"/>
      <c r="K407" s="268"/>
      <c r="L407" s="338"/>
      <c r="M407" s="268"/>
      <c r="N407" s="268"/>
      <c r="O407" s="393"/>
      <c r="P407" s="394"/>
      <c r="Q407" s="268"/>
      <c r="R407" s="393"/>
      <c r="S407" s="392"/>
      <c r="T407" s="268"/>
      <c r="U407" s="130"/>
      <c r="V407" s="274"/>
      <c r="W407" s="220"/>
      <c r="X407" s="303" t="e">
        <f ca="1">_xlfn.STDEV.S(Y406:Y408)</f>
        <v>#N/A</v>
      </c>
      <c r="Y407" s="274">
        <v>4.05</v>
      </c>
      <c r="Z407" s="220" t="s">
        <v>1978</v>
      </c>
      <c r="AA407" s="130"/>
      <c r="AB407" s="51"/>
      <c r="AC407" s="51"/>
      <c r="AD407" s="220"/>
      <c r="AE407" s="444">
        <f>ABS(RSD_PL*AE406)</f>
        <v>0.27876727169807036</v>
      </c>
      <c r="AF407" s="258">
        <f>LOG(0.000132*133.322)</f>
        <v>-1.7545242487857897</v>
      </c>
      <c r="AG407" s="285" t="s">
        <v>1993</v>
      </c>
      <c r="AH407" s="303" t="e">
        <f ca="1">ABS(RSD_SW*AH406)</f>
        <v>#N/A</v>
      </c>
      <c r="AI407" s="261">
        <f>LOG(0.000432*1000)</f>
        <v>-0.3645162531850879</v>
      </c>
      <c r="AJ407" s="264">
        <f>10^AI407*$B$407</f>
        <v>108.12527999999999</v>
      </c>
      <c r="AK407" s="262" t="s">
        <v>1993</v>
      </c>
      <c r="AL407" s="219"/>
      <c r="AM407" s="51"/>
      <c r="AN407" s="51"/>
      <c r="AO407" s="220"/>
      <c r="AP407" s="51"/>
      <c r="AQ407" s="51"/>
      <c r="AR407" s="51"/>
      <c r="AS407" s="182">
        <f>ABS(RSD_Tm*AS406)</f>
        <v>1.4311372328443748</v>
      </c>
      <c r="AT407" s="51"/>
      <c r="AU407" s="51"/>
      <c r="AV407" s="220"/>
      <c r="AW407" s="51"/>
      <c r="AX407" s="51"/>
    </row>
    <row r="408" spans="1:50" customFormat="1">
      <c r="A408" s="391"/>
      <c r="B408" s="396"/>
      <c r="C408" s="395">
        <f>COUNT(D406)</f>
        <v>1</v>
      </c>
      <c r="D408" s="255"/>
      <c r="E408" s="255"/>
      <c r="F408" s="267"/>
      <c r="G408" s="268"/>
      <c r="H408" s="268"/>
      <c r="I408" s="267"/>
      <c r="J408" s="268"/>
      <c r="K408" s="268"/>
      <c r="L408" s="338"/>
      <c r="M408" s="268"/>
      <c r="N408" s="268"/>
      <c r="O408" s="393"/>
      <c r="P408" s="394"/>
      <c r="Q408" s="268"/>
      <c r="R408" s="393"/>
      <c r="S408" s="392"/>
      <c r="T408" s="268"/>
      <c r="U408" s="324"/>
      <c r="V408" s="274"/>
      <c r="W408" s="220"/>
      <c r="X408" s="324">
        <f ca="1">COUNTA(Y406:Y408)</f>
        <v>3</v>
      </c>
      <c r="Y408" s="274">
        <v>4.2</v>
      </c>
      <c r="Z408" s="220" t="s">
        <v>1994</v>
      </c>
      <c r="AA408" s="324"/>
      <c r="AB408" s="51"/>
      <c r="AC408" s="51"/>
      <c r="AD408" s="220"/>
      <c r="AE408" s="444">
        <f>COUNT(AF406)</f>
        <v>1</v>
      </c>
      <c r="AF408" s="257"/>
      <c r="AG408" s="269"/>
      <c r="AH408" s="324">
        <f ca="1">COUNT(AJ406)</f>
        <v>0</v>
      </c>
      <c r="AI408" s="39"/>
      <c r="AJ408" s="263"/>
      <c r="AK408" s="39"/>
      <c r="AL408" s="219"/>
      <c r="AM408" s="51"/>
      <c r="AN408" s="51"/>
      <c r="AO408" s="220"/>
      <c r="AP408" s="51"/>
      <c r="AQ408" s="51"/>
      <c r="AR408" s="51"/>
      <c r="AS408" s="324">
        <f>COUNTA(AT406:AT410)</f>
        <v>1</v>
      </c>
      <c r="AT408" s="51"/>
      <c r="AU408" s="51"/>
      <c r="AV408" s="220"/>
      <c r="AW408" s="51"/>
      <c r="AX408" s="51"/>
    </row>
    <row r="409" spans="1:50" customFormat="1">
      <c r="A409" s="391"/>
      <c r="B409" s="396"/>
      <c r="C409" s="395"/>
      <c r="D409" s="255"/>
      <c r="E409" s="255"/>
      <c r="F409" s="267"/>
      <c r="G409" s="268"/>
      <c r="H409" s="268"/>
      <c r="I409" s="267"/>
      <c r="J409" s="268"/>
      <c r="K409" s="268"/>
      <c r="L409" s="338"/>
      <c r="M409" s="268"/>
      <c r="N409" s="268"/>
      <c r="O409" s="393"/>
      <c r="P409" s="394"/>
      <c r="Q409" s="268"/>
      <c r="R409" s="393"/>
      <c r="S409" s="392"/>
      <c r="T409" s="268"/>
      <c r="U409" s="319"/>
      <c r="V409" s="274"/>
      <c r="W409" s="220"/>
      <c r="X409" s="274"/>
      <c r="Y409" s="307">
        <v>3.27</v>
      </c>
      <c r="Z409" s="259" t="s">
        <v>1993</v>
      </c>
      <c r="AA409" s="51"/>
      <c r="AB409" s="51"/>
      <c r="AC409" s="51"/>
      <c r="AD409" s="220"/>
      <c r="AE409" s="389"/>
      <c r="AF409" s="257"/>
      <c r="AG409" s="269"/>
      <c r="AH409" s="219"/>
      <c r="AI409" s="39"/>
      <c r="AJ409" s="263"/>
      <c r="AK409" s="39"/>
      <c r="AL409" s="219"/>
      <c r="AM409" s="51"/>
      <c r="AN409" s="51"/>
      <c r="AO409" s="220"/>
      <c r="AP409" s="51"/>
      <c r="AQ409" s="51"/>
      <c r="AR409" s="51"/>
      <c r="AS409" s="219"/>
      <c r="AT409" s="51"/>
      <c r="AU409" s="51"/>
      <c r="AV409" s="220"/>
      <c r="AW409" s="51"/>
      <c r="AX409" s="51"/>
    </row>
    <row r="410" spans="1:50" customFormat="1">
      <c r="A410" s="391"/>
      <c r="B410" s="396"/>
      <c r="C410" s="395"/>
      <c r="D410" s="255"/>
      <c r="E410" s="255"/>
      <c r="F410" s="267"/>
      <c r="G410" s="268"/>
      <c r="H410" s="268"/>
      <c r="I410" s="267"/>
      <c r="J410" s="268"/>
      <c r="K410" s="268"/>
      <c r="L410" s="338"/>
      <c r="M410" s="268"/>
      <c r="N410" s="268"/>
      <c r="O410" s="393"/>
      <c r="P410" s="394"/>
      <c r="Q410" s="268"/>
      <c r="R410" s="393"/>
      <c r="S410" s="392"/>
      <c r="T410" s="268"/>
      <c r="U410" s="319"/>
      <c r="V410" s="274"/>
      <c r="W410" s="220"/>
      <c r="X410" s="274"/>
      <c r="Y410" s="274"/>
      <c r="Z410" s="220"/>
      <c r="AA410" s="51"/>
      <c r="AB410" s="51"/>
      <c r="AC410" s="51"/>
      <c r="AD410" s="220"/>
      <c r="AE410" s="389"/>
      <c r="AF410" s="257"/>
      <c r="AG410" s="269"/>
      <c r="AH410" s="219"/>
      <c r="AI410" s="39"/>
      <c r="AJ410" s="263"/>
      <c r="AK410" s="39"/>
      <c r="AL410" s="219"/>
      <c r="AM410" s="51"/>
      <c r="AN410" s="51"/>
      <c r="AO410" s="220"/>
      <c r="AP410" s="51"/>
      <c r="AQ410" s="51"/>
      <c r="AR410" s="51"/>
      <c r="AS410" s="219"/>
      <c r="AT410" s="51"/>
      <c r="AU410" s="51"/>
      <c r="AV410" s="220"/>
      <c r="AW410" s="51"/>
      <c r="AX410" s="51"/>
    </row>
    <row r="411" spans="1:50" customFormat="1">
      <c r="A411" s="391"/>
      <c r="B411" s="396"/>
      <c r="C411" s="395"/>
      <c r="D411" s="255"/>
      <c r="E411" s="255"/>
      <c r="F411" s="267"/>
      <c r="G411" s="268"/>
      <c r="H411" s="268"/>
      <c r="I411" s="267"/>
      <c r="J411" s="268"/>
      <c r="K411" s="268"/>
      <c r="L411" s="338"/>
      <c r="M411" s="268"/>
      <c r="N411" s="268"/>
      <c r="O411" s="393"/>
      <c r="P411" s="394"/>
      <c r="Q411" s="268"/>
      <c r="R411" s="393"/>
      <c r="S411" s="392"/>
      <c r="T411" s="268"/>
      <c r="U411" s="319"/>
      <c r="V411" s="274"/>
      <c r="W411" s="220"/>
      <c r="X411" s="274"/>
      <c r="Y411" s="274"/>
      <c r="Z411" s="220"/>
      <c r="AA411" s="51"/>
      <c r="AB411" s="51"/>
      <c r="AC411" s="51"/>
      <c r="AD411" s="220"/>
      <c r="AE411" s="389"/>
      <c r="AF411" s="257"/>
      <c r="AG411" s="269"/>
      <c r="AH411" s="219"/>
      <c r="AI411" s="39"/>
      <c r="AJ411" s="263"/>
      <c r="AK411" s="39"/>
      <c r="AL411" s="219"/>
      <c r="AM411" s="51"/>
      <c r="AN411" s="51"/>
      <c r="AO411" s="220"/>
      <c r="AP411" s="51"/>
      <c r="AQ411" s="51"/>
      <c r="AR411" s="51"/>
      <c r="AS411" s="219"/>
      <c r="AT411" s="51"/>
      <c r="AU411" s="51"/>
      <c r="AV411" s="220"/>
      <c r="AW411" s="51"/>
      <c r="AX411" s="51"/>
    </row>
    <row r="412" spans="1:50" customFormat="1">
      <c r="A412" s="391"/>
      <c r="B412" s="396"/>
      <c r="C412" s="395"/>
      <c r="D412" s="255"/>
      <c r="E412" s="255"/>
      <c r="F412" s="267"/>
      <c r="G412" s="268"/>
      <c r="H412" s="268"/>
      <c r="I412" s="267"/>
      <c r="J412" s="268"/>
      <c r="K412" s="268"/>
      <c r="L412" s="338"/>
      <c r="M412" s="268"/>
      <c r="N412" s="268"/>
      <c r="O412" s="393"/>
      <c r="P412" s="394"/>
      <c r="Q412" s="268"/>
      <c r="R412" s="393"/>
      <c r="S412" s="392"/>
      <c r="T412" s="268"/>
      <c r="U412" s="319"/>
      <c r="V412" s="274"/>
      <c r="W412" s="220"/>
      <c r="X412" s="274"/>
      <c r="Y412" s="274"/>
      <c r="Z412" s="220"/>
      <c r="AA412" s="51"/>
      <c r="AB412" s="51"/>
      <c r="AC412" s="51"/>
      <c r="AD412" s="220"/>
      <c r="AE412" s="389"/>
      <c r="AF412" s="257"/>
      <c r="AG412" s="269"/>
      <c r="AH412" s="219"/>
      <c r="AI412" s="39"/>
      <c r="AJ412" s="263"/>
      <c r="AK412" s="39"/>
      <c r="AL412" s="219"/>
      <c r="AM412" s="51"/>
      <c r="AN412" s="51"/>
      <c r="AO412" s="220"/>
      <c r="AP412" s="51"/>
      <c r="AQ412" s="51"/>
      <c r="AR412" s="51"/>
      <c r="AS412" s="219"/>
      <c r="AT412" s="51"/>
      <c r="AU412" s="51"/>
      <c r="AV412" s="220"/>
      <c r="AW412" s="51"/>
      <c r="AX412" s="51"/>
    </row>
    <row r="413" spans="1:50" customFormat="1">
      <c r="A413" s="391"/>
      <c r="B413" s="396"/>
      <c r="C413" s="395"/>
      <c r="D413" s="255"/>
      <c r="E413" s="255"/>
      <c r="F413" s="267"/>
      <c r="G413" s="268"/>
      <c r="H413" s="268"/>
      <c r="I413" s="267"/>
      <c r="J413" s="268"/>
      <c r="K413" s="268"/>
      <c r="L413" s="338"/>
      <c r="M413" s="268"/>
      <c r="N413" s="268"/>
      <c r="O413" s="393"/>
      <c r="P413" s="394"/>
      <c r="Q413" s="268"/>
      <c r="R413" s="393"/>
      <c r="S413" s="392"/>
      <c r="T413" s="268"/>
      <c r="U413" s="319"/>
      <c r="V413" s="274"/>
      <c r="W413" s="220"/>
      <c r="X413" s="274"/>
      <c r="Y413" s="274"/>
      <c r="Z413" s="220"/>
      <c r="AA413" s="51"/>
      <c r="AB413" s="51"/>
      <c r="AC413" s="51"/>
      <c r="AD413" s="220"/>
      <c r="AE413" s="389"/>
      <c r="AF413" s="257"/>
      <c r="AG413" s="269"/>
      <c r="AH413" s="219"/>
      <c r="AI413" s="39"/>
      <c r="AJ413" s="263"/>
      <c r="AK413" s="39"/>
      <c r="AL413" s="219"/>
      <c r="AM413" s="51"/>
      <c r="AN413" s="51"/>
      <c r="AO413" s="220"/>
      <c r="AP413" s="51"/>
      <c r="AQ413" s="51"/>
      <c r="AR413" s="51"/>
      <c r="AS413" s="219"/>
      <c r="AT413" s="51"/>
      <c r="AU413" s="51"/>
      <c r="AV413" s="220"/>
      <c r="AW413" s="51"/>
      <c r="AX413" s="51"/>
    </row>
    <row r="414" spans="1:50" customFormat="1">
      <c r="A414" s="391"/>
      <c r="B414" s="396"/>
      <c r="C414" s="395"/>
      <c r="D414" s="255"/>
      <c r="E414" s="255"/>
      <c r="F414" s="267"/>
      <c r="G414" s="268"/>
      <c r="H414" s="268"/>
      <c r="I414" s="267"/>
      <c r="J414" s="268"/>
      <c r="K414" s="268"/>
      <c r="L414" s="338"/>
      <c r="M414" s="268"/>
      <c r="N414" s="268"/>
      <c r="O414" s="393"/>
      <c r="P414" s="394"/>
      <c r="Q414" s="268"/>
      <c r="R414" s="393"/>
      <c r="S414" s="392"/>
      <c r="T414" s="268"/>
      <c r="U414" s="319"/>
      <c r="V414" s="274"/>
      <c r="W414" s="220"/>
      <c r="X414" s="274"/>
      <c r="Y414" s="274"/>
      <c r="Z414" s="220"/>
      <c r="AA414" s="51"/>
      <c r="AB414" s="51"/>
      <c r="AC414" s="51"/>
      <c r="AD414" s="220"/>
      <c r="AE414" s="389"/>
      <c r="AF414" s="257"/>
      <c r="AG414" s="269"/>
      <c r="AH414" s="219"/>
      <c r="AI414" s="39"/>
      <c r="AJ414" s="263"/>
      <c r="AK414" s="39"/>
      <c r="AL414" s="219"/>
      <c r="AM414" s="51"/>
      <c r="AN414" s="51"/>
      <c r="AO414" s="220"/>
      <c r="AP414" s="51"/>
      <c r="AQ414" s="51"/>
      <c r="AR414" s="51"/>
      <c r="AS414" s="219"/>
      <c r="AT414" s="51"/>
      <c r="AU414" s="51"/>
      <c r="AV414" s="220"/>
      <c r="AW414" s="51"/>
      <c r="AX414" s="51"/>
    </row>
    <row r="415" spans="1:50" customFormat="1">
      <c r="A415" s="391"/>
      <c r="B415" s="396"/>
      <c r="C415" s="395"/>
      <c r="D415" s="255"/>
      <c r="E415" s="453"/>
      <c r="F415" s="454"/>
      <c r="G415" s="268"/>
      <c r="H415" s="268"/>
      <c r="I415" s="267"/>
      <c r="J415" s="268"/>
      <c r="K415" s="268"/>
      <c r="L415" s="338"/>
      <c r="M415" s="268"/>
      <c r="N415" s="268"/>
      <c r="O415" s="393"/>
      <c r="P415" s="394"/>
      <c r="Q415" s="268"/>
      <c r="R415" s="393"/>
      <c r="S415" s="392"/>
      <c r="T415" s="268"/>
      <c r="U415" s="319"/>
      <c r="V415" s="274"/>
      <c r="W415" s="220"/>
      <c r="X415" s="274"/>
      <c r="Y415" s="274"/>
      <c r="Z415" s="220"/>
      <c r="AA415" s="51"/>
      <c r="AB415" s="51"/>
      <c r="AC415" s="51"/>
      <c r="AD415" s="220"/>
      <c r="AE415" s="389"/>
      <c r="AF415" s="257"/>
      <c r="AG415" s="269"/>
      <c r="AH415" s="219"/>
      <c r="AI415" s="39"/>
      <c r="AJ415" s="263"/>
      <c r="AK415" s="39"/>
      <c r="AL415" s="219"/>
      <c r="AM415" s="51"/>
      <c r="AN415" s="51"/>
      <c r="AO415" s="220"/>
      <c r="AP415" s="51"/>
      <c r="AQ415" s="51"/>
      <c r="AR415" s="51"/>
      <c r="AS415" s="219"/>
      <c r="AT415" s="51"/>
      <c r="AU415" s="51"/>
      <c r="AV415" s="220"/>
      <c r="AW415" s="51"/>
      <c r="AX415" s="51"/>
    </row>
    <row r="416" spans="1:50" customFormat="1">
      <c r="A416" s="391"/>
      <c r="B416" s="396"/>
      <c r="C416" s="395"/>
      <c r="D416" s="255"/>
      <c r="E416" s="453"/>
      <c r="F416" s="454"/>
      <c r="G416" s="268"/>
      <c r="H416" s="268"/>
      <c r="I416" s="267"/>
      <c r="J416" s="268"/>
      <c r="K416" s="268"/>
      <c r="L416" s="338"/>
      <c r="M416" s="268"/>
      <c r="N416" s="268"/>
      <c r="O416" s="393"/>
      <c r="P416" s="394"/>
      <c r="Q416" s="268"/>
      <c r="R416" s="393"/>
      <c r="S416" s="392"/>
      <c r="T416" s="268"/>
      <c r="U416" s="319"/>
      <c r="V416" s="274"/>
      <c r="W416" s="220"/>
      <c r="X416" s="274"/>
      <c r="Y416" s="274"/>
      <c r="Z416" s="220"/>
      <c r="AA416" s="51"/>
      <c r="AB416" s="51"/>
      <c r="AC416" s="51"/>
      <c r="AD416" s="220"/>
      <c r="AE416" s="389"/>
      <c r="AF416" s="257"/>
      <c r="AG416" s="269"/>
      <c r="AH416" s="219"/>
      <c r="AI416" s="39"/>
      <c r="AJ416" s="263"/>
      <c r="AK416" s="39"/>
      <c r="AL416" s="219"/>
      <c r="AM416" s="51"/>
      <c r="AN416" s="51"/>
      <c r="AO416" s="220"/>
      <c r="AP416" s="51"/>
      <c r="AQ416" s="51"/>
      <c r="AR416" s="51"/>
      <c r="AS416" s="219"/>
      <c r="AT416" s="51"/>
      <c r="AU416" s="51"/>
      <c r="AV416" s="220"/>
      <c r="AW416" s="51"/>
      <c r="AX416" s="51"/>
    </row>
    <row r="417" spans="1:50" customFormat="1">
      <c r="A417" s="391"/>
      <c r="B417" s="396"/>
      <c r="C417" s="395"/>
      <c r="D417" s="255"/>
      <c r="E417" s="453"/>
      <c r="F417" s="454"/>
      <c r="G417" s="268"/>
      <c r="H417" s="268"/>
      <c r="I417" s="267"/>
      <c r="J417" s="268"/>
      <c r="K417" s="268"/>
      <c r="L417" s="338"/>
      <c r="M417" s="268"/>
      <c r="N417" s="268"/>
      <c r="O417" s="393"/>
      <c r="P417" s="394"/>
      <c r="Q417" s="268"/>
      <c r="R417" s="393"/>
      <c r="S417" s="392"/>
      <c r="T417" s="268"/>
      <c r="U417" s="319"/>
      <c r="V417" s="274"/>
      <c r="W417" s="220"/>
      <c r="X417" s="274"/>
      <c r="Y417" s="274"/>
      <c r="Z417" s="220"/>
      <c r="AA417" s="51"/>
      <c r="AB417" s="51"/>
      <c r="AC417" s="51"/>
      <c r="AD417" s="220"/>
      <c r="AE417" s="389"/>
      <c r="AF417" s="257"/>
      <c r="AG417" s="269"/>
      <c r="AH417" s="219"/>
      <c r="AI417" s="39"/>
      <c r="AJ417" s="263"/>
      <c r="AK417" s="39"/>
      <c r="AL417" s="219"/>
      <c r="AM417" s="51"/>
      <c r="AN417" s="51"/>
      <c r="AO417" s="220"/>
      <c r="AP417" s="51"/>
      <c r="AQ417" s="51"/>
      <c r="AR417" s="51"/>
      <c r="AS417" s="219"/>
      <c r="AT417" s="51"/>
      <c r="AU417" s="51"/>
      <c r="AV417" s="220"/>
      <c r="AW417" s="51"/>
      <c r="AX417" s="51"/>
    </row>
    <row r="418" spans="1:50" customFormat="1">
      <c r="A418" s="391"/>
      <c r="B418" s="396"/>
      <c r="C418" s="395"/>
      <c r="D418" s="255"/>
      <c r="E418" s="453"/>
      <c r="F418" s="454"/>
      <c r="G418" s="268"/>
      <c r="H418" s="268"/>
      <c r="I418" s="267"/>
      <c r="J418" s="268"/>
      <c r="K418" s="268"/>
      <c r="L418" s="338"/>
      <c r="M418" s="268"/>
      <c r="N418" s="268"/>
      <c r="O418" s="393"/>
      <c r="P418" s="394"/>
      <c r="Q418" s="268"/>
      <c r="R418" s="393"/>
      <c r="S418" s="392"/>
      <c r="T418" s="268"/>
      <c r="U418" s="319"/>
      <c r="V418" s="274"/>
      <c r="W418" s="220"/>
      <c r="X418" s="274"/>
      <c r="Y418" s="274"/>
      <c r="Z418" s="220"/>
      <c r="AA418" s="51"/>
      <c r="AB418" s="51"/>
      <c r="AC418" s="51"/>
      <c r="AD418" s="220"/>
      <c r="AE418" s="389"/>
      <c r="AF418" s="1"/>
      <c r="AG418" s="1"/>
      <c r="AH418" s="219"/>
      <c r="AI418" s="451"/>
      <c r="AJ418" s="263"/>
      <c r="AK418" s="39"/>
      <c r="AL418" s="219"/>
      <c r="AM418" s="51"/>
      <c r="AN418" s="51"/>
      <c r="AO418" s="220"/>
      <c r="AP418" s="51"/>
      <c r="AQ418" s="51"/>
      <c r="AR418" s="51"/>
      <c r="AS418" s="219"/>
      <c r="AT418" s="51"/>
      <c r="AU418" s="51"/>
      <c r="AV418" s="220"/>
      <c r="AW418" s="51"/>
      <c r="AX418" s="51"/>
    </row>
    <row r="419" spans="1:50" customFormat="1" ht="18.75">
      <c r="A419" s="391" t="s">
        <v>1992</v>
      </c>
      <c r="B419" s="396" t="s">
        <v>1991</v>
      </c>
      <c r="C419" s="455">
        <f>AVERAGE(D419:D422)</f>
        <v>77.779285878211255</v>
      </c>
      <c r="D419" s="255">
        <f>'Table S4 Conversions and Notes'!$J$413</f>
        <v>72.213398107892601</v>
      </c>
      <c r="E419" s="453" t="s">
        <v>2360</v>
      </c>
      <c r="F419" s="455">
        <f>G419</f>
        <v>3.1389999999999998</v>
      </c>
      <c r="G419" s="452">
        <v>3.1389999999999998</v>
      </c>
      <c r="H419" s="268" t="s">
        <v>2788</v>
      </c>
      <c r="I419" s="267"/>
      <c r="J419" s="268"/>
      <c r="K419" s="268"/>
      <c r="L419" s="338"/>
      <c r="M419" s="268"/>
      <c r="N419" s="268"/>
      <c r="O419" s="393"/>
      <c r="P419" s="394"/>
      <c r="Q419" s="268"/>
      <c r="R419" s="393"/>
      <c r="S419" s="392"/>
      <c r="T419" s="268"/>
      <c r="U419" s="319"/>
      <c r="V419" s="274"/>
      <c r="W419" s="220"/>
      <c r="X419" s="303" t="e">
        <f ca="1">AVERAGE(Y419:Y420)</f>
        <v>#N/A</v>
      </c>
      <c r="Y419" s="274" t="e">
        <f ca="1">'Table S4 Conversions and Notes'!$J$343</f>
        <v>#N/A</v>
      </c>
      <c r="Z419" s="220" t="s">
        <v>2563</v>
      </c>
      <c r="AA419" s="130"/>
      <c r="AB419" s="264">
        <v>1.8499999999999999E-2</v>
      </c>
      <c r="AC419" s="261">
        <f>LOG(AB419/8.314/298.15)</f>
        <v>-5.1270731054489405</v>
      </c>
      <c r="AD419" s="155" t="s">
        <v>2335</v>
      </c>
      <c r="AE419" s="303">
        <f>AVERAGE(AF419)</f>
        <v>-2</v>
      </c>
      <c r="AF419" s="257">
        <f>LOG(0.01)</f>
        <v>-2</v>
      </c>
      <c r="AG419" s="269" t="s">
        <v>2566</v>
      </c>
      <c r="AH419" s="303" t="e">
        <f ca="1">AVERAGE(AI419:AI422)</f>
        <v>#N/A</v>
      </c>
      <c r="AI419" s="260" t="e">
        <f ca="1">LOG(AJ419/$B$420)</f>
        <v>#N/A</v>
      </c>
      <c r="AJ419" s="263" t="e">
        <f ca="1">'Table S4 Conversions and Notes'!$J$347</f>
        <v>#N/A</v>
      </c>
      <c r="AK419" s="51" t="s">
        <v>1990</v>
      </c>
      <c r="AL419" s="219"/>
      <c r="AM419" s="51"/>
      <c r="AN419" s="51"/>
      <c r="AO419" s="220"/>
      <c r="AP419" s="51"/>
      <c r="AQ419" s="51"/>
      <c r="AR419" s="51"/>
      <c r="AS419" s="201">
        <f>AVERAGE(AT419:AT423)</f>
        <v>-54.6</v>
      </c>
      <c r="AT419" s="51">
        <v>-50</v>
      </c>
      <c r="AU419" s="270">
        <f>AT419+273.15</f>
        <v>223.14999999999998</v>
      </c>
      <c r="AV419" s="220" t="s">
        <v>1943</v>
      </c>
      <c r="AW419" s="51"/>
      <c r="AX419" s="51"/>
    </row>
    <row r="420" spans="1:50" customFormat="1" ht="18">
      <c r="A420" s="391" t="s">
        <v>1989</v>
      </c>
      <c r="B420" s="396">
        <v>278.33999999999997</v>
      </c>
      <c r="C420" s="434">
        <f>_xlfn.STDEV.S(D419:D422)</f>
        <v>11.289652223038836</v>
      </c>
      <c r="D420" s="255">
        <f>'Table S4 Conversions and Notes'!$J$414</f>
        <v>72.380523549859419</v>
      </c>
      <c r="E420" s="453" t="s">
        <v>2361</v>
      </c>
      <c r="F420" s="455">
        <f>RSD_dHw*F419</f>
        <v>0.62780000000000002</v>
      </c>
      <c r="G420" s="13"/>
      <c r="H420" s="268"/>
      <c r="I420" s="267"/>
      <c r="J420" s="268"/>
      <c r="K420" s="268"/>
      <c r="L420" s="338"/>
      <c r="M420" s="268"/>
      <c r="N420" s="268"/>
      <c r="O420" s="393"/>
      <c r="P420" s="394"/>
      <c r="Q420" s="268"/>
      <c r="R420" s="393"/>
      <c r="S420" s="392"/>
      <c r="T420" s="268"/>
      <c r="U420" s="319"/>
      <c r="V420" s="274"/>
      <c r="W420" s="220"/>
      <c r="X420" s="303" t="e">
        <f ca="1">_xlfn.STDEV.S(Y419:Y420)</f>
        <v>#N/A</v>
      </c>
      <c r="Y420" s="274">
        <v>4.34</v>
      </c>
      <c r="Z420" s="220" t="s">
        <v>2564</v>
      </c>
      <c r="AA420" s="130"/>
      <c r="AB420" s="51"/>
      <c r="AC420" s="51"/>
      <c r="AD420" s="220"/>
      <c r="AE420" s="303">
        <f>ABS(RSD_PL*AE419)</f>
        <v>0.31732875204227629</v>
      </c>
      <c r="AF420" s="258" t="e">
        <f ca="1">LOG('Table S4 Conversions and Notes'!$J$415)</f>
        <v>#N/A</v>
      </c>
      <c r="AG420" s="285" t="s">
        <v>2567</v>
      </c>
      <c r="AH420" s="303" t="e">
        <f ca="1">_xlfn.STDEV.S(AI419:AI422)</f>
        <v>#N/A</v>
      </c>
      <c r="AI420" s="260">
        <f>LOG(AJ420/B420)</f>
        <v>-1.6521839334041493</v>
      </c>
      <c r="AJ420" s="263">
        <v>6.2</v>
      </c>
      <c r="AK420" s="51" t="s">
        <v>2486</v>
      </c>
      <c r="AL420" s="219"/>
      <c r="AM420" s="51"/>
      <c r="AN420" s="51"/>
      <c r="AO420" s="220"/>
      <c r="AP420" s="51"/>
      <c r="AQ420" s="51"/>
      <c r="AR420" s="51"/>
      <c r="AS420" s="182">
        <f>_xlfn.STDEV.S(AT419:AT423)</f>
        <v>11.3929802949009</v>
      </c>
      <c r="AT420" s="51">
        <f>'Table S4 Conversions and Notes'!$J$375</f>
        <v>-58</v>
      </c>
      <c r="AU420" s="270">
        <f>AT420+273.15</f>
        <v>215.14999999999998</v>
      </c>
      <c r="AV420" s="220" t="s">
        <v>1987</v>
      </c>
      <c r="AW420" s="51"/>
      <c r="AX420" s="51"/>
    </row>
    <row r="421" spans="1:50" customFormat="1" ht="18">
      <c r="A421" s="391"/>
      <c r="B421" s="396"/>
      <c r="C421" s="395">
        <f>COUNT(D419:D421)</f>
        <v>3</v>
      </c>
      <c r="D421" s="255">
        <f>'Table S4 Conversions and Notes'!$J$417</f>
        <v>71.813221855092991</v>
      </c>
      <c r="E421" s="453" t="s">
        <v>2362</v>
      </c>
      <c r="F421" s="395">
        <f>COUNT(G419:G421)</f>
        <v>1</v>
      </c>
      <c r="G421" s="268"/>
      <c r="H421" s="268"/>
      <c r="I421" s="267"/>
      <c r="J421" s="268"/>
      <c r="K421" s="268"/>
      <c r="L421" s="338"/>
      <c r="M421" s="268"/>
      <c r="N421" s="268"/>
      <c r="O421" s="393"/>
      <c r="P421" s="394"/>
      <c r="Q421" s="268"/>
      <c r="R421" s="393"/>
      <c r="S421" s="392"/>
      <c r="T421" s="268"/>
      <c r="U421" s="319"/>
      <c r="V421" s="274"/>
      <c r="W421" s="220"/>
      <c r="X421" s="324">
        <f ca="1">COUNTA(Y419)</f>
        <v>1</v>
      </c>
      <c r="Y421" s="307">
        <v>4.1100000000000003</v>
      </c>
      <c r="Z421" s="259" t="s">
        <v>1985</v>
      </c>
      <c r="AA421" s="324"/>
      <c r="AB421" s="51"/>
      <c r="AC421" s="51"/>
      <c r="AD421" s="220"/>
      <c r="AE421" s="324">
        <f>COUNTA(AF419)</f>
        <v>1</v>
      </c>
      <c r="AF421" s="258" t="e">
        <f ca="1">LOG('Table S4 Conversions and Notes'!$J$416)</f>
        <v>#N/A</v>
      </c>
      <c r="AG421" s="285" t="s">
        <v>2568</v>
      </c>
      <c r="AH421" s="324">
        <f ca="1">COUNTA(AI419:AI422)</f>
        <v>4</v>
      </c>
      <c r="AI421" s="260">
        <f>LOG(AJ421/B420)</f>
        <v>-1.3838777825487916</v>
      </c>
      <c r="AJ421" s="263">
        <v>11.5</v>
      </c>
      <c r="AK421" s="51" t="s">
        <v>2487</v>
      </c>
      <c r="AL421" s="219"/>
      <c r="AM421" s="51"/>
      <c r="AN421" s="51"/>
      <c r="AO421" s="220"/>
      <c r="AP421" s="51"/>
      <c r="AQ421" s="51"/>
      <c r="AR421" s="51"/>
      <c r="AS421" s="324">
        <f>COUNTA(AT419:AT423)</f>
        <v>5</v>
      </c>
      <c r="AT421" s="51">
        <v>-64</v>
      </c>
      <c r="AU421" s="270">
        <f>AT421+273.15</f>
        <v>209.14999999999998</v>
      </c>
      <c r="AV421" s="220" t="s">
        <v>1986</v>
      </c>
      <c r="AW421" s="51"/>
      <c r="AX421" s="51"/>
    </row>
    <row r="422" spans="1:50" customFormat="1" ht="18">
      <c r="A422" s="391"/>
      <c r="B422" s="396"/>
      <c r="C422" s="395"/>
      <c r="D422" s="255">
        <v>94.71</v>
      </c>
      <c r="E422" s="300" t="s">
        <v>2565</v>
      </c>
      <c r="F422" s="454"/>
      <c r="G422" s="268"/>
      <c r="H422" s="268"/>
      <c r="I422" s="267"/>
      <c r="J422" s="268"/>
      <c r="K422" s="268"/>
      <c r="L422" s="338"/>
      <c r="M422" s="268"/>
      <c r="N422" s="268"/>
      <c r="O422" s="393"/>
      <c r="P422" s="394"/>
      <c r="Q422" s="268"/>
      <c r="R422" s="393"/>
      <c r="S422" s="392"/>
      <c r="T422" s="268"/>
      <c r="U422" s="319"/>
      <c r="V422" s="274"/>
      <c r="W422" s="220"/>
      <c r="X422" s="274"/>
      <c r="Y422" s="274"/>
      <c r="Z422" s="220"/>
      <c r="AA422" s="51"/>
      <c r="AB422" s="51"/>
      <c r="AC422" s="51"/>
      <c r="AD422" s="220"/>
      <c r="AE422" s="389"/>
      <c r="AF422" s="258" t="e">
        <f ca="1">LOG('Table S4 Conversions and Notes'!$J$418)</f>
        <v>#N/A</v>
      </c>
      <c r="AG422" s="285" t="s">
        <v>2569</v>
      </c>
      <c r="AH422" s="219"/>
      <c r="AI422" s="260">
        <f>LOG('Table S4 Conversions and Notes'!J520)</f>
        <v>-1.405238939932935</v>
      </c>
      <c r="AJ422" s="263">
        <f>10^AI422*$B$432</f>
        <v>10.948047751217803</v>
      </c>
      <c r="AK422" s="51" t="s">
        <v>2562</v>
      </c>
      <c r="AL422" s="219"/>
      <c r="AM422" s="51"/>
      <c r="AN422" s="51"/>
      <c r="AO422" s="220"/>
      <c r="AP422" s="51"/>
      <c r="AQ422" s="51"/>
      <c r="AR422" s="51"/>
      <c r="AS422" s="219"/>
      <c r="AT422" s="51">
        <v>-64</v>
      </c>
      <c r="AU422" s="270">
        <f>AT422+273.15</f>
        <v>209.14999999999998</v>
      </c>
      <c r="AV422" s="220" t="s">
        <v>1933</v>
      </c>
      <c r="AW422" s="51"/>
      <c r="AX422" s="51"/>
    </row>
    <row r="423" spans="1:50" customFormat="1">
      <c r="A423" s="391"/>
      <c r="B423" s="396"/>
      <c r="C423" s="395"/>
      <c r="D423" s="255"/>
      <c r="E423" s="453"/>
      <c r="F423" s="454"/>
      <c r="G423" s="268"/>
      <c r="H423" s="268"/>
      <c r="I423" s="267"/>
      <c r="J423" s="268"/>
      <c r="K423" s="268"/>
      <c r="L423" s="338"/>
      <c r="M423" s="268"/>
      <c r="N423" s="268"/>
      <c r="O423" s="393"/>
      <c r="P423" s="394"/>
      <c r="Q423" s="268"/>
      <c r="R423" s="393"/>
      <c r="S423" s="392"/>
      <c r="T423" s="268"/>
      <c r="U423" s="319"/>
      <c r="V423" s="274"/>
      <c r="W423" s="220"/>
      <c r="X423" s="274"/>
      <c r="Y423" s="274"/>
      <c r="Z423" s="220"/>
      <c r="AA423" s="51"/>
      <c r="AB423" s="51"/>
      <c r="AC423" s="51"/>
      <c r="AD423" s="220"/>
      <c r="AE423" s="389"/>
      <c r="AF423" s="257"/>
      <c r="AG423" s="269"/>
      <c r="AH423" s="219"/>
      <c r="AI423" s="261">
        <f>LOG(0.0000223*1000)</f>
        <v>-1.6516951369518393</v>
      </c>
      <c r="AJ423" s="264">
        <f>10^AI423*$B$420</f>
        <v>6.2069819999999973</v>
      </c>
      <c r="AK423" s="262" t="s">
        <v>1985</v>
      </c>
      <c r="AL423" s="219"/>
      <c r="AM423" s="51"/>
      <c r="AN423" s="51"/>
      <c r="AO423" s="220"/>
      <c r="AP423" s="51"/>
      <c r="AQ423" s="51"/>
      <c r="AR423" s="51"/>
      <c r="AS423" s="219"/>
      <c r="AT423" s="51">
        <v>-37</v>
      </c>
      <c r="AU423" s="51">
        <f>AT423+273.15</f>
        <v>236.14999999999998</v>
      </c>
      <c r="AV423" s="220" t="s">
        <v>1924</v>
      </c>
      <c r="AW423" s="51"/>
      <c r="AX423" s="51"/>
    </row>
    <row r="424" spans="1:50" customFormat="1" ht="18">
      <c r="A424" s="391"/>
      <c r="B424" s="396"/>
      <c r="C424" s="395"/>
      <c r="D424" s="255"/>
      <c r="E424" s="453"/>
      <c r="F424" s="454"/>
      <c r="G424" s="268"/>
      <c r="H424" s="268"/>
      <c r="I424" s="267"/>
      <c r="J424" s="268"/>
      <c r="K424" s="268"/>
      <c r="L424" s="338"/>
      <c r="M424" s="268"/>
      <c r="N424" s="268"/>
      <c r="O424" s="393"/>
      <c r="P424" s="394"/>
      <c r="Q424" s="268"/>
      <c r="R424" s="393"/>
      <c r="S424" s="392"/>
      <c r="T424" s="268"/>
      <c r="U424" s="319"/>
      <c r="V424" s="274"/>
      <c r="W424" s="220"/>
      <c r="X424" s="274"/>
      <c r="Y424" s="274"/>
      <c r="Z424" s="220"/>
      <c r="AA424" s="51"/>
      <c r="AB424" s="51"/>
      <c r="AC424" s="51"/>
      <c r="AD424" s="220"/>
      <c r="AE424" s="389"/>
      <c r="AF424" s="257"/>
      <c r="AG424" s="269"/>
      <c r="AH424" s="219"/>
      <c r="AI424" s="260" t="e">
        <f ca="1">LOG(AJ424/B420)</f>
        <v>#N/A</v>
      </c>
      <c r="AJ424" s="263" t="e">
        <f ca="1">'Table S4 Conversions and Notes'!$J$376</f>
        <v>#N/A</v>
      </c>
      <c r="AK424" s="51" t="s">
        <v>1988</v>
      </c>
      <c r="AL424" s="219"/>
      <c r="AM424" s="51"/>
      <c r="AN424" s="51"/>
      <c r="AO424" s="220"/>
      <c r="AP424" s="51"/>
      <c r="AQ424" s="51"/>
      <c r="AR424" s="51"/>
      <c r="AS424" s="219"/>
      <c r="AT424" s="51" t="s">
        <v>1984</v>
      </c>
      <c r="AU424" s="51" t="s">
        <v>1983</v>
      </c>
      <c r="AV424" s="220" t="s">
        <v>1934</v>
      </c>
      <c r="AW424" s="51"/>
      <c r="AX424" s="51"/>
    </row>
    <row r="425" spans="1:50" customFormat="1">
      <c r="A425" s="391"/>
      <c r="B425" s="396"/>
      <c r="C425" s="395"/>
      <c r="D425" s="255"/>
      <c r="E425" s="453"/>
      <c r="F425" s="454"/>
      <c r="G425" s="268"/>
      <c r="H425" s="268"/>
      <c r="I425" s="267"/>
      <c r="J425" s="268"/>
      <c r="K425" s="268"/>
      <c r="L425" s="338"/>
      <c r="M425" s="268"/>
      <c r="N425" s="268"/>
      <c r="O425" s="393"/>
      <c r="P425" s="394"/>
      <c r="Q425" s="268"/>
      <c r="R425" s="393"/>
      <c r="S425" s="392"/>
      <c r="T425" s="268"/>
      <c r="U425" s="319"/>
      <c r="V425" s="274"/>
      <c r="W425" s="220"/>
      <c r="X425" s="274"/>
      <c r="Y425" s="274"/>
      <c r="Z425" s="220"/>
      <c r="AA425" s="51"/>
      <c r="AB425" s="51"/>
      <c r="AC425" s="51"/>
      <c r="AD425" s="220"/>
      <c r="AE425" s="389"/>
      <c r="AF425" s="257"/>
      <c r="AG425" s="269"/>
      <c r="AH425" s="219"/>
      <c r="AI425" s="40"/>
      <c r="AJ425" s="40"/>
      <c r="AK425" s="40"/>
      <c r="AL425" s="219"/>
      <c r="AM425" s="51"/>
      <c r="AN425" s="51"/>
      <c r="AO425" s="220"/>
      <c r="AP425" s="51"/>
      <c r="AQ425" s="51"/>
      <c r="AR425" s="51"/>
      <c r="AS425" s="219"/>
      <c r="AT425" s="51"/>
      <c r="AU425" s="51"/>
      <c r="AV425" s="220"/>
      <c r="AW425" s="51"/>
      <c r="AX425" s="51"/>
    </row>
    <row r="426" spans="1:50" customFormat="1">
      <c r="A426" s="391"/>
      <c r="B426" s="396"/>
      <c r="C426" s="395"/>
      <c r="D426" s="255"/>
      <c r="E426" s="453"/>
      <c r="F426" s="454"/>
      <c r="G426" s="268"/>
      <c r="H426" s="268"/>
      <c r="I426" s="267"/>
      <c r="J426" s="268"/>
      <c r="K426" s="268"/>
      <c r="L426" s="338"/>
      <c r="M426" s="268"/>
      <c r="N426" s="268"/>
      <c r="O426" s="393"/>
      <c r="P426" s="394"/>
      <c r="Q426" s="268"/>
      <c r="R426" s="393"/>
      <c r="S426" s="392"/>
      <c r="T426" s="268"/>
      <c r="U426" s="319"/>
      <c r="V426" s="274"/>
      <c r="W426" s="220"/>
      <c r="X426" s="274"/>
      <c r="Y426" s="274"/>
      <c r="Z426" s="220"/>
      <c r="AA426" s="51"/>
      <c r="AB426" s="51"/>
      <c r="AC426" s="51"/>
      <c r="AD426" s="220"/>
      <c r="AE426" s="389"/>
      <c r="AF426" s="257"/>
      <c r="AG426" s="269"/>
      <c r="AH426" s="219"/>
      <c r="AI426" s="450"/>
      <c r="AJ426" s="263"/>
      <c r="AK426" s="39"/>
      <c r="AL426" s="219"/>
      <c r="AM426" s="51"/>
      <c r="AN426" s="51"/>
      <c r="AO426" s="220"/>
      <c r="AP426" s="51"/>
      <c r="AQ426" s="51"/>
      <c r="AR426" s="51"/>
      <c r="AS426" s="219"/>
      <c r="AT426" s="51"/>
      <c r="AU426" s="51"/>
      <c r="AV426" s="220"/>
      <c r="AW426" s="51"/>
      <c r="AX426" s="51"/>
    </row>
    <row r="427" spans="1:50" customFormat="1">
      <c r="A427" s="391"/>
      <c r="B427" s="396"/>
      <c r="C427" s="395"/>
      <c r="D427" s="255"/>
      <c r="E427" s="453"/>
      <c r="F427" s="454"/>
      <c r="G427" s="268"/>
      <c r="H427" s="268"/>
      <c r="I427" s="267"/>
      <c r="J427" s="268"/>
      <c r="K427" s="268"/>
      <c r="L427" s="338"/>
      <c r="M427" s="268"/>
      <c r="N427" s="268"/>
      <c r="O427" s="393"/>
      <c r="P427" s="394"/>
      <c r="Q427" s="268"/>
      <c r="R427" s="393"/>
      <c r="S427" s="392"/>
      <c r="T427" s="268"/>
      <c r="U427" s="319"/>
      <c r="V427" s="274"/>
      <c r="W427" s="220"/>
      <c r="X427" s="274"/>
      <c r="Y427" s="274"/>
      <c r="Z427" s="220"/>
      <c r="AA427" s="51"/>
      <c r="AB427" s="51"/>
      <c r="AC427" s="51"/>
      <c r="AD427" s="220"/>
      <c r="AE427" s="389"/>
      <c r="AF427" s="257"/>
      <c r="AG427" s="269"/>
      <c r="AH427" s="219"/>
      <c r="AI427" s="39"/>
      <c r="AJ427" s="263"/>
      <c r="AK427" s="39"/>
      <c r="AL427" s="219"/>
      <c r="AM427" s="51"/>
      <c r="AN427" s="51"/>
      <c r="AO427" s="220"/>
      <c r="AP427" s="51"/>
      <c r="AQ427" s="51"/>
      <c r="AR427" s="51"/>
      <c r="AS427" s="219"/>
      <c r="AT427" s="51"/>
      <c r="AU427" s="51"/>
      <c r="AV427" s="220"/>
      <c r="AW427" s="51"/>
      <c r="AX427" s="51"/>
    </row>
    <row r="428" spans="1:50" customFormat="1">
      <c r="A428" s="391"/>
      <c r="B428" s="396"/>
      <c r="C428" s="395"/>
      <c r="D428" s="255"/>
      <c r="E428" s="255"/>
      <c r="F428" s="267"/>
      <c r="G428" s="268"/>
      <c r="H428" s="268"/>
      <c r="I428" s="267"/>
      <c r="J428" s="268"/>
      <c r="K428" s="268"/>
      <c r="L428" s="338"/>
      <c r="M428" s="268"/>
      <c r="N428" s="268"/>
      <c r="O428" s="393"/>
      <c r="P428" s="394"/>
      <c r="Q428" s="268"/>
      <c r="R428" s="393"/>
      <c r="S428" s="392"/>
      <c r="T428" s="268"/>
      <c r="U428" s="319"/>
      <c r="V428" s="274"/>
      <c r="W428" s="220"/>
      <c r="X428" s="274"/>
      <c r="Y428" s="274"/>
      <c r="Z428" s="220"/>
      <c r="AA428" s="51"/>
      <c r="AB428" s="51"/>
      <c r="AC428" s="51"/>
      <c r="AD428" s="220"/>
      <c r="AE428" s="389"/>
      <c r="AF428" s="257"/>
      <c r="AG428" s="269"/>
      <c r="AH428" s="219"/>
      <c r="AI428" s="39"/>
      <c r="AJ428" s="263"/>
      <c r="AK428" s="39"/>
      <c r="AL428" s="219"/>
      <c r="AM428" s="51"/>
      <c r="AN428" s="51"/>
      <c r="AO428" s="220"/>
      <c r="AP428" s="51"/>
      <c r="AQ428" s="51"/>
      <c r="AR428" s="51"/>
      <c r="AS428" s="219"/>
      <c r="AT428" s="51"/>
      <c r="AU428" s="51"/>
      <c r="AV428" s="220"/>
      <c r="AW428" s="51"/>
      <c r="AX428" s="51"/>
    </row>
    <row r="429" spans="1:50" customFormat="1">
      <c r="A429" s="391"/>
      <c r="B429" s="396"/>
      <c r="C429" s="395"/>
      <c r="D429" s="255"/>
      <c r="E429" s="255"/>
      <c r="F429" s="267"/>
      <c r="G429" s="268"/>
      <c r="H429" s="268"/>
      <c r="I429" s="267"/>
      <c r="J429" s="268"/>
      <c r="K429" s="268"/>
      <c r="L429" s="338"/>
      <c r="M429" s="268"/>
      <c r="N429" s="268"/>
      <c r="O429" s="393"/>
      <c r="P429" s="394"/>
      <c r="Q429" s="268"/>
      <c r="R429" s="393"/>
      <c r="S429" s="392"/>
      <c r="T429" s="268"/>
      <c r="U429" s="319"/>
      <c r="V429" s="274"/>
      <c r="W429" s="220"/>
      <c r="X429" s="274"/>
      <c r="Y429" s="274"/>
      <c r="Z429" s="220"/>
      <c r="AA429" s="51"/>
      <c r="AB429" s="51"/>
      <c r="AC429" s="51"/>
      <c r="AD429" s="220"/>
      <c r="AE429" s="389"/>
      <c r="AF429" s="257"/>
      <c r="AG429" s="269"/>
      <c r="AH429" s="219"/>
      <c r="AI429" s="39"/>
      <c r="AJ429" s="263"/>
      <c r="AK429" s="39"/>
      <c r="AL429" s="219"/>
      <c r="AM429" s="51"/>
      <c r="AN429" s="51"/>
      <c r="AO429" s="220"/>
      <c r="AP429" s="51"/>
      <c r="AQ429" s="51"/>
      <c r="AR429" s="51"/>
      <c r="AS429" s="219"/>
      <c r="AT429" s="51"/>
      <c r="AU429" s="51"/>
      <c r="AV429" s="220"/>
      <c r="AW429" s="51"/>
      <c r="AX429" s="51"/>
    </row>
    <row r="430" spans="1:50" customFormat="1">
      <c r="A430" s="391"/>
      <c r="B430" s="396"/>
      <c r="C430" s="395"/>
      <c r="D430" s="255"/>
      <c r="E430" s="255"/>
      <c r="F430" s="267"/>
      <c r="G430" s="268"/>
      <c r="H430" s="268"/>
      <c r="I430" s="267"/>
      <c r="J430" s="268"/>
      <c r="K430" s="268"/>
      <c r="L430" s="338"/>
      <c r="M430" s="268"/>
      <c r="N430" s="268"/>
      <c r="O430" s="393"/>
      <c r="P430" s="394"/>
      <c r="Q430" s="268"/>
      <c r="R430" s="393"/>
      <c r="S430" s="392"/>
      <c r="T430" s="268"/>
      <c r="U430" s="319"/>
      <c r="V430" s="274"/>
      <c r="W430" s="220"/>
      <c r="X430" s="274"/>
      <c r="Y430" s="274"/>
      <c r="Z430" s="220"/>
      <c r="AA430" s="51"/>
      <c r="AB430" s="51"/>
      <c r="AC430" s="51"/>
      <c r="AD430" s="220"/>
      <c r="AE430" s="389"/>
      <c r="AF430" s="257"/>
      <c r="AG430" s="269"/>
      <c r="AH430" s="219"/>
      <c r="AI430" s="39"/>
      <c r="AJ430" s="263"/>
      <c r="AK430" s="39"/>
      <c r="AL430" s="219"/>
      <c r="AM430" s="51"/>
      <c r="AN430" s="51"/>
      <c r="AO430" s="220"/>
      <c r="AP430" s="51"/>
      <c r="AQ430" s="51"/>
      <c r="AR430" s="51"/>
      <c r="AS430" s="219"/>
      <c r="AT430" s="51"/>
      <c r="AU430" s="51"/>
      <c r="AV430" s="220"/>
      <c r="AW430" s="51"/>
      <c r="AX430" s="51"/>
    </row>
    <row r="431" spans="1:50" customFormat="1" ht="18">
      <c r="A431" s="3" t="s">
        <v>1982</v>
      </c>
      <c r="B431" s="396" t="s">
        <v>1981</v>
      </c>
      <c r="C431" s="455">
        <f>AVERAGE(D431:D440)</f>
        <v>94.398029513874349</v>
      </c>
      <c r="D431" s="255">
        <v>93.3</v>
      </c>
      <c r="E431" s="453" t="s">
        <v>224</v>
      </c>
      <c r="F431" s="455">
        <f>G431</f>
        <v>-1.081</v>
      </c>
      <c r="G431" s="452">
        <v>-1.081</v>
      </c>
      <c r="H431" s="268" t="s">
        <v>2789</v>
      </c>
      <c r="I431" s="267"/>
      <c r="J431" s="268"/>
      <c r="K431" s="268"/>
      <c r="L431" s="213">
        <f>M431</f>
        <v>69.222363999999999</v>
      </c>
      <c r="M431" s="452">
        <f>'Table S4 Conversions and Notes'!J573</f>
        <v>69.222363999999999</v>
      </c>
      <c r="N431" s="448" t="s">
        <v>2840</v>
      </c>
      <c r="O431" s="393"/>
      <c r="P431" s="394"/>
      <c r="Q431" s="268"/>
      <c r="R431" s="393"/>
      <c r="S431" s="392"/>
      <c r="T431" s="268"/>
      <c r="U431" s="130">
        <f>AVERAGE(V431:V432)</f>
        <v>8.66</v>
      </c>
      <c r="V431" s="274">
        <v>8.66</v>
      </c>
      <c r="W431" s="220" t="s">
        <v>2805</v>
      </c>
      <c r="X431" s="303" t="e">
        <f ca="1">AVERAGE(Y431:Y443)</f>
        <v>#N/A</v>
      </c>
      <c r="Y431" s="274" t="e">
        <f ca="1">'Table S4 Conversions and Notes'!$J$350</f>
        <v>#N/A</v>
      </c>
      <c r="Z431" s="220" t="s">
        <v>2368</v>
      </c>
      <c r="AA431" s="130">
        <f>AC431</f>
        <v>-4.1308496465690387</v>
      </c>
      <c r="AB431" s="263">
        <f>0.00000181*101325</f>
        <v>0.18339825000000001</v>
      </c>
      <c r="AC431" s="260">
        <f>LOG(AB431/8.314/298.15)</f>
        <v>-4.1308496465690387</v>
      </c>
      <c r="AD431" s="220" t="s">
        <v>1973</v>
      </c>
      <c r="AE431" s="130" t="e">
        <f ca="1">AVERAGE(AF431:AF440)</f>
        <v>#N/A</v>
      </c>
      <c r="AF431" s="257">
        <f>LOG(9.7*10^-3,10)</f>
        <v>-2.0132282657337548</v>
      </c>
      <c r="AG431" s="269" t="s">
        <v>1929</v>
      </c>
      <c r="AH431" s="130" t="e">
        <f ca="1">AVERAGE(AI431:AI438)</f>
        <v>#N/A</v>
      </c>
      <c r="AI431" s="260" t="e">
        <f ca="1">LOG(AJ431/$B$432)</f>
        <v>#N/A</v>
      </c>
      <c r="AJ431" s="263" t="e">
        <f ca="1">'Table S4 Conversions and Notes'!$J$348</f>
        <v>#N/A</v>
      </c>
      <c r="AK431" s="51" t="s">
        <v>2554</v>
      </c>
      <c r="AL431" s="219"/>
      <c r="AM431" s="51"/>
      <c r="AN431" s="51"/>
      <c r="AO431" s="220"/>
      <c r="AP431" s="51"/>
      <c r="AQ431" s="51"/>
      <c r="AR431" s="51"/>
      <c r="AS431" s="201">
        <f>AVERAGE(AT431:AT435)</f>
        <v>-35</v>
      </c>
      <c r="AT431" s="51">
        <v>-35</v>
      </c>
      <c r="AU431" s="270">
        <f>AT431+273.15</f>
        <v>238.14999999999998</v>
      </c>
      <c r="AV431" s="220" t="s">
        <v>1943</v>
      </c>
      <c r="AW431" s="51"/>
      <c r="AX431" s="51"/>
    </row>
    <row r="432" spans="1:50" customFormat="1" ht="18.75">
      <c r="A432" s="391" t="s">
        <v>1980</v>
      </c>
      <c r="B432" s="396">
        <v>278.33999999999997</v>
      </c>
      <c r="C432" s="434">
        <f>_xlfn.STDEV.S(D431:D440)</f>
        <v>2.7191972778775324</v>
      </c>
      <c r="D432" s="255">
        <v>89.54</v>
      </c>
      <c r="E432" s="453" t="s">
        <v>224</v>
      </c>
      <c r="F432" s="455">
        <f>ABS(RSD_dHw*F431)</f>
        <v>0.2162</v>
      </c>
      <c r="G432" s="268"/>
      <c r="H432" s="268"/>
      <c r="I432" s="267"/>
      <c r="J432" s="268"/>
      <c r="K432" s="268"/>
      <c r="L432" s="145">
        <f>RSD_dUoa*L431</f>
        <v>4.3857963377810565</v>
      </c>
      <c r="M432" s="268"/>
      <c r="N432" s="268"/>
      <c r="O432" s="393"/>
      <c r="P432" s="394"/>
      <c r="Q432" s="268"/>
      <c r="R432" s="393"/>
      <c r="S432" s="392"/>
      <c r="T432" s="268"/>
      <c r="U432" s="130">
        <f>RSD_Koa*U431</f>
        <v>0.22297610464670758</v>
      </c>
      <c r="V432" s="274"/>
      <c r="W432" s="220"/>
      <c r="X432" s="303" t="e">
        <f ca="1">_xlfn.STDEV.S(Y431:Y443)</f>
        <v>#N/A</v>
      </c>
      <c r="Y432" s="274">
        <v>4.79</v>
      </c>
      <c r="Z432" s="220" t="s">
        <v>2365</v>
      </c>
      <c r="AA432" s="130">
        <f>ABS(RSD_Kaw*AA431)</f>
        <v>0.82616992931380784</v>
      </c>
      <c r="AB432" s="263">
        <v>0.13200000000000001</v>
      </c>
      <c r="AC432" s="261">
        <f>LOG(AB432/8.314/298.15)</f>
        <v>-4.2736709026461037</v>
      </c>
      <c r="AD432" s="155" t="s">
        <v>2336</v>
      </c>
      <c r="AE432" s="130" t="e">
        <f ca="1">_xlfn.STDEV.S(AF431:AF440)</f>
        <v>#N/A</v>
      </c>
      <c r="AF432" s="257">
        <f>LOG(0.0056,10)</f>
        <v>-2.2518119729937993</v>
      </c>
      <c r="AG432" s="269" t="s">
        <v>66</v>
      </c>
      <c r="AH432" s="130" t="e">
        <f ca="1">_xlfn.STDEV.S(AI431:AI438)</f>
        <v>#N/A</v>
      </c>
      <c r="AI432" s="260">
        <f>LOG(AJ432/$B$432)</f>
        <v>-1.3306322705955664</v>
      </c>
      <c r="AJ432" s="263">
        <v>13</v>
      </c>
      <c r="AK432" s="51" t="s">
        <v>2462</v>
      </c>
      <c r="AL432" s="219"/>
      <c r="AM432" s="51"/>
      <c r="AN432" s="51"/>
      <c r="AO432" s="220"/>
      <c r="AP432" s="51"/>
      <c r="AQ432" s="51"/>
      <c r="AR432" s="51"/>
      <c r="AS432" s="182">
        <f>_xlfn.STDEV.S(AT431:AT435)</f>
        <v>0</v>
      </c>
      <c r="AT432" s="51">
        <v>-35</v>
      </c>
      <c r="AU432" s="270">
        <f>AT432+273.15</f>
        <v>238.14999999999998</v>
      </c>
      <c r="AV432" s="220" t="s">
        <v>1979</v>
      </c>
      <c r="AW432" s="51"/>
      <c r="AX432" s="51"/>
    </row>
    <row r="433" spans="1:50" customFormat="1" ht="18">
      <c r="A433" s="391"/>
      <c r="B433" s="396"/>
      <c r="C433" s="395">
        <f>COUNT(D431:D440)</f>
        <v>10</v>
      </c>
      <c r="D433" s="255">
        <v>97.91</v>
      </c>
      <c r="E433" s="453" t="s">
        <v>224</v>
      </c>
      <c r="F433" s="395">
        <f>COUNT(G431:G435)</f>
        <v>1</v>
      </c>
      <c r="G433" s="268"/>
      <c r="H433" s="268"/>
      <c r="I433" s="267"/>
      <c r="J433" s="268"/>
      <c r="K433" s="268"/>
      <c r="L433" s="324">
        <f>COUNTA(M431:M433)</f>
        <v>1</v>
      </c>
      <c r="M433" s="268"/>
      <c r="N433" s="268"/>
      <c r="O433" s="393"/>
      <c r="P433" s="394"/>
      <c r="Q433" s="268"/>
      <c r="R433" s="393"/>
      <c r="S433" s="392"/>
      <c r="T433" s="268"/>
      <c r="U433" s="324">
        <f>COUNTA(V431:V433)</f>
        <v>1</v>
      </c>
      <c r="V433" s="274"/>
      <c r="W433" s="220"/>
      <c r="X433" s="324">
        <f ca="1">COUNTA(Y431:Y442)</f>
        <v>12</v>
      </c>
      <c r="Y433" s="274">
        <v>4.57</v>
      </c>
      <c r="Z433" s="220" t="s">
        <v>2083</v>
      </c>
      <c r="AA433" s="324">
        <f>COUNTA(AB431)</f>
        <v>1</v>
      </c>
      <c r="AB433" s="40"/>
      <c r="AC433" s="40"/>
      <c r="AD433" s="40"/>
      <c r="AE433" s="324">
        <f ca="1">COUNT(AF431:AF440)</f>
        <v>7</v>
      </c>
      <c r="AF433" s="257" t="e">
        <f ca="1">LOG('Table S4 Conversions and Notes'!$J$371)</f>
        <v>#N/A</v>
      </c>
      <c r="AG433" s="269" t="s">
        <v>2408</v>
      </c>
      <c r="AH433" s="324">
        <f ca="1">COUNT(AI431:AI437)</f>
        <v>5</v>
      </c>
      <c r="AI433" s="260">
        <f>LOG(AJ433/$B$432)</f>
        <v>-1.3953576002322217</v>
      </c>
      <c r="AJ433" s="263">
        <v>11.2</v>
      </c>
      <c r="AK433" s="51" t="s">
        <v>2365</v>
      </c>
      <c r="AL433" s="219"/>
      <c r="AM433" s="51"/>
      <c r="AN433" s="51"/>
      <c r="AO433" s="220"/>
      <c r="AP433" s="51"/>
      <c r="AQ433" s="51"/>
      <c r="AR433" s="51"/>
      <c r="AS433" s="324">
        <f>COUNTA(AT431:AT435)</f>
        <v>5</v>
      </c>
      <c r="AT433" s="51">
        <v>-35</v>
      </c>
      <c r="AU433" s="270">
        <f>AT433+273.15</f>
        <v>238.14999999999998</v>
      </c>
      <c r="AV433" s="220" t="s">
        <v>1941</v>
      </c>
      <c r="AW433" s="51"/>
      <c r="AX433" s="51"/>
    </row>
    <row r="434" spans="1:50" customFormat="1" ht="18">
      <c r="A434" s="391"/>
      <c r="B434" s="396"/>
      <c r="C434" s="395"/>
      <c r="D434" s="255">
        <v>95</v>
      </c>
      <c r="E434" s="255" t="s">
        <v>2589</v>
      </c>
      <c r="F434" s="267"/>
      <c r="G434" s="268"/>
      <c r="H434" s="268"/>
      <c r="I434" s="267"/>
      <c r="J434" s="268"/>
      <c r="K434" s="268"/>
      <c r="L434" s="338"/>
      <c r="M434" s="268"/>
      <c r="N434" s="268"/>
      <c r="O434" s="393"/>
      <c r="P434" s="394"/>
      <c r="Q434" s="268"/>
      <c r="R434" s="393"/>
      <c r="S434" s="392"/>
      <c r="T434" s="268"/>
      <c r="U434" s="319"/>
      <c r="V434" s="274"/>
      <c r="W434" s="220"/>
      <c r="X434" s="274"/>
      <c r="Y434" s="274">
        <v>4.82</v>
      </c>
      <c r="Z434" s="220" t="s">
        <v>1978</v>
      </c>
      <c r="AA434" s="51"/>
      <c r="AB434" s="51"/>
      <c r="AC434" s="51"/>
      <c r="AD434" s="220"/>
      <c r="AE434" s="389"/>
      <c r="AF434" s="257" t="e">
        <f ca="1">LOG('Table S4 Conversions and Notes'!$J$372)</f>
        <v>#N/A</v>
      </c>
      <c r="AG434" s="269" t="s">
        <v>2409</v>
      </c>
      <c r="AH434" s="219"/>
      <c r="AI434" s="260" t="e">
        <f ca="1">LOG('Table S4 Conversions and Notes'!$J$361,10)</f>
        <v>#N/A</v>
      </c>
      <c r="AJ434" s="263" t="e">
        <f ca="1">10^AI434*$B$432</f>
        <v>#N/A</v>
      </c>
      <c r="AK434" s="51" t="s">
        <v>2489</v>
      </c>
      <c r="AL434" s="219"/>
      <c r="AM434" s="51"/>
      <c r="AN434" s="51"/>
      <c r="AO434" s="220"/>
      <c r="AP434" s="51"/>
      <c r="AQ434" s="51"/>
      <c r="AR434" s="51"/>
      <c r="AS434" s="219"/>
      <c r="AT434" s="51">
        <v>-35</v>
      </c>
      <c r="AU434" s="270">
        <f>AT434+273.15</f>
        <v>238.14999999999998</v>
      </c>
      <c r="AV434" s="398" t="s">
        <v>1977</v>
      </c>
      <c r="AW434" s="51"/>
      <c r="AX434" s="51"/>
    </row>
    <row r="435" spans="1:50" customFormat="1" ht="18">
      <c r="A435" s="391"/>
      <c r="B435" s="396"/>
      <c r="C435" s="395"/>
      <c r="D435" s="255">
        <f>23.1*4.184</f>
        <v>96.650400000000005</v>
      </c>
      <c r="E435" s="255" t="s">
        <v>2343</v>
      </c>
      <c r="F435" s="267"/>
      <c r="G435" s="268"/>
      <c r="H435" s="268"/>
      <c r="I435" s="267"/>
      <c r="J435" s="268"/>
      <c r="K435" s="268"/>
      <c r="L435" s="338"/>
      <c r="M435" s="268"/>
      <c r="N435" s="268"/>
      <c r="O435" s="393"/>
      <c r="P435" s="394"/>
      <c r="Q435" s="268"/>
      <c r="R435" s="393"/>
      <c r="S435" s="392"/>
      <c r="T435" s="268"/>
      <c r="U435" s="319"/>
      <c r="V435" s="274"/>
      <c r="W435" s="220"/>
      <c r="X435" s="274"/>
      <c r="Y435" s="274">
        <v>4.13</v>
      </c>
      <c r="Z435" s="220" t="s">
        <v>818</v>
      </c>
      <c r="AA435" s="51"/>
      <c r="AB435" s="51"/>
      <c r="AC435" s="51"/>
      <c r="AD435" s="220"/>
      <c r="AE435" s="389"/>
      <c r="AF435" s="257" t="e">
        <f ca="1">LOG('Table S4 Conversions and Notes'!$J$373)</f>
        <v>#N/A</v>
      </c>
      <c r="AG435" s="269" t="s">
        <v>2410</v>
      </c>
      <c r="AH435" s="219"/>
      <c r="AI435" s="260">
        <f>LOG(AJ435/B432)</f>
        <v>-1.3876707715659307</v>
      </c>
      <c r="AJ435" s="263">
        <v>11.4</v>
      </c>
      <c r="AK435" s="51" t="s">
        <v>2490</v>
      </c>
      <c r="AL435" s="219"/>
      <c r="AM435" s="51"/>
      <c r="AN435" s="51"/>
      <c r="AO435" s="220"/>
      <c r="AP435" s="51"/>
      <c r="AQ435" s="51"/>
      <c r="AR435" s="51"/>
      <c r="AS435" s="219"/>
      <c r="AT435" s="51">
        <v>-35</v>
      </c>
      <c r="AU435" s="270">
        <f>AT435+273.15</f>
        <v>238.14999999999998</v>
      </c>
      <c r="AV435" s="220" t="s">
        <v>1976</v>
      </c>
      <c r="AW435" s="51"/>
      <c r="AX435" s="51"/>
    </row>
    <row r="436" spans="1:50" customFormat="1">
      <c r="A436" s="391"/>
      <c r="B436" s="396"/>
      <c r="C436" s="395"/>
      <c r="D436" s="448">
        <v>97.16</v>
      </c>
      <c r="E436" s="448" t="s">
        <v>2565</v>
      </c>
      <c r="F436" s="267"/>
      <c r="G436" s="268"/>
      <c r="H436" s="268"/>
      <c r="I436" s="267"/>
      <c r="J436" s="268"/>
      <c r="K436" s="268"/>
      <c r="L436" s="338"/>
      <c r="M436" s="268"/>
      <c r="N436" s="268"/>
      <c r="O436" s="393"/>
      <c r="P436" s="394"/>
      <c r="Q436" s="268"/>
      <c r="R436" s="393"/>
      <c r="S436" s="392"/>
      <c r="T436" s="268"/>
      <c r="U436" s="319"/>
      <c r="V436" s="274"/>
      <c r="W436" s="220"/>
      <c r="X436" s="274"/>
      <c r="Y436" s="274">
        <v>4.1100000000000003</v>
      </c>
      <c r="Z436" s="220" t="s">
        <v>1954</v>
      </c>
      <c r="AA436" s="51"/>
      <c r="AB436" s="51"/>
      <c r="AC436" s="51"/>
      <c r="AD436" s="220"/>
      <c r="AE436" s="389"/>
      <c r="AF436" s="257">
        <f>LOG(0.003873)</f>
        <v>-2.4119525030139171</v>
      </c>
      <c r="AG436" s="269" t="s">
        <v>1944</v>
      </c>
      <c r="AH436" s="219"/>
      <c r="AI436" s="260">
        <f>LOG(AJ436/B432)</f>
        <v>-1.2802227671179662</v>
      </c>
      <c r="AJ436" s="263">
        <v>14.6</v>
      </c>
      <c r="AK436" s="51" t="s">
        <v>2477</v>
      </c>
      <c r="AL436" s="219"/>
      <c r="AM436" s="51"/>
      <c r="AN436" s="51"/>
      <c r="AO436" s="220"/>
      <c r="AP436" s="51"/>
      <c r="AQ436" s="51"/>
      <c r="AR436" s="51"/>
      <c r="AS436" s="219"/>
      <c r="AT436" s="51"/>
      <c r="AU436" s="270"/>
      <c r="AV436" s="220"/>
      <c r="AW436" s="51"/>
      <c r="AX436" s="51"/>
    </row>
    <row r="437" spans="1:50" customFormat="1" ht="18">
      <c r="A437" s="391"/>
      <c r="B437" s="396"/>
      <c r="C437" s="395"/>
      <c r="D437" s="448">
        <f>'Table S4 Conversions and Notes'!$J$542</f>
        <v>91.8098951387434</v>
      </c>
      <c r="E437" s="448" t="s">
        <v>2699</v>
      </c>
      <c r="F437" s="267"/>
      <c r="G437" s="268"/>
      <c r="H437" s="268"/>
      <c r="I437" s="267"/>
      <c r="J437" s="268"/>
      <c r="K437" s="268"/>
      <c r="L437" s="338"/>
      <c r="M437" s="268"/>
      <c r="N437" s="268"/>
      <c r="O437" s="393"/>
      <c r="P437" s="394"/>
      <c r="Q437" s="268"/>
      <c r="R437" s="393"/>
      <c r="S437" s="392"/>
      <c r="T437" s="268"/>
      <c r="U437" s="319"/>
      <c r="V437" s="274"/>
      <c r="W437" s="220"/>
      <c r="X437" s="274"/>
      <c r="Y437" s="274">
        <f>'Table S4 Conversions and Notes'!$J$374</f>
        <v>4.72</v>
      </c>
      <c r="Z437" s="220" t="s">
        <v>1975</v>
      </c>
      <c r="AA437" s="51"/>
      <c r="AB437" s="51"/>
      <c r="AC437" s="51"/>
      <c r="AD437" s="220"/>
      <c r="AE437" s="389"/>
      <c r="AF437" s="257">
        <f>LOG(0.0041)</f>
        <v>-2.3872161432802645</v>
      </c>
      <c r="AG437" s="269" t="s">
        <v>1925</v>
      </c>
      <c r="AH437" s="219"/>
      <c r="AI437" s="260">
        <f>LOG(AJ437/B432)</f>
        <v>-1.4831545288359549</v>
      </c>
      <c r="AJ437" s="263">
        <v>9.15</v>
      </c>
      <c r="AK437" s="51" t="s">
        <v>2491</v>
      </c>
      <c r="AL437" s="219"/>
      <c r="AM437" s="51"/>
      <c r="AN437" s="51"/>
      <c r="AO437" s="220"/>
      <c r="AP437" s="51"/>
      <c r="AQ437" s="51"/>
      <c r="AR437" s="51"/>
      <c r="AS437" s="219"/>
      <c r="AT437" s="51"/>
      <c r="AU437" s="270"/>
      <c r="AV437" s="220"/>
      <c r="AW437" s="51"/>
      <c r="AX437" s="51"/>
    </row>
    <row r="438" spans="1:50" customFormat="1">
      <c r="A438" s="391"/>
      <c r="B438" s="396"/>
      <c r="C438" s="395"/>
      <c r="D438" s="448">
        <v>91.7</v>
      </c>
      <c r="E438" s="448" t="s">
        <v>2701</v>
      </c>
      <c r="F438" s="267"/>
      <c r="G438" s="268"/>
      <c r="H438" s="268"/>
      <c r="I438" s="267"/>
      <c r="J438" s="268"/>
      <c r="K438" s="268"/>
      <c r="L438" s="338"/>
      <c r="M438" s="268"/>
      <c r="N438" s="268"/>
      <c r="O438" s="393"/>
      <c r="P438" s="394"/>
      <c r="Q438" s="268"/>
      <c r="R438" s="393"/>
      <c r="S438" s="392"/>
      <c r="T438" s="268"/>
      <c r="U438" s="319"/>
      <c r="V438" s="274"/>
      <c r="W438" s="220"/>
      <c r="X438" s="274"/>
      <c r="Y438" s="274">
        <v>4.3</v>
      </c>
      <c r="Z438" s="220" t="s">
        <v>2369</v>
      </c>
      <c r="AA438" s="51"/>
      <c r="AB438" s="51"/>
      <c r="AC438" s="51"/>
      <c r="AD438" s="220"/>
      <c r="AE438" s="389"/>
      <c r="AF438" s="257">
        <f>LOG(0.0047)</f>
        <v>-2.3279021420642825</v>
      </c>
      <c r="AG438" s="269" t="s">
        <v>2566</v>
      </c>
      <c r="AH438" s="219"/>
      <c r="AI438" s="260">
        <f>LOG(AJ438/B432)</f>
        <v>-1.4714477693027044</v>
      </c>
      <c r="AJ438" s="263">
        <v>9.4</v>
      </c>
      <c r="AK438" s="51" t="s">
        <v>1974</v>
      </c>
      <c r="AL438" s="219"/>
      <c r="AM438" s="51"/>
      <c r="AN438" s="51"/>
      <c r="AO438" s="220"/>
      <c r="AP438" s="51"/>
      <c r="AQ438" s="51"/>
      <c r="AR438" s="51"/>
      <c r="AS438" s="219"/>
      <c r="AT438" s="51"/>
      <c r="AU438" s="270"/>
      <c r="AV438" s="220"/>
      <c r="AW438" s="51"/>
      <c r="AX438" s="51"/>
    </row>
    <row r="439" spans="1:50" customFormat="1" ht="18">
      <c r="A439" s="391"/>
      <c r="B439" s="396"/>
      <c r="C439" s="395"/>
      <c r="D439" s="448">
        <v>95.71</v>
      </c>
      <c r="E439" s="448" t="s">
        <v>2806</v>
      </c>
      <c r="F439" s="267"/>
      <c r="G439" s="268"/>
      <c r="H439" s="268"/>
      <c r="I439" s="267"/>
      <c r="J439" s="268"/>
      <c r="K439" s="268"/>
      <c r="L439" s="338"/>
      <c r="M439" s="268"/>
      <c r="N439" s="268"/>
      <c r="O439" s="393"/>
      <c r="P439" s="394"/>
      <c r="Q439" s="268"/>
      <c r="R439" s="393"/>
      <c r="S439" s="392"/>
      <c r="T439" s="268"/>
      <c r="U439" s="319"/>
      <c r="V439" s="274"/>
      <c r="W439" s="220"/>
      <c r="X439" s="274"/>
      <c r="Y439" s="274">
        <v>4.01</v>
      </c>
      <c r="Z439" s="220" t="s">
        <v>2370</v>
      </c>
      <c r="AA439" s="51"/>
      <c r="AB439" s="51"/>
      <c r="AC439" s="51"/>
      <c r="AD439" s="220"/>
      <c r="AE439" s="389"/>
      <c r="AF439" s="449">
        <f>LOG(0.0000272*133.322)</f>
        <v>-2.4405292759574406</v>
      </c>
      <c r="AG439" s="7" t="s">
        <v>2702</v>
      </c>
      <c r="AH439" s="219"/>
      <c r="AI439" s="260">
        <f>LOG('Table S4 Conversions and Notes'!J519)</f>
        <v>-1.4524985040342469</v>
      </c>
      <c r="AJ439" s="263">
        <f>10^AI439*$B$432</f>
        <v>9.8192229018732036</v>
      </c>
      <c r="AK439" s="51" t="s">
        <v>2562</v>
      </c>
      <c r="AL439" s="219"/>
      <c r="AM439" s="51"/>
      <c r="AN439" s="51"/>
      <c r="AO439" s="220"/>
      <c r="AP439" s="51"/>
      <c r="AQ439" s="51"/>
      <c r="AR439" s="51"/>
      <c r="AS439" s="219"/>
      <c r="AT439" s="51"/>
      <c r="AU439" s="270"/>
      <c r="AV439" s="220"/>
      <c r="AW439" s="51"/>
      <c r="AX439" s="51"/>
    </row>
    <row r="440" spans="1:50" customFormat="1" ht="18">
      <c r="A440" s="391"/>
      <c r="B440" s="396"/>
      <c r="C440" s="395"/>
      <c r="D440" s="255">
        <v>95.2</v>
      </c>
      <c r="E440" s="13" t="s">
        <v>2588</v>
      </c>
      <c r="F440" s="267"/>
      <c r="G440" s="268"/>
      <c r="H440" s="268"/>
      <c r="I440" s="267"/>
      <c r="J440" s="268"/>
      <c r="K440" s="268"/>
      <c r="L440" s="338"/>
      <c r="M440" s="268"/>
      <c r="N440" s="268"/>
      <c r="O440" s="393"/>
      <c r="P440" s="394"/>
      <c r="Q440" s="268"/>
      <c r="R440" s="393"/>
      <c r="S440" s="392"/>
      <c r="T440" s="268"/>
      <c r="U440" s="319"/>
      <c r="V440" s="274"/>
      <c r="W440" s="220"/>
      <c r="X440" s="274"/>
      <c r="Y440" s="274">
        <v>4.5</v>
      </c>
      <c r="Z440" s="220" t="s">
        <v>1940</v>
      </c>
      <c r="AA440" s="51"/>
      <c r="AB440" s="51"/>
      <c r="AC440" s="51"/>
      <c r="AD440" s="220"/>
      <c r="AE440" s="389"/>
      <c r="AF440" s="449">
        <f>LOG(EXP(-5.712),10)</f>
        <v>-2.4806900806313741</v>
      </c>
      <c r="AG440" s="7" t="s">
        <v>2804</v>
      </c>
      <c r="AH440" s="219"/>
      <c r="AI440" s="261">
        <f>LOG(AJ440/B432)</f>
        <v>1.2086368908729406</v>
      </c>
      <c r="AJ440" s="264">
        <f>'Table S4 Conversions and Notes'!$J$503</f>
        <v>4500</v>
      </c>
      <c r="AK440" s="262" t="s">
        <v>2495</v>
      </c>
      <c r="AL440" s="219"/>
      <c r="AM440" s="51"/>
      <c r="AN440" s="51"/>
      <c r="AO440" s="220"/>
      <c r="AP440" s="51"/>
      <c r="AQ440" s="51"/>
      <c r="AR440" s="51"/>
      <c r="AS440" s="219"/>
      <c r="AT440" s="51"/>
      <c r="AU440" s="270"/>
      <c r="AV440" s="220"/>
      <c r="AW440" s="51"/>
      <c r="AX440" s="51"/>
    </row>
    <row r="441" spans="1:50" customFormat="1" ht="18">
      <c r="A441" s="391"/>
      <c r="B441" s="396"/>
      <c r="C441" s="395"/>
      <c r="D441" s="435">
        <f>'Table S4 Conversions and Notes'!$J$539</f>
        <v>78.156414612381568</v>
      </c>
      <c r="E441" s="435" t="s">
        <v>2752</v>
      </c>
      <c r="F441" s="267"/>
      <c r="G441" s="268"/>
      <c r="H441" s="268"/>
      <c r="I441" s="267"/>
      <c r="J441" s="268"/>
      <c r="K441" s="268"/>
      <c r="L441" s="338"/>
      <c r="M441" s="268"/>
      <c r="N441" s="268"/>
      <c r="O441" s="393"/>
      <c r="P441" s="394"/>
      <c r="Q441" s="268"/>
      <c r="R441" s="393"/>
      <c r="S441" s="392"/>
      <c r="T441" s="268"/>
      <c r="U441" s="319"/>
      <c r="V441" s="274"/>
      <c r="W441" s="220"/>
      <c r="X441" s="274"/>
      <c r="Y441" s="274">
        <v>4.08</v>
      </c>
      <c r="Z441" s="220" t="s">
        <v>2088</v>
      </c>
      <c r="AA441" s="51"/>
      <c r="AB441" s="51"/>
      <c r="AC441" s="51"/>
      <c r="AD441" s="220"/>
      <c r="AE441" s="389"/>
      <c r="AF441" s="258" t="e">
        <f ca="1">LOG('Table S4 Conversions and Notes'!$J$367)</f>
        <v>#N/A</v>
      </c>
      <c r="AG441" s="285" t="s">
        <v>2412</v>
      </c>
      <c r="AH441" s="219"/>
      <c r="AI441" s="261">
        <f>LOG(0.0000402*1000)</f>
        <v>-1.3957739469155299</v>
      </c>
      <c r="AJ441" s="264">
        <f>10^AI441*$B$432</f>
        <v>11.189267999999995</v>
      </c>
      <c r="AK441" s="262" t="s">
        <v>1973</v>
      </c>
      <c r="AL441" s="219"/>
      <c r="AM441" s="51"/>
      <c r="AN441" s="51"/>
      <c r="AO441" s="220"/>
      <c r="AP441" s="51"/>
      <c r="AQ441" s="51"/>
      <c r="AR441" s="51"/>
      <c r="AS441" s="219"/>
      <c r="AT441" s="51"/>
      <c r="AU441" s="270"/>
      <c r="AV441" s="220"/>
      <c r="AW441" s="51"/>
      <c r="AX441" s="51"/>
    </row>
    <row r="442" spans="1:50" customFormat="1" ht="18">
      <c r="A442" s="391"/>
      <c r="B442" s="396"/>
      <c r="C442" s="395"/>
      <c r="D442" s="435">
        <f>17.7*4.184</f>
        <v>74.056799999999996</v>
      </c>
      <c r="E442" s="435" t="s">
        <v>2352</v>
      </c>
      <c r="F442" s="267"/>
      <c r="G442" s="268"/>
      <c r="H442" s="268"/>
      <c r="I442" s="267"/>
      <c r="J442" s="268"/>
      <c r="K442" s="268"/>
      <c r="L442" s="338"/>
      <c r="M442" s="268"/>
      <c r="N442" s="268"/>
      <c r="O442" s="393"/>
      <c r="P442" s="394"/>
      <c r="Q442" s="268"/>
      <c r="R442" s="393"/>
      <c r="S442" s="392"/>
      <c r="T442" s="268"/>
      <c r="U442" s="319"/>
      <c r="V442" s="274"/>
      <c r="W442" s="220"/>
      <c r="X442" s="274"/>
      <c r="Y442" s="274">
        <v>4.5599999999999996</v>
      </c>
      <c r="Z442" s="220" t="s">
        <v>2089</v>
      </c>
      <c r="AA442" s="51"/>
      <c r="AB442" s="51"/>
      <c r="AC442" s="51"/>
      <c r="AD442" s="220"/>
      <c r="AE442" s="389"/>
      <c r="AF442" s="258">
        <f>LOG(0.0000201*133.322)</f>
        <v>-2.5719021225711507</v>
      </c>
      <c r="AG442" s="285" t="s">
        <v>1973</v>
      </c>
      <c r="AH442" s="219"/>
      <c r="AI442" s="261" t="e">
        <f ca="1">LOG(AJ442/B432)</f>
        <v>#N/A</v>
      </c>
      <c r="AJ442" s="264" t="e">
        <f ca="1">'Table S4 Conversions and Notes'!$J$366</f>
        <v>#N/A</v>
      </c>
      <c r="AK442" s="262" t="s">
        <v>2492</v>
      </c>
      <c r="AL442" s="219"/>
      <c r="AM442" s="51"/>
      <c r="AN442" s="51"/>
      <c r="AO442" s="220"/>
      <c r="AP442" s="51"/>
      <c r="AQ442" s="51"/>
      <c r="AR442" s="51"/>
      <c r="AS442" s="219"/>
      <c r="AT442" s="51"/>
      <c r="AU442" s="270"/>
      <c r="AV442" s="220"/>
      <c r="AW442" s="51"/>
      <c r="AX442" s="51"/>
    </row>
    <row r="443" spans="1:50" customFormat="1" ht="18">
      <c r="A443" s="391"/>
      <c r="B443" s="396"/>
      <c r="C443" s="395"/>
      <c r="D443" s="435">
        <f>'Table S4 Conversions and Notes'!$J$554</f>
        <v>76.099999999999994</v>
      </c>
      <c r="E443" s="435" t="s">
        <v>2700</v>
      </c>
      <c r="F443" s="267"/>
      <c r="G443" s="268"/>
      <c r="H443" s="268"/>
      <c r="I443" s="267"/>
      <c r="J443" s="268"/>
      <c r="K443" s="268"/>
      <c r="L443" s="338"/>
      <c r="M443" s="268"/>
      <c r="N443" s="268"/>
      <c r="O443" s="393"/>
      <c r="P443" s="394"/>
      <c r="Q443" s="268"/>
      <c r="R443" s="393"/>
      <c r="S443" s="392"/>
      <c r="T443" s="268"/>
      <c r="U443" s="319"/>
      <c r="V443" s="274"/>
      <c r="W443" s="220"/>
      <c r="X443" s="274"/>
      <c r="Y443" s="274">
        <v>4.53</v>
      </c>
      <c r="Z443" s="220" t="s">
        <v>2564</v>
      </c>
      <c r="AA443" s="51"/>
      <c r="AB443" s="51"/>
      <c r="AC443" s="51"/>
      <c r="AD443" s="220"/>
      <c r="AE443" s="389"/>
      <c r="AF443" s="258" t="e">
        <f ca="1">LOG('Table S4 Conversions and Notes'!$J$420)</f>
        <v>#N/A</v>
      </c>
      <c r="AG443" s="285" t="s">
        <v>2413</v>
      </c>
      <c r="AH443" s="219"/>
      <c r="AI443" s="261">
        <f>LOG(AJ443/B432)</f>
        <v>-1.480787795556848</v>
      </c>
      <c r="AJ443" s="264">
        <f>'Table S4 Conversions and Notes'!J504</f>
        <v>9.1999999999999993</v>
      </c>
      <c r="AK443" s="262" t="s">
        <v>2496</v>
      </c>
      <c r="AL443" s="219"/>
      <c r="AM443" s="51"/>
      <c r="AN443" s="51"/>
      <c r="AO443" s="220"/>
      <c r="AP443" s="51"/>
      <c r="AQ443" s="51"/>
      <c r="AR443" s="51"/>
      <c r="AS443" s="219"/>
      <c r="AT443" s="51"/>
      <c r="AU443" s="270"/>
      <c r="AV443" s="220"/>
      <c r="AW443" s="51"/>
      <c r="AX443" s="51"/>
    </row>
    <row r="444" spans="1:50" customFormat="1" ht="18">
      <c r="A444" s="391"/>
      <c r="B444" s="396"/>
      <c r="C444" s="395"/>
      <c r="D444" s="1"/>
      <c r="E444" s="1"/>
      <c r="F444" s="267"/>
      <c r="G444" s="268"/>
      <c r="H444" s="268"/>
      <c r="I444" s="267"/>
      <c r="J444" s="268"/>
      <c r="K444" s="268"/>
      <c r="L444" s="338"/>
      <c r="M444" s="268"/>
      <c r="N444" s="268"/>
      <c r="O444" s="393"/>
      <c r="P444" s="394"/>
      <c r="Q444" s="268"/>
      <c r="R444" s="393"/>
      <c r="S444" s="392"/>
      <c r="T444" s="268"/>
      <c r="U444" s="319"/>
      <c r="V444" s="274"/>
      <c r="W444" s="220"/>
      <c r="X444" s="274"/>
      <c r="Y444" s="307" t="e">
        <f ca="1">'Table S4 Conversions and Notes'!$J$421</f>
        <v>#N/A</v>
      </c>
      <c r="Z444" s="259" t="s">
        <v>2434</v>
      </c>
      <c r="AA444" s="51"/>
      <c r="AB444" s="51"/>
      <c r="AC444" s="51"/>
      <c r="AD444" s="220"/>
      <c r="AE444" s="389"/>
      <c r="AF444" s="258" t="e">
        <f ca="1">LOG('Table S4 Conversions and Notes'!$J$408)</f>
        <v>#N/A</v>
      </c>
      <c r="AG444" s="285" t="s">
        <v>2415</v>
      </c>
      <c r="AH444" s="219"/>
      <c r="AI444" s="261">
        <f>LOG(AJ444/B432)</f>
        <v>-1.3306322705955664</v>
      </c>
      <c r="AJ444" s="264">
        <f>'Table S4 Conversions and Notes'!J505</f>
        <v>13</v>
      </c>
      <c r="AK444" s="262" t="s">
        <v>2497</v>
      </c>
      <c r="AL444" s="219"/>
      <c r="AM444" s="51"/>
      <c r="AN444" s="51"/>
      <c r="AO444" s="220"/>
      <c r="AP444" s="51"/>
      <c r="AQ444" s="51"/>
      <c r="AR444" s="51"/>
      <c r="AS444" s="219"/>
      <c r="AT444" s="51"/>
      <c r="AU444" s="270"/>
      <c r="AV444" s="220"/>
      <c r="AW444" s="51"/>
      <c r="AX444" s="51"/>
    </row>
    <row r="445" spans="1:50" customFormat="1" ht="18">
      <c r="A445" s="391"/>
      <c r="B445" s="396"/>
      <c r="C445" s="395"/>
      <c r="D445" s="255"/>
      <c r="E445" s="255"/>
      <c r="F445" s="267"/>
      <c r="G445" s="268"/>
      <c r="H445" s="268"/>
      <c r="I445" s="267"/>
      <c r="J445" s="268"/>
      <c r="K445" s="268"/>
      <c r="L445" s="338"/>
      <c r="M445" s="268"/>
      <c r="N445" s="268"/>
      <c r="O445" s="393"/>
      <c r="P445" s="394"/>
      <c r="Q445" s="268"/>
      <c r="R445" s="393"/>
      <c r="S445" s="392"/>
      <c r="T445" s="268"/>
      <c r="U445" s="319"/>
      <c r="V445" s="274"/>
      <c r="W445" s="220"/>
      <c r="X445" s="274"/>
      <c r="Y445" s="307">
        <v>3.74</v>
      </c>
      <c r="Z445" s="259" t="s">
        <v>2399</v>
      </c>
      <c r="AA445" s="51"/>
      <c r="AB445" s="51"/>
      <c r="AC445" s="51"/>
      <c r="AD445" s="220"/>
      <c r="AE445" s="389"/>
      <c r="AF445" s="258" t="e">
        <f ca="1">LOG('Table S4 Conversions and Notes'!$J$368)</f>
        <v>#N/A</v>
      </c>
      <c r="AG445" s="285" t="s">
        <v>2416</v>
      </c>
      <c r="AH445" s="219"/>
      <c r="AI445" s="261">
        <f>LOG(AJ445/$B$432)</f>
        <v>-1.4000358625099922</v>
      </c>
      <c r="AJ445" s="264">
        <f>'Table S4 Conversions and Notes'!$J$357</f>
        <v>11.08</v>
      </c>
      <c r="AK445" s="262" t="s">
        <v>2493</v>
      </c>
      <c r="AL445" s="219"/>
      <c r="AM445" s="51"/>
      <c r="AN445" s="51"/>
      <c r="AO445" s="220"/>
      <c r="AP445" s="51"/>
      <c r="AQ445" s="51"/>
      <c r="AR445" s="51"/>
      <c r="AS445" s="219"/>
      <c r="AT445" s="51"/>
      <c r="AU445" s="270"/>
      <c r="AV445" s="220"/>
      <c r="AW445" s="51"/>
      <c r="AX445" s="51"/>
    </row>
    <row r="446" spans="1:50" customFormat="1" ht="18">
      <c r="A446" s="391"/>
      <c r="B446" s="396"/>
      <c r="C446" s="395"/>
      <c r="D446" s="255"/>
      <c r="E446" s="255"/>
      <c r="F446" s="267"/>
      <c r="G446" s="268"/>
      <c r="H446" s="268"/>
      <c r="I446" s="267"/>
      <c r="J446" s="268"/>
      <c r="K446" s="268"/>
      <c r="L446" s="338"/>
      <c r="M446" s="268"/>
      <c r="N446" s="268"/>
      <c r="O446" s="393"/>
      <c r="P446" s="394"/>
      <c r="Q446" s="268"/>
      <c r="R446" s="393"/>
      <c r="S446" s="392"/>
      <c r="T446" s="268"/>
      <c r="U446" s="319"/>
      <c r="V446" s="274"/>
      <c r="W446" s="220"/>
      <c r="X446" s="274"/>
      <c r="Y446" s="307">
        <v>4.5</v>
      </c>
      <c r="Z446" s="259" t="s">
        <v>1973</v>
      </c>
      <c r="AA446" s="51"/>
      <c r="AB446" s="51"/>
      <c r="AC446" s="51"/>
      <c r="AD446" s="220"/>
      <c r="AE446" s="389"/>
      <c r="AF446" s="258" t="e">
        <f ca="1">LOG('Table S4 Conversions and Notes'!$J$369)</f>
        <v>#N/A</v>
      </c>
      <c r="AG446" s="285" t="s">
        <v>2417</v>
      </c>
      <c r="AH446" s="219"/>
      <c r="AI446" s="40"/>
      <c r="AJ446" s="40"/>
      <c r="AK446" s="40"/>
      <c r="AL446" s="219"/>
      <c r="AM446" s="51"/>
      <c r="AN446" s="51"/>
      <c r="AO446" s="220"/>
      <c r="AP446" s="51"/>
      <c r="AQ446" s="51"/>
      <c r="AR446" s="51"/>
      <c r="AS446" s="219"/>
      <c r="AT446" s="51"/>
      <c r="AU446" s="270"/>
      <c r="AV446" s="220"/>
      <c r="AW446" s="51"/>
      <c r="AX446" s="51"/>
    </row>
    <row r="447" spans="1:50" customFormat="1" ht="18">
      <c r="A447" s="391"/>
      <c r="B447" s="396"/>
      <c r="C447" s="395"/>
      <c r="D447" s="255"/>
      <c r="E447" s="255"/>
      <c r="F447" s="267"/>
      <c r="G447" s="268"/>
      <c r="H447" s="268"/>
      <c r="I447" s="267"/>
      <c r="J447" s="268"/>
      <c r="K447" s="268"/>
      <c r="L447" s="338"/>
      <c r="M447" s="268"/>
      <c r="N447" s="268"/>
      <c r="O447" s="393"/>
      <c r="P447" s="394"/>
      <c r="Q447" s="268"/>
      <c r="R447" s="393"/>
      <c r="S447" s="392"/>
      <c r="T447" s="268"/>
      <c r="U447" s="319"/>
      <c r="V447" s="274"/>
      <c r="W447" s="220"/>
      <c r="X447" s="274"/>
      <c r="Y447" s="307">
        <v>4.72</v>
      </c>
      <c r="Z447" s="259" t="s">
        <v>2371</v>
      </c>
      <c r="AA447" s="51"/>
      <c r="AB447" s="51"/>
      <c r="AC447" s="51"/>
      <c r="AD447" s="220"/>
      <c r="AE447" s="389"/>
      <c r="AF447" s="258" t="e">
        <f ca="1">LOG('Table S4 Conversions and Notes'!$J$378)</f>
        <v>#N/A</v>
      </c>
      <c r="AG447" s="285" t="s">
        <v>2418</v>
      </c>
      <c r="AH447" s="219"/>
      <c r="AI447" s="260"/>
      <c r="AJ447" s="263"/>
      <c r="AK447" s="51"/>
      <c r="AL447" s="219"/>
      <c r="AM447" s="51"/>
      <c r="AN447" s="51"/>
      <c r="AO447" s="220"/>
      <c r="AP447" s="51"/>
      <c r="AQ447" s="51"/>
      <c r="AR447" s="51"/>
      <c r="AS447" s="219"/>
      <c r="AT447" s="51"/>
      <c r="AU447" s="270"/>
      <c r="AV447" s="220"/>
      <c r="AW447" s="51"/>
      <c r="AX447" s="51"/>
    </row>
    <row r="448" spans="1:50" customFormat="1" ht="18">
      <c r="A448" s="391"/>
      <c r="B448" s="396"/>
      <c r="C448" s="395"/>
      <c r="D448" s="255"/>
      <c r="E448" s="255"/>
      <c r="F448" s="267"/>
      <c r="G448" s="268"/>
      <c r="H448" s="268"/>
      <c r="I448" s="267"/>
      <c r="J448" s="268"/>
      <c r="K448" s="268"/>
      <c r="L448" s="338"/>
      <c r="M448" s="268"/>
      <c r="N448" s="268"/>
      <c r="O448" s="393"/>
      <c r="P448" s="394"/>
      <c r="Q448" s="268"/>
      <c r="R448" s="393"/>
      <c r="S448" s="392"/>
      <c r="T448" s="268"/>
      <c r="U448" s="319"/>
      <c r="V448" s="274"/>
      <c r="W448" s="220"/>
      <c r="X448" s="274"/>
      <c r="Y448" s="274"/>
      <c r="Z448" s="220"/>
      <c r="AA448" s="51"/>
      <c r="AB448" s="51"/>
      <c r="AC448" s="51"/>
      <c r="AD448" s="220"/>
      <c r="AE448" s="389"/>
      <c r="AF448" s="258" t="e">
        <f ca="1">LOG('Table S4 Conversions and Notes'!$J$370)</f>
        <v>#N/A</v>
      </c>
      <c r="AG448" s="285" t="s">
        <v>2424</v>
      </c>
      <c r="AH448" s="219"/>
      <c r="AI448" s="260"/>
      <c r="AJ448" s="263"/>
      <c r="AK448" s="51"/>
      <c r="AL448" s="219"/>
      <c r="AM448" s="51"/>
      <c r="AN448" s="51"/>
      <c r="AO448" s="220"/>
      <c r="AP448" s="51"/>
      <c r="AQ448" s="51"/>
      <c r="AR448" s="51"/>
      <c r="AS448" s="219"/>
      <c r="AT448" s="51"/>
      <c r="AU448" s="270"/>
      <c r="AV448" s="220"/>
      <c r="AW448" s="51"/>
      <c r="AX448" s="51"/>
    </row>
    <row r="449" spans="1:50" customFormat="1" ht="18">
      <c r="A449" s="391"/>
      <c r="B449" s="396"/>
      <c r="C449" s="395"/>
      <c r="D449" s="255"/>
      <c r="E449" s="255"/>
      <c r="F449" s="267"/>
      <c r="G449" s="268"/>
      <c r="H449" s="268"/>
      <c r="I449" s="267"/>
      <c r="J449" s="268"/>
      <c r="K449" s="268"/>
      <c r="L449" s="338"/>
      <c r="M449" s="268"/>
      <c r="N449" s="268"/>
      <c r="O449" s="393"/>
      <c r="P449" s="394"/>
      <c r="Q449" s="268"/>
      <c r="R449" s="393"/>
      <c r="S449" s="392"/>
      <c r="T449" s="268"/>
      <c r="U449" s="319"/>
      <c r="V449" s="274"/>
      <c r="W449" s="220"/>
      <c r="X449" s="274"/>
      <c r="Y449" s="274"/>
      <c r="Z449" s="220"/>
      <c r="AA449" s="51"/>
      <c r="AB449" s="51"/>
      <c r="AC449" s="51"/>
      <c r="AD449" s="220"/>
      <c r="AE449" s="389"/>
      <c r="AF449" s="258" t="e">
        <f ca="1">LOG('Table S4 Conversions and Notes'!$J$405)</f>
        <v>#N/A</v>
      </c>
      <c r="AG449" s="285" t="s">
        <v>2430</v>
      </c>
      <c r="AH449" s="219"/>
      <c r="AI449" s="260"/>
      <c r="AJ449" s="263"/>
      <c r="AK449" s="51"/>
      <c r="AL449" s="219"/>
      <c r="AM449" s="51"/>
      <c r="AN449" s="51"/>
      <c r="AO449" s="220"/>
      <c r="AP449" s="51"/>
      <c r="AQ449" s="51"/>
      <c r="AR449" s="51"/>
      <c r="AS449" s="219"/>
      <c r="AT449" s="51"/>
      <c r="AU449" s="270"/>
      <c r="AV449" s="220"/>
      <c r="AW449" s="51"/>
      <c r="AX449" s="51"/>
    </row>
    <row r="450" spans="1:50" customFormat="1" ht="18">
      <c r="A450" s="391"/>
      <c r="B450" s="396"/>
      <c r="C450" s="395"/>
      <c r="D450" s="255"/>
      <c r="E450" s="255"/>
      <c r="F450" s="267"/>
      <c r="G450" s="268"/>
      <c r="H450" s="268"/>
      <c r="I450" s="267"/>
      <c r="J450" s="268"/>
      <c r="K450" s="268"/>
      <c r="L450" s="338"/>
      <c r="M450" s="268"/>
      <c r="N450" s="268"/>
      <c r="O450" s="393"/>
      <c r="P450" s="394"/>
      <c r="Q450" s="268"/>
      <c r="R450" s="393"/>
      <c r="S450" s="392"/>
      <c r="T450" s="268"/>
      <c r="U450" s="319"/>
      <c r="V450" s="274"/>
      <c r="W450" s="220"/>
      <c r="X450" s="274"/>
      <c r="Y450" s="274"/>
      <c r="Z450" s="220"/>
      <c r="AA450" s="51"/>
      <c r="AB450" s="51"/>
      <c r="AC450" s="51"/>
      <c r="AD450" s="220"/>
      <c r="AE450" s="389"/>
      <c r="AF450" s="258" t="e">
        <f ca="1">LOG('Table S4 Conversions and Notes'!$J$419)</f>
        <v>#N/A</v>
      </c>
      <c r="AG450" s="285" t="s">
        <v>2437</v>
      </c>
      <c r="AH450" s="219"/>
      <c r="AI450" s="260"/>
      <c r="AJ450" s="263"/>
      <c r="AK450" s="51"/>
      <c r="AL450" s="219"/>
      <c r="AM450" s="51"/>
      <c r="AN450" s="51"/>
      <c r="AO450" s="220"/>
      <c r="AP450" s="51"/>
      <c r="AQ450" s="51"/>
      <c r="AR450" s="51"/>
      <c r="AS450" s="219"/>
      <c r="AT450" s="51"/>
      <c r="AU450" s="270"/>
      <c r="AV450" s="220"/>
      <c r="AW450" s="51"/>
      <c r="AX450" s="51"/>
    </row>
    <row r="451" spans="1:50" customFormat="1" ht="18">
      <c r="A451" s="391"/>
      <c r="B451" s="396"/>
      <c r="C451" s="395"/>
      <c r="D451" s="255"/>
      <c r="E451" s="255"/>
      <c r="F451" s="267"/>
      <c r="G451" s="268"/>
      <c r="H451" s="268"/>
      <c r="I451" s="267"/>
      <c r="J451" s="268"/>
      <c r="K451" s="268"/>
      <c r="L451" s="338"/>
      <c r="M451" s="268"/>
      <c r="N451" s="268"/>
      <c r="O451" s="393"/>
      <c r="P451" s="394"/>
      <c r="Q451" s="268"/>
      <c r="R451" s="393"/>
      <c r="S451" s="392"/>
      <c r="T451" s="268"/>
      <c r="U451" s="319"/>
      <c r="V451" s="274"/>
      <c r="W451" s="220"/>
      <c r="X451" s="274"/>
      <c r="Y451" s="274"/>
      <c r="Z451" s="220"/>
      <c r="AA451" s="51"/>
      <c r="AB451" s="51"/>
      <c r="AC451" s="51"/>
      <c r="AD451" s="220"/>
      <c r="AE451" s="389"/>
      <c r="AF451" s="258">
        <f>'Table S4 Conversions and Notes'!$J$496</f>
        <v>-1.4993997060691193</v>
      </c>
      <c r="AG451" s="185" t="s">
        <v>2439</v>
      </c>
      <c r="AH451" s="219"/>
      <c r="AI451" s="260"/>
      <c r="AJ451" s="263"/>
      <c r="AK451" s="51"/>
      <c r="AL451" s="219"/>
      <c r="AM451" s="51"/>
      <c r="AN451" s="51"/>
      <c r="AO451" s="220"/>
      <c r="AP451" s="51"/>
      <c r="AQ451" s="51"/>
      <c r="AR451" s="51"/>
      <c r="AS451" s="219"/>
      <c r="AT451" s="51"/>
      <c r="AU451" s="270"/>
      <c r="AV451" s="220"/>
      <c r="AW451" s="51"/>
      <c r="AX451" s="51"/>
    </row>
    <row r="452" spans="1:50" customFormat="1" ht="18">
      <c r="A452" s="391"/>
      <c r="B452" s="396"/>
      <c r="C452" s="395"/>
      <c r="D452" s="255"/>
      <c r="E452" s="255"/>
      <c r="F452" s="267"/>
      <c r="G452" s="268"/>
      <c r="H452" s="268"/>
      <c r="I452" s="267"/>
      <c r="J452" s="268"/>
      <c r="K452" s="268"/>
      <c r="L452" s="338"/>
      <c r="M452" s="268"/>
      <c r="N452" s="268"/>
      <c r="O452" s="393"/>
      <c r="P452" s="394"/>
      <c r="Q452" s="268"/>
      <c r="R452" s="393"/>
      <c r="S452" s="392"/>
      <c r="T452" s="268"/>
      <c r="U452" s="319"/>
      <c r="V452" s="274"/>
      <c r="W452" s="220"/>
      <c r="X452" s="274"/>
      <c r="Y452" s="274"/>
      <c r="Z452" s="220"/>
      <c r="AA452" s="51"/>
      <c r="AB452" s="51"/>
      <c r="AC452" s="51"/>
      <c r="AD452" s="220"/>
      <c r="AE452" s="389"/>
      <c r="AF452" s="258">
        <f>LOG(10^(9.24-3876/298.15)*133.322)</f>
        <v>-1.6352658808133742</v>
      </c>
      <c r="AG452" s="285" t="s">
        <v>2441</v>
      </c>
      <c r="AH452" s="219"/>
      <c r="AI452" s="260"/>
      <c r="AJ452" s="263"/>
      <c r="AK452" s="51"/>
      <c r="AL452" s="219"/>
      <c r="AM452" s="51"/>
      <c r="AN452" s="51"/>
      <c r="AO452" s="220"/>
      <c r="AP452" s="51"/>
      <c r="AQ452" s="51"/>
      <c r="AR452" s="51"/>
      <c r="AS452" s="219"/>
      <c r="AT452" s="51"/>
      <c r="AU452" s="270"/>
      <c r="AV452" s="220"/>
      <c r="AW452" s="51"/>
      <c r="AX452" s="51"/>
    </row>
    <row r="453" spans="1:50" customFormat="1" ht="18">
      <c r="A453" s="391"/>
      <c r="B453" s="396"/>
      <c r="C453" s="395"/>
      <c r="D453" s="255"/>
      <c r="E453" s="255"/>
      <c r="F453" s="267"/>
      <c r="G453" s="268"/>
      <c r="H453" s="268"/>
      <c r="I453" s="267"/>
      <c r="J453" s="268"/>
      <c r="K453" s="268"/>
      <c r="L453" s="338"/>
      <c r="M453" s="268"/>
      <c r="N453" s="268"/>
      <c r="O453" s="393"/>
      <c r="P453" s="394"/>
      <c r="Q453" s="268"/>
      <c r="R453" s="393"/>
      <c r="S453" s="392"/>
      <c r="T453" s="268"/>
      <c r="U453" s="319"/>
      <c r="V453" s="274"/>
      <c r="W453" s="220"/>
      <c r="X453" s="274"/>
      <c r="Y453" s="274"/>
      <c r="Z453" s="220"/>
      <c r="AA453" s="51"/>
      <c r="AB453" s="51"/>
      <c r="AC453" s="51"/>
      <c r="AD453" s="220"/>
      <c r="AE453" s="389"/>
      <c r="AF453" s="258">
        <f>'Table S4 Conversions and Notes'!$J$498</f>
        <v>-2.8761483590329142</v>
      </c>
      <c r="AG453" s="285" t="s">
        <v>2443</v>
      </c>
      <c r="AH453" s="219"/>
      <c r="AI453" s="260"/>
      <c r="AJ453" s="263"/>
      <c r="AK453" s="51"/>
      <c r="AL453" s="219"/>
      <c r="AM453" s="51"/>
      <c r="AN453" s="51"/>
      <c r="AO453" s="220"/>
      <c r="AP453" s="51"/>
      <c r="AQ453" s="51"/>
      <c r="AR453" s="51"/>
      <c r="AS453" s="219"/>
      <c r="AT453" s="51"/>
      <c r="AU453" s="270"/>
      <c r="AV453" s="220"/>
      <c r="AW453" s="51"/>
      <c r="AX453" s="51"/>
    </row>
    <row r="454" spans="1:50" customFormat="1" ht="18">
      <c r="A454" s="391"/>
      <c r="B454" s="396"/>
      <c r="C454" s="395"/>
      <c r="D454" s="255"/>
      <c r="E454" s="255"/>
      <c r="F454" s="267"/>
      <c r="G454" s="268"/>
      <c r="H454" s="268"/>
      <c r="I454" s="267"/>
      <c r="J454" s="268"/>
      <c r="K454" s="268"/>
      <c r="L454" s="338"/>
      <c r="M454" s="268"/>
      <c r="N454" s="268"/>
      <c r="O454" s="393"/>
      <c r="P454" s="394"/>
      <c r="Q454" s="268"/>
      <c r="R454" s="393"/>
      <c r="S454" s="392"/>
      <c r="T454" s="268"/>
      <c r="U454" s="319"/>
      <c r="V454" s="274"/>
      <c r="W454" s="220"/>
      <c r="X454" s="274"/>
      <c r="Y454" s="274"/>
      <c r="Z454" s="220"/>
      <c r="AA454" s="51"/>
      <c r="AB454" s="51"/>
      <c r="AC454" s="51"/>
      <c r="AD454" s="220"/>
      <c r="AE454" s="389"/>
      <c r="AF454" s="258">
        <f>LOG(0.0011)</f>
        <v>-2.9586073148417751</v>
      </c>
      <c r="AG454" s="285" t="s">
        <v>2444</v>
      </c>
      <c r="AH454" s="219"/>
      <c r="AI454" s="260"/>
      <c r="AJ454" s="263"/>
      <c r="AK454" s="51"/>
      <c r="AL454" s="219"/>
      <c r="AM454" s="51"/>
      <c r="AN454" s="51"/>
      <c r="AO454" s="220"/>
      <c r="AP454" s="51"/>
      <c r="AQ454" s="51"/>
      <c r="AR454" s="51"/>
      <c r="AS454" s="219"/>
      <c r="AT454" s="51"/>
      <c r="AU454" s="270"/>
      <c r="AV454" s="220"/>
      <c r="AW454" s="51"/>
      <c r="AX454" s="51"/>
    </row>
    <row r="455" spans="1:50" customFormat="1" ht="18">
      <c r="A455" s="391"/>
      <c r="B455" s="396"/>
      <c r="C455" s="395"/>
      <c r="D455" s="255"/>
      <c r="E455" s="255"/>
      <c r="F455" s="267"/>
      <c r="G455" s="268"/>
      <c r="H455" s="268"/>
      <c r="I455" s="267"/>
      <c r="J455" s="268"/>
      <c r="K455" s="268"/>
      <c r="L455" s="338"/>
      <c r="M455" s="268"/>
      <c r="N455" s="268"/>
      <c r="O455" s="393"/>
      <c r="P455" s="394"/>
      <c r="Q455" s="268"/>
      <c r="R455" s="393"/>
      <c r="S455" s="392"/>
      <c r="T455" s="268"/>
      <c r="U455" s="319"/>
      <c r="V455" s="274"/>
      <c r="W455" s="220"/>
      <c r="X455" s="274"/>
      <c r="Y455" s="274"/>
      <c r="Z455" s="220"/>
      <c r="AA455" s="51"/>
      <c r="AB455" s="51"/>
      <c r="AC455" s="51"/>
      <c r="AD455" s="220"/>
      <c r="AE455" s="389"/>
      <c r="AF455" s="286" t="e">
        <f ca="1">LOG('Table S4 Conversions and Notes'!$J$541)</f>
        <v>#N/A</v>
      </c>
      <c r="AG455" s="286" t="s">
        <v>2785</v>
      </c>
      <c r="AH455" s="219"/>
      <c r="AI455" s="260"/>
      <c r="AJ455" s="263"/>
      <c r="AK455" s="51"/>
      <c r="AL455" s="219"/>
      <c r="AM455" s="51"/>
      <c r="AN455" s="51"/>
      <c r="AO455" s="220"/>
      <c r="AP455" s="51"/>
      <c r="AQ455" s="51"/>
      <c r="AR455" s="51"/>
      <c r="AS455" s="219"/>
      <c r="AT455" s="51"/>
      <c r="AU455" s="270"/>
      <c r="AV455" s="220"/>
      <c r="AW455" s="51"/>
      <c r="AX455" s="51"/>
    </row>
    <row r="456" spans="1:50" customFormat="1">
      <c r="A456" s="391"/>
      <c r="B456" s="396"/>
      <c r="C456" s="395"/>
      <c r="D456" s="255"/>
      <c r="E456" s="255"/>
      <c r="F456" s="267"/>
      <c r="G456" s="268"/>
      <c r="H456" s="268"/>
      <c r="I456" s="267"/>
      <c r="J456" s="268"/>
      <c r="K456" s="268"/>
      <c r="L456" s="338"/>
      <c r="M456" s="268"/>
      <c r="N456" s="268"/>
      <c r="O456" s="393"/>
      <c r="P456" s="394"/>
      <c r="Q456" s="268"/>
      <c r="R456" s="393"/>
      <c r="S456" s="392"/>
      <c r="T456" s="268"/>
      <c r="U456" s="319"/>
      <c r="V456" s="274"/>
      <c r="W456" s="220"/>
      <c r="X456" s="274"/>
      <c r="Y456" s="274"/>
      <c r="Z456" s="220"/>
      <c r="AA456" s="51"/>
      <c r="AB456" s="51"/>
      <c r="AC456" s="51"/>
      <c r="AD456" s="220"/>
      <c r="AE456" s="389"/>
      <c r="AF456" s="1"/>
      <c r="AG456" s="1"/>
      <c r="AH456" s="219"/>
      <c r="AI456" s="260"/>
      <c r="AJ456" s="263"/>
      <c r="AK456" s="51"/>
      <c r="AL456" s="219"/>
      <c r="AM456" s="51"/>
      <c r="AN456" s="51"/>
      <c r="AO456" s="220"/>
      <c r="AP456" s="51"/>
      <c r="AQ456" s="51"/>
      <c r="AR456" s="51"/>
      <c r="AS456" s="219"/>
      <c r="AT456" s="51"/>
      <c r="AU456" s="270"/>
      <c r="AV456" s="220"/>
      <c r="AW456" s="51"/>
      <c r="AX456" s="51"/>
    </row>
    <row r="457" spans="1:50" customFormat="1">
      <c r="A457" s="391"/>
      <c r="B457" s="396"/>
      <c r="C457" s="395"/>
      <c r="D457" s="255"/>
      <c r="E457" s="255"/>
      <c r="F457" s="267"/>
      <c r="G457" s="268"/>
      <c r="H457" s="268"/>
      <c r="I457" s="267"/>
      <c r="J457" s="268"/>
      <c r="K457" s="268"/>
      <c r="L457" s="338"/>
      <c r="M457" s="268"/>
      <c r="N457" s="268"/>
      <c r="O457" s="393"/>
      <c r="P457" s="394"/>
      <c r="Q457" s="268"/>
      <c r="R457" s="393"/>
      <c r="S457" s="392"/>
      <c r="T457" s="268"/>
      <c r="U457" s="319"/>
      <c r="V457" s="274"/>
      <c r="W457" s="220"/>
      <c r="X457" s="274"/>
      <c r="Y457" s="274"/>
      <c r="Z457" s="220"/>
      <c r="AA457" s="51"/>
      <c r="AB457" s="51"/>
      <c r="AC457" s="51"/>
      <c r="AD457" s="220"/>
      <c r="AE457" s="389"/>
      <c r="AF457" s="1"/>
      <c r="AG457" s="1"/>
      <c r="AH457" s="219"/>
      <c r="AI457" s="39"/>
      <c r="AJ457" s="263"/>
      <c r="AK457" s="39"/>
      <c r="AL457" s="219"/>
      <c r="AM457" s="51"/>
      <c r="AN457" s="51"/>
      <c r="AO457" s="220"/>
      <c r="AP457" s="51"/>
      <c r="AQ457" s="51"/>
      <c r="AR457" s="51"/>
      <c r="AS457" s="219"/>
      <c r="AT457" s="51"/>
      <c r="AU457" s="270"/>
      <c r="AV457" s="220"/>
      <c r="AW457" s="51"/>
      <c r="AX457" s="51"/>
    </row>
    <row r="458" spans="1:50" customFormat="1" ht="18.75">
      <c r="A458" s="3" t="s">
        <v>1972</v>
      </c>
      <c r="B458" s="396" t="s">
        <v>1971</v>
      </c>
      <c r="C458" s="395">
        <f>AVERAGE(D458:D459)</f>
        <v>96.432000000000002</v>
      </c>
      <c r="D458" s="255">
        <f>21*4.184</f>
        <v>87.864000000000004</v>
      </c>
      <c r="E458" s="255" t="s">
        <v>2345</v>
      </c>
      <c r="F458" s="267"/>
      <c r="G458" s="268"/>
      <c r="H458" s="268"/>
      <c r="I458" s="267"/>
      <c r="J458" s="268"/>
      <c r="K458" s="268"/>
      <c r="L458" s="213">
        <f>M458</f>
        <v>76.272636000000006</v>
      </c>
      <c r="M458" s="452">
        <f>'Table S4 Conversions and Notes'!J574</f>
        <v>76.272636000000006</v>
      </c>
      <c r="N458" s="448" t="s">
        <v>2841</v>
      </c>
      <c r="O458" s="393"/>
      <c r="P458" s="394"/>
      <c r="Q458" s="268"/>
      <c r="R458" s="393"/>
      <c r="S458" s="392"/>
      <c r="T458" s="268"/>
      <c r="U458" s="130">
        <f>AVERAGE(V458:V459)</f>
        <v>9.66</v>
      </c>
      <c r="V458" s="274">
        <v>9.66</v>
      </c>
      <c r="W458" s="220" t="s">
        <v>2799</v>
      </c>
      <c r="X458" s="303" t="e">
        <f ca="1">AVERAGE(Y458:Y463)</f>
        <v>#N/A</v>
      </c>
      <c r="Y458" s="274">
        <f>LOG(59000)</f>
        <v>4.7708520116421438</v>
      </c>
      <c r="Z458" s="220" t="s">
        <v>2375</v>
      </c>
      <c r="AA458" s="51"/>
      <c r="AB458" s="264">
        <v>0.13200000000000001</v>
      </c>
      <c r="AC458" s="261">
        <f>LOG(AB458/8.314/298.15)</f>
        <v>-4.2736709026461037</v>
      </c>
      <c r="AD458" s="155" t="s">
        <v>2336</v>
      </c>
      <c r="AE458" s="444">
        <f>AVERAGE(AF458:AF462)</f>
        <v>-3.4028429570900025</v>
      </c>
      <c r="AF458" s="257">
        <f>LOG(0.0011,10)</f>
        <v>-2.9586073148417746</v>
      </c>
      <c r="AG458" s="269" t="s">
        <v>1929</v>
      </c>
      <c r="AH458" s="130" t="e">
        <f ca="1">AVERAGE(AI458:AI461)</f>
        <v>#N/A</v>
      </c>
      <c r="AI458" s="260">
        <f>LOG(AJ458/$B$459)</f>
        <v>-2.0649587452028548</v>
      </c>
      <c r="AJ458" s="263">
        <v>2.69</v>
      </c>
      <c r="AK458" s="51" t="s">
        <v>2365</v>
      </c>
      <c r="AL458" s="219"/>
      <c r="AM458" s="51"/>
      <c r="AN458" s="51"/>
      <c r="AO458" s="220"/>
      <c r="AP458" s="51"/>
      <c r="AQ458" s="51"/>
      <c r="AR458" s="51"/>
      <c r="AS458" s="201">
        <f>AVERAGE(AT458:AT459)</f>
        <v>-35</v>
      </c>
      <c r="AT458" s="51">
        <f>'Table S4 Conversions and Notes'!$J$392</f>
        <v>-35</v>
      </c>
      <c r="AU458" s="270">
        <f>AT458+273.15</f>
        <v>238.14999999999998</v>
      </c>
      <c r="AV458" s="220" t="s">
        <v>1970</v>
      </c>
      <c r="AW458" s="51"/>
      <c r="AX458" s="51"/>
    </row>
    <row r="459" spans="1:50" customFormat="1">
      <c r="A459" s="391" t="s">
        <v>1969</v>
      </c>
      <c r="B459" s="396">
        <v>312.39999999999998</v>
      </c>
      <c r="C459" s="434">
        <f>_xlfn.STDEV.S(D458:D459)</f>
        <v>12.116981802412674</v>
      </c>
      <c r="D459" s="255">
        <v>105</v>
      </c>
      <c r="E459" s="448" t="s">
        <v>2824</v>
      </c>
      <c r="F459" s="267"/>
      <c r="G459" s="268"/>
      <c r="H459" s="268"/>
      <c r="I459" s="267"/>
      <c r="J459" s="268"/>
      <c r="K459" s="268"/>
      <c r="L459" s="145">
        <f>RSD_dUoa*L458</f>
        <v>4.832488061830821</v>
      </c>
      <c r="M459" s="268"/>
      <c r="N459" s="268"/>
      <c r="O459" s="393"/>
      <c r="P459" s="394"/>
      <c r="Q459" s="268"/>
      <c r="R459" s="393"/>
      <c r="S459" s="392"/>
      <c r="T459" s="268"/>
      <c r="U459" s="130">
        <f>RSD_Koa*U458</f>
        <v>0.24872392273524194</v>
      </c>
      <c r="V459" s="274"/>
      <c r="W459" s="220"/>
      <c r="X459" s="303" t="e">
        <f ca="1">_xlfn.STDEV.S(Y458:Y463)</f>
        <v>#N/A</v>
      </c>
      <c r="Y459" s="274">
        <v>4.05</v>
      </c>
      <c r="Z459" s="220" t="s">
        <v>1965</v>
      </c>
      <c r="AA459" s="51"/>
      <c r="AB459" s="39"/>
      <c r="AC459" s="39"/>
      <c r="AD459" s="39"/>
      <c r="AE459" s="444">
        <f>_xlfn.STDEV.S(AF458:AF462)</f>
        <v>0.56113384528000032</v>
      </c>
      <c r="AF459" s="257">
        <f>LOG(10^(11.12-4745/298.15)*133.322)</f>
        <v>-2.669906162550757</v>
      </c>
      <c r="AG459" s="7" t="s">
        <v>2404</v>
      </c>
      <c r="AH459" s="130" t="e">
        <f ca="1">_xlfn.STDEV.S(AI458:AI461)</f>
        <v>#N/A</v>
      </c>
      <c r="AI459" s="260">
        <f>LOG(AJ459/B459)</f>
        <v>-2.6434526764861874</v>
      </c>
      <c r="AJ459" s="263">
        <v>0.71</v>
      </c>
      <c r="AK459" s="51" t="s">
        <v>2486</v>
      </c>
      <c r="AL459" s="219"/>
      <c r="AM459" s="51"/>
      <c r="AN459" s="51"/>
      <c r="AO459" s="220"/>
      <c r="AP459" s="51"/>
      <c r="AQ459" s="51"/>
      <c r="AR459" s="51"/>
      <c r="AS459" s="182">
        <f>_xlfn.STDEV.S(AT458:AT459)</f>
        <v>0</v>
      </c>
      <c r="AT459" s="51">
        <v>-35</v>
      </c>
      <c r="AU459" s="270">
        <f>AT459+273.15</f>
        <v>238.14999999999998</v>
      </c>
      <c r="AV459" s="220" t="s">
        <v>1967</v>
      </c>
      <c r="AW459" s="51"/>
      <c r="AX459" s="51"/>
    </row>
    <row r="460" spans="1:50" customFormat="1" ht="17.25">
      <c r="A460" s="391"/>
      <c r="B460" s="396"/>
      <c r="C460" s="395">
        <f>COUNT(D458:D459)</f>
        <v>2</v>
      </c>
      <c r="D460" s="255">
        <v>106.2</v>
      </c>
      <c r="E460" s="13" t="s">
        <v>2588</v>
      </c>
      <c r="F460" s="267"/>
      <c r="G460" s="268"/>
      <c r="H460" s="268"/>
      <c r="I460" s="267"/>
      <c r="J460" s="268"/>
      <c r="K460" s="268"/>
      <c r="L460" s="324">
        <f>COUNTA(M458:M460)</f>
        <v>1</v>
      </c>
      <c r="M460" s="268"/>
      <c r="N460" s="268"/>
      <c r="O460" s="393"/>
      <c r="P460" s="394"/>
      <c r="Q460" s="268"/>
      <c r="R460" s="393"/>
      <c r="S460" s="392"/>
      <c r="T460" s="268"/>
      <c r="U460" s="324">
        <f>COUNTA(V458:V460)</f>
        <v>1</v>
      </c>
      <c r="V460" s="274"/>
      <c r="W460" s="220"/>
      <c r="X460" s="324">
        <f ca="1">COUNTA(Y458:Y463)</f>
        <v>6</v>
      </c>
      <c r="Y460" s="274">
        <v>4.75</v>
      </c>
      <c r="Z460" s="220" t="s">
        <v>1966</v>
      </c>
      <c r="AA460" s="51"/>
      <c r="AB460" s="51"/>
      <c r="AC460" s="51"/>
      <c r="AD460" s="220"/>
      <c r="AE460" s="324">
        <f>COUNT(AF458:AF462)</f>
        <v>5</v>
      </c>
      <c r="AF460" s="257">
        <f>LOG(0.0001)</f>
        <v>-4</v>
      </c>
      <c r="AG460" s="269" t="s">
        <v>2450</v>
      </c>
      <c r="AH460" s="324">
        <f ca="1">COUNT(AI458:AI461)</f>
        <v>2</v>
      </c>
      <c r="AI460" s="260" t="e">
        <f ca="1">LOG(AJ460/B459)</f>
        <v>#N/A</v>
      </c>
      <c r="AJ460" s="263" t="e">
        <f ca="1">'Table S4 Conversions and Notes'!$J$509</f>
        <v>#N/A</v>
      </c>
      <c r="AK460" s="51" t="s">
        <v>2375</v>
      </c>
      <c r="AL460" s="219"/>
      <c r="AM460" s="51"/>
      <c r="AN460" s="51"/>
      <c r="AO460" s="220"/>
      <c r="AP460" s="51"/>
      <c r="AQ460" s="51"/>
      <c r="AR460" s="51"/>
      <c r="AS460" s="324">
        <f>COUNTA(AT458:AT459)</f>
        <v>2</v>
      </c>
      <c r="AT460" s="262">
        <v>230</v>
      </c>
      <c r="AU460" s="288">
        <f>AT460+273.15</f>
        <v>503.15</v>
      </c>
      <c r="AV460" s="259" t="s">
        <v>1968</v>
      </c>
      <c r="AW460" s="51"/>
      <c r="AX460" s="51"/>
    </row>
    <row r="461" spans="1:50" customFormat="1" ht="18">
      <c r="A461" s="391"/>
      <c r="B461" s="396"/>
      <c r="C461" s="395"/>
      <c r="D461" s="435">
        <f>'Table S4 Conversions and Notes'!$J$553</f>
        <v>89</v>
      </c>
      <c r="E461" s="435" t="s">
        <v>2749</v>
      </c>
      <c r="F461" s="267"/>
      <c r="G461" s="268"/>
      <c r="H461" s="268"/>
      <c r="I461" s="267"/>
      <c r="J461" s="268"/>
      <c r="K461" s="268"/>
      <c r="L461" s="338"/>
      <c r="M461" s="268"/>
      <c r="N461" s="268"/>
      <c r="O461" s="393"/>
      <c r="P461" s="394"/>
      <c r="Q461" s="268"/>
      <c r="R461" s="393"/>
      <c r="S461" s="392"/>
      <c r="T461" s="268"/>
      <c r="U461" s="319"/>
      <c r="V461" s="274"/>
      <c r="W461" s="220"/>
      <c r="X461" s="274"/>
      <c r="Y461" s="274">
        <v>3.97</v>
      </c>
      <c r="Z461" s="220" t="s">
        <v>818</v>
      </c>
      <c r="AA461" s="51"/>
      <c r="AB461" s="51"/>
      <c r="AC461" s="51"/>
      <c r="AD461" s="220"/>
      <c r="AE461" s="389"/>
      <c r="AF461" s="257">
        <f>LOG(0.000199)</f>
        <v>-3.7011469235902932</v>
      </c>
      <c r="AG461" s="269" t="s">
        <v>1944</v>
      </c>
      <c r="AH461" s="219"/>
      <c r="AI461" s="260" t="e">
        <f ca="1">LOG(AJ461/B459)</f>
        <v>#N/A</v>
      </c>
      <c r="AJ461" s="263" t="e">
        <f ca="1">'Table S4 Conversions and Notes'!$J$394</f>
        <v>#N/A</v>
      </c>
      <c r="AK461" s="51" t="s">
        <v>2500</v>
      </c>
      <c r="AL461" s="219"/>
      <c r="AM461" s="51"/>
      <c r="AN461" s="51"/>
      <c r="AO461" s="220"/>
      <c r="AP461" s="51"/>
      <c r="AQ461" s="51"/>
      <c r="AR461" s="51"/>
      <c r="AS461" s="219"/>
      <c r="AT461" s="40"/>
      <c r="AU461" s="40"/>
      <c r="AV461" s="42"/>
      <c r="AW461" s="51"/>
      <c r="AX461" s="51"/>
    </row>
    <row r="462" spans="1:50" customFormat="1" ht="18">
      <c r="A462" s="391"/>
      <c r="B462" s="396"/>
      <c r="C462" s="395"/>
      <c r="D462" s="1"/>
      <c r="E462" s="1"/>
      <c r="F462" s="267"/>
      <c r="G462" s="268"/>
      <c r="H462" s="268"/>
      <c r="I462" s="267"/>
      <c r="J462" s="268"/>
      <c r="K462" s="268"/>
      <c r="L462" s="338"/>
      <c r="M462" s="268"/>
      <c r="N462" s="268"/>
      <c r="O462" s="393"/>
      <c r="P462" s="394"/>
      <c r="Q462" s="268"/>
      <c r="R462" s="393"/>
      <c r="S462" s="392"/>
      <c r="T462" s="268"/>
      <c r="U462" s="319"/>
      <c r="V462" s="274"/>
      <c r="W462" s="220"/>
      <c r="X462" s="274"/>
      <c r="Y462" s="274" t="e">
        <f ca="1">'Table S4 Conversions and Notes'!$J$398</f>
        <v>#N/A</v>
      </c>
      <c r="Z462" s="220" t="s">
        <v>2376</v>
      </c>
      <c r="AA462" s="51"/>
      <c r="AB462" s="51"/>
      <c r="AC462" s="51"/>
      <c r="AD462" s="220"/>
      <c r="AE462" s="389"/>
      <c r="AF462" s="257">
        <f>LOG(EXP(-8.484))</f>
        <v>-3.6845543844671886</v>
      </c>
      <c r="AG462" s="7" t="s">
        <v>2799</v>
      </c>
      <c r="AH462" s="219"/>
      <c r="AI462" s="261">
        <f>LOG(0.00000861*1000)</f>
        <v>-2.064996848546345</v>
      </c>
      <c r="AJ462" s="264">
        <f>10^AI462*$B$459</f>
        <v>2.6897640000000007</v>
      </c>
      <c r="AK462" s="262" t="s">
        <v>1964</v>
      </c>
      <c r="AL462" s="219"/>
      <c r="AM462" s="51"/>
      <c r="AN462" s="51"/>
      <c r="AO462" s="220"/>
      <c r="AP462" s="51"/>
      <c r="AQ462" s="51"/>
      <c r="AR462" s="51"/>
      <c r="AS462" s="219"/>
      <c r="AT462" s="51"/>
      <c r="AU462" s="270"/>
      <c r="AV462" s="220"/>
      <c r="AW462" s="51"/>
      <c r="AX462" s="51"/>
    </row>
    <row r="463" spans="1:50" customFormat="1" ht="18">
      <c r="A463" s="391"/>
      <c r="B463" s="396"/>
      <c r="C463" s="395"/>
      <c r="D463" s="255"/>
      <c r="E463" s="255"/>
      <c r="F463" s="267"/>
      <c r="G463" s="268"/>
      <c r="H463" s="268"/>
      <c r="I463" s="267"/>
      <c r="J463" s="268"/>
      <c r="K463" s="268"/>
      <c r="L463" s="338"/>
      <c r="M463" s="268"/>
      <c r="N463" s="268"/>
      <c r="O463" s="393"/>
      <c r="P463" s="394"/>
      <c r="Q463" s="268"/>
      <c r="R463" s="393"/>
      <c r="S463" s="392"/>
      <c r="T463" s="268"/>
      <c r="U463" s="319"/>
      <c r="V463" s="274"/>
      <c r="W463" s="220"/>
      <c r="X463" s="274"/>
      <c r="Y463" s="274">
        <v>4.7300000000000004</v>
      </c>
      <c r="Z463" s="220" t="s">
        <v>1939</v>
      </c>
      <c r="AA463" s="51"/>
      <c r="AB463" s="51"/>
      <c r="AC463" s="51"/>
      <c r="AD463" s="220"/>
      <c r="AE463" s="389"/>
      <c r="AF463" s="258">
        <f>LOG('Table S4 Conversions and Notes'!$J$400)</f>
        <v>-2.8239087409443187</v>
      </c>
      <c r="AG463" s="285" t="s">
        <v>2386</v>
      </c>
      <c r="AH463" s="219"/>
      <c r="AI463" s="261">
        <f>LOG(AJ463/B459)</f>
        <v>-2.1936810295412816</v>
      </c>
      <c r="AJ463" s="264">
        <v>2</v>
      </c>
      <c r="AK463" s="262" t="s">
        <v>1951</v>
      </c>
      <c r="AL463" s="219"/>
      <c r="AM463" s="51"/>
      <c r="AN463" s="51"/>
      <c r="AO463" s="220"/>
      <c r="AP463" s="51"/>
      <c r="AQ463" s="51"/>
      <c r="AR463" s="51"/>
      <c r="AS463" s="219"/>
      <c r="AT463" s="51"/>
      <c r="AU463" s="270"/>
      <c r="AV463" s="220"/>
      <c r="AW463" s="51"/>
      <c r="AX463" s="51"/>
    </row>
    <row r="464" spans="1:50" customFormat="1" ht="18">
      <c r="A464" s="391"/>
      <c r="B464" s="396"/>
      <c r="C464" s="395"/>
      <c r="D464" s="255"/>
      <c r="E464" s="255"/>
      <c r="F464" s="267"/>
      <c r="G464" s="268"/>
      <c r="H464" s="268"/>
      <c r="I464" s="267"/>
      <c r="J464" s="268"/>
      <c r="K464" s="268"/>
      <c r="L464" s="338"/>
      <c r="M464" s="268"/>
      <c r="N464" s="268"/>
      <c r="O464" s="393"/>
      <c r="P464" s="394"/>
      <c r="Q464" s="268"/>
      <c r="R464" s="393"/>
      <c r="S464" s="392"/>
      <c r="T464" s="268"/>
      <c r="U464" s="319"/>
      <c r="V464" s="274"/>
      <c r="W464" s="220"/>
      <c r="X464" s="274"/>
      <c r="Y464" s="307">
        <v>4.7300000000000004</v>
      </c>
      <c r="Z464" s="259" t="s">
        <v>1964</v>
      </c>
      <c r="AA464" s="51"/>
      <c r="AB464" s="51"/>
      <c r="AC464" s="51"/>
      <c r="AD464" s="220"/>
      <c r="AE464" s="389"/>
      <c r="AF464" s="258">
        <f>LOG(0.00000825*133.322)</f>
        <v>-2.9586442314417143</v>
      </c>
      <c r="AG464" s="285" t="s">
        <v>1964</v>
      </c>
      <c r="AH464" s="219"/>
      <c r="AI464" s="261">
        <f>LOG(AJ464/B459)</f>
        <v>-2.0323130273063068</v>
      </c>
      <c r="AJ464" s="264">
        <f>'Table S4 Conversions and Notes'!$J$393</f>
        <v>2.9</v>
      </c>
      <c r="AK464" s="262" t="s">
        <v>2512</v>
      </c>
      <c r="AL464" s="219"/>
      <c r="AM464" s="51"/>
      <c r="AN464" s="51"/>
      <c r="AO464" s="220"/>
      <c r="AP464" s="51"/>
      <c r="AQ464" s="51"/>
      <c r="AR464" s="51"/>
      <c r="AS464" s="219"/>
      <c r="AT464" s="51"/>
      <c r="AU464" s="270"/>
      <c r="AV464" s="220"/>
      <c r="AW464" s="51"/>
      <c r="AX464" s="51"/>
    </row>
    <row r="465" spans="1:50" customFormat="1" ht="18">
      <c r="A465" s="391"/>
      <c r="B465" s="396"/>
      <c r="C465" s="395"/>
      <c r="D465" s="255"/>
      <c r="E465" s="255"/>
      <c r="F465" s="267"/>
      <c r="G465" s="268"/>
      <c r="H465" s="268"/>
      <c r="I465" s="267"/>
      <c r="J465" s="268"/>
      <c r="K465" s="268"/>
      <c r="L465" s="338"/>
      <c r="M465" s="268"/>
      <c r="N465" s="268"/>
      <c r="O465" s="393"/>
      <c r="P465" s="394"/>
      <c r="Q465" s="268"/>
      <c r="R465" s="393"/>
      <c r="S465" s="392"/>
      <c r="T465" s="268"/>
      <c r="U465" s="319"/>
      <c r="V465" s="274"/>
      <c r="W465" s="220"/>
      <c r="X465" s="274"/>
      <c r="Y465" s="307">
        <f>'Table S4 Conversions and Notes'!$J$397</f>
        <v>4.8</v>
      </c>
      <c r="Z465" s="259" t="s">
        <v>2378</v>
      </c>
      <c r="AA465" s="51"/>
      <c r="AB465" s="51"/>
      <c r="AC465" s="51"/>
      <c r="AD465" s="220"/>
      <c r="AE465" s="389"/>
      <c r="AF465" s="258" t="e">
        <f ca="1">LOG('Table S4 Conversions and Notes'!$J$396)</f>
        <v>#N/A</v>
      </c>
      <c r="AG465" s="285" t="s">
        <v>2448</v>
      </c>
      <c r="AH465" s="219"/>
      <c r="AI465" s="261">
        <f>LOG(AJ465/B459)</f>
        <v>-2.0323130273063068</v>
      </c>
      <c r="AJ465" s="264">
        <f>'Table S4 Conversions and Notes'!$J$395</f>
        <v>2.9</v>
      </c>
      <c r="AK465" s="262" t="s">
        <v>2501</v>
      </c>
      <c r="AL465" s="219"/>
      <c r="AM465" s="51"/>
      <c r="AN465" s="51"/>
      <c r="AO465" s="220"/>
      <c r="AP465" s="51"/>
      <c r="AQ465" s="51"/>
      <c r="AR465" s="51"/>
      <c r="AS465" s="219"/>
      <c r="AT465" s="51"/>
      <c r="AU465" s="270"/>
      <c r="AV465" s="220"/>
      <c r="AW465" s="51"/>
      <c r="AX465" s="51"/>
    </row>
    <row r="466" spans="1:50" customFormat="1" ht="18">
      <c r="A466" s="391"/>
      <c r="B466" s="396"/>
      <c r="C466" s="395"/>
      <c r="D466" s="255"/>
      <c r="E466" s="255"/>
      <c r="F466" s="267"/>
      <c r="G466" s="268"/>
      <c r="H466" s="268"/>
      <c r="I466" s="267"/>
      <c r="J466" s="268"/>
      <c r="K466" s="268"/>
      <c r="L466" s="338"/>
      <c r="M466" s="268"/>
      <c r="N466" s="268"/>
      <c r="O466" s="393"/>
      <c r="P466" s="394"/>
      <c r="Q466" s="268"/>
      <c r="R466" s="393"/>
      <c r="S466" s="392"/>
      <c r="T466" s="268"/>
      <c r="U466" s="319"/>
      <c r="V466" s="274"/>
      <c r="W466" s="220"/>
      <c r="X466" s="274"/>
      <c r="Y466" s="307">
        <v>3.57</v>
      </c>
      <c r="Z466" s="259" t="s">
        <v>2379</v>
      </c>
      <c r="AA466" s="51"/>
      <c r="AB466" s="51"/>
      <c r="AC466" s="51"/>
      <c r="AD466" s="220"/>
      <c r="AE466" s="389"/>
      <c r="AF466" s="1"/>
      <c r="AG466" s="1"/>
      <c r="AH466" s="219"/>
      <c r="AI466" s="261" t="e">
        <f ca="1">LOG(AJ466/B459)</f>
        <v>#N/A</v>
      </c>
      <c r="AJ466" s="264" t="e">
        <f ca="1">'Table S4 Conversions and Notes'!$J$422</f>
        <v>#N/A</v>
      </c>
      <c r="AK466" s="262" t="s">
        <v>2506</v>
      </c>
      <c r="AL466" s="219"/>
      <c r="AM466" s="51"/>
      <c r="AN466" s="51"/>
      <c r="AO466" s="220"/>
      <c r="AP466" s="51"/>
      <c r="AQ466" s="51"/>
      <c r="AR466" s="51"/>
      <c r="AS466" s="219"/>
      <c r="AT466" s="51"/>
      <c r="AU466" s="270"/>
      <c r="AV466" s="220"/>
      <c r="AW466" s="51"/>
      <c r="AX466" s="51"/>
    </row>
    <row r="467" spans="1:50" customFormat="1" ht="18">
      <c r="A467" s="391"/>
      <c r="B467" s="396"/>
      <c r="C467" s="395"/>
      <c r="D467" s="255"/>
      <c r="E467" s="255"/>
      <c r="F467" s="267"/>
      <c r="G467" s="268"/>
      <c r="H467" s="268"/>
      <c r="I467" s="267"/>
      <c r="J467" s="268"/>
      <c r="K467" s="268"/>
      <c r="L467" s="338"/>
      <c r="M467" s="268"/>
      <c r="N467" s="268"/>
      <c r="O467" s="393"/>
      <c r="P467" s="394"/>
      <c r="Q467" s="268"/>
      <c r="R467" s="393"/>
      <c r="S467" s="392"/>
      <c r="T467" s="268"/>
      <c r="U467" s="319"/>
      <c r="V467" s="274"/>
      <c r="W467" s="220"/>
      <c r="X467" s="274"/>
      <c r="Y467" s="307">
        <f>'Table S4 Conversions and Notes'!$J$399</f>
        <v>4.78</v>
      </c>
      <c r="Z467" s="259" t="s">
        <v>2385</v>
      </c>
      <c r="AA467" s="51"/>
      <c r="AB467" s="51"/>
      <c r="AC467" s="51"/>
      <c r="AD467" s="220"/>
      <c r="AE467" s="389"/>
      <c r="AF467" s="1"/>
      <c r="AG467" s="1"/>
      <c r="AH467" s="219"/>
      <c r="AI467" s="261" t="e">
        <f ca="1">LOG(AJ467/B459)</f>
        <v>#N/A</v>
      </c>
      <c r="AJ467" s="264" t="e">
        <f ca="1">'Table S4 Conversions and Notes'!$J$423</f>
        <v>#N/A</v>
      </c>
      <c r="AK467" s="262" t="s">
        <v>2507</v>
      </c>
      <c r="AL467" s="219"/>
      <c r="AM467" s="51"/>
      <c r="AN467" s="51"/>
      <c r="AO467" s="220"/>
      <c r="AP467" s="51"/>
      <c r="AQ467" s="51"/>
      <c r="AR467" s="51"/>
      <c r="AS467" s="219"/>
      <c r="AT467" s="51"/>
      <c r="AU467" s="270"/>
      <c r="AV467" s="220"/>
      <c r="AW467" s="51"/>
      <c r="AX467" s="51"/>
    </row>
    <row r="468" spans="1:50" customFormat="1" ht="18">
      <c r="A468" s="391"/>
      <c r="B468" s="396"/>
      <c r="C468" s="395"/>
      <c r="D468" s="255"/>
      <c r="E468" s="255"/>
      <c r="F468" s="267"/>
      <c r="G468" s="268"/>
      <c r="H468" s="268"/>
      <c r="I468" s="267"/>
      <c r="J468" s="268"/>
      <c r="K468" s="268"/>
      <c r="L468" s="338"/>
      <c r="M468" s="268"/>
      <c r="N468" s="268"/>
      <c r="O468" s="393"/>
      <c r="P468" s="394"/>
      <c r="Q468" s="268"/>
      <c r="R468" s="393"/>
      <c r="S468" s="392"/>
      <c r="T468" s="268"/>
      <c r="U468" s="319"/>
      <c r="V468" s="274"/>
      <c r="W468" s="220"/>
      <c r="X468" s="274"/>
      <c r="Y468" s="40"/>
      <c r="Z468" s="40"/>
      <c r="AA468" s="51"/>
      <c r="AB468" s="51"/>
      <c r="AC468" s="51"/>
      <c r="AD468" s="220"/>
      <c r="AE468" s="389"/>
      <c r="AF468" s="1"/>
      <c r="AG468" s="1"/>
      <c r="AH468" s="219"/>
      <c r="AI468" s="261">
        <f>LOG(AJ468/B459)</f>
        <v>-0.89048497212079258</v>
      </c>
      <c r="AJ468" s="264">
        <f>'Table S4 Conversions and Notes'!$J$507</f>
        <v>40.200000000000003</v>
      </c>
      <c r="AK468" s="262" t="s">
        <v>2508</v>
      </c>
      <c r="AL468" s="219"/>
      <c r="AM468" s="51"/>
      <c r="AN468" s="51"/>
      <c r="AO468" s="220"/>
      <c r="AP468" s="51"/>
      <c r="AQ468" s="51"/>
      <c r="AR468" s="51"/>
      <c r="AS468" s="219"/>
      <c r="AT468" s="51"/>
      <c r="AU468" s="270"/>
      <c r="AV468" s="220"/>
      <c r="AW468" s="51"/>
      <c r="AX468" s="51"/>
    </row>
    <row r="469" spans="1:50" customFormat="1">
      <c r="A469" s="391"/>
      <c r="B469" s="396"/>
      <c r="C469" s="395"/>
      <c r="D469" s="255"/>
      <c r="E469" s="255"/>
      <c r="F469" s="267"/>
      <c r="G469" s="268"/>
      <c r="H469" s="268"/>
      <c r="I469" s="267"/>
      <c r="J469" s="268"/>
      <c r="K469" s="268"/>
      <c r="L469" s="338"/>
      <c r="M469" s="268"/>
      <c r="N469" s="268"/>
      <c r="O469" s="393"/>
      <c r="P469" s="394"/>
      <c r="Q469" s="268"/>
      <c r="R469" s="393"/>
      <c r="S469" s="392"/>
      <c r="T469" s="268"/>
      <c r="U469" s="319"/>
      <c r="V469" s="274"/>
      <c r="W469" s="220"/>
      <c r="X469" s="274"/>
      <c r="Y469" s="274"/>
      <c r="Z469" s="220"/>
      <c r="AA469" s="51"/>
      <c r="AB469" s="51"/>
      <c r="AC469" s="51"/>
      <c r="AD469" s="220"/>
      <c r="AE469" s="389"/>
      <c r="AF469" s="257"/>
      <c r="AG469" s="437"/>
      <c r="AH469" s="219"/>
      <c r="AI469" s="40"/>
      <c r="AJ469" s="40"/>
      <c r="AK469" s="40"/>
      <c r="AL469" s="219"/>
      <c r="AM469" s="51"/>
      <c r="AN469" s="51"/>
      <c r="AO469" s="220"/>
      <c r="AP469" s="51"/>
      <c r="AQ469" s="51"/>
      <c r="AR469" s="51"/>
      <c r="AS469" s="219"/>
      <c r="AT469" s="51"/>
      <c r="AU469" s="270"/>
      <c r="AV469" s="220"/>
      <c r="AW469" s="51"/>
      <c r="AX469" s="51"/>
    </row>
    <row r="470" spans="1:50" customFormat="1">
      <c r="A470" s="397" t="s">
        <v>1963</v>
      </c>
      <c r="B470" s="396" t="s">
        <v>1962</v>
      </c>
      <c r="C470" s="395"/>
      <c r="D470" s="255"/>
      <c r="E470" s="255"/>
      <c r="F470" s="267"/>
      <c r="G470" s="268"/>
      <c r="H470" s="268"/>
      <c r="I470" s="267"/>
      <c r="J470" s="268"/>
      <c r="K470" s="268"/>
      <c r="L470" s="338"/>
      <c r="M470" s="268"/>
      <c r="N470" s="268"/>
      <c r="O470" s="393"/>
      <c r="P470" s="394"/>
      <c r="Q470" s="268"/>
      <c r="R470" s="393"/>
      <c r="S470" s="392"/>
      <c r="T470" s="268"/>
      <c r="U470" s="319"/>
      <c r="V470" s="274"/>
      <c r="W470" s="220"/>
      <c r="X470" s="130">
        <f>Y470</f>
        <v>10.199999999999999</v>
      </c>
      <c r="Y470" s="274">
        <v>10.199999999999999</v>
      </c>
      <c r="Z470" s="220" t="s">
        <v>1961</v>
      </c>
      <c r="AA470" s="51"/>
      <c r="AB470" s="51"/>
      <c r="AC470" s="51"/>
      <c r="AD470" s="220"/>
      <c r="AE470" s="389"/>
      <c r="AF470" s="1"/>
      <c r="AG470" s="1"/>
      <c r="AH470" s="219"/>
      <c r="AI470" s="40"/>
      <c r="AJ470" s="40"/>
      <c r="AK470" s="40"/>
      <c r="AL470" s="219"/>
      <c r="AM470" s="51"/>
      <c r="AN470" s="51"/>
      <c r="AO470" s="220"/>
      <c r="AP470" s="51"/>
      <c r="AQ470" s="51"/>
      <c r="AR470" s="51"/>
      <c r="AS470" s="201">
        <f>AVERAGE(AT470:AT474)</f>
        <v>-27</v>
      </c>
      <c r="AT470" s="51">
        <v>-27</v>
      </c>
      <c r="AU470" s="270">
        <f>AT470+273.15</f>
        <v>246.14999999999998</v>
      </c>
      <c r="AV470" s="220" t="s">
        <v>1960</v>
      </c>
      <c r="AW470" s="51"/>
      <c r="AX470" s="51"/>
    </row>
    <row r="471" spans="1:50" customFormat="1">
      <c r="A471" s="391" t="s">
        <v>1959</v>
      </c>
      <c r="B471" s="396">
        <v>706.1</v>
      </c>
      <c r="C471" s="395"/>
      <c r="D471" s="255"/>
      <c r="E471" s="255"/>
      <c r="F471" s="267"/>
      <c r="G471" s="268"/>
      <c r="H471" s="268"/>
      <c r="I471" s="267"/>
      <c r="J471" s="268"/>
      <c r="K471" s="268"/>
      <c r="L471" s="338"/>
      <c r="M471" s="268"/>
      <c r="N471" s="268"/>
      <c r="O471" s="393"/>
      <c r="P471" s="394"/>
      <c r="Q471" s="268"/>
      <c r="R471" s="393"/>
      <c r="S471" s="392"/>
      <c r="T471" s="268"/>
      <c r="U471" s="319"/>
      <c r="V471" s="274"/>
      <c r="W471" s="220"/>
      <c r="X471" s="130">
        <f>ABS(RSD_Kow*X470)</f>
        <v>0.69146320276503692</v>
      </c>
      <c r="Y471" s="274"/>
      <c r="Z471" s="220"/>
      <c r="AA471" s="51"/>
      <c r="AB471" s="51"/>
      <c r="AC471" s="51"/>
      <c r="AD471" s="220"/>
      <c r="AE471" s="389"/>
      <c r="AF471" s="257"/>
      <c r="AG471" s="269"/>
      <c r="AH471" s="219"/>
      <c r="AI471" s="40"/>
      <c r="AJ471" s="40"/>
      <c r="AK471" s="40"/>
      <c r="AL471" s="219"/>
      <c r="AM471" s="51"/>
      <c r="AN471" s="51"/>
      <c r="AO471" s="220"/>
      <c r="AP471" s="51"/>
      <c r="AQ471" s="51"/>
      <c r="AR471" s="51"/>
      <c r="AS471" s="182">
        <f>ABS(RSD_Tm*AS470)</f>
        <v>1.2464743640902618</v>
      </c>
      <c r="AT471" s="51"/>
      <c r="AU471" s="270"/>
      <c r="AV471" s="220"/>
      <c r="AW471" s="51"/>
      <c r="AX471" s="51"/>
    </row>
    <row r="472" spans="1:50" customFormat="1">
      <c r="A472" s="391"/>
      <c r="B472" s="396"/>
      <c r="C472" s="395"/>
      <c r="D472" s="255"/>
      <c r="E472" s="255"/>
      <c r="F472" s="267"/>
      <c r="G472" s="268"/>
      <c r="H472" s="268"/>
      <c r="I472" s="267"/>
      <c r="J472" s="268"/>
      <c r="K472" s="268"/>
      <c r="L472" s="338"/>
      <c r="M472" s="268"/>
      <c r="N472" s="268"/>
      <c r="O472" s="393"/>
      <c r="P472" s="394"/>
      <c r="Q472" s="268"/>
      <c r="R472" s="393"/>
      <c r="S472" s="392"/>
      <c r="T472" s="268"/>
      <c r="U472" s="319"/>
      <c r="V472" s="274"/>
      <c r="W472" s="220"/>
      <c r="X472" s="324">
        <f>COUNTA(Y470)</f>
        <v>1</v>
      </c>
      <c r="Y472" s="274"/>
      <c r="Z472" s="220"/>
      <c r="AA472" s="51"/>
      <c r="AB472" s="51"/>
      <c r="AC472" s="51"/>
      <c r="AD472" s="220"/>
      <c r="AE472" s="389"/>
      <c r="AF472" s="257"/>
      <c r="AG472" s="269"/>
      <c r="AH472" s="219"/>
      <c r="AI472" s="39"/>
      <c r="AJ472" s="264"/>
      <c r="AK472" s="39"/>
      <c r="AL472" s="219"/>
      <c r="AM472" s="51"/>
      <c r="AN472" s="51"/>
      <c r="AO472" s="220"/>
      <c r="AP472" s="51"/>
      <c r="AQ472" s="51"/>
      <c r="AR472" s="51"/>
      <c r="AS472" s="324">
        <f>COUNTA(AT470:AT474)</f>
        <v>1</v>
      </c>
      <c r="AT472" s="51"/>
      <c r="AU472" s="270"/>
      <c r="AV472" s="220"/>
      <c r="AW472" s="51"/>
      <c r="AX472" s="51"/>
    </row>
    <row r="473" spans="1:50" customFormat="1">
      <c r="A473" s="391"/>
      <c r="B473" s="396"/>
      <c r="C473" s="395"/>
      <c r="D473" s="255"/>
      <c r="E473" s="255"/>
      <c r="F473" s="267"/>
      <c r="G473" s="268"/>
      <c r="H473" s="268"/>
      <c r="I473" s="267"/>
      <c r="J473" s="268"/>
      <c r="K473" s="268"/>
      <c r="L473" s="338"/>
      <c r="M473" s="268"/>
      <c r="N473" s="268"/>
      <c r="O473" s="393"/>
      <c r="P473" s="394"/>
      <c r="Q473" s="268"/>
      <c r="R473" s="393"/>
      <c r="S473" s="392"/>
      <c r="T473" s="268"/>
      <c r="U473" s="319"/>
      <c r="V473" s="274"/>
      <c r="W473" s="220"/>
      <c r="X473" s="274"/>
      <c r="Y473" s="274"/>
      <c r="Z473" s="220"/>
      <c r="AA473" s="51"/>
      <c r="AB473" s="51"/>
      <c r="AC473" s="51"/>
      <c r="AD473" s="220"/>
      <c r="AE473" s="389"/>
      <c r="AF473" s="257"/>
      <c r="AG473" s="269"/>
      <c r="AH473" s="219"/>
      <c r="AI473" s="39"/>
      <c r="AJ473" s="264"/>
      <c r="AK473" s="39"/>
      <c r="AL473" s="219"/>
      <c r="AM473" s="51"/>
      <c r="AN473" s="51"/>
      <c r="AO473" s="220"/>
      <c r="AP473" s="51"/>
      <c r="AQ473" s="51"/>
      <c r="AR473" s="51"/>
      <c r="AS473" s="219"/>
      <c r="AT473" s="51"/>
      <c r="AU473" s="270"/>
      <c r="AV473" s="220"/>
      <c r="AW473" s="51"/>
      <c r="AX473" s="51"/>
    </row>
    <row r="474" spans="1:50" customFormat="1">
      <c r="A474" s="391"/>
      <c r="B474" s="396"/>
      <c r="C474" s="395"/>
      <c r="D474" s="255"/>
      <c r="E474" s="255"/>
      <c r="F474" s="267"/>
      <c r="G474" s="268"/>
      <c r="H474" s="268"/>
      <c r="I474" s="267"/>
      <c r="J474" s="268"/>
      <c r="K474" s="268"/>
      <c r="L474" s="338"/>
      <c r="M474" s="268"/>
      <c r="N474" s="268"/>
      <c r="O474" s="393"/>
      <c r="P474" s="394"/>
      <c r="Q474" s="268"/>
      <c r="R474" s="393"/>
      <c r="S474" s="392"/>
      <c r="T474" s="268"/>
      <c r="U474" s="319"/>
      <c r="V474" s="274"/>
      <c r="W474" s="220"/>
      <c r="X474" s="274"/>
      <c r="Y474" s="274"/>
      <c r="Z474" s="220"/>
      <c r="AA474" s="51"/>
      <c r="AB474" s="51"/>
      <c r="AC474" s="51"/>
      <c r="AD474" s="220"/>
      <c r="AE474" s="389"/>
      <c r="AF474" s="257"/>
      <c r="AG474" s="269"/>
      <c r="AH474" s="219"/>
      <c r="AI474" s="39"/>
      <c r="AJ474" s="264"/>
      <c r="AK474" s="39"/>
      <c r="AL474" s="219"/>
      <c r="AM474" s="51"/>
      <c r="AN474" s="51"/>
      <c r="AO474" s="220"/>
      <c r="AP474" s="51"/>
      <c r="AQ474" s="51"/>
      <c r="AR474" s="51"/>
      <c r="AS474" s="219"/>
      <c r="AT474" s="51"/>
      <c r="AU474" s="270"/>
      <c r="AV474" s="220"/>
      <c r="AW474" s="51"/>
      <c r="AX474" s="51"/>
    </row>
    <row r="475" spans="1:50" customFormat="1">
      <c r="A475" s="391"/>
      <c r="B475" s="396"/>
      <c r="C475" s="395"/>
      <c r="D475" s="255"/>
      <c r="E475" s="255"/>
      <c r="F475" s="267"/>
      <c r="G475" s="268"/>
      <c r="H475" s="268"/>
      <c r="I475" s="267"/>
      <c r="J475" s="268"/>
      <c r="K475" s="268"/>
      <c r="L475" s="338"/>
      <c r="M475" s="268"/>
      <c r="N475" s="268"/>
      <c r="O475" s="393"/>
      <c r="P475" s="394"/>
      <c r="Q475" s="268"/>
      <c r="R475" s="393"/>
      <c r="S475" s="392"/>
      <c r="T475" s="268"/>
      <c r="U475" s="319"/>
      <c r="V475" s="274"/>
      <c r="W475" s="220"/>
      <c r="X475" s="274"/>
      <c r="Y475" s="274"/>
      <c r="Z475" s="220"/>
      <c r="AA475" s="51"/>
      <c r="AB475" s="51"/>
      <c r="AC475" s="51"/>
      <c r="AD475" s="220"/>
      <c r="AE475" s="389"/>
      <c r="AF475" s="257"/>
      <c r="AG475" s="269"/>
      <c r="AH475" s="219"/>
      <c r="AI475" s="39"/>
      <c r="AJ475" s="263"/>
      <c r="AK475" s="39"/>
      <c r="AL475" s="219"/>
      <c r="AM475" s="51"/>
      <c r="AN475" s="51"/>
      <c r="AO475" s="220"/>
      <c r="AP475" s="51"/>
      <c r="AQ475" s="51"/>
      <c r="AR475" s="51"/>
      <c r="AS475" s="219"/>
      <c r="AT475" s="51"/>
      <c r="AU475" s="270"/>
      <c r="AV475" s="220"/>
      <c r="AW475" s="51"/>
      <c r="AX475" s="51"/>
    </row>
    <row r="476" spans="1:50" customFormat="1">
      <c r="A476" s="391"/>
      <c r="B476" s="396"/>
      <c r="C476" s="395"/>
      <c r="D476" s="255"/>
      <c r="E476" s="255"/>
      <c r="F476" s="267"/>
      <c r="G476" s="268"/>
      <c r="H476" s="268"/>
      <c r="I476" s="267"/>
      <c r="J476" s="268"/>
      <c r="K476" s="268"/>
      <c r="L476" s="338"/>
      <c r="M476" s="268"/>
      <c r="N476" s="268"/>
      <c r="O476" s="393"/>
      <c r="P476" s="394"/>
      <c r="Q476" s="268"/>
      <c r="R476" s="393"/>
      <c r="S476" s="392"/>
      <c r="T476" s="268"/>
      <c r="U476" s="319"/>
      <c r="V476" s="274"/>
      <c r="W476" s="220"/>
      <c r="X476" s="274"/>
      <c r="Y476" s="274"/>
      <c r="Z476" s="220"/>
      <c r="AA476" s="51"/>
      <c r="AB476" s="51"/>
      <c r="AC476" s="51"/>
      <c r="AD476" s="220"/>
      <c r="AE476" s="389"/>
      <c r="AF476" s="257"/>
      <c r="AG476" s="269"/>
      <c r="AH476" s="219"/>
      <c r="AI476" s="39"/>
      <c r="AJ476" s="263"/>
      <c r="AK476" s="39"/>
      <c r="AL476" s="219"/>
      <c r="AM476" s="51"/>
      <c r="AN476" s="51"/>
      <c r="AO476" s="220"/>
      <c r="AP476" s="51"/>
      <c r="AQ476" s="51"/>
      <c r="AR476" s="51"/>
      <c r="AS476" s="219"/>
      <c r="AT476" s="51"/>
      <c r="AU476" s="270"/>
      <c r="AV476" s="220"/>
      <c r="AW476" s="51"/>
      <c r="AX476" s="51"/>
    </row>
    <row r="477" spans="1:50" customFormat="1">
      <c r="A477" s="391"/>
      <c r="B477" s="396"/>
      <c r="C477" s="395"/>
      <c r="D477" s="255"/>
      <c r="E477" s="255"/>
      <c r="F477" s="267"/>
      <c r="G477" s="268"/>
      <c r="H477" s="268"/>
      <c r="I477" s="267"/>
      <c r="J477" s="268"/>
      <c r="K477" s="268"/>
      <c r="L477" s="338"/>
      <c r="M477" s="268"/>
      <c r="N477" s="268"/>
      <c r="O477" s="393"/>
      <c r="P477" s="394"/>
      <c r="Q477" s="268"/>
      <c r="R477" s="393"/>
      <c r="S477" s="392"/>
      <c r="T477" s="268"/>
      <c r="U477" s="319"/>
      <c r="V477" s="274"/>
      <c r="W477" s="220"/>
      <c r="X477" s="274"/>
      <c r="Y477" s="274"/>
      <c r="Z477" s="220"/>
      <c r="AA477" s="51"/>
      <c r="AB477" s="51"/>
      <c r="AC477" s="51"/>
      <c r="AD477" s="220"/>
      <c r="AE477" s="389"/>
      <c r="AF477" s="257"/>
      <c r="AG477" s="269"/>
      <c r="AH477" s="219"/>
      <c r="AI477" s="39"/>
      <c r="AJ477" s="263"/>
      <c r="AK477" s="39"/>
      <c r="AL477" s="219"/>
      <c r="AM477" s="51"/>
      <c r="AN477" s="51"/>
      <c r="AO477" s="220"/>
      <c r="AP477" s="51"/>
      <c r="AQ477" s="51"/>
      <c r="AR477" s="51"/>
      <c r="AS477" s="219"/>
      <c r="AT477" s="51"/>
      <c r="AU477" s="270"/>
      <c r="AV477" s="220"/>
      <c r="AW477" s="51"/>
      <c r="AX477" s="51"/>
    </row>
    <row r="478" spans="1:50" customFormat="1">
      <c r="A478" s="391"/>
      <c r="B478" s="396"/>
      <c r="C478" s="395"/>
      <c r="D478" s="255"/>
      <c r="E478" s="255"/>
      <c r="F478" s="267"/>
      <c r="G478" s="268"/>
      <c r="H478" s="268"/>
      <c r="I478" s="267"/>
      <c r="J478" s="268"/>
      <c r="K478" s="268"/>
      <c r="L478" s="338"/>
      <c r="M478" s="268"/>
      <c r="N478" s="268"/>
      <c r="O478" s="393"/>
      <c r="P478" s="394"/>
      <c r="Q478" s="268"/>
      <c r="R478" s="393"/>
      <c r="S478" s="392"/>
      <c r="T478" s="268"/>
      <c r="U478" s="319"/>
      <c r="V478" s="274"/>
      <c r="W478" s="220"/>
      <c r="X478" s="274"/>
      <c r="Y478" s="274"/>
      <c r="Z478" s="220"/>
      <c r="AA478" s="51"/>
      <c r="AB478" s="51"/>
      <c r="AC478" s="51"/>
      <c r="AD478" s="220"/>
      <c r="AE478" s="389"/>
      <c r="AF478" s="257"/>
      <c r="AG478" s="269"/>
      <c r="AH478" s="219"/>
      <c r="AI478" s="39"/>
      <c r="AJ478" s="263"/>
      <c r="AK478" s="39"/>
      <c r="AL478" s="219"/>
      <c r="AM478" s="51"/>
      <c r="AN478" s="51"/>
      <c r="AO478" s="220"/>
      <c r="AP478" s="51"/>
      <c r="AQ478" s="51"/>
      <c r="AR478" s="51"/>
      <c r="AS478" s="219"/>
      <c r="AT478" s="51"/>
      <c r="AU478" s="270"/>
      <c r="AV478" s="220"/>
      <c r="AW478" s="51"/>
      <c r="AX478" s="51"/>
    </row>
    <row r="479" spans="1:50" customFormat="1">
      <c r="A479" s="391"/>
      <c r="B479" s="396"/>
      <c r="C479" s="395"/>
      <c r="D479" s="255"/>
      <c r="E479" s="255"/>
      <c r="F479" s="267"/>
      <c r="G479" s="268"/>
      <c r="H479" s="268"/>
      <c r="I479" s="267"/>
      <c r="J479" s="268"/>
      <c r="K479" s="268"/>
      <c r="L479" s="338"/>
      <c r="M479" s="268"/>
      <c r="N479" s="268"/>
      <c r="O479" s="393"/>
      <c r="P479" s="394"/>
      <c r="Q479" s="268"/>
      <c r="R479" s="393"/>
      <c r="S479" s="392"/>
      <c r="T479" s="268"/>
      <c r="U479" s="319"/>
      <c r="V479" s="274"/>
      <c r="W479" s="220"/>
      <c r="X479" s="274"/>
      <c r="Y479" s="274"/>
      <c r="Z479" s="220"/>
      <c r="AA479" s="51"/>
      <c r="AB479" s="51"/>
      <c r="AC479" s="51"/>
      <c r="AD479" s="220"/>
      <c r="AE479" s="389"/>
      <c r="AF479" s="1"/>
      <c r="AG479" s="1"/>
      <c r="AH479" s="219"/>
      <c r="AI479" s="39"/>
      <c r="AJ479" s="263"/>
      <c r="AK479" s="39"/>
      <c r="AL479" s="219"/>
      <c r="AM479" s="51"/>
      <c r="AN479" s="51"/>
      <c r="AO479" s="220"/>
      <c r="AP479" s="51"/>
      <c r="AQ479" s="51"/>
      <c r="AR479" s="51"/>
      <c r="AS479" s="219"/>
      <c r="AT479" s="51"/>
      <c r="AU479" s="270"/>
      <c r="AV479" s="220"/>
      <c r="AW479" s="51"/>
      <c r="AX479" s="51"/>
    </row>
    <row r="480" spans="1:50" customFormat="1">
      <c r="A480" s="391"/>
      <c r="B480" s="396"/>
      <c r="C480" s="395"/>
      <c r="D480" s="255"/>
      <c r="E480" s="255"/>
      <c r="F480" s="267"/>
      <c r="G480" s="268"/>
      <c r="H480" s="268"/>
      <c r="I480" s="267"/>
      <c r="J480" s="268"/>
      <c r="K480" s="268"/>
      <c r="L480" s="338"/>
      <c r="M480" s="268"/>
      <c r="N480" s="268"/>
      <c r="O480" s="393"/>
      <c r="P480" s="394"/>
      <c r="Q480" s="268"/>
      <c r="R480" s="393"/>
      <c r="S480" s="392"/>
      <c r="T480" s="268"/>
      <c r="U480" s="319"/>
      <c r="V480" s="274"/>
      <c r="W480" s="220"/>
      <c r="X480" s="274"/>
      <c r="Y480" s="274"/>
      <c r="Z480" s="220"/>
      <c r="AA480" s="51"/>
      <c r="AB480" s="51"/>
      <c r="AC480" s="51"/>
      <c r="AD480" s="220"/>
      <c r="AE480" s="389"/>
      <c r="AF480" s="1"/>
      <c r="AG480" s="1"/>
      <c r="AH480" s="219"/>
      <c r="AI480" s="39"/>
      <c r="AJ480" s="263"/>
      <c r="AK480" s="39"/>
      <c r="AL480" s="219"/>
      <c r="AM480" s="51"/>
      <c r="AN480" s="51"/>
      <c r="AO480" s="220"/>
      <c r="AP480" s="51"/>
      <c r="AQ480" s="51"/>
      <c r="AR480" s="51"/>
      <c r="AS480" s="219"/>
      <c r="AT480" s="51"/>
      <c r="AU480" s="270"/>
      <c r="AV480" s="220"/>
      <c r="AW480" s="51"/>
      <c r="AX480" s="51"/>
    </row>
    <row r="481" spans="1:50" customFormat="1" ht="18.75">
      <c r="A481" s="3" t="s">
        <v>1958</v>
      </c>
      <c r="B481" s="396" t="s">
        <v>1957</v>
      </c>
      <c r="C481" s="395">
        <f>AVERAGE(D481:D487)</f>
        <v>112.20803244366759</v>
      </c>
      <c r="D481" s="255">
        <v>107.1</v>
      </c>
      <c r="E481" s="255" t="s">
        <v>224</v>
      </c>
      <c r="F481" s="267"/>
      <c r="G481" s="268"/>
      <c r="H481" s="268"/>
      <c r="I481" s="267"/>
      <c r="J481" s="268"/>
      <c r="K481" s="268"/>
      <c r="L481" s="145">
        <f>M481</f>
        <v>85.235128000000003</v>
      </c>
      <c r="M481" s="452">
        <f>'Table S4 Conversions and Notes'!J575</f>
        <v>85.235128000000003</v>
      </c>
      <c r="N481" s="448" t="s">
        <v>2842</v>
      </c>
      <c r="O481" s="393"/>
      <c r="P481" s="394"/>
      <c r="Q481" s="268"/>
      <c r="R481" s="393"/>
      <c r="S481" s="392"/>
      <c r="T481" s="268"/>
      <c r="U481" s="130">
        <f>AVERAGE(V481:V482)</f>
        <v>10.48</v>
      </c>
      <c r="V481" s="274">
        <v>10.48</v>
      </c>
      <c r="W481" s="220" t="s">
        <v>2805</v>
      </c>
      <c r="X481" s="303">
        <f>AVERAGE(Y481:Y487)</f>
        <v>7.5961428571428575</v>
      </c>
      <c r="Y481" s="274">
        <v>7.94</v>
      </c>
      <c r="Z481" s="220" t="s">
        <v>2366</v>
      </c>
      <c r="AA481" s="51"/>
      <c r="AB481" s="264">
        <v>4.4600000000000001E-2</v>
      </c>
      <c r="AC481" s="261">
        <f>LOG(AB481/8.314/298.15)</f>
        <v>-4.7449099751398123</v>
      </c>
      <c r="AD481" s="155" t="s">
        <v>2336</v>
      </c>
      <c r="AE481" s="444" t="e">
        <f ca="1">AVERAGE(AF481:AF490)</f>
        <v>#N/A</v>
      </c>
      <c r="AF481" s="257">
        <f>LOG(10^(10.31-4808/298.15)*133.322)</f>
        <v>-3.6912091979356272</v>
      </c>
      <c r="AG481" s="269" t="s">
        <v>2354</v>
      </c>
      <c r="AH481" s="130" t="e">
        <f ca="1">AVERAGE(AI481:AI487)</f>
        <v>#N/A</v>
      </c>
      <c r="AI481" s="260" t="e">
        <f ca="1">LOG(AJ481/$B$482)</f>
        <v>#N/A</v>
      </c>
      <c r="AJ481" s="263" t="e">
        <f ca="1">'Table S4 Conversions and Notes'!$J$349</f>
        <v>#N/A</v>
      </c>
      <c r="AK481" s="51" t="s">
        <v>2514</v>
      </c>
      <c r="AL481" s="219"/>
      <c r="AM481" s="51"/>
      <c r="AN481" s="51"/>
      <c r="AO481" s="220"/>
      <c r="AP481" s="51"/>
      <c r="AQ481" s="51"/>
      <c r="AR481" s="51"/>
      <c r="AS481" s="201">
        <f>AVERAGE(AT481:AT485)</f>
        <v>-53</v>
      </c>
      <c r="AT481" s="51">
        <v>-55</v>
      </c>
      <c r="AU481" s="270">
        <f>AT481+273.15</f>
        <v>218.14999999999998</v>
      </c>
      <c r="AV481" s="220" t="s">
        <v>1941</v>
      </c>
      <c r="AW481" s="51"/>
      <c r="AX481" s="51"/>
    </row>
    <row r="482" spans="1:50" customFormat="1">
      <c r="A482" s="391" t="s">
        <v>1956</v>
      </c>
      <c r="B482" s="396">
        <v>390.6</v>
      </c>
      <c r="C482" s="434">
        <f>_xlfn.STDEV.S(D481:D487)</f>
        <v>4.4625575442630749</v>
      </c>
      <c r="D482" s="255">
        <v>105.9</v>
      </c>
      <c r="E482" s="255" t="s">
        <v>224</v>
      </c>
      <c r="F482" s="267"/>
      <c r="G482" s="268"/>
      <c r="H482" s="268"/>
      <c r="I482" s="267"/>
      <c r="J482" s="268"/>
      <c r="K482" s="268"/>
      <c r="L482" s="145">
        <f>RSD_dUoa*L481</f>
        <v>5.4003343808469122</v>
      </c>
      <c r="M482" s="268"/>
      <c r="N482" s="268"/>
      <c r="O482" s="393"/>
      <c r="P482" s="394"/>
      <c r="Q482" s="268"/>
      <c r="R482" s="393"/>
      <c r="S482" s="392"/>
      <c r="T482" s="268"/>
      <c r="U482" s="130">
        <f>RSD_Koa*U481</f>
        <v>0.26983713356784012</v>
      </c>
      <c r="V482" s="274"/>
      <c r="W482" s="220"/>
      <c r="X482" s="303">
        <f>_xlfn.STDEV.S(Y481:Y487)</f>
        <v>0.35617946252389365</v>
      </c>
      <c r="Y482" s="274">
        <v>7.4530000000000003</v>
      </c>
      <c r="Z482" s="220" t="s">
        <v>2387</v>
      </c>
      <c r="AA482" s="51"/>
      <c r="AB482" s="51"/>
      <c r="AC482" s="51"/>
      <c r="AD482" s="220"/>
      <c r="AE482" s="444" t="e">
        <f ca="1">_xlfn.STDEV.S(AF481:AF490)</f>
        <v>#N/A</v>
      </c>
      <c r="AF482" s="257">
        <f>LOG(0.000019,10)</f>
        <v>-4.7212463990471703</v>
      </c>
      <c r="AG482" s="269" t="s">
        <v>66</v>
      </c>
      <c r="AH482" s="130" t="e">
        <f ca="1">_xlfn.STDEV.S(AI481:AI487)</f>
        <v>#N/A</v>
      </c>
      <c r="AI482" s="260">
        <f>LOG(AJ482/B482)</f>
        <v>-2.9896722476238731</v>
      </c>
      <c r="AJ482" s="263">
        <v>0.4</v>
      </c>
      <c r="AK482" s="51" t="s">
        <v>2462</v>
      </c>
      <c r="AL482" s="219"/>
      <c r="AM482" s="51"/>
      <c r="AN482" s="51"/>
      <c r="AO482" s="220"/>
      <c r="AP482" s="51"/>
      <c r="AQ482" s="51"/>
      <c r="AR482" s="51"/>
      <c r="AS482" s="182">
        <f>_xlfn.STDEV.S(AT481:AT485)</f>
        <v>2.7386127875258306</v>
      </c>
      <c r="AT482" s="51">
        <v>-55</v>
      </c>
      <c r="AU482" s="270">
        <f>AT482+273.15</f>
        <v>218.14999999999998</v>
      </c>
      <c r="AV482" s="220" t="s">
        <v>1955</v>
      </c>
      <c r="AW482" s="51"/>
      <c r="AX482" s="51"/>
    </row>
    <row r="483" spans="1:50" customFormat="1" ht="15.75">
      <c r="A483" s="391"/>
      <c r="B483" s="396"/>
      <c r="C483" s="395">
        <f>COUNT(D481:D487)</f>
        <v>7</v>
      </c>
      <c r="D483" s="255">
        <f>'Table S4 Conversions and Notes'!$J$424</f>
        <v>115.2882271056732</v>
      </c>
      <c r="E483" s="255" t="s">
        <v>1952</v>
      </c>
      <c r="F483" s="267"/>
      <c r="G483" s="268"/>
      <c r="H483" s="268"/>
      <c r="I483" s="267"/>
      <c r="J483" s="268"/>
      <c r="K483" s="268"/>
      <c r="L483" s="324">
        <f>COUNTA(M481:M483)</f>
        <v>1</v>
      </c>
      <c r="M483" s="268"/>
      <c r="N483" s="268"/>
      <c r="O483" s="393"/>
      <c r="P483" s="394"/>
      <c r="Q483" s="268"/>
      <c r="R483" s="393"/>
      <c r="S483" s="392"/>
      <c r="T483" s="268"/>
      <c r="U483" s="324">
        <f>COUNTA(V481:V483)</f>
        <v>1</v>
      </c>
      <c r="V483" s="274"/>
      <c r="W483" s="220"/>
      <c r="X483" s="324">
        <f>COUNTA(Y481:Y487)</f>
        <v>7</v>
      </c>
      <c r="Y483" s="274">
        <v>7.1369999999999996</v>
      </c>
      <c r="Z483" s="220" t="s">
        <v>2635</v>
      </c>
      <c r="AA483" s="51"/>
      <c r="AB483" s="51"/>
      <c r="AC483" s="51"/>
      <c r="AD483" s="220"/>
      <c r="AE483" s="324">
        <f ca="1">COUNT(AF481:AF490)</f>
        <v>7</v>
      </c>
      <c r="AF483" s="257">
        <f>LOG(0.0000193)</f>
        <v>-4.7144426909922261</v>
      </c>
      <c r="AG483" s="269" t="s">
        <v>211</v>
      </c>
      <c r="AH483" s="324">
        <f ca="1">COUNT(AI481:AI484)</f>
        <v>2</v>
      </c>
      <c r="AI483" s="260">
        <f>LOG(AJ483/B482)</f>
        <v>-3.0602533219095807</v>
      </c>
      <c r="AJ483" s="263">
        <v>0.34</v>
      </c>
      <c r="AK483" s="51" t="s">
        <v>2365</v>
      </c>
      <c r="AL483" s="219"/>
      <c r="AM483" s="51"/>
      <c r="AN483" s="51"/>
      <c r="AO483" s="220"/>
      <c r="AP483" s="51"/>
      <c r="AQ483" s="51"/>
      <c r="AR483" s="51"/>
      <c r="AS483" s="324">
        <f>COUNTA(AT481:AT485)</f>
        <v>5</v>
      </c>
      <c r="AT483" s="51">
        <v>-50</v>
      </c>
      <c r="AU483" s="270">
        <f>AT483+273.15</f>
        <v>223.14999999999998</v>
      </c>
      <c r="AV483" s="220" t="s">
        <v>1953</v>
      </c>
      <c r="AW483" s="51"/>
      <c r="AX483" s="51"/>
    </row>
    <row r="484" spans="1:50" customFormat="1" ht="18">
      <c r="A484" s="391"/>
      <c r="B484" s="396"/>
      <c r="C484" s="395"/>
      <c r="D484" s="255">
        <f>27*4.184</f>
        <v>112.968</v>
      </c>
      <c r="E484" s="255" t="s">
        <v>2344</v>
      </c>
      <c r="F484" s="267"/>
      <c r="G484" s="268"/>
      <c r="H484" s="268"/>
      <c r="I484" s="267"/>
      <c r="J484" s="268"/>
      <c r="K484" s="268"/>
      <c r="L484" s="338"/>
      <c r="M484" s="268"/>
      <c r="N484" s="268"/>
      <c r="O484" s="393"/>
      <c r="P484" s="394"/>
      <c r="Q484" s="268"/>
      <c r="R484" s="393"/>
      <c r="S484" s="392"/>
      <c r="T484" s="268"/>
      <c r="U484" s="319"/>
      <c r="V484" s="274"/>
      <c r="W484" s="220"/>
      <c r="X484" s="274"/>
      <c r="Y484" s="274">
        <v>7.4530000000000003</v>
      </c>
      <c r="Z484" s="220" t="s">
        <v>2635</v>
      </c>
      <c r="AA484" s="51"/>
      <c r="AB484" s="51"/>
      <c r="AC484" s="51"/>
      <c r="AD484" s="220"/>
      <c r="AE484" s="389"/>
      <c r="AF484" s="257" t="e">
        <f ca="1">LOG('Table S4 Conversions and Notes'!$J$384)</f>
        <v>#N/A</v>
      </c>
      <c r="AG484" s="269" t="s">
        <v>2596</v>
      </c>
      <c r="AH484" s="219"/>
      <c r="AI484" s="260" t="e">
        <f ca="1">LOG('Table S4 Conversions and Notes'!$J$363)</f>
        <v>#N/A</v>
      </c>
      <c r="AJ484" s="263" t="e">
        <f ca="1">10^AI484*$B$482</f>
        <v>#N/A</v>
      </c>
      <c r="AK484" s="51" t="s">
        <v>2517</v>
      </c>
      <c r="AL484" s="219"/>
      <c r="AM484" s="51"/>
      <c r="AN484" s="51"/>
      <c r="AO484" s="220"/>
      <c r="AP484" s="51"/>
      <c r="AQ484" s="51"/>
      <c r="AR484" s="51"/>
      <c r="AS484" s="219"/>
      <c r="AT484" s="51">
        <v>-50</v>
      </c>
      <c r="AU484" s="270">
        <f>AT484+273.15</f>
        <v>223.14999999999998</v>
      </c>
      <c r="AV484" s="220" t="s">
        <v>1950</v>
      </c>
      <c r="AW484" s="51"/>
      <c r="AX484" s="51"/>
    </row>
    <row r="485" spans="1:50" customFormat="1" ht="18">
      <c r="A485" s="391"/>
      <c r="B485" s="396"/>
      <c r="C485" s="395"/>
      <c r="D485" s="448">
        <v>110.7</v>
      </c>
      <c r="E485" s="448" t="s">
        <v>2703</v>
      </c>
      <c r="F485" s="267"/>
      <c r="G485" s="268"/>
      <c r="H485" s="268"/>
      <c r="I485" s="267"/>
      <c r="J485" s="268"/>
      <c r="K485" s="268"/>
      <c r="L485" s="338"/>
      <c r="M485" s="268"/>
      <c r="N485" s="268"/>
      <c r="O485" s="393"/>
      <c r="P485" s="394"/>
      <c r="Q485" s="268"/>
      <c r="R485" s="393"/>
      <c r="S485" s="392"/>
      <c r="T485" s="268"/>
      <c r="U485" s="319"/>
      <c r="V485" s="274"/>
      <c r="W485" s="220"/>
      <c r="X485" s="274"/>
      <c r="Y485" s="274">
        <v>7.27</v>
      </c>
      <c r="Z485" s="220" t="s">
        <v>1939</v>
      </c>
      <c r="AA485" s="51"/>
      <c r="AB485" s="51"/>
      <c r="AC485" s="51"/>
      <c r="AD485" s="220"/>
      <c r="AE485" s="389"/>
      <c r="AF485" s="257" t="e">
        <f ca="1">LOG('Table S4 Conversions and Notes'!$J$386)</f>
        <v>#N/A</v>
      </c>
      <c r="AG485" s="269" t="s">
        <v>2427</v>
      </c>
      <c r="AH485" s="219"/>
      <c r="AI485" s="260">
        <f>LOG(AJ485/B482)</f>
        <v>-3.1368873789433254</v>
      </c>
      <c r="AJ485" s="263">
        <v>0.28499999999999998</v>
      </c>
      <c r="AK485" s="263" t="s">
        <v>2486</v>
      </c>
      <c r="AL485" s="219"/>
      <c r="AM485" s="51"/>
      <c r="AN485" s="51"/>
      <c r="AO485" s="220"/>
      <c r="AP485" s="51"/>
      <c r="AQ485" s="51"/>
      <c r="AR485" s="51"/>
      <c r="AS485" s="219"/>
      <c r="AT485" s="51">
        <v>-55</v>
      </c>
      <c r="AU485" s="270">
        <f>AT485+273.15</f>
        <v>218.14999999999998</v>
      </c>
      <c r="AV485" s="220" t="s">
        <v>1949</v>
      </c>
      <c r="AW485" s="51"/>
      <c r="AX485" s="51"/>
    </row>
    <row r="486" spans="1:50" customFormat="1" ht="17.25">
      <c r="A486" s="391"/>
      <c r="B486" s="396"/>
      <c r="C486" s="395"/>
      <c r="D486" s="255">
        <v>116.7</v>
      </c>
      <c r="E486" s="13" t="s">
        <v>2588</v>
      </c>
      <c r="F486" s="267"/>
      <c r="G486" s="268"/>
      <c r="H486" s="268"/>
      <c r="I486" s="267"/>
      <c r="J486" s="268"/>
      <c r="K486" s="268"/>
      <c r="L486" s="338"/>
      <c r="M486" s="268"/>
      <c r="N486" s="268"/>
      <c r="O486" s="393"/>
      <c r="P486" s="394"/>
      <c r="Q486" s="268"/>
      <c r="R486" s="393"/>
      <c r="S486" s="392"/>
      <c r="T486" s="268"/>
      <c r="U486" s="319"/>
      <c r="V486" s="274"/>
      <c r="W486" s="220"/>
      <c r="X486" s="274"/>
      <c r="Y486" s="274">
        <v>8.06</v>
      </c>
      <c r="Z486" s="220" t="s">
        <v>1948</v>
      </c>
      <c r="AA486" s="51"/>
      <c r="AB486" s="51"/>
      <c r="AC486" s="51"/>
      <c r="AD486" s="220"/>
      <c r="AE486" s="389"/>
      <c r="AF486" s="257">
        <f>LOG(0.0000173)</f>
        <v>-4.761953896871205</v>
      </c>
      <c r="AG486" s="269" t="s">
        <v>2428</v>
      </c>
      <c r="AH486" s="219"/>
      <c r="AI486" s="260">
        <f>LOG(AJ486/B482)</f>
        <v>-3.1603684747928482</v>
      </c>
      <c r="AJ486" s="263">
        <v>0.27</v>
      </c>
      <c r="AK486" s="263" t="s">
        <v>2491</v>
      </c>
      <c r="AL486" s="219"/>
      <c r="AM486" s="51"/>
      <c r="AN486" s="51"/>
      <c r="AO486" s="220"/>
      <c r="AP486" s="51"/>
      <c r="AQ486" s="51"/>
      <c r="AR486" s="51"/>
      <c r="AS486" s="219"/>
      <c r="AT486" s="51"/>
      <c r="AU486" s="270"/>
      <c r="AV486" s="220"/>
      <c r="AW486" s="51"/>
      <c r="AX486" s="51"/>
    </row>
    <row r="487" spans="1:50" customFormat="1" ht="18">
      <c r="A487" s="391"/>
      <c r="B487" s="396"/>
      <c r="C487" s="395"/>
      <c r="D487" s="448">
        <v>116.8</v>
      </c>
      <c r="E487" s="448" t="s">
        <v>2826</v>
      </c>
      <c r="F487" s="267"/>
      <c r="G487" s="268"/>
      <c r="H487" s="268"/>
      <c r="I487" s="267"/>
      <c r="J487" s="268"/>
      <c r="K487" s="268"/>
      <c r="L487" s="338"/>
      <c r="M487" s="268"/>
      <c r="N487" s="268"/>
      <c r="O487" s="393"/>
      <c r="P487" s="394"/>
      <c r="Q487" s="268"/>
      <c r="R487" s="393"/>
      <c r="S487" s="392"/>
      <c r="T487" s="268"/>
      <c r="U487" s="319"/>
      <c r="V487" s="274"/>
      <c r="W487" s="220"/>
      <c r="X487" s="274"/>
      <c r="Y487" s="274">
        <v>7.86</v>
      </c>
      <c r="Z487" s="45" t="s">
        <v>2392</v>
      </c>
      <c r="AA487" s="51"/>
      <c r="AB487" s="51"/>
      <c r="AC487" s="51"/>
      <c r="AD487" s="220"/>
      <c r="AE487" s="389"/>
      <c r="AF487" s="257" t="e">
        <f ca="1">LOG('Table S4 Conversions and Notes'!$J$387)</f>
        <v>#N/A</v>
      </c>
      <c r="AG487" s="269" t="s">
        <v>2426</v>
      </c>
      <c r="AH487" s="219"/>
      <c r="AI487" s="260">
        <f>LOG(AJ487/B482)</f>
        <v>-3.6572337877082681</v>
      </c>
      <c r="AJ487" s="263">
        <v>8.5999999999999993E-2</v>
      </c>
      <c r="AK487" s="263" t="s">
        <v>2515</v>
      </c>
      <c r="AL487" s="219"/>
      <c r="AM487" s="51"/>
      <c r="AN487" s="51"/>
      <c r="AO487" s="220"/>
      <c r="AP487" s="51"/>
      <c r="AQ487" s="51"/>
      <c r="AR487" s="51"/>
      <c r="AS487" s="219"/>
      <c r="AT487" s="51"/>
      <c r="AU487" s="270"/>
      <c r="AV487" s="220"/>
      <c r="AW487" s="51"/>
      <c r="AX487" s="51"/>
    </row>
    <row r="488" spans="1:50" customFormat="1" ht="18">
      <c r="A488" s="391"/>
      <c r="B488" s="396"/>
      <c r="C488" s="395"/>
      <c r="D488" s="290">
        <f>22*4.184</f>
        <v>92.048000000000002</v>
      </c>
      <c r="E488" s="290" t="s">
        <v>2353</v>
      </c>
      <c r="F488" s="267"/>
      <c r="G488" s="268"/>
      <c r="H488" s="268"/>
      <c r="I488" s="267"/>
      <c r="J488" s="268"/>
      <c r="K488" s="268"/>
      <c r="L488" s="338"/>
      <c r="M488" s="268"/>
      <c r="N488" s="268"/>
      <c r="O488" s="393"/>
      <c r="P488" s="394"/>
      <c r="Q488" s="268"/>
      <c r="R488" s="393"/>
      <c r="S488" s="392"/>
      <c r="T488" s="268"/>
      <c r="U488" s="319"/>
      <c r="V488" s="274"/>
      <c r="W488" s="220"/>
      <c r="X488" s="274"/>
      <c r="Y488" s="307">
        <v>5.1100000000000003</v>
      </c>
      <c r="Z488" s="259" t="s">
        <v>2393</v>
      </c>
      <c r="AA488" s="51"/>
      <c r="AB488" s="51"/>
      <c r="AC488" s="51"/>
      <c r="AD488" s="220"/>
      <c r="AE488" s="389"/>
      <c r="AF488" s="257">
        <f>LOG(0.0000054)</f>
        <v>-5.2676062401770318</v>
      </c>
      <c r="AG488" s="269" t="s">
        <v>1944</v>
      </c>
      <c r="AH488" s="219"/>
      <c r="AI488" s="261">
        <f>LOG(AJ488/B482)</f>
        <v>-2.9896722476238731</v>
      </c>
      <c r="AJ488" s="264">
        <v>0.4</v>
      </c>
      <c r="AK488" s="262" t="s">
        <v>1951</v>
      </c>
      <c r="AL488" s="219"/>
      <c r="AM488" s="51"/>
      <c r="AN488" s="51"/>
      <c r="AO488" s="220"/>
      <c r="AP488" s="51"/>
      <c r="AQ488" s="51"/>
      <c r="AR488" s="51"/>
      <c r="AS488" s="219"/>
      <c r="AT488" s="51"/>
      <c r="AU488" s="270"/>
      <c r="AV488" s="220"/>
      <c r="AW488" s="51"/>
      <c r="AX488" s="51"/>
    </row>
    <row r="489" spans="1:50" customFormat="1" ht="18">
      <c r="A489" s="391"/>
      <c r="B489" s="396"/>
      <c r="C489" s="395"/>
      <c r="D489" s="435">
        <v>102.5</v>
      </c>
      <c r="E489" s="435" t="s">
        <v>2751</v>
      </c>
      <c r="F489" s="267"/>
      <c r="G489" s="268"/>
      <c r="H489" s="268"/>
      <c r="I489" s="267"/>
      <c r="J489" s="268"/>
      <c r="K489" s="268"/>
      <c r="L489" s="338"/>
      <c r="M489" s="268"/>
      <c r="N489" s="268"/>
      <c r="O489" s="393"/>
      <c r="P489" s="394"/>
      <c r="Q489" s="268"/>
      <c r="R489" s="393"/>
      <c r="S489" s="392"/>
      <c r="T489" s="268"/>
      <c r="U489" s="319"/>
      <c r="V489" s="274"/>
      <c r="W489" s="220"/>
      <c r="X489" s="274"/>
      <c r="Y489" s="307">
        <f>'Table S4 Conversions and Notes'!$J$389</f>
        <v>5.3</v>
      </c>
      <c r="Z489" s="259" t="s">
        <v>2389</v>
      </c>
      <c r="AA489" s="51"/>
      <c r="AB489" s="51"/>
      <c r="AC489" s="51"/>
      <c r="AD489" s="220"/>
      <c r="AE489" s="389"/>
      <c r="AF489" s="257">
        <f>LOG(0.000036)</f>
        <v>-4.4436974992327123</v>
      </c>
      <c r="AG489" s="269" t="s">
        <v>1925</v>
      </c>
      <c r="AH489" s="219"/>
      <c r="AI489" s="261">
        <f>LOG(0.000000108*1000)</f>
        <v>-3.9665762445130501</v>
      </c>
      <c r="AJ489" s="264">
        <f>10^AI489*$B$482</f>
        <v>4.2184799999999953E-2</v>
      </c>
      <c r="AK489" s="264" t="s">
        <v>1947</v>
      </c>
      <c r="AL489" s="219"/>
      <c r="AM489" s="51"/>
      <c r="AN489" s="51"/>
      <c r="AO489" s="220"/>
      <c r="AP489" s="51"/>
      <c r="AQ489" s="51"/>
      <c r="AR489" s="51"/>
      <c r="AS489" s="219"/>
      <c r="AT489" s="51"/>
      <c r="AU489" s="270"/>
      <c r="AV489" s="220"/>
      <c r="AW489" s="51"/>
      <c r="AX489" s="51"/>
    </row>
    <row r="490" spans="1:50" customFormat="1" ht="18">
      <c r="A490" s="391"/>
      <c r="B490" s="396"/>
      <c r="C490" s="395"/>
      <c r="D490" s="255"/>
      <c r="E490" s="255"/>
      <c r="F490" s="267"/>
      <c r="G490" s="268"/>
      <c r="H490" s="268"/>
      <c r="I490" s="267"/>
      <c r="J490" s="268"/>
      <c r="K490" s="268"/>
      <c r="L490" s="338"/>
      <c r="M490" s="268"/>
      <c r="N490" s="268"/>
      <c r="O490" s="393"/>
      <c r="P490" s="394"/>
      <c r="Q490" s="268"/>
      <c r="R490" s="393"/>
      <c r="S490" s="392"/>
      <c r="T490" s="268"/>
      <c r="U490" s="319"/>
      <c r="V490" s="274"/>
      <c r="W490" s="220"/>
      <c r="X490" s="274"/>
      <c r="Y490" s="307">
        <f>'Table S4 Conversions and Notes'!$J$390</f>
        <v>4.2</v>
      </c>
      <c r="Z490" s="259" t="s">
        <v>2391</v>
      </c>
      <c r="AA490" s="51"/>
      <c r="AB490" s="51"/>
      <c r="AC490" s="51"/>
      <c r="AD490" s="220"/>
      <c r="AE490" s="389"/>
      <c r="AF490" s="257">
        <f>LOG(EXP(-10.814))</f>
        <v>-4.696460527301765</v>
      </c>
      <c r="AG490" s="7" t="s">
        <v>2799</v>
      </c>
      <c r="AH490" s="219"/>
      <c r="AI490" s="261" t="e">
        <f ca="1">LOG(AJ490/B482)</f>
        <v>#N/A</v>
      </c>
      <c r="AJ490" s="264" t="e">
        <f ca="1">'Table S4 Conversions and Notes'!$J$427</f>
        <v>#N/A</v>
      </c>
      <c r="AK490" s="264" t="s">
        <v>2518</v>
      </c>
      <c r="AL490" s="219"/>
      <c r="AM490" s="51"/>
      <c r="AN490" s="51"/>
      <c r="AO490" s="220"/>
      <c r="AP490" s="51"/>
      <c r="AQ490" s="51"/>
      <c r="AR490" s="51"/>
      <c r="AS490" s="219"/>
      <c r="AT490" s="51"/>
      <c r="AU490" s="270"/>
      <c r="AV490" s="220"/>
      <c r="AW490" s="51"/>
      <c r="AX490" s="51"/>
    </row>
    <row r="491" spans="1:50" customFormat="1" ht="18">
      <c r="A491" s="391"/>
      <c r="B491" s="396"/>
      <c r="C491" s="395"/>
      <c r="D491" s="1"/>
      <c r="E491" s="1"/>
      <c r="F491" s="267"/>
      <c r="G491" s="268"/>
      <c r="H491" s="268"/>
      <c r="I491" s="267"/>
      <c r="J491" s="268"/>
      <c r="K491" s="268"/>
      <c r="L491" s="338"/>
      <c r="M491" s="268"/>
      <c r="N491" s="268"/>
      <c r="O491" s="393"/>
      <c r="P491" s="394"/>
      <c r="Q491" s="268"/>
      <c r="R491" s="393"/>
      <c r="S491" s="392"/>
      <c r="T491" s="268"/>
      <c r="U491" s="319"/>
      <c r="V491" s="274"/>
      <c r="W491" s="220"/>
      <c r="X491" s="274"/>
      <c r="Y491" s="307">
        <v>7.6</v>
      </c>
      <c r="Z491" s="259" t="s">
        <v>1947</v>
      </c>
      <c r="AA491" s="51"/>
      <c r="AB491" s="51"/>
      <c r="AC491" s="51"/>
      <c r="AD491" s="220"/>
      <c r="AE491" s="389"/>
      <c r="AF491" s="258">
        <f>LOG(10^(12.9-6157/298.15)*133.322)</f>
        <v>-5.625777368319663</v>
      </c>
      <c r="AG491" s="185" t="s">
        <v>2404</v>
      </c>
      <c r="AH491" s="219"/>
      <c r="AI491" s="261" t="e">
        <f ca="1">LOG(AJ491/B482)</f>
        <v>#N/A</v>
      </c>
      <c r="AJ491" s="264" t="e">
        <f ca="1">'Table S4 Conversions and Notes'!$J$381</f>
        <v>#N/A</v>
      </c>
      <c r="AK491" s="262" t="s">
        <v>2519</v>
      </c>
      <c r="AL491" s="219"/>
      <c r="AM491" s="51"/>
      <c r="AN491" s="51"/>
      <c r="AO491" s="220"/>
      <c r="AP491" s="51"/>
      <c r="AQ491" s="51"/>
      <c r="AR491" s="51"/>
      <c r="AS491" s="219"/>
      <c r="AT491" s="51"/>
      <c r="AU491" s="270"/>
      <c r="AV491" s="220"/>
      <c r="AW491" s="51"/>
      <c r="AX491" s="51"/>
    </row>
    <row r="492" spans="1:50" customFormat="1" ht="18">
      <c r="A492" s="391"/>
      <c r="B492" s="396"/>
      <c r="C492" s="395"/>
      <c r="D492" s="255"/>
      <c r="E492" s="255"/>
      <c r="F492" s="267"/>
      <c r="G492" s="268"/>
      <c r="H492" s="268"/>
      <c r="I492" s="267"/>
      <c r="J492" s="268"/>
      <c r="K492" s="268"/>
      <c r="L492" s="338"/>
      <c r="M492" s="268"/>
      <c r="N492" s="268"/>
      <c r="O492" s="393"/>
      <c r="P492" s="394"/>
      <c r="Q492" s="268"/>
      <c r="R492" s="393"/>
      <c r="S492" s="392"/>
      <c r="T492" s="268"/>
      <c r="U492" s="319"/>
      <c r="V492" s="274"/>
      <c r="W492" s="220"/>
      <c r="X492" s="274"/>
      <c r="Y492" s="307" t="e">
        <f ca="1">'Table S4 Conversions and Notes'!$J$426</f>
        <v>#N/A</v>
      </c>
      <c r="Z492" s="259" t="s">
        <v>2395</v>
      </c>
      <c r="AA492" s="51"/>
      <c r="AB492" s="51"/>
      <c r="AC492" s="51"/>
      <c r="AD492" s="220"/>
      <c r="AE492" s="389"/>
      <c r="AF492" s="258" t="e">
        <f ca="1">LOG('Table S4 Conversions and Notes'!$J$385)</f>
        <v>#N/A</v>
      </c>
      <c r="AG492" s="285" t="s">
        <v>2425</v>
      </c>
      <c r="AH492" s="219"/>
      <c r="AI492" s="261">
        <f>LOG(AJ492/B482)</f>
        <v>-0.89276223461581683</v>
      </c>
      <c r="AJ492" s="264">
        <f>'Table S4 Conversions and Notes'!$J$382</f>
        <v>50</v>
      </c>
      <c r="AK492" s="262" t="s">
        <v>2520</v>
      </c>
      <c r="AL492" s="219"/>
      <c r="AM492" s="51"/>
      <c r="AN492" s="51"/>
      <c r="AO492" s="220"/>
      <c r="AP492" s="51"/>
      <c r="AQ492" s="51"/>
      <c r="AR492" s="51"/>
      <c r="AS492" s="219"/>
      <c r="AT492" s="51"/>
      <c r="AU492" s="270"/>
      <c r="AV492" s="220"/>
      <c r="AW492" s="51"/>
      <c r="AX492" s="51"/>
    </row>
    <row r="493" spans="1:50" customFormat="1" ht="18">
      <c r="A493" s="391"/>
      <c r="B493" s="396"/>
      <c r="C493" s="395"/>
      <c r="D493" s="255"/>
      <c r="E493" s="255"/>
      <c r="F493" s="267"/>
      <c r="G493" s="268"/>
      <c r="H493" s="268"/>
      <c r="I493" s="267"/>
      <c r="J493" s="268"/>
      <c r="K493" s="268"/>
      <c r="L493" s="338"/>
      <c r="M493" s="268"/>
      <c r="N493" s="268"/>
      <c r="O493" s="393"/>
      <c r="P493" s="394"/>
      <c r="Q493" s="268"/>
      <c r="R493" s="393"/>
      <c r="S493" s="392"/>
      <c r="T493" s="268"/>
      <c r="U493" s="319"/>
      <c r="V493" s="274"/>
      <c r="W493" s="220"/>
      <c r="X493" s="274"/>
      <c r="Y493" s="40"/>
      <c r="Z493" s="42"/>
      <c r="AA493" s="51"/>
      <c r="AB493" s="51"/>
      <c r="AC493" s="51"/>
      <c r="AD493" s="220"/>
      <c r="AE493" s="389"/>
      <c r="AF493" s="258" t="e">
        <f ca="1">LOG('Table S4 Conversions and Notes'!$J$388)</f>
        <v>#N/A</v>
      </c>
      <c r="AG493" s="285" t="s">
        <v>2429</v>
      </c>
      <c r="AH493" s="219"/>
      <c r="AI493" s="261" t="e">
        <f ca="1">LOG(AJ493/B482)</f>
        <v>#N/A</v>
      </c>
      <c r="AJ493" s="264" t="e">
        <f ca="1">'Table S4 Conversions and Notes'!$J$383</f>
        <v>#N/A</v>
      </c>
      <c r="AK493" s="264" t="s">
        <v>2521</v>
      </c>
      <c r="AL493" s="219"/>
      <c r="AM493" s="51"/>
      <c r="AN493" s="51"/>
      <c r="AO493" s="220"/>
      <c r="AP493" s="51"/>
      <c r="AQ493" s="51"/>
      <c r="AR493" s="51"/>
      <c r="AS493" s="219"/>
      <c r="AT493" s="51"/>
      <c r="AU493" s="270"/>
      <c r="AV493" s="220"/>
      <c r="AW493" s="51"/>
      <c r="AX493" s="51"/>
    </row>
    <row r="494" spans="1:50" customFormat="1">
      <c r="A494" s="391"/>
      <c r="B494" s="396"/>
      <c r="C494" s="395"/>
      <c r="D494" s="255"/>
      <c r="E494" s="255"/>
      <c r="F494" s="267"/>
      <c r="G494" s="268"/>
      <c r="H494" s="268"/>
      <c r="I494" s="267"/>
      <c r="J494" s="268"/>
      <c r="K494" s="268"/>
      <c r="L494" s="338"/>
      <c r="M494" s="268"/>
      <c r="N494" s="268"/>
      <c r="O494" s="393"/>
      <c r="P494" s="394"/>
      <c r="Q494" s="268"/>
      <c r="R494" s="393"/>
      <c r="S494" s="392"/>
      <c r="T494" s="268"/>
      <c r="U494" s="319"/>
      <c r="V494" s="274"/>
      <c r="W494" s="220"/>
      <c r="X494" s="274"/>
      <c r="Y494" s="40"/>
      <c r="Z494" s="42"/>
      <c r="AA494" s="51"/>
      <c r="AB494" s="51"/>
      <c r="AC494" s="51"/>
      <c r="AD494" s="220"/>
      <c r="AE494" s="389"/>
      <c r="AF494" s="258">
        <f>LOG(0.000000142*133.322)</f>
        <v>-4.722809835608583</v>
      </c>
      <c r="AG494" s="285" t="s">
        <v>1947</v>
      </c>
      <c r="AH494" s="219"/>
      <c r="AI494" s="40"/>
      <c r="AJ494" s="40"/>
      <c r="AK494" s="40"/>
      <c r="AL494" s="219"/>
      <c r="AM494" s="51"/>
      <c r="AN494" s="51"/>
      <c r="AO494" s="220"/>
      <c r="AP494" s="51"/>
      <c r="AQ494" s="51"/>
      <c r="AR494" s="51"/>
      <c r="AS494" s="219"/>
      <c r="AT494" s="51"/>
      <c r="AU494" s="270"/>
      <c r="AV494" s="220"/>
      <c r="AW494" s="51"/>
      <c r="AX494" s="51"/>
    </row>
    <row r="495" spans="1:50" customFormat="1" ht="18">
      <c r="A495" s="391"/>
      <c r="B495" s="396"/>
      <c r="C495" s="395"/>
      <c r="D495" s="255"/>
      <c r="E495" s="255"/>
      <c r="F495" s="267"/>
      <c r="G495" s="268"/>
      <c r="H495" s="268"/>
      <c r="I495" s="267"/>
      <c r="J495" s="268"/>
      <c r="K495" s="268"/>
      <c r="L495" s="338"/>
      <c r="M495" s="268"/>
      <c r="N495" s="268"/>
      <c r="O495" s="393"/>
      <c r="P495" s="394"/>
      <c r="Q495" s="268"/>
      <c r="R495" s="393"/>
      <c r="S495" s="392"/>
      <c r="T495" s="268"/>
      <c r="U495" s="319"/>
      <c r="V495" s="274"/>
      <c r="W495" s="220"/>
      <c r="X495" s="274"/>
      <c r="Y495" s="274"/>
      <c r="Z495" s="220"/>
      <c r="AA495" s="51"/>
      <c r="AB495" s="51"/>
      <c r="AC495" s="51"/>
      <c r="AD495" s="220"/>
      <c r="AE495" s="389"/>
      <c r="AF495" s="258" t="e">
        <f ca="1">LOG('Table S4 Conversions and Notes'!$J$425)</f>
        <v>#N/A</v>
      </c>
      <c r="AG495" s="285" t="s">
        <v>2451</v>
      </c>
      <c r="AH495" s="219"/>
      <c r="AI495" s="40"/>
      <c r="AJ495" s="40"/>
      <c r="AK495" s="40"/>
      <c r="AL495" s="219"/>
      <c r="AM495" s="51"/>
      <c r="AN495" s="51"/>
      <c r="AO495" s="220"/>
      <c r="AP495" s="51"/>
      <c r="AQ495" s="51"/>
      <c r="AR495" s="51"/>
      <c r="AS495" s="219"/>
      <c r="AT495" s="51"/>
      <c r="AU495" s="270"/>
      <c r="AV495" s="220"/>
      <c r="AW495" s="51"/>
      <c r="AX495" s="51"/>
    </row>
    <row r="496" spans="1:50" customFormat="1">
      <c r="A496" s="391"/>
      <c r="B496" s="396"/>
      <c r="C496" s="395"/>
      <c r="D496" s="255"/>
      <c r="E496" s="255"/>
      <c r="F496" s="267"/>
      <c r="G496" s="268"/>
      <c r="H496" s="268"/>
      <c r="I496" s="267"/>
      <c r="J496" s="268"/>
      <c r="K496" s="268"/>
      <c r="L496" s="338"/>
      <c r="M496" s="268"/>
      <c r="N496" s="268"/>
      <c r="O496" s="393"/>
      <c r="P496" s="394"/>
      <c r="Q496" s="268"/>
      <c r="R496" s="393"/>
      <c r="S496" s="392"/>
      <c r="T496" s="268"/>
      <c r="U496" s="319"/>
      <c r="V496" s="274"/>
      <c r="W496" s="220"/>
      <c r="X496" s="274"/>
      <c r="Y496" s="274"/>
      <c r="Z496" s="220"/>
      <c r="AA496" s="51"/>
      <c r="AB496" s="51"/>
      <c r="AC496" s="51"/>
      <c r="AD496" s="220"/>
      <c r="AE496" s="389"/>
      <c r="AF496" s="258">
        <f>LOG(0.00086,10)</f>
        <v>-3.0655015487564317</v>
      </c>
      <c r="AG496" s="285" t="s">
        <v>1929</v>
      </c>
      <c r="AH496" s="219"/>
      <c r="AI496" s="40"/>
      <c r="AJ496" s="40"/>
      <c r="AK496" s="40"/>
      <c r="AL496" s="219"/>
      <c r="AM496" s="51"/>
      <c r="AN496" s="51"/>
      <c r="AO496" s="220"/>
      <c r="AP496" s="51"/>
      <c r="AQ496" s="51"/>
      <c r="AR496" s="51"/>
      <c r="AS496" s="219"/>
      <c r="AT496" s="51"/>
      <c r="AU496" s="270"/>
      <c r="AV496" s="220"/>
      <c r="AW496" s="51"/>
      <c r="AX496" s="51"/>
    </row>
    <row r="497" spans="1:50" customFormat="1">
      <c r="A497" s="391"/>
      <c r="B497" s="396"/>
      <c r="C497" s="395"/>
      <c r="D497" s="255"/>
      <c r="E497" s="255"/>
      <c r="F497" s="267"/>
      <c r="G497" s="268"/>
      <c r="H497" s="268"/>
      <c r="I497" s="267"/>
      <c r="J497" s="268"/>
      <c r="K497" s="268"/>
      <c r="L497" s="338"/>
      <c r="M497" s="268"/>
      <c r="N497" s="268"/>
      <c r="O497" s="393"/>
      <c r="P497" s="394"/>
      <c r="Q497" s="268"/>
      <c r="R497" s="393"/>
      <c r="S497" s="392"/>
      <c r="T497" s="268"/>
      <c r="U497" s="319"/>
      <c r="V497" s="274"/>
      <c r="W497" s="220"/>
      <c r="X497" s="274"/>
      <c r="Y497" s="274"/>
      <c r="Z497" s="220"/>
      <c r="AA497" s="51"/>
      <c r="AB497" s="51"/>
      <c r="AC497" s="51"/>
      <c r="AD497" s="220"/>
      <c r="AE497" s="389"/>
      <c r="AF497" s="1"/>
      <c r="AG497" s="1"/>
      <c r="AH497" s="219"/>
      <c r="AI497" s="40"/>
      <c r="AJ497" s="40"/>
      <c r="AK497" s="40"/>
      <c r="AL497" s="219"/>
      <c r="AM497" s="51"/>
      <c r="AN497" s="51"/>
      <c r="AO497" s="220"/>
      <c r="AP497" s="51"/>
      <c r="AQ497" s="51"/>
      <c r="AR497" s="51"/>
      <c r="AS497" s="219"/>
      <c r="AT497" s="51"/>
      <c r="AU497" s="270"/>
      <c r="AV497" s="220"/>
      <c r="AW497" s="51"/>
      <c r="AX497" s="51"/>
    </row>
    <row r="498" spans="1:50" customFormat="1" ht="18.75">
      <c r="A498" s="3" t="s">
        <v>1946</v>
      </c>
      <c r="B498" s="396" t="s">
        <v>1945</v>
      </c>
      <c r="C498" s="395">
        <f>AVERAGE(D498:D501)</f>
        <v>117.3274</v>
      </c>
      <c r="D498" s="255">
        <f>26.9*4.184</f>
        <v>112.5496</v>
      </c>
      <c r="E498" s="255" t="s">
        <v>2344</v>
      </c>
      <c r="F498" s="267"/>
      <c r="G498" s="268"/>
      <c r="H498" s="268"/>
      <c r="I498" s="267"/>
      <c r="J498" s="268"/>
      <c r="K498" s="268"/>
      <c r="L498" s="145">
        <f>M498</f>
        <v>92.642902000000007</v>
      </c>
      <c r="M498" s="452">
        <f>'Table S4 Conversions and Notes'!J576</f>
        <v>92.642902000000007</v>
      </c>
      <c r="N498" s="448" t="s">
        <v>2843</v>
      </c>
      <c r="O498" s="393"/>
      <c r="P498" s="394"/>
      <c r="Q498" s="268"/>
      <c r="R498" s="393"/>
      <c r="S498" s="392"/>
      <c r="T498" s="268"/>
      <c r="U498" s="130">
        <f>AVERAGE(V498:V499)</f>
        <v>11.18</v>
      </c>
      <c r="V498" s="274">
        <v>11.18</v>
      </c>
      <c r="W498" s="220" t="s">
        <v>2805</v>
      </c>
      <c r="X498" s="130">
        <f>AVERAGE(Y498:Y501)</f>
        <v>8.125</v>
      </c>
      <c r="Y498" s="274">
        <v>8.18</v>
      </c>
      <c r="Z498" s="220" t="s">
        <v>1940</v>
      </c>
      <c r="AA498" s="51"/>
      <c r="AB498" s="264">
        <v>0.55700000000000005</v>
      </c>
      <c r="AC498" s="261">
        <f>LOG(AB498/8.314/298.15)</f>
        <v>-3.6483896386782249</v>
      </c>
      <c r="AD498" s="155" t="s">
        <v>2336</v>
      </c>
      <c r="AE498" s="444" t="e">
        <f ca="1">AVERAGE(AF498:AF501)</f>
        <v>#N/A</v>
      </c>
      <c r="AF498" s="257">
        <f>LOG(10^(12.94-6035/298.15)*133.322)</f>
        <v>-5.1765873632886388</v>
      </c>
      <c r="AG498" s="7" t="s">
        <v>2404</v>
      </c>
      <c r="AH498" s="130" t="e">
        <f ca="1">AVERAGE(AI498:AI501)</f>
        <v>#N/A</v>
      </c>
      <c r="AI498" s="260">
        <f>LOG(AJ498/$B$499)</f>
        <v>-4.249309558129629</v>
      </c>
      <c r="AJ498" s="263">
        <v>2.1999999999999999E-2</v>
      </c>
      <c r="AK498" s="51" t="s">
        <v>2522</v>
      </c>
      <c r="AL498" s="219"/>
      <c r="AM498" s="51"/>
      <c r="AN498" s="51"/>
      <c r="AO498" s="220"/>
      <c r="AP498" s="51"/>
      <c r="AQ498" s="51"/>
      <c r="AR498" s="51"/>
      <c r="AS498" s="201">
        <f>AVERAGE(AT498:AT501)</f>
        <v>-25</v>
      </c>
      <c r="AT498" s="51">
        <v>-25</v>
      </c>
      <c r="AU498" s="270">
        <f t="shared" ref="AU498:AU504" si="5">AT498+273.15</f>
        <v>248.14999999999998</v>
      </c>
      <c r="AV498" s="220" t="s">
        <v>1943</v>
      </c>
      <c r="AW498" s="51"/>
      <c r="AX498" s="51"/>
    </row>
    <row r="499" spans="1:50" customFormat="1" ht="18">
      <c r="A499" s="391" t="s">
        <v>1942</v>
      </c>
      <c r="B499" s="396">
        <v>390.6</v>
      </c>
      <c r="C499" s="434">
        <f>_xlfn.STDEV.S(D498:D501)</f>
        <v>8.7652894441655516</v>
      </c>
      <c r="D499" s="448">
        <v>107.6</v>
      </c>
      <c r="E499" s="448" t="s">
        <v>2704</v>
      </c>
      <c r="F499" s="267"/>
      <c r="G499" s="268"/>
      <c r="H499" s="268"/>
      <c r="I499" s="267"/>
      <c r="J499" s="268"/>
      <c r="K499" s="268"/>
      <c r="L499" s="145">
        <f>RSD_dUoa*L498</f>
        <v>5.8696767465642949</v>
      </c>
      <c r="M499" s="268"/>
      <c r="N499" s="268"/>
      <c r="O499" s="393"/>
      <c r="P499" s="394"/>
      <c r="Q499" s="268"/>
      <c r="R499" s="393"/>
      <c r="S499" s="392"/>
      <c r="T499" s="268"/>
      <c r="U499" s="130">
        <f>RSD_Koa*U498</f>
        <v>0.28786060622981419</v>
      </c>
      <c r="V499" s="274"/>
      <c r="W499" s="220"/>
      <c r="X499" s="130">
        <f>_xlfn.STDEV.S(Y498:Y501)</f>
        <v>5.5075705472860809E-2</v>
      </c>
      <c r="Y499" s="274">
        <v>8.16</v>
      </c>
      <c r="Z499" s="220" t="s">
        <v>1938</v>
      </c>
      <c r="AA499" s="51"/>
      <c r="AB499" s="51"/>
      <c r="AC499" s="51"/>
      <c r="AD499" s="220"/>
      <c r="AE499" s="444" t="e">
        <f ca="1">_xlfn.STDEV.S(AF498:AF501)</f>
        <v>#N/A</v>
      </c>
      <c r="AF499" s="257" t="e">
        <f ca="1">LOG('Table S4 Conversions and Notes'!$J$407)</f>
        <v>#N/A</v>
      </c>
      <c r="AG499" s="269" t="s">
        <v>2432</v>
      </c>
      <c r="AH499" s="130" t="e">
        <f ca="1">_xlfn.STDEV.S(AI498:AI501)</f>
        <v>#N/A</v>
      </c>
      <c r="AI499" s="260">
        <f>LOG(AJ499/$B$499)</f>
        <v>-5.8841620628538989</v>
      </c>
      <c r="AJ499" s="263">
        <v>5.1000000000000004E-4</v>
      </c>
      <c r="AK499" s="51" t="s">
        <v>1940</v>
      </c>
      <c r="AL499" s="219"/>
      <c r="AM499" s="51"/>
      <c r="AN499" s="51"/>
      <c r="AO499" s="220"/>
      <c r="AP499" s="51"/>
      <c r="AQ499" s="51"/>
      <c r="AR499" s="51"/>
      <c r="AS499" s="182">
        <f>_xlfn.STDEV.S(AT498:AT501)</f>
        <v>0</v>
      </c>
      <c r="AT499" s="51">
        <v>-25</v>
      </c>
      <c r="AU499" s="270">
        <f t="shared" si="5"/>
        <v>248.14999999999998</v>
      </c>
      <c r="AV499" s="220" t="s">
        <v>1941</v>
      </c>
      <c r="AW499" s="51"/>
      <c r="AX499" s="51"/>
    </row>
    <row r="500" spans="1:50" customFormat="1" ht="18">
      <c r="A500" s="391"/>
      <c r="B500" s="396"/>
      <c r="C500" s="395">
        <f>COUNT(D498:D501)</f>
        <v>4</v>
      </c>
      <c r="D500" s="255">
        <v>122.6</v>
      </c>
      <c r="E500" s="13" t="s">
        <v>2588</v>
      </c>
      <c r="F500" s="267"/>
      <c r="G500" s="268"/>
      <c r="H500" s="268"/>
      <c r="I500" s="267"/>
      <c r="J500" s="268"/>
      <c r="K500" s="268"/>
      <c r="L500" s="324">
        <f>COUNTA(M498:M500)</f>
        <v>1</v>
      </c>
      <c r="M500" s="268"/>
      <c r="N500" s="268"/>
      <c r="O500" s="393"/>
      <c r="P500" s="394"/>
      <c r="Q500" s="268"/>
      <c r="R500" s="393"/>
      <c r="S500" s="392"/>
      <c r="T500" s="268"/>
      <c r="U500" s="324">
        <f>COUNTA(V498:V500)</f>
        <v>1</v>
      </c>
      <c r="V500" s="274"/>
      <c r="W500" s="220"/>
      <c r="X500" s="324">
        <f>COUNT(Y498:Y501)</f>
        <v>4</v>
      </c>
      <c r="Y500" s="274">
        <v>8.06</v>
      </c>
      <c r="Z500" s="220" t="s">
        <v>818</v>
      </c>
      <c r="AA500" s="51"/>
      <c r="AB500" s="51"/>
      <c r="AC500" s="51"/>
      <c r="AD500" s="220"/>
      <c r="AE500" s="324">
        <f ca="1">COUNT(AF498:AF501)</f>
        <v>3</v>
      </c>
      <c r="AF500" s="257">
        <f>LOG(0.0000055)</f>
        <v>-5.2596373105057559</v>
      </c>
      <c r="AG500" s="269" t="s">
        <v>1944</v>
      </c>
      <c r="AH500" s="324">
        <f ca="1">COUNT(AI498:AI501)</f>
        <v>3</v>
      </c>
      <c r="AI500" s="260">
        <f>LOG(AJ500/$B$499)</f>
        <v>-5.9015361589233217</v>
      </c>
      <c r="AJ500" s="263">
        <v>4.8999999999999998E-4</v>
      </c>
      <c r="AK500" s="51" t="s">
        <v>2523</v>
      </c>
      <c r="AL500" s="219"/>
      <c r="AM500" s="51"/>
      <c r="AN500" s="51"/>
      <c r="AO500" s="220"/>
      <c r="AP500" s="51"/>
      <c r="AQ500" s="51"/>
      <c r="AR500" s="51"/>
      <c r="AS500" s="324">
        <f>COUNTA(AT498:AT501)</f>
        <v>4</v>
      </c>
      <c r="AT500" s="51">
        <v>-25</v>
      </c>
      <c r="AU500" s="270">
        <f t="shared" si="5"/>
        <v>248.14999999999998</v>
      </c>
      <c r="AV500" s="220" t="s">
        <v>1937</v>
      </c>
      <c r="AW500" s="51"/>
      <c r="AX500" s="51"/>
    </row>
    <row r="501" spans="1:50" customFormat="1" ht="18">
      <c r="A501" s="391"/>
      <c r="B501" s="396"/>
      <c r="C501" s="395"/>
      <c r="D501" s="448">
        <v>126.56</v>
      </c>
      <c r="E501" s="448" t="s">
        <v>2825</v>
      </c>
      <c r="F501" s="267"/>
      <c r="G501" s="268"/>
      <c r="H501" s="268"/>
      <c r="I501" s="267"/>
      <c r="J501" s="268"/>
      <c r="K501" s="268"/>
      <c r="L501" s="338"/>
      <c r="M501" s="268"/>
      <c r="N501" s="268"/>
      <c r="O501" s="393"/>
      <c r="P501" s="394"/>
      <c r="Q501" s="268"/>
      <c r="R501" s="393"/>
      <c r="S501" s="392"/>
      <c r="T501" s="268"/>
      <c r="U501" s="319"/>
      <c r="V501" s="274"/>
      <c r="W501" s="220"/>
      <c r="X501" s="274"/>
      <c r="Y501" s="274">
        <v>8.1</v>
      </c>
      <c r="Z501" s="220" t="s">
        <v>1939</v>
      </c>
      <c r="AA501" s="51"/>
      <c r="AB501" s="51"/>
      <c r="AC501" s="51"/>
      <c r="AD501" s="220"/>
      <c r="AE501" s="389"/>
      <c r="AF501" s="257">
        <f>LOG(EXP(-12.737))</f>
        <v>-5.5316088160017189</v>
      </c>
      <c r="AG501" s="7" t="s">
        <v>2799</v>
      </c>
      <c r="AH501" s="219"/>
      <c r="AI501" s="260" t="e">
        <f ca="1">LOG(AJ501/$B$499)</f>
        <v>#N/A</v>
      </c>
      <c r="AJ501" s="263" t="e">
        <f ca="1">'Table S4 Conversions and Notes'!$J$380</f>
        <v>#N/A</v>
      </c>
      <c r="AK501" s="51" t="s">
        <v>2524</v>
      </c>
      <c r="AL501" s="219"/>
      <c r="AM501" s="51"/>
      <c r="AN501" s="51"/>
      <c r="AO501" s="220"/>
      <c r="AP501" s="51"/>
      <c r="AQ501" s="51"/>
      <c r="AR501" s="51"/>
      <c r="AS501" s="219"/>
      <c r="AT501" s="51">
        <v>-25</v>
      </c>
      <c r="AU501" s="270">
        <f t="shared" si="5"/>
        <v>248.14999999999998</v>
      </c>
      <c r="AV501" s="220" t="s">
        <v>1933</v>
      </c>
      <c r="AW501" s="51"/>
      <c r="AX501" s="51"/>
    </row>
    <row r="502" spans="1:50" customFormat="1">
      <c r="A502" s="391"/>
      <c r="B502" s="396"/>
      <c r="C502" s="395"/>
      <c r="D502" s="435">
        <v>99.5</v>
      </c>
      <c r="E502" s="435" t="s">
        <v>2750</v>
      </c>
      <c r="F502" s="267"/>
      <c r="G502" s="268"/>
      <c r="H502" s="268"/>
      <c r="I502" s="267"/>
      <c r="J502" s="268"/>
      <c r="K502" s="268"/>
      <c r="L502" s="338"/>
      <c r="M502" s="268"/>
      <c r="N502" s="268"/>
      <c r="O502" s="393"/>
      <c r="P502" s="394"/>
      <c r="Q502" s="268"/>
      <c r="R502" s="393"/>
      <c r="S502" s="392"/>
      <c r="T502" s="268"/>
      <c r="U502" s="319"/>
      <c r="V502" s="274"/>
      <c r="W502" s="220"/>
      <c r="X502" s="274"/>
      <c r="Y502" s="307">
        <v>8.1</v>
      </c>
      <c r="Z502" s="259" t="s">
        <v>1935</v>
      </c>
      <c r="AA502" s="51"/>
      <c r="AB502" s="51"/>
      <c r="AC502" s="51"/>
      <c r="AD502" s="220"/>
      <c r="AE502" s="389"/>
      <c r="AF502" s="258">
        <f>LOG(0.0000001*133.322)</f>
        <v>-4.8750981799916397</v>
      </c>
      <c r="AG502" s="285" t="s">
        <v>1935</v>
      </c>
      <c r="AH502" s="219"/>
      <c r="AI502" s="260">
        <f>LOG(0.0000000563*1000)</f>
        <v>-4.2494916051486538</v>
      </c>
      <c r="AJ502" s="264">
        <f>10^AI502*$B$482</f>
        <v>2.1990779999999991E-2</v>
      </c>
      <c r="AK502" s="264" t="s">
        <v>1935</v>
      </c>
      <c r="AL502" s="219"/>
      <c r="AM502" s="51"/>
      <c r="AN502" s="51"/>
      <c r="AO502" s="220"/>
      <c r="AP502" s="51"/>
      <c r="AQ502" s="51"/>
      <c r="AR502" s="51"/>
      <c r="AS502" s="219"/>
      <c r="AT502" s="262">
        <v>-52</v>
      </c>
      <c r="AU502" s="288">
        <f t="shared" si="5"/>
        <v>221.14999999999998</v>
      </c>
      <c r="AV502" s="259" t="s">
        <v>1936</v>
      </c>
      <c r="AW502" s="51"/>
      <c r="AX502" s="51"/>
    </row>
    <row r="503" spans="1:50" customFormat="1">
      <c r="A503" s="391"/>
      <c r="B503" s="396"/>
      <c r="C503" s="395"/>
      <c r="D503" s="1"/>
      <c r="E503" s="1"/>
      <c r="F503" s="267"/>
      <c r="G503" s="268"/>
      <c r="H503" s="268"/>
      <c r="I503" s="267"/>
      <c r="J503" s="268"/>
      <c r="K503" s="268"/>
      <c r="L503" s="338"/>
      <c r="M503" s="268"/>
      <c r="N503" s="268"/>
      <c r="O503" s="393"/>
      <c r="P503" s="394"/>
      <c r="Q503" s="268"/>
      <c r="R503" s="393"/>
      <c r="S503" s="392"/>
      <c r="T503" s="268"/>
      <c r="U503" s="319"/>
      <c r="V503" s="274"/>
      <c r="W503" s="220"/>
      <c r="X503" s="274"/>
      <c r="Y503" s="274"/>
      <c r="Z503" s="220"/>
      <c r="AA503" s="51"/>
      <c r="AB503" s="51"/>
      <c r="AC503" s="51"/>
      <c r="AD503" s="220"/>
      <c r="AE503" s="389"/>
      <c r="AF503" s="1"/>
      <c r="AG503" s="1"/>
      <c r="AH503" s="219"/>
      <c r="AI503" s="261">
        <f>LOG(AJ503/$B$499)</f>
        <v>-2.114610984232173</v>
      </c>
      <c r="AJ503" s="264">
        <f>'Table S4 Conversions and Notes'!$J$510</f>
        <v>3</v>
      </c>
      <c r="AK503" s="262" t="s">
        <v>2462</v>
      </c>
      <c r="AL503" s="219"/>
      <c r="AM503" s="51"/>
      <c r="AN503" s="51"/>
      <c r="AO503" s="220"/>
      <c r="AP503" s="51"/>
      <c r="AQ503" s="51"/>
      <c r="AR503" s="51"/>
      <c r="AS503" s="219"/>
      <c r="AT503" s="262">
        <v>25</v>
      </c>
      <c r="AU503" s="288">
        <f t="shared" si="5"/>
        <v>298.14999999999998</v>
      </c>
      <c r="AV503" s="259" t="s">
        <v>1936</v>
      </c>
      <c r="AW503" s="51"/>
      <c r="AX503" s="51"/>
    </row>
    <row r="504" spans="1:50" customFormat="1">
      <c r="A504" s="391"/>
      <c r="B504" s="396"/>
      <c r="C504" s="395"/>
      <c r="D504" s="255"/>
      <c r="E504" s="255"/>
      <c r="F504" s="267"/>
      <c r="G504" s="268"/>
      <c r="H504" s="268"/>
      <c r="I504" s="267"/>
      <c r="J504" s="268"/>
      <c r="K504" s="268"/>
      <c r="L504" s="338"/>
      <c r="M504" s="268"/>
      <c r="N504" s="268"/>
      <c r="O504" s="393"/>
      <c r="P504" s="394"/>
      <c r="Q504" s="268"/>
      <c r="R504" s="393"/>
      <c r="S504" s="392"/>
      <c r="T504" s="268"/>
      <c r="U504" s="319"/>
      <c r="V504" s="274"/>
      <c r="W504" s="220"/>
      <c r="X504" s="274"/>
      <c r="Y504" s="274"/>
      <c r="Z504" s="220"/>
      <c r="AA504" s="51"/>
      <c r="AB504" s="51"/>
      <c r="AC504" s="51"/>
      <c r="AD504" s="220"/>
      <c r="AE504" s="389"/>
      <c r="AF504" s="257"/>
      <c r="AG504" s="269"/>
      <c r="AH504" s="40"/>
      <c r="AI504" s="40"/>
      <c r="AJ504" s="40"/>
      <c r="AK504" s="40"/>
      <c r="AL504" s="219"/>
      <c r="AM504" s="51"/>
      <c r="AN504" s="51"/>
      <c r="AO504" s="220"/>
      <c r="AP504" s="51"/>
      <c r="AQ504" s="51"/>
      <c r="AR504" s="51"/>
      <c r="AS504" s="219"/>
      <c r="AT504" s="262">
        <v>25</v>
      </c>
      <c r="AU504" s="288">
        <f t="shared" si="5"/>
        <v>298.14999999999998</v>
      </c>
      <c r="AV504" s="259" t="s">
        <v>1934</v>
      </c>
      <c r="AW504" s="51"/>
      <c r="AX504" s="51"/>
    </row>
    <row r="505" spans="1:50" customFormat="1">
      <c r="A505" s="391"/>
      <c r="B505" s="396"/>
      <c r="C505" s="395"/>
      <c r="D505" s="255"/>
      <c r="E505" s="255"/>
      <c r="F505" s="267"/>
      <c r="G505" s="268"/>
      <c r="H505" s="268"/>
      <c r="I505" s="267"/>
      <c r="J505" s="268"/>
      <c r="K505" s="268"/>
      <c r="L505" s="338"/>
      <c r="M505" s="268"/>
      <c r="N505" s="268"/>
      <c r="O505" s="393"/>
      <c r="P505" s="394"/>
      <c r="Q505" s="268"/>
      <c r="R505" s="393"/>
      <c r="S505" s="392"/>
      <c r="T505" s="268"/>
      <c r="U505" s="319"/>
      <c r="V505" s="274"/>
      <c r="W505" s="220"/>
      <c r="X505" s="274"/>
      <c r="Y505" s="274"/>
      <c r="Z505" s="220"/>
      <c r="AA505" s="51"/>
      <c r="AB505" s="51"/>
      <c r="AC505" s="51"/>
      <c r="AD505" s="220"/>
      <c r="AE505" s="389"/>
      <c r="AF505" s="257"/>
      <c r="AG505" s="269"/>
      <c r="AH505" s="219"/>
      <c r="AI505" s="39"/>
      <c r="AJ505" s="263"/>
      <c r="AK505" s="39"/>
      <c r="AL505" s="219"/>
      <c r="AM505" s="51"/>
      <c r="AN505" s="51"/>
      <c r="AO505" s="220"/>
      <c r="AP505" s="51"/>
      <c r="AQ505" s="51"/>
      <c r="AR505" s="51"/>
      <c r="AS505" s="219"/>
      <c r="AT505" s="40"/>
      <c r="AU505" s="40"/>
      <c r="AV505" s="42"/>
      <c r="AW505" s="51"/>
      <c r="AX505" s="51"/>
    </row>
    <row r="506" spans="1:50" customFormat="1">
      <c r="A506" s="391"/>
      <c r="B506" s="396"/>
      <c r="C506" s="395"/>
      <c r="D506" s="255"/>
      <c r="E506" s="255"/>
      <c r="F506" s="267"/>
      <c r="G506" s="268"/>
      <c r="H506" s="268"/>
      <c r="I506" s="267"/>
      <c r="J506" s="268"/>
      <c r="K506" s="268"/>
      <c r="L506" s="338"/>
      <c r="M506" s="268"/>
      <c r="N506" s="268"/>
      <c r="O506" s="393"/>
      <c r="P506" s="394"/>
      <c r="Q506" s="268"/>
      <c r="R506" s="393"/>
      <c r="S506" s="392"/>
      <c r="T506" s="268"/>
      <c r="U506" s="319"/>
      <c r="V506" s="274"/>
      <c r="W506" s="220"/>
      <c r="X506" s="274"/>
      <c r="Y506" s="274"/>
      <c r="Z506" s="220"/>
      <c r="AA506" s="51"/>
      <c r="AB506" s="51"/>
      <c r="AC506" s="51"/>
      <c r="AD506" s="220"/>
      <c r="AE506" s="389"/>
      <c r="AF506" s="257"/>
      <c r="AG506" s="269"/>
      <c r="AH506" s="219"/>
      <c r="AI506" s="39"/>
      <c r="AJ506" s="263"/>
      <c r="AK506" s="39"/>
      <c r="AL506" s="219"/>
      <c r="AM506" s="51"/>
      <c r="AN506" s="51"/>
      <c r="AO506" s="220"/>
      <c r="AP506" s="51"/>
      <c r="AQ506" s="51"/>
      <c r="AR506" s="51"/>
      <c r="AS506" s="219"/>
      <c r="AT506" s="40"/>
      <c r="AU506" s="40"/>
      <c r="AV506" s="42"/>
      <c r="AW506" s="51"/>
      <c r="AX506" s="51"/>
    </row>
    <row r="507" spans="1:50" customFormat="1">
      <c r="A507" s="391"/>
      <c r="B507" s="396"/>
      <c r="C507" s="395"/>
      <c r="D507" s="255"/>
      <c r="E507" s="255"/>
      <c r="F507" s="267"/>
      <c r="G507" s="268"/>
      <c r="H507" s="268"/>
      <c r="I507" s="267"/>
      <c r="J507" s="268"/>
      <c r="K507" s="268"/>
      <c r="L507" s="338"/>
      <c r="M507" s="268"/>
      <c r="N507" s="268"/>
      <c r="O507" s="393"/>
      <c r="P507" s="394"/>
      <c r="Q507" s="268"/>
      <c r="R507" s="393"/>
      <c r="S507" s="392"/>
      <c r="T507" s="268"/>
      <c r="U507" s="319"/>
      <c r="V507" s="274"/>
      <c r="W507" s="220"/>
      <c r="X507" s="274"/>
      <c r="Y507" s="274"/>
      <c r="Z507" s="220"/>
      <c r="AA507" s="51"/>
      <c r="AB507" s="51"/>
      <c r="AC507" s="51"/>
      <c r="AD507" s="220"/>
      <c r="AE507" s="389"/>
      <c r="AF507" s="257"/>
      <c r="AG507" s="269"/>
      <c r="AH507" s="219"/>
      <c r="AI507" s="39"/>
      <c r="AJ507" s="263"/>
      <c r="AK507" s="39"/>
      <c r="AL507" s="219"/>
      <c r="AM507" s="51"/>
      <c r="AN507" s="51"/>
      <c r="AO507" s="220"/>
      <c r="AP507" s="51"/>
      <c r="AQ507" s="51"/>
      <c r="AR507" s="51"/>
      <c r="AS507" s="219"/>
      <c r="AT507" s="40"/>
      <c r="AU507" s="40"/>
      <c r="AV507" s="42"/>
      <c r="AW507" s="51"/>
      <c r="AX507" s="51"/>
    </row>
    <row r="508" spans="1:50" customFormat="1">
      <c r="A508" s="391"/>
      <c r="B508" s="396"/>
      <c r="C508" s="395"/>
      <c r="D508" s="255"/>
      <c r="E508" s="255"/>
      <c r="F508" s="267"/>
      <c r="G508" s="268"/>
      <c r="H508" s="268"/>
      <c r="I508" s="267"/>
      <c r="J508" s="268"/>
      <c r="K508" s="268"/>
      <c r="L508" s="338"/>
      <c r="M508" s="268"/>
      <c r="N508" s="268"/>
      <c r="O508" s="393"/>
      <c r="P508" s="394"/>
      <c r="Q508" s="268"/>
      <c r="R508" s="393"/>
      <c r="S508" s="392"/>
      <c r="T508" s="268"/>
      <c r="U508" s="319"/>
      <c r="V508" s="274"/>
      <c r="W508" s="220"/>
      <c r="X508" s="274"/>
      <c r="Y508" s="274"/>
      <c r="Z508" s="220"/>
      <c r="AA508" s="51"/>
      <c r="AB508" s="51"/>
      <c r="AC508" s="51"/>
      <c r="AD508" s="220"/>
      <c r="AE508" s="389"/>
      <c r="AF508" s="257"/>
      <c r="AG508" s="269"/>
      <c r="AH508" s="219"/>
      <c r="AI508" s="39"/>
      <c r="AJ508" s="263"/>
      <c r="AK508" s="39"/>
      <c r="AL508" s="219"/>
      <c r="AM508" s="51"/>
      <c r="AN508" s="51"/>
      <c r="AO508" s="220"/>
      <c r="AP508" s="51"/>
      <c r="AQ508" s="51"/>
      <c r="AR508" s="51"/>
      <c r="AS508" s="219"/>
      <c r="AT508" s="51"/>
      <c r="AU508" s="270"/>
      <c r="AV508" s="220"/>
      <c r="AW508" s="51"/>
      <c r="AX508" s="51"/>
    </row>
    <row r="509" spans="1:50" customFormat="1" ht="18">
      <c r="A509" s="391" t="s">
        <v>1932</v>
      </c>
      <c r="B509" s="396" t="s">
        <v>1931</v>
      </c>
      <c r="C509" s="395"/>
      <c r="D509" s="255"/>
      <c r="E509" s="255"/>
      <c r="F509" s="267"/>
      <c r="G509" s="268"/>
      <c r="H509" s="268"/>
      <c r="I509" s="267"/>
      <c r="J509" s="268"/>
      <c r="K509" s="268"/>
      <c r="L509" s="338"/>
      <c r="M509" s="268"/>
      <c r="N509" s="268"/>
      <c r="O509" s="393"/>
      <c r="P509" s="394"/>
      <c r="Q509" s="268"/>
      <c r="R509" s="393"/>
      <c r="S509" s="392"/>
      <c r="T509" s="268"/>
      <c r="U509" s="319"/>
      <c r="V509" s="274"/>
      <c r="W509" s="220"/>
      <c r="X509" s="130" t="e">
        <f ca="1">Y509</f>
        <v>#N/A</v>
      </c>
      <c r="Y509" s="274" t="e">
        <f ca="1">'Table S4 Conversions and Notes'!$J$429</f>
        <v>#N/A</v>
      </c>
      <c r="Z509" s="220" t="s">
        <v>1930</v>
      </c>
      <c r="AA509" s="51"/>
      <c r="AB509" s="51"/>
      <c r="AC509" s="51"/>
      <c r="AD509" s="220"/>
      <c r="AE509" s="444" t="e">
        <f ca="1">AVERAGE(AF509:AF515)</f>
        <v>#N/A</v>
      </c>
      <c r="AF509" s="257">
        <f>LOG(0.000072,10)</f>
        <v>-4.142667503568731</v>
      </c>
      <c r="AG509" s="269" t="s">
        <v>1929</v>
      </c>
      <c r="AH509" s="130" t="e">
        <f ca="1">AVERAGE(AI509:AI510)</f>
        <v>#N/A</v>
      </c>
      <c r="AI509" s="260" t="e">
        <f ca="1">LOG(AJ509/B510)</f>
        <v>#N/A</v>
      </c>
      <c r="AJ509" s="263" t="e">
        <f ca="1">'Table S4 Conversions and Notes'!$J$391</f>
        <v>#N/A</v>
      </c>
      <c r="AK509" s="51" t="s">
        <v>2528</v>
      </c>
      <c r="AL509" s="219"/>
      <c r="AM509" s="51"/>
      <c r="AN509" s="51"/>
      <c r="AO509" s="220"/>
      <c r="AP509" s="51"/>
      <c r="AQ509" s="51"/>
      <c r="AR509" s="51"/>
      <c r="AS509" s="201">
        <f>AVERAGE(AT509:AT510)</f>
        <v>-45.5</v>
      </c>
      <c r="AT509" s="51">
        <v>-48</v>
      </c>
      <c r="AU509" s="270">
        <f>AT509+273.15</f>
        <v>225.14999999999998</v>
      </c>
      <c r="AV509" s="220" t="s">
        <v>1928</v>
      </c>
      <c r="AW509" s="51"/>
      <c r="AX509" s="51"/>
    </row>
    <row r="510" spans="1:50" customFormat="1" ht="18">
      <c r="A510" s="391" t="s">
        <v>1927</v>
      </c>
      <c r="B510" s="396">
        <v>418.6</v>
      </c>
      <c r="C510" s="395"/>
      <c r="D510" s="255"/>
      <c r="E510" s="255"/>
      <c r="F510" s="267"/>
      <c r="G510" s="268"/>
      <c r="H510" s="268"/>
      <c r="I510" s="267"/>
      <c r="J510" s="268"/>
      <c r="K510" s="268"/>
      <c r="L510" s="338"/>
      <c r="M510" s="268"/>
      <c r="N510" s="268"/>
      <c r="O510" s="393"/>
      <c r="P510" s="394"/>
      <c r="Q510" s="268"/>
      <c r="R510" s="393"/>
      <c r="S510" s="392"/>
      <c r="T510" s="268"/>
      <c r="U510" s="319"/>
      <c r="V510" s="274"/>
      <c r="W510" s="220"/>
      <c r="X510" s="130" t="e">
        <f ca="1">_xlfn.STDEV.S(Y509:Y510)</f>
        <v>#N/A</v>
      </c>
      <c r="Y510" s="274">
        <f>'Table S4 Conversions and Notes'!$J$494</f>
        <v>9.25</v>
      </c>
      <c r="Z510" s="220" t="s">
        <v>2398</v>
      </c>
      <c r="AA510" s="51"/>
      <c r="AB510" s="51"/>
      <c r="AC510" s="51"/>
      <c r="AD510" s="220"/>
      <c r="AE510" s="444" t="e">
        <f ca="1">_xlfn.STDEV.S(AF509:AF515)</f>
        <v>#N/A</v>
      </c>
      <c r="AF510" s="257" t="e">
        <f ca="1">'Table S4 Conversions and Notes'!$J$500</f>
        <v>#N/A</v>
      </c>
      <c r="AG510" s="269" t="s">
        <v>2460</v>
      </c>
      <c r="AH510" s="130" t="e">
        <f ca="1">_xlfn.STDEV.S(AI509:AI510)</f>
        <v>#N/A</v>
      </c>
      <c r="AI510" s="260" t="e">
        <f ca="1">LOG(AJ510/B510)</f>
        <v>#N/A</v>
      </c>
      <c r="AJ510" s="263" t="e">
        <f ca="1">'Table S4 Conversions and Notes'!$J$430</f>
        <v>#N/A</v>
      </c>
      <c r="AK510" s="51" t="s">
        <v>2531</v>
      </c>
      <c r="AL510" s="219"/>
      <c r="AM510" s="51"/>
      <c r="AN510" s="51"/>
      <c r="AO510" s="220"/>
      <c r="AP510" s="51"/>
      <c r="AQ510" s="51"/>
      <c r="AR510" s="51"/>
      <c r="AS510" s="182">
        <f>_xlfn.STDEV.S(AT509:AT510)</f>
        <v>3.5355339059327378</v>
      </c>
      <c r="AT510" s="51">
        <v>-43</v>
      </c>
      <c r="AU510" s="270">
        <f>AT510+273.15</f>
        <v>230.14999999999998</v>
      </c>
      <c r="AV510" s="220" t="s">
        <v>1924</v>
      </c>
      <c r="AW510" s="51"/>
      <c r="AX510" s="51"/>
    </row>
    <row r="511" spans="1:50" customFormat="1" ht="18">
      <c r="A511" s="391"/>
      <c r="B511" s="396"/>
      <c r="C511" s="395"/>
      <c r="D511" s="255"/>
      <c r="E511" s="255"/>
      <c r="F511" s="267"/>
      <c r="G511" s="268"/>
      <c r="H511" s="268"/>
      <c r="I511" s="267"/>
      <c r="J511" s="268"/>
      <c r="K511" s="268"/>
      <c r="L511" s="338"/>
      <c r="M511" s="268"/>
      <c r="N511" s="268"/>
      <c r="O511" s="393"/>
      <c r="P511" s="394"/>
      <c r="Q511" s="268"/>
      <c r="R511" s="393"/>
      <c r="S511" s="392"/>
      <c r="T511" s="268"/>
      <c r="U511" s="319"/>
      <c r="V511" s="274"/>
      <c r="W511" s="220"/>
      <c r="X511" s="324">
        <f ca="1">COUNTA(Y509)</f>
        <v>1</v>
      </c>
      <c r="Y511" s="274"/>
      <c r="Z511" s="220"/>
      <c r="AA511" s="51"/>
      <c r="AB511" s="51"/>
      <c r="AC511" s="51"/>
      <c r="AD511" s="220"/>
      <c r="AE511" s="324">
        <f ca="1">COUNT(AF509:AF515)</f>
        <v>6</v>
      </c>
      <c r="AF511" s="257">
        <f>LOG(EXP(-93.73+-4049/298.15+17.3*LN(298.15)))</f>
        <v>-3.7965977419356092</v>
      </c>
      <c r="AG511" s="269" t="s">
        <v>2455</v>
      </c>
      <c r="AH511" s="324">
        <f ca="1">COUNT(AI509:AI512)</f>
        <v>1</v>
      </c>
      <c r="AI511" s="261">
        <f>LOG(AJ511/B510)</f>
        <v>-3.3207692283386865</v>
      </c>
      <c r="AJ511" s="264">
        <v>0.2</v>
      </c>
      <c r="AK511" s="262" t="s">
        <v>2365</v>
      </c>
      <c r="AL511" s="219"/>
      <c r="AM511" s="51"/>
      <c r="AN511" s="51"/>
      <c r="AO511" s="220"/>
      <c r="AP511" s="51"/>
      <c r="AQ511" s="51"/>
      <c r="AR511" s="51"/>
      <c r="AS511" s="324">
        <f>COUNTA(AT509:AT510)</f>
        <v>2</v>
      </c>
      <c r="AT511" s="262">
        <v>-54</v>
      </c>
      <c r="AU511" s="288">
        <f>AT511+273.15</f>
        <v>219.14999999999998</v>
      </c>
      <c r="AV511" s="259" t="s">
        <v>1926</v>
      </c>
      <c r="AW511" s="51"/>
      <c r="AX511" s="51"/>
    </row>
    <row r="512" spans="1:50" customFormat="1" ht="18">
      <c r="A512" s="391"/>
      <c r="B512" s="396"/>
      <c r="C512" s="395"/>
      <c r="D512" s="255"/>
      <c r="E512" s="255"/>
      <c r="F512" s="267"/>
      <c r="G512" s="268"/>
      <c r="H512" s="268"/>
      <c r="I512" s="267"/>
      <c r="J512" s="268"/>
      <c r="K512" s="268"/>
      <c r="L512" s="338"/>
      <c r="M512" s="268"/>
      <c r="N512" s="268"/>
      <c r="O512" s="393"/>
      <c r="P512" s="394"/>
      <c r="Q512" s="268"/>
      <c r="R512" s="393"/>
      <c r="S512" s="392"/>
      <c r="T512" s="268"/>
      <c r="U512" s="319"/>
      <c r="V512" s="274"/>
      <c r="W512" s="220"/>
      <c r="X512" s="274"/>
      <c r="Y512" s="274"/>
      <c r="Z512" s="220"/>
      <c r="AA512" s="51"/>
      <c r="AB512" s="51"/>
      <c r="AC512" s="51"/>
      <c r="AD512" s="220"/>
      <c r="AE512" s="389"/>
      <c r="AF512" s="257">
        <f>LOG(EXP(-93.18+-4049/298.15+17.2*LN(298.15)))</f>
        <v>-3.8051792582569965</v>
      </c>
      <c r="AG512" s="269" t="s">
        <v>2455</v>
      </c>
      <c r="AH512" s="219"/>
      <c r="AI512" s="260" t="s">
        <v>1923</v>
      </c>
      <c r="AJ512" s="263" t="s">
        <v>1922</v>
      </c>
      <c r="AK512" s="51" t="s">
        <v>2529</v>
      </c>
      <c r="AL512" s="219"/>
      <c r="AM512" s="51"/>
      <c r="AN512" s="51"/>
      <c r="AO512" s="220"/>
      <c r="AP512" s="51"/>
      <c r="AQ512" s="51"/>
      <c r="AR512" s="51"/>
      <c r="AS512" s="219"/>
      <c r="AT512" s="40"/>
      <c r="AU512" s="40"/>
      <c r="AV512" s="42"/>
      <c r="AW512" s="51"/>
      <c r="AX512" s="51"/>
    </row>
    <row r="513" spans="1:50" customFormat="1" ht="18">
      <c r="A513" s="391"/>
      <c r="B513" s="396"/>
      <c r="C513" s="395"/>
      <c r="D513" s="255"/>
      <c r="E513" s="255"/>
      <c r="F513" s="267"/>
      <c r="G513" s="268"/>
      <c r="H513" s="268"/>
      <c r="I513" s="267"/>
      <c r="J513" s="268"/>
      <c r="K513" s="268"/>
      <c r="L513" s="338"/>
      <c r="M513" s="268"/>
      <c r="N513" s="268"/>
      <c r="O513" s="393"/>
      <c r="P513" s="394"/>
      <c r="Q513" s="268"/>
      <c r="R513" s="393"/>
      <c r="S513" s="392"/>
      <c r="T513" s="268"/>
      <c r="U513" s="319"/>
      <c r="V513" s="274"/>
      <c r="W513" s="220"/>
      <c r="X513" s="274"/>
      <c r="Y513" s="274"/>
      <c r="Z513" s="220"/>
      <c r="AA513" s="51"/>
      <c r="AB513" s="51"/>
      <c r="AC513" s="51"/>
      <c r="AD513" s="220"/>
      <c r="AE513" s="389"/>
      <c r="AF513" s="257">
        <f>LOG(EXP(-92.83+-4011/298.15+17.1*LN(298.15)))</f>
        <v>-3.8452676994268367</v>
      </c>
      <c r="AG513" s="269" t="s">
        <v>2455</v>
      </c>
      <c r="AH513" s="219"/>
      <c r="AI513" s="40"/>
      <c r="AJ513" s="40"/>
      <c r="AK513" s="40"/>
      <c r="AL513" s="219"/>
      <c r="AM513" s="51"/>
      <c r="AN513" s="51"/>
      <c r="AO513" s="220"/>
      <c r="AP513" s="51"/>
      <c r="AQ513" s="51"/>
      <c r="AR513" s="51"/>
      <c r="AS513" s="219"/>
      <c r="AT513" s="51"/>
      <c r="AU513" s="270"/>
      <c r="AV513" s="220"/>
      <c r="AW513" s="51"/>
      <c r="AX513" s="51"/>
    </row>
    <row r="514" spans="1:50" customFormat="1" ht="18">
      <c r="A514" s="391"/>
      <c r="B514" s="396"/>
      <c r="C514" s="395"/>
      <c r="D514" s="255"/>
      <c r="E514" s="255"/>
      <c r="F514" s="267"/>
      <c r="G514" s="268"/>
      <c r="H514" s="268"/>
      <c r="I514" s="267"/>
      <c r="J514" s="268"/>
      <c r="K514" s="268"/>
      <c r="L514" s="338"/>
      <c r="M514" s="268"/>
      <c r="N514" s="268"/>
      <c r="O514" s="393"/>
      <c r="P514" s="394"/>
      <c r="Q514" s="268"/>
      <c r="R514" s="393"/>
      <c r="S514" s="392"/>
      <c r="T514" s="268"/>
      <c r="U514" s="319"/>
      <c r="V514" s="274"/>
      <c r="W514" s="220"/>
      <c r="X514" s="274"/>
      <c r="Y514" s="274"/>
      <c r="Z514" s="220"/>
      <c r="AA514" s="51"/>
      <c r="AB514" s="51"/>
      <c r="AC514" s="51"/>
      <c r="AD514" s="220"/>
      <c r="AE514" s="389"/>
      <c r="AF514" s="257">
        <f>LOG(EXP(-93.04+-3885/298.15+17.1*LN(298.15)))</f>
        <v>-3.7529340560724074</v>
      </c>
      <c r="AG514" s="269" t="s">
        <v>2455</v>
      </c>
      <c r="AH514" s="219"/>
      <c r="AI514" s="40"/>
      <c r="AJ514" s="40"/>
      <c r="AK514" s="40"/>
      <c r="AL514" s="219"/>
      <c r="AM514" s="51"/>
      <c r="AN514" s="51"/>
      <c r="AO514" s="220"/>
      <c r="AP514" s="51"/>
      <c r="AQ514" s="51"/>
      <c r="AR514" s="51"/>
      <c r="AS514" s="219"/>
      <c r="AT514" s="51"/>
      <c r="AU514" s="270"/>
      <c r="AV514" s="220"/>
      <c r="AW514" s="51"/>
      <c r="AX514" s="51"/>
    </row>
    <row r="515" spans="1:50" customFormat="1" ht="18">
      <c r="A515" s="391"/>
      <c r="B515" s="396"/>
      <c r="C515" s="395"/>
      <c r="D515" s="255"/>
      <c r="E515" s="255"/>
      <c r="F515" s="267"/>
      <c r="G515" s="268"/>
      <c r="H515" s="268"/>
      <c r="I515" s="267"/>
      <c r="J515" s="268"/>
      <c r="K515" s="268"/>
      <c r="L515" s="338"/>
      <c r="M515" s="268"/>
      <c r="N515" s="268"/>
      <c r="O515" s="393"/>
      <c r="P515" s="394"/>
      <c r="Q515" s="268"/>
      <c r="R515" s="393"/>
      <c r="S515" s="392"/>
      <c r="T515" s="268"/>
      <c r="U515" s="319"/>
      <c r="V515" s="274"/>
      <c r="W515" s="220"/>
      <c r="X515" s="274"/>
      <c r="Y515" s="274"/>
      <c r="Z515" s="220"/>
      <c r="AA515" s="51"/>
      <c r="AB515" s="51"/>
      <c r="AC515" s="51"/>
      <c r="AD515" s="220"/>
      <c r="AE515" s="389"/>
      <c r="AF515" s="257">
        <f>LOG(EXP(-92.91+-3971/298.15+17.1*LN(298.15)))</f>
        <v>-3.821746024787311</v>
      </c>
      <c r="AG515" s="269" t="s">
        <v>2455</v>
      </c>
      <c r="AH515" s="219"/>
      <c r="AI515" s="39"/>
      <c r="AJ515" s="263"/>
      <c r="AK515" s="39"/>
      <c r="AL515" s="219"/>
      <c r="AM515" s="51"/>
      <c r="AN515" s="51"/>
      <c r="AO515" s="220"/>
      <c r="AP515" s="51"/>
      <c r="AQ515" s="51"/>
      <c r="AR515" s="51"/>
      <c r="AS515" s="219"/>
      <c r="AT515" s="51"/>
      <c r="AU515" s="270"/>
      <c r="AV515" s="220"/>
      <c r="AW515" s="51"/>
      <c r="AX515" s="51"/>
    </row>
    <row r="516" spans="1:50" customFormat="1" ht="18">
      <c r="A516" s="391"/>
      <c r="B516" s="396"/>
      <c r="C516" s="395"/>
      <c r="D516" s="255"/>
      <c r="E516" s="255"/>
      <c r="F516" s="267"/>
      <c r="G516" s="268"/>
      <c r="H516" s="268"/>
      <c r="I516" s="267"/>
      <c r="J516" s="268"/>
      <c r="K516" s="268"/>
      <c r="L516" s="338"/>
      <c r="M516" s="268"/>
      <c r="N516" s="268"/>
      <c r="O516" s="393"/>
      <c r="P516" s="394"/>
      <c r="Q516" s="268"/>
      <c r="R516" s="393"/>
      <c r="S516" s="392"/>
      <c r="T516" s="268"/>
      <c r="U516" s="319"/>
      <c r="V516" s="274"/>
      <c r="W516" s="220"/>
      <c r="X516" s="274"/>
      <c r="Y516" s="274"/>
      <c r="Z516" s="220"/>
      <c r="AA516" s="51"/>
      <c r="AB516" s="51"/>
      <c r="AC516" s="51"/>
      <c r="AD516" s="220"/>
      <c r="AE516" s="389"/>
      <c r="AF516" s="258">
        <f>'Table S4 Conversions and Notes'!$J$501</f>
        <v>-5.5086383061657269</v>
      </c>
      <c r="AG516" s="285" t="s">
        <v>2447</v>
      </c>
      <c r="AH516" s="219"/>
      <c r="AI516" s="39"/>
      <c r="AJ516" s="263"/>
      <c r="AK516" s="39"/>
      <c r="AL516" s="219"/>
      <c r="AM516" s="51"/>
      <c r="AN516" s="51"/>
      <c r="AO516" s="220"/>
      <c r="AP516" s="51"/>
      <c r="AQ516" s="51"/>
      <c r="AR516" s="51"/>
      <c r="AS516" s="219"/>
      <c r="AT516" s="51"/>
      <c r="AU516" s="270"/>
      <c r="AV516" s="220"/>
      <c r="AW516" s="51"/>
      <c r="AX516" s="51"/>
    </row>
    <row r="517" spans="1:50" customFormat="1">
      <c r="A517" s="391"/>
      <c r="B517" s="396"/>
      <c r="C517" s="395"/>
      <c r="D517" s="255"/>
      <c r="E517" s="255"/>
      <c r="F517" s="267"/>
      <c r="G517" s="268"/>
      <c r="H517" s="268"/>
      <c r="I517" s="267"/>
      <c r="J517" s="268"/>
      <c r="K517" s="268"/>
      <c r="L517" s="338"/>
      <c r="M517" s="268"/>
      <c r="N517" s="268"/>
      <c r="O517" s="393"/>
      <c r="P517" s="394"/>
      <c r="Q517" s="268"/>
      <c r="R517" s="393"/>
      <c r="S517" s="392"/>
      <c r="T517" s="268"/>
      <c r="U517" s="319"/>
      <c r="V517" s="274"/>
      <c r="W517" s="220"/>
      <c r="X517" s="274"/>
      <c r="Y517" s="274"/>
      <c r="Z517" s="220"/>
      <c r="AA517" s="51"/>
      <c r="AB517" s="51"/>
      <c r="AC517" s="51"/>
      <c r="AD517" s="220"/>
      <c r="AE517" s="389"/>
      <c r="AF517" s="257"/>
      <c r="AG517" s="269"/>
      <c r="AH517" s="219"/>
      <c r="AI517" s="39"/>
      <c r="AJ517" s="263"/>
      <c r="AK517" s="39"/>
      <c r="AL517" s="219"/>
      <c r="AM517" s="51"/>
      <c r="AN517" s="51"/>
      <c r="AO517" s="220"/>
      <c r="AP517" s="51"/>
      <c r="AQ517" s="51"/>
      <c r="AR517" s="51"/>
      <c r="AS517" s="219"/>
      <c r="AT517" s="51"/>
      <c r="AU517" s="270"/>
      <c r="AV517" s="220"/>
      <c r="AW517" s="51"/>
      <c r="AX517" s="51"/>
    </row>
    <row r="518" spans="1:50" customFormat="1">
      <c r="A518" s="391"/>
      <c r="F518" s="391"/>
      <c r="G518" s="386"/>
      <c r="H518" s="386"/>
      <c r="I518" s="391"/>
      <c r="J518" s="386"/>
      <c r="K518" s="386"/>
      <c r="L518" s="37"/>
      <c r="M518" s="386"/>
      <c r="N518" s="386"/>
      <c r="O518" s="391"/>
      <c r="P518" s="386"/>
      <c r="Q518" s="386"/>
      <c r="R518" s="391"/>
      <c r="S518" s="386"/>
      <c r="T518" s="386"/>
      <c r="U518" s="390"/>
      <c r="V518" s="385"/>
      <c r="W518" s="220"/>
      <c r="X518" s="385"/>
      <c r="Y518" s="385"/>
      <c r="Z518" s="220"/>
      <c r="AA518" s="51"/>
      <c r="AB518" s="51"/>
      <c r="AC518" s="51"/>
      <c r="AD518" s="220"/>
      <c r="AE518" s="389"/>
      <c r="AF518" s="388"/>
      <c r="AG518" s="269"/>
      <c r="AH518" s="219"/>
      <c r="AI518" s="39"/>
      <c r="AJ518" s="39"/>
      <c r="AK518" s="39"/>
      <c r="AL518" s="219"/>
      <c r="AM518" s="51"/>
      <c r="AN518" s="51"/>
      <c r="AO518" s="220"/>
      <c r="AP518" s="51"/>
      <c r="AQ518" s="51"/>
      <c r="AR518" s="51"/>
      <c r="AS518" s="219"/>
      <c r="AT518" s="51"/>
      <c r="AU518" s="270"/>
      <c r="AV518" s="387"/>
      <c r="AW518" s="51"/>
      <c r="AX518" s="51"/>
    </row>
    <row r="519" spans="1:50">
      <c r="A519" s="511" t="s">
        <v>137</v>
      </c>
      <c r="B519" s="511"/>
      <c r="C519" s="511"/>
      <c r="D519" s="511"/>
      <c r="E519" s="511"/>
      <c r="F519" s="511"/>
      <c r="G519" s="511"/>
      <c r="H519" s="511"/>
      <c r="I519" s="511"/>
      <c r="J519" s="511"/>
      <c r="K519" s="511"/>
      <c r="L519" s="511"/>
      <c r="M519" s="511"/>
      <c r="N519" s="511"/>
      <c r="O519" s="511"/>
      <c r="P519" s="511"/>
      <c r="Q519" s="511"/>
      <c r="R519" s="511"/>
      <c r="S519" s="511"/>
      <c r="T519" s="511"/>
      <c r="U519" s="511"/>
      <c r="V519" s="511"/>
      <c r="W519" s="511"/>
      <c r="X519" s="511"/>
      <c r="Y519" s="511"/>
      <c r="Z519" s="511"/>
      <c r="AA519" s="511"/>
      <c r="AB519" s="511"/>
      <c r="AC519" s="511"/>
      <c r="AD519" s="511"/>
      <c r="AE519" s="511"/>
      <c r="AF519" s="511"/>
      <c r="AG519" s="511"/>
      <c r="AH519" s="511"/>
      <c r="AI519" s="511"/>
      <c r="AJ519" s="511"/>
      <c r="AK519" s="511"/>
      <c r="AL519" s="511"/>
      <c r="AM519" s="511"/>
      <c r="AN519" s="511"/>
      <c r="AO519" s="511"/>
      <c r="AP519" s="511"/>
      <c r="AQ519" s="511"/>
      <c r="AR519" s="511"/>
      <c r="AS519" s="511"/>
      <c r="AT519" s="511"/>
      <c r="AU519" s="511"/>
      <c r="AV519" s="511"/>
      <c r="AW519" s="4"/>
      <c r="AX519" s="4"/>
    </row>
    <row r="520" spans="1:50">
      <c r="A520" s="3" t="s">
        <v>138</v>
      </c>
      <c r="B520" s="4" t="s">
        <v>139</v>
      </c>
      <c r="C520" s="157">
        <v>77.099999999999994</v>
      </c>
      <c r="D520" s="30">
        <v>77.099999999999994</v>
      </c>
      <c r="E520" s="30" t="s">
        <v>253</v>
      </c>
      <c r="F520" s="83"/>
      <c r="G520" s="70"/>
      <c r="H520" s="70"/>
      <c r="I520" s="83"/>
      <c r="J520" s="70"/>
      <c r="K520" s="70"/>
      <c r="L520" s="240">
        <f>M520</f>
        <v>65.7</v>
      </c>
      <c r="M520" s="212">
        <v>65.7</v>
      </c>
      <c r="N520" s="70" t="s">
        <v>253</v>
      </c>
      <c r="O520" s="77"/>
      <c r="P520" s="147"/>
      <c r="Q520" s="70"/>
      <c r="R520" s="77"/>
      <c r="S520" s="170"/>
      <c r="T520" s="70"/>
      <c r="U520" s="239">
        <f>V520</f>
        <v>7.4756656115367477</v>
      </c>
      <c r="V520" s="15">
        <v>7.4756656115367477</v>
      </c>
      <c r="W520" s="45" t="s">
        <v>256</v>
      </c>
      <c r="X520" s="15"/>
      <c r="Y520" s="15"/>
      <c r="Z520" s="45"/>
      <c r="AA520" s="47"/>
      <c r="AB520" s="47"/>
      <c r="AC520" s="47"/>
      <c r="AD520" s="45"/>
      <c r="AE520" s="75">
        <f>AF520</f>
        <v>-0.83534495289423183</v>
      </c>
      <c r="AF520" s="15">
        <v>-0.83534495289423183</v>
      </c>
      <c r="AG520" s="45" t="s">
        <v>256</v>
      </c>
      <c r="AH520" s="84"/>
      <c r="AI520" s="47"/>
      <c r="AJ520" s="47"/>
      <c r="AK520" s="45"/>
      <c r="AL520" s="84"/>
      <c r="AM520" s="47"/>
      <c r="AN520" s="47"/>
      <c r="AO520" s="45"/>
      <c r="AP520" s="47"/>
      <c r="AQ520" s="47"/>
      <c r="AR520" s="47"/>
      <c r="AS520" s="201">
        <f>AVERAGE(AT520:AT521)</f>
        <v>51.5</v>
      </c>
      <c r="AT520" s="107">
        <v>50</v>
      </c>
      <c r="AU520" s="119">
        <f>AT520+273.15</f>
        <v>323.14999999999998</v>
      </c>
      <c r="AV520" s="7" t="s">
        <v>970</v>
      </c>
      <c r="AW520" s="47"/>
      <c r="AX520" s="47"/>
    </row>
    <row r="521" spans="1:50">
      <c r="A521" s="3"/>
      <c r="B521" s="171">
        <v>192.28299999999999</v>
      </c>
      <c r="C521" s="157">
        <f>C520*RSD_dHvap</f>
        <v>5.5021195639597513</v>
      </c>
      <c r="D521" s="4"/>
      <c r="E521" s="4"/>
      <c r="F521" s="3"/>
      <c r="G521" s="4"/>
      <c r="H521" s="4"/>
      <c r="I521" s="3"/>
      <c r="J521" s="4"/>
      <c r="K521" s="4"/>
      <c r="L521" s="158">
        <f>L520*RSD_dUoa</f>
        <v>4.1626261043644135</v>
      </c>
      <c r="M521" s="4"/>
      <c r="N521" s="4"/>
      <c r="O521" s="3"/>
      <c r="P521" s="4"/>
      <c r="Q521" s="4"/>
      <c r="R521" s="3"/>
      <c r="S521" s="4"/>
      <c r="T521" s="4"/>
      <c r="U521" s="130" cm="1">
        <f t="array" ref="U521">ABS(U520)*RSD_Koa</f>
        <v>0.19248207825656016</v>
      </c>
      <c r="V521" s="8"/>
      <c r="W521" s="45"/>
      <c r="X521" s="8"/>
      <c r="Y521" s="8"/>
      <c r="Z521" s="45"/>
      <c r="AA521" s="47"/>
      <c r="AB521" s="47"/>
      <c r="AC521" s="47"/>
      <c r="AD521" s="45"/>
      <c r="AE521" s="130">
        <f>ABS(AE520)*RSD_PL</f>
        <v>0.13253948571337032</v>
      </c>
      <c r="AF521" s="6"/>
      <c r="AG521" s="7"/>
      <c r="AH521" s="84"/>
      <c r="AI521" s="47"/>
      <c r="AJ521" s="47"/>
      <c r="AK521" s="45"/>
      <c r="AL521" s="84"/>
      <c r="AM521" s="47"/>
      <c r="AN521" s="47"/>
      <c r="AO521" s="45"/>
      <c r="AP521" s="47"/>
      <c r="AQ521" s="47"/>
      <c r="AR521" s="47"/>
      <c r="AS521" s="182">
        <f>_xlfn.STDEV.S(AT520:AT521)</f>
        <v>2.1213203435596424</v>
      </c>
      <c r="AT521" s="107">
        <f>AVERAGE(52,54)</f>
        <v>53</v>
      </c>
      <c r="AU521" s="119">
        <f>AT521+273.15</f>
        <v>326.14999999999998</v>
      </c>
      <c r="AV521" s="7" t="s">
        <v>1601</v>
      </c>
      <c r="AW521" s="47"/>
      <c r="AX521" s="47"/>
    </row>
    <row r="522" spans="1:50" ht="18">
      <c r="A522" s="3"/>
      <c r="B522" s="171"/>
      <c r="C522" s="324">
        <f>COUNTA(D520:D522)</f>
        <v>1</v>
      </c>
      <c r="D522" s="4"/>
      <c r="E522" s="4"/>
      <c r="F522" s="3"/>
      <c r="G522" s="4"/>
      <c r="H522" s="4"/>
      <c r="I522" s="3"/>
      <c r="J522" s="4"/>
      <c r="K522" s="4"/>
      <c r="L522" s="324">
        <f>COUNTA(M520:M522)</f>
        <v>1</v>
      </c>
      <c r="M522" s="4"/>
      <c r="N522" s="4"/>
      <c r="O522" s="3"/>
      <c r="P522" s="4"/>
      <c r="Q522" s="4"/>
      <c r="R522" s="3"/>
      <c r="S522" s="4"/>
      <c r="T522" s="4"/>
      <c r="U522" s="324">
        <f>COUNTA(V520:V522)</f>
        <v>1</v>
      </c>
      <c r="V522" s="8"/>
      <c r="W522" s="45"/>
      <c r="X522" s="8"/>
      <c r="Y522" s="8"/>
      <c r="Z522" s="45"/>
      <c r="AA522" s="47"/>
      <c r="AB522" s="47"/>
      <c r="AC522" s="47"/>
      <c r="AD522" s="45"/>
      <c r="AE522" s="324">
        <f>COUNTA(AF520:AF522)</f>
        <v>1</v>
      </c>
      <c r="AF522" s="6"/>
      <c r="AG522" s="7"/>
      <c r="AH522" s="84"/>
      <c r="AI522" s="47"/>
      <c r="AJ522" s="47"/>
      <c r="AK522" s="45"/>
      <c r="AL522" s="84"/>
      <c r="AM522" s="47"/>
      <c r="AN522" s="47"/>
      <c r="AO522" s="45"/>
      <c r="AP522" s="47"/>
      <c r="AQ522" s="47"/>
      <c r="AR522" s="47"/>
      <c r="AS522" s="324">
        <f>COUNTA(AT520)</f>
        <v>1</v>
      </c>
      <c r="AT522" s="192">
        <f>AVERAGE(115,116)</f>
        <v>115.5</v>
      </c>
      <c r="AU522" s="227">
        <f>AT522+273.15</f>
        <v>388.65</v>
      </c>
      <c r="AV522" s="155" t="s">
        <v>973</v>
      </c>
      <c r="AW522" s="47"/>
      <c r="AX522" s="47"/>
    </row>
    <row r="523" spans="1:50">
      <c r="A523" s="3"/>
      <c r="B523" s="171"/>
      <c r="C523" s="324"/>
      <c r="D523" s="4"/>
      <c r="E523" s="4"/>
      <c r="F523" s="3"/>
      <c r="G523" s="4"/>
      <c r="H523" s="4"/>
      <c r="I523" s="3"/>
      <c r="J523" s="4"/>
      <c r="K523" s="4"/>
      <c r="L523" s="324"/>
      <c r="M523" s="4"/>
      <c r="N523" s="4"/>
      <c r="O523" s="3"/>
      <c r="P523" s="4"/>
      <c r="Q523" s="4"/>
      <c r="R523" s="3"/>
      <c r="S523" s="4"/>
      <c r="T523" s="4"/>
      <c r="U523" s="324"/>
      <c r="V523" s="8"/>
      <c r="W523" s="45"/>
      <c r="X523" s="8"/>
      <c r="Y523" s="8"/>
      <c r="Z523" s="45"/>
      <c r="AA523" s="47"/>
      <c r="AB523" s="47"/>
      <c r="AC523" s="47"/>
      <c r="AD523" s="45"/>
      <c r="AE523" s="358"/>
      <c r="AF523" s="6"/>
      <c r="AG523" s="7"/>
      <c r="AH523" s="47"/>
      <c r="AI523" s="47"/>
      <c r="AJ523" s="47"/>
      <c r="AK523" s="45"/>
      <c r="AL523" s="84"/>
      <c r="AM523" s="47"/>
      <c r="AN523" s="47"/>
      <c r="AO523" s="45"/>
      <c r="AP523" s="47"/>
      <c r="AQ523" s="47"/>
      <c r="AR523" s="47"/>
      <c r="AS523" s="324"/>
      <c r="AT523" s="192"/>
      <c r="AU523" s="227"/>
      <c r="AV523" s="155"/>
      <c r="AW523" s="47"/>
      <c r="AX523" s="47"/>
    </row>
    <row r="524" spans="1:50" ht="18">
      <c r="A524" s="3" t="s">
        <v>140</v>
      </c>
      <c r="B524" s="4" t="s">
        <v>141</v>
      </c>
      <c r="C524" s="158">
        <f>AVERAGE(D524:D526)</f>
        <v>79.976666666666674</v>
      </c>
      <c r="D524" s="30">
        <v>76.3</v>
      </c>
      <c r="E524" s="30" t="s">
        <v>254</v>
      </c>
      <c r="F524" s="83"/>
      <c r="G524" s="70"/>
      <c r="H524" s="70"/>
      <c r="I524" s="83"/>
      <c r="J524" s="70"/>
      <c r="K524" s="70"/>
      <c r="L524" s="213">
        <f>M524</f>
        <v>75.3</v>
      </c>
      <c r="M524" s="70">
        <v>75.3</v>
      </c>
      <c r="N524" s="70" t="s">
        <v>254</v>
      </c>
      <c r="O524" s="77"/>
      <c r="P524" s="147"/>
      <c r="Q524" s="70"/>
      <c r="R524" s="77"/>
      <c r="S524" s="170"/>
      <c r="T524" s="70"/>
      <c r="U524" s="130">
        <f>V524</f>
        <v>9.062289783061221</v>
      </c>
      <c r="V524" s="15">
        <v>9.062289783061221</v>
      </c>
      <c r="W524" s="45" t="s">
        <v>256</v>
      </c>
      <c r="X524" s="75">
        <f>AVERAGE(Y524:Y526)</f>
        <v>3.4536576318955827</v>
      </c>
      <c r="Y524" s="15">
        <f>LOG(3990)</f>
        <v>3.6009728956867484</v>
      </c>
      <c r="Z524" s="45" t="s">
        <v>495</v>
      </c>
      <c r="AA524" s="47"/>
      <c r="AB524" s="47"/>
      <c r="AC524" s="47"/>
      <c r="AD524" s="45"/>
      <c r="AE524" s="75">
        <f>AVERAGE(AF524:AF526)</f>
        <v>-2.4901757792294523</v>
      </c>
      <c r="AF524" s="15">
        <v>-2.3194326125224354</v>
      </c>
      <c r="AG524" s="45" t="s">
        <v>256</v>
      </c>
      <c r="AH524" s="75">
        <f ca="1">AVERAGE(AI524:AI526)</f>
        <v>-0.99160050980834902</v>
      </c>
      <c r="AI524" s="46">
        <f>LOG(AJ524/$B$525)</f>
        <v>-1.1435578693203794</v>
      </c>
      <c r="AJ524" s="121">
        <f>'Table S4 Conversions and Notes'!$J$138</f>
        <v>16.400126907010165</v>
      </c>
      <c r="AK524" s="45" t="s">
        <v>491</v>
      </c>
      <c r="AL524" s="84"/>
      <c r="AM524" s="47"/>
      <c r="AN524" s="47"/>
      <c r="AO524" s="45"/>
      <c r="AP524" s="132">
        <f>AQ524</f>
        <v>64.656964656964661</v>
      </c>
      <c r="AQ524" s="107">
        <f>21770/AU524</f>
        <v>64.656964656964661</v>
      </c>
      <c r="AR524" s="45" t="s">
        <v>977</v>
      </c>
      <c r="AS524" s="150">
        <f>AVERAGE(AT524:AT529)</f>
        <v>63.741666666666667</v>
      </c>
      <c r="AT524" s="107">
        <f>AU524-273.15</f>
        <v>63.550000000000011</v>
      </c>
      <c r="AU524" s="47">
        <v>336.7</v>
      </c>
      <c r="AV524" s="45" t="s">
        <v>977</v>
      </c>
      <c r="AW524" s="47"/>
      <c r="AX524" s="47"/>
    </row>
    <row r="525" spans="1:50" ht="18">
      <c r="A525" s="3"/>
      <c r="B525" s="171">
        <v>228.24700000000001</v>
      </c>
      <c r="C525" s="145">
        <f>_xlfn.STDEV.S(D524:D526)</f>
        <v>7.7949748770174621</v>
      </c>
      <c r="D525" s="30">
        <v>74.7</v>
      </c>
      <c r="E525" s="30" t="s">
        <v>176</v>
      </c>
      <c r="F525" s="83"/>
      <c r="G525" s="70"/>
      <c r="H525" s="70"/>
      <c r="I525" s="83"/>
      <c r="J525" s="70"/>
      <c r="K525" s="70"/>
      <c r="L525" s="158">
        <f>L524*RSD_dUoa</f>
        <v>4.7708637086551038</v>
      </c>
      <c r="M525" s="70"/>
      <c r="N525" s="70"/>
      <c r="O525" s="77"/>
      <c r="P525" s="147"/>
      <c r="Q525" s="70"/>
      <c r="R525" s="77"/>
      <c r="S525" s="170"/>
      <c r="T525" s="70"/>
      <c r="U525" s="130" cm="1">
        <f t="array" ref="U525">ABS(U524)*RSD_Koa</f>
        <v>0.23333418879984386</v>
      </c>
      <c r="V525" s="8"/>
      <c r="W525" s="45"/>
      <c r="X525" s="75">
        <f>_xlfn.STDEV.S(Y524:Y525)</f>
        <v>0.12659127947609147</v>
      </c>
      <c r="Y525" s="15">
        <v>3.78</v>
      </c>
      <c r="Z525" s="45" t="s">
        <v>2637</v>
      </c>
      <c r="AA525" s="47"/>
      <c r="AB525" s="47"/>
      <c r="AC525" s="47"/>
      <c r="AD525" s="45"/>
      <c r="AE525" s="75">
        <f>_xlfn.STDEV.S(AF524:AF526)</f>
        <v>0.15804862177910686</v>
      </c>
      <c r="AF525" s="6">
        <f>'Table S4 Conversions and Notes'!$J$58</f>
        <v>-2.5197401487713029</v>
      </c>
      <c r="AG525" s="7" t="s">
        <v>231</v>
      </c>
      <c r="AH525" s="75">
        <f ca="1">_xlfn.STDEV.S(AI524:AI525)</f>
        <v>0.18611663456422731</v>
      </c>
      <c r="AI525" s="46">
        <f ca="1">LOG(AJ525/$B$525)</f>
        <v>-1.4067665381043488</v>
      </c>
      <c r="AJ525" s="121">
        <f ca="1">'Table S4 Conversions and Notes'!$J$139</f>
        <v>8.9461987012142501</v>
      </c>
      <c r="AK525" s="45" t="s">
        <v>1646</v>
      </c>
      <c r="AL525" s="84"/>
      <c r="AM525" s="47"/>
      <c r="AN525" s="47"/>
      <c r="AO525" s="45"/>
      <c r="AP525" s="131">
        <f>AP524*RSD_dSf</f>
        <v>5.096237773624499</v>
      </c>
      <c r="AR525" s="47"/>
      <c r="AS525" s="130">
        <f>_xlfn.STDEV.S(AT524:AT529)</f>
        <v>0.94995613933837286</v>
      </c>
      <c r="AT525" s="107">
        <v>65.5</v>
      </c>
      <c r="AU525" s="119">
        <f t="shared" ref="AU525:AU531" si="6">AT525+273.15</f>
        <v>338.65</v>
      </c>
      <c r="AV525" s="7" t="s">
        <v>978</v>
      </c>
      <c r="AW525" s="47"/>
      <c r="AX525" s="47"/>
    </row>
    <row r="526" spans="1:50" ht="18">
      <c r="A526" s="3"/>
      <c r="B526" s="4" t="s">
        <v>20</v>
      </c>
      <c r="C526" s="324">
        <f>COUNTA(D524:D526)</f>
        <v>3</v>
      </c>
      <c r="D526" s="30">
        <f>'Table S4 Conversions and Notes'!$J$142</f>
        <v>88.93</v>
      </c>
      <c r="E526" s="30" t="s">
        <v>503</v>
      </c>
      <c r="F526" s="3"/>
      <c r="G526" s="4"/>
      <c r="H526" s="4"/>
      <c r="I526" s="3"/>
      <c r="J526" s="4"/>
      <c r="K526" s="4"/>
      <c r="L526" s="324">
        <f>COUNTA(M524:M526)</f>
        <v>1</v>
      </c>
      <c r="M526" s="4"/>
      <c r="N526" s="4"/>
      <c r="O526" s="3"/>
      <c r="P526" s="4"/>
      <c r="Q526" s="4"/>
      <c r="R526" s="3"/>
      <c r="S526" s="4"/>
      <c r="T526" s="4"/>
      <c r="U526" s="324">
        <f>COUNTA(V524:V526)</f>
        <v>1</v>
      </c>
      <c r="V526" s="8"/>
      <c r="W526" s="45"/>
      <c r="X526" s="324">
        <f>COUNTA(Y524:Y526)</f>
        <v>3</v>
      </c>
      <c r="Y526" s="15">
        <v>2.98</v>
      </c>
      <c r="Z526" s="45" t="s">
        <v>2637</v>
      </c>
      <c r="AA526" s="47"/>
      <c r="AB526" s="47"/>
      <c r="AC526" s="47"/>
      <c r="AD526" s="45"/>
      <c r="AE526" s="324">
        <f>COUNTA(AF524:AF526)</f>
        <v>3</v>
      </c>
      <c r="AF526" s="6">
        <f>'Table S4 Conversions and Notes'!$J$141</f>
        <v>-2.6313545763946182</v>
      </c>
      <c r="AG526" s="7" t="s">
        <v>1571</v>
      </c>
      <c r="AH526" s="324">
        <f ca="1">COUNTA(AI524:AI525)</f>
        <v>2</v>
      </c>
      <c r="AI526" s="225">
        <f ca="1">LOG(AJ526/$B$525)</f>
        <v>-0.42447712200031851</v>
      </c>
      <c r="AJ526" s="192">
        <f ca="1">'Table S4 Conversions and Notes'!$J$140</f>
        <v>85.887103382192095</v>
      </c>
      <c r="AK526" s="155" t="s">
        <v>1647</v>
      </c>
      <c r="AL526" s="84"/>
      <c r="AM526" s="47"/>
      <c r="AN526" s="47"/>
      <c r="AO526" s="45"/>
      <c r="AP526" s="324">
        <f>COUNTA(AQ524:AQ526)</f>
        <v>1</v>
      </c>
      <c r="AR526" s="47"/>
      <c r="AS526" s="324">
        <f>COUNTA(AT524:AT529)</f>
        <v>6</v>
      </c>
      <c r="AT526" s="121">
        <v>64</v>
      </c>
      <c r="AU526" s="119">
        <f t="shared" si="6"/>
        <v>337.15</v>
      </c>
      <c r="AV526" s="7" t="s">
        <v>978</v>
      </c>
      <c r="AW526" s="47"/>
      <c r="AX526" s="47"/>
    </row>
    <row r="527" spans="1:50" ht="18">
      <c r="A527" s="3"/>
      <c r="B527" s="4"/>
      <c r="C527" s="87"/>
      <c r="D527" s="435">
        <f>'Table S4 Conversions and Notes'!$J$543</f>
        <v>97.117607415107415</v>
      </c>
      <c r="E527" s="435" t="s">
        <v>2744</v>
      </c>
      <c r="F527" s="3"/>
      <c r="G527" s="4"/>
      <c r="H527" s="4"/>
      <c r="I527" s="3"/>
      <c r="J527" s="4"/>
      <c r="K527" s="4"/>
      <c r="L527" s="115"/>
      <c r="M527" s="4"/>
      <c r="N527" s="4"/>
      <c r="O527" s="3"/>
      <c r="P527" s="4"/>
      <c r="Q527" s="4"/>
      <c r="R527" s="3"/>
      <c r="S527" s="4"/>
      <c r="T527" s="4"/>
      <c r="U527" s="87"/>
      <c r="V527" s="8"/>
      <c r="W527" s="45"/>
      <c r="Y527" s="177">
        <f ca="1">'Table S4 Conversions and Notes'!$J$137</f>
        <v>3.5431319045913616</v>
      </c>
      <c r="Z527" s="155" t="s">
        <v>1088</v>
      </c>
      <c r="AA527" s="47"/>
      <c r="AB527" s="47"/>
      <c r="AC527" s="47"/>
      <c r="AD527" s="45"/>
      <c r="AF527" s="6"/>
      <c r="AG527" s="7"/>
      <c r="AI527" s="47"/>
      <c r="AJ527" s="47"/>
      <c r="AK527" s="45"/>
      <c r="AL527" s="84"/>
      <c r="AM527" s="47"/>
      <c r="AN527" s="47"/>
      <c r="AO527" s="45"/>
      <c r="AP527" s="47"/>
      <c r="AQ527" s="47"/>
      <c r="AR527" s="47"/>
      <c r="AS527" s="84"/>
      <c r="AT527" s="121">
        <v>63</v>
      </c>
      <c r="AU527" s="119">
        <f t="shared" si="6"/>
        <v>336.15</v>
      </c>
      <c r="AV527" s="7" t="s">
        <v>979</v>
      </c>
      <c r="AW527" s="47"/>
      <c r="AX527" s="47"/>
    </row>
    <row r="528" spans="1:50">
      <c r="A528" s="3"/>
      <c r="B528" s="4"/>
      <c r="C528" s="87"/>
      <c r="D528" s="4"/>
      <c r="E528" s="4"/>
      <c r="F528" s="3"/>
      <c r="G528" s="4"/>
      <c r="H528" s="4"/>
      <c r="I528" s="3"/>
      <c r="J528" s="4"/>
      <c r="K528" s="4"/>
      <c r="L528" s="115"/>
      <c r="M528" s="4"/>
      <c r="N528" s="4"/>
      <c r="O528" s="3"/>
      <c r="P528" s="4"/>
      <c r="Q528" s="4"/>
      <c r="R528" s="3"/>
      <c r="S528" s="4"/>
      <c r="T528" s="4"/>
      <c r="U528" s="87"/>
      <c r="V528" s="8"/>
      <c r="W528" s="45"/>
      <c r="AA528" s="84"/>
      <c r="AB528" s="47"/>
      <c r="AC528" s="47"/>
      <c r="AD528" s="45"/>
      <c r="AF528" s="6"/>
      <c r="AG528" s="7"/>
      <c r="AI528" s="47"/>
      <c r="AJ528" s="47"/>
      <c r="AK528" s="45"/>
      <c r="AL528" s="84"/>
      <c r="AM528" s="47"/>
      <c r="AN528" s="47"/>
      <c r="AO528" s="45"/>
      <c r="AP528" s="47"/>
      <c r="AQ528" s="47"/>
      <c r="AR528" s="47"/>
      <c r="AS528" s="84"/>
      <c r="AT528" s="121">
        <v>63.5</v>
      </c>
      <c r="AU528" s="119">
        <f t="shared" si="6"/>
        <v>336.65</v>
      </c>
      <c r="AV528" s="7" t="s">
        <v>980</v>
      </c>
      <c r="AW528" s="47"/>
      <c r="AX528" s="47"/>
    </row>
    <row r="529" spans="1:50">
      <c r="A529" s="3"/>
      <c r="B529" s="4"/>
      <c r="C529" s="87"/>
      <c r="D529" s="4"/>
      <c r="E529" s="4"/>
      <c r="F529" s="3"/>
      <c r="G529" s="4"/>
      <c r="H529" s="4"/>
      <c r="I529" s="3"/>
      <c r="J529" s="4"/>
      <c r="K529" s="4"/>
      <c r="L529" s="115"/>
      <c r="M529" s="4"/>
      <c r="N529" s="4"/>
      <c r="O529" s="3"/>
      <c r="P529" s="4"/>
      <c r="Q529" s="4"/>
      <c r="R529" s="3"/>
      <c r="S529" s="4"/>
      <c r="T529" s="4"/>
      <c r="U529" s="87"/>
      <c r="V529" s="8"/>
      <c r="W529" s="45"/>
      <c r="Y529" s="15"/>
      <c r="Z529" s="45"/>
      <c r="AA529" s="47"/>
      <c r="AB529" s="47"/>
      <c r="AC529" s="47"/>
      <c r="AD529" s="45"/>
      <c r="AF529" s="6"/>
      <c r="AG529" s="7"/>
      <c r="AI529" s="47"/>
      <c r="AJ529" s="47"/>
      <c r="AK529" s="45"/>
      <c r="AL529" s="84"/>
      <c r="AM529" s="47"/>
      <c r="AN529" s="47"/>
      <c r="AO529" s="45"/>
      <c r="AP529" s="47"/>
      <c r="AQ529" s="47"/>
      <c r="AR529" s="47"/>
      <c r="AS529" s="84"/>
      <c r="AT529" s="121">
        <v>62.9</v>
      </c>
      <c r="AU529" s="119">
        <f t="shared" si="6"/>
        <v>336.04999999999995</v>
      </c>
      <c r="AV529" s="7" t="s">
        <v>981</v>
      </c>
      <c r="AW529" s="47"/>
      <c r="AX529" s="47"/>
    </row>
    <row r="530" spans="1:50">
      <c r="A530" s="3"/>
      <c r="B530" s="4"/>
      <c r="C530" s="87"/>
      <c r="D530" s="4"/>
      <c r="E530" s="4"/>
      <c r="F530" s="3"/>
      <c r="G530" s="4"/>
      <c r="H530" s="4"/>
      <c r="I530" s="3"/>
      <c r="J530" s="4"/>
      <c r="K530" s="4"/>
      <c r="L530" s="115"/>
      <c r="M530" s="4"/>
      <c r="N530" s="4"/>
      <c r="O530" s="3"/>
      <c r="P530" s="4"/>
      <c r="Q530" s="4"/>
      <c r="R530" s="3"/>
      <c r="S530" s="4"/>
      <c r="T530" s="4"/>
      <c r="U530" s="87"/>
      <c r="V530" s="8"/>
      <c r="W530" s="45"/>
      <c r="Y530" s="15"/>
      <c r="Z530" s="45"/>
      <c r="AA530" s="47"/>
      <c r="AB530" s="47"/>
      <c r="AC530" s="47"/>
      <c r="AD530" s="45"/>
      <c r="AF530" s="6"/>
      <c r="AG530" s="7"/>
      <c r="AI530" s="47"/>
      <c r="AJ530" s="47"/>
      <c r="AK530" s="45"/>
      <c r="AL530" s="84"/>
      <c r="AM530" s="47"/>
      <c r="AN530" s="47"/>
      <c r="AO530" s="45"/>
      <c r="AP530" s="47"/>
      <c r="AQ530" s="47"/>
      <c r="AR530" s="47"/>
      <c r="AS530" s="84"/>
      <c r="AT530" s="121"/>
      <c r="AU530" s="119"/>
      <c r="AV530" s="7"/>
      <c r="AW530" s="47"/>
      <c r="AX530" s="47"/>
    </row>
    <row r="531" spans="1:50" ht="18">
      <c r="A531" s="12" t="s">
        <v>142</v>
      </c>
      <c r="B531" s="11" t="s">
        <v>143</v>
      </c>
      <c r="C531" s="157">
        <f>D531</f>
        <v>65.7</v>
      </c>
      <c r="D531" s="30">
        <v>65.7</v>
      </c>
      <c r="E531" s="30" t="s">
        <v>250</v>
      </c>
      <c r="F531" s="83"/>
      <c r="G531" s="70"/>
      <c r="H531" s="70"/>
      <c r="I531" s="83"/>
      <c r="J531" s="70"/>
      <c r="K531" s="70"/>
      <c r="L531" s="213">
        <f>M531</f>
        <v>64.900000000000006</v>
      </c>
      <c r="M531" s="70">
        <v>64.900000000000006</v>
      </c>
      <c r="N531" s="70" t="s">
        <v>250</v>
      </c>
      <c r="O531" s="77"/>
      <c r="P531" s="147"/>
      <c r="Q531" s="70"/>
      <c r="R531" s="77"/>
      <c r="S531" s="170"/>
      <c r="T531" s="70"/>
      <c r="U531" s="130">
        <f>V531</f>
        <v>8.5342489113816207</v>
      </c>
      <c r="V531" s="15">
        <v>8.5342489113816207</v>
      </c>
      <c r="W531" s="45" t="s">
        <v>256</v>
      </c>
      <c r="X531" s="75">
        <f ca="1">Y531</f>
        <v>5.1021482939458087</v>
      </c>
      <c r="Y531" s="15">
        <f ca="1">'Table S4 Conversions and Notes'!$J$143</f>
        <v>5.1021482939458087</v>
      </c>
      <c r="Z531" s="7" t="s">
        <v>504</v>
      </c>
      <c r="AA531" s="47"/>
      <c r="AB531" s="47"/>
      <c r="AC531" s="47"/>
      <c r="AD531" s="45"/>
      <c r="AE531" s="75">
        <f>AVERAGE(AF531:AF532)</f>
        <v>-2.1437560717924429</v>
      </c>
      <c r="AF531" s="15">
        <v>-1.7369232262774594</v>
      </c>
      <c r="AG531" s="45" t="s">
        <v>256</v>
      </c>
      <c r="AH531" s="75">
        <f ca="1">AI531</f>
        <v>-1.9385377595649462</v>
      </c>
      <c r="AI531" s="46">
        <f ca="1">LOG(AJ531/$B$532)</f>
        <v>-1.9385377595649462</v>
      </c>
      <c r="AJ531" s="17">
        <f ca="1">'Table S4 Conversions and Notes'!$J$144</f>
        <v>2.9304428248717045</v>
      </c>
      <c r="AK531" s="7" t="s">
        <v>507</v>
      </c>
      <c r="AL531" s="84"/>
      <c r="AM531" s="47"/>
      <c r="AN531" s="47"/>
      <c r="AO531" s="45"/>
      <c r="AP531" s="47"/>
      <c r="AQ531" s="47"/>
      <c r="AR531" s="47"/>
      <c r="AS531" s="150">
        <f>AT531</f>
        <v>70.400000000000006</v>
      </c>
      <c r="AT531" s="107">
        <v>70.400000000000006</v>
      </c>
      <c r="AU531" s="119">
        <f t="shared" si="6"/>
        <v>343.54999999999995</v>
      </c>
      <c r="AV531" s="45" t="s">
        <v>982</v>
      </c>
      <c r="AW531" s="47"/>
      <c r="AX531" s="47"/>
    </row>
    <row r="532" spans="1:50" ht="18">
      <c r="A532" s="12"/>
      <c r="B532" s="171">
        <v>254.37299999999999</v>
      </c>
      <c r="C532" s="157">
        <f>C531*RSD_dHvap</f>
        <v>4.688576593413174</v>
      </c>
      <c r="D532" s="30"/>
      <c r="E532" s="30"/>
      <c r="F532" s="83"/>
      <c r="G532" s="70"/>
      <c r="H532" s="70"/>
      <c r="I532" s="83"/>
      <c r="J532" s="70"/>
      <c r="K532" s="70"/>
      <c r="L532" s="158">
        <f>L531*RSD_dUoa</f>
        <v>4.11193963734019</v>
      </c>
      <c r="M532" s="70"/>
      <c r="N532" s="70"/>
      <c r="O532" s="77"/>
      <c r="P532" s="147"/>
      <c r="Q532" s="70"/>
      <c r="R532" s="77"/>
      <c r="S532" s="170"/>
      <c r="T532" s="70"/>
      <c r="U532" s="130" cm="1">
        <f t="array" ref="U532">ABS(U531)*RSD_Koa</f>
        <v>0.21973828849252638</v>
      </c>
      <c r="V532" s="15"/>
      <c r="W532" s="45"/>
      <c r="X532" s="130">
        <f ca="1">ABS(X531)*RSD_Unr</f>
        <v>1.5306444881837427</v>
      </c>
      <c r="Z532" s="42"/>
      <c r="AA532" s="47"/>
      <c r="AB532" s="47"/>
      <c r="AC532" s="47"/>
      <c r="AD532" s="45"/>
      <c r="AE532" s="75">
        <f>_xlfn.STDEV.S(AF531:AF532)</f>
        <v>0.57534852774613077</v>
      </c>
      <c r="AF532" s="6">
        <f>'Table S4 Conversions and Notes'!$J$59</f>
        <v>-2.5505889173074268</v>
      </c>
      <c r="AG532" s="7" t="s">
        <v>235</v>
      </c>
      <c r="AH532" s="130">
        <f ca="1">ABS(AH531)*RSD_SW</f>
        <v>0.23970908720513637</v>
      </c>
      <c r="AI532" s="47"/>
      <c r="AJ532" s="47"/>
      <c r="AK532" s="45"/>
      <c r="AL532" s="84"/>
      <c r="AM532" s="47"/>
      <c r="AN532" s="47"/>
      <c r="AO532" s="45"/>
      <c r="AP532" s="47"/>
      <c r="AQ532" s="47"/>
      <c r="AR532" s="47"/>
      <c r="AS532" s="130">
        <f>AS531*RSD_Tm</f>
        <v>3.2500664900723866</v>
      </c>
      <c r="AT532" s="121"/>
      <c r="AU532" s="47"/>
      <c r="AV532" s="45"/>
      <c r="AW532" s="47"/>
      <c r="AX532" s="47"/>
    </row>
    <row r="533" spans="1:50">
      <c r="A533" s="12"/>
      <c r="B533" s="11"/>
      <c r="C533" s="324">
        <f>COUNTA(D531:D533)</f>
        <v>1</v>
      </c>
      <c r="D533" s="30"/>
      <c r="E533" s="30"/>
      <c r="F533" s="83"/>
      <c r="G533" s="70"/>
      <c r="H533" s="70"/>
      <c r="I533" s="83"/>
      <c r="J533" s="70"/>
      <c r="K533" s="70"/>
      <c r="L533" s="324">
        <f>COUNTA(M531:M533)</f>
        <v>1</v>
      </c>
      <c r="M533" s="70"/>
      <c r="N533" s="70"/>
      <c r="O533" s="77"/>
      <c r="P533" s="147"/>
      <c r="Q533" s="70"/>
      <c r="R533" s="77"/>
      <c r="S533" s="170"/>
      <c r="T533" s="70"/>
      <c r="U533" s="324">
        <f>COUNTA(V531:V533)</f>
        <v>1</v>
      </c>
      <c r="V533" s="15"/>
      <c r="W533" s="45"/>
      <c r="X533" s="324">
        <f ca="1">COUNTA(Y531:Y533)</f>
        <v>1</v>
      </c>
      <c r="Y533" s="52"/>
      <c r="Z533" s="42"/>
      <c r="AA533" s="47"/>
      <c r="AB533" s="47"/>
      <c r="AC533" s="47"/>
      <c r="AD533" s="45"/>
      <c r="AE533" s="324">
        <f>COUNTA(AF531:AF533)</f>
        <v>2</v>
      </c>
      <c r="AF533" s="6"/>
      <c r="AG533" s="7"/>
      <c r="AH533" s="324">
        <f ca="1">COUNTA(AI531:AI533)</f>
        <v>1</v>
      </c>
      <c r="AI533" s="47"/>
      <c r="AJ533" s="47"/>
      <c r="AK533" s="45"/>
      <c r="AL533" s="84"/>
      <c r="AM533" s="47"/>
      <c r="AN533" s="47"/>
      <c r="AO533" s="45"/>
      <c r="AP533" s="47"/>
      <c r="AQ533" s="47"/>
      <c r="AR533" s="47"/>
      <c r="AS533" s="324">
        <f>COUNTA(AT531:AT534)</f>
        <v>1</v>
      </c>
      <c r="AT533" s="121"/>
      <c r="AU533" s="47"/>
      <c r="AV533" s="45"/>
      <c r="AW533" s="47"/>
      <c r="AX533" s="47"/>
    </row>
    <row r="534" spans="1:50">
      <c r="A534" s="12"/>
      <c r="B534" s="11" t="s">
        <v>20</v>
      </c>
      <c r="C534" s="87"/>
      <c r="D534" s="11"/>
      <c r="E534" s="11"/>
      <c r="F534" s="12"/>
      <c r="G534" s="11"/>
      <c r="H534" s="11"/>
      <c r="I534" s="12"/>
      <c r="J534" s="11"/>
      <c r="K534" s="11"/>
      <c r="L534" s="115"/>
      <c r="M534" s="11"/>
      <c r="N534" s="11"/>
      <c r="O534" s="12"/>
      <c r="P534" s="11"/>
      <c r="Q534" s="11"/>
      <c r="R534" s="12"/>
      <c r="S534" s="11"/>
      <c r="T534" s="11"/>
      <c r="U534" s="87"/>
      <c r="V534" s="8"/>
      <c r="W534" s="45"/>
      <c r="Y534" s="8"/>
      <c r="Z534" s="45"/>
      <c r="AA534" s="47"/>
      <c r="AB534" s="47"/>
      <c r="AC534" s="47"/>
      <c r="AD534" s="45"/>
      <c r="AF534" s="6"/>
      <c r="AG534" s="7"/>
      <c r="AI534" s="47"/>
      <c r="AJ534" s="47"/>
      <c r="AK534" s="45"/>
      <c r="AL534" s="84"/>
      <c r="AM534" s="47"/>
      <c r="AN534" s="47"/>
      <c r="AO534" s="45"/>
      <c r="AP534" s="47"/>
      <c r="AQ534" s="47"/>
      <c r="AR534" s="47"/>
      <c r="AS534" s="84"/>
      <c r="AT534" s="121"/>
      <c r="AU534" s="47"/>
      <c r="AV534" s="45"/>
      <c r="AW534" s="47"/>
      <c r="AX534" s="47"/>
    </row>
    <row r="535" spans="1:50" ht="18">
      <c r="A535" s="3" t="s">
        <v>144</v>
      </c>
      <c r="B535" s="4" t="s">
        <v>145</v>
      </c>
      <c r="C535" s="157">
        <f>D535</f>
        <v>95.3</v>
      </c>
      <c r="D535" s="30">
        <v>95.3</v>
      </c>
      <c r="E535" s="30" t="s">
        <v>241</v>
      </c>
      <c r="F535" s="83"/>
      <c r="G535" s="70"/>
      <c r="H535" s="70"/>
      <c r="I535" s="83"/>
      <c r="J535" s="70"/>
      <c r="K535" s="70"/>
      <c r="L535" s="213">
        <f>M535</f>
        <v>82.9</v>
      </c>
      <c r="M535" s="70">
        <v>82.9</v>
      </c>
      <c r="N535" s="70" t="s">
        <v>241</v>
      </c>
      <c r="O535" s="77"/>
      <c r="P535" s="147"/>
      <c r="Q535" s="70"/>
      <c r="R535" s="77"/>
      <c r="S535" s="170"/>
      <c r="T535" s="70"/>
      <c r="U535" s="130">
        <f>V535</f>
        <v>8.4929739722986248</v>
      </c>
      <c r="V535" s="15">
        <v>8.4929739722986248</v>
      </c>
      <c r="W535" s="45" t="s">
        <v>256</v>
      </c>
      <c r="X535" s="75">
        <f ca="1">Y535</f>
        <v>6.4226390597038554</v>
      </c>
      <c r="Y535" s="17">
        <f ca="1">'Table S4 Conversions and Notes'!$J$136</f>
        <v>6.4226390597038554</v>
      </c>
      <c r="Z535" s="45" t="s">
        <v>482</v>
      </c>
      <c r="AA535" s="47"/>
      <c r="AB535" s="47"/>
      <c r="AC535" s="47"/>
      <c r="AD535" s="45"/>
      <c r="AE535" s="75">
        <f>AVERAGE(AF535:AF536)</f>
        <v>-1.8907497643218214</v>
      </c>
      <c r="AF535" s="15">
        <v>-1.9575907876993237</v>
      </c>
      <c r="AG535" s="45" t="s">
        <v>256</v>
      </c>
      <c r="AH535" s="75">
        <f>AI535</f>
        <v>-2.8168194218021276</v>
      </c>
      <c r="AI535" s="46">
        <f>LOG(AJ535/$B$536)</f>
        <v>-2.8168194218021276</v>
      </c>
      <c r="AJ535" s="47">
        <v>0.4</v>
      </c>
      <c r="AK535" s="45" t="s">
        <v>480</v>
      </c>
      <c r="AL535" s="84"/>
      <c r="AM535" s="47"/>
      <c r="AN535" s="47"/>
      <c r="AO535" s="45"/>
      <c r="AP535" s="47"/>
      <c r="AQ535" s="47"/>
      <c r="AR535" s="47"/>
      <c r="AS535" s="152">
        <v>-20</v>
      </c>
      <c r="AT535" s="121" t="s">
        <v>733</v>
      </c>
      <c r="AU535" s="47" t="s">
        <v>983</v>
      </c>
      <c r="AV535" s="45" t="s">
        <v>984</v>
      </c>
      <c r="AW535" s="47"/>
      <c r="AX535" s="47"/>
    </row>
    <row r="536" spans="1:50">
      <c r="A536" s="3"/>
      <c r="B536" s="171">
        <v>262.34899999999999</v>
      </c>
      <c r="C536" s="157">
        <f>C535*RSD_dHvap</f>
        <v>6.8009337800955159</v>
      </c>
      <c r="D536" s="30"/>
      <c r="E536" s="30"/>
      <c r="F536" s="83"/>
      <c r="G536" s="70"/>
      <c r="H536" s="70"/>
      <c r="I536" s="83"/>
      <c r="J536" s="70"/>
      <c r="K536" s="70"/>
      <c r="L536" s="158">
        <f>L535*RSD_dUoa</f>
        <v>5.2523851453852348</v>
      </c>
      <c r="M536" s="70"/>
      <c r="N536" s="70"/>
      <c r="O536" s="77"/>
      <c r="P536" s="147"/>
      <c r="Q536" s="70"/>
      <c r="R536" s="77"/>
      <c r="S536" s="170"/>
      <c r="T536" s="70"/>
      <c r="U536" s="130" cm="1">
        <f t="array" ref="U536">ABS(U535)*RSD_Koa</f>
        <v>0.21867554886940208</v>
      </c>
      <c r="V536" s="15"/>
      <c r="W536" s="45"/>
      <c r="X536" s="130">
        <f ca="1">ABS(X535)*RSD_Inf</f>
        <v>1.2845278119407713</v>
      </c>
      <c r="Y536" s="15"/>
      <c r="Z536" s="45"/>
      <c r="AA536" s="47"/>
      <c r="AB536" s="47"/>
      <c r="AC536" s="47"/>
      <c r="AD536" s="45"/>
      <c r="AE536" s="75">
        <f>_xlfn.STDEV.S(AF535:AF536)</f>
        <v>9.4527481783361011E-2</v>
      </c>
      <c r="AF536" s="6">
        <v>-1.8239087409443189</v>
      </c>
      <c r="AG536" s="7" t="s">
        <v>237</v>
      </c>
      <c r="AH536" s="130">
        <f>ABS(AH535)*RSD_SW</f>
        <v>0.34831264394531203</v>
      </c>
      <c r="AI536" s="47"/>
      <c r="AJ536" s="47"/>
      <c r="AK536" s="45"/>
      <c r="AL536" s="84"/>
      <c r="AM536" s="47"/>
      <c r="AN536" s="47"/>
      <c r="AO536" s="45"/>
      <c r="AP536" s="47"/>
      <c r="AQ536" s="47"/>
      <c r="AR536" s="47"/>
      <c r="AS536" s="130">
        <f>ABS(AS535*RSD_Unr)</f>
        <v>6</v>
      </c>
      <c r="AT536" s="121"/>
      <c r="AU536" s="47"/>
      <c r="AV536" s="45"/>
      <c r="AW536" s="47"/>
      <c r="AX536" s="47"/>
    </row>
    <row r="537" spans="1:50">
      <c r="A537" s="3"/>
      <c r="B537" s="4" t="s">
        <v>20</v>
      </c>
      <c r="C537" s="324">
        <f>COUNTA(D535:D537)</f>
        <v>1</v>
      </c>
      <c r="D537" s="4"/>
      <c r="E537" s="4"/>
      <c r="F537" s="3"/>
      <c r="G537" s="4"/>
      <c r="H537" s="4"/>
      <c r="I537" s="3"/>
      <c r="J537" s="4"/>
      <c r="K537" s="4"/>
      <c r="L537" s="324">
        <f>COUNTA(M535:M537)</f>
        <v>1</v>
      </c>
      <c r="M537" s="4"/>
      <c r="N537" s="4"/>
      <c r="O537" s="3"/>
      <c r="P537" s="4"/>
      <c r="Q537" s="4"/>
      <c r="R537" s="3"/>
      <c r="S537" s="4"/>
      <c r="T537" s="4"/>
      <c r="U537" s="324">
        <f>COUNTA(V535:V537)</f>
        <v>1</v>
      </c>
      <c r="V537" s="8"/>
      <c r="W537" s="45"/>
      <c r="X537" s="324">
        <f ca="1">COUNTA(Y535:Y537)</f>
        <v>1</v>
      </c>
      <c r="Y537" s="8"/>
      <c r="Z537" s="45"/>
      <c r="AA537" s="47"/>
      <c r="AB537" s="47"/>
      <c r="AC537" s="47"/>
      <c r="AD537" s="45"/>
      <c r="AE537" s="324">
        <f>COUNTA(AF535:AF537)</f>
        <v>2</v>
      </c>
      <c r="AF537" s="6"/>
      <c r="AG537" s="7"/>
      <c r="AH537" s="324">
        <f>COUNTA(AI535:AI537)</f>
        <v>1</v>
      </c>
      <c r="AI537" s="47"/>
      <c r="AJ537" s="47"/>
      <c r="AK537" s="45"/>
      <c r="AL537" s="84"/>
      <c r="AM537" s="47"/>
      <c r="AN537" s="47"/>
      <c r="AO537" s="45"/>
      <c r="AP537" s="47"/>
      <c r="AQ537" s="47"/>
      <c r="AR537" s="47"/>
      <c r="AS537" s="84"/>
      <c r="AT537" s="121"/>
      <c r="AU537" s="47"/>
      <c r="AV537" s="45"/>
      <c r="AW537" s="47"/>
      <c r="AX537" s="47"/>
    </row>
    <row r="538" spans="1:50" ht="18">
      <c r="A538" s="3" t="s">
        <v>487</v>
      </c>
      <c r="B538" s="4" t="s">
        <v>488</v>
      </c>
      <c r="C538" s="157">
        <f>D538</f>
        <v>94.890864162898467</v>
      </c>
      <c r="D538" s="30">
        <f>'Table S4 Conversions and Notes'!$J$146</f>
        <v>94.890864162898467</v>
      </c>
      <c r="E538" s="30" t="s">
        <v>520</v>
      </c>
      <c r="F538" s="3"/>
      <c r="G538" s="4"/>
      <c r="H538" s="4"/>
      <c r="I538" s="3"/>
      <c r="J538" s="4"/>
      <c r="K538" s="4"/>
      <c r="L538" s="115"/>
      <c r="M538" s="4"/>
      <c r="N538" s="4"/>
      <c r="O538" s="3"/>
      <c r="P538" s="4"/>
      <c r="Q538" s="4"/>
      <c r="R538" s="3"/>
      <c r="S538" s="4"/>
      <c r="T538" s="4"/>
      <c r="U538" s="87"/>
      <c r="V538" s="8"/>
      <c r="W538" s="45"/>
      <c r="X538" s="75">
        <f ca="1">Y538</f>
        <v>6.089186783305113</v>
      </c>
      <c r="Y538" s="17">
        <f ca="1">'Table S4 Conversions and Notes'!$J$147</f>
        <v>6.089186783305113</v>
      </c>
      <c r="Z538" s="45" t="s">
        <v>522</v>
      </c>
      <c r="AA538" s="47"/>
      <c r="AB538" s="47"/>
      <c r="AC538" s="47"/>
      <c r="AD538" s="45"/>
      <c r="AE538" s="75">
        <f>AVERAGE(AF538:AF538)</f>
        <v>-9.755026966610103</v>
      </c>
      <c r="AF538" s="6">
        <f>'Table S4 Conversions and Notes'!$J$145</f>
        <v>-9.755026966610103</v>
      </c>
      <c r="AG538" s="7" t="s">
        <v>530</v>
      </c>
      <c r="AH538" s="75">
        <f ca="1">AVERAGE(AI538:AI539)</f>
        <v>-4.1239577006727393</v>
      </c>
      <c r="AI538" s="46">
        <f ca="1">LOG(AJ538/$B$539)</f>
        <v>-3.9623045054851724</v>
      </c>
      <c r="AJ538" s="114">
        <f ca="1">'Table S4 Conversions and Notes'!J148</f>
        <v>3.9426277582373478E-2</v>
      </c>
      <c r="AK538" s="7" t="s">
        <v>527</v>
      </c>
      <c r="AN538" s="175" t="s">
        <v>529</v>
      </c>
      <c r="AO538" s="185" t="s">
        <v>521</v>
      </c>
      <c r="AP538" s="47"/>
      <c r="AQ538" s="47"/>
      <c r="AR538" s="47"/>
      <c r="AS538" s="150">
        <f>AT538</f>
        <v>-9.9</v>
      </c>
      <c r="AT538" s="121">
        <v>-9.9</v>
      </c>
      <c r="AU538" s="119">
        <f>AT538+273.15</f>
        <v>263.25</v>
      </c>
      <c r="AV538" s="45" t="s">
        <v>992</v>
      </c>
      <c r="AW538" s="47"/>
      <c r="AX538" s="47"/>
    </row>
    <row r="539" spans="1:50" ht="18">
      <c r="A539" s="3"/>
      <c r="B539" s="171">
        <v>361.48500000000001</v>
      </c>
      <c r="C539" s="157">
        <f>C538*RSD_dHvap</f>
        <v>6.7717364481417759</v>
      </c>
      <c r="D539" s="4"/>
      <c r="E539" s="4"/>
      <c r="F539" s="3"/>
      <c r="G539" s="4"/>
      <c r="H539" s="4"/>
      <c r="I539" s="3"/>
      <c r="J539" s="4"/>
      <c r="K539" s="4"/>
      <c r="L539" s="115"/>
      <c r="M539" s="4"/>
      <c r="N539" s="4"/>
      <c r="O539" s="3"/>
      <c r="P539" s="4"/>
      <c r="Q539" s="4"/>
      <c r="R539" s="3"/>
      <c r="S539" s="4"/>
      <c r="T539" s="4"/>
      <c r="U539" s="87"/>
      <c r="V539" s="8"/>
      <c r="W539" s="45"/>
      <c r="X539" s="130">
        <f ca="1">ABS(X538)*RSD_Inf</f>
        <v>1.2178373566610228</v>
      </c>
      <c r="Y539" s="8"/>
      <c r="Z539" s="45"/>
      <c r="AA539" s="47"/>
      <c r="AB539" s="47"/>
      <c r="AC539" s="47"/>
      <c r="AD539" s="45"/>
      <c r="AE539" s="75">
        <f>-AE538*RSD_PL</f>
        <v>1.5477752667265681</v>
      </c>
      <c r="AF539" s="176">
        <f>LOG(0.0000004199655)</f>
        <v>-6.3767863852569544</v>
      </c>
      <c r="AG539" s="185" t="s">
        <v>1655</v>
      </c>
      <c r="AH539" s="75">
        <f ca="1">_xlfn.STDEV.S(AI538:AI539)</f>
        <v>0.22861214103520214</v>
      </c>
      <c r="AI539" s="46">
        <f ca="1">LOG(AJ539/$B$539)</f>
        <v>-4.2856108958603061</v>
      </c>
      <c r="AJ539" s="114">
        <f ca="1">'Table S4 Conversions and Notes'!J149</f>
        <v>1.8727481851627401E-2</v>
      </c>
      <c r="AK539" s="7" t="s">
        <v>528</v>
      </c>
      <c r="AL539" s="84"/>
      <c r="AN539" s="47"/>
      <c r="AO539" s="45"/>
      <c r="AP539" s="47"/>
      <c r="AQ539" s="47"/>
      <c r="AR539" s="47"/>
      <c r="AS539" s="150">
        <f>ABS(AS538*RSD_Unr)</f>
        <v>2.97</v>
      </c>
      <c r="AT539" s="121"/>
      <c r="AU539" s="47"/>
      <c r="AV539" s="45"/>
      <c r="AW539" s="47"/>
      <c r="AX539" s="47"/>
    </row>
    <row r="540" spans="1:50">
      <c r="A540" s="3"/>
      <c r="B540" s="4"/>
      <c r="C540" s="324">
        <f>COUNTA(D538:D540)</f>
        <v>1</v>
      </c>
      <c r="D540" s="4"/>
      <c r="E540" s="4"/>
      <c r="F540" s="3"/>
      <c r="G540" s="4"/>
      <c r="H540" s="4"/>
      <c r="I540" s="3"/>
      <c r="J540" s="4"/>
      <c r="K540" s="4"/>
      <c r="L540" s="115"/>
      <c r="M540" s="4"/>
      <c r="N540" s="4"/>
      <c r="O540" s="3"/>
      <c r="P540" s="4"/>
      <c r="Q540" s="4"/>
      <c r="R540" s="3"/>
      <c r="S540" s="4"/>
      <c r="T540" s="4"/>
      <c r="U540" s="87"/>
      <c r="V540" s="8"/>
      <c r="W540" s="45"/>
      <c r="X540" s="324">
        <f ca="1">COUNTA(Y538:Y540)</f>
        <v>1</v>
      </c>
      <c r="Y540" s="8"/>
      <c r="Z540" s="45"/>
      <c r="AA540" s="47"/>
      <c r="AB540" s="47"/>
      <c r="AC540" s="47"/>
      <c r="AD540" s="45"/>
      <c r="AE540" s="324">
        <f>COUNTA(AF538)</f>
        <v>1</v>
      </c>
      <c r="AH540" s="324">
        <f ca="1">COUNTA(AI538:AI540)</f>
        <v>2</v>
      </c>
      <c r="AI540" s="47"/>
      <c r="AJ540" s="47"/>
      <c r="AK540" s="45"/>
      <c r="AL540" s="84"/>
      <c r="AN540" s="47"/>
      <c r="AO540" s="45"/>
      <c r="AP540" s="47"/>
      <c r="AQ540" s="47"/>
      <c r="AR540" s="47"/>
      <c r="AS540" s="324">
        <v>1</v>
      </c>
      <c r="AT540" s="121"/>
      <c r="AU540" s="47"/>
      <c r="AV540" s="45"/>
      <c r="AW540" s="47"/>
      <c r="AX540" s="47"/>
    </row>
    <row r="541" spans="1:50" ht="18">
      <c r="A541" s="3" t="s">
        <v>485</v>
      </c>
      <c r="B541" s="4" t="s">
        <v>486</v>
      </c>
      <c r="C541" s="157">
        <f>D541</f>
        <v>95.314065814702502</v>
      </c>
      <c r="D541" s="234">
        <f>'Table S4 Conversions and Notes'!$J$150</f>
        <v>95.314065814702502</v>
      </c>
      <c r="E541" s="30" t="s">
        <v>535</v>
      </c>
      <c r="F541" s="3"/>
      <c r="G541" s="4"/>
      <c r="H541" s="4"/>
      <c r="I541" s="3"/>
      <c r="J541" s="4"/>
      <c r="K541" s="4"/>
      <c r="L541" s="115"/>
      <c r="M541" s="4"/>
      <c r="N541" s="4"/>
      <c r="O541" s="3"/>
      <c r="P541" s="4"/>
      <c r="Q541" s="4"/>
      <c r="R541" s="3"/>
      <c r="S541" s="4"/>
      <c r="T541" s="4"/>
      <c r="U541" s="87"/>
      <c r="V541" s="8"/>
      <c r="W541" s="45"/>
      <c r="X541" s="75">
        <f ca="1">Y541</f>
        <v>6.4362128672865646</v>
      </c>
      <c r="Y541" s="17">
        <f ca="1">'Table S4 Conversions and Notes'!$J$151</f>
        <v>6.4362128672865646</v>
      </c>
      <c r="Z541" s="45" t="s">
        <v>536</v>
      </c>
      <c r="AA541" s="47"/>
      <c r="AB541" s="47"/>
      <c r="AC541" s="47"/>
      <c r="AD541" s="45"/>
      <c r="AE541" s="75">
        <f>AF541</f>
        <v>-1.2839966563652008</v>
      </c>
      <c r="AF541" s="6">
        <f>LOG(0.052,10)</f>
        <v>-1.2839966563652008</v>
      </c>
      <c r="AG541" s="7" t="s">
        <v>531</v>
      </c>
      <c r="AH541" s="75">
        <f ca="1">AI541</f>
        <v>-2.6450973005369249</v>
      </c>
      <c r="AI541" s="46">
        <f ca="1">LOG(AJ541/$B$542)</f>
        <v>-2.6450973005369249</v>
      </c>
      <c r="AJ541" s="114">
        <f ca="1">'Table S4 Conversions and Notes'!$J$152</f>
        <v>0.56679952511457543</v>
      </c>
      <c r="AK541" s="7" t="s">
        <v>540</v>
      </c>
      <c r="AL541" s="84"/>
      <c r="AN541" s="47"/>
      <c r="AO541" s="45"/>
      <c r="AP541" s="47"/>
      <c r="AQ541" s="47"/>
      <c r="AR541" s="47"/>
      <c r="AS541" s="152">
        <v>-20</v>
      </c>
      <c r="AT541" s="121" t="s">
        <v>733</v>
      </c>
      <c r="AU541" s="47" t="s">
        <v>983</v>
      </c>
      <c r="AV541" s="45" t="s">
        <v>989</v>
      </c>
      <c r="AW541" s="47"/>
      <c r="AX541" s="47"/>
    </row>
    <row r="542" spans="1:50">
      <c r="A542" s="3"/>
      <c r="B542" s="171">
        <v>250.33799999999999</v>
      </c>
      <c r="C542" s="157">
        <f>C541*RSD_dHvap</f>
        <v>6.8019375647162388</v>
      </c>
      <c r="D542" s="4"/>
      <c r="E542" s="4"/>
      <c r="F542" s="3"/>
      <c r="G542" s="4"/>
      <c r="H542" s="4"/>
      <c r="I542" s="3"/>
      <c r="J542" s="4"/>
      <c r="K542" s="4"/>
      <c r="L542" s="115"/>
      <c r="M542" s="4"/>
      <c r="N542" s="4"/>
      <c r="O542" s="3"/>
      <c r="P542" s="4"/>
      <c r="Q542" s="4"/>
      <c r="R542" s="3"/>
      <c r="S542" s="4"/>
      <c r="T542" s="4"/>
      <c r="U542" s="87"/>
      <c r="V542" s="8"/>
      <c r="W542" s="45"/>
      <c r="X542" s="130">
        <f ca="1">ABS(X541)*RSD_Unr</f>
        <v>1.9308638601859693</v>
      </c>
      <c r="Y542" s="8"/>
      <c r="Z542" s="45"/>
      <c r="AA542" s="47"/>
      <c r="AB542" s="47"/>
      <c r="AC542" s="47"/>
      <c r="AD542" s="45"/>
      <c r="AE542" s="130">
        <f>ABS(AE541)*RSD_PL</f>
        <v>0.20372452829541232</v>
      </c>
      <c r="AF542" s="6"/>
      <c r="AG542" s="7"/>
      <c r="AH542" s="130">
        <f ca="1">ABS(AH541)*RSD_SW</f>
        <v>0.32707841585854547</v>
      </c>
      <c r="AI542" s="47"/>
      <c r="AJ542" s="47"/>
      <c r="AK542" s="45"/>
      <c r="AL542" s="84"/>
      <c r="AN542" s="47"/>
      <c r="AO542" s="45"/>
      <c r="AP542" s="47"/>
      <c r="AQ542" s="47"/>
      <c r="AR542" s="47"/>
      <c r="AS542" s="130">
        <f>ABS(AS541*RSD_Unr)</f>
        <v>6</v>
      </c>
      <c r="AT542" s="121" t="s">
        <v>987</v>
      </c>
      <c r="AU542" s="47" t="s">
        <v>988</v>
      </c>
      <c r="AV542" s="45" t="s">
        <v>989</v>
      </c>
      <c r="AW542" s="47"/>
      <c r="AX542" s="47"/>
    </row>
    <row r="543" spans="1:50">
      <c r="A543" s="3"/>
      <c r="B543" s="171"/>
      <c r="C543" s="324">
        <f>COUNTA(D541:D543)</f>
        <v>1</v>
      </c>
      <c r="D543" s="4"/>
      <c r="E543" s="4"/>
      <c r="F543" s="3"/>
      <c r="G543" s="4"/>
      <c r="H543" s="4"/>
      <c r="I543" s="3"/>
      <c r="J543" s="4"/>
      <c r="K543" s="4"/>
      <c r="L543" s="115"/>
      <c r="M543" s="4"/>
      <c r="N543" s="4"/>
      <c r="O543" s="3"/>
      <c r="P543" s="4"/>
      <c r="Q543" s="4"/>
      <c r="R543" s="3"/>
      <c r="S543" s="4"/>
      <c r="T543" s="4"/>
      <c r="U543" s="87"/>
      <c r="V543" s="8"/>
      <c r="W543" s="45"/>
      <c r="X543" s="324">
        <f ca="1">COUNTA(Y541:Y543)</f>
        <v>1</v>
      </c>
      <c r="Y543" s="8"/>
      <c r="Z543" s="45"/>
      <c r="AA543" s="47"/>
      <c r="AB543" s="47"/>
      <c r="AC543" s="47"/>
      <c r="AD543" s="45"/>
      <c r="AE543" s="324">
        <f>COUNTA(AF541:AF543)</f>
        <v>1</v>
      </c>
      <c r="AF543" s="6"/>
      <c r="AG543" s="7"/>
      <c r="AH543" s="324">
        <f ca="1">COUNTA(AI541:AI543)</f>
        <v>1</v>
      </c>
      <c r="AI543" s="47"/>
      <c r="AJ543" s="47"/>
      <c r="AK543" s="45"/>
      <c r="AL543" s="84"/>
      <c r="AN543" s="47"/>
      <c r="AO543" s="45"/>
      <c r="AP543" s="47"/>
      <c r="AQ543" s="47"/>
      <c r="AR543" s="47"/>
      <c r="AS543" s="324">
        <v>1</v>
      </c>
      <c r="AT543" s="121"/>
      <c r="AU543" s="47"/>
      <c r="AV543" s="45"/>
      <c r="AW543" s="47"/>
      <c r="AX543" s="47"/>
    </row>
    <row r="544" spans="1:50" ht="18">
      <c r="A544" s="3" t="s">
        <v>483</v>
      </c>
      <c r="B544" s="4" t="s">
        <v>484</v>
      </c>
      <c r="C544" s="3"/>
      <c r="D544" s="4"/>
      <c r="E544" s="4"/>
      <c r="F544" s="3"/>
      <c r="G544" s="4"/>
      <c r="H544" s="4"/>
      <c r="I544" s="3"/>
      <c r="J544" s="4"/>
      <c r="K544" s="4"/>
      <c r="L544" s="115"/>
      <c r="M544" s="4"/>
      <c r="N544" s="4"/>
      <c r="O544" s="3"/>
      <c r="P544" s="4"/>
      <c r="Q544" s="4"/>
      <c r="R544" s="3"/>
      <c r="S544" s="4"/>
      <c r="T544" s="4"/>
      <c r="U544" s="87"/>
      <c r="V544" s="8"/>
      <c r="W544" s="45"/>
      <c r="Y544" s="177">
        <f ca="1">LOG(AN544/AJ544)</f>
        <v>6.0628890214735378</v>
      </c>
      <c r="Z544" s="155" t="s">
        <v>969</v>
      </c>
      <c r="AA544" s="47"/>
      <c r="AB544" s="47"/>
      <c r="AC544" s="47"/>
      <c r="AD544" s="45"/>
      <c r="AE544" s="35">
        <v>-4.8499999999999996</v>
      </c>
      <c r="AF544" s="6" t="str">
        <f>"&lt;"&amp;TEXT('Table S4 Conversions and Notes'!$J$155,"0.00")</f>
        <v>&lt;-4.85</v>
      </c>
      <c r="AG544" s="7" t="s">
        <v>545</v>
      </c>
      <c r="AH544" s="75">
        <f ca="1">AI544</f>
        <v>-4.0495573269641527</v>
      </c>
      <c r="AI544" s="46">
        <f ca="1">LOG(AJ544/$B$545)</f>
        <v>-4.0495573269641527</v>
      </c>
      <c r="AJ544" s="114">
        <f ca="1">'Table S4 Conversions and Notes'!$I$153</f>
        <v>2.7692017124247056E-2</v>
      </c>
      <c r="AK544" s="7" t="s">
        <v>546</v>
      </c>
      <c r="AL544" s="75">
        <f>AM544</f>
        <v>2.0133316945093855</v>
      </c>
      <c r="AM544" s="46">
        <f>LOG(AN544/$B$545)</f>
        <v>2.0133316945093855</v>
      </c>
      <c r="AN544" s="114">
        <v>32006.9</v>
      </c>
      <c r="AO544" s="7" t="s">
        <v>547</v>
      </c>
      <c r="AP544" s="47"/>
      <c r="AQ544" s="47"/>
      <c r="AR544" s="47"/>
      <c r="AS544" s="150">
        <f>AVERAGE(AT544:AT550)</f>
        <v>39.783333333333331</v>
      </c>
      <c r="AT544" s="121">
        <v>83.5</v>
      </c>
      <c r="AU544" s="119">
        <f t="shared" ref="AU544:AU549" si="7">AT544+273.15</f>
        <v>356.65</v>
      </c>
      <c r="AV544" s="45" t="s">
        <v>1000</v>
      </c>
      <c r="AW544" s="47"/>
      <c r="AX544" s="47"/>
    </row>
    <row r="545" spans="1:50">
      <c r="A545" s="3"/>
      <c r="B545" s="171">
        <v>310.39299999999997</v>
      </c>
      <c r="C545" s="3"/>
      <c r="D545" s="4"/>
      <c r="E545" s="4"/>
      <c r="F545" s="3"/>
      <c r="G545" s="4"/>
      <c r="H545" s="4"/>
      <c r="I545" s="3"/>
      <c r="J545" s="4"/>
      <c r="K545" s="4"/>
      <c r="L545" s="115"/>
      <c r="M545" s="4"/>
      <c r="N545" s="4"/>
      <c r="O545" s="3"/>
      <c r="P545" s="4"/>
      <c r="Q545" s="4"/>
      <c r="R545" s="3"/>
      <c r="S545" s="4"/>
      <c r="T545" s="4"/>
      <c r="U545" s="87"/>
      <c r="V545" s="8"/>
      <c r="W545" s="45"/>
      <c r="Y545" s="8"/>
      <c r="Z545" s="45"/>
      <c r="AA545" s="47"/>
      <c r="AB545" s="47"/>
      <c r="AC545" s="47"/>
      <c r="AD545" s="45"/>
      <c r="AE545" s="130">
        <f>ABS(AE544)*RSD_PL</f>
        <v>0.76952222370251988</v>
      </c>
      <c r="AF545" s="6"/>
      <c r="AG545" s="7"/>
      <c r="AH545" s="130">
        <f ca="1">ABS(AH544)*RSD_SW</f>
        <v>0.50074634122644102</v>
      </c>
      <c r="AI545" s="47"/>
      <c r="AJ545" s="47"/>
      <c r="AK545" s="45"/>
      <c r="AL545" s="130">
        <f>AL544*RSD_SO</f>
        <v>0.40266633890187714</v>
      </c>
      <c r="AM545" s="47"/>
      <c r="AN545" s="47"/>
      <c r="AO545" s="45"/>
      <c r="AP545" s="47"/>
      <c r="AQ545" s="47"/>
      <c r="AR545" s="47"/>
      <c r="AS545" s="130">
        <f>_xlfn.STDEV.S(AT544:AT550)</f>
        <v>68.339020088575069</v>
      </c>
      <c r="AT545" s="121">
        <v>82</v>
      </c>
      <c r="AU545" s="119">
        <f t="shared" si="7"/>
        <v>355.15</v>
      </c>
      <c r="AV545" s="45" t="s">
        <v>993</v>
      </c>
      <c r="AW545" s="47"/>
      <c r="AX545" s="47"/>
    </row>
    <row r="546" spans="1:50">
      <c r="A546" s="3"/>
      <c r="B546" s="171"/>
      <c r="C546" s="3"/>
      <c r="D546" s="4"/>
      <c r="E546" s="4"/>
      <c r="F546" s="3"/>
      <c r="G546" s="4"/>
      <c r="H546" s="4"/>
      <c r="I546" s="3"/>
      <c r="J546" s="4"/>
      <c r="K546" s="4"/>
      <c r="L546" s="115"/>
      <c r="M546" s="4"/>
      <c r="N546" s="4"/>
      <c r="O546" s="3"/>
      <c r="P546" s="4"/>
      <c r="Q546" s="4"/>
      <c r="R546" s="3"/>
      <c r="S546" s="4"/>
      <c r="T546" s="4"/>
      <c r="U546" s="87"/>
      <c r="V546" s="8"/>
      <c r="W546" s="45"/>
      <c r="Y546" s="8"/>
      <c r="Z546" s="45"/>
      <c r="AA546" s="47"/>
      <c r="AB546" s="47"/>
      <c r="AC546" s="47"/>
      <c r="AD546" s="45"/>
      <c r="AE546" s="324">
        <f>COUNTA(AF544:AF546)</f>
        <v>1</v>
      </c>
      <c r="AF546" s="6"/>
      <c r="AG546" s="7"/>
      <c r="AH546" s="324">
        <f ca="1">COUNTA(AI544:AI546)</f>
        <v>1</v>
      </c>
      <c r="AI546" s="47"/>
      <c r="AJ546" s="47"/>
      <c r="AK546" s="45"/>
      <c r="AL546" s="324">
        <f>COUNTA(AM544:AM546)</f>
        <v>1</v>
      </c>
      <c r="AM546" s="47"/>
      <c r="AN546" s="47"/>
      <c r="AO546" s="45"/>
      <c r="AP546" s="47"/>
      <c r="AQ546" s="47"/>
      <c r="AR546" s="47"/>
      <c r="AS546" s="324">
        <f>COUNTA(AT544:AT547)</f>
        <v>4</v>
      </c>
      <c r="AT546" s="121">
        <v>83</v>
      </c>
      <c r="AU546" s="119">
        <f t="shared" si="7"/>
        <v>356.15</v>
      </c>
      <c r="AV546" s="45" t="s">
        <v>994</v>
      </c>
      <c r="AW546" s="47"/>
      <c r="AX546" s="47"/>
    </row>
    <row r="547" spans="1:50" ht="18">
      <c r="A547" s="3"/>
      <c r="B547" s="171"/>
      <c r="C547" s="3"/>
      <c r="D547" s="4"/>
      <c r="E547" s="4"/>
      <c r="F547" s="3"/>
      <c r="G547" s="4"/>
      <c r="H547" s="4"/>
      <c r="I547" s="3"/>
      <c r="J547" s="4"/>
      <c r="K547" s="4"/>
      <c r="L547" s="115"/>
      <c r="M547" s="4"/>
      <c r="N547" s="4"/>
      <c r="O547" s="3"/>
      <c r="P547" s="4"/>
      <c r="Q547" s="4"/>
      <c r="R547" s="3"/>
      <c r="S547" s="4"/>
      <c r="T547" s="4"/>
      <c r="U547" s="87"/>
      <c r="V547" s="8"/>
      <c r="W547" s="45"/>
      <c r="Y547" s="8"/>
      <c r="Z547" s="45"/>
      <c r="AA547" s="47"/>
      <c r="AB547" s="47"/>
      <c r="AC547" s="47"/>
      <c r="AD547" s="45"/>
      <c r="AF547" s="6"/>
      <c r="AG547" s="7"/>
      <c r="AI547" s="47"/>
      <c r="AJ547" s="47"/>
      <c r="AK547" s="45"/>
      <c r="AL547" s="84"/>
      <c r="AM547" s="47"/>
      <c r="AN547" s="47"/>
      <c r="AO547" s="45"/>
      <c r="AP547" s="47"/>
      <c r="AQ547" s="47"/>
      <c r="AR547" s="47"/>
      <c r="AS547" s="84"/>
      <c r="AT547" s="121">
        <f>AVERAGE(81,86)</f>
        <v>83.5</v>
      </c>
      <c r="AU547" s="119">
        <f t="shared" si="7"/>
        <v>356.65</v>
      </c>
      <c r="AV547" s="45" t="s">
        <v>996</v>
      </c>
      <c r="AW547" s="47"/>
      <c r="AX547" s="47"/>
    </row>
    <row r="548" spans="1:50">
      <c r="A548" s="3"/>
      <c r="B548" s="171"/>
      <c r="C548" s="3"/>
      <c r="D548" s="4"/>
      <c r="E548" s="4"/>
      <c r="F548" s="3"/>
      <c r="G548" s="4"/>
      <c r="H548" s="4"/>
      <c r="I548" s="3"/>
      <c r="J548" s="4"/>
      <c r="K548" s="4"/>
      <c r="L548" s="115"/>
      <c r="M548" s="4"/>
      <c r="N548" s="4"/>
      <c r="O548" s="3"/>
      <c r="P548" s="4"/>
      <c r="Q548" s="4"/>
      <c r="R548" s="3"/>
      <c r="S548" s="4"/>
      <c r="T548" s="4"/>
      <c r="U548" s="87"/>
      <c r="V548" s="8"/>
      <c r="W548" s="45"/>
      <c r="Y548" s="8"/>
      <c r="Z548" s="45"/>
      <c r="AA548" s="47"/>
      <c r="AB548" s="47"/>
      <c r="AC548" s="47"/>
      <c r="AD548" s="45"/>
      <c r="AF548" s="6"/>
      <c r="AG548" s="7"/>
      <c r="AI548" s="47"/>
      <c r="AJ548" s="47"/>
      <c r="AK548" s="45"/>
      <c r="AL548" s="84"/>
      <c r="AM548" s="47"/>
      <c r="AN548" s="47"/>
      <c r="AO548" s="45"/>
      <c r="AP548" s="47"/>
      <c r="AQ548" s="47"/>
      <c r="AR548" s="47"/>
      <c r="AS548" s="84"/>
      <c r="AT548" s="121"/>
      <c r="AU548" s="119"/>
      <c r="AV548" s="45"/>
      <c r="AW548" s="47"/>
      <c r="AX548" s="47"/>
    </row>
    <row r="549" spans="1:50" ht="18">
      <c r="A549" s="3" t="s">
        <v>146</v>
      </c>
      <c r="B549" s="4" t="s">
        <v>147</v>
      </c>
      <c r="C549" s="157">
        <f>AVERAGE(D549:D550)</f>
        <v>110.96000000000001</v>
      </c>
      <c r="D549" s="30">
        <v>118</v>
      </c>
      <c r="E549" s="30" t="s">
        <v>254</v>
      </c>
      <c r="F549" s="83"/>
      <c r="G549" s="70"/>
      <c r="H549" s="70"/>
      <c r="I549" s="83"/>
      <c r="J549" s="70"/>
      <c r="K549" s="70"/>
      <c r="L549" s="145">
        <f>AVERAGE(M549:M550)</f>
        <v>101.7366255</v>
      </c>
      <c r="M549" s="70">
        <v>116</v>
      </c>
      <c r="N549" s="45" t="s">
        <v>254</v>
      </c>
      <c r="O549" s="77"/>
      <c r="P549" s="147"/>
      <c r="Q549" s="70"/>
      <c r="R549" s="77"/>
      <c r="S549" s="170"/>
      <c r="T549" s="70"/>
      <c r="U549" s="130">
        <f>AVERAGE(V549:V552)</f>
        <v>10.330951337636964</v>
      </c>
      <c r="V549" s="15">
        <v>11.271902675273928</v>
      </c>
      <c r="W549" s="45" t="s">
        <v>256</v>
      </c>
      <c r="X549" s="75">
        <f ca="1">Y549</f>
        <v>6.0022541387692874</v>
      </c>
      <c r="Y549" s="15">
        <f ca="1">'Table S4 Conversions and Notes'!$J$156</f>
        <v>6.0022541387692874</v>
      </c>
      <c r="Z549" s="45" t="s">
        <v>1005</v>
      </c>
      <c r="AA549" s="47"/>
      <c r="AB549" s="47"/>
      <c r="AC549" s="47"/>
      <c r="AD549" s="45"/>
      <c r="AE549" s="75">
        <f>AVERAGE(AF549:AF551)</f>
        <v>-4.0845351391156468</v>
      </c>
      <c r="AF549" s="15">
        <v>-4.7787504052535583</v>
      </c>
      <c r="AG549" s="45" t="s">
        <v>256</v>
      </c>
      <c r="AH549" s="75">
        <f ca="1">AVERAGE(AI549:AI550)</f>
        <v>-3.3038705028971718</v>
      </c>
      <c r="AI549" s="46">
        <f ca="1">LOG(AJ549/$B$550)</f>
        <v>-2.761438938866863</v>
      </c>
      <c r="AJ549" s="114">
        <f ca="1">'Table S4 Conversions and Notes'!$J$157</f>
        <v>0.50299325305980858</v>
      </c>
      <c r="AK549" s="45" t="s">
        <v>1003</v>
      </c>
      <c r="AL549" s="84"/>
      <c r="AM549" s="47"/>
      <c r="AN549" s="47"/>
      <c r="AO549" s="45"/>
      <c r="AP549" s="47"/>
      <c r="AQ549" s="47"/>
      <c r="AR549" s="47"/>
      <c r="AS549" s="152">
        <f>AT549</f>
        <v>-68.3</v>
      </c>
      <c r="AT549" s="48">
        <v>-68.3</v>
      </c>
      <c r="AU549" s="119">
        <f t="shared" si="7"/>
        <v>204.84999999999997</v>
      </c>
      <c r="AV549" s="45" t="s">
        <v>1006</v>
      </c>
      <c r="AW549" s="47"/>
      <c r="AX549" s="47"/>
    </row>
    <row r="550" spans="1:50" ht="18">
      <c r="A550" s="3"/>
      <c r="B550" s="171">
        <v>290.40300000000002</v>
      </c>
      <c r="C550" s="157">
        <f>_xlfn.STDEV.S(D549:D551)</f>
        <v>9.9560634791065876</v>
      </c>
      <c r="D550" s="30">
        <f>'Table S4 Conversions and Notes'!$J$578</f>
        <v>103.92</v>
      </c>
      <c r="E550" s="45" t="s">
        <v>2850</v>
      </c>
      <c r="F550" s="83"/>
      <c r="G550" s="70"/>
      <c r="H550" s="70"/>
      <c r="I550" s="83"/>
      <c r="J550" s="70"/>
      <c r="K550" s="70"/>
      <c r="L550" s="158">
        <f>_xlfn.STDEV.S(M549:M550)</f>
        <v>20.17145766310653</v>
      </c>
      <c r="M550" s="318">
        <f>AVERAGE('Table S4 Conversions and Notes'!J577,'Table S4 Conversions and Notes'!J578)</f>
        <v>87.473251000000005</v>
      </c>
      <c r="N550" s="45" t="s">
        <v>2846</v>
      </c>
      <c r="O550" s="77"/>
      <c r="P550" s="147"/>
      <c r="Q550" s="70"/>
      <c r="R550" s="77"/>
      <c r="S550" s="170"/>
      <c r="T550" s="70"/>
      <c r="U550" s="130">
        <f>_xlfn.STDEV.S(V549:V551)</f>
        <v>1.3307061432192995</v>
      </c>
      <c r="V550" s="15">
        <f>'Table S4 Conversions and Notes'!J579</f>
        <v>9.39</v>
      </c>
      <c r="W550" s="45" t="s">
        <v>2851</v>
      </c>
      <c r="X550" s="130">
        <f ca="1">ABS(X549)*RSD_Inf</f>
        <v>1.2004508277538575</v>
      </c>
      <c r="Y550" s="9"/>
      <c r="Z550" s="45"/>
      <c r="AA550" s="47"/>
      <c r="AB550" s="47"/>
      <c r="AC550" s="47"/>
      <c r="AD550" s="45"/>
      <c r="AE550" s="75">
        <f>_xlfn.STDEV.S(AF549:AF551)</f>
        <v>0.98176864457868018</v>
      </c>
      <c r="AF550" s="137">
        <f>'Table S4 Conversions and Notes'!$J$580</f>
        <v>-3.3903198729777353</v>
      </c>
      <c r="AG550" s="7" t="s">
        <v>2854</v>
      </c>
      <c r="AH550" s="130">
        <f ca="1">_xlfn.STDEV.S(AI549:AI550)</f>
        <v>0.76711407451090985</v>
      </c>
      <c r="AI550" s="46">
        <f ca="1">LOG(AJ550/$B$550)</f>
        <v>-3.8463020669274801</v>
      </c>
      <c r="AJ550" s="114">
        <f ca="1">'Table S4 Conversions and Notes'!$J$158</f>
        <v>4.1371287021077063E-2</v>
      </c>
      <c r="AK550" s="45" t="s">
        <v>1004</v>
      </c>
      <c r="AL550" s="84"/>
      <c r="AM550" s="47"/>
      <c r="AN550" s="47"/>
      <c r="AO550" s="45"/>
      <c r="AP550" s="47"/>
      <c r="AQ550" s="47"/>
      <c r="AR550" s="47"/>
      <c r="AS550" s="130">
        <f>ABS(AS549*RSD_Tm)</f>
        <v>3.1531184839764772</v>
      </c>
      <c r="AT550" s="192">
        <v>-25</v>
      </c>
      <c r="AU550" s="227">
        <f>AT550+273.15</f>
        <v>248.14999999999998</v>
      </c>
      <c r="AV550" s="155" t="s">
        <v>1007</v>
      </c>
      <c r="AW550" s="47"/>
      <c r="AX550" s="47"/>
    </row>
    <row r="551" spans="1:50">
      <c r="A551" s="58"/>
      <c r="B551" s="59" t="s">
        <v>20</v>
      </c>
      <c r="C551" s="325">
        <f>COUNTA(D549:D551)</f>
        <v>2</v>
      </c>
      <c r="D551" s="492"/>
      <c r="E551" s="72"/>
      <c r="F551" s="58"/>
      <c r="G551" s="59"/>
      <c r="H551" s="59"/>
      <c r="I551" s="58"/>
      <c r="J551" s="59"/>
      <c r="K551" s="59"/>
      <c r="L551" s="325">
        <f>COUNTA(M549:M550)</f>
        <v>2</v>
      </c>
      <c r="M551" s="493"/>
      <c r="N551" s="72"/>
      <c r="O551" s="58"/>
      <c r="P551" s="59"/>
      <c r="Q551" s="59"/>
      <c r="R551" s="58"/>
      <c r="S551" s="59"/>
      <c r="T551" s="59"/>
      <c r="U551" s="325">
        <f>COUNTA(V549:V551)</f>
        <v>2</v>
      </c>
      <c r="V551" s="238"/>
      <c r="W551" s="72"/>
      <c r="X551" s="325">
        <f ca="1">COUNTA(Y549:Y551)</f>
        <v>1</v>
      </c>
      <c r="Y551" s="24"/>
      <c r="Z551" s="72"/>
      <c r="AA551" s="89"/>
      <c r="AB551" s="89"/>
      <c r="AC551" s="89"/>
      <c r="AD551" s="72"/>
      <c r="AE551" s="325">
        <f>COUNTA(AF549:AF551)</f>
        <v>2</v>
      </c>
      <c r="AF551" s="138"/>
      <c r="AG551" s="23"/>
      <c r="AH551" s="325">
        <f ca="1">COUNTA(AI549:AI551)</f>
        <v>2</v>
      </c>
      <c r="AI551" s="89"/>
      <c r="AJ551" s="89"/>
      <c r="AK551" s="72"/>
      <c r="AL551" s="92"/>
      <c r="AM551" s="89"/>
      <c r="AN551" s="89"/>
      <c r="AO551" s="72"/>
      <c r="AP551" s="92"/>
      <c r="AQ551" s="89"/>
      <c r="AR551" s="89"/>
      <c r="AS551" s="325">
        <f>COUNTA(AT549)</f>
        <v>1</v>
      </c>
      <c r="AT551" s="89"/>
      <c r="AU551" s="89"/>
      <c r="AV551" s="72"/>
      <c r="AW551" s="47"/>
      <c r="AX551" s="47"/>
    </row>
    <row r="552" spans="1:50">
      <c r="A552" s="25"/>
      <c r="B552" s="25"/>
      <c r="C552" s="91"/>
      <c r="D552" s="25"/>
      <c r="E552" s="25"/>
      <c r="F552" s="4"/>
      <c r="G552" s="4"/>
      <c r="H552" s="4"/>
      <c r="I552" s="4"/>
      <c r="J552" s="4"/>
      <c r="K552" s="4"/>
      <c r="L552" s="4"/>
      <c r="M552" s="4"/>
      <c r="N552" s="4"/>
      <c r="O552" s="25"/>
      <c r="P552" s="25"/>
      <c r="Q552" s="4"/>
      <c r="R552" s="25"/>
      <c r="S552" s="4"/>
      <c r="T552" s="4"/>
      <c r="W552" s="52"/>
      <c r="X552" s="52"/>
      <c r="Y552" s="52"/>
      <c r="Z552" s="52"/>
      <c r="AA552" s="52"/>
      <c r="AB552" s="52"/>
      <c r="AC552" s="52"/>
      <c r="AD552" s="52"/>
      <c r="AE552" s="6"/>
      <c r="AF552" s="6"/>
      <c r="AG552" s="6"/>
      <c r="AH552" s="52"/>
      <c r="AI552" s="52"/>
      <c r="AJ552" s="52"/>
      <c r="AK552" s="52"/>
      <c r="AL552" s="52"/>
      <c r="AM552" s="52"/>
      <c r="AN552" s="52"/>
      <c r="AO552" s="52"/>
      <c r="AP552" s="52"/>
      <c r="AQ552" s="52"/>
      <c r="AR552" s="52"/>
      <c r="AS552" s="52"/>
      <c r="AT552" s="121"/>
      <c r="AU552" s="52"/>
      <c r="AW552" s="52"/>
      <c r="AX552" s="52"/>
    </row>
    <row r="553" spans="1:50">
      <c r="A553" s="27" t="s">
        <v>2790</v>
      </c>
      <c r="B553" s="25"/>
      <c r="C553" s="25"/>
      <c r="D553" s="25"/>
      <c r="E553" s="25"/>
      <c r="F553" s="4"/>
      <c r="G553" s="4"/>
      <c r="H553" s="4"/>
      <c r="I553" s="4"/>
      <c r="J553" s="4"/>
      <c r="K553" s="4"/>
      <c r="L553" s="4"/>
      <c r="M553" s="4"/>
      <c r="N553" s="4"/>
      <c r="O553" s="25"/>
      <c r="P553" s="25"/>
      <c r="Q553" s="4"/>
      <c r="R553" s="25"/>
      <c r="S553" s="4"/>
      <c r="T553" s="4"/>
      <c r="AE553" s="6"/>
      <c r="AF553" s="6"/>
      <c r="AG553" s="6"/>
      <c r="AT553" s="121"/>
    </row>
    <row r="554" spans="1:50">
      <c r="A554" s="27" t="s">
        <v>148</v>
      </c>
      <c r="B554" s="25"/>
      <c r="C554" s="25"/>
      <c r="D554" s="25"/>
      <c r="E554" s="25"/>
      <c r="F554" s="4"/>
      <c r="G554" s="4"/>
      <c r="H554" s="4"/>
      <c r="I554" s="4"/>
      <c r="J554" s="4"/>
      <c r="K554" s="4"/>
      <c r="L554" s="4"/>
      <c r="M554" s="4"/>
      <c r="N554" s="4"/>
      <c r="O554" s="25"/>
      <c r="P554" s="25"/>
      <c r="Q554" s="4"/>
      <c r="R554" s="25"/>
      <c r="S554" s="4"/>
      <c r="T554" s="4"/>
      <c r="AE554" s="6"/>
      <c r="AF554" s="6"/>
      <c r="AG554" s="6"/>
      <c r="AT554" s="121"/>
    </row>
    <row r="555" spans="1:50">
      <c r="A555" s="27"/>
      <c r="B555" s="25"/>
      <c r="C555" s="25" t="s">
        <v>1441</v>
      </c>
      <c r="D555" s="25" t="s">
        <v>1440</v>
      </c>
      <c r="E555" s="25" t="s">
        <v>1447</v>
      </c>
      <c r="F555" s="4"/>
      <c r="G555" s="4"/>
      <c r="H555" s="4"/>
      <c r="I555" s="4"/>
      <c r="J555" s="4"/>
      <c r="K555" s="4"/>
      <c r="L555" s="4"/>
      <c r="M555" s="4"/>
      <c r="N555" s="4"/>
      <c r="O555" s="25"/>
      <c r="P555" s="25"/>
      <c r="Q555" s="4"/>
      <c r="R555" s="25"/>
      <c r="S555" s="4"/>
      <c r="T555" s="4"/>
      <c r="AE555" s="6"/>
      <c r="AF555" s="6"/>
      <c r="AG555" s="6"/>
      <c r="AT555" s="121"/>
    </row>
    <row r="556" spans="1:50">
      <c r="B556" s="27" t="s">
        <v>590</v>
      </c>
      <c r="C556" s="27" t="s">
        <v>591</v>
      </c>
      <c r="D556" s="27" t="s">
        <v>592</v>
      </c>
      <c r="E556" s="27" t="s">
        <v>593</v>
      </c>
      <c r="F556" s="9"/>
      <c r="G556" s="9"/>
      <c r="H556" s="9"/>
      <c r="I556" s="9"/>
      <c r="J556" s="9"/>
      <c r="K556" s="9"/>
      <c r="L556" s="9"/>
      <c r="M556" s="9"/>
      <c r="N556" s="9"/>
      <c r="O556" s="27"/>
      <c r="P556" s="27"/>
      <c r="Q556" s="9"/>
      <c r="R556" s="27"/>
      <c r="S556" s="4"/>
      <c r="T556" s="9"/>
      <c r="AE556" s="6"/>
      <c r="AF556" s="6"/>
      <c r="AG556" s="6"/>
      <c r="AT556" s="121"/>
    </row>
    <row r="557" spans="1:50">
      <c r="B557" s="27" t="s">
        <v>594</v>
      </c>
      <c r="C557" s="27">
        <v>0.1</v>
      </c>
      <c r="D557" s="27">
        <v>0.2</v>
      </c>
      <c r="E557" s="27">
        <v>0.3</v>
      </c>
      <c r="F557" s="9"/>
      <c r="G557" s="9"/>
      <c r="H557" s="9"/>
      <c r="I557" s="9"/>
      <c r="J557" s="9"/>
      <c r="K557" s="9"/>
      <c r="L557" s="9"/>
      <c r="M557" s="9"/>
      <c r="N557" s="9"/>
      <c r="O557" s="27"/>
      <c r="P557" s="27"/>
      <c r="Q557" s="9"/>
      <c r="R557" s="27"/>
      <c r="S557" s="4"/>
      <c r="T557" s="9"/>
      <c r="AE557" s="6"/>
      <c r="AF557" s="6"/>
      <c r="AG557" s="6"/>
      <c r="AT557" s="121"/>
    </row>
    <row r="558" spans="1:50">
      <c r="B558" s="27"/>
      <c r="C558" s="27"/>
      <c r="D558" s="27"/>
      <c r="E558" s="27"/>
      <c r="F558" s="9"/>
      <c r="G558" s="9"/>
      <c r="H558" s="9"/>
      <c r="I558" s="9"/>
      <c r="J558" s="9"/>
      <c r="K558" s="9"/>
      <c r="L558" s="9"/>
      <c r="M558" s="9"/>
      <c r="N558" s="9"/>
      <c r="O558" s="27"/>
      <c r="P558" s="27"/>
      <c r="Q558" s="9"/>
      <c r="R558" s="27"/>
      <c r="S558" s="4"/>
      <c r="T558" s="9"/>
      <c r="AE558" s="6"/>
      <c r="AF558" s="6"/>
      <c r="AG558" s="6"/>
      <c r="AT558" s="121"/>
    </row>
    <row r="559" spans="1:50">
      <c r="B559" s="339" t="s">
        <v>590</v>
      </c>
      <c r="C559" s="25" t="s">
        <v>1442</v>
      </c>
      <c r="D559" s="27" t="s">
        <v>1444</v>
      </c>
      <c r="E559" s="27"/>
      <c r="F559" s="25" t="s">
        <v>1443</v>
      </c>
      <c r="G559" s="27" t="s">
        <v>1692</v>
      </c>
      <c r="H559" s="67"/>
      <c r="I559" s="25" t="s">
        <v>1690</v>
      </c>
      <c r="J559" s="27" t="s">
        <v>1817</v>
      </c>
      <c r="K559" s="67"/>
      <c r="L559" s="25" t="s">
        <v>1445</v>
      </c>
      <c r="M559" s="27" t="s">
        <v>1446</v>
      </c>
      <c r="N559" s="67"/>
      <c r="O559" s="25" t="s">
        <v>1448</v>
      </c>
      <c r="P559" s="27"/>
      <c r="Q559" s="67"/>
      <c r="R559" s="25" t="s">
        <v>1450</v>
      </c>
      <c r="S559" s="27" t="s">
        <v>1449</v>
      </c>
      <c r="T559" s="67"/>
      <c r="U559" s="25" t="s">
        <v>1451</v>
      </c>
      <c r="V559" s="27" t="s">
        <v>1464</v>
      </c>
      <c r="X559" s="25" t="s">
        <v>1452</v>
      </c>
      <c r="Y559" s="27" t="s">
        <v>1453</v>
      </c>
      <c r="AA559" s="25" t="s">
        <v>1454</v>
      </c>
      <c r="AB559" s="27" t="s">
        <v>2867</v>
      </c>
      <c r="AE559" s="25" t="s">
        <v>1456</v>
      </c>
      <c r="AF559" s="27" t="s">
        <v>1455</v>
      </c>
      <c r="AG559" s="6"/>
      <c r="AH559" s="25" t="s">
        <v>1458</v>
      </c>
      <c r="AI559" s="27" t="s">
        <v>1457</v>
      </c>
      <c r="AL559" s="25" t="s">
        <v>1459</v>
      </c>
      <c r="AM559" s="27" t="s">
        <v>1449</v>
      </c>
      <c r="AP559" s="25" t="s">
        <v>1460</v>
      </c>
      <c r="AQ559" s="27" t="s">
        <v>1461</v>
      </c>
      <c r="AS559" s="25" t="s">
        <v>1462</v>
      </c>
      <c r="AT559" s="27" t="s">
        <v>1463</v>
      </c>
    </row>
    <row r="560" spans="1:50">
      <c r="B560" s="339" t="s">
        <v>594</v>
      </c>
      <c r="C560" s="340">
        <v>7.1363418468998074E-2</v>
      </c>
      <c r="D560" s="27"/>
      <c r="E560" s="27"/>
      <c r="F560" s="340">
        <v>0.2</v>
      </c>
      <c r="G560" s="27"/>
      <c r="H560" s="67"/>
      <c r="I560" s="340">
        <v>0.2</v>
      </c>
      <c r="J560" s="27"/>
      <c r="K560" s="67"/>
      <c r="L560" s="340">
        <v>6.3358083780280267E-2</v>
      </c>
      <c r="M560" s="27"/>
      <c r="N560" s="67"/>
      <c r="O560" s="340">
        <v>0.3</v>
      </c>
      <c r="P560" s="27" t="s">
        <v>1691</v>
      </c>
      <c r="Q560" s="67"/>
      <c r="R560" s="340">
        <v>0.2</v>
      </c>
      <c r="S560" s="27"/>
      <c r="T560" s="67"/>
      <c r="U560" s="340">
        <v>2.5747818088534363E-2</v>
      </c>
      <c r="V560" s="27"/>
      <c r="X560" s="340">
        <v>6.7790510075003627E-2</v>
      </c>
      <c r="Y560" s="27"/>
      <c r="AA560" s="340">
        <v>0.2</v>
      </c>
      <c r="AB560" s="27"/>
      <c r="AE560" s="340">
        <v>0.15866437602113814</v>
      </c>
      <c r="AF560" s="27"/>
      <c r="AG560" s="6"/>
      <c r="AH560" s="340">
        <v>0.1236545875995383</v>
      </c>
      <c r="AL560" s="340">
        <v>0.2</v>
      </c>
      <c r="AP560" s="340">
        <v>7.8819626016507521E-2</v>
      </c>
      <c r="AS560" s="340">
        <v>4.6165717188528216E-2</v>
      </c>
    </row>
    <row r="561" spans="2:46">
      <c r="B561" s="27"/>
      <c r="C561" s="27"/>
      <c r="D561" s="27"/>
      <c r="E561" s="27"/>
      <c r="F561" s="67"/>
      <c r="G561" s="67"/>
      <c r="H561" s="67"/>
      <c r="I561" s="67"/>
      <c r="J561" s="67"/>
      <c r="K561" s="67"/>
      <c r="L561" s="67"/>
      <c r="M561" s="67"/>
      <c r="N561" s="67"/>
      <c r="O561" s="34"/>
      <c r="P561" s="34"/>
      <c r="Q561" s="67"/>
      <c r="R561" s="34"/>
      <c r="S561" s="173"/>
      <c r="T561" s="67"/>
      <c r="AE561" s="6"/>
      <c r="AF561" s="6"/>
      <c r="AG561" s="6"/>
      <c r="AT561" s="121"/>
    </row>
    <row r="562" spans="2:46">
      <c r="B562" s="27"/>
      <c r="C562" s="27"/>
      <c r="D562" s="27"/>
      <c r="E562" s="27"/>
      <c r="F562" s="67"/>
      <c r="G562" s="67"/>
      <c r="H562" s="67"/>
      <c r="I562" s="67"/>
      <c r="J562" s="67"/>
      <c r="K562" s="67"/>
      <c r="L562" s="67"/>
      <c r="M562" s="67"/>
      <c r="N562" s="67"/>
      <c r="O562" s="34"/>
      <c r="P562" s="34"/>
      <c r="Q562" s="67"/>
      <c r="R562" s="34"/>
      <c r="S562" s="173"/>
      <c r="T562" s="67"/>
      <c r="AE562" s="6"/>
      <c r="AF562" s="6"/>
      <c r="AG562" s="6"/>
      <c r="AT562" s="121"/>
    </row>
    <row r="563" spans="2:46">
      <c r="B563" s="27"/>
      <c r="C563" s="27"/>
      <c r="D563" s="27"/>
      <c r="E563" s="27"/>
      <c r="F563" s="67"/>
      <c r="G563" s="67"/>
      <c r="H563" s="67"/>
      <c r="I563" s="67"/>
      <c r="J563" s="67"/>
      <c r="K563" s="67"/>
      <c r="L563" s="67"/>
      <c r="M563" s="67"/>
      <c r="N563" s="67"/>
      <c r="O563" s="34"/>
      <c r="P563" s="34"/>
      <c r="Q563" s="67"/>
      <c r="R563" s="34"/>
      <c r="S563" s="173"/>
      <c r="T563" s="67"/>
      <c r="AE563" s="6"/>
      <c r="AF563" s="6"/>
      <c r="AG563" s="6"/>
      <c r="AT563" s="121"/>
    </row>
    <row r="564" spans="2:46">
      <c r="B564" s="27"/>
      <c r="C564" s="27"/>
      <c r="D564" s="27"/>
      <c r="E564" s="27"/>
      <c r="F564" s="67"/>
      <c r="G564" s="67"/>
      <c r="H564" s="67"/>
      <c r="I564" s="67"/>
      <c r="J564" s="67"/>
      <c r="K564" s="67"/>
      <c r="L564" s="67"/>
      <c r="M564" s="67"/>
      <c r="N564" s="67"/>
      <c r="O564" s="34"/>
      <c r="P564" s="34"/>
      <c r="Q564" s="67"/>
      <c r="R564" s="34"/>
      <c r="S564" s="173"/>
      <c r="T564" s="67"/>
      <c r="AE564" s="6"/>
      <c r="AF564" s="6"/>
      <c r="AG564" s="6"/>
      <c r="AT564" s="121"/>
    </row>
    <row r="565" spans="2:46">
      <c r="B565" s="27"/>
      <c r="C565" s="27"/>
      <c r="D565" s="27"/>
      <c r="E565" s="27"/>
      <c r="F565" s="67"/>
      <c r="G565" s="67"/>
      <c r="H565" s="67"/>
      <c r="I565" s="67"/>
      <c r="J565" s="67"/>
      <c r="K565" s="67"/>
      <c r="L565" s="67"/>
      <c r="M565" s="67"/>
      <c r="N565" s="67"/>
      <c r="O565" s="34"/>
      <c r="P565" s="34"/>
      <c r="Q565" s="67"/>
      <c r="R565" s="34"/>
      <c r="S565" s="173"/>
      <c r="T565" s="67"/>
      <c r="AE565" s="6"/>
      <c r="AF565" s="6"/>
      <c r="AG565" s="6"/>
      <c r="AT565" s="121"/>
    </row>
    <row r="566" spans="2:46">
      <c r="B566" s="27"/>
      <c r="C566" s="27"/>
      <c r="D566" s="27"/>
      <c r="E566" s="27"/>
      <c r="F566" s="67"/>
      <c r="G566" s="67"/>
      <c r="H566" s="67"/>
      <c r="I566" s="67"/>
      <c r="J566" s="67"/>
      <c r="K566" s="67"/>
      <c r="L566" s="67"/>
      <c r="M566" s="67"/>
      <c r="N566" s="67"/>
      <c r="O566" s="34"/>
      <c r="P566" s="34"/>
      <c r="Q566" s="67"/>
      <c r="R566" s="34"/>
      <c r="S566" s="173"/>
      <c r="T566" s="67"/>
      <c r="AE566" s="6"/>
      <c r="AF566" s="6"/>
      <c r="AG566" s="6"/>
      <c r="AT566" s="121"/>
    </row>
    <row r="567" spans="2:46">
      <c r="B567" s="27"/>
      <c r="C567" s="27"/>
      <c r="D567" s="27"/>
      <c r="E567" s="27"/>
      <c r="F567" s="67"/>
      <c r="G567" s="67"/>
      <c r="H567" s="67"/>
      <c r="I567" s="67"/>
      <c r="J567" s="67"/>
      <c r="K567" s="67"/>
      <c r="L567" s="67"/>
      <c r="M567" s="67"/>
      <c r="N567" s="67"/>
      <c r="O567" s="34"/>
      <c r="P567" s="34"/>
      <c r="Q567" s="67"/>
      <c r="R567" s="34"/>
      <c r="S567" s="173"/>
      <c r="T567" s="67"/>
      <c r="AE567" s="6"/>
      <c r="AF567" s="6"/>
      <c r="AG567" s="6"/>
      <c r="AT567" s="121"/>
    </row>
    <row r="568" spans="2:46">
      <c r="B568" s="27"/>
      <c r="C568" s="27"/>
      <c r="D568" s="27"/>
      <c r="E568" s="27"/>
      <c r="F568" s="67"/>
      <c r="G568" s="67"/>
      <c r="H568" s="67"/>
      <c r="I568" s="67"/>
      <c r="J568" s="67"/>
      <c r="K568" s="67"/>
      <c r="L568" s="67"/>
      <c r="M568" s="67"/>
      <c r="N568" s="67"/>
      <c r="O568" s="34"/>
      <c r="P568" s="34"/>
      <c r="Q568" s="67"/>
      <c r="R568" s="34"/>
      <c r="S568" s="173"/>
      <c r="T568" s="67"/>
      <c r="AE568" s="6"/>
      <c r="AF568" s="6"/>
      <c r="AG568" s="6"/>
      <c r="AT568" s="121"/>
    </row>
    <row r="569" spans="2:46">
      <c r="B569" s="27"/>
      <c r="C569" s="27"/>
      <c r="D569" s="27"/>
      <c r="E569" s="27"/>
      <c r="F569" s="67"/>
      <c r="G569" s="67"/>
      <c r="H569" s="67"/>
      <c r="I569" s="67"/>
      <c r="J569" s="67"/>
      <c r="K569" s="67"/>
      <c r="L569" s="67"/>
      <c r="M569" s="67"/>
      <c r="N569" s="67"/>
      <c r="O569" s="34"/>
      <c r="P569" s="34"/>
      <c r="Q569" s="67"/>
      <c r="R569" s="34"/>
      <c r="S569" s="173"/>
      <c r="T569" s="67"/>
      <c r="AE569" s="6"/>
      <c r="AF569" s="6"/>
      <c r="AG569" s="6"/>
      <c r="AT569" s="121"/>
    </row>
    <row r="570" spans="2:46">
      <c r="B570" s="25"/>
      <c r="C570" s="25"/>
      <c r="D570" s="25"/>
      <c r="E570" s="25"/>
      <c r="F570" s="4"/>
      <c r="G570" s="4"/>
      <c r="H570" s="4"/>
      <c r="I570" s="4"/>
      <c r="J570" s="4"/>
      <c r="K570" s="4"/>
      <c r="L570" s="4"/>
      <c r="M570" s="4"/>
      <c r="N570" s="4"/>
      <c r="O570" s="25"/>
      <c r="P570" s="25"/>
      <c r="Q570" s="4"/>
      <c r="R570" s="25"/>
      <c r="S570" s="4"/>
      <c r="T570" s="4"/>
      <c r="AE570" s="6"/>
      <c r="AF570" s="6"/>
      <c r="AG570" s="6"/>
      <c r="AT570" s="121"/>
    </row>
    <row r="571" spans="2:46">
      <c r="B571" s="27"/>
      <c r="C571" s="27"/>
      <c r="D571" s="27"/>
      <c r="E571" s="27"/>
      <c r="F571" s="9"/>
      <c r="G571" s="9"/>
      <c r="H571" s="9"/>
      <c r="I571" s="9"/>
      <c r="J571" s="9"/>
      <c r="K571" s="9"/>
      <c r="L571" s="9"/>
      <c r="M571" s="9"/>
      <c r="N571" s="9"/>
      <c r="O571" s="27"/>
      <c r="P571" s="27"/>
      <c r="Q571" s="9"/>
      <c r="R571" s="27"/>
      <c r="S571" s="4"/>
      <c r="T571" s="9"/>
      <c r="AE571" s="6"/>
      <c r="AF571" s="6"/>
      <c r="AG571" s="6"/>
    </row>
    <row r="572" spans="2:46">
      <c r="B572" s="27"/>
      <c r="C572" s="27"/>
      <c r="D572" s="27"/>
      <c r="E572" s="27"/>
      <c r="F572" s="9"/>
      <c r="G572" s="9"/>
      <c r="H572" s="9"/>
      <c r="I572" s="9"/>
      <c r="J572" s="9"/>
      <c r="K572" s="9"/>
      <c r="L572" s="9"/>
      <c r="M572" s="9"/>
      <c r="N572" s="9"/>
      <c r="O572" s="27"/>
      <c r="P572" s="27"/>
      <c r="Q572" s="9"/>
      <c r="R572" s="27"/>
      <c r="S572" s="4"/>
      <c r="T572" s="9"/>
      <c r="AE572" s="6"/>
      <c r="AF572" s="6"/>
      <c r="AG572" s="6"/>
    </row>
    <row r="573" spans="2:46">
      <c r="B573" s="27"/>
      <c r="C573" s="27"/>
      <c r="D573" s="27"/>
      <c r="E573" s="27"/>
      <c r="F573" s="9"/>
      <c r="G573" s="9"/>
      <c r="H573" s="9"/>
      <c r="I573" s="9"/>
      <c r="J573" s="9"/>
      <c r="K573" s="9"/>
      <c r="L573" s="9"/>
      <c r="M573" s="9"/>
      <c r="N573" s="9"/>
      <c r="O573" s="27"/>
      <c r="P573" s="27"/>
      <c r="Q573" s="9"/>
      <c r="R573" s="27"/>
      <c r="S573" s="4"/>
      <c r="T573" s="9"/>
      <c r="AE573" s="6"/>
      <c r="AF573" s="6"/>
      <c r="AG573" s="6"/>
    </row>
    <row r="574" spans="2:46">
      <c r="B574" s="27"/>
      <c r="C574" s="27"/>
      <c r="D574" s="27"/>
      <c r="E574" s="27"/>
      <c r="F574" s="9"/>
      <c r="G574" s="9"/>
      <c r="H574" s="9"/>
      <c r="I574" s="9"/>
      <c r="J574" s="9"/>
      <c r="K574" s="9"/>
      <c r="L574" s="9"/>
      <c r="M574" s="9"/>
      <c r="N574" s="9"/>
      <c r="O574" s="27"/>
      <c r="P574" s="27"/>
      <c r="Q574" s="9"/>
      <c r="R574" s="27"/>
      <c r="S574" s="4"/>
      <c r="T574" s="9"/>
      <c r="AE574" s="6"/>
      <c r="AF574" s="6"/>
      <c r="AG574" s="6"/>
    </row>
    <row r="575" spans="2:46">
      <c r="B575" s="27"/>
      <c r="C575" s="27"/>
      <c r="D575" s="27"/>
      <c r="E575" s="27"/>
      <c r="F575" s="9"/>
      <c r="G575" s="9"/>
      <c r="H575" s="9"/>
      <c r="I575" s="9"/>
      <c r="J575" s="9"/>
      <c r="K575" s="9"/>
      <c r="L575" s="9"/>
      <c r="M575" s="9"/>
      <c r="N575" s="9"/>
      <c r="O575" s="27"/>
      <c r="P575" s="27"/>
      <c r="Q575" s="9"/>
      <c r="R575" s="27"/>
      <c r="S575" s="4"/>
      <c r="T575" s="9"/>
      <c r="AE575" s="6"/>
      <c r="AF575" s="6"/>
      <c r="AG575" s="6"/>
    </row>
    <row r="576" spans="2:46">
      <c r="B576" s="27"/>
      <c r="C576" s="27"/>
      <c r="D576" s="27"/>
      <c r="E576" s="27"/>
      <c r="F576" s="9"/>
      <c r="G576" s="9"/>
      <c r="H576" s="9"/>
      <c r="I576" s="9"/>
      <c r="J576" s="9"/>
      <c r="K576" s="9"/>
      <c r="L576" s="9"/>
      <c r="M576" s="9"/>
      <c r="N576" s="9"/>
      <c r="O576" s="27"/>
      <c r="P576" s="27"/>
      <c r="Q576" s="9"/>
      <c r="R576" s="27"/>
      <c r="S576" s="4"/>
      <c r="T576" s="9"/>
      <c r="AE576" s="6"/>
      <c r="AF576" s="6"/>
      <c r="AG576" s="6"/>
    </row>
    <row r="577" spans="2:50">
      <c r="B577" s="27"/>
      <c r="C577" s="27"/>
      <c r="D577" s="27"/>
      <c r="E577" s="27"/>
      <c r="F577" s="9"/>
      <c r="G577" s="9"/>
      <c r="H577" s="9"/>
      <c r="I577" s="9"/>
      <c r="J577" s="9"/>
      <c r="K577" s="9"/>
      <c r="L577" s="9"/>
      <c r="M577" s="9"/>
      <c r="N577" s="9"/>
      <c r="O577" s="27"/>
      <c r="P577" s="27"/>
      <c r="Q577" s="9"/>
      <c r="R577" s="27"/>
      <c r="S577" s="4"/>
      <c r="T577" s="9"/>
      <c r="AE577" s="6"/>
      <c r="AF577" s="6"/>
      <c r="AG577" s="6"/>
    </row>
    <row r="578" spans="2:50">
      <c r="B578" s="27"/>
      <c r="C578" s="27"/>
      <c r="D578" s="27"/>
      <c r="E578" s="27"/>
      <c r="F578" s="9"/>
      <c r="G578" s="9"/>
      <c r="H578" s="9"/>
      <c r="I578" s="9"/>
      <c r="J578" s="9"/>
      <c r="K578" s="9"/>
      <c r="L578" s="9"/>
      <c r="M578" s="9"/>
      <c r="N578" s="9"/>
      <c r="O578" s="27"/>
      <c r="P578" s="27"/>
      <c r="Q578" s="9"/>
      <c r="R578" s="27"/>
      <c r="S578" s="4"/>
      <c r="T578" s="9"/>
      <c r="AE578" s="6"/>
      <c r="AF578" s="6"/>
      <c r="AG578" s="6"/>
    </row>
    <row r="579" spans="2:50">
      <c r="B579" s="27"/>
      <c r="C579" s="27"/>
      <c r="D579" s="27"/>
      <c r="E579" s="27"/>
      <c r="F579" s="9"/>
      <c r="G579" s="9"/>
      <c r="H579" s="9"/>
      <c r="I579" s="9"/>
      <c r="J579" s="9"/>
      <c r="K579" s="9"/>
      <c r="L579" s="9"/>
      <c r="M579" s="9"/>
      <c r="N579" s="9"/>
      <c r="O579" s="27"/>
      <c r="P579" s="27"/>
      <c r="Q579" s="9"/>
      <c r="R579" s="27"/>
      <c r="S579" s="4"/>
      <c r="T579" s="9"/>
      <c r="AE579" s="6"/>
      <c r="AF579" s="6"/>
      <c r="AG579" s="6"/>
    </row>
    <row r="580" spans="2:50">
      <c r="B580" s="27"/>
      <c r="C580" s="27"/>
      <c r="D580" s="27"/>
      <c r="E580" s="27"/>
      <c r="F580" s="9"/>
      <c r="G580" s="9"/>
      <c r="H580" s="9"/>
      <c r="I580" s="9"/>
      <c r="J580" s="9"/>
      <c r="K580" s="9"/>
      <c r="L580" s="9"/>
      <c r="M580" s="9"/>
      <c r="N580" s="9"/>
      <c r="O580" s="27"/>
      <c r="P580" s="27"/>
      <c r="Q580" s="9"/>
      <c r="R580" s="27"/>
      <c r="S580" s="4"/>
      <c r="T580" s="9"/>
      <c r="AE580" s="6"/>
      <c r="AF580" s="6"/>
      <c r="AG580" s="6"/>
    </row>
    <row r="581" spans="2:50">
      <c r="B581" s="27"/>
      <c r="C581" s="27"/>
      <c r="D581" s="27"/>
      <c r="E581" s="27"/>
      <c r="F581" s="9"/>
      <c r="G581" s="9"/>
      <c r="H581" s="9"/>
      <c r="I581" s="9"/>
      <c r="J581" s="9"/>
      <c r="K581" s="9"/>
      <c r="L581" s="9"/>
      <c r="M581" s="9"/>
      <c r="N581" s="9"/>
      <c r="O581" s="27"/>
      <c r="P581" s="27"/>
      <c r="Q581" s="9"/>
      <c r="R581" s="27"/>
      <c r="S581" s="4"/>
      <c r="T581" s="9"/>
      <c r="AE581" s="6"/>
      <c r="AF581" s="6"/>
      <c r="AG581" s="6"/>
    </row>
    <row r="582" spans="2:50">
      <c r="B582" s="27"/>
      <c r="C582" s="27"/>
      <c r="D582" s="27"/>
      <c r="E582" s="27"/>
      <c r="F582" s="9"/>
      <c r="G582" s="9"/>
      <c r="H582" s="9"/>
      <c r="I582" s="9"/>
      <c r="J582" s="9"/>
      <c r="K582" s="9"/>
      <c r="L582" s="9"/>
      <c r="M582" s="9"/>
      <c r="N582" s="9"/>
      <c r="O582" s="27"/>
      <c r="P582" s="27"/>
      <c r="Q582" s="9"/>
      <c r="R582" s="27"/>
      <c r="S582" s="4"/>
      <c r="T582" s="9"/>
      <c r="AE582" s="6"/>
      <c r="AF582" s="6"/>
      <c r="AG582" s="6"/>
    </row>
    <row r="583" spans="2:50">
      <c r="B583" s="27"/>
      <c r="C583" s="27"/>
      <c r="D583" s="27"/>
      <c r="E583" s="27"/>
      <c r="F583" s="9"/>
      <c r="G583" s="9"/>
      <c r="H583" s="9"/>
      <c r="I583" s="9"/>
      <c r="J583" s="9"/>
      <c r="K583" s="9"/>
      <c r="L583" s="9"/>
      <c r="M583" s="9"/>
      <c r="N583" s="9"/>
      <c r="O583" s="27"/>
      <c r="P583" s="27"/>
      <c r="Q583" s="9"/>
      <c r="R583" s="27"/>
      <c r="S583" s="4"/>
      <c r="T583" s="9"/>
      <c r="AE583" s="6"/>
      <c r="AF583" s="6"/>
      <c r="AG583" s="6"/>
    </row>
    <row r="584" spans="2:50" s="43" customFormat="1">
      <c r="B584" s="54"/>
      <c r="C584" s="54"/>
      <c r="D584" s="54"/>
      <c r="E584" s="54"/>
      <c r="F584" s="68"/>
      <c r="G584" s="68"/>
      <c r="H584" s="68"/>
      <c r="I584" s="68"/>
      <c r="J584" s="68"/>
      <c r="K584" s="68"/>
      <c r="L584" s="68"/>
      <c r="M584" s="68"/>
      <c r="N584" s="68"/>
      <c r="O584" s="54"/>
      <c r="P584" s="54"/>
      <c r="Q584" s="68"/>
      <c r="R584" s="54"/>
      <c r="S584" s="19"/>
      <c r="T584" s="68"/>
      <c r="U584" s="103"/>
      <c r="V584" s="103"/>
      <c r="W584" s="40"/>
      <c r="X584" s="40"/>
      <c r="Y584" s="40"/>
      <c r="Z584" s="40"/>
      <c r="AA584" s="40"/>
      <c r="AB584" s="40"/>
      <c r="AC584" s="40"/>
      <c r="AD584" s="40"/>
      <c r="AE584" s="55"/>
      <c r="AF584" s="55"/>
      <c r="AG584" s="55"/>
      <c r="AH584" s="40"/>
      <c r="AI584" s="40"/>
      <c r="AJ584" s="40"/>
      <c r="AK584" s="40"/>
      <c r="AL584" s="40"/>
      <c r="AM584" s="40"/>
      <c r="AN584" s="40"/>
      <c r="AO584" s="40"/>
      <c r="AP584" s="40"/>
      <c r="AQ584" s="40"/>
      <c r="AR584" s="40"/>
      <c r="AS584" s="40"/>
      <c r="AT584" s="40"/>
      <c r="AU584" s="40"/>
      <c r="AV584" s="42"/>
      <c r="AW584" s="40"/>
      <c r="AX584" s="40"/>
    </row>
    <row r="585" spans="2:50">
      <c r="B585" s="27"/>
      <c r="C585" s="27"/>
      <c r="D585" s="27"/>
      <c r="E585" s="27"/>
      <c r="F585" s="9"/>
      <c r="G585" s="9"/>
      <c r="H585" s="9"/>
      <c r="I585" s="9"/>
      <c r="J585" s="9"/>
      <c r="K585" s="9"/>
      <c r="L585" s="9"/>
      <c r="M585" s="9"/>
      <c r="N585" s="9"/>
      <c r="O585" s="27"/>
      <c r="P585" s="27"/>
      <c r="Q585" s="9"/>
      <c r="R585" s="27"/>
      <c r="S585" s="4"/>
      <c r="T585" s="9"/>
      <c r="AE585" s="6"/>
      <c r="AF585" s="6"/>
      <c r="AG585" s="6"/>
    </row>
    <row r="586" spans="2:50">
      <c r="B586" s="27"/>
      <c r="C586" s="27"/>
      <c r="D586" s="27"/>
      <c r="E586" s="27"/>
      <c r="F586" s="9"/>
      <c r="G586" s="9"/>
      <c r="H586" s="9"/>
      <c r="I586" s="9"/>
      <c r="J586" s="9"/>
      <c r="K586" s="9"/>
      <c r="L586" s="9"/>
      <c r="M586" s="9"/>
      <c r="N586" s="9"/>
      <c r="O586" s="27"/>
      <c r="P586" s="27"/>
      <c r="Q586" s="9"/>
      <c r="R586" s="27"/>
      <c r="S586" s="4"/>
      <c r="T586" s="9"/>
      <c r="AE586" s="6"/>
      <c r="AF586" s="6"/>
      <c r="AG586" s="6"/>
    </row>
    <row r="587" spans="2:50">
      <c r="B587" s="27"/>
      <c r="C587" s="53"/>
      <c r="D587" s="27"/>
      <c r="E587" s="27"/>
      <c r="F587" s="9"/>
      <c r="G587" s="9"/>
      <c r="H587" s="9"/>
      <c r="I587" s="9"/>
      <c r="J587" s="9"/>
      <c r="K587" s="9"/>
      <c r="L587" s="9"/>
      <c r="M587" s="9"/>
      <c r="N587" s="9"/>
      <c r="O587" s="27"/>
      <c r="P587" s="27"/>
      <c r="Q587" s="9"/>
      <c r="R587" s="27"/>
      <c r="S587" s="4"/>
      <c r="T587" s="9"/>
      <c r="AE587" s="6"/>
      <c r="AF587" s="6"/>
      <c r="AG587" s="6"/>
    </row>
    <row r="588" spans="2:50">
      <c r="B588" s="28"/>
      <c r="C588" s="28"/>
      <c r="D588" s="28"/>
      <c r="E588" s="28"/>
      <c r="F588" s="69"/>
      <c r="G588" s="69"/>
      <c r="H588" s="69"/>
      <c r="I588" s="69"/>
      <c r="J588" s="69"/>
      <c r="K588" s="69"/>
      <c r="L588" s="69"/>
      <c r="M588" s="69"/>
      <c r="N588" s="69"/>
      <c r="O588" s="28"/>
      <c r="P588" s="28"/>
      <c r="Q588" s="69"/>
      <c r="R588" s="28"/>
      <c r="S588" s="174"/>
      <c r="T588" s="69"/>
      <c r="AE588" s="6"/>
      <c r="AF588" s="6"/>
      <c r="AG588" s="6"/>
    </row>
    <row r="589" spans="2:50">
      <c r="B589" s="28"/>
      <c r="C589" s="28"/>
      <c r="D589" s="28"/>
      <c r="E589" s="28"/>
      <c r="F589" s="69"/>
      <c r="G589" s="69"/>
      <c r="H589" s="69"/>
      <c r="I589" s="69"/>
      <c r="J589" s="69"/>
      <c r="K589" s="69"/>
      <c r="L589" s="69"/>
      <c r="M589" s="69"/>
      <c r="N589" s="69"/>
      <c r="O589" s="28"/>
      <c r="P589" s="28"/>
      <c r="Q589" s="69"/>
      <c r="R589" s="28"/>
      <c r="S589" s="174"/>
      <c r="T589" s="69"/>
      <c r="AE589" s="6"/>
      <c r="AF589" s="6"/>
      <c r="AG589" s="6"/>
    </row>
    <row r="590" spans="2:50">
      <c r="B590" s="28"/>
      <c r="C590" s="28"/>
      <c r="D590" s="28"/>
      <c r="E590" s="28"/>
      <c r="F590" s="69"/>
      <c r="G590" s="69"/>
      <c r="H590" s="69"/>
      <c r="I590" s="69"/>
      <c r="J590" s="69"/>
      <c r="K590" s="69"/>
      <c r="L590" s="69"/>
      <c r="M590" s="69"/>
      <c r="N590" s="69"/>
      <c r="O590" s="28"/>
      <c r="P590" s="28"/>
      <c r="Q590" s="69"/>
      <c r="R590" s="28"/>
      <c r="S590" s="174"/>
      <c r="T590" s="69"/>
      <c r="AE590" s="6"/>
      <c r="AF590" s="6"/>
      <c r="AG590" s="6"/>
    </row>
    <row r="591" spans="2:50">
      <c r="B591" s="28"/>
      <c r="C591" s="28"/>
      <c r="D591" s="28"/>
      <c r="E591" s="28"/>
      <c r="F591" s="69"/>
      <c r="G591" s="69"/>
      <c r="H591" s="69"/>
      <c r="I591" s="69"/>
      <c r="J591" s="69"/>
      <c r="K591" s="69"/>
      <c r="L591" s="69"/>
      <c r="M591" s="69"/>
      <c r="N591" s="69"/>
      <c r="O591" s="28"/>
      <c r="P591" s="28"/>
      <c r="Q591" s="69"/>
      <c r="R591" s="28"/>
      <c r="S591" s="174"/>
      <c r="T591" s="69"/>
      <c r="AE591" s="6"/>
      <c r="AF591" s="6"/>
      <c r="AG591" s="6"/>
    </row>
    <row r="592" spans="2:50">
      <c r="B592" s="28"/>
      <c r="C592" s="28"/>
      <c r="D592" s="28"/>
      <c r="E592" s="28"/>
      <c r="F592" s="69"/>
      <c r="G592" s="69"/>
      <c r="H592" s="69"/>
      <c r="I592" s="69"/>
      <c r="J592" s="69"/>
      <c r="K592" s="69"/>
      <c r="L592" s="69"/>
      <c r="M592" s="69"/>
      <c r="N592" s="69"/>
      <c r="O592" s="28"/>
      <c r="P592" s="28"/>
      <c r="Q592" s="69"/>
      <c r="R592" s="28"/>
      <c r="S592" s="174"/>
      <c r="T592" s="69"/>
      <c r="AE592" s="6"/>
      <c r="AF592" s="6"/>
      <c r="AG592" s="6"/>
    </row>
    <row r="593" spans="2:48">
      <c r="B593" s="28"/>
      <c r="C593" s="28"/>
      <c r="D593" s="28"/>
      <c r="E593" s="28"/>
      <c r="F593" s="69"/>
      <c r="G593" s="69"/>
      <c r="H593" s="69"/>
      <c r="I593" s="69"/>
      <c r="J593" s="69"/>
      <c r="K593" s="69"/>
      <c r="L593" s="69"/>
      <c r="M593" s="69"/>
      <c r="N593" s="69"/>
      <c r="O593" s="28"/>
      <c r="P593" s="28"/>
      <c r="Q593" s="69"/>
      <c r="R593" s="28"/>
      <c r="S593" s="174"/>
      <c r="T593" s="69"/>
      <c r="AE593" s="6"/>
      <c r="AF593" s="6"/>
      <c r="AG593" s="6"/>
    </row>
    <row r="594" spans="2:48" s="40" customFormat="1">
      <c r="B594" s="28"/>
      <c r="C594" s="28"/>
      <c r="D594" s="28"/>
      <c r="E594" s="28"/>
      <c r="F594" s="69"/>
      <c r="G594" s="69"/>
      <c r="H594" s="69"/>
      <c r="I594" s="69"/>
      <c r="J594" s="69"/>
      <c r="K594" s="69"/>
      <c r="L594" s="69"/>
      <c r="M594" s="69"/>
      <c r="N594" s="69"/>
      <c r="O594" s="28"/>
      <c r="P594" s="28"/>
      <c r="Q594" s="69"/>
      <c r="R594" s="28"/>
      <c r="S594" s="174"/>
      <c r="T594" s="69"/>
      <c r="U594" s="52"/>
      <c r="V594" s="52"/>
      <c r="AE594" s="6"/>
      <c r="AF594" s="6"/>
      <c r="AG594" s="6"/>
      <c r="AV594" s="42"/>
    </row>
    <row r="595" spans="2:48" s="40" customFormat="1">
      <c r="B595" s="28"/>
      <c r="C595" s="28"/>
      <c r="D595" s="28"/>
      <c r="E595" s="28"/>
      <c r="F595" s="69"/>
      <c r="G595" s="69"/>
      <c r="H595" s="69"/>
      <c r="I595" s="69"/>
      <c r="J595" s="69"/>
      <c r="K595" s="69"/>
      <c r="L595" s="69"/>
      <c r="M595" s="69"/>
      <c r="N595" s="69"/>
      <c r="O595" s="28"/>
      <c r="P595" s="28"/>
      <c r="Q595" s="69"/>
      <c r="R595" s="28"/>
      <c r="S595" s="174"/>
      <c r="T595" s="69"/>
      <c r="U595" s="52"/>
      <c r="V595" s="52"/>
      <c r="AE595" s="6"/>
      <c r="AF595" s="6"/>
      <c r="AG595" s="6"/>
      <c r="AV595" s="42"/>
    </row>
    <row r="596" spans="2:48">
      <c r="B596" s="28"/>
      <c r="C596" s="28"/>
      <c r="D596" s="28"/>
      <c r="E596" s="28"/>
      <c r="F596" s="69"/>
      <c r="G596" s="69"/>
      <c r="H596" s="69"/>
      <c r="I596" s="69"/>
      <c r="J596" s="69"/>
      <c r="K596" s="69"/>
      <c r="L596" s="69"/>
      <c r="M596" s="69"/>
      <c r="N596" s="69"/>
      <c r="O596" s="28"/>
      <c r="P596" s="28"/>
      <c r="Q596" s="69"/>
      <c r="R596" s="28"/>
      <c r="S596" s="174"/>
      <c r="T596" s="69"/>
      <c r="AE596" s="6"/>
      <c r="AF596" s="6"/>
      <c r="AG596" s="6"/>
    </row>
    <row r="597" spans="2:48">
      <c r="B597" s="28"/>
      <c r="C597" s="28"/>
      <c r="D597" s="28"/>
      <c r="E597" s="28"/>
      <c r="F597" s="69"/>
      <c r="G597" s="69"/>
      <c r="H597" s="69"/>
      <c r="I597" s="69"/>
      <c r="J597" s="69"/>
      <c r="K597" s="69"/>
      <c r="L597" s="69"/>
      <c r="M597" s="69"/>
      <c r="N597" s="69"/>
      <c r="O597" s="28"/>
      <c r="P597" s="28"/>
      <c r="Q597" s="69"/>
      <c r="R597" s="28"/>
      <c r="S597" s="174"/>
      <c r="T597" s="69"/>
      <c r="AE597" s="6"/>
      <c r="AF597" s="6"/>
      <c r="AG597" s="6"/>
    </row>
    <row r="598" spans="2:48">
      <c r="B598" s="28"/>
      <c r="C598" s="28"/>
      <c r="D598" s="28"/>
      <c r="E598" s="28"/>
      <c r="F598" s="69"/>
      <c r="G598" s="69"/>
      <c r="H598" s="69"/>
      <c r="I598" s="69"/>
      <c r="J598" s="69"/>
      <c r="K598" s="69"/>
      <c r="L598" s="69"/>
      <c r="M598" s="69"/>
      <c r="N598" s="69"/>
      <c r="O598" s="28"/>
      <c r="P598" s="28"/>
      <c r="Q598" s="69"/>
      <c r="R598" s="28"/>
      <c r="S598" s="174"/>
      <c r="T598" s="69"/>
      <c r="AE598" s="6"/>
      <c r="AF598" s="6"/>
      <c r="AG598" s="6"/>
    </row>
    <row r="599" spans="2:48">
      <c r="B599" s="28"/>
      <c r="C599" s="28"/>
      <c r="D599" s="28"/>
      <c r="E599" s="28"/>
      <c r="F599" s="69"/>
      <c r="G599" s="69"/>
      <c r="H599" s="69"/>
      <c r="I599" s="69"/>
      <c r="J599" s="69"/>
      <c r="K599" s="69"/>
      <c r="L599" s="69"/>
      <c r="M599" s="69"/>
      <c r="N599" s="69"/>
      <c r="O599" s="28"/>
      <c r="P599" s="28"/>
      <c r="Q599" s="69"/>
      <c r="R599" s="28"/>
      <c r="S599" s="174"/>
      <c r="T599" s="69"/>
      <c r="AE599" s="6"/>
      <c r="AF599" s="6"/>
      <c r="AG599" s="6"/>
    </row>
    <row r="600" spans="2:48">
      <c r="B600" s="28"/>
      <c r="C600" s="28"/>
      <c r="D600" s="28"/>
      <c r="E600" s="28"/>
      <c r="F600" s="69"/>
      <c r="G600" s="69"/>
      <c r="H600" s="69"/>
      <c r="I600" s="69"/>
      <c r="J600" s="69"/>
      <c r="K600" s="69"/>
      <c r="L600" s="69"/>
      <c r="M600" s="69"/>
      <c r="N600" s="69"/>
      <c r="O600" s="28"/>
      <c r="P600" s="28"/>
      <c r="Q600" s="69"/>
      <c r="R600" s="28"/>
      <c r="S600" s="174"/>
      <c r="T600" s="69"/>
      <c r="AE600" s="6"/>
      <c r="AF600" s="6"/>
      <c r="AG600" s="6"/>
    </row>
    <row r="601" spans="2:48">
      <c r="B601" s="28"/>
      <c r="C601" s="28"/>
      <c r="D601" s="28"/>
      <c r="E601" s="28"/>
      <c r="F601" s="69"/>
      <c r="G601" s="69"/>
      <c r="H601" s="69"/>
      <c r="I601" s="69"/>
      <c r="J601" s="69"/>
      <c r="K601" s="69"/>
      <c r="L601" s="69"/>
      <c r="M601" s="69"/>
      <c r="N601" s="69"/>
      <c r="O601" s="28"/>
      <c r="P601" s="28"/>
      <c r="Q601" s="69"/>
      <c r="R601" s="28"/>
      <c r="S601" s="174"/>
      <c r="T601" s="69"/>
      <c r="AE601" s="6"/>
      <c r="AF601" s="6"/>
      <c r="AG601" s="6"/>
    </row>
    <row r="602" spans="2:48">
      <c r="B602" s="28"/>
      <c r="C602" s="28"/>
      <c r="D602" s="28"/>
      <c r="E602" s="28"/>
      <c r="F602" s="69"/>
      <c r="G602" s="69"/>
      <c r="H602" s="69"/>
      <c r="I602" s="69"/>
      <c r="J602" s="69"/>
      <c r="K602" s="69"/>
      <c r="L602" s="69"/>
      <c r="M602" s="69"/>
      <c r="N602" s="69"/>
      <c r="O602" s="28"/>
      <c r="P602" s="28"/>
      <c r="Q602" s="69"/>
      <c r="R602" s="28"/>
      <c r="S602" s="174"/>
      <c r="T602" s="69"/>
      <c r="AE602" s="6"/>
      <c r="AF602" s="6"/>
      <c r="AG602" s="6"/>
    </row>
    <row r="603" spans="2:48">
      <c r="B603" s="28"/>
      <c r="C603" s="28"/>
      <c r="D603" s="28"/>
      <c r="E603" s="28"/>
      <c r="F603" s="69"/>
      <c r="G603" s="69"/>
      <c r="H603" s="69"/>
      <c r="I603" s="69"/>
      <c r="J603" s="69"/>
      <c r="K603" s="69"/>
      <c r="L603" s="69"/>
      <c r="M603" s="69"/>
      <c r="N603" s="69"/>
      <c r="O603" s="28"/>
      <c r="P603" s="28"/>
      <c r="Q603" s="69"/>
      <c r="R603" s="28"/>
      <c r="S603" s="174"/>
      <c r="T603" s="69"/>
      <c r="AE603" s="6"/>
      <c r="AF603" s="6"/>
      <c r="AG603" s="6"/>
    </row>
    <row r="604" spans="2:48">
      <c r="B604" s="28"/>
      <c r="C604" s="28"/>
      <c r="D604" s="28"/>
      <c r="E604" s="28"/>
      <c r="F604" s="69"/>
      <c r="G604" s="69"/>
      <c r="H604" s="69"/>
      <c r="I604" s="69"/>
      <c r="J604" s="69"/>
      <c r="K604" s="69"/>
      <c r="L604" s="69"/>
      <c r="M604" s="69"/>
      <c r="N604" s="69"/>
      <c r="O604" s="28"/>
      <c r="P604" s="28"/>
      <c r="Q604" s="69"/>
      <c r="R604" s="28"/>
      <c r="S604" s="174"/>
      <c r="T604" s="69"/>
      <c r="AE604" s="6"/>
      <c r="AF604" s="6"/>
      <c r="AG604" s="6"/>
    </row>
    <row r="605" spans="2:48">
      <c r="B605" s="28"/>
      <c r="C605" s="28"/>
      <c r="D605" s="28"/>
      <c r="E605" s="28"/>
      <c r="F605" s="69"/>
      <c r="G605" s="69"/>
      <c r="H605" s="69"/>
      <c r="I605" s="69"/>
      <c r="J605" s="69"/>
      <c r="K605" s="69"/>
      <c r="L605" s="69"/>
      <c r="M605" s="69"/>
      <c r="N605" s="69"/>
      <c r="O605" s="28"/>
      <c r="P605" s="28"/>
      <c r="Q605" s="69"/>
      <c r="R605" s="28"/>
      <c r="S605" s="174"/>
      <c r="T605" s="69"/>
      <c r="AE605" s="6"/>
      <c r="AF605" s="6"/>
      <c r="AG605" s="6"/>
    </row>
    <row r="606" spans="2:48">
      <c r="B606" s="28"/>
      <c r="C606" s="28"/>
      <c r="D606" s="28"/>
      <c r="E606" s="28"/>
      <c r="F606" s="69"/>
      <c r="G606" s="69"/>
      <c r="H606" s="69"/>
      <c r="I606" s="69"/>
      <c r="J606" s="69"/>
      <c r="K606" s="69"/>
      <c r="L606" s="69"/>
      <c r="M606" s="69"/>
      <c r="N606" s="69"/>
      <c r="O606" s="28"/>
      <c r="P606" s="28"/>
      <c r="Q606" s="69"/>
      <c r="R606" s="28"/>
      <c r="S606" s="174"/>
      <c r="T606" s="69"/>
      <c r="AE606" s="6"/>
      <c r="AF606" s="6"/>
      <c r="AG606" s="6"/>
    </row>
    <row r="607" spans="2:48">
      <c r="B607" s="28"/>
      <c r="C607" s="28"/>
      <c r="D607" s="28"/>
      <c r="E607" s="28"/>
      <c r="F607" s="69"/>
      <c r="G607" s="69"/>
      <c r="H607" s="69"/>
      <c r="I607" s="69"/>
      <c r="J607" s="69"/>
      <c r="K607" s="69"/>
      <c r="L607" s="69"/>
      <c r="M607" s="69"/>
      <c r="N607" s="69"/>
      <c r="O607" s="28"/>
      <c r="P607" s="28"/>
      <c r="Q607" s="69"/>
      <c r="R607" s="28"/>
      <c r="S607" s="174"/>
      <c r="T607" s="69"/>
      <c r="AE607" s="6"/>
      <c r="AF607" s="6"/>
      <c r="AG607" s="6"/>
    </row>
    <row r="608" spans="2:48">
      <c r="B608" s="28"/>
      <c r="C608" s="28"/>
      <c r="D608" s="28"/>
      <c r="E608" s="28"/>
      <c r="F608" s="69"/>
      <c r="G608" s="69"/>
      <c r="H608" s="69"/>
      <c r="I608" s="69"/>
      <c r="J608" s="69"/>
      <c r="K608" s="69"/>
      <c r="L608" s="69"/>
      <c r="M608" s="69"/>
      <c r="N608" s="69"/>
      <c r="O608" s="28"/>
      <c r="P608" s="28"/>
      <c r="Q608" s="69"/>
      <c r="R608" s="28"/>
      <c r="S608" s="174"/>
      <c r="T608" s="69"/>
      <c r="AE608" s="6"/>
      <c r="AF608" s="6"/>
      <c r="AG608" s="6"/>
    </row>
    <row r="609" spans="2:33">
      <c r="B609" s="28"/>
      <c r="C609" s="28"/>
      <c r="D609" s="28"/>
      <c r="E609" s="28"/>
      <c r="F609" s="69"/>
      <c r="G609" s="69"/>
      <c r="H609" s="69"/>
      <c r="I609" s="69"/>
      <c r="J609" s="69"/>
      <c r="K609" s="69"/>
      <c r="L609" s="69"/>
      <c r="M609" s="69"/>
      <c r="N609" s="69"/>
      <c r="O609" s="28"/>
      <c r="P609" s="28"/>
      <c r="Q609" s="69"/>
      <c r="R609" s="28"/>
      <c r="S609" s="174"/>
      <c r="T609" s="69"/>
      <c r="AE609" s="6"/>
      <c r="AF609" s="6"/>
      <c r="AG609" s="6"/>
    </row>
    <row r="610" spans="2:33">
      <c r="B610" s="28"/>
      <c r="C610" s="28"/>
      <c r="D610" s="28"/>
      <c r="E610" s="28"/>
      <c r="F610" s="69"/>
      <c r="G610" s="69"/>
      <c r="H610" s="69"/>
      <c r="I610" s="69"/>
      <c r="J610" s="69"/>
      <c r="K610" s="69"/>
      <c r="L610" s="69"/>
      <c r="M610" s="69"/>
      <c r="N610" s="69"/>
      <c r="O610" s="28"/>
      <c r="P610" s="28"/>
      <c r="Q610" s="69"/>
      <c r="R610" s="28"/>
      <c r="S610" s="174"/>
      <c r="T610" s="69"/>
      <c r="AE610" s="6"/>
      <c r="AF610" s="6"/>
      <c r="AG610" s="6"/>
    </row>
    <row r="611" spans="2:33">
      <c r="B611" s="28"/>
      <c r="C611" s="28"/>
      <c r="D611" s="28"/>
      <c r="E611" s="28"/>
      <c r="F611" s="69"/>
      <c r="G611" s="69"/>
      <c r="H611" s="69"/>
      <c r="I611" s="69"/>
      <c r="J611" s="69"/>
      <c r="K611" s="69"/>
      <c r="L611" s="69"/>
      <c r="M611" s="69"/>
      <c r="N611" s="69"/>
      <c r="O611" s="28"/>
      <c r="P611" s="28"/>
      <c r="Q611" s="69"/>
      <c r="R611" s="28"/>
      <c r="S611" s="174"/>
      <c r="T611" s="69"/>
      <c r="AE611" s="6"/>
      <c r="AF611" s="6"/>
      <c r="AG611" s="6"/>
    </row>
    <row r="612" spans="2:33">
      <c r="B612" s="28"/>
      <c r="C612" s="28"/>
      <c r="D612" s="28"/>
      <c r="E612" s="28"/>
      <c r="F612" s="69"/>
      <c r="G612" s="69"/>
      <c r="H612" s="69"/>
      <c r="I612" s="69"/>
      <c r="J612" s="69"/>
      <c r="K612" s="69"/>
      <c r="L612" s="69"/>
      <c r="M612" s="69"/>
      <c r="N612" s="69"/>
      <c r="O612" s="28"/>
      <c r="P612" s="28"/>
      <c r="Q612" s="69"/>
      <c r="R612" s="28"/>
      <c r="S612" s="174"/>
      <c r="T612" s="69"/>
      <c r="AE612" s="6"/>
      <c r="AF612" s="6"/>
      <c r="AG612" s="6"/>
    </row>
    <row r="613" spans="2:33">
      <c r="B613" s="28"/>
      <c r="C613" s="28"/>
      <c r="D613" s="28"/>
      <c r="E613" s="28"/>
      <c r="F613" s="69"/>
      <c r="G613" s="69"/>
      <c r="H613" s="69"/>
      <c r="I613" s="69"/>
      <c r="J613" s="69"/>
      <c r="K613" s="69"/>
      <c r="L613" s="69"/>
      <c r="M613" s="69"/>
      <c r="N613" s="69"/>
      <c r="O613" s="28"/>
      <c r="P613" s="28"/>
      <c r="Q613" s="69"/>
      <c r="R613" s="28"/>
      <c r="S613" s="174"/>
      <c r="T613" s="69"/>
      <c r="AE613" s="6"/>
      <c r="AF613" s="6"/>
      <c r="AG613" s="6"/>
    </row>
  </sheetData>
  <mergeCells count="29">
    <mergeCell ref="A4:J5"/>
    <mergeCell ref="A519:AV519"/>
    <mergeCell ref="A262:AV262"/>
    <mergeCell ref="R7:T7"/>
    <mergeCell ref="O7:Q7"/>
    <mergeCell ref="L7:N7"/>
    <mergeCell ref="I7:K7"/>
    <mergeCell ref="F7:H7"/>
    <mergeCell ref="AL7:AO7"/>
    <mergeCell ref="U7:W7"/>
    <mergeCell ref="X7:Z7"/>
    <mergeCell ref="C7:E7"/>
    <mergeCell ref="A72:AV72"/>
    <mergeCell ref="A9:AV9"/>
    <mergeCell ref="A100:AV100"/>
    <mergeCell ref="A144:AV144"/>
    <mergeCell ref="A239:AV239"/>
    <mergeCell ref="A365:AV365"/>
    <mergeCell ref="C6:T6"/>
    <mergeCell ref="AE7:AG7"/>
    <mergeCell ref="U6:AD6"/>
    <mergeCell ref="AE6:AO6"/>
    <mergeCell ref="A306:AV306"/>
    <mergeCell ref="AS6:AV6"/>
    <mergeCell ref="AA7:AD7"/>
    <mergeCell ref="AH7:AK7"/>
    <mergeCell ref="AP7:AR7"/>
    <mergeCell ref="AS7:AV7"/>
    <mergeCell ref="AP6:AR6"/>
  </mergeCells>
  <pageMargins left="0.70866141732283472" right="0.70866141732283472" top="0.74803149606299213" bottom="0.74803149606299213" header="0.31496062992125984" footer="0.31496062992125984"/>
  <pageSetup scale="10" fitToHeight="2"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9967D-933B-444D-8551-EDB207CAEBB8}">
  <sheetPr codeName="Sheet2"/>
  <dimension ref="A1:AX624"/>
  <sheetViews>
    <sheetView topLeftCell="A33" zoomScale="90" zoomScaleNormal="90" workbookViewId="0">
      <selection activeCell="P45" sqref="P45"/>
    </sheetView>
  </sheetViews>
  <sheetFormatPr defaultRowHeight="15"/>
  <cols>
    <col min="2" max="2" width="13" style="16" customWidth="1"/>
    <col min="3" max="3" width="18.28515625" style="16" bestFit="1" customWidth="1"/>
    <col min="4" max="4" width="18.85546875" style="16" bestFit="1" customWidth="1"/>
    <col min="5" max="5" width="12" style="337" bestFit="1" customWidth="1"/>
    <col min="6" max="6" width="10.7109375" style="16" bestFit="1" customWidth="1"/>
    <col min="7" max="8" width="8.85546875" style="16"/>
    <col min="9" max="9" width="10.28515625" style="16" customWidth="1"/>
    <col min="10" max="10" width="12.85546875" style="16" customWidth="1"/>
    <col min="11" max="11" width="17.140625" style="16" customWidth="1"/>
    <col min="12" max="12" width="11" style="16" customWidth="1"/>
    <col min="13" max="13" width="11.7109375" customWidth="1"/>
    <col min="14" max="14" width="11.140625" customWidth="1"/>
    <col min="15" max="15" width="11.28515625" customWidth="1"/>
    <col min="16" max="16" width="10.42578125" customWidth="1"/>
    <col min="17" max="17" width="10.7109375" bestFit="1" customWidth="1"/>
    <col min="19" max="19" width="11" bestFit="1" customWidth="1"/>
    <col min="20" max="20" width="10.7109375" customWidth="1"/>
    <col min="21" max="21" width="14.28515625" customWidth="1"/>
    <col min="22" max="22" width="10.7109375" bestFit="1" customWidth="1"/>
    <col min="23" max="23" width="11" bestFit="1" customWidth="1"/>
    <col min="24" max="24" width="13.5703125" customWidth="1"/>
    <col min="25" max="25" width="13.5703125" bestFit="1" customWidth="1"/>
    <col min="26" max="26" width="12.7109375" bestFit="1" customWidth="1"/>
    <col min="33" max="33" width="9.42578125" bestFit="1" customWidth="1"/>
    <col min="34" max="34" width="12.7109375" bestFit="1" customWidth="1"/>
    <col min="35" max="35" width="14.140625" bestFit="1" customWidth="1"/>
    <col min="36" max="36" width="11.42578125" bestFit="1" customWidth="1"/>
    <col min="37" max="37" width="12.7109375" bestFit="1" customWidth="1"/>
    <col min="38" max="38" width="11.28515625" bestFit="1" customWidth="1"/>
    <col min="39" max="39" width="12.7109375" bestFit="1" customWidth="1"/>
    <col min="40" max="40" width="11.28515625" bestFit="1" customWidth="1"/>
    <col min="41" max="41" width="11.7109375" bestFit="1" customWidth="1"/>
    <col min="42" max="42" width="9.42578125" bestFit="1" customWidth="1"/>
    <col min="47" max="47" width="13.85546875" bestFit="1" customWidth="1"/>
  </cols>
  <sheetData>
    <row r="1" spans="1:25" ht="15" customHeight="1">
      <c r="A1" s="529" t="s">
        <v>3053</v>
      </c>
      <c r="B1" s="529"/>
      <c r="C1" s="529"/>
      <c r="D1" s="529"/>
      <c r="E1" s="529"/>
      <c r="F1" s="529"/>
      <c r="G1" s="529"/>
      <c r="H1" s="529"/>
      <c r="I1" s="529"/>
      <c r="J1" s="529"/>
      <c r="K1" s="529"/>
      <c r="L1" s="529"/>
      <c r="M1" s="529"/>
      <c r="N1" s="529"/>
      <c r="V1" s="140" t="s">
        <v>584</v>
      </c>
    </row>
    <row r="2" spans="1:25">
      <c r="A2" s="529"/>
      <c r="B2" s="529"/>
      <c r="C2" s="529"/>
      <c r="D2" s="529"/>
      <c r="E2" s="529"/>
      <c r="F2" s="529"/>
      <c r="G2" s="529"/>
      <c r="H2" s="529"/>
      <c r="I2" s="529"/>
      <c r="J2" s="529"/>
      <c r="K2" s="529"/>
      <c r="L2" s="529"/>
      <c r="M2" s="529"/>
      <c r="N2" s="529"/>
      <c r="V2" s="120" t="s">
        <v>588</v>
      </c>
    </row>
    <row r="3" spans="1:25">
      <c r="A3" s="529"/>
      <c r="B3" s="529"/>
      <c r="C3" s="529"/>
      <c r="D3" s="529"/>
      <c r="E3" s="529"/>
      <c r="F3" s="529"/>
      <c r="G3" s="529"/>
      <c r="H3" s="529"/>
      <c r="I3" s="529"/>
      <c r="J3" s="529"/>
      <c r="K3" s="529"/>
      <c r="L3" s="529"/>
      <c r="M3" s="529"/>
      <c r="N3" s="529"/>
      <c r="V3" t="s">
        <v>582</v>
      </c>
      <c r="W3" t="s">
        <v>583</v>
      </c>
      <c r="X3" t="s">
        <v>511</v>
      </c>
      <c r="Y3" t="s">
        <v>553</v>
      </c>
    </row>
    <row r="4" spans="1:25">
      <c r="A4" s="529"/>
      <c r="B4" s="529"/>
      <c r="C4" s="529"/>
      <c r="D4" s="529"/>
      <c r="E4" s="529"/>
      <c r="F4" s="529"/>
      <c r="G4" s="529"/>
      <c r="H4" s="529"/>
      <c r="I4" s="529"/>
      <c r="J4" s="529"/>
      <c r="K4" s="529"/>
      <c r="L4" s="529"/>
      <c r="M4" s="529"/>
      <c r="N4" s="529"/>
      <c r="U4">
        <f>273+V4</f>
        <v>343</v>
      </c>
      <c r="V4">
        <v>70</v>
      </c>
      <c r="W4">
        <f t="shared" ref="W4:W12" si="0">1/(V4+273.15)</f>
        <v>2.9141774734081308E-3</v>
      </c>
      <c r="X4">
        <v>19</v>
      </c>
      <c r="Y4" s="61">
        <f>LN(X4)</f>
        <v>2.9444389791664403</v>
      </c>
    </row>
    <row r="5" spans="1:25">
      <c r="V5">
        <v>70</v>
      </c>
      <c r="W5">
        <f t="shared" si="0"/>
        <v>2.9141774734081308E-3</v>
      </c>
      <c r="X5">
        <v>25</v>
      </c>
      <c r="Y5" s="61">
        <f t="shared" ref="Y5:Y11" si="1">LN(X5)</f>
        <v>3.2188758248682006</v>
      </c>
    </row>
    <row r="6" spans="1:25">
      <c r="B6" s="16" t="s">
        <v>1500</v>
      </c>
      <c r="C6" s="16" t="s">
        <v>1657</v>
      </c>
      <c r="I6" s="16" t="s">
        <v>232</v>
      </c>
      <c r="O6" t="s">
        <v>1714</v>
      </c>
      <c r="V6">
        <v>80</v>
      </c>
      <c r="W6">
        <f t="shared" si="0"/>
        <v>2.831657935721365E-3</v>
      </c>
      <c r="X6">
        <v>43</v>
      </c>
      <c r="Y6" s="61">
        <f t="shared" si="1"/>
        <v>3.7612001156935624</v>
      </c>
    </row>
    <row r="7" spans="1:25">
      <c r="B7" s="16" t="s">
        <v>1018</v>
      </c>
      <c r="C7" s="16" t="s">
        <v>3</v>
      </c>
      <c r="E7" s="401" t="s">
        <v>1720</v>
      </c>
      <c r="F7" s="402" t="s">
        <v>1700</v>
      </c>
      <c r="G7" s="16" t="s">
        <v>190</v>
      </c>
      <c r="H7" s="16" t="s">
        <v>497</v>
      </c>
      <c r="I7" s="402" t="s">
        <v>1718</v>
      </c>
      <c r="J7" s="16" t="s">
        <v>1716</v>
      </c>
      <c r="K7" s="402" t="s">
        <v>1719</v>
      </c>
      <c r="L7" s="16" t="s">
        <v>192</v>
      </c>
      <c r="M7" t="s">
        <v>202</v>
      </c>
      <c r="O7" t="s">
        <v>1711</v>
      </c>
      <c r="P7" t="s">
        <v>1715</v>
      </c>
      <c r="Q7" t="s">
        <v>1023</v>
      </c>
      <c r="V7">
        <v>80</v>
      </c>
      <c r="W7">
        <f t="shared" si="0"/>
        <v>2.831657935721365E-3</v>
      </c>
      <c r="X7">
        <v>50</v>
      </c>
      <c r="Y7" s="61">
        <f t="shared" si="1"/>
        <v>3.912023005428146</v>
      </c>
    </row>
    <row r="8" spans="1:25">
      <c r="B8" s="16" t="str">
        <f>INDEX(Table245[],MATCH('Table S4 Conversions and Notes'!C8,Table245[[#All],[Compound Name]],0),1)</f>
        <v>Musk</v>
      </c>
      <c r="C8" s="16" t="s">
        <v>8</v>
      </c>
      <c r="E8" s="403"/>
      <c r="F8" s="404">
        <f>IF(VLOOKUP(C8,'Table S3 Literature Values'!$A$10:$AV$551,45,FALSE)="","",VLOOKUP(C8,'Table S3 Literature Values'!$A$10:$AV$551,45,FALSE))</f>
        <v>63.82222222222223</v>
      </c>
      <c r="G8" s="405">
        <f>F8+273.15</f>
        <v>336.97222222222223</v>
      </c>
      <c r="H8" s="405">
        <f>IF(VLOOKUP(C8,'Table S3 Literature Values'!$A$10:$AV$551,42,FALSE)="",56.5,VLOOKUP(C8,'Table S3 Literature Values'!$A$10:$AV$551,42,FALSE))</f>
        <v>27.437164066193851</v>
      </c>
      <c r="I8" s="406">
        <f>LOG(EXP(-H8/8.314*(G8/$J$46-1)))</f>
        <v>-0.186620388366288</v>
      </c>
      <c r="J8" s="407">
        <f t="shared" ref="J8:J42" si="2">IF(OR(B8="OCP",B8="PCB"),($P$8+$P$9*$J$46)*($G8-$J$46)^2+($P$10+$P$11*$J$46)*($G8-$J$46),IF(B8="PAH",($Q$8+$Q$9*$J$46)*($G8-$J$46)^2+($Q$10+$Q$11*$J$46)*(G8-$J$46),0))</f>
        <v>0</v>
      </c>
      <c r="K8" s="406">
        <f>I8-J8</f>
        <v>-0.186620388366288</v>
      </c>
      <c r="L8" s="408">
        <f t="shared" ref="L8:L41" si="3">J8/K8</f>
        <v>0</v>
      </c>
      <c r="O8" t="s">
        <v>1430</v>
      </c>
      <c r="P8" s="74">
        <v>-3.5599999999999998E-5</v>
      </c>
      <c r="Q8" s="74">
        <v>-3.4600000000000001E-5</v>
      </c>
      <c r="V8">
        <v>90</v>
      </c>
      <c r="W8">
        <f t="shared" si="0"/>
        <v>2.7536830510808208E-3</v>
      </c>
      <c r="X8">
        <v>79</v>
      </c>
      <c r="Y8" s="61">
        <f t="shared" si="1"/>
        <v>4.3694478524670215</v>
      </c>
    </row>
    <row r="9" spans="1:25">
      <c r="B9" s="16" t="str">
        <f>INDEX(Table245[],MATCH('Table S4 Conversions and Notes'!C9,Table245[[#All],[Compound Name]],0),1)</f>
        <v>Musk</v>
      </c>
      <c r="C9" s="16" t="s">
        <v>189</v>
      </c>
      <c r="E9" s="409"/>
      <c r="F9" s="404">
        <f>IF(VLOOKUP(C9,'Table S3 Literature Values'!$A$10:$AV$551,45,FALSE)="","",VLOOKUP(C9,'Table S3 Literature Values'!$A$10:$AV$551,45,FALSE))</f>
        <v>35.525000000000006</v>
      </c>
      <c r="G9" s="405">
        <f>F9+273.15</f>
        <v>308.67499999999995</v>
      </c>
      <c r="H9" s="405">
        <f>IF(VLOOKUP(C9,'Table S3 Literature Values'!$A$10:$AV$551,42,FALSE)="",56.5,VLOOKUP(C9,'Table S3 Literature Values'!$A$10:$AV$551,42,FALSE))</f>
        <v>24.902975420439848</v>
      </c>
      <c r="I9" s="406">
        <f t="shared" ref="I9:I40" si="4">LOG(EXP(-H9/8.314*(G9/$J$46-1)))</f>
        <v>-4.5921157015826518E-2</v>
      </c>
      <c r="J9" s="407">
        <f t="shared" si="2"/>
        <v>0</v>
      </c>
      <c r="K9" s="406">
        <f t="shared" ref="K9:K41" si="5">I9-J9</f>
        <v>-4.5921157015826518E-2</v>
      </c>
      <c r="L9" s="408">
        <f t="shared" si="3"/>
        <v>0</v>
      </c>
      <c r="O9" t="s">
        <v>1431</v>
      </c>
      <c r="P9" s="74">
        <v>7.7799999999999995E-8</v>
      </c>
      <c r="Q9" s="74">
        <v>8.4999999999999994E-8</v>
      </c>
      <c r="V9">
        <v>90</v>
      </c>
      <c r="W9">
        <f t="shared" si="0"/>
        <v>2.7536830510808208E-3</v>
      </c>
      <c r="X9">
        <v>79</v>
      </c>
      <c r="Y9" s="61">
        <f t="shared" si="1"/>
        <v>4.3694478524670215</v>
      </c>
    </row>
    <row r="10" spans="1:25">
      <c r="B10" s="16" t="str">
        <f>INDEX(Table245[],MATCH('Table S4 Conversions and Notes'!C10,Table245[[#All],[Compound Name]],0),1)</f>
        <v>Musk</v>
      </c>
      <c r="C10" s="16" t="s">
        <v>21</v>
      </c>
      <c r="E10" s="409"/>
      <c r="F10" s="404">
        <f>IF(VLOOKUP(C10,'Table S3 Literature Values'!$A$10:$AV$551,45,FALSE)="","",VLOOKUP(C10,'Table S3 Literature Values'!$A$10:$AV$551,45,FALSE))</f>
        <v>59.8</v>
      </c>
      <c r="G10" s="405">
        <f>F10+273.15</f>
        <v>332.95</v>
      </c>
      <c r="H10" s="405">
        <f>IF(VLOOKUP(C10,'Table S3 Literature Values'!$A$10:$AV$551,42,FALSE)="",56.5,VLOOKUP(C10,'Table S3 Literature Values'!$A$10:$AV$551,42,FALSE))</f>
        <v>56.5</v>
      </c>
      <c r="I10" s="406">
        <f t="shared" si="4"/>
        <v>-0.34448250391413143</v>
      </c>
      <c r="J10" s="407">
        <f t="shared" si="2"/>
        <v>0</v>
      </c>
      <c r="K10" s="406">
        <f t="shared" si="5"/>
        <v>-0.34448250391413143</v>
      </c>
      <c r="L10" s="408">
        <f t="shared" si="3"/>
        <v>0</v>
      </c>
      <c r="O10" t="s">
        <v>1713</v>
      </c>
      <c r="P10" s="74">
        <v>3.4000000000000002E-4</v>
      </c>
      <c r="Q10" s="74">
        <v>2.0999999999999999E-3</v>
      </c>
      <c r="V10">
        <v>100</v>
      </c>
      <c r="W10">
        <f t="shared" si="0"/>
        <v>2.6798874447273215E-3</v>
      </c>
      <c r="X10" s="74">
        <v>150</v>
      </c>
      <c r="Y10" s="61">
        <f t="shared" si="1"/>
        <v>5.0106352940962555</v>
      </c>
    </row>
    <row r="11" spans="1:25">
      <c r="B11" s="16" t="str">
        <f>INDEX(Table245[],MATCH('Table S4 Conversions and Notes'!C11,Table245[[#All],[Compound Name]],0),1)</f>
        <v>Musk</v>
      </c>
      <c r="C11" s="16" t="s">
        <v>264</v>
      </c>
      <c r="E11" s="403"/>
      <c r="F11" s="404">
        <f>IF(VLOOKUP(C11,'Table S3 Literature Values'!$A$10:$AV$551,45,FALSE)="","",VLOOKUP(C11,'Table S3 Literature Values'!$A$10:$AV$551,45,FALSE))</f>
        <v>34.290000000000006</v>
      </c>
      <c r="G11" s="405">
        <f>F11+273.15</f>
        <v>307.44</v>
      </c>
      <c r="H11" s="405">
        <f>IF(VLOOKUP(C11,'Table S3 Literature Values'!$A$10:$AV$551,42,FALSE)="",56.5,VLOOKUP(C11,'Table S3 Literature Values'!$A$10:$AV$551,42,FALSE))</f>
        <v>22.617124394184167</v>
      </c>
      <c r="I11" s="406">
        <f t="shared" si="4"/>
        <v>-3.6812268253575829E-2</v>
      </c>
      <c r="J11" s="407">
        <f t="shared" si="2"/>
        <v>0</v>
      </c>
      <c r="K11" s="406">
        <f t="shared" si="5"/>
        <v>-3.6812268253575829E-2</v>
      </c>
      <c r="L11" s="408">
        <f t="shared" si="3"/>
        <v>0</v>
      </c>
      <c r="O11" t="s">
        <v>1712</v>
      </c>
      <c r="P11" s="74">
        <v>-7.1699999999999997E-7</v>
      </c>
      <c r="Q11" s="74">
        <v>-5.8599999999999998E-6</v>
      </c>
      <c r="U11">
        <f>273+V11</f>
        <v>373</v>
      </c>
      <c r="V11">
        <v>100</v>
      </c>
      <c r="W11">
        <f t="shared" si="0"/>
        <v>2.6798874447273215E-3</v>
      </c>
      <c r="X11" s="74">
        <v>160</v>
      </c>
      <c r="Y11" s="61">
        <f t="shared" si="1"/>
        <v>5.0751738152338266</v>
      </c>
    </row>
    <row r="12" spans="1:25">
      <c r="B12" s="16" t="str">
        <f>INDEX(Table245[],MATCH('Table S4 Conversions and Notes'!C12,Table245[[#All],[Compound Name]],0),1)</f>
        <v>UV Filter</v>
      </c>
      <c r="C12" s="16" t="s">
        <v>140</v>
      </c>
      <c r="E12" s="409"/>
      <c r="F12" s="404">
        <f>IF(VLOOKUP(C12,'Table S3 Literature Values'!$A$10:$AV$551,45,FALSE)="","",VLOOKUP(C12,'Table S3 Literature Values'!$A$10:$AV$551,45,FALSE))</f>
        <v>63.741666666666667</v>
      </c>
      <c r="G12" s="405">
        <f t="shared" ref="G12:G20" si="6">F12+273.15</f>
        <v>336.89166666666665</v>
      </c>
      <c r="H12" s="405">
        <f>IF(VLOOKUP(C12,'Table S3 Literature Values'!$A$10:$AV$551,42,FALSE)="",56.5,VLOOKUP(C12,'Table S3 Literature Values'!$A$10:$AV$551,42,FALSE))</f>
        <v>64.656964656964661</v>
      </c>
      <c r="I12" s="406">
        <f t="shared" si="4"/>
        <v>-0.43886716607047205</v>
      </c>
      <c r="J12" s="407">
        <f t="shared" si="2"/>
        <v>0</v>
      </c>
      <c r="K12" s="406">
        <f t="shared" si="5"/>
        <v>-0.43886716607047205</v>
      </c>
      <c r="L12" s="408">
        <f t="shared" si="3"/>
        <v>0</v>
      </c>
      <c r="V12" s="120">
        <v>25</v>
      </c>
      <c r="W12" s="120">
        <f t="shared" si="0"/>
        <v>3.3540164346805303E-3</v>
      </c>
      <c r="X12" s="120">
        <f>EXP(Y12)</f>
        <v>0.59882612984874561</v>
      </c>
      <c r="Y12" s="120">
        <f>W14*W12+X14</f>
        <v>-0.51278399036677769</v>
      </c>
    </row>
    <row r="13" spans="1:25">
      <c r="B13" s="16" t="str">
        <f>INDEX(Table245[],MATCH('Table S4 Conversions and Notes'!C13,Table245[[#All],[Compound Name]],0),1)</f>
        <v>UV Filter</v>
      </c>
      <c r="C13" s="16" t="s">
        <v>142</v>
      </c>
      <c r="E13" s="409"/>
      <c r="F13" s="404">
        <f>IF(VLOOKUP(C13,'Table S3 Literature Values'!$A$10:$AV$551,45,FALSE)="","",VLOOKUP(C13,'Table S3 Literature Values'!$A$10:$AV$551,45,FALSE))</f>
        <v>70.400000000000006</v>
      </c>
      <c r="G13" s="405">
        <f t="shared" si="6"/>
        <v>343.54999999999995</v>
      </c>
      <c r="H13" s="405">
        <f>IF(VLOOKUP(C13,'Table S3 Literature Values'!$A$10:$AV$551,42,FALSE)="",56.5,VLOOKUP(C13,'Table S3 Literature Values'!$A$10:$AV$551,42,FALSE))</f>
        <v>56.5</v>
      </c>
      <c r="I13" s="406">
        <f t="shared" si="4"/>
        <v>-0.44941108269257329</v>
      </c>
      <c r="J13" s="407">
        <f t="shared" si="2"/>
        <v>0</v>
      </c>
      <c r="K13" s="406">
        <f t="shared" si="5"/>
        <v>-0.44941108269257329</v>
      </c>
      <c r="L13" s="408">
        <f t="shared" si="3"/>
        <v>0</v>
      </c>
      <c r="X13" s="120" t="s">
        <v>587</v>
      </c>
      <c r="Y13" s="120">
        <f>-W14*8.314/1000</f>
        <v>68.32774843227871</v>
      </c>
    </row>
    <row r="14" spans="1:25">
      <c r="B14" s="16" t="str">
        <f>INDEX(Table245[],MATCH('Table S4 Conversions and Notes'!C14,Table245[[#All],[Compound Name]],0),1)</f>
        <v>OCP</v>
      </c>
      <c r="C14" s="16" t="s">
        <v>335</v>
      </c>
      <c r="E14" s="409"/>
      <c r="F14" s="404">
        <f>IF(VLOOKUP(C14,'Table S3 Literature Values'!$A$10:$AV$551,45,FALSE)="","",VLOOKUP(C14,'Table S3 Literature Values'!$A$10:$AV$551,45,FALSE))</f>
        <v>88.638000000000005</v>
      </c>
      <c r="G14" s="405">
        <f t="shared" si="6"/>
        <v>361.78800000000001</v>
      </c>
      <c r="H14" s="405">
        <f>IF(VLOOKUP(C14,'Table S3 Literature Values'!$A$10:$AV$551,42,FALSE)="",56.5,VLOOKUP(C14,'Table S3 Literature Values'!$A$10:$AV$551,42,FALSE))</f>
        <v>65.848126363730174</v>
      </c>
      <c r="I14" s="406">
        <f t="shared" si="4"/>
        <v>-0.73417471250387911</v>
      </c>
      <c r="J14" s="407">
        <f t="shared" si="2"/>
        <v>-4.2200575415022964E-2</v>
      </c>
      <c r="K14" s="406">
        <f t="shared" si="5"/>
        <v>-0.69197413708885613</v>
      </c>
      <c r="L14" s="408">
        <f t="shared" si="3"/>
        <v>6.0985769775386861E-2</v>
      </c>
      <c r="V14" t="s">
        <v>514</v>
      </c>
      <c r="W14">
        <f t="array" ref="W14:X16">LINEST(Y4:Y11,W4:W11,TRUE,TRUE)</f>
        <v>-8218.3964917342673</v>
      </c>
      <c r="X14">
        <v>27.051852909630767</v>
      </c>
    </row>
    <row r="15" spans="1:25">
      <c r="B15" s="16" t="str">
        <f>INDEX(Table245[],MATCH('Table S4 Conversions and Notes'!C15,Table245[[#All],[Compound Name]],0),1)</f>
        <v>Musk</v>
      </c>
      <c r="C15" s="16" t="s">
        <v>312</v>
      </c>
      <c r="E15" s="409"/>
      <c r="F15" s="404">
        <f>IF(VLOOKUP(C15,'Table S3 Literature Values'!$A$10:$AV$551,45,FALSE)="","",VLOOKUP(C15,'Table S3 Literature Values'!$A$10:$AV$551,45,FALSE))</f>
        <v>78</v>
      </c>
      <c r="G15" s="405">
        <f t="shared" si="6"/>
        <v>351.15</v>
      </c>
      <c r="H15" s="405">
        <f>IF(VLOOKUP(C15,'Table S3 Literature Values'!$A$10:$AV$551,42,FALSE)="",56.5,VLOOKUP(C15,'Table S3 Literature Values'!$A$10:$AV$551,42,FALSE))</f>
        <v>56.5</v>
      </c>
      <c r="I15" s="406">
        <f t="shared" si="4"/>
        <v>-0.52464289389221164</v>
      </c>
      <c r="J15" s="407">
        <f t="shared" si="2"/>
        <v>0</v>
      </c>
      <c r="K15" s="406">
        <f t="shared" si="5"/>
        <v>-0.52464289389221164</v>
      </c>
      <c r="L15" s="408">
        <f t="shared" si="3"/>
        <v>0</v>
      </c>
      <c r="W15">
        <v>418.4696139627016</v>
      </c>
      <c r="X15">
        <v>1.1701312130577251</v>
      </c>
    </row>
    <row r="16" spans="1:25">
      <c r="B16" s="16" t="str">
        <f>INDEX(Table245[],MATCH('Table S4 Conversions and Notes'!C16,Table245[[#All],[Compound Name]],0),1)</f>
        <v>NBFR</v>
      </c>
      <c r="C16" s="16" t="s">
        <v>35</v>
      </c>
      <c r="E16" s="409"/>
      <c r="F16" s="404">
        <f>IF(VLOOKUP(C16,'Table S3 Literature Values'!$A$10:$AV$551,45,FALSE)="","",VLOOKUP(C16,'Table S3 Literature Values'!$A$10:$AV$551,45,FALSE))</f>
        <v>75.400000000000006</v>
      </c>
      <c r="G16" s="405">
        <f t="shared" si="6"/>
        <v>348.54999999999995</v>
      </c>
      <c r="H16" s="405">
        <f>IF(VLOOKUP(C16,'Table S3 Literature Values'!$A$10:$AV$551,42,FALSE)="",56.5,VLOOKUP(C16,'Table S3 Literature Values'!$A$10:$AV$551,42,FALSE))</f>
        <v>56.5</v>
      </c>
      <c r="I16" s="406">
        <f t="shared" si="4"/>
        <v>-0.49890569532391427</v>
      </c>
      <c r="J16" s="407">
        <f t="shared" si="2"/>
        <v>0</v>
      </c>
      <c r="K16" s="406">
        <f t="shared" si="5"/>
        <v>-0.49890569532391427</v>
      </c>
      <c r="L16" s="408">
        <f t="shared" si="3"/>
        <v>0</v>
      </c>
      <c r="W16">
        <v>0.98468203953866884</v>
      </c>
      <c r="X16">
        <v>0.10336280249775914</v>
      </c>
    </row>
    <row r="17" spans="2:41">
      <c r="B17" s="16" t="str">
        <f>INDEX(Table245[],MATCH('Table S4 Conversions and Notes'!C17,Table245[[#All],[Compound Name]],0),1)</f>
        <v>OCP</v>
      </c>
      <c r="C17" s="16" t="s">
        <v>1014</v>
      </c>
      <c r="D17" s="410"/>
      <c r="E17" s="409"/>
      <c r="F17" s="404">
        <f>IF(VLOOKUP(C17,'Table S3 Literature Values'!$A$10:$AV$551,45,FALSE)="","",VLOOKUP(C17,'Table S3 Literature Values'!$A$10:$AV$551,45,FALSE))</f>
        <v>380</v>
      </c>
      <c r="G17" s="405">
        <f t="shared" si="6"/>
        <v>653.15</v>
      </c>
      <c r="H17" s="405">
        <f>IF(VLOOKUP(C17,'Table S3 Literature Values'!$A$10:$AV$551,42,FALSE)="",56.5,VLOOKUP(C17,'Table S3 Literature Values'!$A$10:$AV$551,42,FALSE))</f>
        <v>56.5</v>
      </c>
      <c r="I17" s="406">
        <f t="shared" si="4"/>
        <v>-3.5141174968251923</v>
      </c>
      <c r="J17" s="407">
        <f t="shared" si="2"/>
        <v>-1.5183948885</v>
      </c>
      <c r="K17" s="406">
        <f t="shared" si="5"/>
        <v>-1.9957226083251922</v>
      </c>
      <c r="L17" s="408">
        <f t="shared" si="3"/>
        <v>0.76082461669071089</v>
      </c>
    </row>
    <row r="18" spans="2:41">
      <c r="B18" s="16" t="str">
        <f>INDEX(Table245[],MATCH('Table S4 Conversions and Notes'!C18,Table245[[#All],[Compound Name]],0),1)</f>
        <v>OCP</v>
      </c>
      <c r="C18" s="16" t="s">
        <v>362</v>
      </c>
      <c r="E18" s="409"/>
      <c r="F18" s="404">
        <f>IF(VLOOKUP(C18,'Table S3 Literature Values'!$A$10:$AV$551,45,FALSE)="","",VLOOKUP(C18,'Table S3 Literature Values'!$A$10:$AV$551,45,FALSE))</f>
        <v>76.083333333333329</v>
      </c>
      <c r="G18" s="405">
        <f t="shared" si="6"/>
        <v>349.23333333333329</v>
      </c>
      <c r="H18" s="405">
        <f>IF(VLOOKUP(C18,'Table S3 Literature Values'!$A$10:$AV$551,42,FALSE)="",56.5,VLOOKUP(C18,'Table S3 Literature Values'!$A$10:$AV$551,42,FALSE))</f>
        <v>75.441327990841444</v>
      </c>
      <c r="I18" s="406">
        <f t="shared" si="4"/>
        <v>-0.67519315461630613</v>
      </c>
      <c r="J18" s="407">
        <f t="shared" si="2"/>
        <v>-2.5920073652569424E-2</v>
      </c>
      <c r="K18" s="406">
        <f t="shared" si="5"/>
        <v>-0.6492730809637367</v>
      </c>
      <c r="L18" s="408">
        <f t="shared" si="3"/>
        <v>3.9921682282123006E-2</v>
      </c>
      <c r="V18" s="120" t="s">
        <v>512</v>
      </c>
    </row>
    <row r="19" spans="2:41">
      <c r="B19" s="16" t="str">
        <f>INDEX(Table245[],MATCH('Table S4 Conversions and Notes'!C19,Table245[[#All],[Compound Name]],0),1)</f>
        <v>OCP</v>
      </c>
      <c r="C19" s="16" t="s">
        <v>370</v>
      </c>
      <c r="D19" s="410"/>
      <c r="E19" s="409"/>
      <c r="F19" s="404">
        <f>IF(VLOOKUP(C19,'Table S3 Literature Values'!$A$10:$AV$551,45,FALSE)="","",VLOOKUP(C19,'Table S3 Literature Values'!$A$10:$AV$551,45,FALSE))</f>
        <v>74.825000000000003</v>
      </c>
      <c r="G19" s="405">
        <f t="shared" si="6"/>
        <v>347.97499999999997</v>
      </c>
      <c r="H19" s="405">
        <f>IF(VLOOKUP(C19,'Table S3 Literature Values'!$A$10:$AV$551,42,FALSE)="",56.5,VLOOKUP(C19,'Table S3 Literature Values'!$A$10:$AV$551,42,FALSE))</f>
        <v>71.225632154001929</v>
      </c>
      <c r="I19" s="406">
        <f t="shared" si="4"/>
        <v>-0.6217604557751496</v>
      </c>
      <c r="J19" s="407">
        <f t="shared" si="2"/>
        <v>-2.4503903224106238E-2</v>
      </c>
      <c r="K19" s="406">
        <f t="shared" si="5"/>
        <v>-0.59725655255104337</v>
      </c>
      <c r="L19" s="408">
        <f t="shared" si="3"/>
        <v>4.1027433051079101E-2</v>
      </c>
      <c r="V19" t="s">
        <v>478</v>
      </c>
      <c r="W19" t="s">
        <v>510</v>
      </c>
      <c r="X19" t="s">
        <v>511</v>
      </c>
      <c r="Y19" t="s">
        <v>553</v>
      </c>
      <c r="Z19" t="s">
        <v>518</v>
      </c>
    </row>
    <row r="20" spans="2:41">
      <c r="B20" s="16" t="str">
        <f>INDEX(Table245[],MATCH('Table S4 Conversions and Notes'!C20,Table245[[#All],[Compound Name]],0),1)</f>
        <v>NBFR</v>
      </c>
      <c r="C20" s="16" t="s">
        <v>46</v>
      </c>
      <c r="F20" s="404">
        <f>IF(VLOOKUP(C20,'Table S3 Literature Values'!$A$10:$AV$551,45,FALSE)="","",VLOOKUP(C20,'Table S3 Literature Values'!$A$10:$AV$551,45,FALSE))</f>
        <v>170.25</v>
      </c>
      <c r="G20" s="405">
        <f t="shared" si="6"/>
        <v>443.4</v>
      </c>
      <c r="H20" s="405">
        <f>IF(VLOOKUP(C20,'Table S3 Literature Values'!$A$10:$AV$551,42,FALSE)="",56.5,VLOOKUP(C20,'Table S3 Literature Values'!$A$10:$AV$551,42,FALSE))</f>
        <v>56.5</v>
      </c>
      <c r="I20" s="406">
        <f t="shared" si="4"/>
        <v>-1.4378184969404482</v>
      </c>
      <c r="J20" s="407">
        <f t="shared" si="2"/>
        <v>0</v>
      </c>
      <c r="K20" s="406">
        <f t="shared" si="5"/>
        <v>-1.4378184969404482</v>
      </c>
      <c r="L20" s="408">
        <f t="shared" si="3"/>
        <v>0</v>
      </c>
      <c r="V20">
        <v>179</v>
      </c>
      <c r="W20">
        <f t="shared" ref="W20:W25" si="7">1/(V20+273.15)</f>
        <v>2.2116554240849276E-3</v>
      </c>
      <c r="X20">
        <v>30</v>
      </c>
      <c r="Y20">
        <f>LN(X20)</f>
        <v>3.4011973816621555</v>
      </c>
      <c r="Z20" t="s">
        <v>519</v>
      </c>
    </row>
    <row r="21" spans="2:41">
      <c r="B21" s="16" t="str">
        <f>INDEX(Table245[],MATCH('Table S4 Conversions and Notes'!C21,Table245[[#All],[Compound Name]],0),1)</f>
        <v>UV Filter</v>
      </c>
      <c r="C21" s="16" t="s">
        <v>490</v>
      </c>
      <c r="E21" s="409"/>
      <c r="F21" s="404">
        <f>IF(VLOOKUP(C21,'Table S3 Literature Values'!$A$10:$AV$551,45,FALSE)="","",VLOOKUP(C21,'Table S3 Literature Values'!$A$10:$AV$551,45,FALSE))</f>
        <v>63.741666666666667</v>
      </c>
      <c r="G21" s="405">
        <v>336.7</v>
      </c>
      <c r="H21" s="405">
        <f>IF(VLOOKUP(C21,'Table S3 Literature Values'!$A$10:$AV$551,42,FALSE)="",56.5,VLOOKUP(C21,'Table S3 Literature Values'!$A$10:$AV$551,42,FALSE))</f>
        <v>64.656964656964661</v>
      </c>
      <c r="I21" s="406">
        <f t="shared" si="4"/>
        <v>-0.43669595832265079</v>
      </c>
      <c r="J21" s="407">
        <f t="shared" si="2"/>
        <v>0</v>
      </c>
      <c r="K21" s="406">
        <f t="shared" si="5"/>
        <v>-0.43669595832265079</v>
      </c>
      <c r="L21" s="408">
        <f t="shared" si="3"/>
        <v>0</v>
      </c>
      <c r="V21">
        <v>183</v>
      </c>
      <c r="W21">
        <f t="shared" si="7"/>
        <v>2.1922613175490518E-3</v>
      </c>
      <c r="X21">
        <f>100*0.3</f>
        <v>30</v>
      </c>
      <c r="Y21">
        <f>LN(X21)</f>
        <v>3.4011973816621555</v>
      </c>
      <c r="Z21" s="120"/>
    </row>
    <row r="22" spans="2:41">
      <c r="B22" s="16" t="str">
        <f>INDEX(Table245[],MATCH('Table S4 Conversions and Notes'!C22,Table245[[#All],[Compound Name]],0),1)</f>
        <v>UV Filter</v>
      </c>
      <c r="C22" s="16" t="s">
        <v>483</v>
      </c>
      <c r="E22" s="403"/>
      <c r="F22" s="404">
        <f>IF(VLOOKUP(C22,'Table S3 Literature Values'!$A$10:$AV$551,45,FALSE)="","",VLOOKUP(C22,'Table S3 Literature Values'!$A$10:$AV$551,45,FALSE))</f>
        <v>39.783333333333331</v>
      </c>
      <c r="G22" s="405">
        <f t="shared" ref="G22:G28" si="8">F22+273.15</f>
        <v>312.93333333333328</v>
      </c>
      <c r="H22" s="405">
        <f>IF(VLOOKUP(C22,'Table S3 Literature Values'!$A$10:$AV$551,42,FALSE)="",56.5,VLOOKUP(C22,'Table S3 Literature Values'!$A$10:$AV$551,42,FALSE))</f>
        <v>56.5</v>
      </c>
      <c r="I22" s="406">
        <f t="shared" si="4"/>
        <v>-0.14633907134666346</v>
      </c>
      <c r="J22" s="407">
        <f t="shared" si="2"/>
        <v>0</v>
      </c>
      <c r="K22" s="406">
        <f t="shared" si="5"/>
        <v>-0.14633907134666346</v>
      </c>
      <c r="L22" s="408">
        <f t="shared" si="3"/>
        <v>0</v>
      </c>
      <c r="V22">
        <v>204.6</v>
      </c>
      <c r="W22">
        <f t="shared" si="7"/>
        <v>2.0931449502878076E-3</v>
      </c>
      <c r="X22">
        <f>1.005*100</f>
        <v>100.49999999999999</v>
      </c>
      <c r="Y22">
        <f>LN(X22)</f>
        <v>4.6101577274991303</v>
      </c>
    </row>
    <row r="23" spans="2:41">
      <c r="B23" s="16" t="str">
        <f>INDEX(Table245[],MATCH('Table S4 Conversions and Notes'!C23,Table245[[#All],[Compound Name]],0),1)</f>
        <v>Musk</v>
      </c>
      <c r="C23" s="16" t="s">
        <v>11</v>
      </c>
      <c r="E23" s="409"/>
      <c r="F23" s="404">
        <f>IF(VLOOKUP(C23,'Table S3 Literature Values'!$A$10:$AV$551,45,FALSE)="","",VLOOKUP(C23,'Table S3 Literature Values'!$A$10:$AV$551,45,FALSE))</f>
        <v>85.25</v>
      </c>
      <c r="G23" s="405">
        <f t="shared" si="8"/>
        <v>358.4</v>
      </c>
      <c r="H23" s="405">
        <f>IF(VLOOKUP(C23,'Table S3 Literature Values'!$A$10:$AV$551,42,FALSE)="",56.5,VLOOKUP(C23,'Table S3 Literature Values'!$A$10:$AV$551,42,FALSE))</f>
        <v>56.5</v>
      </c>
      <c r="I23" s="406">
        <f t="shared" si="4"/>
        <v>-0.59641008220765601</v>
      </c>
      <c r="J23" s="407">
        <f t="shared" si="2"/>
        <v>0</v>
      </c>
      <c r="K23" s="406">
        <f t="shared" si="5"/>
        <v>-0.59641008220765601</v>
      </c>
      <c r="L23" s="408">
        <f t="shared" si="3"/>
        <v>0</v>
      </c>
      <c r="V23">
        <f>287+10</f>
        <v>297</v>
      </c>
      <c r="W23">
        <f t="shared" si="7"/>
        <v>1.7539244058581076E-3</v>
      </c>
      <c r="X23">
        <f>50*100</f>
        <v>5000</v>
      </c>
      <c r="Y23">
        <f>LN(X23)</f>
        <v>8.5171931914162382</v>
      </c>
    </row>
    <row r="24" spans="2:41">
      <c r="B24" s="16" t="str">
        <f>INDEX(Table245[],MATCH('Table S4 Conversions and Notes'!C24,Table245[[#All],[Compound Name]],0),1)</f>
        <v>NBFR</v>
      </c>
      <c r="C24" s="16" t="s">
        <v>32</v>
      </c>
      <c r="E24" s="409"/>
      <c r="F24" s="404">
        <f>IF(VLOOKUP(C24,'Table S3 Literature Values'!$A$10:$AV$551,45,FALSE)="","",VLOOKUP(C24,'Table S3 Literature Values'!$A$10:$AV$551,45,FALSE))</f>
        <v>135.5</v>
      </c>
      <c r="G24" s="405">
        <f t="shared" si="8"/>
        <v>408.65</v>
      </c>
      <c r="H24" s="405">
        <f>IF(VLOOKUP(C24,'Table S3 Literature Values'!$A$10:$AV$551,42,FALSE)="",56.5,VLOOKUP(C24,'Table S3 Literature Values'!$A$10:$AV$551,42,FALSE))</f>
        <v>56.5</v>
      </c>
      <c r="I24" s="406">
        <f t="shared" si="4"/>
        <v>-1.0938309391526302</v>
      </c>
      <c r="J24" s="407">
        <f t="shared" si="2"/>
        <v>0</v>
      </c>
      <c r="K24" s="406">
        <f t="shared" si="5"/>
        <v>-1.0938309391526302</v>
      </c>
      <c r="L24" s="408">
        <f t="shared" si="3"/>
        <v>0</v>
      </c>
      <c r="V24">
        <f>V23+10</f>
        <v>307</v>
      </c>
      <c r="W24">
        <f t="shared" si="7"/>
        <v>1.7236921485822632E-3</v>
      </c>
      <c r="X24">
        <f>70*100</f>
        <v>7000</v>
      </c>
      <c r="Y24">
        <f>LN(X24)</f>
        <v>8.8536654280374503</v>
      </c>
    </row>
    <row r="25" spans="2:41">
      <c r="B25" s="16" t="str">
        <f>INDEX(Table245[],MATCH('Table S4 Conversions and Notes'!C25,Table245[[#All],[Compound Name]],0),1)</f>
        <v>Musk</v>
      </c>
      <c r="C25" s="16" t="s">
        <v>322</v>
      </c>
      <c r="E25" s="409"/>
      <c r="F25" s="404">
        <f>IF(VLOOKUP(C25,'Table S3 Literature Values'!$A$10:$AV$551,45,FALSE)="","",VLOOKUP(C25,'Table S3 Literature Values'!$A$10:$AV$551,45,FALSE))</f>
        <v>54.949999999999996</v>
      </c>
      <c r="G25" s="405">
        <f t="shared" si="8"/>
        <v>328.09999999999997</v>
      </c>
      <c r="H25" s="405">
        <f>IF(VLOOKUP(C25,'Table S3 Literature Values'!$A$10:$AV$551,42,FALSE)="",56.5,VLOOKUP(C25,'Table S3 Literature Values'!$A$10:$AV$551,42,FALSE))</f>
        <v>56.5</v>
      </c>
      <c r="I25" s="406">
        <f t="shared" si="4"/>
        <v>-0.29647272966173055</v>
      </c>
      <c r="J25" s="407">
        <f t="shared" si="2"/>
        <v>0</v>
      </c>
      <c r="K25" s="406">
        <f t="shared" si="5"/>
        <v>-0.29647272966173055</v>
      </c>
      <c r="L25" s="408">
        <f t="shared" si="3"/>
        <v>0</v>
      </c>
      <c r="V25" s="120">
        <v>25</v>
      </c>
      <c r="W25" s="120">
        <f t="shared" si="7"/>
        <v>3.3540164346805303E-3</v>
      </c>
      <c r="Y25" s="120">
        <f>W27*W25+X27</f>
        <v>-9.755026966610103</v>
      </c>
    </row>
    <row r="26" spans="2:41">
      <c r="B26" s="16" t="str">
        <f>INDEX(Table245[],MATCH('Table S4 Conversions and Notes'!C26,Table245[[#All],[Compound Name]],0),1)</f>
        <v>OCP</v>
      </c>
      <c r="C26" s="16" t="s">
        <v>841</v>
      </c>
      <c r="E26" s="409"/>
      <c r="F26" s="404">
        <f>IF(VLOOKUP(C26,'Table S3 Literature Values'!$A$10:$AV$551,45,FALSE)="","",VLOOKUP(C26,'Table S3 Literature Values'!$A$10:$AV$551,45,FALSE))</f>
        <v>103.37</v>
      </c>
      <c r="G26" s="405">
        <f t="shared" si="8"/>
        <v>376.52</v>
      </c>
      <c r="H26" s="405">
        <f>IF(VLOOKUP(C26,'Table S3 Literature Values'!$A$10:$AV$551,42,FALSE)="",56.5,VLOOKUP(C26,'Table S3 Literature Values'!$A$10:$AV$551,42,FALSE))</f>
        <v>54.267815648747543</v>
      </c>
      <c r="I26" s="406">
        <f t="shared" si="4"/>
        <v>-0.7451293414268001</v>
      </c>
      <c r="J26" s="407">
        <f t="shared" si="2"/>
        <v>-6.6290796171116995E-2</v>
      </c>
      <c r="K26" s="406">
        <f t="shared" si="5"/>
        <v>-0.6788385452556831</v>
      </c>
      <c r="L26" s="408">
        <f t="shared" si="3"/>
        <v>9.7653258841023396E-2</v>
      </c>
      <c r="X26" s="120" t="s">
        <v>587</v>
      </c>
      <c r="Y26" s="120">
        <f>-W27*8.314/1000</f>
        <v>94.890864162898467</v>
      </c>
      <c r="AG26" t="s">
        <v>655</v>
      </c>
      <c r="AH26" t="s">
        <v>621</v>
      </c>
      <c r="AI26" t="s">
        <v>615</v>
      </c>
      <c r="AJ26" t="s">
        <v>614</v>
      </c>
      <c r="AK26" t="s">
        <v>616</v>
      </c>
      <c r="AL26" t="s">
        <v>617</v>
      </c>
      <c r="AM26" t="s">
        <v>618</v>
      </c>
      <c r="AN26" t="s">
        <v>619</v>
      </c>
      <c r="AO26" t="s">
        <v>620</v>
      </c>
    </row>
    <row r="27" spans="2:41">
      <c r="B27" s="16" t="str">
        <f>INDEX(Table245[],MATCH('Table S4 Conversions and Notes'!C27,Table245[[#All],[Compound Name]],0),1)</f>
        <v>PAH</v>
      </c>
      <c r="C27" s="16" t="s">
        <v>1015</v>
      </c>
      <c r="E27" s="409"/>
      <c r="F27" s="404">
        <f>IF(VLOOKUP(C27,'Table S3 Literature Values'!$A$10:$AV$551,45,FALSE)="","",VLOOKUP(C27,'Table S3 Literature Values'!$A$10:$AV$551,45,FALSE))</f>
        <v>177.33333333333334</v>
      </c>
      <c r="G27" s="405">
        <v>454.2</v>
      </c>
      <c r="H27" s="405">
        <f>IF(VLOOKUP(C27,'Table S3 Literature Values'!$A$10:$AV$551,42,FALSE)="",56.5,VLOOKUP(C27,'Table S3 Literature Values'!$A$10:$AV$551,42,FALSE))</f>
        <v>36.703691924967444</v>
      </c>
      <c r="I27" s="406">
        <f t="shared" si="4"/>
        <v>-1.0034898900157387</v>
      </c>
      <c r="J27" s="407">
        <f t="shared" si="2"/>
        <v>-0.17036803419312513</v>
      </c>
      <c r="K27" s="406">
        <f t="shared" si="5"/>
        <v>-0.83312185582261367</v>
      </c>
      <c r="L27" s="408">
        <f t="shared" si="3"/>
        <v>0.20449353597248501</v>
      </c>
      <c r="V27" t="s">
        <v>514</v>
      </c>
      <c r="W27">
        <f t="array" ref="W27:X29">LINEST(Y20:Y24,W20:W24,TRUE,TRUE)</f>
        <v>-11413.382747522066</v>
      </c>
      <c r="X27">
        <v>28.52564634387813</v>
      </c>
      <c r="AF27">
        <v>5</v>
      </c>
      <c r="AG27">
        <v>3.5951824555096176E-3</v>
      </c>
      <c r="AH27" s="74">
        <f>LOG(EXP(AF48))</f>
        <v>-3.4647710000000003</v>
      </c>
      <c r="AI27" s="74">
        <f t="shared" ref="AI27:AO27" si="9">LOG(EXP(AG48))</f>
        <v>-4.3345850000000006</v>
      </c>
      <c r="AJ27" s="74">
        <f t="shared" si="9"/>
        <v>-4.3809980000000008</v>
      </c>
      <c r="AK27" s="74">
        <f t="shared" si="9"/>
        <v>-4.5855589999999999</v>
      </c>
      <c r="AL27" s="74">
        <f t="shared" si="9"/>
        <v>-4.8416899999999998</v>
      </c>
      <c r="AM27" s="74">
        <f t="shared" si="9"/>
        <v>-2.8717160000000006</v>
      </c>
      <c r="AN27" s="74">
        <f t="shared" si="9"/>
        <v>-3.7466870000000005</v>
      </c>
      <c r="AO27" s="74">
        <f t="shared" si="9"/>
        <v>-3.5833820000000003</v>
      </c>
    </row>
    <row r="28" spans="2:41">
      <c r="B28" s="16" t="str">
        <f>INDEX(Table245[],MATCH('Table S4 Conversions and Notes'!C28,Table245[[#All],[Compound Name]],0),1)</f>
        <v>PBDE</v>
      </c>
      <c r="C28" s="16" t="s">
        <v>103</v>
      </c>
      <c r="E28" s="409"/>
      <c r="F28" s="404">
        <f>IF(VLOOKUP(C28,'Table S3 Literature Values'!$A$10:$AV$551,45,FALSE)="","",VLOOKUP(C28,'Table S3 Literature Values'!$A$10:$AV$551,45,FALSE))</f>
        <v>83.875</v>
      </c>
      <c r="G28" s="405">
        <f t="shared" si="8"/>
        <v>357.02499999999998</v>
      </c>
      <c r="H28" s="405">
        <f>IF(VLOOKUP(C28,'Table S3 Literature Values'!$A$10:$AV$551,42,FALSE)="",56.5,VLOOKUP(C28,'Table S3 Literature Values'!$A$10:$AV$551,42,FALSE))</f>
        <v>48.472961613897454</v>
      </c>
      <c r="I28" s="406">
        <f t="shared" si="4"/>
        <v>-0.49999994061938691</v>
      </c>
      <c r="J28" s="407">
        <f t="shared" si="2"/>
        <v>0</v>
      </c>
      <c r="K28" s="406">
        <f t="shared" si="5"/>
        <v>-0.49999994061938691</v>
      </c>
      <c r="L28" s="408">
        <f t="shared" si="3"/>
        <v>0</v>
      </c>
      <c r="W28">
        <v>192.88421304959462</v>
      </c>
      <c r="X28">
        <v>0.3869821754770858</v>
      </c>
      <c r="AF28">
        <v>10</v>
      </c>
      <c r="AG28">
        <v>3.5316969803990822E-3</v>
      </c>
      <c r="AH28" s="74">
        <f t="shared" ref="AH28:AO28" si="10">LOG(EXP(AF49))</f>
        <v>-3.3686280000000006</v>
      </c>
      <c r="AI28" s="74">
        <f t="shared" si="10"/>
        <v>-4.1899130000000007</v>
      </c>
      <c r="AJ28" s="74">
        <f t="shared" si="10"/>
        <v>-4.3660440000000014</v>
      </c>
      <c r="AK28" s="74">
        <f t="shared" si="10"/>
        <v>-4.5975869999999999</v>
      </c>
      <c r="AL28" s="74">
        <f t="shared" si="10"/>
        <v>-4.8746470000000004</v>
      </c>
      <c r="AM28" s="74">
        <f t="shared" si="10"/>
        <v>-2.7887810000000006</v>
      </c>
      <c r="AN28" s="74">
        <f t="shared" si="10"/>
        <v>-3.6634990000000003</v>
      </c>
      <c r="AO28" s="74">
        <f t="shared" si="10"/>
        <v>-3.4715360000000004</v>
      </c>
    </row>
    <row r="29" spans="2:41">
      <c r="B29" s="16" t="str">
        <f>INDEX(Table245[],MATCH('Table S4 Conversions and Notes'!C29,Table245[[#All],[Compound Name]],0),1)</f>
        <v>PBDE</v>
      </c>
      <c r="C29" s="16" t="s">
        <v>108</v>
      </c>
      <c r="E29" s="409"/>
      <c r="F29" s="404">
        <f>IF(VLOOKUP(C29,'Table S3 Literature Values'!$A$10:$AV$551,45,FALSE)="","",VLOOKUP(C29,'Table S3 Literature Values'!$A$10:$AV$551,45,FALSE))</f>
        <v>106</v>
      </c>
      <c r="G29" s="405">
        <f t="shared" ref="G29:G42" si="11">F29+273.15</f>
        <v>379.15</v>
      </c>
      <c r="H29" s="405">
        <f>IF(VLOOKUP(C29,'Table S3 Literature Values'!$A$10:$AV$551,42,FALSE)="",56.5,VLOOKUP(C29,'Table S3 Literature Values'!$A$10:$AV$551,42,FALSE))</f>
        <v>56.5</v>
      </c>
      <c r="I29" s="406">
        <f t="shared" si="4"/>
        <v>-0.80181272462771969</v>
      </c>
      <c r="J29" s="407">
        <f t="shared" si="2"/>
        <v>0</v>
      </c>
      <c r="K29" s="406">
        <f t="shared" si="5"/>
        <v>-0.80181272462771969</v>
      </c>
      <c r="L29" s="408">
        <f t="shared" si="3"/>
        <v>0</v>
      </c>
      <c r="W29">
        <v>0.99914392087154791</v>
      </c>
      <c r="X29">
        <v>9.1941129307115024E-2</v>
      </c>
      <c r="AF29">
        <v>15</v>
      </c>
      <c r="AG29">
        <v>3.4704147145583901E-3</v>
      </c>
      <c r="AH29" s="74">
        <f t="shared" ref="AH29:AO29" si="12">LOG(EXP(AF50))</f>
        <v>-3.2974160000000006</v>
      </c>
      <c r="AI29" s="74">
        <f t="shared" si="12"/>
        <v>-4.2601040000000001</v>
      </c>
      <c r="AJ29" s="74">
        <f t="shared" si="12"/>
        <v>-4.4544080000000017</v>
      </c>
      <c r="AK29" s="74">
        <f t="shared" si="12"/>
        <v>-4.7061200000000012</v>
      </c>
      <c r="AL29" s="74">
        <f t="shared" si="12"/>
        <v>-5.0064080000000004</v>
      </c>
      <c r="AM29" s="74">
        <f t="shared" si="12"/>
        <v>-2.5555280000000002</v>
      </c>
      <c r="AN29" s="74">
        <f t="shared" si="12"/>
        <v>-3.7103120000000009</v>
      </c>
      <c r="AO29" s="74">
        <f t="shared" si="12"/>
        <v>-3.4276880000000007</v>
      </c>
    </row>
    <row r="30" spans="2:41">
      <c r="B30" s="16" t="str">
        <f>INDEX(Table245[],MATCH('Table S4 Conversions and Notes'!C30,Table245[[#All],[Compound Name]],0),1)</f>
        <v>PBDE</v>
      </c>
      <c r="C30" s="16" t="s">
        <v>112</v>
      </c>
      <c r="E30" s="409"/>
      <c r="F30" s="404">
        <f>IF(VLOOKUP(C30,'Table S3 Literature Values'!$A$10:$AV$551,45,FALSE)="","",VLOOKUP(C30,'Table S3 Literature Values'!$A$10:$AV$551,45,FALSE))</f>
        <v>99</v>
      </c>
      <c r="G30" s="405">
        <f t="shared" si="11"/>
        <v>372.15</v>
      </c>
      <c r="H30" s="405">
        <f>IF(VLOOKUP(C30,'Table S3 Literature Values'!$A$10:$AV$551,42,FALSE)="",56.5,VLOOKUP(C30,'Table S3 Literature Values'!$A$10:$AV$551,42,FALSE))</f>
        <v>56.5</v>
      </c>
      <c r="I30" s="406">
        <f t="shared" si="4"/>
        <v>-0.73252026694384287</v>
      </c>
      <c r="J30" s="407">
        <f t="shared" si="2"/>
        <v>0</v>
      </c>
      <c r="K30" s="406">
        <f t="shared" si="5"/>
        <v>-0.73252026694384287</v>
      </c>
      <c r="L30" s="408">
        <f t="shared" si="3"/>
        <v>0</v>
      </c>
      <c r="AF30">
        <v>20</v>
      </c>
      <c r="AG30">
        <v>3.4112229234180458E-3</v>
      </c>
      <c r="AH30" s="74">
        <f t="shared" ref="AH30:AO30" si="13">LOG(EXP(AF51))</f>
        <v>-3.2425440000000005</v>
      </c>
      <c r="AI30" s="74">
        <f t="shared" si="13"/>
        <v>-4.3154599999999999</v>
      </c>
      <c r="AJ30" s="74">
        <f t="shared" si="13"/>
        <v>-4.5036480000000001</v>
      </c>
      <c r="AK30" s="74">
        <f t="shared" si="13"/>
        <v>-4.77982</v>
      </c>
      <c r="AL30" s="74">
        <f t="shared" si="13"/>
        <v>-5.1073160000000009</v>
      </c>
      <c r="AM30" s="74">
        <f t="shared" si="13"/>
        <v>-2.4360240000000002</v>
      </c>
      <c r="AN30" s="74">
        <f t="shared" si="13"/>
        <v>-3.5920360000000007</v>
      </c>
      <c r="AO30" s="74">
        <f t="shared" si="13"/>
        <v>-3.3476360000000005</v>
      </c>
    </row>
    <row r="31" spans="2:41">
      <c r="B31" s="16" t="str">
        <f>INDEX(Table245[],MATCH('Table S4 Conversions and Notes'!C31,Table245[[#All],[Compound Name]],0),1)</f>
        <v>PCB</v>
      </c>
      <c r="C31" s="16" t="s">
        <v>115</v>
      </c>
      <c r="E31" s="409"/>
      <c r="F31" s="404">
        <f>IF(VLOOKUP(C31,'Table S3 Literature Values'!$A$10:$AV$551,45,FALSE)="","",VLOOKUP(C31,'Table S3 Literature Values'!$A$10:$AV$551,45,FALSE))</f>
        <v>86.283333333333346</v>
      </c>
      <c r="G31" s="405">
        <f t="shared" si="11"/>
        <v>359.43333333333334</v>
      </c>
      <c r="H31" s="405">
        <f>IF(VLOOKUP(C31,'Table S3 Literature Values'!$A$10:$AV$551,42,FALSE)="",56.5,VLOOKUP(C31,'Table S3 Literature Values'!$A$10:$AV$551,42,FALSE))</f>
        <v>77.464788732394354</v>
      </c>
      <c r="I31" s="406">
        <f t="shared" si="4"/>
        <v>-0.83173733728025212</v>
      </c>
      <c r="J31" s="407">
        <f t="shared" si="2"/>
        <v>-3.8849204192769479E-2</v>
      </c>
      <c r="K31" s="406">
        <f t="shared" si="5"/>
        <v>-0.79288813308748263</v>
      </c>
      <c r="L31" s="408">
        <f t="shared" si="3"/>
        <v>4.8997081141184243E-2</v>
      </c>
      <c r="AH31" s="74"/>
      <c r="AI31" s="74"/>
      <c r="AJ31" s="74"/>
      <c r="AK31" s="74"/>
      <c r="AL31" s="74"/>
      <c r="AM31" s="74"/>
      <c r="AN31" s="74"/>
      <c r="AO31" s="74"/>
    </row>
    <row r="32" spans="2:41">
      <c r="B32" s="16" t="str">
        <f>INDEX(Table245[],MATCH('Table S4 Conversions and Notes'!C32,Table245[[#All],[Compound Name]],0),1)</f>
        <v>Phthalate</v>
      </c>
      <c r="C32" s="16" t="s">
        <v>135</v>
      </c>
      <c r="E32" s="409">
        <v>3.2000000000000001E-2</v>
      </c>
      <c r="F32" s="404">
        <f>IF(VLOOKUP(C32,'Table S3 Literature Values'!$A$10:$AV$551,45,FALSE)="","",VLOOKUP(C32,'Table S3 Literature Values'!$A$10:$AV$551,45,FALSE))</f>
        <v>308.39285714285717</v>
      </c>
      <c r="G32" s="405">
        <f t="shared" si="11"/>
        <v>581.5428571428572</v>
      </c>
      <c r="H32" s="405">
        <f>IF(VLOOKUP(C32,'Table S3 Literature Values'!$A$10:$AV$551,42,FALSE)="",56.5,VLOOKUP(C32,'Table S3 Literature Values'!$A$10:$AV$551,42,FALSE))</f>
        <v>55.188213787105745</v>
      </c>
      <c r="I32" s="406">
        <f t="shared" si="4"/>
        <v>-2.7401523835093284</v>
      </c>
      <c r="J32" s="407">
        <f t="shared" si="2"/>
        <v>0</v>
      </c>
      <c r="K32" s="406">
        <f t="shared" si="5"/>
        <v>-2.7401523835093284</v>
      </c>
      <c r="L32" s="408">
        <f t="shared" si="3"/>
        <v>0</v>
      </c>
      <c r="M32" s="376" t="s">
        <v>1721</v>
      </c>
      <c r="N32" s="74"/>
      <c r="AH32" s="74"/>
      <c r="AI32" s="74"/>
      <c r="AJ32" s="74"/>
      <c r="AK32" s="74"/>
      <c r="AL32" s="74"/>
      <c r="AM32" s="74"/>
      <c r="AN32" s="74"/>
      <c r="AO32" s="74"/>
    </row>
    <row r="33" spans="1:41">
      <c r="B33" s="16" t="str">
        <f>INDEX(Table245[],MATCH('Table S4 Conversions and Notes'!C33,Table245[[#All],[Compound Name]],0),1)</f>
        <v>PCB</v>
      </c>
      <c r="C33" s="16" t="s">
        <v>129</v>
      </c>
      <c r="E33" s="409">
        <v>0.65100000000000002</v>
      </c>
      <c r="F33" s="404">
        <f>IF(VLOOKUP(C33,'Table S3 Literature Values'!$A$10:$AV$551,45,FALSE)="","",VLOOKUP(C33,'Table S3 Literature Values'!$A$10:$AV$551,45,FALSE))</f>
        <v>42.916666666666664</v>
      </c>
      <c r="G33" s="405">
        <f t="shared" si="11"/>
        <v>316.06666666666666</v>
      </c>
      <c r="H33" s="405">
        <f>IF(VLOOKUP(C33,'Table S3 Literature Values'!$A$10:$AV$551,42,FALSE)="",56.5,VLOOKUP(C33,'Table S3 Literature Values'!$A$10:$AV$551,42,FALSE))</f>
        <v>60</v>
      </c>
      <c r="I33" s="406">
        <f t="shared" si="4"/>
        <v>-0.18834233125200489</v>
      </c>
      <c r="J33" s="407">
        <f t="shared" si="2"/>
        <v>-1.7201904392361161E-3</v>
      </c>
      <c r="K33" s="406">
        <f t="shared" si="5"/>
        <v>-0.18662214081276879</v>
      </c>
      <c r="L33" s="408">
        <f t="shared" si="3"/>
        <v>9.2175045883860079E-3</v>
      </c>
      <c r="M33" s="376" t="s">
        <v>1721</v>
      </c>
      <c r="N33" s="74"/>
      <c r="AH33" s="74"/>
      <c r="AI33" s="74"/>
      <c r="AJ33" s="74"/>
      <c r="AK33" s="74"/>
      <c r="AL33" s="74"/>
      <c r="AM33" s="74"/>
      <c r="AN33" s="74"/>
      <c r="AO33" s="74"/>
    </row>
    <row r="34" spans="1:41">
      <c r="B34" s="16" t="str">
        <f>INDEX(Table245[],MATCH('Table S4 Conversions and Notes'!C34,Table245[[#All],[Compound Name]],0),1)</f>
        <v>PCB</v>
      </c>
      <c r="C34" s="16" t="s">
        <v>118</v>
      </c>
      <c r="E34" s="409">
        <v>0.221</v>
      </c>
      <c r="F34" s="404">
        <f>IF(VLOOKUP(C34,'Table S3 Literature Values'!$A$10:$AV$551,45,FALSE)="","",VLOOKUP(C34,'Table S3 Literature Values'!$A$10:$AV$551,45,FALSE))</f>
        <v>91</v>
      </c>
      <c r="G34" s="405">
        <f t="shared" si="11"/>
        <v>364.15</v>
      </c>
      <c r="H34" s="405">
        <f>IF(VLOOKUP(C34,'Table S3 Literature Values'!$A$10:$AV$551,42,FALSE)="",56.5,VLOOKUP(C34,'Table S3 Literature Values'!$A$10:$AV$551,42,FALSE))</f>
        <v>56.5</v>
      </c>
      <c r="I34" s="406">
        <f t="shared" si="4"/>
        <v>-0.65332888673369771</v>
      </c>
      <c r="J34" s="407">
        <f t="shared" si="2"/>
        <v>-4.5700573379999998E-2</v>
      </c>
      <c r="K34" s="406">
        <f t="shared" si="5"/>
        <v>-0.60762831335369771</v>
      </c>
      <c r="L34" s="408">
        <f t="shared" si="3"/>
        <v>7.5211395479193047E-2</v>
      </c>
      <c r="M34" s="376" t="s">
        <v>1721</v>
      </c>
      <c r="N34" s="74"/>
      <c r="AH34" s="74"/>
      <c r="AI34" s="74"/>
      <c r="AJ34" s="74"/>
      <c r="AK34" s="74"/>
      <c r="AL34" s="74"/>
      <c r="AM34" s="74"/>
      <c r="AN34" s="74"/>
      <c r="AO34" s="74"/>
    </row>
    <row r="35" spans="1:41">
      <c r="B35" s="16" t="str">
        <f>INDEX(Table245[],MATCH('Table S4 Conversions and Notes'!C35,Table245[[#All],[Compound Name]],0),1)</f>
        <v>PCB</v>
      </c>
      <c r="C35" s="16" t="s">
        <v>120</v>
      </c>
      <c r="E35" s="409">
        <v>0.46300000000000002</v>
      </c>
      <c r="F35" s="404">
        <f>IF(VLOOKUP(C35,'Table S3 Literature Values'!$A$10:$AV$551,45,FALSE)="","",VLOOKUP(C35,'Table S3 Literature Values'!$A$10:$AV$551,45,FALSE))</f>
        <v>57.75</v>
      </c>
      <c r="G35" s="405">
        <f t="shared" si="11"/>
        <v>330.9</v>
      </c>
      <c r="H35" s="405">
        <f>IF(VLOOKUP(C35,'Table S3 Literature Values'!$A$10:$AV$551,42,FALSE)="",56.5,VLOOKUP(C35,'Table S3 Literature Values'!$A$10:$AV$551,42,FALSE))</f>
        <v>56.5</v>
      </c>
      <c r="I35" s="406">
        <f t="shared" si="4"/>
        <v>-0.32418971273528141</v>
      </c>
      <c r="J35" s="407">
        <f t="shared" si="2"/>
        <v>-9.1700739331249982E-3</v>
      </c>
      <c r="K35" s="406">
        <f t="shared" si="5"/>
        <v>-0.31501963880215639</v>
      </c>
      <c r="L35" s="408">
        <f t="shared" si="3"/>
        <v>2.9109530973985189E-2</v>
      </c>
      <c r="M35" s="376" t="s">
        <v>1721</v>
      </c>
      <c r="N35" s="74"/>
      <c r="AH35" s="74"/>
      <c r="AI35" s="74"/>
      <c r="AJ35" s="74"/>
      <c r="AK35" s="74"/>
      <c r="AL35" s="74"/>
      <c r="AM35" s="74"/>
      <c r="AN35" s="74"/>
      <c r="AO35" s="74"/>
    </row>
    <row r="36" spans="1:41">
      <c r="B36" s="16" t="str">
        <f>INDEX(Table245[],MATCH('Table S4 Conversions and Notes'!C36,Table245[[#All],[Compound Name]],0),1)</f>
        <v>PCB</v>
      </c>
      <c r="C36" s="16" t="s">
        <v>125</v>
      </c>
      <c r="E36" s="409">
        <v>0.94299999999999995</v>
      </c>
      <c r="F36" s="404">
        <f>IF(VLOOKUP(C36,'Table S3 Literature Values'!$A$10:$AV$551,45,FALSE)="","",VLOOKUP(C36,'Table S3 Literature Values'!$A$10:$AV$551,45,FALSE))</f>
        <v>29.083333333333332</v>
      </c>
      <c r="G36" s="405">
        <f t="shared" si="11"/>
        <v>302.23333333333329</v>
      </c>
      <c r="H36" s="405">
        <f>IF(VLOOKUP(C36,'Table S3 Literature Values'!$A$10:$AV$551,42,FALSE)="",56.5,VLOOKUP(C36,'Table S3 Literature Values'!$A$10:$AV$551,42,FALSE))</f>
        <v>56.5</v>
      </c>
      <c r="I36" s="406">
        <f t="shared" si="4"/>
        <v>-4.0420600315594843E-2</v>
      </c>
      <c r="J36" s="407">
        <f t="shared" si="2"/>
        <v>3.0860636576388858E-4</v>
      </c>
      <c r="K36" s="406">
        <f t="shared" si="5"/>
        <v>-4.072920668135873E-2</v>
      </c>
      <c r="L36" s="408">
        <f t="shared" si="3"/>
        <v>-7.577028646254827E-3</v>
      </c>
      <c r="M36" s="376" t="s">
        <v>1721</v>
      </c>
      <c r="N36" s="74"/>
      <c r="AH36" s="74"/>
      <c r="AI36" s="74"/>
      <c r="AJ36" s="74"/>
      <c r="AK36" s="74"/>
      <c r="AL36" s="74"/>
      <c r="AM36" s="74"/>
      <c r="AN36" s="74"/>
      <c r="AO36" s="74"/>
    </row>
    <row r="37" spans="1:41">
      <c r="B37" s="16" t="str">
        <f>INDEX(Table245[],MATCH('Table S4 Conversions and Notes'!C37,Table245[[#All],[Compound Name]],0),1)</f>
        <v>PCB</v>
      </c>
      <c r="C37" s="16" t="s">
        <v>122</v>
      </c>
      <c r="E37" s="337">
        <v>0.32400000000000001</v>
      </c>
      <c r="F37" s="404">
        <f>IF(VLOOKUP(C37,'Table S3 Literature Values'!$A$10:$AV$551,45,FALSE)="","",VLOOKUP(C37,'Table S3 Literature Values'!$A$10:$AV$551,45,FALSE))</f>
        <v>76</v>
      </c>
      <c r="G37" s="405">
        <f t="shared" si="11"/>
        <v>349.15</v>
      </c>
      <c r="H37" s="405">
        <f>IF(VLOOKUP(C37,'Table S3 Literature Values'!$A$10:$AV$551,42,FALSE)="",56.5,VLOOKUP(C37,'Table S3 Literature Values'!$A$10:$AV$551,42,FALSE))</f>
        <v>56.5</v>
      </c>
      <c r="I37" s="406">
        <f t="shared" si="4"/>
        <v>-0.50484504883967574</v>
      </c>
      <c r="J37" s="407">
        <f t="shared" si="2"/>
        <v>-2.5825072979999995E-2</v>
      </c>
      <c r="K37" s="406">
        <f t="shared" si="5"/>
        <v>-0.47901997585967576</v>
      </c>
      <c r="L37" s="408">
        <f t="shared" si="3"/>
        <v>5.3912309050688105E-2</v>
      </c>
      <c r="M37" s="376" t="s">
        <v>1721</v>
      </c>
      <c r="N37" s="74"/>
      <c r="AH37" s="74"/>
      <c r="AI37" s="74"/>
      <c r="AJ37" s="74"/>
      <c r="AK37" s="74"/>
      <c r="AL37" s="74"/>
      <c r="AM37" s="74"/>
      <c r="AN37" s="74"/>
      <c r="AO37" s="74"/>
    </row>
    <row r="38" spans="1:41">
      <c r="B38" s="16" t="str">
        <f>INDEX(Table245[],MATCH('Table S4 Conversions and Notes'!C38,Table245[[#All],[Compound Name]],0),1)</f>
        <v>PCB</v>
      </c>
      <c r="C38" s="16" t="s">
        <v>127</v>
      </c>
      <c r="E38" s="337">
        <v>0.104</v>
      </c>
      <c r="F38" s="404">
        <f>IF(VLOOKUP(C38,'Table S3 Literature Values'!$A$10:$AV$551,45,FALSE)="","",VLOOKUP(C38,'Table S3 Literature Values'!$A$10:$AV$551,45,FALSE))</f>
        <v>136</v>
      </c>
      <c r="G38" s="405">
        <f t="shared" si="11"/>
        <v>409.15</v>
      </c>
      <c r="H38" s="405">
        <f>IF(VLOOKUP(C38,'Table S3 Literature Values'!$A$10:$AV$551,42,FALSE)="",56.5,VLOOKUP(C38,'Table S3 Literature Values'!$A$10:$AV$551,42,FALSE))</f>
        <v>56.5</v>
      </c>
      <c r="I38" s="406">
        <f t="shared" si="4"/>
        <v>-1.0987804004157642</v>
      </c>
      <c r="J38" s="407">
        <f t="shared" si="2"/>
        <v>-0.13881768557999999</v>
      </c>
      <c r="K38" s="406">
        <f t="shared" si="5"/>
        <v>-0.95996271483576423</v>
      </c>
      <c r="L38" s="408">
        <f t="shared" si="3"/>
        <v>0.14460737217668884</v>
      </c>
      <c r="M38" s="376" t="s">
        <v>1721</v>
      </c>
      <c r="N38" s="74"/>
      <c r="AH38" s="74"/>
      <c r="AI38" s="74"/>
      <c r="AJ38" s="74"/>
      <c r="AK38" s="74"/>
      <c r="AL38" s="74"/>
      <c r="AM38" s="74"/>
      <c r="AN38" s="74"/>
      <c r="AO38" s="74"/>
    </row>
    <row r="39" spans="1:41">
      <c r="B39" s="16" t="str">
        <f>INDEX(Table245[],MATCH('Table S4 Conversions and Notes'!C39,Table245[[#All],[Compound Name]],0),1)</f>
        <v>PCB</v>
      </c>
      <c r="C39" s="16" t="s">
        <v>131</v>
      </c>
      <c r="E39" s="337">
        <v>4.2999999999999997E-2</v>
      </c>
      <c r="F39" s="404">
        <f>IF(VLOOKUP(C39,'Table S3 Literature Values'!$A$10:$AV$551,45,FALSE)="","",VLOOKUP(C39,'Table S3 Literature Values'!$A$10:$AV$551,45,FALSE))</f>
        <v>204.5</v>
      </c>
      <c r="G39" s="405">
        <f t="shared" si="11"/>
        <v>477.65</v>
      </c>
      <c r="H39" s="405">
        <f>IF(VLOOKUP(C39,'Table S3 Literature Values'!$A$10:$AV$551,42,FALSE)="",56.5,VLOOKUP(C39,'Table S3 Literature Values'!$A$10:$AV$551,42,FALSE))</f>
        <v>56.5</v>
      </c>
      <c r="I39" s="406">
        <f t="shared" si="4"/>
        <v>-1.7768565934651319</v>
      </c>
      <c r="J39" s="407">
        <f t="shared" si="2"/>
        <v>-0.3770000778075</v>
      </c>
      <c r="K39" s="406">
        <f t="shared" si="5"/>
        <v>-1.3998565156576319</v>
      </c>
      <c r="L39" s="408">
        <f t="shared" si="3"/>
        <v>0.26931337147106887</v>
      </c>
      <c r="M39" s="376" t="s">
        <v>1721</v>
      </c>
      <c r="N39" s="74"/>
      <c r="AH39" s="74"/>
      <c r="AI39" s="74"/>
      <c r="AJ39" s="74"/>
      <c r="AK39" s="74"/>
      <c r="AL39" s="74"/>
      <c r="AM39" s="74"/>
      <c r="AN39" s="74"/>
      <c r="AO39" s="74"/>
    </row>
    <row r="40" spans="1:41">
      <c r="B40" s="16" t="str">
        <f>INDEX(Table245[],MATCH('Table S4 Conversions and Notes'!C40,Table245[[#All],[Compound Name]],0),1)</f>
        <v>PCB</v>
      </c>
      <c r="C40" s="16" t="s">
        <v>133</v>
      </c>
      <c r="E40" s="337">
        <v>0.16300000000000001</v>
      </c>
      <c r="F40" s="404">
        <f>IF(VLOOKUP(C40,'Table S3 Literature Values'!$A$10:$AV$551,45,FALSE)="","",VLOOKUP(C40,'Table S3 Literature Values'!$A$10:$AV$551,45,FALSE))</f>
        <v>102.5</v>
      </c>
      <c r="G40" s="405">
        <f t="shared" si="11"/>
        <v>375.65</v>
      </c>
      <c r="H40" s="405">
        <f>IF(VLOOKUP(C40,'Table S3 Literature Values'!$A$10:$AV$551,42,FALSE)="",56.5,VLOOKUP(C40,'Table S3 Literature Values'!$A$10:$AV$551,42,FALSE))</f>
        <v>56.5</v>
      </c>
      <c r="I40" s="406">
        <f t="shared" si="4"/>
        <v>-0.76716649578578122</v>
      </c>
      <c r="J40" s="407">
        <f t="shared" si="2"/>
        <v>-6.4718554687499999E-2</v>
      </c>
      <c r="K40" s="406">
        <f t="shared" si="5"/>
        <v>-0.70244794109828124</v>
      </c>
      <c r="L40" s="408">
        <f t="shared" si="3"/>
        <v>9.2132884020290781E-2</v>
      </c>
      <c r="M40" s="376" t="s">
        <v>1721</v>
      </c>
      <c r="N40" s="74"/>
      <c r="AH40" s="74"/>
      <c r="AI40" s="74"/>
      <c r="AJ40" s="74"/>
      <c r="AK40" s="74"/>
      <c r="AL40" s="74"/>
      <c r="AM40" s="74"/>
      <c r="AN40" s="74"/>
      <c r="AO40" s="74"/>
    </row>
    <row r="41" spans="1:41">
      <c r="B41" s="16" t="str">
        <f>INDEX(Table245[],MATCH('Table S4 Conversions and Notes'!C41,Table245[[#All],[Compound Name]],0),1)</f>
        <v>OCP</v>
      </c>
      <c r="C41" s="16" t="s">
        <v>168</v>
      </c>
      <c r="E41" s="409"/>
      <c r="F41" s="404">
        <f>IF(VLOOKUP(C41,'Table S3 Literature Values'!$A$10:$AV$551,45,FALSE)="","",VLOOKUP(C41,'Table S3 Literature Values'!$A$10:$AV$551,45,FALSE))</f>
        <v>109.78000000000002</v>
      </c>
      <c r="G41" s="405">
        <f t="shared" si="11"/>
        <v>382.93</v>
      </c>
      <c r="H41" s="405">
        <f>IF(VLOOKUP(C41,'Table S3 Literature Values'!$A$10:$AV$551,42,FALSE)="",56.5,VLOOKUP(C41,'Table S3 Literature Values'!$A$10:$AV$551,42,FALSE))</f>
        <v>76.233760351550458</v>
      </c>
      <c r="I41" s="406">
        <f>LOG(EXP(-H41/8.314*(G41/$J$46-1)))</f>
        <v>-1.1323488210131745</v>
      </c>
      <c r="J41" s="407">
        <f t="shared" si="2"/>
        <v>-7.8453609187212045E-2</v>
      </c>
      <c r="K41" s="406">
        <f t="shared" si="5"/>
        <v>-1.0538952118259624</v>
      </c>
      <c r="L41" s="408">
        <f t="shared" si="3"/>
        <v>7.4441565258926021E-2</v>
      </c>
      <c r="M41" s="298"/>
      <c r="N41" s="298"/>
      <c r="O41" s="375"/>
      <c r="P41" s="74"/>
      <c r="AF41" s="74"/>
      <c r="AG41" s="74"/>
      <c r="AH41" s="74"/>
      <c r="AI41" s="74"/>
      <c r="AJ41" s="74"/>
      <c r="AK41" s="74"/>
      <c r="AL41" s="74"/>
      <c r="AM41" s="74"/>
    </row>
    <row r="42" spans="1:41">
      <c r="B42" s="16" t="str">
        <f>INDEX(Table245[],MATCH('Table S4 Conversions and Notes'!C42,Table245[[#All],[Compound Name]],0),1)</f>
        <v>PBDE</v>
      </c>
      <c r="C42" s="16" t="s">
        <v>1016</v>
      </c>
      <c r="E42" s="409"/>
      <c r="F42" s="404">
        <f>IF(VLOOKUP(C42,'Table S3 Literature Values'!$A$10:$AV$551,45,FALSE)="","",VLOOKUP(C42,'Table S3 Literature Values'!$A$10:$AV$551,45,FALSE))</f>
        <v>216.61666666666667</v>
      </c>
      <c r="G42" s="405">
        <f t="shared" si="11"/>
        <v>489.76666666666665</v>
      </c>
      <c r="H42" s="405">
        <f>IF(VLOOKUP(C42,'Table S3 Literature Values'!$A$10:$AV$551,42,FALSE)="",56.5,VLOOKUP(C42,'Table S3 Literature Values'!$A$10:$AV$551,42,FALSE))</f>
        <v>56.5</v>
      </c>
      <c r="I42" s="406">
        <f>LOG(EXP(-H42/8.314*(G42/$J$46-1)))</f>
        <v>-1.8967985380750809</v>
      </c>
      <c r="J42" s="407">
        <f t="shared" si="2"/>
        <v>0</v>
      </c>
      <c r="K42" s="406">
        <f>I42-J42</f>
        <v>-1.8967985380750809</v>
      </c>
      <c r="L42" s="408">
        <f>J42/K42</f>
        <v>0</v>
      </c>
      <c r="M42" s="298"/>
      <c r="N42" s="298"/>
      <c r="O42" s="375"/>
      <c r="P42" s="74"/>
    </row>
    <row r="43" spans="1:41">
      <c r="E43" s="411"/>
      <c r="H43" s="405"/>
      <c r="I43" s="410"/>
      <c r="J43" s="412"/>
      <c r="K43" s="413"/>
      <c r="L43" s="408"/>
      <c r="M43" s="298"/>
      <c r="N43" s="298"/>
      <c r="O43" s="375"/>
      <c r="P43" s="74"/>
    </row>
    <row r="44" spans="1:41">
      <c r="N44" s="314" t="s">
        <v>1525</v>
      </c>
      <c r="O44" s="314"/>
      <c r="P44" s="314"/>
    </row>
    <row r="45" spans="1:41">
      <c r="I45" s="16" t="s">
        <v>1092</v>
      </c>
      <c r="J45" s="16">
        <v>8.3140000000000001</v>
      </c>
      <c r="K45" s="16" t="s">
        <v>269</v>
      </c>
      <c r="N45" t="s">
        <v>191</v>
      </c>
      <c r="O45" t="s">
        <v>1528</v>
      </c>
      <c r="P45" t="s">
        <v>1436</v>
      </c>
    </row>
    <row r="46" spans="1:41">
      <c r="A46" t="s">
        <v>1717</v>
      </c>
      <c r="I46" s="16" t="s">
        <v>267</v>
      </c>
      <c r="J46" s="16">
        <v>298.14999999999998</v>
      </c>
      <c r="K46" s="16" t="s">
        <v>268</v>
      </c>
      <c r="N46" t="s">
        <v>274</v>
      </c>
      <c r="O46" t="s">
        <v>653</v>
      </c>
      <c r="P46" t="s">
        <v>1403</v>
      </c>
      <c r="T46" s="120" t="s">
        <v>661</v>
      </c>
    </row>
    <row r="47" spans="1:41">
      <c r="B47" s="495" t="s">
        <v>197</v>
      </c>
      <c r="C47" s="495" t="s">
        <v>273</v>
      </c>
      <c r="D47" s="495" t="s">
        <v>3</v>
      </c>
      <c r="E47" s="496" t="s">
        <v>1502</v>
      </c>
      <c r="F47" s="495" t="s">
        <v>343</v>
      </c>
      <c r="G47" s="495" t="s">
        <v>344</v>
      </c>
      <c r="H47" s="495" t="s">
        <v>1521</v>
      </c>
      <c r="I47" s="497" t="s">
        <v>1503</v>
      </c>
      <c r="J47" s="495" t="s">
        <v>1161</v>
      </c>
      <c r="K47" s="495" t="s">
        <v>192</v>
      </c>
      <c r="L47" s="414" t="s">
        <v>202</v>
      </c>
      <c r="N47" t="s">
        <v>359</v>
      </c>
      <c r="O47" t="s">
        <v>1420</v>
      </c>
      <c r="P47" t="s">
        <v>1405</v>
      </c>
      <c r="T47" t="s">
        <v>478</v>
      </c>
      <c r="U47" t="s">
        <v>510</v>
      </c>
      <c r="V47" t="s">
        <v>630</v>
      </c>
      <c r="W47" t="s">
        <v>631</v>
      </c>
      <c r="X47" t="s">
        <v>622</v>
      </c>
      <c r="Y47" t="s">
        <v>623</v>
      </c>
      <c r="Z47" t="s">
        <v>624</v>
      </c>
      <c r="AA47" t="s">
        <v>625</v>
      </c>
      <c r="AB47" t="s">
        <v>626</v>
      </c>
      <c r="AC47" t="s">
        <v>627</v>
      </c>
      <c r="AD47" t="s">
        <v>628</v>
      </c>
      <c r="AE47" t="s">
        <v>629</v>
      </c>
      <c r="AF47" t="s">
        <v>621</v>
      </c>
      <c r="AG47" t="s">
        <v>615</v>
      </c>
      <c r="AH47" t="s">
        <v>614</v>
      </c>
      <c r="AI47" t="s">
        <v>616</v>
      </c>
      <c r="AJ47" t="s">
        <v>617</v>
      </c>
      <c r="AK47" t="s">
        <v>618</v>
      </c>
      <c r="AL47" t="s">
        <v>619</v>
      </c>
      <c r="AM47" t="s">
        <v>620</v>
      </c>
    </row>
    <row r="48" spans="1:41">
      <c r="B48" s="103" t="s">
        <v>581</v>
      </c>
      <c r="C48" s="103" t="s">
        <v>191</v>
      </c>
      <c r="D48" s="103" t="s">
        <v>8</v>
      </c>
      <c r="E48" s="332">
        <f>X12</f>
        <v>0.59882612984874561</v>
      </c>
      <c r="F48" s="8">
        <v>25</v>
      </c>
      <c r="G48" s="8">
        <v>25</v>
      </c>
      <c r="H48" s="8"/>
      <c r="I48" s="229"/>
      <c r="J48" s="332">
        <f>LOG(E48)</f>
        <v>-0.22269925742462177</v>
      </c>
      <c r="K48" s="103" t="s">
        <v>598</v>
      </c>
      <c r="L48" s="414"/>
      <c r="N48" t="s">
        <v>1343</v>
      </c>
      <c r="O48" t="s">
        <v>1206</v>
      </c>
      <c r="P48" t="s">
        <v>1438</v>
      </c>
      <c r="T48">
        <v>5</v>
      </c>
      <c r="U48" s="74">
        <f>1/(T48+273.15)</f>
        <v>3.5951824555096176E-3</v>
      </c>
      <c r="V48">
        <v>-2.246</v>
      </c>
      <c r="W48">
        <v>-1.7190000000000001</v>
      </c>
      <c r="X48">
        <v>0.70899999999999996</v>
      </c>
      <c r="Y48">
        <v>1.2150000000000001</v>
      </c>
      <c r="Z48">
        <v>1.242</v>
      </c>
      <c r="AA48">
        <v>1.361</v>
      </c>
      <c r="AB48">
        <v>1.51</v>
      </c>
      <c r="AC48">
        <v>0.36399999999999999</v>
      </c>
      <c r="AD48">
        <v>0.873</v>
      </c>
      <c r="AE48">
        <v>0.77800000000000002</v>
      </c>
      <c r="AF48" s="74">
        <f t="shared" ref="AF48:AM48" si="14">LN(10^($V48+$W48*X48))</f>
        <v>-7.9779300552380734</v>
      </c>
      <c r="AG48" s="74">
        <f t="shared" si="14"/>
        <v>-9.9807508053155978</v>
      </c>
      <c r="AH48" s="74">
        <f t="shared" si="14"/>
        <v>-10.087620687236729</v>
      </c>
      <c r="AI48" s="74">
        <f t="shared" si="14"/>
        <v>-10.558639796444684</v>
      </c>
      <c r="AJ48" s="74">
        <f t="shared" si="14"/>
        <v>-11.148403218898341</v>
      </c>
      <c r="AK48" s="74">
        <f t="shared" si="14"/>
        <v>-6.61237045291249</v>
      </c>
      <c r="AL48" s="74">
        <f t="shared" si="14"/>
        <v>-8.6270656343145831</v>
      </c>
      <c r="AM48" s="74">
        <f t="shared" si="14"/>
        <v>-8.2510419757031901</v>
      </c>
    </row>
    <row r="49" spans="2:48">
      <c r="B49" s="103" t="s">
        <v>195</v>
      </c>
      <c r="C49" s="103" t="s">
        <v>191</v>
      </c>
      <c r="D49" s="103" t="s">
        <v>8</v>
      </c>
      <c r="E49" s="103">
        <v>0.12</v>
      </c>
      <c r="F49" s="8"/>
      <c r="G49" s="8"/>
      <c r="H49" s="8"/>
      <c r="I49" s="103">
        <f>E49/(10^K8)</f>
        <v>0.18441728940960106</v>
      </c>
      <c r="J49" s="332">
        <f t="shared" ref="J49:J54" si="15">LOG(I49)</f>
        <v>-0.7341983655860872</v>
      </c>
      <c r="K49" s="103" t="s">
        <v>1501</v>
      </c>
      <c r="L49" s="103"/>
      <c r="N49" t="s">
        <v>281</v>
      </c>
      <c r="O49" t="s">
        <v>674</v>
      </c>
      <c r="P49" t="s">
        <v>1406</v>
      </c>
      <c r="T49">
        <v>10</v>
      </c>
      <c r="U49" s="74">
        <f>1/(T49+273.15)</f>
        <v>3.5316969803990822E-3</v>
      </c>
      <c r="V49">
        <v>-1.92</v>
      </c>
      <c r="W49">
        <v>-1.9790000000000001</v>
      </c>
      <c r="X49">
        <v>0.73199999999999998</v>
      </c>
      <c r="Y49">
        <v>1.147</v>
      </c>
      <c r="Z49">
        <v>1.236</v>
      </c>
      <c r="AA49">
        <v>1.353</v>
      </c>
      <c r="AB49">
        <v>1.4930000000000001</v>
      </c>
      <c r="AC49">
        <v>0.439</v>
      </c>
      <c r="AD49">
        <v>0.88100000000000001</v>
      </c>
      <c r="AE49">
        <v>0.78400000000000003</v>
      </c>
      <c r="AF49" s="74">
        <f t="shared" ref="AF49:AG51" si="16">LN(10^($V49+$W49*X49))</f>
        <v>-7.7565526166423471</v>
      </c>
      <c r="AG49" s="74">
        <f t="shared" si="16"/>
        <v>-9.6476312147419634</v>
      </c>
      <c r="AH49" s="74">
        <f t="shared" ref="AH49:AM51" si="17">LN(10^($V49+$W49*Z49))</f>
        <v>-10.053187829756098</v>
      </c>
      <c r="AI49" s="74">
        <f t="shared" si="17"/>
        <v>-10.586335289943216</v>
      </c>
      <c r="AJ49" s="74">
        <f t="shared" si="17"/>
        <v>-11.224289515808147</v>
      </c>
      <c r="AK49" s="74">
        <f t="shared" si="17"/>
        <v>-6.4214055582250289</v>
      </c>
      <c r="AL49" s="74">
        <f t="shared" si="17"/>
        <v>-8.4355181855985943</v>
      </c>
      <c r="AM49" s="74">
        <f t="shared" si="17"/>
        <v>-7.993507043392178</v>
      </c>
    </row>
    <row r="50" spans="2:48">
      <c r="B50" s="103" t="s">
        <v>196</v>
      </c>
      <c r="C50" s="103" t="s">
        <v>191</v>
      </c>
      <c r="D50" s="103" t="s">
        <v>189</v>
      </c>
      <c r="E50" s="103">
        <v>5.2999999999999999E-2</v>
      </c>
      <c r="F50" s="8"/>
      <c r="G50" s="8"/>
      <c r="H50" s="8"/>
      <c r="I50" s="103">
        <f>E50/(10^K9)</f>
        <v>5.8911085698695222E-2</v>
      </c>
      <c r="J50" s="332">
        <f t="shared" si="15"/>
        <v>-1.2298029733833844</v>
      </c>
      <c r="K50" s="103" t="s">
        <v>1504</v>
      </c>
      <c r="L50" s="103"/>
      <c r="N50" t="s">
        <v>1209</v>
      </c>
      <c r="O50" t="s">
        <v>1434</v>
      </c>
      <c r="P50" t="s">
        <v>1439</v>
      </c>
      <c r="T50">
        <v>15</v>
      </c>
      <c r="U50" s="74">
        <f>1/(T50+273.15)</f>
        <v>3.4704147145583901E-3</v>
      </c>
      <c r="V50">
        <v>-1.637</v>
      </c>
      <c r="W50">
        <v>-2.2080000000000002</v>
      </c>
      <c r="X50">
        <v>0.752</v>
      </c>
      <c r="Y50">
        <v>1.1879999999999999</v>
      </c>
      <c r="Z50">
        <v>1.276</v>
      </c>
      <c r="AA50">
        <v>1.39</v>
      </c>
      <c r="AB50">
        <v>1.526</v>
      </c>
      <c r="AC50">
        <v>0.41599999999999998</v>
      </c>
      <c r="AD50">
        <v>0.93899999999999995</v>
      </c>
      <c r="AE50">
        <v>0.81100000000000005</v>
      </c>
      <c r="AF50" s="74">
        <f>LN(10^($V50+$W50*X50))</f>
        <v>-7.5925809270000553</v>
      </c>
      <c r="AG50" s="74">
        <f t="shared" si="16"/>
        <v>-9.8092519650043073</v>
      </c>
      <c r="AH50" s="74">
        <f t="shared" si="17"/>
        <v>-10.256653458913425</v>
      </c>
      <c r="AI50" s="74">
        <f t="shared" si="17"/>
        <v>-10.83624175784114</v>
      </c>
      <c r="AJ50" s="74">
        <f t="shared" si="17"/>
        <v>-11.527680430246136</v>
      </c>
      <c r="AK50" s="74">
        <f t="shared" si="17"/>
        <v>-5.8843206775288879</v>
      </c>
      <c r="AL50" s="74">
        <f t="shared" si="17"/>
        <v>-8.5433091015569254</v>
      </c>
      <c r="AM50" s="74">
        <f t="shared" si="17"/>
        <v>-7.892543292234576</v>
      </c>
    </row>
    <row r="51" spans="2:48">
      <c r="B51" s="103" t="s">
        <v>199</v>
      </c>
      <c r="C51" s="103" t="s">
        <v>191</v>
      </c>
      <c r="D51" s="103" t="s">
        <v>21</v>
      </c>
      <c r="E51" s="415">
        <f>10^-0.879</f>
        <v>0.13212956341865748</v>
      </c>
      <c r="F51" s="8"/>
      <c r="G51" s="8"/>
      <c r="H51" s="8"/>
      <c r="I51" s="103">
        <f>E51/(10^K10)</f>
        <v>0.29206700950600206</v>
      </c>
      <c r="J51" s="332">
        <f t="shared" si="15"/>
        <v>-0.53451749608586874</v>
      </c>
      <c r="K51" s="103" t="s">
        <v>1505</v>
      </c>
      <c r="L51" s="8"/>
      <c r="T51">
        <v>20</v>
      </c>
      <c r="U51" s="74">
        <f>1/(T51+273.15)</f>
        <v>3.4112229234180458E-3</v>
      </c>
      <c r="V51">
        <v>-1.3460000000000001</v>
      </c>
      <c r="W51">
        <v>-2.444</v>
      </c>
      <c r="X51">
        <v>0.77600000000000002</v>
      </c>
      <c r="Y51">
        <v>1.2150000000000001</v>
      </c>
      <c r="Z51">
        <v>1.292</v>
      </c>
      <c r="AA51">
        <v>1.405</v>
      </c>
      <c r="AB51">
        <v>1.5389999999999999</v>
      </c>
      <c r="AC51">
        <v>0.44600000000000001</v>
      </c>
      <c r="AD51">
        <v>0.91900000000000004</v>
      </c>
      <c r="AE51">
        <v>0.81899999999999995</v>
      </c>
      <c r="AF51" s="74">
        <f>LN(10^($V51+$W51*X51))</f>
        <v>-7.4662334777772861</v>
      </c>
      <c r="AG51" s="74">
        <f t="shared" si="16"/>
        <v>-9.9367138654120843</v>
      </c>
      <c r="AH51" s="74">
        <f t="shared" si="17"/>
        <v>-10.370032748892449</v>
      </c>
      <c r="AI51" s="74">
        <f t="shared" si="17"/>
        <v>-11.0059422791948</v>
      </c>
      <c r="AJ51" s="74">
        <f t="shared" si="17"/>
        <v>-11.760029686809979</v>
      </c>
      <c r="AK51" s="74">
        <f t="shared" si="17"/>
        <v>-5.6091525485757279</v>
      </c>
      <c r="AL51" s="74">
        <f t="shared" si="17"/>
        <v>-8.2709685470979615</v>
      </c>
      <c r="AM51" s="74">
        <f t="shared" si="17"/>
        <v>-7.7082167503702159</v>
      </c>
    </row>
    <row r="52" spans="2:48">
      <c r="B52" s="103" t="s">
        <v>711</v>
      </c>
      <c r="C52" s="103" t="s">
        <v>191</v>
      </c>
      <c r="D52" s="103" t="s">
        <v>21</v>
      </c>
      <c r="E52" s="103">
        <v>1E-3</v>
      </c>
      <c r="F52" s="8"/>
      <c r="G52" s="8"/>
      <c r="H52" s="8"/>
      <c r="I52" s="103">
        <f>E52/(10^K10)</f>
        <v>2.2104592034454607E-3</v>
      </c>
      <c r="J52" s="332">
        <f t="shared" si="15"/>
        <v>-2.6555174960858685</v>
      </c>
      <c r="K52" s="103" t="s">
        <v>1506</v>
      </c>
      <c r="L52" s="8"/>
      <c r="T52" s="160" t="s">
        <v>650</v>
      </c>
      <c r="U52" s="159">
        <f>1/(25+273.15)</f>
        <v>3.3540164346805303E-3</v>
      </c>
      <c r="V52" s="120"/>
      <c r="W52" s="120"/>
      <c r="X52" s="120"/>
      <c r="Y52" s="120"/>
      <c r="Z52" s="120"/>
      <c r="AA52" s="120"/>
      <c r="AB52" s="120"/>
      <c r="AC52" s="120"/>
      <c r="AD52" s="161"/>
      <c r="AE52" s="159">
        <f>EXP(AF52)</f>
        <v>6.8424016026770245E-4</v>
      </c>
      <c r="AF52" s="159">
        <f>V55*$U$52+W55</f>
        <v>-7.2872015904644538</v>
      </c>
      <c r="AG52" s="159">
        <f>X55*U52+Y55</f>
        <v>-10.079004209886524</v>
      </c>
      <c r="AH52" s="159">
        <f>Z55*U52+AA55</f>
        <v>-10.5350584973427</v>
      </c>
      <c r="AI52" s="159">
        <f>AB55*U52+AC55</f>
        <v>-11.217754585459808</v>
      </c>
      <c r="AJ52" s="159">
        <f>AD55*U52+AE55</f>
        <v>-12.025061157157131</v>
      </c>
      <c r="AK52" s="159">
        <f>AF55*U52+AG55</f>
        <v>-5.2760244674630385</v>
      </c>
      <c r="AL52" t="s">
        <v>652</v>
      </c>
      <c r="AM52" s="159">
        <f>AJ55*U52+AK55</f>
        <v>-7.5430431255907271</v>
      </c>
      <c r="AO52" s="159"/>
      <c r="AQ52" s="159"/>
      <c r="AR52" s="159"/>
      <c r="AS52" s="159"/>
      <c r="AU52" s="159"/>
      <c r="AV52" s="159"/>
    </row>
    <row r="53" spans="2:48">
      <c r="B53" s="103" t="s">
        <v>1508</v>
      </c>
      <c r="C53" s="103" t="s">
        <v>191</v>
      </c>
      <c r="D53" s="103" t="s">
        <v>26</v>
      </c>
      <c r="E53" s="103">
        <v>0.01</v>
      </c>
      <c r="F53" s="8">
        <v>20</v>
      </c>
      <c r="G53" s="103">
        <f t="shared" ref="G53:G75" si="18">273.15+F53</f>
        <v>293.14999999999998</v>
      </c>
      <c r="H53" s="372" cm="1">
        <f t="array" aca="1" ref="H53" ca="1">VLOOKUP(D53,Table245[[Compound Name]:[∆OWU SD]],INDIRECT("RAVs!$"&amp;VLOOKUP(C53,$N$45:$P$50,3,FALSE)&amp;"$1")+1,FALSE)*1000</f>
        <v>65362.143622774798</v>
      </c>
      <c r="I53" s="416">
        <f ca="1">EXP(LN(E53)-H53/8.314*(1/$J$46-1/G53))</f>
        <v>1.5679045476719444E-2</v>
      </c>
      <c r="J53" s="332">
        <f t="shared" ca="1" si="15"/>
        <v>-1.8046803802237639</v>
      </c>
      <c r="K53" s="103" t="s">
        <v>1509</v>
      </c>
      <c r="L53" s="103" t="s">
        <v>1507</v>
      </c>
      <c r="T53" s="160" t="s">
        <v>651</v>
      </c>
      <c r="U53" s="159">
        <f>1/(25+273.15)</f>
        <v>3.3540164346805303E-3</v>
      </c>
      <c r="V53" s="120"/>
      <c r="W53" s="120"/>
      <c r="X53" s="120"/>
      <c r="Y53" s="120"/>
      <c r="Z53" s="120"/>
      <c r="AA53" s="120"/>
      <c r="AB53" s="120"/>
      <c r="AC53" s="120"/>
      <c r="AD53" s="120"/>
      <c r="AE53" s="159">
        <f>10^AF53</f>
        <v>7.3646214350747826E-4</v>
      </c>
      <c r="AF53" s="159">
        <f>0.086-959.7*U53</f>
        <v>-3.1328495723629053</v>
      </c>
      <c r="AG53" s="159"/>
      <c r="AH53" s="159"/>
      <c r="AI53" s="159"/>
      <c r="AJ53" s="159"/>
      <c r="AK53" s="159"/>
      <c r="AM53" s="159"/>
    </row>
    <row r="54" spans="2:48">
      <c r="B54" s="103" t="s">
        <v>1510</v>
      </c>
      <c r="C54" s="103" t="s">
        <v>191</v>
      </c>
      <c r="D54" s="103" t="s">
        <v>77</v>
      </c>
      <c r="E54" s="332">
        <v>8.8099999999999998E-2</v>
      </c>
      <c r="F54" s="8">
        <v>100</v>
      </c>
      <c r="G54" s="103">
        <f t="shared" si="18"/>
        <v>373.15</v>
      </c>
      <c r="H54" s="372" cm="1">
        <f t="array" aca="1" ref="H54" ca="1">VLOOKUP(D54,Table245[[Compound Name]:[∆OWU SD]],INDIRECT("RAVs!$"&amp;VLOOKUP(C54,$N$45:$P$50,3,FALSE)&amp;"$1")+1,FALSE)*1000</f>
        <v>96525.351286496501</v>
      </c>
      <c r="I54" s="416">
        <f ca="1">EXP(LN(E54)-H54/8.314*(1/$J$46-1/G54))</f>
        <v>3.5149329410468356E-5</v>
      </c>
      <c r="J54" s="332">
        <f t="shared" ca="1" si="15"/>
        <v>-4.4540829561665278</v>
      </c>
      <c r="K54" s="103" t="s">
        <v>1511</v>
      </c>
      <c r="L54" s="8"/>
      <c r="R54" s="110" t="s">
        <v>20</v>
      </c>
      <c r="V54" s="120" t="s">
        <v>632</v>
      </c>
      <c r="X54" s="120" t="s">
        <v>633</v>
      </c>
      <c r="Z54" s="120" t="s">
        <v>634</v>
      </c>
      <c r="AB54" s="120" t="s">
        <v>635</v>
      </c>
      <c r="AD54" s="120" t="s">
        <v>636</v>
      </c>
      <c r="AF54" s="120" t="s">
        <v>637</v>
      </c>
      <c r="AH54" s="120" t="s">
        <v>638</v>
      </c>
      <c r="AJ54" s="120" t="s">
        <v>639</v>
      </c>
    </row>
    <row r="55" spans="2:48">
      <c r="B55" s="103" t="s">
        <v>1513</v>
      </c>
      <c r="C55" s="103" t="s">
        <v>191</v>
      </c>
      <c r="D55" s="103" t="s">
        <v>79</v>
      </c>
      <c r="E55" s="332">
        <v>-3.75</v>
      </c>
      <c r="F55" s="8">
        <v>20</v>
      </c>
      <c r="G55" s="103">
        <f t="shared" si="18"/>
        <v>293.14999999999998</v>
      </c>
      <c r="H55" s="372"/>
      <c r="I55" s="416"/>
      <c r="J55" s="332">
        <v>-3.75</v>
      </c>
      <c r="K55" s="103" t="s">
        <v>918</v>
      </c>
      <c r="L55" s="103" t="s">
        <v>1516</v>
      </c>
      <c r="Q55" s="110"/>
      <c r="V55">
        <f t="array" ref="V55:W57">LINEST(AF48:AF51,U48:U51,TRUE,TRUE)</f>
        <v>-2775.7397396150063</v>
      </c>
      <c r="W55">
        <v>2.0226751146001334</v>
      </c>
      <c r="X55">
        <f t="array" ref="X55:Y57">LINEST(AG49:AG51,$U$49:$U$51,TRUE,TRUE)</f>
        <v>2400.9417703680992</v>
      </c>
      <c r="Y55">
        <v>-18.131802366412096</v>
      </c>
      <c r="Z55">
        <f t="array" ref="Z55:AA57">LINEST(AH49:AH51,$U$49:$U$51,TRUE,TRUE)</f>
        <v>2634.0453662874966</v>
      </c>
      <c r="AA55">
        <v>-19.36968994556506</v>
      </c>
      <c r="AB55">
        <f t="array" ref="AB55:AC57">LINEST(AI49:AI51,$U$49:$U$51,TRUE,TRUE)</f>
        <v>3486.46635491297</v>
      </c>
      <c r="AC55">
        <v>-22.911420038798632</v>
      </c>
      <c r="AD55">
        <f t="array" ref="AD55:AE57">LINEST(AJ49:AJ51,$U$49:$U$51,TRUE,TRUE)</f>
        <v>4449.8980595618832</v>
      </c>
      <c r="AE55">
        <v>-26.950092381580689</v>
      </c>
      <c r="AF55">
        <f t="array" ref="AF55:AG57">LINEST(AK48:AK51,$U$48:$U$51,TRUE,TRUE)</f>
        <v>-5777.94523232542</v>
      </c>
      <c r="AG55">
        <v>14.103298800440434</v>
      </c>
      <c r="AH55">
        <f t="array" ref="AH55:AI57">LINEST(AL48:AL51,$U$48:$U$51,TRUE,TRUE)</f>
        <v>-1561.6810211396225</v>
      </c>
      <c r="AI55">
        <v>-3.0000065549928223</v>
      </c>
      <c r="AJ55">
        <f t="array" ref="AJ55:AK57">LINEST(AM48:AM51,$U$48:$U$51,TRUE,TRUE)</f>
        <v>-2824.0911278845997</v>
      </c>
      <c r="AK55">
        <v>1.9290049303696959</v>
      </c>
    </row>
    <row r="56" spans="2:48">
      <c r="B56" s="103" t="s">
        <v>1514</v>
      </c>
      <c r="C56" s="103" t="s">
        <v>191</v>
      </c>
      <c r="D56" s="103" t="s">
        <v>81</v>
      </c>
      <c r="E56" s="332">
        <v>-3.96</v>
      </c>
      <c r="F56" s="8">
        <v>20</v>
      </c>
      <c r="G56" s="103">
        <f t="shared" si="18"/>
        <v>293.14999999999998</v>
      </c>
      <c r="H56" s="372"/>
      <c r="I56" s="416"/>
      <c r="J56" s="332">
        <v>-3.96</v>
      </c>
      <c r="K56" s="103" t="s">
        <v>918</v>
      </c>
      <c r="L56" s="416" t="s">
        <v>1516</v>
      </c>
      <c r="V56">
        <v>215.49046478661595</v>
      </c>
      <c r="W56">
        <v>0.75482007090993608</v>
      </c>
      <c r="X56">
        <v>139.64697636400143</v>
      </c>
      <c r="Y56">
        <v>0.48477889317758976</v>
      </c>
      <c r="Z56">
        <v>405.33413479530361</v>
      </c>
      <c r="AA56">
        <v>1.4071012373442044</v>
      </c>
      <c r="AB56">
        <v>349.44438387574581</v>
      </c>
      <c r="AC56">
        <v>1.2130822023732559</v>
      </c>
      <c r="AD56">
        <v>295.87430226296402</v>
      </c>
      <c r="AE56">
        <v>1.0271158066241242</v>
      </c>
      <c r="AF56">
        <v>756.06398177804931</v>
      </c>
      <c r="AG56">
        <v>2.6483411639734014</v>
      </c>
      <c r="AH56">
        <v>815.12541114729731</v>
      </c>
      <c r="AI56">
        <v>2.8552215581879805</v>
      </c>
      <c r="AJ56">
        <v>318.03924808955742</v>
      </c>
      <c r="AK56">
        <v>1.1140279827825248</v>
      </c>
    </row>
    <row r="57" spans="2:48">
      <c r="B57" s="103" t="s">
        <v>1515</v>
      </c>
      <c r="C57" s="103" t="s">
        <v>191</v>
      </c>
      <c r="D57" s="103" t="s">
        <v>83</v>
      </c>
      <c r="E57" s="332">
        <v>-4.04</v>
      </c>
      <c r="F57" s="8">
        <v>20</v>
      </c>
      <c r="G57" s="103">
        <f t="shared" si="18"/>
        <v>293.14999999999998</v>
      </c>
      <c r="H57" s="372"/>
      <c r="I57" s="416"/>
      <c r="J57" s="332">
        <v>-4.04</v>
      </c>
      <c r="K57" s="103" t="s">
        <v>918</v>
      </c>
      <c r="L57" s="416" t="s">
        <v>1516</v>
      </c>
      <c r="V57">
        <v>0.98808963776850967</v>
      </c>
      <c r="W57">
        <v>2.9548859751275587E-2</v>
      </c>
      <c r="X57">
        <v>0.9966284229601402</v>
      </c>
      <c r="Y57">
        <v>1.1896846752770029E-2</v>
      </c>
      <c r="Z57">
        <v>0.97686786698417905</v>
      </c>
      <c r="AA57">
        <v>3.4531346190818324E-2</v>
      </c>
      <c r="AB57">
        <v>0.99005409974329339</v>
      </c>
      <c r="AC57">
        <v>2.9769969904322013E-2</v>
      </c>
      <c r="AD57">
        <v>0.99559852122124237</v>
      </c>
      <c r="AE57">
        <v>2.5206211575466875E-2</v>
      </c>
      <c r="AF57">
        <v>0.96688866280484143</v>
      </c>
      <c r="AG57">
        <v>0.10367432537060518</v>
      </c>
      <c r="AH57" s="163">
        <v>0.64730297394819691</v>
      </c>
      <c r="AI57">
        <v>0.11177304980776262</v>
      </c>
      <c r="AJ57">
        <v>0.97526251460863289</v>
      </c>
      <c r="AK57">
        <v>4.3610733061926005E-2</v>
      </c>
    </row>
    <row r="58" spans="2:48">
      <c r="B58" s="103" t="s">
        <v>233</v>
      </c>
      <c r="C58" s="103" t="s">
        <v>191</v>
      </c>
      <c r="D58" s="103" t="s">
        <v>140</v>
      </c>
      <c r="E58" s="103">
        <v>1.1000000000000001E-3</v>
      </c>
      <c r="F58" s="8"/>
      <c r="G58" s="103"/>
      <c r="H58" s="372"/>
      <c r="I58" s="103">
        <f>E58/(10^K12)</f>
        <v>3.0217591874795728E-3</v>
      </c>
      <c r="J58" s="332">
        <f>LOG(I58)</f>
        <v>-2.5197401487713029</v>
      </c>
      <c r="K58" s="103" t="s">
        <v>1517</v>
      </c>
      <c r="L58" s="416"/>
      <c r="U58" s="120" t="s">
        <v>640</v>
      </c>
      <c r="V58" s="120">
        <f>-V55*8.314/1000</f>
        <v>23.077500195159161</v>
      </c>
      <c r="W58" s="120"/>
      <c r="X58" s="120">
        <f>-X55*8.314/1000</f>
        <v>-19.961429878840377</v>
      </c>
      <c r="Y58" s="120"/>
      <c r="Z58" s="120">
        <f>-Z55*8.314/1000</f>
        <v>-21.899453175314246</v>
      </c>
      <c r="AA58" s="120"/>
      <c r="AB58" s="120">
        <f>-AB55*8.314/1000</f>
        <v>-28.986481274746431</v>
      </c>
      <c r="AC58" s="120"/>
      <c r="AD58" s="120">
        <f>-AD55*8.314/1000</f>
        <v>-36.996452467197493</v>
      </c>
      <c r="AE58" s="120"/>
      <c r="AF58" s="120">
        <f>-AF55*8.314/1000</f>
        <v>48.037836661553541</v>
      </c>
      <c r="AG58" s="120"/>
      <c r="AH58" s="120">
        <f>-AH55*8.314/1000</f>
        <v>12.983816009754822</v>
      </c>
      <c r="AI58" s="120"/>
      <c r="AJ58" s="120">
        <f>-AJ55*8.314/1000</f>
        <v>23.479493637232562</v>
      </c>
    </row>
    <row r="59" spans="2:48">
      <c r="B59" s="103" t="s">
        <v>234</v>
      </c>
      <c r="C59" s="103" t="s">
        <v>191</v>
      </c>
      <c r="D59" s="103" t="s">
        <v>142</v>
      </c>
      <c r="E59" s="416">
        <v>1E-3</v>
      </c>
      <c r="F59" s="8"/>
      <c r="G59" s="103"/>
      <c r="H59" s="372"/>
      <c r="I59" s="103">
        <f>E59/(10^K13)</f>
        <v>2.8145637033041575E-3</v>
      </c>
      <c r="J59" s="332">
        <f>LOG(I59)</f>
        <v>-2.5505889173074268</v>
      </c>
      <c r="K59" s="103" t="s">
        <v>1518</v>
      </c>
      <c r="L59" s="103"/>
    </row>
    <row r="60" spans="2:48">
      <c r="B60" s="103" t="s">
        <v>236</v>
      </c>
      <c r="C60" s="103" t="s">
        <v>191</v>
      </c>
      <c r="D60" s="103" t="s">
        <v>362</v>
      </c>
      <c r="E60" s="416">
        <v>2.52E-4</v>
      </c>
      <c r="F60" s="8">
        <v>30</v>
      </c>
      <c r="G60" s="103">
        <f t="shared" si="18"/>
        <v>303.14999999999998</v>
      </c>
      <c r="H60" s="372" cm="1">
        <f t="array" aca="1" ref="H60" ca="1">VLOOKUP(D60,Table245[[Compound Name]:[∆OWU SD]],INDIRECT("RAVs!$"&amp;VLOOKUP(C60,$N$45:$P$50,3,FALSE)&amp;"$1")+1,FALSE)*1000</f>
        <v>84526.939616741802</v>
      </c>
      <c r="I60" s="416">
        <f ca="1">(EXP(LN(E60)-H60/8.314*(1/$J$46-1/G60)))/10^K14</f>
        <v>7.0650893369588353E-4</v>
      </c>
      <c r="J60" s="332">
        <f ca="1">LOG(I60)</f>
        <v>-3.1508823421943397</v>
      </c>
      <c r="K60" s="103" t="s">
        <v>1520</v>
      </c>
      <c r="L60" s="103" t="s">
        <v>1522</v>
      </c>
      <c r="U60" s="3" t="s">
        <v>485</v>
      </c>
    </row>
    <row r="61" spans="2:48">
      <c r="B61" s="103" t="s">
        <v>261</v>
      </c>
      <c r="C61" s="103" t="s">
        <v>191</v>
      </c>
      <c r="D61" s="103" t="s">
        <v>264</v>
      </c>
      <c r="E61" s="103">
        <v>8.5000000000000006E-2</v>
      </c>
      <c r="F61" s="8"/>
      <c r="G61" s="103"/>
      <c r="H61" s="372"/>
      <c r="I61" s="103">
        <f>E61/(10^K11)</f>
        <v>9.2519056231151559E-2</v>
      </c>
      <c r="J61" s="332">
        <f>LOG(I61)</f>
        <v>-1.0337688060321313</v>
      </c>
      <c r="K61" s="103" t="s">
        <v>1523</v>
      </c>
      <c r="L61" s="416"/>
      <c r="U61" t="s">
        <v>478</v>
      </c>
      <c r="V61" t="s">
        <v>510</v>
      </c>
      <c r="W61" t="s">
        <v>511</v>
      </c>
      <c r="X61" t="s">
        <v>553</v>
      </c>
    </row>
    <row r="62" spans="2:48">
      <c r="B62" s="103" t="s">
        <v>263</v>
      </c>
      <c r="C62" s="103" t="s">
        <v>274</v>
      </c>
      <c r="D62" s="103" t="s">
        <v>264</v>
      </c>
      <c r="E62" s="417">
        <v>0.3</v>
      </c>
      <c r="F62" s="103">
        <v>20</v>
      </c>
      <c r="G62" s="103">
        <f t="shared" si="18"/>
        <v>293.14999999999998</v>
      </c>
      <c r="H62" s="372" cm="1">
        <f t="array" aca="1" ref="H62" ca="1">VLOOKUP(D62,Table245[[Compound Name]:[∆OWU SD]],INDIRECT("RAVs!$"&amp;VLOOKUP(C62,$N$45:$P$50,3,FALSE)&amp;"$1")+1,FALSE)*1000</f>
        <v>4496.1263956267303</v>
      </c>
      <c r="I62" s="416">
        <f t="shared" ref="I62:I67" ca="1" si="19">EXP(LN(E62)-H62/8.314*(1/$J$46-1/G62))</f>
        <v>0.30942605941804519</v>
      </c>
      <c r="J62" s="332">
        <f ca="1">I62/(10^K11)</f>
        <v>0.33679772930213842</v>
      </c>
      <c r="K62" s="416" t="s">
        <v>1524</v>
      </c>
      <c r="L62" s="103"/>
      <c r="U62">
        <v>20</v>
      </c>
      <c r="V62">
        <f>1/(U62+273.15)</f>
        <v>3.4112229234180458E-3</v>
      </c>
      <c r="W62">
        <v>1.7999999999999999E-2</v>
      </c>
      <c r="X62">
        <f>LN(W62)</f>
        <v>-4.0173835210859723</v>
      </c>
    </row>
    <row r="63" spans="2:48">
      <c r="B63" s="103" t="s">
        <v>277</v>
      </c>
      <c r="C63" s="103" t="s">
        <v>274</v>
      </c>
      <c r="D63" s="103" t="s">
        <v>8</v>
      </c>
      <c r="E63" s="418">
        <v>0.57799999999999996</v>
      </c>
      <c r="F63" s="103">
        <v>20</v>
      </c>
      <c r="G63" s="103">
        <f t="shared" si="18"/>
        <v>293.14999999999998</v>
      </c>
      <c r="H63" s="372" cm="1">
        <f t="array" aca="1" ref="H63" ca="1">VLOOKUP(D63,Table245[[Compound Name]:[∆OWU SD]],INDIRECT("RAVs!$"&amp;VLOOKUP(C63,$N$45:$P$50,3,FALSE)&amp;"$1")+1,FALSE)*1000</f>
        <v>5136.8203185714201</v>
      </c>
      <c r="I63" s="332">
        <f t="shared" ca="1" si="19"/>
        <v>0.59879482117160732</v>
      </c>
      <c r="J63" s="332">
        <f ca="1">I63/(10^K8)</f>
        <v>0.92023431527478849</v>
      </c>
      <c r="K63" s="416" t="s">
        <v>1527</v>
      </c>
      <c r="L63" s="103"/>
      <c r="U63">
        <v>25</v>
      </c>
      <c r="V63">
        <f>1/(U63+273.15)</f>
        <v>3.3540164346805303E-3</v>
      </c>
      <c r="W63">
        <v>5.1999999999999998E-2</v>
      </c>
      <c r="X63">
        <f>LN(W63)</f>
        <v>-2.9565115604007097</v>
      </c>
    </row>
    <row r="64" spans="2:48">
      <c r="B64" s="103" t="s">
        <v>280</v>
      </c>
      <c r="C64" s="103" t="s">
        <v>281</v>
      </c>
      <c r="D64" s="103" t="s">
        <v>264</v>
      </c>
      <c r="E64" s="419">
        <f>10^5.79</f>
        <v>616595.00186148309</v>
      </c>
      <c r="F64" s="103">
        <v>20</v>
      </c>
      <c r="G64" s="103">
        <f t="shared" si="18"/>
        <v>293.14999999999998</v>
      </c>
      <c r="H64" s="372" cm="1">
        <f t="array" aca="1" ref="H64" ca="1">VLOOKUP(D64,Table245[[Compound Name]:[∆OWU SD]],INDIRECT("RAVs!$"&amp;VLOOKUP(C64,$N$45:$P$50,3,FALSE)&amp;"$1")+1,FALSE)*1000</f>
        <v>-709.662838670562</v>
      </c>
      <c r="I64" s="416">
        <f t="shared" ca="1" si="19"/>
        <v>613591.50324623263</v>
      </c>
      <c r="J64" s="332">
        <f ca="1">LOG(I64)</f>
        <v>5.7878793370575732</v>
      </c>
      <c r="K64" s="416" t="s">
        <v>1524</v>
      </c>
      <c r="L64" s="8"/>
      <c r="U64">
        <v>50</v>
      </c>
      <c r="V64">
        <f>1/(U64+273.15)</f>
        <v>3.0945381401825778E-3</v>
      </c>
      <c r="W64">
        <v>0.78300000000000003</v>
      </c>
      <c r="X64">
        <f>LN(W64)</f>
        <v>-0.24462258299133391</v>
      </c>
    </row>
    <row r="65" spans="2:26">
      <c r="B65" s="103" t="s">
        <v>283</v>
      </c>
      <c r="C65" s="103" t="s">
        <v>281</v>
      </c>
      <c r="D65" s="103" t="s">
        <v>8</v>
      </c>
      <c r="E65" s="419">
        <f>10^5.6</f>
        <v>398107.17055349716</v>
      </c>
      <c r="F65" s="103">
        <v>20</v>
      </c>
      <c r="G65" s="103">
        <f t="shared" si="18"/>
        <v>293.14999999999998</v>
      </c>
      <c r="H65" s="372" cm="1">
        <f t="array" aca="1" ref="H65" ca="1">VLOOKUP(D65,Table245[[Compound Name]:[∆OWU SD]],INDIRECT("RAVs!$"&amp;VLOOKUP(C65,$N$45:$P$50,3,FALSE)&amp;"$1")+1,FALSE)*1000</f>
        <v>17092.706768038399</v>
      </c>
      <c r="I65" s="416">
        <f t="shared" ca="1" si="19"/>
        <v>447793.30206252506</v>
      </c>
      <c r="J65" s="332">
        <f ca="1">LOG(I65)</f>
        <v>5.6510775932648061</v>
      </c>
      <c r="K65" s="416" t="s">
        <v>284</v>
      </c>
      <c r="L65" s="103"/>
      <c r="U65" s="120"/>
      <c r="V65" s="120"/>
      <c r="X65" t="s">
        <v>552</v>
      </c>
      <c r="Y65" s="120">
        <f>-V66*8.314/1000</f>
        <v>95.314065814702502</v>
      </c>
    </row>
    <row r="66" spans="2:26">
      <c r="B66" s="103" t="s">
        <v>286</v>
      </c>
      <c r="C66" s="103" t="s">
        <v>274</v>
      </c>
      <c r="D66" s="103" t="s">
        <v>14</v>
      </c>
      <c r="E66" s="418">
        <v>0.10299999999999999</v>
      </c>
      <c r="F66" s="103">
        <v>20</v>
      </c>
      <c r="G66" s="103">
        <f t="shared" si="18"/>
        <v>293.14999999999998</v>
      </c>
      <c r="H66" s="372" cm="1">
        <f t="array" aca="1" ref="H66" ca="1">VLOOKUP(D66,Table245[[Compound Name]:[∆OWU SD]],INDIRECT("RAVs!$"&amp;VLOOKUP(C66,$N$45:$P$50,3,FALSE)&amp;"$1")+1,FALSE)*1000</f>
        <v>7686.1874046552002</v>
      </c>
      <c r="I66" s="332">
        <f t="shared" ca="1" si="19"/>
        <v>0.10859394604382033</v>
      </c>
      <c r="J66" s="332">
        <f ca="1">I66/(10^K9)</f>
        <v>0.12070542003296197</v>
      </c>
      <c r="K66" s="416" t="s">
        <v>1531</v>
      </c>
      <c r="L66" s="103"/>
      <c r="V66">
        <f t="array" ref="V66:W68">LINEST(X62:X64,V62:V64,TRUE,TRUE)</f>
        <v>-11464.285039054907</v>
      </c>
      <c r="W66">
        <v>35.272260665825613</v>
      </c>
    </row>
    <row r="67" spans="2:26">
      <c r="B67" s="103" t="s">
        <v>288</v>
      </c>
      <c r="C67" s="103" t="s">
        <v>281</v>
      </c>
      <c r="D67" s="103" t="s">
        <v>14</v>
      </c>
      <c r="E67" s="419">
        <f>10^7.3</f>
        <v>19952623.149688821</v>
      </c>
      <c r="F67" s="103">
        <v>20</v>
      </c>
      <c r="G67" s="103">
        <f t="shared" si="18"/>
        <v>293.14999999999998</v>
      </c>
      <c r="H67" s="372" cm="1">
        <f t="array" aca="1" ref="H67" ca="1">VLOOKUP(D67,Table245[[Compound Name]:[∆OWU SD]],INDIRECT("RAVs!$"&amp;VLOOKUP(C67,$N$45:$P$50,3,FALSE)&amp;"$1")+1,FALSE)*1000</f>
        <v>7986.9303571894498</v>
      </c>
      <c r="I67" s="416">
        <f t="shared" ca="1" si="19"/>
        <v>21079829.339925308</v>
      </c>
      <c r="J67" s="332">
        <f ca="1">LOG(I67)</f>
        <v>7.3238670905524286</v>
      </c>
      <c r="K67" s="416" t="s">
        <v>1532</v>
      </c>
      <c r="L67" s="103"/>
      <c r="V67">
        <v>1217.6251764752301</v>
      </c>
      <c r="W67">
        <v>4.005353564779865</v>
      </c>
    </row>
    <row r="68" spans="2:26">
      <c r="B68" s="103" t="s">
        <v>291</v>
      </c>
      <c r="C68" s="103" t="s">
        <v>274</v>
      </c>
      <c r="D68" s="103" t="s">
        <v>290</v>
      </c>
      <c r="E68" s="418">
        <v>75</v>
      </c>
      <c r="F68" s="103">
        <v>20</v>
      </c>
      <c r="G68" s="103">
        <f t="shared" si="18"/>
        <v>293.14999999999998</v>
      </c>
      <c r="H68" s="372" cm="1">
        <f t="array" aca="1" ref="H68" ca="1">VLOOKUP(D68,Table245[[Compound Name]:[∆OWU SD]],INDIRECT("RAVs!$"&amp;VLOOKUP(C68,$N$45:$P$50,3,FALSE)&amp;"$1")+1,FALSE)*1000</f>
        <v>-1899.7252646368299</v>
      </c>
      <c r="I68" s="103"/>
      <c r="J68" s="330">
        <f ca="1">EXP(LN(E68)-H68/8.314*(1/$J$46-1/G68))</f>
        <v>74.02601564396123</v>
      </c>
      <c r="K68" s="416" t="s">
        <v>1533</v>
      </c>
      <c r="L68" s="103"/>
      <c r="V68">
        <v>0.98884520484164451</v>
      </c>
      <c r="W68">
        <v>0.29061120703872989</v>
      </c>
    </row>
    <row r="69" spans="2:26">
      <c r="B69" s="103" t="s">
        <v>293</v>
      </c>
      <c r="C69" s="103" t="s">
        <v>281</v>
      </c>
      <c r="D69" s="103" t="s">
        <v>290</v>
      </c>
      <c r="E69" s="419">
        <f>10^3.65</f>
        <v>4466.8359215096343</v>
      </c>
      <c r="F69" s="103">
        <v>20</v>
      </c>
      <c r="G69" s="103">
        <f t="shared" si="18"/>
        <v>293.14999999999998</v>
      </c>
      <c r="H69" s="372" cm="1">
        <f t="array" aca="1" ref="H69" ca="1">VLOOKUP(D69,Table245[[Compound Name]:[∆OWU SD]],INDIRECT("RAVs!$"&amp;VLOOKUP(C69,$N$45:$P$50,3,FALSE)&amp;"$1")+1,FALSE)*1000</f>
        <v>12099.715010489301</v>
      </c>
      <c r="I69" s="103">
        <f ca="1">EXP(LN(E69)-H69/8.314*(1/$J$46-1/G69))</f>
        <v>4854.641838494912</v>
      </c>
      <c r="J69" s="332">
        <f ca="1">LOG(I69)</f>
        <v>3.6861571944287661</v>
      </c>
      <c r="K69" s="416" t="s">
        <v>1534</v>
      </c>
      <c r="L69" s="103"/>
    </row>
    <row r="70" spans="2:26">
      <c r="B70" s="103" t="s">
        <v>295</v>
      </c>
      <c r="C70" s="103" t="s">
        <v>274</v>
      </c>
      <c r="D70" s="103" t="s">
        <v>21</v>
      </c>
      <c r="E70" s="418">
        <v>4.84</v>
      </c>
      <c r="F70" s="103">
        <v>20</v>
      </c>
      <c r="G70" s="103">
        <f t="shared" si="18"/>
        <v>293.14999999999998</v>
      </c>
      <c r="H70" s="372" cm="1">
        <f t="array" aca="1" ref="H70" ca="1">VLOOKUP(D70,Table245[[Compound Name]:[∆OWU SD]],INDIRECT("RAVs!$"&amp;VLOOKUP(C70,$N$45:$P$50,3,FALSE)&amp;"$1")+1,FALSE)*1000</f>
        <v>-12718.7637776351</v>
      </c>
      <c r="I70" s="332">
        <f ca="1">EXP(LN(E70)-H70/8.314*(1/$J$46-1/G70))</f>
        <v>4.4344348983128912</v>
      </c>
      <c r="J70" s="332">
        <f ca="1">I70/(10^K10)</f>
        <v>9.8021374330554654</v>
      </c>
      <c r="K70" s="416" t="s">
        <v>1535</v>
      </c>
      <c r="L70" s="103"/>
    </row>
    <row r="71" spans="2:26">
      <c r="B71" s="103" t="s">
        <v>296</v>
      </c>
      <c r="C71" s="103" t="s">
        <v>281</v>
      </c>
      <c r="D71" s="103" t="s">
        <v>21</v>
      </c>
      <c r="E71" s="419">
        <f>10^5.59</f>
        <v>389045.14499428123</v>
      </c>
      <c r="F71" s="103">
        <v>20</v>
      </c>
      <c r="G71" s="103">
        <f t="shared" si="18"/>
        <v>293.14999999999998</v>
      </c>
      <c r="H71" s="372" cm="1">
        <f t="array" aca="1" ref="H71" ca="1">VLOOKUP(D71,Table245[[Compound Name]:[∆OWU SD]],INDIRECT("RAVs!$"&amp;VLOOKUP(C71,$N$45:$P$50,3,FALSE)&amp;"$1")+1,FALSE)*1000</f>
        <v>5372.49440793133</v>
      </c>
      <c r="I71" s="103">
        <f ca="1">EXP(LN(E71)-H71/8.314*(1/$J$46-1/G71))</f>
        <v>403696.00773001579</v>
      </c>
      <c r="J71" s="332">
        <f ca="1">LOG(I71)</f>
        <v>5.6060544545641475</v>
      </c>
      <c r="K71" s="416" t="s">
        <v>1536</v>
      </c>
      <c r="L71" s="103"/>
    </row>
    <row r="72" spans="2:26">
      <c r="B72" s="103" t="s">
        <v>299</v>
      </c>
      <c r="C72" s="103" t="s">
        <v>274</v>
      </c>
      <c r="D72" s="103" t="s">
        <v>23</v>
      </c>
      <c r="E72" s="418">
        <v>24.6</v>
      </c>
      <c r="F72" s="103">
        <v>20</v>
      </c>
      <c r="G72" s="103">
        <f t="shared" si="18"/>
        <v>293.14999999999998</v>
      </c>
      <c r="H72" s="372" cm="1">
        <f t="array" aca="1" ref="H72" ca="1">VLOOKUP(D72,Table245[[Compound Name]:[∆OWU SD]],INDIRECT("RAVs!$"&amp;VLOOKUP(C72,$N$45:$P$50,3,FALSE)&amp;"$1")+1,FALSE)*1000</f>
        <v>-7929.5514839308298</v>
      </c>
      <c r="I72" s="103"/>
      <c r="J72" s="332">
        <f ca="1">EXP(LN(E72)-H72/8.314*(1/$J$46-1/G72))</f>
        <v>23.293753750180901</v>
      </c>
      <c r="K72" s="416" t="s">
        <v>1537</v>
      </c>
      <c r="L72" s="103"/>
    </row>
    <row r="73" spans="2:26">
      <c r="B73" s="103" t="s">
        <v>302</v>
      </c>
      <c r="C73" s="103" t="s">
        <v>281</v>
      </c>
      <c r="D73" s="103" t="s">
        <v>23</v>
      </c>
      <c r="E73" s="419">
        <f>10^4.4</f>
        <v>25118.86431509586</v>
      </c>
      <c r="F73" s="103">
        <v>35</v>
      </c>
      <c r="G73" s="103">
        <f t="shared" si="18"/>
        <v>308.14999999999998</v>
      </c>
      <c r="H73" s="372" cm="1">
        <f t="array" aca="1" ref="H73" ca="1">VLOOKUP(D73,Table245[[Compound Name]:[∆OWU SD]],INDIRECT("RAVs!$"&amp;VLOOKUP(C73,$N$45:$P$50,3,FALSE)&amp;"$1")+1,FALSE)*1000</f>
        <v>19471.110175535301</v>
      </c>
      <c r="I73" s="416">
        <f ca="1">EXP(LN(E73)-H73/8.314*(1/$J$46-1/G73))</f>
        <v>19466.810458531432</v>
      </c>
      <c r="J73" s="332">
        <f ca="1">LOG(I73)</f>
        <v>4.2892948003267835</v>
      </c>
      <c r="K73" s="416" t="s">
        <v>1538</v>
      </c>
      <c r="L73" s="103" t="s">
        <v>1090</v>
      </c>
    </row>
    <row r="74" spans="2:26">
      <c r="B74" s="103" t="s">
        <v>303</v>
      </c>
      <c r="C74" s="103" t="s">
        <v>274</v>
      </c>
      <c r="D74" s="103" t="s">
        <v>26</v>
      </c>
      <c r="E74" s="418">
        <v>0.53900000000000003</v>
      </c>
      <c r="F74" s="103">
        <v>20</v>
      </c>
      <c r="G74" s="103">
        <f t="shared" si="18"/>
        <v>293.14999999999998</v>
      </c>
      <c r="H74" s="372" cm="1">
        <f t="array" aca="1" ref="H74" ca="1">VLOOKUP(D74,Table245[[Compound Name]:[∆OWU SD]],INDIRECT("RAVs!$"&amp;VLOOKUP(C74,$N$45:$P$50,3,FALSE)&amp;"$1")+1,FALSE)*1000</f>
        <v>-22621.512277570702</v>
      </c>
      <c r="I74" s="103"/>
      <c r="J74" s="332">
        <f ca="1">EXP(LN(E74)-H74/8.314*(1/$J$46-1/G74))</f>
        <v>0.4613065465369508</v>
      </c>
      <c r="K74" s="416" t="s">
        <v>1539</v>
      </c>
      <c r="L74" s="416"/>
    </row>
    <row r="75" spans="2:26">
      <c r="B75" s="103" t="s">
        <v>304</v>
      </c>
      <c r="C75" s="103" t="s">
        <v>281</v>
      </c>
      <c r="D75" s="103" t="s">
        <v>26</v>
      </c>
      <c r="E75" s="419">
        <f>10^5.7</f>
        <v>501187.23362727347</v>
      </c>
      <c r="F75" s="103">
        <v>35</v>
      </c>
      <c r="G75" s="103">
        <f t="shared" si="18"/>
        <v>308.14999999999998</v>
      </c>
      <c r="H75" s="372" cm="1">
        <f t="array" aca="1" ref="H75" ca="1">VLOOKUP(D75,Table245[[Compound Name]:[∆OWU SD]],INDIRECT("RAVs!$"&amp;VLOOKUP(C75,$N$45:$P$50,3,FALSE)&amp;"$1")+1,FALSE)*1000</f>
        <v>10518.260389715699</v>
      </c>
      <c r="I75" s="103">
        <f ca="1">EXP(LN(E75)-H75/8.314*(1/$J$46-1/G75))</f>
        <v>436714.12674320955</v>
      </c>
      <c r="J75" s="332">
        <f ca="1">LOG(I75)</f>
        <v>5.6401972406215748</v>
      </c>
      <c r="K75" s="416" t="s">
        <v>1540</v>
      </c>
      <c r="L75" s="103" t="s">
        <v>1541</v>
      </c>
    </row>
    <row r="76" spans="2:26">
      <c r="B76" s="103" t="s">
        <v>315</v>
      </c>
      <c r="C76" s="103" t="s">
        <v>191</v>
      </c>
      <c r="D76" s="103" t="s">
        <v>312</v>
      </c>
      <c r="E76" s="416">
        <v>0.05</v>
      </c>
      <c r="F76" s="103"/>
      <c r="G76" s="103"/>
      <c r="H76" s="372"/>
      <c r="I76" s="103">
        <f>E76/(10^K15)</f>
        <v>0.16734506063594157</v>
      </c>
      <c r="J76" s="332">
        <f>LOG(I76)</f>
        <v>-0.77638710177176951</v>
      </c>
      <c r="K76" s="416" t="s">
        <v>319</v>
      </c>
      <c r="L76" s="416"/>
    </row>
    <row r="77" spans="2:26">
      <c r="B77" s="103" t="s">
        <v>317</v>
      </c>
      <c r="C77" s="103" t="s">
        <v>274</v>
      </c>
      <c r="D77" s="103" t="s">
        <v>312</v>
      </c>
      <c r="E77" s="418">
        <v>3.29</v>
      </c>
      <c r="F77" s="103"/>
      <c r="G77" s="103"/>
      <c r="H77" s="103"/>
      <c r="I77" s="332"/>
      <c r="J77" s="332">
        <f>E77/(10^K15)</f>
        <v>11.011304989844955</v>
      </c>
      <c r="K77" s="416" t="s">
        <v>319</v>
      </c>
      <c r="L77" s="103" t="s">
        <v>318</v>
      </c>
      <c r="T77" s="120" t="s">
        <v>87</v>
      </c>
      <c r="U77" s="120" t="s">
        <v>921</v>
      </c>
    </row>
    <row r="78" spans="2:26">
      <c r="B78" s="103" t="s">
        <v>321</v>
      </c>
      <c r="C78" s="103" t="s">
        <v>281</v>
      </c>
      <c r="D78" s="103" t="s">
        <v>322</v>
      </c>
      <c r="E78" s="418">
        <v>5.7</v>
      </c>
      <c r="F78" s="103"/>
      <c r="G78" s="103"/>
      <c r="H78" s="103"/>
      <c r="I78" s="332"/>
      <c r="J78" s="418">
        <v>5.7</v>
      </c>
      <c r="K78" s="416"/>
      <c r="L78" s="103" t="s">
        <v>318</v>
      </c>
      <c r="U78" t="s">
        <v>478</v>
      </c>
      <c r="V78" t="s">
        <v>510</v>
      </c>
      <c r="W78" t="s">
        <v>511</v>
      </c>
      <c r="X78" t="s">
        <v>553</v>
      </c>
      <c r="Y78" t="s">
        <v>923</v>
      </c>
      <c r="Z78" t="s">
        <v>202</v>
      </c>
    </row>
    <row r="79" spans="2:26">
      <c r="B79" s="103" t="s">
        <v>328</v>
      </c>
      <c r="C79" s="103" t="s">
        <v>274</v>
      </c>
      <c r="D79" s="103" t="s">
        <v>35</v>
      </c>
      <c r="E79" s="416">
        <v>0.24</v>
      </c>
      <c r="F79" s="103"/>
      <c r="G79" s="103"/>
      <c r="H79" s="103"/>
      <c r="I79" s="103"/>
      <c r="J79" s="103">
        <f>E79/(10^K16)</f>
        <v>0.75703670537263834</v>
      </c>
      <c r="K79" s="103" t="s">
        <v>754</v>
      </c>
      <c r="L79" s="103" t="s">
        <v>318</v>
      </c>
      <c r="U79" s="232">
        <v>30</v>
      </c>
      <c r="V79" s="232">
        <f>1/(U79+273.15)</f>
        <v>3.298697014679202E-3</v>
      </c>
      <c r="W79" s="233">
        <v>1.5999999999999999E-3</v>
      </c>
      <c r="X79" s="232">
        <f>LN(W79)</f>
        <v>-6.437751649736402</v>
      </c>
      <c r="Y79" s="232"/>
      <c r="Z79" s="232" t="s">
        <v>924</v>
      </c>
    </row>
    <row r="80" spans="2:26">
      <c r="B80" s="103" t="s">
        <v>330</v>
      </c>
      <c r="C80" s="103" t="s">
        <v>274</v>
      </c>
      <c r="D80" s="103" t="s">
        <v>329</v>
      </c>
      <c r="E80" s="419">
        <f>0.0000000000000673*653.694</f>
        <v>4.3993606199999996E-11</v>
      </c>
      <c r="F80" s="416"/>
      <c r="G80" s="103"/>
      <c r="H80" s="103"/>
      <c r="I80" s="103"/>
      <c r="J80" s="416">
        <f>E80/(10^K17)</f>
        <v>4.3562437396149561E-9</v>
      </c>
      <c r="K80" s="103" t="s">
        <v>1542</v>
      </c>
      <c r="L80" s="103" t="s">
        <v>1198</v>
      </c>
      <c r="S80" s="74"/>
      <c r="U80" s="232">
        <v>40</v>
      </c>
      <c r="V80" s="232">
        <f t="shared" ref="V80:V89" si="20">1/(U80+273.15)</f>
        <v>3.1933578157432542E-3</v>
      </c>
      <c r="W80" s="233">
        <v>5.8999999999999999E-3</v>
      </c>
      <c r="X80" s="232">
        <f t="shared" ref="X80:X89" si="21">LN(W80)</f>
        <v>-5.132802928070463</v>
      </c>
      <c r="Y80" s="232"/>
      <c r="Z80" s="232" t="s">
        <v>924</v>
      </c>
    </row>
    <row r="81" spans="2:26">
      <c r="B81" s="103" t="s">
        <v>333</v>
      </c>
      <c r="C81" s="103" t="s">
        <v>274</v>
      </c>
      <c r="D81" s="103" t="s">
        <v>1014</v>
      </c>
      <c r="E81" s="416">
        <v>1.6700000000000001E-6</v>
      </c>
      <c r="F81" s="103">
        <v>20</v>
      </c>
      <c r="G81" s="103">
        <f>273.15+F81</f>
        <v>293.14999999999998</v>
      </c>
      <c r="H81" s="372" cm="1">
        <f t="array" aca="1" ref="H81" ca="1">VLOOKUP(D81,Table245[[Compound Name]:[∆OWU SD]],INDIRECT("RAVs!$"&amp;VLOOKUP(C81,$N$45:$P$50,3,FALSE)&amp;"$1")+1,FALSE)*1000</f>
        <v>22972.3437155756</v>
      </c>
      <c r="I81" s="103"/>
      <c r="J81" s="416">
        <f ca="1">EXP(LN(E81)-H81/8.314*(1/$J$46-1/G81))/10^K17</f>
        <v>1.9368081559395506E-4</v>
      </c>
      <c r="K81" s="103" t="s">
        <v>787</v>
      </c>
      <c r="L81" s="103"/>
      <c r="S81" s="74"/>
      <c r="U81" s="232">
        <v>50</v>
      </c>
      <c r="V81" s="232">
        <f t="shared" si="20"/>
        <v>3.0945381401825778E-3</v>
      </c>
      <c r="W81" s="233">
        <v>1.1000000000000001E-2</v>
      </c>
      <c r="X81" s="232">
        <f t="shared" si="21"/>
        <v>-4.5098600061837661</v>
      </c>
      <c r="Y81" s="232"/>
      <c r="Z81" s="232" t="s">
        <v>924</v>
      </c>
    </row>
    <row r="82" spans="2:26">
      <c r="B82" s="103" t="s">
        <v>337</v>
      </c>
      <c r="C82" s="103" t="s">
        <v>191</v>
      </c>
      <c r="D82" s="103" t="s">
        <v>335</v>
      </c>
      <c r="E82" s="418">
        <v>8.7000000000000001E-4</v>
      </c>
      <c r="F82" s="103">
        <v>30</v>
      </c>
      <c r="G82" s="103">
        <f>273.15+F82</f>
        <v>303.14999999999998</v>
      </c>
      <c r="H82" s="372" cm="1">
        <f t="array" aca="1" ref="H82" ca="1">VLOOKUP(D82,Table245[[Compound Name]:[∆OWU SD]],INDIRECT("RAVs!$"&amp;VLOOKUP(C82,$N$45:$P$50,3,FALSE)&amp;"$1")+1,FALSE)*1000</f>
        <v>85192.139340417707</v>
      </c>
      <c r="I82" s="103"/>
      <c r="J82" s="332">
        <f ca="1">LOG(EXP(LN(E82)-H82/8.314*(1/$J$46-1/G82))/10^$K$14)</f>
        <v>-2.6146858542422149</v>
      </c>
      <c r="K82" s="416" t="s">
        <v>1520</v>
      </c>
      <c r="L82" s="103" t="s">
        <v>1198</v>
      </c>
      <c r="S82" s="74"/>
      <c r="U82" s="232">
        <v>60</v>
      </c>
      <c r="V82" s="232">
        <f t="shared" si="20"/>
        <v>3.0016509079993999E-3</v>
      </c>
      <c r="W82" s="233">
        <v>3.3000000000000002E-2</v>
      </c>
      <c r="X82" s="232">
        <f t="shared" si="21"/>
        <v>-3.4112477175156566</v>
      </c>
      <c r="Y82" s="232"/>
      <c r="Z82" s="232" t="s">
        <v>924</v>
      </c>
    </row>
    <row r="83" spans="2:26">
      <c r="B83" s="103" t="s">
        <v>338</v>
      </c>
      <c r="C83" s="103" t="s">
        <v>191</v>
      </c>
      <c r="D83" s="103" t="s">
        <v>335</v>
      </c>
      <c r="E83" s="418">
        <v>1.6999999999999999E-3</v>
      </c>
      <c r="F83" s="103">
        <v>30</v>
      </c>
      <c r="G83" s="103">
        <f>273.15+F83</f>
        <v>303.14999999999998</v>
      </c>
      <c r="H83" s="372" cm="1">
        <f t="array" aca="1" ref="H83" ca="1">VLOOKUP(D83,Table245[[Compound Name]:[∆OWU SD]],INDIRECT("RAVs!$"&amp;VLOOKUP(C83,$N$45:$P$50,3,FALSE)&amp;"$1")+1,FALSE)*1000</f>
        <v>85192.139340417707</v>
      </c>
      <c r="I83" s="103"/>
      <c r="J83" s="332">
        <f ca="1">LOG(EXP(LN(E83)-H83/8.314*(1/$J$46-1/G83))/10^$K$14)</f>
        <v>-2.323756185482559</v>
      </c>
      <c r="K83" s="416" t="s">
        <v>1543</v>
      </c>
      <c r="L83" s="103" t="s">
        <v>1198</v>
      </c>
      <c r="S83" s="74"/>
      <c r="U83" s="232">
        <v>70</v>
      </c>
      <c r="V83" s="232">
        <f t="shared" si="20"/>
        <v>2.9141774734081308E-3</v>
      </c>
      <c r="W83" s="233">
        <v>2.3E-2</v>
      </c>
      <c r="X83" s="232">
        <f t="shared" si="21"/>
        <v>-3.7722610630529876</v>
      </c>
      <c r="Y83" s="232"/>
      <c r="Z83" s="232" t="s">
        <v>924</v>
      </c>
    </row>
    <row r="84" spans="2:26">
      <c r="B84" s="103" t="s">
        <v>339</v>
      </c>
      <c r="C84" s="103" t="s">
        <v>191</v>
      </c>
      <c r="D84" s="103" t="s">
        <v>335</v>
      </c>
      <c r="E84" s="418">
        <v>1.9E-3</v>
      </c>
      <c r="F84" s="103">
        <v>30</v>
      </c>
      <c r="G84" s="103">
        <f>273.15+F84</f>
        <v>303.14999999999998</v>
      </c>
      <c r="H84" s="372" cm="1">
        <f t="array" aca="1" ref="H84" ca="1">VLOOKUP(D84,Table245[[Compound Name]:[∆OWU SD]],INDIRECT("RAVs!$"&amp;VLOOKUP(C84,$N$45:$P$50,3,FALSE)&amp;"$1")+1,FALSE)*1000</f>
        <v>85192.139340417707</v>
      </c>
      <c r="I84" s="103"/>
      <c r="J84" s="332">
        <f ca="1">LOG(EXP(LN(E84)-H84/8.314*(1/$J$46-1/G84)))</f>
        <v>-2.9674256429968606</v>
      </c>
      <c r="K84" s="416" t="s">
        <v>1544</v>
      </c>
      <c r="L84" s="103"/>
      <c r="S84" s="74"/>
      <c r="U84">
        <v>75</v>
      </c>
      <c r="V84">
        <f t="shared" si="20"/>
        <v>2.8723251472066642E-3</v>
      </c>
      <c r="W84" s="74">
        <v>3.2000000000000001E-2</v>
      </c>
      <c r="X84">
        <f t="shared" si="21"/>
        <v>-3.4420193761824103</v>
      </c>
    </row>
    <row r="85" spans="2:26">
      <c r="B85" s="103" t="s">
        <v>345</v>
      </c>
      <c r="C85" s="103" t="s">
        <v>274</v>
      </c>
      <c r="D85" s="103" t="s">
        <v>335</v>
      </c>
      <c r="E85" s="419">
        <f>0.04</f>
        <v>0.04</v>
      </c>
      <c r="F85" s="103">
        <v>20</v>
      </c>
      <c r="G85" s="103">
        <f>273.15+F85</f>
        <v>293.14999999999998</v>
      </c>
      <c r="H85" s="372" cm="1">
        <f t="array" aca="1" ref="H85" ca="1">VLOOKUP(D85,Table245[[Compound Name]:[∆OWU SD]],INDIRECT("RAVs!$"&amp;VLOOKUP(C85,$N$45:$P$50,3,FALSE)&amp;"$1")+1,FALSE)*1000</f>
        <v>29486.5528065976</v>
      </c>
      <c r="I85" s="103">
        <f ca="1">EXP(LN(E85)-H85/8.314*(1/$J$46-1/G85))</f>
        <v>4.899747741981407E-2</v>
      </c>
      <c r="J85" s="420">
        <f ca="1">'Table S4 Conversions and Notes'!$I85/10^K14</f>
        <v>0.24107260371650355</v>
      </c>
      <c r="K85" s="416" t="s">
        <v>1823</v>
      </c>
      <c r="L85" s="103" t="s">
        <v>1198</v>
      </c>
      <c r="S85" s="74"/>
      <c r="U85">
        <v>80</v>
      </c>
      <c r="V85">
        <f t="shared" si="20"/>
        <v>2.831657935721365E-3</v>
      </c>
      <c r="W85" s="74">
        <v>5.3999999999999999E-2</v>
      </c>
      <c r="X85">
        <f t="shared" si="21"/>
        <v>-2.9187712324178627</v>
      </c>
    </row>
    <row r="86" spans="2:26">
      <c r="B86" s="103" t="s">
        <v>346</v>
      </c>
      <c r="C86" s="103" t="s">
        <v>274</v>
      </c>
      <c r="D86" s="103" t="s">
        <v>335</v>
      </c>
      <c r="E86" s="421">
        <f>0.0002</f>
        <v>2.0000000000000001E-4</v>
      </c>
      <c r="F86" s="103">
        <v>24</v>
      </c>
      <c r="G86" s="103">
        <f t="shared" ref="G86:G104" si="22">273.15+F86</f>
        <v>297.14999999999998</v>
      </c>
      <c r="H86" s="416"/>
      <c r="I86" s="103"/>
      <c r="J86" s="421">
        <f>E86/10^$K$14</f>
        <v>9.8402046967020524E-4</v>
      </c>
      <c r="K86" s="416" t="s">
        <v>431</v>
      </c>
      <c r="L86" s="103" t="s">
        <v>1818</v>
      </c>
      <c r="S86" s="74"/>
      <c r="U86">
        <v>85</v>
      </c>
      <c r="V86">
        <f t="shared" si="20"/>
        <v>2.7921262041044259E-3</v>
      </c>
      <c r="W86" s="74">
        <v>9.0999999999999998E-2</v>
      </c>
      <c r="X86">
        <f t="shared" si="21"/>
        <v>-2.3968957724652871</v>
      </c>
    </row>
    <row r="87" spans="2:26">
      <c r="B87" s="103" t="s">
        <v>347</v>
      </c>
      <c r="C87" s="103" t="s">
        <v>274</v>
      </c>
      <c r="D87" s="103" t="s">
        <v>335</v>
      </c>
      <c r="E87" s="421">
        <v>4.3999999999999999E-5</v>
      </c>
      <c r="F87" s="103">
        <v>25</v>
      </c>
      <c r="G87" s="103">
        <f t="shared" si="22"/>
        <v>298.14999999999998</v>
      </c>
      <c r="H87" s="416"/>
      <c r="I87" s="103"/>
      <c r="J87" s="421">
        <f>E87/10^$K$14</f>
        <v>2.1648450332744512E-4</v>
      </c>
      <c r="K87" s="416" t="s">
        <v>1824</v>
      </c>
      <c r="L87" s="103" t="s">
        <v>1819</v>
      </c>
      <c r="S87" s="74"/>
      <c r="U87">
        <v>90</v>
      </c>
      <c r="V87">
        <f t="shared" si="20"/>
        <v>2.7536830510808208E-3</v>
      </c>
      <c r="W87" s="74">
        <v>0.15</v>
      </c>
      <c r="X87">
        <f t="shared" si="21"/>
        <v>-1.8971199848858813</v>
      </c>
    </row>
    <row r="88" spans="2:26">
      <c r="B88" s="103" t="s">
        <v>348</v>
      </c>
      <c r="C88" s="103" t="s">
        <v>274</v>
      </c>
      <c r="D88" s="103" t="s">
        <v>335</v>
      </c>
      <c r="E88" s="421">
        <v>3.8000000000000002E-4</v>
      </c>
      <c r="F88" s="103">
        <v>25</v>
      </c>
      <c r="G88" s="103">
        <f t="shared" si="22"/>
        <v>298.14999999999998</v>
      </c>
      <c r="H88" s="416"/>
      <c r="I88" s="103"/>
      <c r="J88" s="421">
        <f>E88/10^$K$14</f>
        <v>1.8696388923733897E-3</v>
      </c>
      <c r="K88" s="416" t="s">
        <v>1543</v>
      </c>
      <c r="L88" s="103" t="s">
        <v>1198</v>
      </c>
      <c r="S88" s="74"/>
      <c r="U88">
        <v>95</v>
      </c>
      <c r="V88">
        <f t="shared" si="20"/>
        <v>2.7162841233192994E-3</v>
      </c>
      <c r="W88" s="74">
        <v>0.26</v>
      </c>
      <c r="X88">
        <f t="shared" si="21"/>
        <v>-1.3470736479666092</v>
      </c>
    </row>
    <row r="89" spans="2:26">
      <c r="B89" s="103" t="s">
        <v>349</v>
      </c>
      <c r="C89" s="103" t="s">
        <v>274</v>
      </c>
      <c r="D89" s="103" t="s">
        <v>335</v>
      </c>
      <c r="E89" s="421">
        <f>10^-7.13*1000</f>
        <v>7.4131024130091546E-5</v>
      </c>
      <c r="F89" s="103">
        <v>23</v>
      </c>
      <c r="G89" s="103">
        <f t="shared" si="22"/>
        <v>296.14999999999998</v>
      </c>
      <c r="H89" s="372" cm="1">
        <f t="array" aca="1" ref="H89" ca="1">VLOOKUP(D89,Table245[[Compound Name]:[∆OWU SD]],INDIRECT("RAVs!$"&amp;VLOOKUP(C89,$N$45:$P$50,3,FALSE)&amp;"$1")+1,FALSE)*1000</f>
        <v>29486.5528065976</v>
      </c>
      <c r="I89" s="416">
        <f ca="1">EXP(LN(E89)-H89/8.314*(1/$J$46-1/G89))</f>
        <v>8.0331976982646016E-5</v>
      </c>
      <c r="J89" s="422">
        <f ca="1">'Table S4 Conversions and Notes'!$I89/10^$K$14</f>
        <v>3.952415485999972E-4</v>
      </c>
      <c r="K89" s="416" t="s">
        <v>1546</v>
      </c>
      <c r="L89" s="103" t="s">
        <v>1198</v>
      </c>
      <c r="S89" s="74"/>
      <c r="U89">
        <v>100</v>
      </c>
      <c r="V89">
        <f t="shared" si="20"/>
        <v>2.6798874447273215E-3</v>
      </c>
      <c r="W89" s="74">
        <v>0.42</v>
      </c>
      <c r="X89">
        <f t="shared" si="21"/>
        <v>-0.86750056770472306</v>
      </c>
    </row>
    <row r="90" spans="2:26">
      <c r="B90" s="103" t="s">
        <v>350</v>
      </c>
      <c r="C90" s="103" t="s">
        <v>281</v>
      </c>
      <c r="D90" s="103" t="s">
        <v>335</v>
      </c>
      <c r="E90" s="419">
        <f>10^5.83</f>
        <v>676082.97539198259</v>
      </c>
      <c r="F90" s="103">
        <v>23</v>
      </c>
      <c r="G90" s="103">
        <f t="shared" si="22"/>
        <v>296.14999999999998</v>
      </c>
      <c r="H90" s="372" cm="1">
        <f t="array" aca="1" ref="H90" ca="1">VLOOKUP(D90,Table245[[Compound Name]:[∆OWU SD]],INDIRECT("RAVs!$"&amp;VLOOKUP(C90,$N$45:$P$50,3,FALSE)&amp;"$1")+1,FALSE)*1000</f>
        <v>-28133.266490775699</v>
      </c>
      <c r="I90" s="416">
        <f t="shared" ref="I90:I95" ca="1" si="23">EXP(LN(E90)-H90/8.314*(1/$J$46-1/G90))</f>
        <v>626199.55066868989</v>
      </c>
      <c r="J90" s="332">
        <f ca="1">LOG(I90)</f>
        <v>5.7967127516517385</v>
      </c>
      <c r="K90" s="416" t="s">
        <v>1547</v>
      </c>
      <c r="L90" s="103" t="s">
        <v>1833</v>
      </c>
      <c r="S90" s="74"/>
      <c r="U90" s="160" t="s">
        <v>650</v>
      </c>
      <c r="V90" s="159">
        <f>1/(25+273.15)</f>
        <v>3.3540164346805303E-3</v>
      </c>
      <c r="W90">
        <f>EXP(X90)</f>
        <v>4.8789250172157956E-5</v>
      </c>
      <c r="X90" s="61">
        <f>V93*V90+W93</f>
        <v>-9.928000552728534</v>
      </c>
      <c r="Y90">
        <f>LOG(W90)</f>
        <v>-4.3116758563824362</v>
      </c>
    </row>
    <row r="91" spans="2:26">
      <c r="B91" s="103" t="s">
        <v>354</v>
      </c>
      <c r="C91" s="103" t="s">
        <v>281</v>
      </c>
      <c r="D91" s="103" t="s">
        <v>335</v>
      </c>
      <c r="E91" s="419">
        <f>10^6.09</f>
        <v>1230268.770812382</v>
      </c>
      <c r="F91" s="103">
        <v>18</v>
      </c>
      <c r="G91" s="103">
        <f t="shared" si="22"/>
        <v>291.14999999999998</v>
      </c>
      <c r="H91" s="372" cm="1">
        <f t="array" aca="1" ref="H91" ca="1">VLOOKUP(D91,Table245[[Compound Name]:[∆OWU SD]],INDIRECT("RAVs!$"&amp;VLOOKUP(C91,$N$45:$P$50,3,FALSE)&amp;"$1")+1,FALSE)*1000</f>
        <v>-28133.266490775699</v>
      </c>
      <c r="I91" s="416">
        <f t="shared" ca="1" si="23"/>
        <v>936469.96208705392</v>
      </c>
      <c r="J91" s="332">
        <f ca="1">LOG(I91)</f>
        <v>5.9714938516428564</v>
      </c>
      <c r="K91" s="416" t="s">
        <v>1801</v>
      </c>
      <c r="L91" s="103" t="s">
        <v>1089</v>
      </c>
      <c r="U91" s="160" t="s">
        <v>925</v>
      </c>
      <c r="V91" s="159">
        <f>1/(25+273.15)</f>
        <v>3.3540164346805303E-3</v>
      </c>
      <c r="Y91" s="120">
        <v>-4.3</v>
      </c>
      <c r="Z91" t="s">
        <v>926</v>
      </c>
    </row>
    <row r="92" spans="2:26">
      <c r="B92" s="103" t="s">
        <v>355</v>
      </c>
      <c r="C92" s="103" t="s">
        <v>281</v>
      </c>
      <c r="D92" s="103" t="s">
        <v>335</v>
      </c>
      <c r="E92" s="419">
        <f>10^5.78</f>
        <v>602559.58607435878</v>
      </c>
      <c r="F92" s="103">
        <v>23</v>
      </c>
      <c r="G92" s="103">
        <f t="shared" si="22"/>
        <v>296.14999999999998</v>
      </c>
      <c r="H92" s="372" cm="1">
        <f t="array" aca="1" ref="H92" ca="1">VLOOKUP(D92,Table245[[Compound Name]:[∆OWU SD]],INDIRECT("RAVs!$"&amp;VLOOKUP(C92,$N$45:$P$50,3,FALSE)&amp;"$1")+1,FALSE)*1000</f>
        <v>-28133.266490775699</v>
      </c>
      <c r="I92" s="416">
        <f t="shared" ca="1" si="23"/>
        <v>558100.93699240009</v>
      </c>
      <c r="J92" s="332">
        <f ca="1">LOG(I92)</f>
        <v>5.7467127516517387</v>
      </c>
      <c r="K92" s="416" t="s">
        <v>1548</v>
      </c>
      <c r="L92" s="103" t="s">
        <v>2604</v>
      </c>
      <c r="V92" s="120"/>
      <c r="X92" t="s">
        <v>552</v>
      </c>
      <c r="Y92" s="120">
        <f>-V93*8.314/1000</f>
        <v>111.62659951094155</v>
      </c>
    </row>
    <row r="93" spans="2:26">
      <c r="B93" s="103" t="s">
        <v>356</v>
      </c>
      <c r="C93" s="103" t="s">
        <v>281</v>
      </c>
      <c r="D93" s="103" t="s">
        <v>335</v>
      </c>
      <c r="E93" s="419">
        <f>10^6.29</f>
        <v>1949844.5997580495</v>
      </c>
      <c r="F93" s="103">
        <v>23</v>
      </c>
      <c r="G93" s="103">
        <f t="shared" si="22"/>
        <v>296.14999999999998</v>
      </c>
      <c r="H93" s="372" cm="1">
        <f t="array" aca="1" ref="H93" ca="1">VLOOKUP(D93,Table245[[Compound Name]:[∆OWU SD]],INDIRECT("RAVs!$"&amp;VLOOKUP(C93,$N$45:$P$50,3,FALSE)&amp;"$1")+1,FALSE)*1000</f>
        <v>-28133.266490775699</v>
      </c>
      <c r="I93" s="416">
        <f t="shared" ca="1" si="23"/>
        <v>1805979.2313722288</v>
      </c>
      <c r="J93" s="332">
        <f ca="1">LOG(I93)</f>
        <v>6.2567127516517393</v>
      </c>
      <c r="K93" s="416" t="s">
        <v>1545</v>
      </c>
      <c r="L93" s="103" t="s">
        <v>2604</v>
      </c>
      <c r="V93">
        <f t="array" ref="V93:W95">LINEST(X84:X89,V84:V89,TRUE,TRUE)</f>
        <v>-13426.341052554913</v>
      </c>
      <c r="W93">
        <v>35.104167995166534</v>
      </c>
    </row>
    <row r="94" spans="2:26">
      <c r="B94" s="103" t="s">
        <v>357</v>
      </c>
      <c r="C94" s="16" t="s">
        <v>281</v>
      </c>
      <c r="D94" s="16" t="s">
        <v>2606</v>
      </c>
      <c r="E94" s="403"/>
      <c r="J94" s="404"/>
      <c r="K94" s="410" t="s">
        <v>2224</v>
      </c>
      <c r="L94" s="410" t="s">
        <v>2604</v>
      </c>
      <c r="V94">
        <v>132.83825530919802</v>
      </c>
      <c r="W94">
        <v>0.36864021456351564</v>
      </c>
    </row>
    <row r="95" spans="2:26">
      <c r="B95" s="103" t="s">
        <v>358</v>
      </c>
      <c r="C95" s="103" t="s">
        <v>281</v>
      </c>
      <c r="D95" s="103" t="s">
        <v>335</v>
      </c>
      <c r="E95" s="419">
        <f>10^5.63</f>
        <v>426579.51880159322</v>
      </c>
      <c r="F95" s="103">
        <v>23</v>
      </c>
      <c r="G95" s="103">
        <f t="shared" si="22"/>
        <v>296.14999999999998</v>
      </c>
      <c r="H95" s="372" cm="1">
        <f t="array" aca="1" ref="H95" ca="1">VLOOKUP(D95,Table245[[Compound Name]:[∆OWU SD]],INDIRECT("RAVs!$"&amp;VLOOKUP(C95,$N$45:$P$50,3,FALSE)&amp;"$1")+1,FALSE)*1000</f>
        <v>-28133.266490775699</v>
      </c>
      <c r="I95" s="416">
        <f t="shared" ca="1" si="23"/>
        <v>395105.20560460689</v>
      </c>
      <c r="J95" s="332">
        <f ca="1">LOG(I95)</f>
        <v>5.5967127516517392</v>
      </c>
      <c r="K95" s="416" t="s">
        <v>274</v>
      </c>
      <c r="L95" s="103" t="s">
        <v>1836</v>
      </c>
      <c r="V95">
        <v>0.99960859988276063</v>
      </c>
      <c r="W95">
        <v>2.1387067385515591E-2</v>
      </c>
    </row>
    <row r="96" spans="2:26">
      <c r="B96" s="103" t="s">
        <v>360</v>
      </c>
      <c r="C96" s="103" t="s">
        <v>359</v>
      </c>
      <c r="D96" s="103" t="s">
        <v>335</v>
      </c>
      <c r="E96" s="419">
        <f>138</f>
        <v>138</v>
      </c>
      <c r="F96" s="103">
        <v>20</v>
      </c>
      <c r="G96" s="103">
        <f t="shared" si="22"/>
        <v>293.14999999999998</v>
      </c>
      <c r="H96" s="372" cm="1">
        <f t="array" aca="1" ref="H96" ca="1">VLOOKUP(D96,Table245[[Compound Name]:[∆OWU SD]],INDIRECT("RAVs!$"&amp;VLOOKUP(C96,$N$45:$P$50,3,FALSE)&amp;"$1")+1,FALSE)*1000</f>
        <v>1346.5058862351125</v>
      </c>
      <c r="I96" s="103"/>
      <c r="J96" s="416">
        <f ca="1">EXP(LN(E96)-H96/8.314*(1/$J$46-1/G96))/10^K14</f>
        <v>685.29402347524331</v>
      </c>
      <c r="K96" s="416" t="s">
        <v>1803</v>
      </c>
      <c r="L96" s="103"/>
    </row>
    <row r="97" spans="2:25">
      <c r="B97" s="103" t="s">
        <v>361</v>
      </c>
      <c r="C97" s="103" t="s">
        <v>274</v>
      </c>
      <c r="D97" s="103" t="s">
        <v>362</v>
      </c>
      <c r="E97" s="103">
        <v>9.98E-2</v>
      </c>
      <c r="F97" s="103"/>
      <c r="G97" s="103"/>
      <c r="H97" s="372"/>
      <c r="I97" s="103"/>
      <c r="J97" s="332">
        <f>E97/(10^K14)</f>
        <v>0.49102621436543231</v>
      </c>
      <c r="K97" s="103" t="s">
        <v>1542</v>
      </c>
      <c r="L97" s="103"/>
      <c r="T97" s="3" t="s">
        <v>96</v>
      </c>
      <c r="U97" t="s">
        <v>1060</v>
      </c>
    </row>
    <row r="98" spans="2:25">
      <c r="B98" s="103" t="s">
        <v>364</v>
      </c>
      <c r="C98" s="103" t="s">
        <v>274</v>
      </c>
      <c r="D98" s="103" t="s">
        <v>362</v>
      </c>
      <c r="E98" s="416">
        <v>0.1</v>
      </c>
      <c r="F98" s="103"/>
      <c r="G98" s="103"/>
      <c r="H98" s="372"/>
      <c r="I98" s="103"/>
      <c r="J98" s="332">
        <f>E98/(10^K14)</f>
        <v>0.49201023483510259</v>
      </c>
      <c r="K98" s="103" t="s">
        <v>1250</v>
      </c>
      <c r="L98" s="103"/>
      <c r="U98" t="s">
        <v>478</v>
      </c>
      <c r="V98" t="s">
        <v>510</v>
      </c>
      <c r="W98" t="s">
        <v>1061</v>
      </c>
      <c r="X98" t="s">
        <v>1062</v>
      </c>
      <c r="Y98" t="s">
        <v>202</v>
      </c>
    </row>
    <row r="99" spans="2:25">
      <c r="B99" s="103" t="s">
        <v>366</v>
      </c>
      <c r="C99" s="103" t="s">
        <v>274</v>
      </c>
      <c r="D99" s="103" t="s">
        <v>168</v>
      </c>
      <c r="E99" s="416">
        <f>160/'Table S3 Literature Values'!$B$117/1000</f>
        <v>4.9994688064393161E-4</v>
      </c>
      <c r="F99" s="103"/>
      <c r="G99" s="103"/>
      <c r="H99" s="103"/>
      <c r="I99" s="103"/>
      <c r="J99" s="416">
        <f>'Table S4 Conversions and Notes'!$E99/10^$K$41</f>
        <v>5.6600344536419074E-3</v>
      </c>
      <c r="K99" s="416" t="s">
        <v>431</v>
      </c>
      <c r="L99" s="103" t="s">
        <v>1825</v>
      </c>
      <c r="U99" s="231">
        <v>10</v>
      </c>
      <c r="V99" s="231">
        <f t="shared" ref="V99:V104" si="24">1/(U99+273.15)</f>
        <v>3.5316969803990822E-3</v>
      </c>
      <c r="W99">
        <v>2.1999999999999999E-2</v>
      </c>
      <c r="X99">
        <f t="shared" ref="X99:X104" si="25">LN(W99)</f>
        <v>-3.8167128256238212</v>
      </c>
    </row>
    <row r="100" spans="2:25">
      <c r="B100" s="103" t="s">
        <v>367</v>
      </c>
      <c r="C100" s="103" t="s">
        <v>281</v>
      </c>
      <c r="D100" s="103" t="s">
        <v>168</v>
      </c>
      <c r="E100" s="356">
        <f>10^4.82</f>
        <v>66069.344800759733</v>
      </c>
      <c r="F100" s="103">
        <v>23</v>
      </c>
      <c r="G100" s="103">
        <f t="shared" si="22"/>
        <v>296.14999999999998</v>
      </c>
      <c r="H100" s="372" cm="1">
        <f t="array" aca="1" ref="H100" ca="1">VLOOKUP(D100,Table245[[Compound Name]:[∆OWU SD]],INDIRECT("RAVs!$"&amp;VLOOKUP(C100,$N$45:$P$50,3,FALSE)&amp;"$1")+1,FALSE)*1000</f>
        <v>-13246.404662499099</v>
      </c>
      <c r="I100" s="103">
        <f ca="1">EXP(LN(E100)-H100/8.314*(1/$J$46-1/G100))</f>
        <v>63727.498193799423</v>
      </c>
      <c r="J100" s="332">
        <f ca="1">LOG(I100)</f>
        <v>4.804326869335747</v>
      </c>
      <c r="K100" s="416" t="s">
        <v>1548</v>
      </c>
      <c r="L100" s="103" t="s">
        <v>2604</v>
      </c>
      <c r="U100" s="231">
        <v>20</v>
      </c>
      <c r="V100" s="231">
        <f t="shared" si="24"/>
        <v>3.4112229234180458E-3</v>
      </c>
      <c r="W100">
        <v>3.4000000000000002E-2</v>
      </c>
      <c r="X100">
        <f t="shared" si="25"/>
        <v>-3.3813947543659757</v>
      </c>
    </row>
    <row r="101" spans="2:25">
      <c r="B101" s="103" t="s">
        <v>368</v>
      </c>
      <c r="C101" s="103" t="s">
        <v>281</v>
      </c>
      <c r="D101" s="103" t="s">
        <v>168</v>
      </c>
      <c r="E101" s="356">
        <f>10^5.19</f>
        <v>154881.66189124843</v>
      </c>
      <c r="F101" s="103">
        <v>23</v>
      </c>
      <c r="G101" s="103">
        <f t="shared" si="22"/>
        <v>296.14999999999998</v>
      </c>
      <c r="H101" s="372" cm="1">
        <f t="array" aca="1" ref="H101" ca="1">VLOOKUP(D101,Table245[[Compound Name]:[∆OWU SD]],INDIRECT("RAVs!$"&amp;VLOOKUP(C101,$N$45:$P$50,3,FALSE)&amp;"$1")+1,FALSE)*1000</f>
        <v>-13246.404662499099</v>
      </c>
      <c r="I101" s="103">
        <f ca="1">EXP(LN(E101)-H101/8.314*(1/$J$46-1/G101))</f>
        <v>149391.83759415289</v>
      </c>
      <c r="J101" s="332">
        <f ca="1">LOG(I101)</f>
        <v>5.1743268693357471</v>
      </c>
      <c r="K101" s="416" t="s">
        <v>1545</v>
      </c>
      <c r="L101" s="103" t="s">
        <v>2604</v>
      </c>
      <c r="U101" s="231">
        <v>35</v>
      </c>
      <c r="V101" s="231">
        <f t="shared" si="24"/>
        <v>3.2451728054518907E-3</v>
      </c>
      <c r="W101">
        <v>7.3999999999999996E-2</v>
      </c>
      <c r="X101">
        <f t="shared" si="25"/>
        <v>-2.6036901857779675</v>
      </c>
    </row>
    <row r="102" spans="2:25">
      <c r="B102" s="103" t="s">
        <v>369</v>
      </c>
      <c r="C102" s="103" t="s">
        <v>274</v>
      </c>
      <c r="D102" s="103" t="s">
        <v>370</v>
      </c>
      <c r="E102" s="418">
        <v>8.5000000000000006E-2</v>
      </c>
      <c r="F102" s="103">
        <v>25</v>
      </c>
      <c r="G102" s="103"/>
      <c r="H102" s="372"/>
      <c r="I102" s="103"/>
      <c r="J102" s="332">
        <f>E102/(10^K19)</f>
        <v>0.33626020876257379</v>
      </c>
      <c r="K102" s="416" t="s">
        <v>1770</v>
      </c>
      <c r="L102" s="103" t="s">
        <v>1198</v>
      </c>
      <c r="U102" s="231">
        <v>40.1</v>
      </c>
      <c r="V102" s="231">
        <f t="shared" si="24"/>
        <v>3.1923383878691143E-3</v>
      </c>
      <c r="W102">
        <v>9.1999999999999998E-2</v>
      </c>
      <c r="X102">
        <f t="shared" si="25"/>
        <v>-2.3859667019330968</v>
      </c>
    </row>
    <row r="103" spans="2:25">
      <c r="B103" s="103" t="s">
        <v>371</v>
      </c>
      <c r="C103" s="103" t="s">
        <v>191</v>
      </c>
      <c r="D103" s="103" t="s">
        <v>370</v>
      </c>
      <c r="E103" s="419">
        <v>7.3700000000000002E-4</v>
      </c>
      <c r="F103" s="103">
        <v>30</v>
      </c>
      <c r="G103" s="103">
        <f t="shared" si="22"/>
        <v>303.14999999999998</v>
      </c>
      <c r="H103" s="372" cm="1">
        <f t="array" aca="1" ref="H103" ca="1">VLOOKUP(D103,Table245[[Compound Name]:[∆OWU SD]],INDIRECT("RAVs!$"&amp;VLOOKUP(C103,$N$45:$P$50,3,FALSE)&amp;"$1")+1,FALSE)*1000</f>
        <v>86378.622777650206</v>
      </c>
      <c r="I103" s="416">
        <f ca="1">(EXP(LN(E103)-H103/8.314*(1/$J$46-1/G103)))</f>
        <v>4.1481998305824692E-4</v>
      </c>
      <c r="J103" s="332">
        <f ca="1">LOG(I103/(10^K19))</f>
        <v>-2.7848837780277824</v>
      </c>
      <c r="K103" s="416" t="s">
        <v>1519</v>
      </c>
      <c r="L103" s="103"/>
      <c r="U103" s="231">
        <v>45</v>
      </c>
      <c r="V103" s="231">
        <f t="shared" si="24"/>
        <v>3.1431714600031434E-3</v>
      </c>
      <c r="W103">
        <v>0.11</v>
      </c>
      <c r="X103">
        <f t="shared" si="25"/>
        <v>-2.2072749131897207</v>
      </c>
    </row>
    <row r="104" spans="2:25">
      <c r="B104" s="103" t="s">
        <v>374</v>
      </c>
      <c r="C104" s="103" t="s">
        <v>191</v>
      </c>
      <c r="D104" s="103" t="s">
        <v>370</v>
      </c>
      <c r="E104" s="419">
        <v>1.17E-3</v>
      </c>
      <c r="F104" s="103">
        <v>30</v>
      </c>
      <c r="G104" s="103">
        <f t="shared" si="22"/>
        <v>303.14999999999998</v>
      </c>
      <c r="H104" s="372" cm="1">
        <f t="array" aca="1" ref="H104" ca="1">VLOOKUP(D104,Table245[[Compound Name]:[∆OWU SD]],INDIRECT("RAVs!$"&amp;VLOOKUP(C104,$N$45:$P$50,3,FALSE)&amp;"$1")+1,FALSE)*1000</f>
        <v>86378.622777650206</v>
      </c>
      <c r="I104" s="416">
        <f ca="1">(EXP(LN(E104)-H104/8.314*(1/$J$46-1/G104)))</f>
        <v>6.585337587220472E-4</v>
      </c>
      <c r="J104" s="332">
        <f ca="1">LOG(I104/(10^K19))</f>
        <v>-2.5841654041406725</v>
      </c>
      <c r="K104" s="416" t="s">
        <v>1549</v>
      </c>
      <c r="L104" s="103"/>
      <c r="U104">
        <v>55</v>
      </c>
      <c r="V104">
        <f t="shared" si="24"/>
        <v>3.0473868657626088E-3</v>
      </c>
      <c r="W104">
        <v>0.23899999999999999</v>
      </c>
      <c r="X104">
        <f t="shared" si="25"/>
        <v>-1.4312917270506265</v>
      </c>
    </row>
    <row r="105" spans="2:25">
      <c r="B105" s="103" t="s">
        <v>376</v>
      </c>
      <c r="C105" s="103" t="s">
        <v>191</v>
      </c>
      <c r="D105" s="103" t="s">
        <v>62</v>
      </c>
      <c r="E105" s="418">
        <f>W136</f>
        <v>1.6214606125639918E-2</v>
      </c>
      <c r="F105" s="103">
        <v>25</v>
      </c>
      <c r="G105" s="103"/>
      <c r="H105" s="372"/>
      <c r="I105" s="415">
        <f>E105/EXP(K26)</f>
        <v>3.1968498433377054E-2</v>
      </c>
      <c r="J105" s="332">
        <f>LOG(I105)</f>
        <v>-1.4952777621459994</v>
      </c>
      <c r="K105" s="416" t="s">
        <v>1760</v>
      </c>
      <c r="L105" s="103" t="s">
        <v>1761</v>
      </c>
      <c r="P105">
        <f>'Table S4 Conversions and Notes'!J208</f>
        <v>44.3</v>
      </c>
      <c r="U105" s="160" t="s">
        <v>650</v>
      </c>
      <c r="V105" s="159">
        <f>1/(25+273.15)</f>
        <v>3.3540164346805303E-3</v>
      </c>
      <c r="W105">
        <f>EXP(X105)</f>
        <v>4.6278730120914782E-2</v>
      </c>
      <c r="X105" s="61">
        <f>V108*V105+W108</f>
        <v>-3.0730728160799039</v>
      </c>
    </row>
    <row r="106" spans="2:25">
      <c r="B106" s="103" t="s">
        <v>377</v>
      </c>
      <c r="C106" s="103" t="s">
        <v>274</v>
      </c>
      <c r="D106" s="103" t="s">
        <v>62</v>
      </c>
      <c r="E106" s="417">
        <f>0.2</f>
        <v>0.2</v>
      </c>
      <c r="F106" s="103">
        <v>25</v>
      </c>
      <c r="G106" s="103"/>
      <c r="H106" s="103"/>
      <c r="I106" s="103"/>
      <c r="J106" s="423">
        <f>E106/10^$K$26</f>
        <v>0.95470355760027814</v>
      </c>
      <c r="K106" s="416" t="s">
        <v>1550</v>
      </c>
      <c r="L106" s="103" t="s">
        <v>1771</v>
      </c>
      <c r="R106" s="110" t="s">
        <v>20</v>
      </c>
      <c r="U106" s="160"/>
      <c r="V106" s="159"/>
    </row>
    <row r="107" spans="2:25">
      <c r="B107" s="103" t="s">
        <v>378</v>
      </c>
      <c r="C107" s="103" t="s">
        <v>274</v>
      </c>
      <c r="D107" s="103" t="s">
        <v>62</v>
      </c>
      <c r="E107" s="417">
        <v>0.18</v>
      </c>
      <c r="F107" s="103">
        <v>25</v>
      </c>
      <c r="G107" s="103"/>
      <c r="H107" s="103"/>
      <c r="I107" s="103"/>
      <c r="J107" s="423">
        <f>E107/10^$K$26</f>
        <v>0.8592332018402502</v>
      </c>
      <c r="K107" s="416" t="s">
        <v>1770</v>
      </c>
      <c r="L107" s="103" t="s">
        <v>1771</v>
      </c>
      <c r="X107" t="s">
        <v>1063</v>
      </c>
      <c r="Y107" s="120">
        <f>-V108*8.314/1000</f>
        <v>39.263581419041103</v>
      </c>
    </row>
    <row r="108" spans="2:25">
      <c r="B108" s="103" t="s">
        <v>379</v>
      </c>
      <c r="C108" s="103" t="s">
        <v>281</v>
      </c>
      <c r="D108" s="103" t="s">
        <v>62</v>
      </c>
      <c r="E108" s="419">
        <f>10^7.4</f>
        <v>25118864.315095898</v>
      </c>
      <c r="F108" s="103">
        <v>20</v>
      </c>
      <c r="G108" s="103">
        <f>273.15+F108</f>
        <v>293.14999999999998</v>
      </c>
      <c r="H108" s="372" cm="1">
        <f t="array" aca="1" ref="H108" ca="1">VLOOKUP(D108,Table245[[Compound Name]:[∆OWU SD]],INDIRECT("RAVs!$"&amp;VLOOKUP(C108,$N$45:$P$50,3,FALSE)&amp;"$1")+1,FALSE)*1000</f>
        <v>-19817.197355489403</v>
      </c>
      <c r="I108" s="416">
        <f ca="1">EXP(LN(E108)-H108/8.314*(1/$J$46-1/G108))</f>
        <v>21916989.418977633</v>
      </c>
      <c r="J108" s="332">
        <f ca="1">LOG(I108)</f>
        <v>7.3407808979637572</v>
      </c>
      <c r="K108" s="416" t="s">
        <v>1547</v>
      </c>
      <c r="L108" s="103"/>
      <c r="V108">
        <f t="array" ref="V108:W110">LINEST(X99:X104,V99:V104,TRUE,TRUE)</f>
        <v>-4722.5861701997956</v>
      </c>
      <c r="W108">
        <v>12.766558812965194</v>
      </c>
    </row>
    <row r="109" spans="2:25">
      <c r="B109" s="103" t="s">
        <v>380</v>
      </c>
      <c r="C109" s="103" t="s">
        <v>281</v>
      </c>
      <c r="D109" s="103" t="s">
        <v>62</v>
      </c>
      <c r="E109" s="419">
        <f>10^5.74</f>
        <v>549540.87385762564</v>
      </c>
      <c r="F109" s="103">
        <v>23</v>
      </c>
      <c r="G109" s="103">
        <f>273.15+F109</f>
        <v>296.14999999999998</v>
      </c>
      <c r="H109" s="372" cm="1">
        <f t="array" aca="1" ref="H109" ca="1">VLOOKUP(D109,Table245[[Compound Name]:[∆OWU SD]],INDIRECT("RAVs!$"&amp;VLOOKUP(C109,$N$45:$P$50,3,FALSE)&amp;"$1")+1,FALSE)*1000</f>
        <v>-19817.197355489403</v>
      </c>
      <c r="I109" s="416">
        <f ca="1">EXP(LN(E109)-H109/8.314*(1/$J$46-1/G109))</f>
        <v>520657.72335002234</v>
      </c>
      <c r="J109" s="332">
        <f ca="1">LOG(I109)</f>
        <v>5.7165523150269459</v>
      </c>
      <c r="K109" s="416" t="s">
        <v>1548</v>
      </c>
      <c r="L109" s="410" t="s">
        <v>2604</v>
      </c>
      <c r="V109">
        <v>336.94997096306724</v>
      </c>
      <c r="W109">
        <v>1.100453275603122</v>
      </c>
    </row>
    <row r="110" spans="2:25">
      <c r="B110" s="103" t="s">
        <v>384</v>
      </c>
      <c r="C110" s="103" t="s">
        <v>1343</v>
      </c>
      <c r="D110" s="103" t="s">
        <v>335</v>
      </c>
      <c r="E110" s="419">
        <f>123/8.314/298.15</f>
        <v>4.9620401908311906E-2</v>
      </c>
      <c r="F110" s="103">
        <v>23</v>
      </c>
      <c r="G110" s="103">
        <f>273.15+F110</f>
        <v>296.14999999999998</v>
      </c>
      <c r="H110" s="372" cm="1">
        <f t="array" aca="1" ref="H110" ca="1">VLOOKUP(D110,Table245[[Compound Name]:[∆OWU SD]],INDIRECT("RAVs!$"&amp;VLOOKUP(C110,$N$45:$P$50,3,FALSE)&amp;"$1")+1,FALSE)*1000</f>
        <v>53318.731511617698</v>
      </c>
      <c r="I110" s="103">
        <f ca="1">EXP(LN(E110)-H110/8.314*(1/$J$46-1/G110))</f>
        <v>5.7378202515284152E-2</v>
      </c>
      <c r="J110" s="332">
        <f ca="1">LOG(I110)</f>
        <v>-1.2412530610032442</v>
      </c>
      <c r="K110" s="416" t="s">
        <v>1551</v>
      </c>
      <c r="L110" s="103" t="s">
        <v>798</v>
      </c>
      <c r="V110">
        <v>0.98004385882605605</v>
      </c>
      <c r="W110">
        <v>0.13491414811360877</v>
      </c>
    </row>
    <row r="111" spans="2:25">
      <c r="B111" s="103" t="s">
        <v>395</v>
      </c>
      <c r="C111" s="103" t="s">
        <v>274</v>
      </c>
      <c r="D111" s="103" t="s">
        <v>68</v>
      </c>
      <c r="E111" s="418">
        <v>7943</v>
      </c>
      <c r="F111" s="103">
        <v>20</v>
      </c>
      <c r="G111" s="103">
        <f>273.15+F111</f>
        <v>293.14999999999998</v>
      </c>
      <c r="H111" s="372" cm="1">
        <f t="array" aca="1" ref="H111" ca="1">VLOOKUP(D111,Table245[[Compound Name]:[∆OWU SD]],INDIRECT("RAVs!$"&amp;VLOOKUP(C111,$N$45:$P$50,3,FALSE)&amp;"$1")+1,FALSE)*1000</f>
        <v>-2533.3031616347798</v>
      </c>
      <c r="I111" s="103"/>
      <c r="J111" s="332">
        <f ca="1">EXP(LN(E111)-H111/8.314*(1/$J$46-1/G111))</f>
        <v>7805.7452436842741</v>
      </c>
      <c r="K111" s="416" t="s">
        <v>1552</v>
      </c>
      <c r="L111" s="103"/>
    </row>
    <row r="112" spans="2:25">
      <c r="B112" s="103" t="s">
        <v>400</v>
      </c>
      <c r="C112" s="103" t="s">
        <v>274</v>
      </c>
      <c r="D112" s="103" t="s">
        <v>46</v>
      </c>
      <c r="E112" s="419">
        <v>1.47E-2</v>
      </c>
      <c r="F112" s="103">
        <v>20</v>
      </c>
      <c r="G112" s="103">
        <f>273.15+F112</f>
        <v>293.14999999999998</v>
      </c>
      <c r="H112" s="372" cm="1">
        <f t="array" aca="1" ref="H112" ca="1">VLOOKUP(D112,Table245[[Compound Name]:[∆OWU SD]],INDIRECT("RAVs!$"&amp;VLOOKUP(C112,$N$45:$P$50,3,FALSE)&amp;"$1")+1,FALSE)*1000</f>
        <v>9954.7481482321</v>
      </c>
      <c r="I112" s="332">
        <f ca="1">EXP(LN(E112)-H112/8.314*(1/$J$46-1/G112))</f>
        <v>1.5742177058313926E-2</v>
      </c>
      <c r="J112" s="416">
        <f ca="1">I112/(10^K20)</f>
        <v>0.43140312796282887</v>
      </c>
      <c r="K112" s="416" t="s">
        <v>1554</v>
      </c>
      <c r="L112" s="103"/>
      <c r="T112" s="3" t="s">
        <v>99</v>
      </c>
      <c r="U112" t="s">
        <v>1060</v>
      </c>
    </row>
    <row r="113" spans="2:25">
      <c r="B113" s="103" t="s">
        <v>402</v>
      </c>
      <c r="C113" s="103" t="s">
        <v>281</v>
      </c>
      <c r="D113" s="103" t="s">
        <v>46</v>
      </c>
      <c r="E113" s="418">
        <v>5.79</v>
      </c>
      <c r="F113" s="103"/>
      <c r="G113" s="103"/>
      <c r="H113" s="103"/>
      <c r="I113" s="103"/>
      <c r="J113" s="418">
        <f>E113</f>
        <v>5.79</v>
      </c>
      <c r="K113" s="416" t="s">
        <v>407</v>
      </c>
      <c r="L113" s="103"/>
      <c r="U113" t="s">
        <v>478</v>
      </c>
      <c r="V113" t="s">
        <v>510</v>
      </c>
      <c r="W113" t="s">
        <v>1061</v>
      </c>
      <c r="X113" t="s">
        <v>1062</v>
      </c>
      <c r="Y113" t="s">
        <v>202</v>
      </c>
    </row>
    <row r="114" spans="2:25">
      <c r="B114" s="103" t="s">
        <v>403</v>
      </c>
      <c r="C114" s="103" t="s">
        <v>281</v>
      </c>
      <c r="D114" s="103" t="s">
        <v>46</v>
      </c>
      <c r="E114" s="418">
        <v>6.05</v>
      </c>
      <c r="F114" s="103"/>
      <c r="G114" s="103"/>
      <c r="H114" s="103"/>
      <c r="I114" s="103"/>
      <c r="J114" s="418">
        <f>E114</f>
        <v>6.05</v>
      </c>
      <c r="K114" s="416" t="s">
        <v>783</v>
      </c>
      <c r="L114" s="103"/>
      <c r="U114" s="231">
        <v>10</v>
      </c>
      <c r="V114" s="231">
        <f t="shared" ref="V114:V119" si="26">1/(U114+273.15)</f>
        <v>3.5316969803990822E-3</v>
      </c>
      <c r="W114">
        <v>2.1999999999999999E-2</v>
      </c>
      <c r="X114">
        <f t="shared" ref="X114:X119" si="27">LN(W114)</f>
        <v>-3.8167128256238212</v>
      </c>
    </row>
    <row r="115" spans="2:25">
      <c r="B115" s="103" t="s">
        <v>404</v>
      </c>
      <c r="C115" s="103" t="s">
        <v>274</v>
      </c>
      <c r="D115" s="103" t="s">
        <v>46</v>
      </c>
      <c r="E115" s="419">
        <v>2.8E-3</v>
      </c>
      <c r="F115" s="103">
        <v>25</v>
      </c>
      <c r="G115" s="103">
        <f>273.15+F115</f>
        <v>298.14999999999998</v>
      </c>
      <c r="H115" s="103"/>
      <c r="I115" s="103"/>
      <c r="J115" s="416">
        <f>E115/(10^K20)</f>
        <v>7.6732001795010718E-2</v>
      </c>
      <c r="K115" s="416" t="s">
        <v>409</v>
      </c>
      <c r="L115" s="103"/>
      <c r="U115" s="231">
        <v>20</v>
      </c>
      <c r="V115" s="231">
        <f t="shared" si="26"/>
        <v>3.4112229234180458E-3</v>
      </c>
      <c r="W115">
        <v>4.2999999999999997E-2</v>
      </c>
      <c r="X115">
        <f t="shared" si="27"/>
        <v>-3.1465551632885749</v>
      </c>
    </row>
    <row r="116" spans="2:25">
      <c r="B116" s="103" t="s">
        <v>405</v>
      </c>
      <c r="C116" s="103" t="s">
        <v>274</v>
      </c>
      <c r="D116" s="103" t="s">
        <v>46</v>
      </c>
      <c r="E116" s="419">
        <v>3.3300000000000003E-2</v>
      </c>
      <c r="F116" s="103">
        <v>25</v>
      </c>
      <c r="G116" s="103">
        <f>273.15+F116</f>
        <v>298.14999999999998</v>
      </c>
      <c r="H116" s="103"/>
      <c r="I116" s="103"/>
      <c r="J116" s="416">
        <f>E116/(10^K20)</f>
        <v>0.91256273563352042</v>
      </c>
      <c r="K116" s="416" t="s">
        <v>1553</v>
      </c>
      <c r="L116" s="103"/>
      <c r="U116" s="231">
        <v>35</v>
      </c>
      <c r="V116" s="231">
        <f t="shared" si="26"/>
        <v>3.2451728054518907E-3</v>
      </c>
      <c r="W116">
        <v>0.107</v>
      </c>
      <c r="X116">
        <f t="shared" si="27"/>
        <v>-2.234926444520231</v>
      </c>
    </row>
    <row r="117" spans="2:25">
      <c r="B117" s="103" t="s">
        <v>413</v>
      </c>
      <c r="C117" s="103" t="s">
        <v>281</v>
      </c>
      <c r="D117" s="103" t="s">
        <v>68</v>
      </c>
      <c r="E117" s="417">
        <f>10^1.7</f>
        <v>50.118723362727238</v>
      </c>
      <c r="F117" s="103">
        <v>20</v>
      </c>
      <c r="G117" s="103">
        <f t="shared" ref="G117:G158" si="28">273.15+F117</f>
        <v>293.14999999999998</v>
      </c>
      <c r="H117" s="372" cm="1">
        <f t="array" aca="1" ref="H117" ca="1">VLOOKUP(D117,Table245[[Compound Name]:[∆OWU SD]],INDIRECT("RAVs!$"&amp;VLOOKUP(C117,$N$45:$P$50,3,FALSE)&amp;"$1")+1,FALSE)*1000</f>
        <v>12159.782918586301</v>
      </c>
      <c r="I117" s="416">
        <f ca="1">EXP(LN(E117)-H117/8.314*(1/$J$46-1/G117))</f>
        <v>54.492495054358812</v>
      </c>
      <c r="J117" s="332">
        <f ca="1">LOG(I117)</f>
        <v>1.7363366934525124</v>
      </c>
      <c r="K117" s="416" t="s">
        <v>1555</v>
      </c>
      <c r="L117" s="103" t="s">
        <v>878</v>
      </c>
      <c r="U117" s="231">
        <v>40.1</v>
      </c>
      <c r="V117" s="231">
        <f t="shared" si="26"/>
        <v>3.1923383878691143E-3</v>
      </c>
      <c r="W117">
        <v>0.13800000000000001</v>
      </c>
      <c r="X117">
        <f t="shared" si="27"/>
        <v>-1.9805015938249322</v>
      </c>
    </row>
    <row r="118" spans="2:25">
      <c r="B118" s="103" t="s">
        <v>416</v>
      </c>
      <c r="C118" s="103" t="s">
        <v>274</v>
      </c>
      <c r="D118" s="103" t="s">
        <v>68</v>
      </c>
      <c r="E118" s="418">
        <v>7820</v>
      </c>
      <c r="F118" s="103">
        <v>20</v>
      </c>
      <c r="G118" s="103">
        <f t="shared" si="28"/>
        <v>293.14999999999998</v>
      </c>
      <c r="H118" s="372" cm="1">
        <f t="array" aca="1" ref="H118" ca="1">VLOOKUP(D118,Table245[[Compound Name]:[∆OWU SD]],INDIRECT("RAVs!$"&amp;VLOOKUP(C118,$N$45:$P$50,3,FALSE)&amp;"$1")+1,FALSE)*1000</f>
        <v>-2533.3031616347798</v>
      </c>
      <c r="I118" s="103"/>
      <c r="J118" s="332">
        <f ca="1">EXP(LN(E118)-H118/8.314*(1/$J$46-1/G118))</f>
        <v>7684.8706792913326</v>
      </c>
      <c r="K118" s="416" t="s">
        <v>1556</v>
      </c>
      <c r="L118" s="103"/>
      <c r="U118" s="231">
        <v>45</v>
      </c>
      <c r="V118" s="231">
        <f t="shared" si="26"/>
        <v>3.1431714600031434E-3</v>
      </c>
      <c r="W118">
        <v>0.19800000000000001</v>
      </c>
      <c r="X118">
        <f t="shared" si="27"/>
        <v>-1.6194882482876019</v>
      </c>
    </row>
    <row r="119" spans="2:25">
      <c r="B119" s="103" t="s">
        <v>419</v>
      </c>
      <c r="C119" s="103" t="s">
        <v>274</v>
      </c>
      <c r="D119" s="103" t="s">
        <v>73</v>
      </c>
      <c r="E119" s="418">
        <v>1080</v>
      </c>
      <c r="F119" s="103">
        <v>20</v>
      </c>
      <c r="G119" s="103">
        <f t="shared" si="28"/>
        <v>293.14999999999998</v>
      </c>
      <c r="H119" s="372" cm="1">
        <f t="array" aca="1" ref="H119" ca="1">VLOOKUP(D119,Table245[[Compound Name]:[∆OWU SD]],INDIRECT("RAVs!$"&amp;VLOOKUP(C119,$N$45:$P$50,3,FALSE)&amp;"$1")+1,FALSE)*1000</f>
        <v>-10855.1700954475</v>
      </c>
      <c r="I119" s="103"/>
      <c r="J119" s="332">
        <f ca="1">EXP(LN(E119)-H119/8.314*(1/$J$46-1/G119))</f>
        <v>1002.2719937454126</v>
      </c>
      <c r="K119" s="416" t="s">
        <v>1557</v>
      </c>
      <c r="L119" s="103"/>
      <c r="U119">
        <v>55</v>
      </c>
      <c r="V119">
        <f t="shared" si="26"/>
        <v>3.0473868657626088E-3</v>
      </c>
      <c r="W119">
        <v>0.40300000000000002</v>
      </c>
      <c r="X119">
        <f t="shared" si="27"/>
        <v>-0.90881871703545403</v>
      </c>
    </row>
    <row r="120" spans="2:25">
      <c r="B120" s="103" t="s">
        <v>421</v>
      </c>
      <c r="C120" s="103" t="s">
        <v>274</v>
      </c>
      <c r="D120" s="103" t="s">
        <v>73</v>
      </c>
      <c r="E120" s="418">
        <v>1600</v>
      </c>
      <c r="F120" s="103">
        <v>20</v>
      </c>
      <c r="G120" s="103">
        <f t="shared" si="28"/>
        <v>293.14999999999998</v>
      </c>
      <c r="H120" s="372" cm="1">
        <f t="array" aca="1" ref="H120" ca="1">VLOOKUP(D120,Table245[[Compound Name]:[∆OWU SD]],INDIRECT("RAVs!$"&amp;VLOOKUP(C120,$N$45:$P$50,3,FALSE)&amp;"$1")+1,FALSE)*1000</f>
        <v>-10855.1700954475</v>
      </c>
      <c r="I120" s="103"/>
      <c r="J120" s="332">
        <f ca="1">EXP(LN(E120)-H120/8.314*(1/$J$46-1/G120))</f>
        <v>1484.8473981413513</v>
      </c>
      <c r="K120" s="416" t="s">
        <v>1558</v>
      </c>
      <c r="L120" s="103"/>
      <c r="U120" s="160" t="s">
        <v>650</v>
      </c>
      <c r="V120" s="159">
        <f>1/(25+273.15)</f>
        <v>3.3540164346805303E-3</v>
      </c>
      <c r="W120">
        <f>EXP(X120)</f>
        <v>5.9371378271385576E-2</v>
      </c>
      <c r="X120" s="61">
        <f>V123*V120+W123</f>
        <v>-2.8239430160223158</v>
      </c>
    </row>
    <row r="121" spans="2:25">
      <c r="B121" s="103" t="s">
        <v>425</v>
      </c>
      <c r="C121" s="103" t="s">
        <v>274</v>
      </c>
      <c r="D121" s="103" t="s">
        <v>75</v>
      </c>
      <c r="E121" s="418">
        <v>18.100000000000001</v>
      </c>
      <c r="F121" s="103">
        <v>20</v>
      </c>
      <c r="G121" s="103">
        <f t="shared" si="28"/>
        <v>293.14999999999998</v>
      </c>
      <c r="H121" s="372" cm="1">
        <f t="array" aca="1" ref="H121" ca="1">VLOOKUP(D121,Table245[[Compound Name]:[∆OWU SD]],INDIRECT("RAVs!$"&amp;VLOOKUP(C121,$N$45:$P$50,3,FALSE)&amp;"$1")+1,FALSE)*1000</f>
        <v>-10082.773117877099</v>
      </c>
      <c r="I121" s="103"/>
      <c r="J121" s="332">
        <f ca="1">EXP(LN(E121)-H121/8.314*(1/$J$46-1/G121))</f>
        <v>16.886846041195113</v>
      </c>
      <c r="K121" s="416" t="s">
        <v>426</v>
      </c>
      <c r="L121" s="103"/>
      <c r="U121" s="160"/>
      <c r="V121" s="159"/>
    </row>
    <row r="122" spans="2:25">
      <c r="B122" s="103" t="s">
        <v>430</v>
      </c>
      <c r="C122" s="103" t="s">
        <v>274</v>
      </c>
      <c r="D122" s="103" t="s">
        <v>75</v>
      </c>
      <c r="E122" s="418">
        <v>7</v>
      </c>
      <c r="F122" s="103">
        <v>24</v>
      </c>
      <c r="G122" s="103">
        <f t="shared" si="28"/>
        <v>297.14999999999998</v>
      </c>
      <c r="H122" s="103"/>
      <c r="I122" s="103"/>
      <c r="J122" s="418">
        <f>E122</f>
        <v>7</v>
      </c>
      <c r="K122" s="416" t="s">
        <v>431</v>
      </c>
      <c r="L122" s="103" t="s">
        <v>911</v>
      </c>
      <c r="X122" t="s">
        <v>1063</v>
      </c>
      <c r="Y122" s="120">
        <f>-V123*8.314/1000</f>
        <v>48.65142588839673</v>
      </c>
    </row>
    <row r="123" spans="2:25">
      <c r="B123" s="103" t="s">
        <v>433</v>
      </c>
      <c r="C123" s="103" t="s">
        <v>274</v>
      </c>
      <c r="D123" s="103" t="s">
        <v>68</v>
      </c>
      <c r="E123" s="418">
        <v>7000</v>
      </c>
      <c r="F123" s="103">
        <v>20</v>
      </c>
      <c r="G123" s="103">
        <f t="shared" si="28"/>
        <v>293.14999999999998</v>
      </c>
      <c r="H123" s="372" cm="1">
        <f t="array" aca="1" ref="H123" ca="1">VLOOKUP(D123,Table245[[Compound Name]:[∆OWU SD]],INDIRECT("RAVs!$"&amp;VLOOKUP(C123,$N$45:$P$50,3,FALSE)&amp;"$1")+1,FALSE)*1000</f>
        <v>-2533.3031616347798</v>
      </c>
      <c r="I123" s="103"/>
      <c r="J123" s="332">
        <f ca="1">EXP(LN(E123)-H123/8.314*(1/$J$46-1/G123))</f>
        <v>6879.0402500050268</v>
      </c>
      <c r="K123" s="416" t="s">
        <v>1559</v>
      </c>
      <c r="L123" s="103"/>
      <c r="V123">
        <f t="array" ref="V123:W125">LINEST(X114:X119,V114:V119,TRUE,TRUE)</f>
        <v>-5851.747160018851</v>
      </c>
      <c r="W123">
        <v>16.802913130276028</v>
      </c>
    </row>
    <row r="124" spans="2:25">
      <c r="B124" s="103" t="s">
        <v>435</v>
      </c>
      <c r="C124" s="103" t="s">
        <v>274</v>
      </c>
      <c r="D124" s="103" t="s">
        <v>75</v>
      </c>
      <c r="E124" s="418">
        <v>100</v>
      </c>
      <c r="F124" s="103">
        <v>20</v>
      </c>
      <c r="G124" s="103">
        <f t="shared" si="28"/>
        <v>293.14999999999998</v>
      </c>
      <c r="H124" s="372" cm="1">
        <f t="array" aca="1" ref="H124" ca="1">VLOOKUP(D124,Table245[[Compound Name]:[∆OWU SD]],INDIRECT("RAVs!$"&amp;VLOOKUP(C124,$N$45:$P$50,3,FALSE)&amp;"$1")+1,FALSE)*1000</f>
        <v>-10082.773117877099</v>
      </c>
      <c r="I124" s="103"/>
      <c r="J124" s="332">
        <f ca="1">EXP(LN(E124)-H124/8.314*(1/$J$46-1/G124))</f>
        <v>93.297491940304525</v>
      </c>
      <c r="K124" s="416" t="s">
        <v>1559</v>
      </c>
      <c r="L124" s="103" t="s">
        <v>868</v>
      </c>
      <c r="V124">
        <v>218.59855099812236</v>
      </c>
      <c r="W124">
        <v>0.71392643483666363</v>
      </c>
    </row>
    <row r="125" spans="2:25">
      <c r="B125" s="103" t="s">
        <v>438</v>
      </c>
      <c r="C125" s="103" t="s">
        <v>274</v>
      </c>
      <c r="D125" s="103" t="s">
        <v>77</v>
      </c>
      <c r="E125" s="418">
        <v>0.73</v>
      </c>
      <c r="F125" s="103">
        <v>24</v>
      </c>
      <c r="G125" s="103">
        <f t="shared" si="28"/>
        <v>297.14999999999998</v>
      </c>
      <c r="H125" s="103"/>
      <c r="I125" s="103"/>
      <c r="J125" s="418">
        <f>E125</f>
        <v>0.73</v>
      </c>
      <c r="K125" s="416" t="s">
        <v>431</v>
      </c>
      <c r="L125" s="103" t="s">
        <v>912</v>
      </c>
      <c r="V125">
        <v>0.99444906697195479</v>
      </c>
      <c r="W125">
        <v>8.7526457421815709E-2</v>
      </c>
    </row>
    <row r="126" spans="2:25">
      <c r="B126" s="103" t="s">
        <v>440</v>
      </c>
      <c r="C126" s="103" t="s">
        <v>274</v>
      </c>
      <c r="D126" s="103" t="s">
        <v>77</v>
      </c>
      <c r="E126" s="418">
        <f>AVERAGE(1.4,1.6)</f>
        <v>1.5</v>
      </c>
      <c r="F126" s="103">
        <v>21</v>
      </c>
      <c r="G126" s="103">
        <f t="shared" si="28"/>
        <v>294.14999999999998</v>
      </c>
      <c r="H126" s="372" cm="1">
        <f t="array" aca="1" ref="H126" ca="1">VLOOKUP(D126,Table245[[Compound Name]:[∆OWU SD]],INDIRECT("RAVs!$"&amp;VLOOKUP(C126,$N$45:$P$50,3,FALSE)&amp;"$1")+1,FALSE)*1000</f>
        <v>-477.10166337975801</v>
      </c>
      <c r="I126" s="103"/>
      <c r="J126" s="332">
        <f ca="1">EXP(LN(E126)-H126/8.314*(1/$J$46-1/G126))</f>
        <v>1.4960791495819781</v>
      </c>
      <c r="K126" s="416" t="s">
        <v>1560</v>
      </c>
      <c r="L126" s="103"/>
      <c r="S126" s="109"/>
      <c r="T126" s="109"/>
    </row>
    <row r="127" spans="2:25">
      <c r="B127" s="103" t="s">
        <v>443</v>
      </c>
      <c r="C127" s="103" t="s">
        <v>274</v>
      </c>
      <c r="D127" s="103" t="s">
        <v>83</v>
      </c>
      <c r="E127" s="418">
        <v>7.3999999999999996E-2</v>
      </c>
      <c r="F127" s="103">
        <v>24</v>
      </c>
      <c r="G127" s="103">
        <f t="shared" si="28"/>
        <v>297.14999999999998</v>
      </c>
      <c r="H127" s="103"/>
      <c r="I127" s="103"/>
      <c r="J127" s="103"/>
      <c r="K127" s="416" t="s">
        <v>431</v>
      </c>
      <c r="L127" s="103" t="s">
        <v>432</v>
      </c>
      <c r="S127" s="109"/>
      <c r="T127" s="4" t="s">
        <v>841</v>
      </c>
      <c r="U127" t="s">
        <v>1759</v>
      </c>
    </row>
    <row r="128" spans="2:25">
      <c r="B128" s="103" t="s">
        <v>447</v>
      </c>
      <c r="C128" s="103" t="s">
        <v>274</v>
      </c>
      <c r="D128" s="103" t="s">
        <v>85</v>
      </c>
      <c r="E128" s="418">
        <v>663.5</v>
      </c>
      <c r="F128" s="103">
        <v>20</v>
      </c>
      <c r="G128" s="103">
        <f t="shared" si="28"/>
        <v>293.14999999999998</v>
      </c>
      <c r="H128" s="372" cm="1">
        <f t="array" aca="1" ref="H128" ca="1">VLOOKUP(D128,Table245[[Compound Name]:[∆OWU SD]],INDIRECT("RAVs!$"&amp;VLOOKUP(C128,$N$45:$P$50,3,FALSE)&amp;"$1")+1,FALSE)*1000</f>
        <v>-36883.429713990801</v>
      </c>
      <c r="I128" s="103"/>
      <c r="J128" s="332">
        <f ca="1">EXP(LN(E128)-H128/8.314*(1/$J$46-1/G128))</f>
        <v>514.78199015256428</v>
      </c>
      <c r="K128" s="416" t="s">
        <v>1562</v>
      </c>
      <c r="L128" s="103" t="s">
        <v>1561</v>
      </c>
      <c r="U128" t="s">
        <v>478</v>
      </c>
      <c r="V128" t="s">
        <v>510</v>
      </c>
      <c r="W128" t="s">
        <v>511</v>
      </c>
      <c r="X128" t="s">
        <v>553</v>
      </c>
      <c r="Y128" t="s">
        <v>923</v>
      </c>
    </row>
    <row r="129" spans="2:33">
      <c r="B129" s="103" t="s">
        <v>449</v>
      </c>
      <c r="C129" s="103" t="s">
        <v>274</v>
      </c>
      <c r="D129" s="103" t="s">
        <v>81</v>
      </c>
      <c r="E129" s="418">
        <v>3</v>
      </c>
      <c r="F129" s="103">
        <v>20</v>
      </c>
      <c r="G129" s="103">
        <f t="shared" si="28"/>
        <v>293.14999999999998</v>
      </c>
      <c r="H129" s="372" cm="1">
        <f t="array" aca="1" ref="H129" ca="1">VLOOKUP(D129,Table245[[Compound Name]:[∆OWU SD]],INDIRECT("RAVs!$"&amp;VLOOKUP(C129,$N$45:$P$50,3,FALSE)&amp;"$1")+1,FALSE)*1000</f>
        <v>-12190.1043573393</v>
      </c>
      <c r="I129" s="103"/>
      <c r="J129" s="332">
        <f ca="1">EXP(LN(E129)-H129/8.314*(1/$J$46-1/G129))</f>
        <v>2.7586331622683029</v>
      </c>
      <c r="K129" s="416" t="s">
        <v>1559</v>
      </c>
      <c r="L129" s="103"/>
      <c r="U129" s="231">
        <v>70</v>
      </c>
      <c r="V129" s="231">
        <f>1/(U129+273.15)</f>
        <v>2.9141774734081308E-3</v>
      </c>
      <c r="W129" s="377">
        <v>2.2130000000000001</v>
      </c>
      <c r="X129" s="378">
        <f>LN(W129)</f>
        <v>0.79434906106891268</v>
      </c>
      <c r="Y129" s="232"/>
    </row>
    <row r="130" spans="2:33">
      <c r="B130" s="103" t="s">
        <v>452</v>
      </c>
      <c r="C130" s="103" t="s">
        <v>274</v>
      </c>
      <c r="D130" s="103" t="s">
        <v>85</v>
      </c>
      <c r="E130" s="418">
        <v>1100</v>
      </c>
      <c r="F130" s="103">
        <v>20</v>
      </c>
      <c r="G130" s="103">
        <f t="shared" si="28"/>
        <v>293.14999999999998</v>
      </c>
      <c r="H130" s="372" cm="1">
        <f t="array" aca="1" ref="H130" ca="1">VLOOKUP(D130,Table245[[Compound Name]:[∆OWU SD]],INDIRECT("RAVs!$"&amp;VLOOKUP(C130,$N$45:$P$50,3,FALSE)&amp;"$1")+1,FALSE)*1000</f>
        <v>-36883.429713990801</v>
      </c>
      <c r="I130" s="103"/>
      <c r="J130" s="332">
        <f ca="1">EXP(LN(E130)-H130/8.314*(1/$J$46-1/G130))</f>
        <v>853.44414343303731</v>
      </c>
      <c r="K130" s="416" t="s">
        <v>1562</v>
      </c>
      <c r="L130" s="103" t="s">
        <v>1561</v>
      </c>
      <c r="U130" s="231">
        <v>63.3</v>
      </c>
      <c r="V130" s="231">
        <f t="shared" ref="V130:V136" si="29">1/(U130+273.15)</f>
        <v>2.972209838014564E-3</v>
      </c>
      <c r="W130" s="377">
        <v>1.03</v>
      </c>
      <c r="X130" s="378">
        <f t="shared" ref="X130:X135" si="30">LN(W130)</f>
        <v>2.9558802241544429E-2</v>
      </c>
      <c r="Y130" s="232"/>
    </row>
    <row r="131" spans="2:33">
      <c r="B131" s="103" t="s">
        <v>456</v>
      </c>
      <c r="C131" s="103" t="s">
        <v>274</v>
      </c>
      <c r="D131" s="103" t="s">
        <v>87</v>
      </c>
      <c r="E131" s="418">
        <v>0.6</v>
      </c>
      <c r="F131" s="103">
        <v>24</v>
      </c>
      <c r="G131" s="103">
        <f t="shared" si="28"/>
        <v>297.14999999999998</v>
      </c>
      <c r="H131" s="103"/>
      <c r="I131" s="103"/>
      <c r="J131" s="418">
        <v>0.6</v>
      </c>
      <c r="K131" s="416" t="s">
        <v>431</v>
      </c>
      <c r="L131" s="103" t="s">
        <v>432</v>
      </c>
      <c r="U131" s="231">
        <v>50.8</v>
      </c>
      <c r="V131" s="231">
        <f t="shared" si="29"/>
        <v>3.0868961259453622E-3</v>
      </c>
      <c r="W131" s="377">
        <v>0.32900000000000001</v>
      </c>
      <c r="X131" s="378">
        <f t="shared" si="30"/>
        <v>-1.1116975282167652</v>
      </c>
      <c r="Y131" s="232"/>
    </row>
    <row r="132" spans="2:33">
      <c r="B132" s="103" t="s">
        <v>458</v>
      </c>
      <c r="C132" s="103" t="s">
        <v>274</v>
      </c>
      <c r="D132" s="103" t="s">
        <v>87</v>
      </c>
      <c r="E132" s="418">
        <f>0.14/1000</f>
        <v>1.4000000000000001E-4</v>
      </c>
      <c r="F132" s="103">
        <v>20</v>
      </c>
      <c r="G132" s="103">
        <f t="shared" si="28"/>
        <v>293.14999999999998</v>
      </c>
      <c r="H132" s="372" cm="1">
        <f t="array" aca="1" ref="H132" ca="1">VLOOKUP(D132,Table245[[Compound Name]:[∆OWU SD]],INDIRECT("RAVs!$"&amp;VLOOKUP(C132,$N$45:$P$50,3,FALSE)&amp;"$1")+1,FALSE)*1000</f>
        <v>-18990.5221197748</v>
      </c>
      <c r="I132" s="103"/>
      <c r="J132" s="416">
        <f ca="1">EXP(LN(E132)-H132/8.314*(1/$J$46-1/G132))</f>
        <v>1.2285115984004001E-4</v>
      </c>
      <c r="K132" s="416" t="s">
        <v>1563</v>
      </c>
      <c r="L132" s="103"/>
      <c r="U132" s="231">
        <v>45.6</v>
      </c>
      <c r="V132" s="231">
        <f t="shared" si="29"/>
        <v>3.1372549019607842E-3</v>
      </c>
      <c r="W132" s="377">
        <v>0.16300000000000001</v>
      </c>
      <c r="X132" s="378">
        <f t="shared" si="30"/>
        <v>-1.8140050781753747</v>
      </c>
      <c r="Y132" s="232"/>
    </row>
    <row r="133" spans="2:33">
      <c r="B133" s="103" t="s">
        <v>460</v>
      </c>
      <c r="C133" s="103" t="s">
        <v>274</v>
      </c>
      <c r="D133" s="103" t="s">
        <v>87</v>
      </c>
      <c r="E133" s="418">
        <v>5.9999999999999995E-4</v>
      </c>
      <c r="F133" s="103">
        <v>20</v>
      </c>
      <c r="G133" s="103">
        <f t="shared" si="28"/>
        <v>293.14999999999998</v>
      </c>
      <c r="H133" s="372" cm="1">
        <f t="array" aca="1" ref="H133" ca="1">VLOOKUP(D133,Table245[[Compound Name]:[∆OWU SD]],INDIRECT("RAVs!$"&amp;VLOOKUP(C133,$N$45:$P$50,3,FALSE)&amp;"$1")+1,FALSE)*1000</f>
        <v>-18990.5221197748</v>
      </c>
      <c r="I133" s="103"/>
      <c r="J133" s="416">
        <f ca="1">EXP(LN(E133)-H133/8.314*(1/$J$46-1/G133))</f>
        <v>5.265049707430284E-4</v>
      </c>
      <c r="K133" s="416" t="s">
        <v>1564</v>
      </c>
      <c r="L133" s="103" t="s">
        <v>932</v>
      </c>
      <c r="P133">
        <v>32.200000000000003</v>
      </c>
      <c r="Q133" t="s">
        <v>386</v>
      </c>
      <c r="U133" s="231">
        <v>41.6</v>
      </c>
      <c r="V133" s="231">
        <f t="shared" si="29"/>
        <v>3.177124702144559E-3</v>
      </c>
      <c r="W133" s="377">
        <v>0.112</v>
      </c>
      <c r="X133" s="378">
        <f t="shared" si="30"/>
        <v>-2.1892564076870427</v>
      </c>
      <c r="Y133" s="232"/>
    </row>
    <row r="134" spans="2:33">
      <c r="B134" s="103" t="s">
        <v>468</v>
      </c>
      <c r="C134" s="103" t="s">
        <v>274</v>
      </c>
      <c r="D134" s="103" t="s">
        <v>410</v>
      </c>
      <c r="E134" s="418">
        <f>50.6/1000</f>
        <v>5.0599999999999999E-2</v>
      </c>
      <c r="F134" s="103">
        <v>23.5</v>
      </c>
      <c r="G134" s="103">
        <f t="shared" si="28"/>
        <v>296.64999999999998</v>
      </c>
      <c r="H134" s="372" cm="1">
        <f t="array" aca="1" ref="H134" ca="1">VLOOKUP(D134,Table245[[Compound Name]:[∆OWU SD]],INDIRECT("RAVs!$"&amp;VLOOKUP(C134,$N$45:$P$50,3,FALSE)&amp;"$1")+1,FALSE)*1000</f>
        <v>-11088.9726188848</v>
      </c>
      <c r="I134" s="103"/>
      <c r="J134" s="416">
        <f ca="1">EXP(LN(E134)-H134/8.314*(1/$J$46-1/G134))</f>
        <v>4.9468274035123397E-2</v>
      </c>
      <c r="K134" s="416" t="s">
        <v>469</v>
      </c>
      <c r="L134" s="103" t="s">
        <v>1645</v>
      </c>
      <c r="U134" s="231">
        <v>41</v>
      </c>
      <c r="V134" s="231">
        <f t="shared" si="29"/>
        <v>3.1831927423205475E-3</v>
      </c>
      <c r="W134" s="377">
        <v>0.10100000000000001</v>
      </c>
      <c r="X134" s="378">
        <f t="shared" si="30"/>
        <v>-2.2926347621408776</v>
      </c>
    </row>
    <row r="135" spans="2:33">
      <c r="B135" s="103" t="s">
        <v>479</v>
      </c>
      <c r="C135" s="103" t="s">
        <v>274</v>
      </c>
      <c r="D135" s="103" t="s">
        <v>93</v>
      </c>
      <c r="E135" s="418">
        <v>1.6</v>
      </c>
      <c r="F135" s="103"/>
      <c r="G135" s="103"/>
      <c r="H135" s="103"/>
      <c r="I135" s="103"/>
      <c r="J135" s="418">
        <f>E135</f>
        <v>1.6</v>
      </c>
      <c r="K135" s="416" t="s">
        <v>431</v>
      </c>
      <c r="L135" s="103" t="s">
        <v>432</v>
      </c>
      <c r="U135" s="231">
        <v>35.5</v>
      </c>
      <c r="V135" s="231">
        <f t="shared" si="29"/>
        <v>3.2399157621901833E-3</v>
      </c>
      <c r="W135" s="377">
        <v>6.3E-2</v>
      </c>
      <c r="X135" s="378">
        <f t="shared" si="30"/>
        <v>-2.7646205525906042</v>
      </c>
    </row>
    <row r="136" spans="2:33">
      <c r="B136" s="103" t="s">
        <v>481</v>
      </c>
      <c r="C136" s="103" t="s">
        <v>281</v>
      </c>
      <c r="D136" s="103" t="s">
        <v>144</v>
      </c>
      <c r="E136" s="419">
        <f>10^AVERAGE(6.18,6.5)</f>
        <v>2187761.6239495561</v>
      </c>
      <c r="F136" s="103">
        <v>40</v>
      </c>
      <c r="G136" s="103">
        <f t="shared" si="28"/>
        <v>313.14999999999998</v>
      </c>
      <c r="H136" s="372" cm="1">
        <f t="array" aca="1" ref="H136" ca="1">VLOOKUP(D136,Table245[[Compound Name]:[∆OWU SD]],INDIRECT("RAVs!$"&amp;VLOOKUP(C136,$N$45:$P$50,3,FALSE)&amp;"$1")+1,FALSE)*1000</f>
        <v>-9847.0704832358388</v>
      </c>
      <c r="I136" s="416">
        <f ca="1">EXP(LN(E136)-H136/8.314*(1/$J$46-1/G136))</f>
        <v>2646299.8958427543</v>
      </c>
      <c r="J136" s="332">
        <f ca="1">LOG(I136)</f>
        <v>6.4226390597038554</v>
      </c>
      <c r="K136" s="416" t="s">
        <v>1565</v>
      </c>
      <c r="L136" s="103" t="s">
        <v>1090</v>
      </c>
      <c r="U136" s="160">
        <v>25</v>
      </c>
      <c r="V136" s="120">
        <f t="shared" si="29"/>
        <v>3.3540164346805303E-3</v>
      </c>
      <c r="W136" s="120">
        <f>EXP(X136)</f>
        <v>1.6214606125639918E-2</v>
      </c>
      <c r="X136" s="368">
        <f>V138*V136+W138</f>
        <v>-4.1218428302585579</v>
      </c>
      <c r="Y136" s="120">
        <f>LOG(W136)</f>
        <v>-1.7900935964537736</v>
      </c>
    </row>
    <row r="137" spans="2:33">
      <c r="B137" s="103" t="s">
        <v>489</v>
      </c>
      <c r="C137" s="103" t="s">
        <v>281</v>
      </c>
      <c r="D137" s="103" t="s">
        <v>490</v>
      </c>
      <c r="E137" s="419">
        <f>10^3.45</f>
        <v>2818.3829312644561</v>
      </c>
      <c r="F137" s="103">
        <v>40</v>
      </c>
      <c r="G137" s="103">
        <f t="shared" si="28"/>
        <v>313.14999999999998</v>
      </c>
      <c r="H137" s="372" cm="1">
        <f t="array" aca="1" ref="H137" ca="1">VLOOKUP(D137,Table245[[Compound Name]:[∆OWU SD]],INDIRECT("RAVs!$"&amp;VLOOKUP(C137,$N$45:$P$50,3,FALSE)&amp;"$1")+1,FALSE)*1000</f>
        <v>-11097.372502005299</v>
      </c>
      <c r="I137" s="416">
        <f ca="1">EXP(LN(E137)-H137/8.314*(1/$J$46-1/G137))</f>
        <v>3492.4637302005754</v>
      </c>
      <c r="J137" s="332">
        <f ca="1">LOG(I137)</f>
        <v>3.5431319045913616</v>
      </c>
      <c r="K137" s="416" t="s">
        <v>1517</v>
      </c>
      <c r="L137" s="103" t="s">
        <v>1089</v>
      </c>
      <c r="U137" s="160"/>
      <c r="V137" s="120"/>
      <c r="X137" s="120" t="s">
        <v>552</v>
      </c>
      <c r="Y137" s="368">
        <f>-V138*8.314/1000</f>
        <v>91.754200231423923</v>
      </c>
    </row>
    <row r="138" spans="2:33">
      <c r="B138" s="103" t="s">
        <v>492</v>
      </c>
      <c r="C138" s="103" t="s">
        <v>274</v>
      </c>
      <c r="D138" s="103" t="s">
        <v>490</v>
      </c>
      <c r="E138" s="418">
        <v>6</v>
      </c>
      <c r="F138" s="103">
        <v>25</v>
      </c>
      <c r="G138" s="103">
        <f t="shared" si="28"/>
        <v>298.14999999999998</v>
      </c>
      <c r="H138" s="103"/>
      <c r="I138" s="103"/>
      <c r="J138" s="332">
        <f>E138/(10^K21)</f>
        <v>16.400126907010165</v>
      </c>
      <c r="K138" s="416" t="s">
        <v>1517</v>
      </c>
      <c r="L138" s="103"/>
      <c r="M138" t="s">
        <v>1566</v>
      </c>
      <c r="V138">
        <f t="array" ref="V138:W140">LINEST(X129:X135,V129:V135,TRUE,TRUE)</f>
        <v>-11036.107797861911</v>
      </c>
      <c r="W138">
        <v>32.893444098676248</v>
      </c>
    </row>
    <row r="139" spans="2:33">
      <c r="B139" s="103" t="s">
        <v>493</v>
      </c>
      <c r="C139" s="103" t="s">
        <v>274</v>
      </c>
      <c r="D139" s="103" t="s">
        <v>490</v>
      </c>
      <c r="E139" s="418">
        <v>3</v>
      </c>
      <c r="F139" s="103">
        <v>20</v>
      </c>
      <c r="G139" s="103">
        <f t="shared" si="28"/>
        <v>293.14999999999998</v>
      </c>
      <c r="H139" s="372" cm="1">
        <f t="array" aca="1" ref="H139" ca="1">VLOOKUP(D139,Table245[[Compound Name]:[∆OWU SD]],INDIRECT("RAVs!$"&amp;VLOOKUP(C139,$N$45:$P$50,3,FALSE)&amp;"$1")+1,FALSE)*1000</f>
        <v>12656.603583231099</v>
      </c>
      <c r="I139" s="416">
        <f ca="1">EXP(LN(E139)-H139/8.314*(1/$J$46-1/G139))</f>
        <v>3.2729741977997384</v>
      </c>
      <c r="J139" s="332">
        <f ca="1">I139/(10^K21)</f>
        <v>8.9461987012142501</v>
      </c>
      <c r="K139" s="416" t="s">
        <v>1568</v>
      </c>
      <c r="L139" s="103" t="s">
        <v>1567</v>
      </c>
      <c r="V139">
        <v>273.95209059288908</v>
      </c>
      <c r="W139">
        <v>0.85020819137008885</v>
      </c>
    </row>
    <row r="140" spans="2:33">
      <c r="B140" s="103" t="s">
        <v>498</v>
      </c>
      <c r="C140" s="103" t="s">
        <v>274</v>
      </c>
      <c r="D140" s="103" t="s">
        <v>490</v>
      </c>
      <c r="E140" s="424">
        <f>0.133*228.247</f>
        <v>30.356851000000002</v>
      </c>
      <c r="F140" s="103">
        <v>23</v>
      </c>
      <c r="G140" s="103">
        <f t="shared" si="28"/>
        <v>296.14999999999998</v>
      </c>
      <c r="H140" s="372" cm="1">
        <f t="array" aca="1" ref="H140" ca="1">VLOOKUP(D140,Table245[[Compound Name]:[∆OWU SD]],INDIRECT("RAVs!$"&amp;VLOOKUP(C140,$N$45:$P$50,3,FALSE)&amp;"$1")+1,FALSE)*1000</f>
        <v>12656.603583231099</v>
      </c>
      <c r="I140" s="416">
        <f ca="1">EXP(LN(E140)-H140/8.314*(1/$J$46-1/G140))</f>
        <v>31.421867843771384</v>
      </c>
      <c r="J140" s="332">
        <f ca="1">I140/(10^K21)</f>
        <v>85.887103382192095</v>
      </c>
      <c r="K140" s="416" t="s">
        <v>1569</v>
      </c>
      <c r="L140" s="103" t="s">
        <v>1579</v>
      </c>
      <c r="V140">
        <v>0.99692849389025506</v>
      </c>
      <c r="W140">
        <v>7.9799132704969411E-2</v>
      </c>
    </row>
    <row r="141" spans="2:33">
      <c r="B141" s="103" t="s">
        <v>499</v>
      </c>
      <c r="C141" s="103" t="s">
        <v>191</v>
      </c>
      <c r="D141" s="103" t="s">
        <v>490</v>
      </c>
      <c r="E141" s="416">
        <f>EXP(36.9-(13108)/298.15)</f>
        <v>8.5496722269431892E-4</v>
      </c>
      <c r="F141" s="103"/>
      <c r="G141" s="103"/>
      <c r="H141" s="416"/>
      <c r="I141" s="416">
        <f>E141/(10^K21)</f>
        <v>2.3369284922534752E-3</v>
      </c>
      <c r="J141" s="332">
        <f>LOG(I141)</f>
        <v>-2.6313545763946182</v>
      </c>
      <c r="K141" s="416" t="s">
        <v>1570</v>
      </c>
      <c r="L141" s="103" t="s">
        <v>1567</v>
      </c>
      <c r="U141" s="120"/>
      <c r="AC141" s="120"/>
    </row>
    <row r="142" spans="2:33">
      <c r="B142" s="103" t="s">
        <v>501</v>
      </c>
      <c r="C142" s="103" t="s">
        <v>502</v>
      </c>
      <c r="D142" s="103" t="s">
        <v>490</v>
      </c>
      <c r="E142" s="103">
        <f>110.7*1000</f>
        <v>110700</v>
      </c>
      <c r="F142" s="103"/>
      <c r="G142" s="103"/>
      <c r="H142" s="416"/>
      <c r="I142" s="416"/>
      <c r="J142" s="103">
        <f>(E142-H21*G21)/1000</f>
        <v>88.93</v>
      </c>
      <c r="K142" s="416" t="s">
        <v>1570</v>
      </c>
      <c r="L142" s="103" t="s">
        <v>1572</v>
      </c>
      <c r="T142" s="4" t="s">
        <v>841</v>
      </c>
      <c r="V142" t="s">
        <v>276</v>
      </c>
      <c r="W142" s="63">
        <f>'Table S3 Literature Values'!B133</f>
        <v>364.89600000000002</v>
      </c>
      <c r="AE142" s="63"/>
    </row>
    <row r="143" spans="2:33">
      <c r="B143" s="103" t="s">
        <v>505</v>
      </c>
      <c r="C143" s="103" t="s">
        <v>281</v>
      </c>
      <c r="D143" s="103" t="s">
        <v>142</v>
      </c>
      <c r="E143" s="419">
        <f>10^5.1</f>
        <v>125892.54117941685</v>
      </c>
      <c r="F143" s="103">
        <v>23</v>
      </c>
      <c r="G143" s="103">
        <f t="shared" si="28"/>
        <v>296.14999999999998</v>
      </c>
      <c r="H143" s="372" cm="1">
        <f t="array" aca="1" ref="H143" ca="1">VLOOKUP(D143,Table245[[Compound Name]:[∆OWU SD]],INDIRECT("RAVs!$"&amp;VLOOKUP(C143,$N$45:$P$50,3,FALSE)&amp;"$1")+1,FALSE)*1000</f>
        <v>1815.6660305962</v>
      </c>
      <c r="I143" s="416">
        <f ca="1">EXP(LN(E143)-H143/8.314*(1/$J$46-1/G143))</f>
        <v>126516.82773612656</v>
      </c>
      <c r="J143" s="416">
        <f ca="1">LOG(I143)</f>
        <v>5.1021482939458087</v>
      </c>
      <c r="K143" s="416" t="s">
        <v>1518</v>
      </c>
      <c r="L143" s="103"/>
      <c r="U143" t="s">
        <v>478</v>
      </c>
      <c r="V143" t="s">
        <v>510</v>
      </c>
      <c r="W143" t="s">
        <v>1773</v>
      </c>
      <c r="X143" t="s">
        <v>1772</v>
      </c>
      <c r="Y143" t="s">
        <v>1766</v>
      </c>
      <c r="Z143" t="s">
        <v>192</v>
      </c>
    </row>
    <row r="144" spans="2:33">
      <c r="B144" s="103" t="s">
        <v>506</v>
      </c>
      <c r="C144" s="103" t="s">
        <v>274</v>
      </c>
      <c r="D144" s="103" t="s">
        <v>142</v>
      </c>
      <c r="E144" s="418">
        <v>1.08</v>
      </c>
      <c r="F144" s="103">
        <v>20</v>
      </c>
      <c r="G144" s="103">
        <f t="shared" si="28"/>
        <v>293.14999999999998</v>
      </c>
      <c r="H144" s="372" cm="1">
        <f t="array" aca="1" ref="H144" ca="1">VLOOKUP(D144,Table245[[Compound Name]:[∆OWU SD]],INDIRECT("RAVs!$"&amp;VLOOKUP(C144,$N$45:$P$50,3,FALSE)&amp;"$1")+1,FALSE)*1000</f>
        <v>-5321.3380988440604</v>
      </c>
      <c r="I144" s="332">
        <f ca="1">EXP(LN(E144)-H144/8.314*(1/$J$46-1/G144))</f>
        <v>1.041171255577378</v>
      </c>
      <c r="J144" s="416">
        <f ca="1">I144/(10^K13)</f>
        <v>2.9304428248717045</v>
      </c>
      <c r="K144" s="416" t="s">
        <v>1518</v>
      </c>
      <c r="L144" s="103" t="s">
        <v>1567</v>
      </c>
      <c r="U144" s="231">
        <v>25</v>
      </c>
      <c r="V144" s="231">
        <f>1/(U144+273.15)</f>
        <v>3.3540164346805303E-3</v>
      </c>
      <c r="W144">
        <f>0.2</f>
        <v>0.2</v>
      </c>
      <c r="X144" s="377">
        <f>W144/$W$142</f>
        <v>5.4810137683065864E-4</v>
      </c>
      <c r="Y144" s="378">
        <f t="shared" ref="Y144:Y150" si="31">LN(X144)</f>
        <v>-7.5090502939090484</v>
      </c>
      <c r="Z144" t="s">
        <v>1550</v>
      </c>
      <c r="AC144" s="231"/>
      <c r="AD144" s="231"/>
      <c r="AF144" s="302"/>
      <c r="AG144" s="378"/>
    </row>
    <row r="145" spans="2:34">
      <c r="B145" s="103" t="s">
        <v>508</v>
      </c>
      <c r="C145" s="103" t="s">
        <v>191</v>
      </c>
      <c r="D145" s="103" t="s">
        <v>509</v>
      </c>
      <c r="E145" s="418"/>
      <c r="F145" s="103">
        <v>25</v>
      </c>
      <c r="G145" s="103">
        <f t="shared" si="28"/>
        <v>298.14999999999998</v>
      </c>
      <c r="H145" s="103"/>
      <c r="I145" s="103"/>
      <c r="J145" s="103">
        <f>$Y$25</f>
        <v>-9.755026966610103</v>
      </c>
      <c r="K145" s="416" t="s">
        <v>515</v>
      </c>
      <c r="L145" s="103" t="s">
        <v>516</v>
      </c>
      <c r="U145" s="231">
        <v>35</v>
      </c>
      <c r="V145" s="231">
        <f t="shared" ref="V145:V151" si="32">1/(U145+273.15)</f>
        <v>3.2451728054518907E-3</v>
      </c>
      <c r="W145">
        <v>0.39</v>
      </c>
      <c r="X145" s="377">
        <f t="shared" ref="X145:X150" si="33">W145/$W$142</f>
        <v>1.0687976848197842E-3</v>
      </c>
      <c r="Y145" s="378">
        <f t="shared" si="31"/>
        <v>-6.8412209213333925</v>
      </c>
      <c r="Z145" t="s">
        <v>1550</v>
      </c>
      <c r="AC145" s="231"/>
      <c r="AD145" s="231"/>
      <c r="AF145" s="302"/>
      <c r="AG145" s="378"/>
    </row>
    <row r="146" spans="2:34">
      <c r="B146" s="103" t="s">
        <v>517</v>
      </c>
      <c r="C146" s="103" t="s">
        <v>502</v>
      </c>
      <c r="D146" s="103" t="s">
        <v>509</v>
      </c>
      <c r="E146" s="103"/>
      <c r="F146" s="103">
        <v>25</v>
      </c>
      <c r="G146" s="103">
        <f t="shared" si="28"/>
        <v>298.14999999999998</v>
      </c>
      <c r="H146" s="103"/>
      <c r="I146" s="103"/>
      <c r="J146" s="416">
        <f>$Y$26</f>
        <v>94.890864162898467</v>
      </c>
      <c r="K146" s="416" t="s">
        <v>515</v>
      </c>
      <c r="L146" s="103" t="s">
        <v>516</v>
      </c>
      <c r="U146" s="231">
        <v>45</v>
      </c>
      <c r="V146" s="231">
        <f t="shared" si="32"/>
        <v>3.1431714600031434E-3</v>
      </c>
      <c r="W146">
        <v>0.79</v>
      </c>
      <c r="X146" s="377">
        <f t="shared" si="33"/>
        <v>2.1650004384811015E-3</v>
      </c>
      <c r="Y146" s="378">
        <f t="shared" si="31"/>
        <v>-6.1353347149960173</v>
      </c>
      <c r="Z146" t="s">
        <v>1550</v>
      </c>
      <c r="AC146" s="231"/>
      <c r="AD146" s="231"/>
      <c r="AF146" s="302"/>
      <c r="AG146" s="378"/>
    </row>
    <row r="147" spans="2:34">
      <c r="B147" s="103" t="s">
        <v>523</v>
      </c>
      <c r="C147" s="103" t="s">
        <v>281</v>
      </c>
      <c r="D147" s="103" t="s">
        <v>509</v>
      </c>
      <c r="E147" s="419">
        <f>10^6.1</f>
        <v>1258925.4117941677</v>
      </c>
      <c r="F147" s="103">
        <v>23</v>
      </c>
      <c r="G147" s="103">
        <f t="shared" si="28"/>
        <v>296.14999999999998</v>
      </c>
      <c r="H147" s="372" cm="1">
        <f t="array" aca="1" ref="H147" ca="1">VLOOKUP(D147,Table245[[Compound Name]:[∆OWU SD]],INDIRECT("RAVs!$"&amp;VLOOKUP(C147,$N$45:$P$50,3,FALSE)&amp;"$1")+1,FALSE)*1000</f>
        <v>-9138.9682835004696</v>
      </c>
      <c r="I147" s="416">
        <f ca="1">EXP(LN(E147)-H147/8.314*(1/$J$46-1/G147))</f>
        <v>1227967.2472275386</v>
      </c>
      <c r="J147" s="416">
        <f ca="1">LOG(I147)</f>
        <v>6.089186783305113</v>
      </c>
      <c r="K147" s="416" t="s">
        <v>515</v>
      </c>
      <c r="L147" s="103"/>
      <c r="U147" s="231">
        <v>15</v>
      </c>
      <c r="V147" s="231">
        <f t="shared" si="32"/>
        <v>3.4704147145583901E-3</v>
      </c>
      <c r="W147">
        <f>105/1000</f>
        <v>0.105</v>
      </c>
      <c r="X147" s="377">
        <f t="shared" si="33"/>
        <v>2.8775322283609573E-4</v>
      </c>
      <c r="Y147" s="378">
        <f t="shared" si="31"/>
        <v>-8.1534073102995617</v>
      </c>
      <c r="Z147" t="s">
        <v>1770</v>
      </c>
      <c r="AC147" s="231"/>
      <c r="AD147" s="231"/>
      <c r="AF147" s="302"/>
      <c r="AG147" s="378"/>
    </row>
    <row r="148" spans="2:34">
      <c r="B148" s="103" t="s">
        <v>524</v>
      </c>
      <c r="C148" s="103" t="s">
        <v>274</v>
      </c>
      <c r="D148" s="103" t="s">
        <v>509</v>
      </c>
      <c r="E148" s="418">
        <f>40/1000</f>
        <v>0.04</v>
      </c>
      <c r="F148" s="103">
        <v>20</v>
      </c>
      <c r="G148" s="103">
        <f t="shared" si="28"/>
        <v>293.14999999999998</v>
      </c>
      <c r="H148" s="372" cm="1">
        <f t="array" aca="1" ref="H148" ca="1">VLOOKUP(D148,Table245[[Compound Name]:[∆OWU SD]],INDIRECT("RAVs!$"&amp;VLOOKUP(C148,$N$45:$P$50,3,FALSE)&amp;"$1")+1,FALSE)*1000</f>
        <v>-2099.6160684942301</v>
      </c>
      <c r="I148" s="103"/>
      <c r="J148" s="416">
        <f ca="1">EXP(LN(E148)-H148/8.314*(1/$J$46-1/G148))</f>
        <v>3.9426277582373478E-2</v>
      </c>
      <c r="K148" s="416" t="s">
        <v>1574</v>
      </c>
      <c r="L148" s="103"/>
      <c r="U148" s="231">
        <v>25</v>
      </c>
      <c r="V148" s="231">
        <f t="shared" si="32"/>
        <v>3.3540164346805303E-3</v>
      </c>
      <c r="W148">
        <v>0.18</v>
      </c>
      <c r="X148" s="377">
        <f t="shared" si="33"/>
        <v>4.9329123914759266E-4</v>
      </c>
      <c r="Y148" s="378">
        <f t="shared" si="31"/>
        <v>-7.6144108095668752</v>
      </c>
      <c r="Z148" t="s">
        <v>1770</v>
      </c>
      <c r="AC148" s="231"/>
      <c r="AD148" s="231"/>
      <c r="AF148" s="302"/>
      <c r="AG148" s="378"/>
    </row>
    <row r="149" spans="2:34">
      <c r="B149" s="103" t="s">
        <v>526</v>
      </c>
      <c r="C149" s="103" t="s">
        <v>274</v>
      </c>
      <c r="D149" s="103" t="s">
        <v>509</v>
      </c>
      <c r="E149" s="419">
        <v>1.9E-2</v>
      </c>
      <c r="F149" s="103">
        <v>20</v>
      </c>
      <c r="G149" s="103">
        <f t="shared" si="28"/>
        <v>293.14999999999998</v>
      </c>
      <c r="H149" s="372" cm="1">
        <f t="array" aca="1" ref="H149" ca="1">VLOOKUP(D149,Table245[[Compound Name]:[∆OWU SD]],INDIRECT("RAVs!$"&amp;VLOOKUP(C149,$N$45:$P$50,3,FALSE)&amp;"$1")+1,FALSE)*1000</f>
        <v>-2099.6160684942301</v>
      </c>
      <c r="I149" s="103"/>
      <c r="J149" s="416">
        <f ca="1">EXP(LN(E149)-H149/8.314*(1/$J$46-1/G149))</f>
        <v>1.8727481851627401E-2</v>
      </c>
      <c r="K149" s="416" t="s">
        <v>1575</v>
      </c>
      <c r="L149" s="103"/>
      <c r="U149" s="231">
        <v>35</v>
      </c>
      <c r="V149" s="231">
        <f t="shared" si="32"/>
        <v>3.2451728054518907E-3</v>
      </c>
      <c r="W149">
        <v>0.35</v>
      </c>
      <c r="X149" s="377">
        <f t="shared" si="33"/>
        <v>9.5917740945365248E-4</v>
      </c>
      <c r="Y149" s="378">
        <f t="shared" si="31"/>
        <v>-6.9494345059736258</v>
      </c>
      <c r="Z149" t="s">
        <v>1770</v>
      </c>
      <c r="AC149" s="231"/>
      <c r="AD149" s="231"/>
      <c r="AF149" s="302"/>
      <c r="AG149" s="378"/>
    </row>
    <row r="150" spans="2:34">
      <c r="B150" s="103" t="s">
        <v>532</v>
      </c>
      <c r="C150" s="103" t="s">
        <v>502</v>
      </c>
      <c r="D150" s="103" t="s">
        <v>485</v>
      </c>
      <c r="E150" s="418">
        <f>Y65</f>
        <v>95.314065814702502</v>
      </c>
      <c r="F150" s="103"/>
      <c r="G150" s="103"/>
      <c r="H150" s="103"/>
      <c r="I150" s="103"/>
      <c r="J150" s="332">
        <f>E150</f>
        <v>95.314065814702502</v>
      </c>
      <c r="K150" s="416" t="s">
        <v>533</v>
      </c>
      <c r="L150" s="103" t="s">
        <v>1573</v>
      </c>
      <c r="U150" s="231">
        <v>45</v>
      </c>
      <c r="V150" s="231">
        <f t="shared" si="32"/>
        <v>3.1431714600031434E-3</v>
      </c>
      <c r="W150">
        <v>0.6</v>
      </c>
      <c r="X150" s="377">
        <f t="shared" si="33"/>
        <v>1.6443041304919756E-3</v>
      </c>
      <c r="Y150" s="378">
        <f t="shared" si="31"/>
        <v>-6.4104380052409384</v>
      </c>
      <c r="Z150" t="s">
        <v>1770</v>
      </c>
      <c r="AC150" s="231"/>
      <c r="AD150" s="231"/>
      <c r="AF150" s="302"/>
      <c r="AG150" s="378"/>
    </row>
    <row r="151" spans="2:34">
      <c r="B151" s="103" t="s">
        <v>537</v>
      </c>
      <c r="C151" s="103" t="s">
        <v>281</v>
      </c>
      <c r="D151" s="103" t="s">
        <v>485</v>
      </c>
      <c r="E151" s="418">
        <f>10^6.36</f>
        <v>2290867.6527677765</v>
      </c>
      <c r="F151" s="103">
        <v>40</v>
      </c>
      <c r="G151" s="103">
        <f t="shared" si="28"/>
        <v>313.14999999999998</v>
      </c>
      <c r="H151" s="372" cm="1">
        <f t="array" aca="1" ref="H151" ca="1">VLOOKUP(D151,Table245[[Compound Name]:[∆OWU SD]],INDIRECT("RAVs!$"&amp;VLOOKUP(C151,$N$45:$P$50,3,FALSE)&amp;"$1")+1,FALSE)*1000</f>
        <v>-9081.3409371996004</v>
      </c>
      <c r="I151" s="416">
        <f ca="1">EXP(LN(E151)-H151/8.314*(1/$J$46-1/G151))</f>
        <v>2730315.7055961429</v>
      </c>
      <c r="J151" s="416">
        <f ca="1">LOG(I151)</f>
        <v>6.4362128672865646</v>
      </c>
      <c r="K151" s="416" t="s">
        <v>533</v>
      </c>
      <c r="L151" s="103" t="s">
        <v>1091</v>
      </c>
      <c r="U151" s="160">
        <v>25</v>
      </c>
      <c r="V151" s="120">
        <f t="shared" si="32"/>
        <v>3.3540164346805303E-3</v>
      </c>
      <c r="W151" s="120">
        <f>EXP(Y151)</f>
        <v>5.3958005806913913E-4</v>
      </c>
      <c r="Y151" s="368">
        <f>Y154*V151+Z154</f>
        <v>-7.5247193911906542</v>
      </c>
      <c r="Z151" s="120"/>
      <c r="AC151" s="160"/>
      <c r="AD151" s="120"/>
      <c r="AE151" s="120"/>
      <c r="AG151" s="368"/>
      <c r="AH151" s="120"/>
    </row>
    <row r="152" spans="2:34">
      <c r="B152" s="103" t="s">
        <v>538</v>
      </c>
      <c r="C152" s="103" t="s">
        <v>274</v>
      </c>
      <c r="D152" s="103" t="s">
        <v>485</v>
      </c>
      <c r="E152" s="418">
        <v>0.5</v>
      </c>
      <c r="F152" s="103">
        <v>20</v>
      </c>
      <c r="G152" s="103">
        <f t="shared" si="28"/>
        <v>293.14999999999998</v>
      </c>
      <c r="H152" s="372" cm="1">
        <f t="array" aca="1" ref="H152" ca="1">VLOOKUP(D152,Table245[[Compound Name]:[∆OWU SD]],INDIRECT("RAVs!$"&amp;VLOOKUP(C152,$N$45:$P$50,3,FALSE)&amp;"$1")+1,FALSE)*1000</f>
        <v>18224.425811501798</v>
      </c>
      <c r="I152" s="103"/>
      <c r="J152" s="416">
        <f ca="1">EXP(LN(E152)-H152/8.314*(1/$J$46-1/G152))</f>
        <v>0.56679952511457543</v>
      </c>
      <c r="K152" s="416" t="s">
        <v>1576</v>
      </c>
      <c r="L152" s="103" t="s">
        <v>539</v>
      </c>
      <c r="U152" s="379" t="s">
        <v>1767</v>
      </c>
      <c r="W152" t="s">
        <v>1775</v>
      </c>
      <c r="Y152" t="s">
        <v>1470</v>
      </c>
      <c r="AC152" s="379"/>
    </row>
    <row r="153" spans="2:34">
      <c r="B153" s="103" t="s">
        <v>542</v>
      </c>
      <c r="C153" s="103" t="s">
        <v>274</v>
      </c>
      <c r="D153" s="103" t="s">
        <v>483</v>
      </c>
      <c r="E153" s="418">
        <v>2.7E-2</v>
      </c>
      <c r="F153" s="103">
        <v>20</v>
      </c>
      <c r="G153" s="103">
        <f t="shared" si="28"/>
        <v>293.14999999999998</v>
      </c>
      <c r="H153" s="372" cm="1">
        <f t="array" aca="1" ref="H153" ca="1">VLOOKUP(D153,Table245[[Compound Name]:[∆OWU SD]],INDIRECT("RAVs!$"&amp;VLOOKUP(C153,$N$45:$P$50,3,FALSE)&amp;"$1")+1,FALSE)*1000</f>
        <v>3677.992185222</v>
      </c>
      <c r="I153" s="416">
        <f ca="1">EXP(LN(E153)-H153/8.314*(1/$J$46-1/G153))</f>
        <v>2.7692017124247056E-2</v>
      </c>
      <c r="J153" s="416">
        <f ca="1">I153/(10^K22)</f>
        <v>3.8787667392819788E-2</v>
      </c>
      <c r="K153" s="416" t="s">
        <v>998</v>
      </c>
      <c r="L153" s="103" t="s">
        <v>1567</v>
      </c>
      <c r="T153" s="116" t="s">
        <v>1776</v>
      </c>
      <c r="U153" s="241" t="s">
        <v>1774</v>
      </c>
      <c r="V153" s="366">
        <f>-U154*8.314/1000</f>
        <v>54.132862742108848</v>
      </c>
      <c r="W153" s="241" t="s">
        <v>1774</v>
      </c>
      <c r="X153" s="366">
        <f>-W154*8.314/1000</f>
        <v>44.891709676397035</v>
      </c>
      <c r="Y153" s="241" t="s">
        <v>1774</v>
      </c>
      <c r="Z153" s="366">
        <f>-Y154*8.314/1000</f>
        <v>48.641867117262954</v>
      </c>
      <c r="AC153" s="241"/>
      <c r="AD153" s="366"/>
      <c r="AE153" s="241"/>
      <c r="AF153" s="366"/>
      <c r="AG153" s="241"/>
      <c r="AH153" s="366"/>
    </row>
    <row r="154" spans="2:34">
      <c r="B154" s="103" t="s">
        <v>543</v>
      </c>
      <c r="C154" s="103" t="s">
        <v>359</v>
      </c>
      <c r="D154" s="103" t="s">
        <v>483</v>
      </c>
      <c r="E154" s="418">
        <v>32006.9</v>
      </c>
      <c r="F154" s="103">
        <v>20</v>
      </c>
      <c r="G154" s="103">
        <f t="shared" si="28"/>
        <v>293.14999999999998</v>
      </c>
      <c r="H154" s="372" cm="1">
        <f t="array" aca="1" ref="H154" ca="1">VLOOKUP(D154,Table245[[Compound Name]:[∆OWU SD]],INDIRECT("RAVs!$"&amp;VLOOKUP(C154,$N$45:$P$50,3,FALSE)&amp;"$1")+1,FALSE)*1000</f>
        <v>7106.950395024006</v>
      </c>
      <c r="I154" s="416">
        <f ca="1">EXP(LN(E154)-H154/8.314*(1/$J$46-1/G154))</f>
        <v>33610.973180877838</v>
      </c>
      <c r="J154" s="416">
        <f ca="1">I154/(10^K22)</f>
        <v>47078.233508218043</v>
      </c>
      <c r="K154" s="416" t="s">
        <v>998</v>
      </c>
      <c r="L154" s="103" t="s">
        <v>1567</v>
      </c>
      <c r="T154" s="116"/>
      <c r="U154">
        <f t="array" ref="U154:V156">LINEST(Y144:Y146,V144:V146,TRUE,TRUE)</f>
        <v>-6511.0491631114801</v>
      </c>
      <c r="V154">
        <v>14.315794517703129</v>
      </c>
      <c r="W154">
        <f t="array" ref="W154:X156">LINEST(Y147:Y150,V147:V150,TRUE,TRUE)</f>
        <v>-5399.5320755829962</v>
      </c>
      <c r="X154">
        <v>10.55377850700836</v>
      </c>
      <c r="Y154">
        <f t="array" ref="Y154:Z156">LINEST(Y144:Y150,V144:V150,TRUE,TRUE)</f>
        <v>-5850.5974401326621</v>
      </c>
      <c r="Z154">
        <v>12.098280575714135</v>
      </c>
    </row>
    <row r="155" spans="2:34">
      <c r="B155" s="103" t="s">
        <v>544</v>
      </c>
      <c r="C155" s="103" t="s">
        <v>191</v>
      </c>
      <c r="D155" s="103" t="s">
        <v>483</v>
      </c>
      <c r="E155" s="416">
        <v>1.0000000000000001E-5</v>
      </c>
      <c r="F155" s="103"/>
      <c r="G155" s="103"/>
      <c r="H155" s="416"/>
      <c r="I155" s="416">
        <f>E155/(10^K22)</f>
        <v>1.4006804639325969E-5</v>
      </c>
      <c r="J155" s="332">
        <f>LOG(I155)</f>
        <v>-4.8536609286533361</v>
      </c>
      <c r="K155" s="416" t="s">
        <v>1577</v>
      </c>
      <c r="L155" s="103" t="s">
        <v>1578</v>
      </c>
      <c r="T155" s="116"/>
      <c r="U155">
        <v>226.20095795948933</v>
      </c>
      <c r="V155">
        <v>0.73483519873830561</v>
      </c>
      <c r="W155">
        <v>200.47073434124624</v>
      </c>
      <c r="X155">
        <v>0.66264507219578273</v>
      </c>
      <c r="Y155">
        <v>357.02386859049568</v>
      </c>
      <c r="Z155">
        <v>1.171467210583208</v>
      </c>
    </row>
    <row r="156" spans="2:34">
      <c r="B156" s="103" t="s">
        <v>548</v>
      </c>
      <c r="C156" s="103" t="s">
        <v>281</v>
      </c>
      <c r="D156" s="103" t="s">
        <v>146</v>
      </c>
      <c r="E156" s="418">
        <f>10^6</f>
        <v>1000000</v>
      </c>
      <c r="F156" s="103">
        <v>23</v>
      </c>
      <c r="G156" s="103">
        <f t="shared" si="28"/>
        <v>296.14999999999998</v>
      </c>
      <c r="H156" s="372" cm="1">
        <f t="array" aca="1" ref="H156" ca="1">VLOOKUP(D156,Table245[[Compound Name]:[∆OWU SD]],INDIRECT("RAVs!$"&amp;VLOOKUP(C156,$N$45:$P$50,3,FALSE)&amp;"$1")+1,FALSE)*1000</f>
        <v>1905.12252740347</v>
      </c>
      <c r="I156" s="416">
        <f ca="1">EXP(LN(E156)-H156/8.314*(1/$J$46-1/G156))</f>
        <v>1005203.8395098638</v>
      </c>
      <c r="J156" s="416">
        <f ca="1">LOG(I156)</f>
        <v>6.0022541387692874</v>
      </c>
      <c r="K156" s="416" t="s">
        <v>1594</v>
      </c>
      <c r="L156" s="103"/>
      <c r="T156" s="116"/>
      <c r="U156">
        <v>0.99879451148349307</v>
      </c>
      <c r="V156">
        <v>3.373019951110956E-2</v>
      </c>
      <c r="W156">
        <v>0.99725068784689475</v>
      </c>
      <c r="X156">
        <v>4.8908022800679116E-2</v>
      </c>
      <c r="Y156">
        <v>0.98172101148369928</v>
      </c>
      <c r="Z156">
        <v>0.10535605272015333</v>
      </c>
    </row>
    <row r="157" spans="2:34">
      <c r="B157" s="103" t="s">
        <v>549</v>
      </c>
      <c r="C157" s="103" t="s">
        <v>274</v>
      </c>
      <c r="D157" s="103" t="s">
        <v>146</v>
      </c>
      <c r="E157" s="418">
        <f>AVERAGE(0.22,0.75)</f>
        <v>0.48499999999999999</v>
      </c>
      <c r="F157" s="103">
        <v>21</v>
      </c>
      <c r="G157" s="103">
        <f t="shared" si="28"/>
        <v>294.14999999999998</v>
      </c>
      <c r="H157" s="372" cm="1">
        <f t="array" aca="1" ref="H157" ca="1">VLOOKUP(D157,Table245[[Compound Name]:[∆OWU SD]],INDIRECT("RAVs!$"&amp;VLOOKUP(C157,$N$45:$P$50,3,FALSE)&amp;"$1")+1,FALSE)*1000</f>
        <v>6640.2957346011208</v>
      </c>
      <c r="I157" s="103"/>
      <c r="J157" s="416">
        <f ca="1">EXP(LN(E157)-H157/8.314*(1/$J$46-1/G157))</f>
        <v>0.50299325305980858</v>
      </c>
      <c r="K157" s="416" t="s">
        <v>1594</v>
      </c>
      <c r="L157" s="103" t="s">
        <v>550</v>
      </c>
      <c r="T157" s="116" t="s">
        <v>1777</v>
      </c>
      <c r="U157" s="241" t="s">
        <v>1774</v>
      </c>
      <c r="V157" s="120">
        <f>V153-'Table S3 Literature Values'!$AP$132*('Table S3 Literature Values'!$AS$132+273.15)/1000</f>
        <v>33.699944794042423</v>
      </c>
      <c r="W157" s="241" t="s">
        <v>1774</v>
      </c>
      <c r="X157" s="120">
        <f>X153-'Table S3 Literature Values'!$AP$132*('Table S3 Literature Values'!$AS$132+273.15)/1000</f>
        <v>24.45879172833061</v>
      </c>
      <c r="Z157">
        <f>Z153-'Table S3 Literature Values'!$AP$132*('Table S3 Literature Values'!$AS$132+273.15)/1000</f>
        <v>28.208949169196529</v>
      </c>
      <c r="AC157" s="241"/>
      <c r="AD157" s="120"/>
      <c r="AE157" s="241"/>
      <c r="AF157" s="120"/>
    </row>
    <row r="158" spans="2:34">
      <c r="B158" s="103" t="s">
        <v>551</v>
      </c>
      <c r="C158" s="103" t="s">
        <v>274</v>
      </c>
      <c r="D158" s="103" t="s">
        <v>146</v>
      </c>
      <c r="E158" s="418">
        <v>4.1000000000000002E-2</v>
      </c>
      <c r="F158" s="103">
        <v>24</v>
      </c>
      <c r="G158" s="103">
        <f t="shared" si="28"/>
        <v>297.14999999999998</v>
      </c>
      <c r="H158" s="372" cm="1">
        <f t="array" aca="1" ref="H158" ca="1">VLOOKUP(D158,Table245[[Compound Name]:[∆OWU SD]],INDIRECT("RAVs!$"&amp;VLOOKUP(C158,$N$45:$P$50,3,FALSE)&amp;"$1")+1,FALSE)*1000</f>
        <v>6640.2957346011208</v>
      </c>
      <c r="I158" s="103"/>
      <c r="J158" s="416">
        <f ca="1">EXP(LN(E158)-H158/8.314*(1/$J$46-1/G158))</f>
        <v>4.1371287021077063E-2</v>
      </c>
      <c r="K158" s="416" t="s">
        <v>1594</v>
      </c>
      <c r="L158" s="103"/>
    </row>
    <row r="159" spans="2:34">
      <c r="B159" s="103" t="s">
        <v>568</v>
      </c>
      <c r="C159" s="103" t="s">
        <v>569</v>
      </c>
      <c r="D159" s="103" t="s">
        <v>8</v>
      </c>
      <c r="E159" s="418"/>
      <c r="F159" s="103"/>
      <c r="G159" s="103"/>
      <c r="H159" s="103"/>
      <c r="I159" s="103"/>
      <c r="J159" s="103"/>
      <c r="K159" s="416" t="s">
        <v>570</v>
      </c>
      <c r="L159" s="103" t="s">
        <v>571</v>
      </c>
      <c r="T159" s="369" t="s">
        <v>1783</v>
      </c>
      <c r="U159" t="s">
        <v>1770</v>
      </c>
      <c r="V159" t="s">
        <v>276</v>
      </c>
      <c r="W159" s="63">
        <f>'Table S3 Literature Values'!$B$125</f>
        <v>354.476</v>
      </c>
      <c r="Y159" t="s">
        <v>370</v>
      </c>
      <c r="AB159" t="s">
        <v>362</v>
      </c>
      <c r="AE159" t="s">
        <v>168</v>
      </c>
      <c r="AH159" t="s">
        <v>1658</v>
      </c>
    </row>
    <row r="160" spans="2:34">
      <c r="B160" s="103" t="s">
        <v>641</v>
      </c>
      <c r="C160" s="103" t="s">
        <v>274</v>
      </c>
      <c r="D160" s="103" t="s">
        <v>654</v>
      </c>
      <c r="E160" s="419">
        <f>258.405*EXP(AF52)</f>
        <v>0.17681107861397563</v>
      </c>
      <c r="F160" s="103"/>
      <c r="G160" s="103"/>
      <c r="H160" s="103"/>
      <c r="I160" s="103"/>
      <c r="J160" s="416">
        <f>E160</f>
        <v>0.17681107861397563</v>
      </c>
      <c r="K160" s="416" t="s">
        <v>662</v>
      </c>
      <c r="L160" s="103" t="s">
        <v>1079</v>
      </c>
      <c r="U160" t="s">
        <v>478</v>
      </c>
      <c r="V160" t="s">
        <v>510</v>
      </c>
      <c r="W160" t="s">
        <v>1773</v>
      </c>
      <c r="X160" t="s">
        <v>1772</v>
      </c>
      <c r="Y160" t="s">
        <v>1766</v>
      </c>
      <c r="Z160" t="s">
        <v>1773</v>
      </c>
      <c r="AA160" t="s">
        <v>1772</v>
      </c>
      <c r="AB160" t="s">
        <v>1766</v>
      </c>
      <c r="AC160" t="s">
        <v>1773</v>
      </c>
      <c r="AD160" t="s">
        <v>1772</v>
      </c>
      <c r="AE160" t="s">
        <v>1766</v>
      </c>
      <c r="AF160" t="s">
        <v>1773</v>
      </c>
      <c r="AG160" t="s">
        <v>1772</v>
      </c>
      <c r="AH160" t="s">
        <v>1766</v>
      </c>
    </row>
    <row r="161" spans="2:34">
      <c r="B161" s="103" t="s">
        <v>642</v>
      </c>
      <c r="C161" s="103" t="s">
        <v>274</v>
      </c>
      <c r="D161" s="103" t="s">
        <v>21</v>
      </c>
      <c r="E161" s="419">
        <f>244.378*EXP(AG52)</f>
        <v>1.0251943280689077E-2</v>
      </c>
      <c r="F161" s="103"/>
      <c r="G161" s="103"/>
      <c r="H161" s="103"/>
      <c r="I161" s="103"/>
      <c r="J161" s="416">
        <f>E161/(10^K10)</f>
        <v>2.266150237800002E-2</v>
      </c>
      <c r="K161" s="416" t="s">
        <v>720</v>
      </c>
      <c r="L161" s="103" t="s">
        <v>1079</v>
      </c>
      <c r="U161" s="231">
        <v>15</v>
      </c>
      <c r="V161" s="231">
        <f>1/(U161+273.15)</f>
        <v>3.4704147145583901E-3</v>
      </c>
      <c r="W161">
        <f>50/1000</f>
        <v>0.05</v>
      </c>
      <c r="X161" s="377">
        <f>W161/$W$142</f>
        <v>1.3702534420766466E-4</v>
      </c>
      <c r="Y161" s="378">
        <f>LN(X161)</f>
        <v>-8.8953446550289392</v>
      </c>
      <c r="Z161">
        <v>0.06</v>
      </c>
      <c r="AA161" s="377">
        <f>Z161/$W$142</f>
        <v>1.6443041304919757E-4</v>
      </c>
      <c r="AB161" s="378">
        <f>LN(AA161)</f>
        <v>-8.7130230982349843</v>
      </c>
      <c r="AC161">
        <v>0.05</v>
      </c>
      <c r="AD161" s="377">
        <f>AC161/$W$142</f>
        <v>1.3702534420766466E-4</v>
      </c>
      <c r="AE161" s="378">
        <f>LN(AD161)</f>
        <v>-8.8953446550289392</v>
      </c>
      <c r="AF161">
        <v>5.5E-2</v>
      </c>
      <c r="AG161" s="377">
        <f>AF161/$W$142</f>
        <v>1.507278786284311E-4</v>
      </c>
      <c r="AH161" s="378">
        <f>LN(AG161)</f>
        <v>-8.8000344752246136</v>
      </c>
    </row>
    <row r="162" spans="2:34">
      <c r="B162" s="103" t="s">
        <v>643</v>
      </c>
      <c r="C162" s="103" t="s">
        <v>274</v>
      </c>
      <c r="D162" s="103" t="s">
        <v>312</v>
      </c>
      <c r="E162" s="419">
        <f>244.378*EXP(AH52)</f>
        <v>6.4974707677160617E-3</v>
      </c>
      <c r="F162" s="103"/>
      <c r="G162" s="103"/>
      <c r="H162" s="103"/>
      <c r="I162" s="103"/>
      <c r="J162" s="416">
        <f>E162/(10^K15)</f>
        <v>2.1746392792074042E-2</v>
      </c>
      <c r="K162" s="416" t="s">
        <v>720</v>
      </c>
      <c r="L162" s="103" t="s">
        <v>1079</v>
      </c>
      <c r="U162" s="231">
        <v>25</v>
      </c>
      <c r="V162" s="231">
        <f>1/(U162+273.15)</f>
        <v>3.3540164346805303E-3</v>
      </c>
      <c r="W162">
        <v>8.5000000000000006E-2</v>
      </c>
      <c r="X162" s="377">
        <f>W162/$W$142</f>
        <v>2.3294308515302991E-4</v>
      </c>
      <c r="Y162" s="378">
        <f>LN(X162)</f>
        <v>-8.364716403966769</v>
      </c>
      <c r="Z162">
        <v>0.1</v>
      </c>
      <c r="AA162" s="377">
        <f>Z162/$W$142</f>
        <v>2.7405068841532932E-4</v>
      </c>
      <c r="AB162" s="378">
        <f>LN(AA162)</f>
        <v>-8.2021974744689938</v>
      </c>
      <c r="AC162">
        <v>0.09</v>
      </c>
      <c r="AD162" s="377">
        <f>AC162/$W$142</f>
        <v>2.4664561957379633E-4</v>
      </c>
      <c r="AE162" s="378">
        <f>LN(AD162)</f>
        <v>-8.3075579901268206</v>
      </c>
      <c r="AF162">
        <v>0.12</v>
      </c>
      <c r="AG162" s="377">
        <f>AF162/$W$142</f>
        <v>3.2886082609839514E-4</v>
      </c>
      <c r="AH162" s="378">
        <f>LN(AG162)</f>
        <v>-8.0198759176750389</v>
      </c>
    </row>
    <row r="163" spans="2:34">
      <c r="B163" s="103" t="s">
        <v>644</v>
      </c>
      <c r="C163" s="103" t="s">
        <v>274</v>
      </c>
      <c r="D163" s="103" t="s">
        <v>322</v>
      </c>
      <c r="E163" s="419">
        <f>258.405*EXP(AI52)</f>
        <v>3.4712987903233461E-3</v>
      </c>
      <c r="F163" s="103"/>
      <c r="G163" s="103"/>
      <c r="H163" s="103"/>
      <c r="I163" s="103"/>
      <c r="J163" s="416">
        <f>E163/(10^K25)</f>
        <v>6.8701263861677382E-3</v>
      </c>
      <c r="K163" s="416" t="s">
        <v>720</v>
      </c>
      <c r="L163" s="103" t="s">
        <v>1079</v>
      </c>
      <c r="U163" s="231">
        <v>35</v>
      </c>
      <c r="V163" s="231">
        <f>1/(U163+273.15)</f>
        <v>3.2451728054518907E-3</v>
      </c>
      <c r="W163">
        <v>0.13500000000000001</v>
      </c>
      <c r="X163" s="377">
        <f>W163/$W$142</f>
        <v>3.6996842936069455E-4</v>
      </c>
      <c r="Y163" s="378">
        <f>LN(X163)</f>
        <v>-7.9020928820186551</v>
      </c>
      <c r="Z163">
        <v>0.28000000000000003</v>
      </c>
      <c r="AA163" s="377">
        <f>Z163/$W$142</f>
        <v>7.6734192756292203E-4</v>
      </c>
      <c r="AB163" s="378">
        <f>LN(AA163)</f>
        <v>-7.1725780572878355</v>
      </c>
      <c r="AC163">
        <v>0.15</v>
      </c>
      <c r="AD163" s="377">
        <f>AC163/$W$142</f>
        <v>4.110760326229939E-4</v>
      </c>
      <c r="AE163" s="378">
        <f>LN(AD163)</f>
        <v>-7.7967323663608292</v>
      </c>
      <c r="AF163">
        <v>0.23499999999999999</v>
      </c>
      <c r="AG163" s="377">
        <f>AF163/$W$142</f>
        <v>6.4401911777602376E-4</v>
      </c>
      <c r="AH163" s="378">
        <f>LN(AG163)</f>
        <v>-7.3477821463129258</v>
      </c>
    </row>
    <row r="164" spans="2:34">
      <c r="B164" s="103" t="s">
        <v>645</v>
      </c>
      <c r="C164" s="103" t="s">
        <v>274</v>
      </c>
      <c r="D164" s="103" t="s">
        <v>26</v>
      </c>
      <c r="E164" s="419">
        <f>258.405*EXP(AJ52)</f>
        <v>1.5484001605227792E-3</v>
      </c>
      <c r="F164" s="103"/>
      <c r="G164" s="103"/>
      <c r="H164" s="103"/>
      <c r="I164" s="103"/>
      <c r="J164" s="416">
        <f>E164</f>
        <v>1.5484001605227792E-3</v>
      </c>
      <c r="K164" s="416" t="s">
        <v>662</v>
      </c>
      <c r="L164" s="103" t="s">
        <v>1079</v>
      </c>
      <c r="U164" s="231">
        <v>45</v>
      </c>
      <c r="V164" s="231">
        <f>1/(U164+273.15)</f>
        <v>3.1431714600031434E-3</v>
      </c>
      <c r="W164">
        <v>0.2</v>
      </c>
      <c r="X164" s="377">
        <f>W164/$W$142</f>
        <v>5.4810137683065864E-4</v>
      </c>
      <c r="Y164" s="378">
        <f>LN(X164)</f>
        <v>-7.5090502939090484</v>
      </c>
      <c r="Z164">
        <v>0.315</v>
      </c>
      <c r="AA164" s="377">
        <f>Z164/$W$142</f>
        <v>8.6325966850828726E-4</v>
      </c>
      <c r="AB164" s="378">
        <f>LN(AA164)</f>
        <v>-7.0547950216314517</v>
      </c>
      <c r="AC164">
        <v>0.24</v>
      </c>
      <c r="AD164" s="377">
        <f>AC164/$W$142</f>
        <v>6.5772165219679028E-4</v>
      </c>
      <c r="AE164" s="378">
        <f>LN(AD164)</f>
        <v>-7.3267287371150935</v>
      </c>
      <c r="AF164">
        <v>0.45</v>
      </c>
      <c r="AG164" s="377">
        <f>AF164/$W$142</f>
        <v>1.2332280978689819E-3</v>
      </c>
      <c r="AH164" s="378">
        <f>LN(AG164)</f>
        <v>-6.6981200776927192</v>
      </c>
    </row>
    <row r="165" spans="2:34">
      <c r="B165" s="103" t="s">
        <v>646</v>
      </c>
      <c r="C165" s="103" t="s">
        <v>274</v>
      </c>
      <c r="D165" s="103" t="s">
        <v>11</v>
      </c>
      <c r="E165" s="419">
        <f>268.269*EXP(AK52)</f>
        <v>1.3715832657357987</v>
      </c>
      <c r="F165" s="103"/>
      <c r="G165" s="103"/>
      <c r="H165" s="103"/>
      <c r="I165" s="103"/>
      <c r="J165" s="416">
        <f>E165/(10^K23)</f>
        <v>5.4154214395287728</v>
      </c>
      <c r="K165" s="416" t="s">
        <v>720</v>
      </c>
      <c r="L165" s="103" t="s">
        <v>1080</v>
      </c>
      <c r="U165" s="160"/>
      <c r="V165" s="120"/>
      <c r="W165" s="120"/>
      <c r="Y165" s="368"/>
      <c r="Z165" s="120"/>
    </row>
    <row r="166" spans="2:34">
      <c r="B166" s="103" t="s">
        <v>647</v>
      </c>
      <c r="C166" s="103" t="s">
        <v>274</v>
      </c>
      <c r="D166" s="103" t="s">
        <v>663</v>
      </c>
      <c r="E166" s="419">
        <f>266.297*EXP(AM52)</f>
        <v>0.14107961559842849</v>
      </c>
      <c r="F166" s="103"/>
      <c r="G166" s="103"/>
      <c r="H166" s="103"/>
      <c r="I166" s="103"/>
      <c r="J166" s="416">
        <f>E166/(10^K24)</f>
        <v>1.7510365317050125</v>
      </c>
      <c r="K166" s="416" t="s">
        <v>720</v>
      </c>
      <c r="L166" s="103" t="s">
        <v>1080</v>
      </c>
      <c r="U166" s="379"/>
      <c r="W166" s="120" t="s">
        <v>370</v>
      </c>
      <c r="Z166" s="120" t="s">
        <v>362</v>
      </c>
      <c r="AC166" s="120" t="str">
        <f>AE159</f>
        <v>p,p'-DDD</v>
      </c>
      <c r="AF166" s="120" t="s">
        <v>1658</v>
      </c>
    </row>
    <row r="167" spans="2:34">
      <c r="B167" s="103" t="s">
        <v>648</v>
      </c>
      <c r="C167" s="103" t="s">
        <v>653</v>
      </c>
      <c r="D167" s="103" t="s">
        <v>654</v>
      </c>
      <c r="E167" s="424">
        <f>V58</f>
        <v>23.077500195159161</v>
      </c>
      <c r="F167" s="103"/>
      <c r="G167" s="103"/>
      <c r="H167" s="103"/>
      <c r="I167" s="103"/>
      <c r="J167" s="343">
        <f t="shared" ref="J167:J189" si="34">E167</f>
        <v>23.077500195159161</v>
      </c>
      <c r="K167" s="416" t="s">
        <v>668</v>
      </c>
      <c r="L167" s="103" t="s">
        <v>1080</v>
      </c>
      <c r="W167" s="241" t="s">
        <v>1774</v>
      </c>
      <c r="X167" s="366">
        <f>-W168*8.314/1000</f>
        <v>35.270590406988774</v>
      </c>
      <c r="Y167" s="241"/>
      <c r="Z167" s="241" t="s">
        <v>1774</v>
      </c>
      <c r="AA167" s="366">
        <f>-Z168*8.314/1000</f>
        <v>45.924502620528443</v>
      </c>
      <c r="AC167" s="241" t="s">
        <v>1774</v>
      </c>
      <c r="AD167" s="366">
        <f>-AC168*8.314/1000</f>
        <v>39.7941313437505</v>
      </c>
      <c r="AF167" s="241" t="s">
        <v>1774</v>
      </c>
      <c r="AG167" s="366">
        <f>-AF168*8.314/1000</f>
        <v>53.21532751143792</v>
      </c>
    </row>
    <row r="168" spans="2:34">
      <c r="B168" s="103" t="s">
        <v>649</v>
      </c>
      <c r="C168" s="103" t="s">
        <v>653</v>
      </c>
      <c r="D168" s="103" t="s">
        <v>21</v>
      </c>
      <c r="E168" s="424">
        <f>X58</f>
        <v>-19.961429878840377</v>
      </c>
      <c r="F168" s="103"/>
      <c r="G168" s="103"/>
      <c r="H168" s="103"/>
      <c r="I168" s="103"/>
      <c r="J168" s="343">
        <f t="shared" si="34"/>
        <v>-19.961429878840377</v>
      </c>
      <c r="K168" s="416" t="s">
        <v>668</v>
      </c>
      <c r="L168" s="103" t="s">
        <v>1080</v>
      </c>
      <c r="W168">
        <f t="array" ref="W168:X170">LINEST(Y161:Y164,V161:V164,TRUE,TRUE)</f>
        <v>-4242.313015033531</v>
      </c>
      <c r="X168">
        <v>5.8453812178869509</v>
      </c>
      <c r="Z168">
        <f t="array" ref="Z168:AA170">LINEST(AB161:AB164,V161:V164,TRUE,TRUE)</f>
        <v>-5523.7554270541787</v>
      </c>
      <c r="AA168">
        <v>10.46038656293512</v>
      </c>
      <c r="AC168">
        <f t="array" ref="AC168:AD170">LINEST(AE161:AE164,V161:V164,TRUE,TRUE)</f>
        <v>-4786.4002097366492</v>
      </c>
      <c r="AD168">
        <v>7.7288168168656757</v>
      </c>
      <c r="AF168">
        <f t="array" ref="AF168:AG170">LINEST(AH161:AH164,V161:V164,TRUE,TRUE)</f>
        <v>-6400.6888996196685</v>
      </c>
      <c r="AG168">
        <v>13.426263078273491</v>
      </c>
    </row>
    <row r="169" spans="2:34">
      <c r="B169" s="103" t="s">
        <v>656</v>
      </c>
      <c r="C169" s="103" t="s">
        <v>653</v>
      </c>
      <c r="D169" s="103" t="s">
        <v>312</v>
      </c>
      <c r="E169" s="424">
        <f>Z58</f>
        <v>-21.899453175314246</v>
      </c>
      <c r="F169" s="103"/>
      <c r="G169" s="103"/>
      <c r="H169" s="103"/>
      <c r="I169" s="103"/>
      <c r="J169" s="343">
        <f t="shared" si="34"/>
        <v>-21.899453175314246</v>
      </c>
      <c r="K169" s="416" t="s">
        <v>668</v>
      </c>
      <c r="L169" s="103" t="s">
        <v>1080</v>
      </c>
      <c r="W169">
        <v>110.96500618226592</v>
      </c>
      <c r="X169">
        <v>0.36678877230871904</v>
      </c>
      <c r="Z169">
        <v>1034.8961657909203</v>
      </c>
      <c r="AA169">
        <v>3.4207927992538321</v>
      </c>
      <c r="AC169">
        <v>73.96523688011203</v>
      </c>
      <c r="AD169">
        <v>0.24448805404667884</v>
      </c>
      <c r="AF169">
        <v>76.496830478682085</v>
      </c>
      <c r="AG169">
        <v>0.25285609853161234</v>
      </c>
    </row>
    <row r="170" spans="2:34">
      <c r="B170" s="103" t="s">
        <v>657</v>
      </c>
      <c r="C170" s="103" t="s">
        <v>653</v>
      </c>
      <c r="D170" s="103" t="s">
        <v>322</v>
      </c>
      <c r="E170" s="424">
        <f>AB58</f>
        <v>-28.986481274746431</v>
      </c>
      <c r="F170" s="103"/>
      <c r="G170" s="103"/>
      <c r="H170" s="103"/>
      <c r="I170" s="103"/>
      <c r="J170" s="343">
        <f t="shared" si="34"/>
        <v>-28.986481274746431</v>
      </c>
      <c r="K170" s="416" t="s">
        <v>668</v>
      </c>
      <c r="L170" s="103" t="s">
        <v>1080</v>
      </c>
      <c r="T170" s="116"/>
      <c r="W170">
        <v>0.99863352150804197</v>
      </c>
      <c r="X170">
        <v>2.7071677421012744E-2</v>
      </c>
      <c r="Z170">
        <v>0.93440230628977194</v>
      </c>
      <c r="AA170">
        <v>0.25247937280800342</v>
      </c>
      <c r="AC170">
        <v>0.99952262473562148</v>
      </c>
      <c r="AD170">
        <v>1.80449954636888E-2</v>
      </c>
      <c r="AF170">
        <v>0.99971441236962633</v>
      </c>
      <c r="AG170">
        <v>1.8662617970274506E-2</v>
      </c>
    </row>
    <row r="171" spans="2:34">
      <c r="B171" s="103" t="s">
        <v>658</v>
      </c>
      <c r="C171" s="103" t="s">
        <v>653</v>
      </c>
      <c r="D171" s="103" t="s">
        <v>26</v>
      </c>
      <c r="E171" s="424">
        <f>AD58</f>
        <v>-36.996452467197493</v>
      </c>
      <c r="F171" s="103"/>
      <c r="G171" s="103"/>
      <c r="H171" s="103"/>
      <c r="I171" s="103"/>
      <c r="J171" s="343">
        <f t="shared" si="34"/>
        <v>-36.996452467197493</v>
      </c>
      <c r="K171" s="416" t="s">
        <v>668</v>
      </c>
      <c r="L171" s="103" t="s">
        <v>1080</v>
      </c>
      <c r="T171" s="116"/>
      <c r="W171" s="241" t="s">
        <v>1774</v>
      </c>
      <c r="X171" s="368">
        <f>X167-'Table S3 Literature Values'!AP124*('Table S3 Literature Values'!AS124+273.15)/1000</f>
        <v>10.485851058199955</v>
      </c>
      <c r="Z171" s="241" t="s">
        <v>1774</v>
      </c>
      <c r="AA171" s="368">
        <f>AA167-'Table S3 Literature Values'!AP112*('Table S3 Literature Values'!AS112+273.15)/1000</f>
        <v>19.577876175193587</v>
      </c>
      <c r="AC171" s="241" t="s">
        <v>1774</v>
      </c>
      <c r="AD171" s="368">
        <f>AD167-'Table S3 Literature Values'!$AP$116*('Table S3 Literature Values'!$AS$116+273.15)/1000</f>
        <v>10.601937492331281</v>
      </c>
      <c r="AF171" s="241" t="s">
        <v>1774</v>
      </c>
      <c r="AG171" s="368">
        <f>AG167-'Table S3 Literature Values'!$AP$132*('Table S3 Literature Values'!$AS$132+273.15)/1000</f>
        <v>32.782409563371495</v>
      </c>
    </row>
    <row r="172" spans="2:34">
      <c r="B172" s="103" t="s">
        <v>659</v>
      </c>
      <c r="C172" s="103" t="s">
        <v>653</v>
      </c>
      <c r="D172" s="103" t="s">
        <v>11</v>
      </c>
      <c r="E172" s="424">
        <f>AF58</f>
        <v>48.037836661553541</v>
      </c>
      <c r="F172" s="103"/>
      <c r="G172" s="103"/>
      <c r="H172" s="103"/>
      <c r="I172" s="103"/>
      <c r="J172" s="343">
        <f t="shared" si="34"/>
        <v>48.037836661553541</v>
      </c>
      <c r="K172" s="416" t="s">
        <v>668</v>
      </c>
      <c r="L172" s="103" t="s">
        <v>1080</v>
      </c>
      <c r="T172" s="116"/>
    </row>
    <row r="173" spans="2:34">
      <c r="B173" s="103" t="s">
        <v>660</v>
      </c>
      <c r="C173" s="103" t="s">
        <v>653</v>
      </c>
      <c r="D173" s="103" t="s">
        <v>663</v>
      </c>
      <c r="E173" s="424">
        <f>AJ58</f>
        <v>23.479493637232562</v>
      </c>
      <c r="F173" s="103"/>
      <c r="G173" s="103"/>
      <c r="H173" s="103"/>
      <c r="I173" s="103"/>
      <c r="J173" s="343">
        <f t="shared" si="34"/>
        <v>23.479493637232562</v>
      </c>
      <c r="K173" s="416" t="s">
        <v>668</v>
      </c>
      <c r="L173" s="103" t="s">
        <v>1080</v>
      </c>
      <c r="T173" s="369"/>
      <c r="W173" s="63"/>
      <c r="Z173" s="120"/>
      <c r="AA173" s="61"/>
    </row>
    <row r="174" spans="2:34">
      <c r="B174" s="103" t="s">
        <v>675</v>
      </c>
      <c r="C174" s="103" t="s">
        <v>281</v>
      </c>
      <c r="D174" s="103" t="s">
        <v>654</v>
      </c>
      <c r="E174" s="417">
        <f>7.28-2.46/298.15</f>
        <v>7.2717491195706865</v>
      </c>
      <c r="F174" s="103"/>
      <c r="G174" s="103"/>
      <c r="H174" s="103"/>
      <c r="I174" s="103"/>
      <c r="J174" s="332">
        <f t="shared" si="34"/>
        <v>7.2717491195706865</v>
      </c>
      <c r="K174" s="416" t="s">
        <v>693</v>
      </c>
      <c r="L174" s="103" t="s">
        <v>1079</v>
      </c>
      <c r="Q174" s="110" t="s">
        <v>20</v>
      </c>
      <c r="T174" s="369" t="s">
        <v>1808</v>
      </c>
      <c r="U174" t="s">
        <v>1803</v>
      </c>
      <c r="V174" t="s">
        <v>276</v>
      </c>
      <c r="X174" t="s">
        <v>370</v>
      </c>
      <c r="Z174" t="s">
        <v>1658</v>
      </c>
      <c r="AB174" t="s">
        <v>1811</v>
      </c>
    </row>
    <row r="175" spans="2:34">
      <c r="B175" s="103" t="s">
        <v>677</v>
      </c>
      <c r="C175" s="103" t="s">
        <v>281</v>
      </c>
      <c r="D175" s="103" t="s">
        <v>21</v>
      </c>
      <c r="E175" s="417">
        <f>6.68-1.17/298.15</f>
        <v>6.6760758007714234</v>
      </c>
      <c r="F175" s="103"/>
      <c r="G175" s="103"/>
      <c r="H175" s="103"/>
      <c r="I175" s="103"/>
      <c r="J175" s="332">
        <f t="shared" si="34"/>
        <v>6.6760758007714234</v>
      </c>
      <c r="K175" s="416" t="s">
        <v>693</v>
      </c>
      <c r="L175" s="103" t="s">
        <v>1079</v>
      </c>
      <c r="Q175" s="110" t="s">
        <v>20</v>
      </c>
      <c r="U175" t="s">
        <v>478</v>
      </c>
      <c r="V175" t="s">
        <v>510</v>
      </c>
      <c r="W175" t="s">
        <v>1809</v>
      </c>
      <c r="X175" t="s">
        <v>1810</v>
      </c>
      <c r="Y175" t="s">
        <v>1809</v>
      </c>
      <c r="Z175" t="s">
        <v>1810</v>
      </c>
      <c r="AA175" t="s">
        <v>1809</v>
      </c>
      <c r="AB175" t="s">
        <v>1810</v>
      </c>
    </row>
    <row r="176" spans="2:34">
      <c r="B176" s="103" t="s">
        <v>678</v>
      </c>
      <c r="C176" s="103" t="s">
        <v>281</v>
      </c>
      <c r="D176" s="103" t="s">
        <v>312</v>
      </c>
      <c r="E176" s="417">
        <f>6.647-3.06/298.15</f>
        <v>6.6367367097098775</v>
      </c>
      <c r="F176" s="103"/>
      <c r="G176" s="103"/>
      <c r="H176" s="103"/>
      <c r="I176" s="103"/>
      <c r="J176" s="332">
        <f t="shared" si="34"/>
        <v>6.6367367097098775</v>
      </c>
      <c r="K176" s="416" t="s">
        <v>693</v>
      </c>
      <c r="L176" s="103" t="s">
        <v>1079</v>
      </c>
      <c r="Q176" s="110" t="s">
        <v>20</v>
      </c>
      <c r="U176" s="231">
        <v>4</v>
      </c>
      <c r="V176" s="231">
        <f>1/(U176+273.15)</f>
        <v>3.608154429009562E-3</v>
      </c>
      <c r="W176" s="366">
        <f>10^2.22</f>
        <v>165.95869074375622</v>
      </c>
      <c r="X176" s="378">
        <f>LN(W176)</f>
        <v>5.1117389064467824</v>
      </c>
      <c r="Y176" s="377">
        <f>10^2.14</f>
        <v>138.0384264602886</v>
      </c>
      <c r="Z176" s="378">
        <f>LN(Y176)</f>
        <v>4.9275320990072586</v>
      </c>
      <c r="AA176" s="377">
        <f>10^1.15</f>
        <v>14.125375446227544</v>
      </c>
      <c r="AB176" s="378">
        <f>LN(AA176)</f>
        <v>2.6479728569431527</v>
      </c>
    </row>
    <row r="177" spans="2:31">
      <c r="B177" s="103" t="s">
        <v>679</v>
      </c>
      <c r="C177" s="103" t="s">
        <v>281</v>
      </c>
      <c r="D177" s="103" t="s">
        <v>322</v>
      </c>
      <c r="E177" s="417">
        <f>7.279-0.2/298.15</f>
        <v>7.2783291967130639</v>
      </c>
      <c r="F177" s="103"/>
      <c r="G177" s="103"/>
      <c r="H177" s="103"/>
      <c r="I177" s="103"/>
      <c r="J177" s="332">
        <f t="shared" si="34"/>
        <v>7.2783291967130639</v>
      </c>
      <c r="K177" s="416" t="s">
        <v>693</v>
      </c>
      <c r="L177" s="103" t="s">
        <v>1079</v>
      </c>
      <c r="Q177" s="110" t="s">
        <v>20</v>
      </c>
      <c r="U177" s="231">
        <v>12</v>
      </c>
      <c r="V177" s="231">
        <f>1/(U177+273.15)</f>
        <v>3.5069261792039282E-3</v>
      </c>
      <c r="W177" s="366">
        <f>10^2.32</f>
        <v>208.92961308540396</v>
      </c>
      <c r="X177" s="378">
        <f>LN(W177)</f>
        <v>5.341997415746186</v>
      </c>
      <c r="Y177" s="377">
        <f>10^2.14</f>
        <v>138.0384264602886</v>
      </c>
      <c r="Z177" s="378">
        <f>LN(Y177)</f>
        <v>4.9275320990072586</v>
      </c>
      <c r="AA177" s="377">
        <f>10^1.2</f>
        <v>15.848931924611136</v>
      </c>
      <c r="AB177" s="378">
        <f>LN(AA177)</f>
        <v>2.7631021115928549</v>
      </c>
    </row>
    <row r="178" spans="2:31">
      <c r="B178" s="103" t="s">
        <v>680</v>
      </c>
      <c r="C178" s="103" t="s">
        <v>281</v>
      </c>
      <c r="D178" s="103" t="s">
        <v>26</v>
      </c>
      <c r="E178" s="417">
        <f>8.111+1.49/298.15</f>
        <v>8.115997484487675</v>
      </c>
      <c r="F178" s="103"/>
      <c r="G178" s="103"/>
      <c r="H178" s="103"/>
      <c r="I178" s="103"/>
      <c r="J178" s="332">
        <f t="shared" si="34"/>
        <v>8.115997484487675</v>
      </c>
      <c r="K178" s="416" t="s">
        <v>693</v>
      </c>
      <c r="L178" s="103" t="s">
        <v>1079</v>
      </c>
      <c r="Q178" s="110" t="s">
        <v>20</v>
      </c>
      <c r="U178" s="231">
        <v>20</v>
      </c>
      <c r="V178" s="231">
        <f>1/(U178+273.15)</f>
        <v>3.4112229234180458E-3</v>
      </c>
      <c r="W178" s="366">
        <f>10^2.51</f>
        <v>323.59365692962825</v>
      </c>
      <c r="X178" s="378">
        <f>LN(W178)</f>
        <v>5.7794885834150547</v>
      </c>
      <c r="Y178" s="377">
        <f>10^2.3</f>
        <v>199.52623149688802</v>
      </c>
      <c r="Z178" s="378">
        <f>LN(Y178)</f>
        <v>5.2959457138863053</v>
      </c>
      <c r="AA178" s="377">
        <f>10^1.4</f>
        <v>25.118864315095799</v>
      </c>
      <c r="AB178" s="378">
        <f>LN(AA178)</f>
        <v>3.2236191301916639</v>
      </c>
    </row>
    <row r="179" spans="2:31">
      <c r="B179" s="103" t="s">
        <v>681</v>
      </c>
      <c r="C179" s="103" t="s">
        <v>281</v>
      </c>
      <c r="D179" s="103" t="s">
        <v>11</v>
      </c>
      <c r="E179" s="417">
        <f>4.736-130.4/298.15</f>
        <v>4.2986362569176588</v>
      </c>
      <c r="F179" s="103"/>
      <c r="G179" s="103"/>
      <c r="H179" s="103"/>
      <c r="I179" s="103"/>
      <c r="J179" s="332">
        <f t="shared" si="34"/>
        <v>4.2986362569176588</v>
      </c>
      <c r="K179" s="416" t="s">
        <v>693</v>
      </c>
      <c r="L179" s="103" t="s">
        <v>1080</v>
      </c>
      <c r="U179" s="231"/>
      <c r="V179" s="231"/>
      <c r="X179" s="377"/>
      <c r="Y179" s="378"/>
      <c r="AA179" s="377"/>
      <c r="AB179" s="378"/>
      <c r="AD179" s="377"/>
      <c r="AE179" s="378"/>
    </row>
    <row r="180" spans="2:31">
      <c r="B180" s="103" t="s">
        <v>682</v>
      </c>
      <c r="C180" s="103" t="s">
        <v>281</v>
      </c>
      <c r="D180" s="103" t="s">
        <v>663</v>
      </c>
      <c r="E180" s="417">
        <f>5.927-213.47/298.15</f>
        <v>5.2110181116887464</v>
      </c>
      <c r="F180" s="103"/>
      <c r="G180" s="103"/>
      <c r="H180" s="103"/>
      <c r="I180" s="103"/>
      <c r="J180" s="332">
        <f t="shared" si="34"/>
        <v>5.2110181116887464</v>
      </c>
      <c r="K180" s="416" t="s">
        <v>693</v>
      </c>
      <c r="L180" s="103" t="s">
        <v>1080</v>
      </c>
      <c r="U180" s="160"/>
      <c r="V180" s="120"/>
      <c r="W180" s="120" t="s">
        <v>370</v>
      </c>
      <c r="Y180" t="s">
        <v>1658</v>
      </c>
      <c r="AA180" s="120" t="s">
        <v>1811</v>
      </c>
    </row>
    <row r="181" spans="2:31">
      <c r="B181" s="103" t="s">
        <v>683</v>
      </c>
      <c r="C181" s="103" t="s">
        <v>281</v>
      </c>
      <c r="D181" s="103" t="s">
        <v>28</v>
      </c>
      <c r="E181" s="417">
        <f>6.14-92.72/298.15</f>
        <v>5.8290155961764212</v>
      </c>
      <c r="F181" s="103"/>
      <c r="G181" s="103"/>
      <c r="H181" s="103"/>
      <c r="I181" s="103"/>
      <c r="J181" s="332">
        <f t="shared" si="34"/>
        <v>5.8290155961764212</v>
      </c>
      <c r="K181" s="416" t="s">
        <v>693</v>
      </c>
      <c r="L181" s="103" t="s">
        <v>1080</v>
      </c>
      <c r="U181" s="379"/>
      <c r="W181" s="241" t="s">
        <v>1774</v>
      </c>
      <c r="X181" s="366">
        <f>-W182*8.314/1000</f>
        <v>28.101680823978722</v>
      </c>
      <c r="Y181" s="241" t="s">
        <v>1774</v>
      </c>
      <c r="Z181" s="366">
        <f>-Y182*8.314/1000</f>
        <v>15.404088794633429</v>
      </c>
      <c r="AA181" s="241" t="s">
        <v>1774</v>
      </c>
      <c r="AB181" s="366">
        <f>-AA182*8.314/1000</f>
        <v>24.159773683467581</v>
      </c>
    </row>
    <row r="182" spans="2:31">
      <c r="B182" s="103" t="s">
        <v>685</v>
      </c>
      <c r="C182" s="103" t="s">
        <v>674</v>
      </c>
      <c r="D182" s="103" t="s">
        <v>654</v>
      </c>
      <c r="E182" s="417">
        <f>2.46*LN(10)*8.314/1000</f>
        <v>4.7093483459355143E-2</v>
      </c>
      <c r="F182" s="103"/>
      <c r="G182" s="103"/>
      <c r="H182" s="103"/>
      <c r="I182" s="103"/>
      <c r="J182" s="332">
        <f t="shared" si="34"/>
        <v>4.7093483459355143E-2</v>
      </c>
      <c r="K182" s="416" t="s">
        <v>1580</v>
      </c>
      <c r="L182" s="103" t="s">
        <v>1079</v>
      </c>
      <c r="Q182" s="110" t="s">
        <v>20</v>
      </c>
      <c r="W182">
        <f t="array" ref="W182:X184">LINEST(X176:X178,$V$176:$V$178,TRUE,TRUE)</f>
        <v>-3380.0433995644357</v>
      </c>
      <c r="X182">
        <v>17.270862559837003</v>
      </c>
      <c r="Y182">
        <f t="array" ref="Y182:Z184">LINEST(Z176:Z178,$V$176:$V$178,TRUE,TRUE)</f>
        <v>-1852.78912612863</v>
      </c>
      <c r="Z182">
        <v>11.551343544545709</v>
      </c>
      <c r="AA182">
        <f t="array" ref="AA182:AB184">LINEST(AB176:AB178,$V$176:$V$178,TRUE,TRUE)</f>
        <v>-2905.9145638041355</v>
      </c>
      <c r="AB182">
        <v>13.074410944772888</v>
      </c>
    </row>
    <row r="183" spans="2:31">
      <c r="B183" s="103" t="s">
        <v>684</v>
      </c>
      <c r="C183" s="103" t="s">
        <v>674</v>
      </c>
      <c r="D183" s="103" t="s">
        <v>21</v>
      </c>
      <c r="E183" s="417">
        <f>1.17*LN(10)*8.314/1000</f>
        <v>2.2398120181888418E-2</v>
      </c>
      <c r="F183" s="103"/>
      <c r="G183" s="103"/>
      <c r="H183" s="103"/>
      <c r="I183" s="103"/>
      <c r="J183" s="332">
        <f t="shared" si="34"/>
        <v>2.2398120181888418E-2</v>
      </c>
      <c r="K183" s="416" t="s">
        <v>1580</v>
      </c>
      <c r="L183" s="103" t="s">
        <v>1079</v>
      </c>
      <c r="Q183" s="110" t="s">
        <v>20</v>
      </c>
      <c r="W183">
        <v>662.29974260841743</v>
      </c>
      <c r="X183">
        <v>2.3244661469070618</v>
      </c>
      <c r="Y183">
        <v>1110.1008496901773</v>
      </c>
      <c r="Z183">
        <v>3.896108783909388</v>
      </c>
      <c r="AA183">
        <v>1059.6535539133865</v>
      </c>
      <c r="AB183">
        <v>3.7190544628940629</v>
      </c>
    </row>
    <row r="184" spans="2:31">
      <c r="B184" s="103" t="s">
        <v>686</v>
      </c>
      <c r="C184" s="103" t="s">
        <v>674</v>
      </c>
      <c r="D184" s="103" t="s">
        <v>312</v>
      </c>
      <c r="E184" s="417">
        <f>3.06*LN(10)*8.314/1000</f>
        <v>5.8579698937246648E-2</v>
      </c>
      <c r="F184" s="103"/>
      <c r="G184" s="103"/>
      <c r="H184" s="103"/>
      <c r="I184" s="103"/>
      <c r="J184" s="332">
        <f t="shared" si="34"/>
        <v>5.8579698937246648E-2</v>
      </c>
      <c r="K184" s="416" t="s">
        <v>1580</v>
      </c>
      <c r="L184" s="103" t="s">
        <v>1079</v>
      </c>
      <c r="Q184" s="110" t="s">
        <v>20</v>
      </c>
      <c r="W184">
        <v>0.96302549209322585</v>
      </c>
      <c r="X184">
        <v>9.2238398698887114E-2</v>
      </c>
      <c r="Y184" s="380">
        <v>0.73584482482453339</v>
      </c>
      <c r="Z184">
        <v>0.15460360042784435</v>
      </c>
      <c r="AA184" s="380">
        <v>0.88263388922599462</v>
      </c>
      <c r="AB184">
        <v>0.14757781213021626</v>
      </c>
    </row>
    <row r="185" spans="2:31">
      <c r="B185" s="103" t="s">
        <v>687</v>
      </c>
      <c r="C185" s="103" t="s">
        <v>674</v>
      </c>
      <c r="D185" s="103" t="s">
        <v>322</v>
      </c>
      <c r="E185" s="423">
        <f>0.2*LN(10)*8.314/1000</f>
        <v>3.8287384926305001E-3</v>
      </c>
      <c r="F185" s="103"/>
      <c r="G185" s="103"/>
      <c r="H185" s="103"/>
      <c r="I185" s="103"/>
      <c r="J185" s="332">
        <f t="shared" si="34"/>
        <v>3.8287384926305001E-3</v>
      </c>
      <c r="K185" s="416" t="s">
        <v>1580</v>
      </c>
      <c r="L185" s="103" t="s">
        <v>1079</v>
      </c>
      <c r="Q185" s="110" t="s">
        <v>20</v>
      </c>
      <c r="T185" s="116"/>
      <c r="W185" s="241" t="s">
        <v>1812</v>
      </c>
      <c r="X185" s="368">
        <f>X181-'Table S3 Literature Values'!AP124*('Table S3 Literature Values'!AS124+273.15)/1000</f>
        <v>3.3169414751899033</v>
      </c>
      <c r="Y185" s="241" t="s">
        <v>1812</v>
      </c>
      <c r="Z185" s="368">
        <f>Z181-'Table S3 Literature Values'!AP101*('Table S3 Literature Values'!AS101+273.15)/1000</f>
        <v>-8.4189731462477848</v>
      </c>
      <c r="AA185" s="241" t="s">
        <v>1812</v>
      </c>
      <c r="AB185" s="368">
        <f>AB181-'Table S3 Literature Values'!$AP$240*('Table S3 Literature Values'!$AS$240+273.15)/1000</f>
        <v>7.6253721994684973</v>
      </c>
    </row>
    <row r="186" spans="2:31">
      <c r="B186" s="103" t="s">
        <v>688</v>
      </c>
      <c r="C186" s="103" t="s">
        <v>674</v>
      </c>
      <c r="D186" s="103" t="s">
        <v>26</v>
      </c>
      <c r="E186" s="417">
        <f>-1.49*LN(10)*8.314/1000</f>
        <v>-2.8524101770097222E-2</v>
      </c>
      <c r="F186" s="103"/>
      <c r="G186" s="103"/>
      <c r="H186" s="103"/>
      <c r="I186" s="103"/>
      <c r="J186" s="332">
        <f t="shared" si="34"/>
        <v>-2.8524101770097222E-2</v>
      </c>
      <c r="K186" s="416" t="s">
        <v>1580</v>
      </c>
      <c r="L186" s="103" t="s">
        <v>1079</v>
      </c>
      <c r="Q186" s="110" t="s">
        <v>20</v>
      </c>
      <c r="T186" s="116"/>
    </row>
    <row r="187" spans="2:31">
      <c r="B187" s="103" t="s">
        <v>689</v>
      </c>
      <c r="C187" s="103" t="s">
        <v>674</v>
      </c>
      <c r="D187" s="103" t="s">
        <v>11</v>
      </c>
      <c r="E187" s="417">
        <f>130.4*LN(10)*8.314/1000</f>
        <v>2.496337497195086</v>
      </c>
      <c r="F187" s="103"/>
      <c r="G187" s="103"/>
      <c r="H187" s="103"/>
      <c r="I187" s="103"/>
      <c r="J187" s="332">
        <f t="shared" si="34"/>
        <v>2.496337497195086</v>
      </c>
      <c r="K187" s="416" t="s">
        <v>1580</v>
      </c>
      <c r="L187" s="103" t="s">
        <v>1079</v>
      </c>
      <c r="Q187" s="110" t="s">
        <v>20</v>
      </c>
      <c r="Y187" s="120"/>
      <c r="Z187" s="61"/>
    </row>
    <row r="188" spans="2:31">
      <c r="B188" s="103" t="s">
        <v>690</v>
      </c>
      <c r="C188" s="103" t="s">
        <v>674</v>
      </c>
      <c r="D188" s="103" t="s">
        <v>663</v>
      </c>
      <c r="E188" s="417">
        <f>213.47*LN(10)*8.314/1000</f>
        <v>4.0866040301091635</v>
      </c>
      <c r="F188" s="103"/>
      <c r="G188" s="103"/>
      <c r="H188" s="103"/>
      <c r="I188" s="103"/>
      <c r="J188" s="332">
        <f t="shared" si="34"/>
        <v>4.0866040301091635</v>
      </c>
      <c r="K188" s="416" t="s">
        <v>1580</v>
      </c>
      <c r="L188" s="103" t="s">
        <v>1079</v>
      </c>
      <c r="Q188" s="110" t="s">
        <v>20</v>
      </c>
      <c r="T188" s="369" t="s">
        <v>1811</v>
      </c>
      <c r="U188" t="s">
        <v>1890</v>
      </c>
      <c r="V188" t="s">
        <v>276</v>
      </c>
      <c r="Z188" s="61"/>
    </row>
    <row r="189" spans="2:31">
      <c r="B189" s="103" t="s">
        <v>691</v>
      </c>
      <c r="C189" s="103" t="s">
        <v>674</v>
      </c>
      <c r="D189" s="103" t="s">
        <v>28</v>
      </c>
      <c r="E189" s="417">
        <f>92.72*LN(10)*8.314/1000</f>
        <v>1.7750031651834997</v>
      </c>
      <c r="F189" s="103"/>
      <c r="G189" s="103"/>
      <c r="H189" s="103"/>
      <c r="I189" s="103"/>
      <c r="J189" s="332">
        <f t="shared" si="34"/>
        <v>1.7750031651834997</v>
      </c>
      <c r="K189" s="416" t="s">
        <v>1580</v>
      </c>
      <c r="L189" s="103" t="s">
        <v>1079</v>
      </c>
      <c r="Q189" s="110" t="s">
        <v>20</v>
      </c>
      <c r="U189" t="s">
        <v>478</v>
      </c>
      <c r="V189" t="s">
        <v>510</v>
      </c>
      <c r="W189" t="s">
        <v>1772</v>
      </c>
      <c r="X189" t="s">
        <v>1766</v>
      </c>
      <c r="Y189" s="120"/>
      <c r="Z189" s="61"/>
    </row>
    <row r="190" spans="2:31">
      <c r="B190" s="103" t="s">
        <v>692</v>
      </c>
      <c r="C190" s="103" t="s">
        <v>1526</v>
      </c>
      <c r="D190" s="103" t="s">
        <v>322</v>
      </c>
      <c r="E190" s="103">
        <v>1.25</v>
      </c>
      <c r="F190" s="103"/>
      <c r="G190" s="103"/>
      <c r="H190" s="103"/>
      <c r="I190" s="103"/>
      <c r="J190" s="332">
        <f>E190/(10^K25)</f>
        <v>2.4739034296467883</v>
      </c>
      <c r="K190" s="416" t="s">
        <v>1581</v>
      </c>
      <c r="L190" s="103"/>
      <c r="U190" s="231">
        <v>8</v>
      </c>
      <c r="V190" s="231">
        <f>1/(U190+273.15)</f>
        <v>3.556820202738752E-3</v>
      </c>
      <c r="W190" s="74">
        <v>2.6400000000000001E-6</v>
      </c>
      <c r="X190" s="378">
        <f>LN(W190)</f>
        <v>-12.844731640806049</v>
      </c>
    </row>
    <row r="191" spans="2:31">
      <c r="B191" s="103" t="s">
        <v>738</v>
      </c>
      <c r="C191" s="103" t="s">
        <v>191</v>
      </c>
      <c r="D191" s="103" t="s">
        <v>322</v>
      </c>
      <c r="E191" s="103">
        <v>6.8199999999999997E-2</v>
      </c>
      <c r="F191" s="103"/>
      <c r="G191" s="103"/>
      <c r="H191" s="103"/>
      <c r="I191" s="332">
        <f>E191/(10^K25)</f>
        <v>0.13497617112152877</v>
      </c>
      <c r="J191" s="332">
        <f>LOG(I191)</f>
        <v>-0.86974289568179053</v>
      </c>
      <c r="K191" s="416" t="s">
        <v>1581</v>
      </c>
      <c r="L191" s="103"/>
      <c r="U191" s="231">
        <v>12.4</v>
      </c>
      <c r="V191" s="231">
        <f>1/(U191+273.15)</f>
        <v>3.5020136578532662E-3</v>
      </c>
      <c r="W191" s="74">
        <v>3.0000000000000001E-6</v>
      </c>
      <c r="X191" s="378">
        <f>LN(W191)</f>
        <v>-12.716898269296165</v>
      </c>
    </row>
    <row r="192" spans="2:31">
      <c r="B192" s="103" t="s">
        <v>739</v>
      </c>
      <c r="C192" s="103" t="s">
        <v>569</v>
      </c>
      <c r="D192" s="103" t="s">
        <v>654</v>
      </c>
      <c r="E192" s="417"/>
      <c r="F192" s="103"/>
      <c r="G192" s="103"/>
      <c r="H192" s="103"/>
      <c r="I192" s="103"/>
      <c r="J192" s="332"/>
      <c r="K192" s="416" t="s">
        <v>1582</v>
      </c>
      <c r="L192" s="103" t="s">
        <v>737</v>
      </c>
      <c r="U192" s="231">
        <v>16.7</v>
      </c>
      <c r="V192" s="231">
        <f>1/(U192+273.15)</f>
        <v>3.4500603760565813E-3</v>
      </c>
      <c r="W192" s="74">
        <v>3.7400000000000002E-6</v>
      </c>
      <c r="X192" s="378">
        <f>LN(W192)</f>
        <v>-12.496424946537834</v>
      </c>
    </row>
    <row r="193" spans="2:24">
      <c r="B193" s="103" t="s">
        <v>736</v>
      </c>
      <c r="C193" s="103" t="s">
        <v>569</v>
      </c>
      <c r="D193" s="103" t="s">
        <v>35</v>
      </c>
      <c r="E193" s="417"/>
      <c r="F193" s="103"/>
      <c r="G193" s="103"/>
      <c r="H193" s="103"/>
      <c r="I193" s="103"/>
      <c r="J193" s="332"/>
      <c r="K193" s="416" t="s">
        <v>754</v>
      </c>
      <c r="L193" s="103" t="s">
        <v>740</v>
      </c>
      <c r="U193" s="231">
        <v>20.9</v>
      </c>
      <c r="V193" s="231">
        <f>1/(U193+273.15)</f>
        <v>3.4007821799013778E-3</v>
      </c>
      <c r="W193" s="74">
        <v>4.6099999999999999E-6</v>
      </c>
      <c r="X193" s="378">
        <f>LN(W193)</f>
        <v>-12.287282700955718</v>
      </c>
    </row>
    <row r="194" spans="2:24">
      <c r="B194" s="103" t="s">
        <v>741</v>
      </c>
      <c r="C194" s="103" t="s">
        <v>569</v>
      </c>
      <c r="D194" s="103" t="s">
        <v>35</v>
      </c>
      <c r="E194" s="417"/>
      <c r="F194" s="103"/>
      <c r="G194" s="103"/>
      <c r="H194" s="103"/>
      <c r="I194" s="103"/>
      <c r="J194" s="332"/>
      <c r="K194" s="416" t="s">
        <v>754</v>
      </c>
      <c r="L194" s="103" t="s">
        <v>742</v>
      </c>
      <c r="U194" s="231">
        <v>25</v>
      </c>
      <c r="V194" s="231">
        <f>1/(U194+273.15)</f>
        <v>3.3540164346805303E-3</v>
      </c>
      <c r="W194" s="74">
        <v>6.0900000000000001E-6</v>
      </c>
      <c r="X194" s="378">
        <f>LN(W194)</f>
        <v>-12.008862476242468</v>
      </c>
    </row>
    <row r="195" spans="2:24">
      <c r="B195" s="103" t="s">
        <v>752</v>
      </c>
      <c r="C195" s="103" t="s">
        <v>569</v>
      </c>
      <c r="D195" s="103" t="s">
        <v>37</v>
      </c>
      <c r="E195" s="417"/>
      <c r="F195" s="103"/>
      <c r="G195" s="103"/>
      <c r="H195" s="103"/>
      <c r="I195" s="103"/>
      <c r="J195" s="332"/>
      <c r="K195" s="416" t="s">
        <v>753</v>
      </c>
      <c r="L195" s="103" t="s">
        <v>762</v>
      </c>
    </row>
    <row r="196" spans="2:24">
      <c r="B196" s="103" t="s">
        <v>757</v>
      </c>
      <c r="C196" s="103" t="s">
        <v>569</v>
      </c>
      <c r="D196" s="103" t="s">
        <v>39</v>
      </c>
      <c r="E196" s="417"/>
      <c r="F196" s="103"/>
      <c r="G196" s="103"/>
      <c r="H196" s="103"/>
      <c r="I196" s="103"/>
      <c r="J196" s="332"/>
      <c r="K196" s="416" t="s">
        <v>755</v>
      </c>
      <c r="L196" s="103" t="s">
        <v>761</v>
      </c>
      <c r="W196" s="369" t="s">
        <v>1811</v>
      </c>
    </row>
    <row r="197" spans="2:24">
      <c r="B197" s="103" t="s">
        <v>758</v>
      </c>
      <c r="C197" s="103" t="s">
        <v>569</v>
      </c>
      <c r="D197" s="103" t="s">
        <v>39</v>
      </c>
      <c r="E197" s="418"/>
      <c r="F197" s="103"/>
      <c r="G197" s="103"/>
      <c r="H197" s="103"/>
      <c r="I197" s="103"/>
      <c r="J197" s="103"/>
      <c r="K197" s="416" t="s">
        <v>756</v>
      </c>
      <c r="L197" s="103" t="s">
        <v>760</v>
      </c>
      <c r="W197" s="241" t="s">
        <v>1774</v>
      </c>
      <c r="X197" s="366">
        <f>-W198*8.314/1000</f>
        <v>34.310304891977466</v>
      </c>
    </row>
    <row r="198" spans="2:24">
      <c r="B198" s="103" t="s">
        <v>759</v>
      </c>
      <c r="C198" s="103" t="s">
        <v>569</v>
      </c>
      <c r="D198" s="103" t="s">
        <v>41</v>
      </c>
      <c r="E198" s="418"/>
      <c r="F198" s="103"/>
      <c r="G198" s="103"/>
      <c r="H198" s="103"/>
      <c r="I198" s="103"/>
      <c r="J198" s="103"/>
      <c r="K198" s="416" t="s">
        <v>770</v>
      </c>
      <c r="L198" s="103" t="s">
        <v>771</v>
      </c>
      <c r="W198">
        <f t="array" ref="W198:X200">LINEST(X190:X194,$V$190:$V$194,TRUE,TRUE)</f>
        <v>-4126.810788065608</v>
      </c>
      <c r="X198">
        <v>1.7779587732941859</v>
      </c>
    </row>
    <row r="199" spans="2:24">
      <c r="B199" s="103" t="s">
        <v>774</v>
      </c>
      <c r="C199" s="103" t="s">
        <v>569</v>
      </c>
      <c r="D199" s="103" t="s">
        <v>780</v>
      </c>
      <c r="E199" s="418"/>
      <c r="F199" s="103"/>
      <c r="G199" s="103"/>
      <c r="H199" s="103"/>
      <c r="I199" s="103"/>
      <c r="J199" s="103"/>
      <c r="K199" s="416" t="s">
        <v>775</v>
      </c>
      <c r="L199" s="103" t="s">
        <v>776</v>
      </c>
      <c r="W199">
        <v>363.47620710316312</v>
      </c>
      <c r="X199">
        <v>1.2552589835521524</v>
      </c>
    </row>
    <row r="200" spans="2:24">
      <c r="B200" s="103" t="s">
        <v>676</v>
      </c>
      <c r="C200" s="103" t="s">
        <v>569</v>
      </c>
      <c r="D200" s="103" t="s">
        <v>780</v>
      </c>
      <c r="E200" s="418"/>
      <c r="F200" s="103"/>
      <c r="G200" s="103"/>
      <c r="H200" s="103"/>
      <c r="I200" s="103"/>
      <c r="J200" s="103"/>
      <c r="K200" s="416" t="s">
        <v>781</v>
      </c>
      <c r="L200" s="103" t="s">
        <v>782</v>
      </c>
      <c r="W200">
        <v>0.97725673623595133</v>
      </c>
      <c r="X200">
        <v>5.8285220082148134E-2</v>
      </c>
    </row>
    <row r="201" spans="2:24">
      <c r="B201" s="103" t="s">
        <v>786</v>
      </c>
      <c r="C201" s="103" t="s">
        <v>569</v>
      </c>
      <c r="D201" s="103" t="s">
        <v>329</v>
      </c>
      <c r="E201" s="418"/>
      <c r="F201" s="103"/>
      <c r="G201" s="103"/>
      <c r="H201" s="103"/>
      <c r="I201" s="103"/>
      <c r="J201" s="103"/>
      <c r="K201" s="416" t="s">
        <v>787</v>
      </c>
      <c r="L201" s="103" t="s">
        <v>788</v>
      </c>
      <c r="W201" s="241" t="s">
        <v>1774</v>
      </c>
      <c r="X201" s="368">
        <f>X197-'Table S3 Literature Values'!$AP$240*('Table S3 Literature Values'!$AS$240+273.15)/1000</f>
        <v>17.775903407978383</v>
      </c>
    </row>
    <row r="202" spans="2:24">
      <c r="B202" s="103" t="s">
        <v>811</v>
      </c>
      <c r="C202" s="103" t="s">
        <v>281</v>
      </c>
      <c r="D202" s="103" t="s">
        <v>362</v>
      </c>
      <c r="E202" s="419">
        <f>10^4.87</f>
        <v>74131.024130091857</v>
      </c>
      <c r="F202" s="103">
        <v>23</v>
      </c>
      <c r="G202" s="103">
        <f>273.15+F202</f>
        <v>296.14999999999998</v>
      </c>
      <c r="H202" s="372" cm="1">
        <f t="array" aca="1" ref="H202" ca="1">VLOOKUP(D202,Table245[[Compound Name]:[∆OWU SD]],INDIRECT("RAVs!$"&amp;VLOOKUP(C202,$N$45:$P$50,3,FALSE)&amp;"$1")+1,FALSE)*1000</f>
        <v>-19764.401430403497</v>
      </c>
      <c r="I202" s="416">
        <f ca="1">EXP(LN(E202)-H202/8.314*(1/$J$46-1/G202))</f>
        <v>70244.897496815014</v>
      </c>
      <c r="J202" s="332">
        <f ca="1">LOG(I202)</f>
        <v>4.846614783104398</v>
      </c>
      <c r="K202" s="416" t="s">
        <v>1548</v>
      </c>
      <c r="L202" s="103" t="s">
        <v>812</v>
      </c>
    </row>
    <row r="203" spans="2:24">
      <c r="B203" s="103" t="s">
        <v>813</v>
      </c>
      <c r="C203" s="103" t="s">
        <v>281</v>
      </c>
      <c r="D203" s="103" t="s">
        <v>370</v>
      </c>
      <c r="E203" s="419">
        <f>10^5.43</f>
        <v>269153.48039269145</v>
      </c>
      <c r="F203" s="103">
        <v>23</v>
      </c>
      <c r="G203" s="103">
        <f>273.15+F203</f>
        <v>296.14999999999998</v>
      </c>
      <c r="H203" s="372" cm="1">
        <f t="array" aca="1" ref="H203" ca="1">VLOOKUP(D203,Table245[[Compound Name]:[∆OWU SD]],INDIRECT("RAVs!$"&amp;VLOOKUP(C203,$N$45:$P$50,3,FALSE)&amp;"$1")+1,FALSE)*1000</f>
        <v>-11985.9414181636</v>
      </c>
      <c r="I203" s="416">
        <f ca="1">EXP(LN(E203)-H203/8.314*(1/$J$46-1/G203))</f>
        <v>260506.31042987938</v>
      </c>
      <c r="J203" s="332">
        <f ca="1">LOG(I203)</f>
        <v>5.4158182479874863</v>
      </c>
      <c r="K203" s="416" t="s">
        <v>1548</v>
      </c>
      <c r="L203" s="103" t="s">
        <v>812</v>
      </c>
    </row>
    <row r="204" spans="2:24">
      <c r="B204" s="103" t="s">
        <v>816</v>
      </c>
      <c r="C204" s="103" t="s">
        <v>281</v>
      </c>
      <c r="D204" s="103" t="s">
        <v>362</v>
      </c>
      <c r="E204" s="418"/>
      <c r="F204" s="103"/>
      <c r="G204" s="103"/>
      <c r="H204" s="415"/>
      <c r="I204" s="416"/>
      <c r="J204" s="103"/>
      <c r="K204" s="416" t="s">
        <v>821</v>
      </c>
      <c r="L204" s="103" t="s">
        <v>822</v>
      </c>
      <c r="T204" s="369"/>
    </row>
    <row r="205" spans="2:24">
      <c r="B205" s="103" t="s">
        <v>823</v>
      </c>
      <c r="C205" s="103" t="s">
        <v>191</v>
      </c>
      <c r="D205" s="103" t="s">
        <v>103</v>
      </c>
      <c r="E205" s="417">
        <v>-3.5346171485515816</v>
      </c>
      <c r="F205" s="103"/>
      <c r="G205" s="103"/>
      <c r="H205" s="103"/>
      <c r="I205" s="103"/>
      <c r="J205" s="417">
        <f>E205</f>
        <v>-3.5346171485515816</v>
      </c>
      <c r="K205" s="416" t="s">
        <v>824</v>
      </c>
      <c r="L205" s="103" t="s">
        <v>1738</v>
      </c>
    </row>
    <row r="206" spans="2:24">
      <c r="B206" s="103" t="s">
        <v>832</v>
      </c>
      <c r="C206" s="103" t="s">
        <v>833</v>
      </c>
      <c r="D206" s="103" t="s">
        <v>62</v>
      </c>
      <c r="E206" s="418">
        <v>52.17</v>
      </c>
      <c r="F206" s="103"/>
      <c r="G206" s="103"/>
      <c r="H206" s="103"/>
      <c r="I206" s="103"/>
      <c r="J206" s="418">
        <f>E206</f>
        <v>52.17</v>
      </c>
      <c r="K206" s="416" t="s">
        <v>1649</v>
      </c>
      <c r="L206" s="103" t="s">
        <v>1757</v>
      </c>
      <c r="U206" s="231"/>
      <c r="V206" s="231"/>
      <c r="W206" s="74"/>
      <c r="X206" s="378"/>
    </row>
    <row r="207" spans="2:24">
      <c r="B207" s="103" t="s">
        <v>834</v>
      </c>
      <c r="C207" s="103" t="s">
        <v>569</v>
      </c>
      <c r="D207" s="103" t="s">
        <v>62</v>
      </c>
      <c r="E207" s="418"/>
      <c r="F207" s="103"/>
      <c r="G207" s="103"/>
      <c r="H207" s="103"/>
      <c r="I207" s="103"/>
      <c r="J207" s="418">
        <f>AVERAGE(101,102)</f>
        <v>101.5</v>
      </c>
      <c r="K207" s="416" t="s">
        <v>835</v>
      </c>
      <c r="L207" s="103"/>
      <c r="U207" s="231"/>
      <c r="V207" s="231"/>
      <c r="W207" s="74"/>
      <c r="X207" s="378"/>
    </row>
    <row r="208" spans="2:24">
      <c r="B208" s="103" t="s">
        <v>1652</v>
      </c>
      <c r="C208" s="103" t="s">
        <v>1343</v>
      </c>
      <c r="D208" s="103" t="s">
        <v>1658</v>
      </c>
      <c r="E208" s="418">
        <v>44.3</v>
      </c>
      <c r="F208" s="103"/>
      <c r="G208" s="103"/>
      <c r="H208" s="103"/>
      <c r="I208" s="103"/>
      <c r="J208" s="418">
        <v>44.3</v>
      </c>
      <c r="K208" s="416" t="s">
        <v>1659</v>
      </c>
      <c r="L208" s="103" t="s">
        <v>1665</v>
      </c>
      <c r="U208" s="231"/>
      <c r="V208" s="231"/>
      <c r="W208" s="74"/>
      <c r="X208" s="378"/>
    </row>
    <row r="209" spans="2:24">
      <c r="B209" s="103" t="s">
        <v>1653</v>
      </c>
      <c r="C209" s="103" t="s">
        <v>1343</v>
      </c>
      <c r="D209" s="103" t="s">
        <v>410</v>
      </c>
      <c r="E209" s="418">
        <v>5.49</v>
      </c>
      <c r="F209" s="103"/>
      <c r="G209" s="103"/>
      <c r="H209" s="103"/>
      <c r="I209" s="103"/>
      <c r="J209" s="418">
        <v>5.49</v>
      </c>
      <c r="K209" s="416" t="s">
        <v>1666</v>
      </c>
      <c r="L209" s="103" t="s">
        <v>1694</v>
      </c>
      <c r="U209" s="231"/>
      <c r="V209" s="231"/>
      <c r="W209" s="74"/>
      <c r="X209" s="378"/>
    </row>
    <row r="210" spans="2:24">
      <c r="B210" s="103" t="s">
        <v>1654</v>
      </c>
      <c r="C210" s="103" t="s">
        <v>1343</v>
      </c>
      <c r="D210" s="103" t="s">
        <v>79</v>
      </c>
      <c r="E210" s="418">
        <v>8.3800000000000008</v>
      </c>
      <c r="F210" s="103"/>
      <c r="G210" s="103"/>
      <c r="H210" s="103"/>
      <c r="I210" s="103"/>
      <c r="J210" s="418">
        <v>8.3800000000000008</v>
      </c>
      <c r="K210" s="416" t="s">
        <v>1666</v>
      </c>
      <c r="L210" s="103" t="s">
        <v>1667</v>
      </c>
      <c r="U210" s="231"/>
      <c r="V210" s="231"/>
      <c r="W210" s="74"/>
      <c r="X210" s="378"/>
    </row>
    <row r="211" spans="2:24">
      <c r="B211" s="103" t="s">
        <v>840</v>
      </c>
      <c r="C211" s="103" t="s">
        <v>274</v>
      </c>
      <c r="D211" s="103" t="s">
        <v>62</v>
      </c>
      <c r="E211" s="418">
        <v>2.7E-2</v>
      </c>
      <c r="F211" s="103">
        <v>27</v>
      </c>
      <c r="G211" s="103">
        <f>273.15+F211</f>
        <v>300.14999999999998</v>
      </c>
      <c r="H211" s="372" cm="1">
        <f t="array" aca="1" ref="H211" ca="1">VLOOKUP(D211,Table245[[Compound Name]:[∆OWU SD]],INDIRECT("RAVs!$"&amp;VLOOKUP(C211,$N$45:$P$50,3,FALSE)&amp;"$1")+1,FALSE)*1000</f>
        <v>26050.812139466099</v>
      </c>
      <c r="I211" s="416">
        <f ca="1">EXP(LN(E211)-H211/8.314*(1/$J$46-1/G211))</f>
        <v>2.5173943040615536E-2</v>
      </c>
      <c r="J211" s="416">
        <f ca="1">I211/10^($K$26)</f>
        <v>0.12016826489851207</v>
      </c>
      <c r="K211" s="416" t="s">
        <v>843</v>
      </c>
      <c r="L211" s="103" t="s">
        <v>1781</v>
      </c>
      <c r="U211" s="231"/>
      <c r="V211" s="231"/>
      <c r="W211" s="74"/>
      <c r="X211" s="378"/>
    </row>
    <row r="212" spans="2:24">
      <c r="B212" s="103" t="s">
        <v>846</v>
      </c>
      <c r="C212" s="103" t="s">
        <v>274</v>
      </c>
      <c r="D212" s="103" t="s">
        <v>62</v>
      </c>
      <c r="E212" s="418">
        <v>1.0999999999999999E-2</v>
      </c>
      <c r="F212" s="103">
        <v>20</v>
      </c>
      <c r="G212" s="103">
        <f>273.15+F212</f>
        <v>293.14999999999998</v>
      </c>
      <c r="H212" s="372" cm="1">
        <f t="array" aca="1" ref="H212" ca="1">VLOOKUP(D212,Table245[[Compound Name]:[∆OWU SD]],INDIRECT("RAVs!$"&amp;VLOOKUP(C212,$N$45:$P$50,3,FALSE)&amp;"$1")+1,FALSE)*1000</f>
        <v>26050.812139466099</v>
      </c>
      <c r="I212" s="416">
        <f ca="1">EXP(LN(E212)-H212/8.314*(1/$J$46-1/G212))</f>
        <v>1.3159503394904482E-2</v>
      </c>
      <c r="J212" s="416">
        <f ca="1">I212/10^($K$26)</f>
        <v>6.2817123536841227E-2</v>
      </c>
      <c r="K212" s="416" t="s">
        <v>843</v>
      </c>
      <c r="L212" s="103" t="s">
        <v>847</v>
      </c>
      <c r="U212" s="231"/>
      <c r="V212" s="231"/>
      <c r="W212" s="74"/>
      <c r="X212" s="378"/>
    </row>
    <row r="213" spans="2:24">
      <c r="B213" s="103" t="s">
        <v>850</v>
      </c>
      <c r="C213" s="103" t="s">
        <v>569</v>
      </c>
      <c r="D213" s="103" t="s">
        <v>849</v>
      </c>
      <c r="E213" s="418"/>
      <c r="F213" s="103"/>
      <c r="G213" s="103"/>
      <c r="H213" s="103"/>
      <c r="I213" s="103"/>
      <c r="J213" s="418">
        <f>AVERAGE(126,127)</f>
        <v>126.5</v>
      </c>
      <c r="K213" s="416" t="s">
        <v>852</v>
      </c>
      <c r="L213" s="103" t="s">
        <v>853</v>
      </c>
      <c r="U213" s="231"/>
      <c r="V213" s="231"/>
      <c r="W213" s="74"/>
      <c r="X213" s="378"/>
    </row>
    <row r="214" spans="2:24">
      <c r="B214" s="103" t="s">
        <v>851</v>
      </c>
      <c r="C214" s="103" t="s">
        <v>569</v>
      </c>
      <c r="D214" s="103" t="s">
        <v>849</v>
      </c>
      <c r="E214" s="418"/>
      <c r="F214" s="103"/>
      <c r="G214" s="103"/>
      <c r="H214" s="103"/>
      <c r="I214" s="103"/>
      <c r="J214" s="418">
        <f>AVERAGE(125.5,128)</f>
        <v>126.75</v>
      </c>
      <c r="K214" s="416" t="s">
        <v>1583</v>
      </c>
      <c r="L214" s="103"/>
    </row>
    <row r="215" spans="2:24">
      <c r="B215" s="103" t="s">
        <v>865</v>
      </c>
      <c r="C215" s="103" t="s">
        <v>191</v>
      </c>
      <c r="D215" s="103" t="s">
        <v>68</v>
      </c>
      <c r="E215" s="418">
        <v>-1.28</v>
      </c>
      <c r="F215" s="103"/>
      <c r="G215" s="103"/>
      <c r="H215" s="103"/>
      <c r="I215" s="103"/>
      <c r="J215" s="332">
        <f t="shared" ref="J215:J221" si="35">E215</f>
        <v>-1.28</v>
      </c>
      <c r="K215" s="416" t="s">
        <v>1584</v>
      </c>
      <c r="L215" s="103" t="s">
        <v>867</v>
      </c>
      <c r="W215" s="369"/>
    </row>
    <row r="216" spans="2:24">
      <c r="B216" s="103" t="s">
        <v>866</v>
      </c>
      <c r="C216" s="103" t="s">
        <v>191</v>
      </c>
      <c r="D216" s="103" t="s">
        <v>68</v>
      </c>
      <c r="E216" s="418">
        <v>-2.67</v>
      </c>
      <c r="F216" s="103"/>
      <c r="G216" s="103"/>
      <c r="H216" s="103"/>
      <c r="I216" s="103"/>
      <c r="J216" s="332">
        <f t="shared" si="35"/>
        <v>-2.67</v>
      </c>
      <c r="K216" s="416" t="s">
        <v>918</v>
      </c>
      <c r="L216" s="103" t="s">
        <v>868</v>
      </c>
      <c r="W216" s="241"/>
      <c r="X216" s="366"/>
    </row>
    <row r="217" spans="2:24">
      <c r="B217" s="103" t="s">
        <v>873</v>
      </c>
      <c r="C217" s="103" t="s">
        <v>281</v>
      </c>
      <c r="D217" s="103" t="s">
        <v>68</v>
      </c>
      <c r="E217" s="418">
        <v>1.44</v>
      </c>
      <c r="F217" s="103"/>
      <c r="G217" s="103"/>
      <c r="H217" s="103"/>
      <c r="I217" s="103"/>
      <c r="J217" s="332">
        <f t="shared" si="35"/>
        <v>1.44</v>
      </c>
      <c r="K217" s="416" t="s">
        <v>1585</v>
      </c>
      <c r="L217" s="103" t="s">
        <v>1586</v>
      </c>
    </row>
    <row r="218" spans="2:24">
      <c r="B218" s="103" t="s">
        <v>874</v>
      </c>
      <c r="C218" s="103" t="s">
        <v>281</v>
      </c>
      <c r="D218" s="103" t="s">
        <v>68</v>
      </c>
      <c r="E218" s="418">
        <v>1.78</v>
      </c>
      <c r="F218" s="103"/>
      <c r="G218" s="103"/>
      <c r="H218" s="103"/>
      <c r="I218" s="103"/>
      <c r="J218" s="332">
        <f t="shared" si="35"/>
        <v>1.78</v>
      </c>
      <c r="K218" s="103"/>
      <c r="L218" s="103" t="s">
        <v>879</v>
      </c>
    </row>
    <row r="219" spans="2:24">
      <c r="B219" s="103" t="s">
        <v>875</v>
      </c>
      <c r="C219" s="103" t="s">
        <v>281</v>
      </c>
      <c r="D219" s="103" t="s">
        <v>68</v>
      </c>
      <c r="E219" s="418">
        <v>1.48</v>
      </c>
      <c r="F219" s="103"/>
      <c r="G219" s="103"/>
      <c r="H219" s="103"/>
      <c r="I219" s="103"/>
      <c r="J219" s="332">
        <f t="shared" si="35"/>
        <v>1.48</v>
      </c>
      <c r="K219" s="416" t="s">
        <v>1587</v>
      </c>
      <c r="L219" s="103" t="s">
        <v>880</v>
      </c>
    </row>
    <row r="220" spans="2:24">
      <c r="B220" s="103" t="s">
        <v>888</v>
      </c>
      <c r="C220" s="103" t="s">
        <v>569</v>
      </c>
      <c r="D220" s="103" t="s">
        <v>73</v>
      </c>
      <c r="E220" s="192" t="s">
        <v>733</v>
      </c>
      <c r="F220" s="103"/>
      <c r="G220" s="103"/>
      <c r="H220" s="103"/>
      <c r="I220" s="103"/>
      <c r="J220" s="332" t="str">
        <f t="shared" si="35"/>
        <v>&lt; -20</v>
      </c>
      <c r="K220" s="6" t="s">
        <v>1588</v>
      </c>
      <c r="L220" s="103" t="s">
        <v>1590</v>
      </c>
      <c r="W220" s="241"/>
      <c r="X220" s="368"/>
    </row>
    <row r="221" spans="2:24">
      <c r="B221" s="103" t="s">
        <v>889</v>
      </c>
      <c r="C221" s="103" t="s">
        <v>281</v>
      </c>
      <c r="D221" s="103" t="s">
        <v>73</v>
      </c>
      <c r="E221" s="418">
        <v>3.33</v>
      </c>
      <c r="F221" s="103"/>
      <c r="G221" s="103"/>
      <c r="H221" s="103"/>
      <c r="I221" s="103"/>
      <c r="J221" s="332">
        <f t="shared" si="35"/>
        <v>3.33</v>
      </c>
      <c r="K221" s="416" t="s">
        <v>1591</v>
      </c>
      <c r="L221" s="103" t="s">
        <v>890</v>
      </c>
    </row>
    <row r="222" spans="2:24">
      <c r="B222" s="103" t="s">
        <v>894</v>
      </c>
      <c r="C222" s="103" t="s">
        <v>569</v>
      </c>
      <c r="D222" s="103" t="s">
        <v>75</v>
      </c>
      <c r="E222" s="418"/>
      <c r="F222" s="103"/>
      <c r="G222" s="103"/>
      <c r="H222" s="415"/>
      <c r="I222" s="416"/>
      <c r="J222" s="103"/>
      <c r="K222" s="416" t="s">
        <v>1593</v>
      </c>
      <c r="L222" s="103" t="s">
        <v>895</v>
      </c>
    </row>
    <row r="223" spans="2:24">
      <c r="B223" s="103" t="s">
        <v>897</v>
      </c>
      <c r="C223" s="103" t="s">
        <v>281</v>
      </c>
      <c r="D223" s="103" t="s">
        <v>75</v>
      </c>
      <c r="E223" s="357">
        <f>10^3.69</f>
        <v>4897.7881936844633</v>
      </c>
      <c r="F223" s="103">
        <v>20</v>
      </c>
      <c r="G223" s="103">
        <f>273.15+F223</f>
        <v>293.14999999999998</v>
      </c>
      <c r="H223" s="372" cm="1">
        <f t="array" aca="1" ref="H223" ca="1">VLOOKUP(D223,Table245[[Compound Name]:[∆OWU SD]],INDIRECT("RAVs!$"&amp;VLOOKUP(C223,$N$45:$P$50,3,FALSE)&amp;"$1")+1,FALSE)*1000</f>
        <v>13255.493396645199</v>
      </c>
      <c r="I223" s="416">
        <f ca="1">EXP(LN(E223)-H223/8.314*(1/$J$46-1/G223))</f>
        <v>5365.5095265959144</v>
      </c>
      <c r="J223" s="332">
        <f ca="1">LOG(I223)</f>
        <v>3.7296109703060139</v>
      </c>
      <c r="K223" s="416" t="s">
        <v>1596</v>
      </c>
      <c r="L223" s="425"/>
    </row>
    <row r="224" spans="2:24">
      <c r="B224" s="103" t="s">
        <v>904</v>
      </c>
      <c r="C224" s="103" t="s">
        <v>569</v>
      </c>
      <c r="D224" s="103" t="s">
        <v>77</v>
      </c>
      <c r="E224" s="121">
        <f>AVERAGE(49.5,50)</f>
        <v>49.75</v>
      </c>
      <c r="F224" s="103"/>
      <c r="G224" s="103"/>
      <c r="H224" s="103"/>
      <c r="I224" s="103"/>
      <c r="J224" s="330">
        <f>E224</f>
        <v>49.75</v>
      </c>
      <c r="K224" s="416" t="s">
        <v>1597</v>
      </c>
      <c r="L224" s="103" t="s">
        <v>905</v>
      </c>
    </row>
    <row r="225" spans="2:12">
      <c r="B225" s="103" t="s">
        <v>908</v>
      </c>
      <c r="C225" s="103" t="s">
        <v>833</v>
      </c>
      <c r="D225" s="103" t="s">
        <v>77</v>
      </c>
      <c r="E225" s="423">
        <f>23.97/('Table S3 Literature Values'!AS166+273.15)*1000</f>
        <v>74.243089074155336</v>
      </c>
      <c r="F225" s="103"/>
      <c r="G225" s="103"/>
      <c r="H225" s="103"/>
      <c r="I225" s="103"/>
      <c r="J225" s="415">
        <f>E225</f>
        <v>74.243089074155336</v>
      </c>
      <c r="K225" s="103" t="s">
        <v>909</v>
      </c>
      <c r="L225" s="103" t="s">
        <v>2762</v>
      </c>
    </row>
    <row r="226" spans="2:12">
      <c r="B226" s="103" t="s">
        <v>917</v>
      </c>
      <c r="C226" s="103" t="s">
        <v>191</v>
      </c>
      <c r="D226" s="103" t="s">
        <v>87</v>
      </c>
      <c r="E226" s="418">
        <v>-2.5299999999999998</v>
      </c>
      <c r="F226" s="103"/>
      <c r="G226" s="103"/>
      <c r="H226" s="103"/>
      <c r="I226" s="103"/>
      <c r="J226" s="103">
        <f>E226</f>
        <v>-2.5299999999999998</v>
      </c>
      <c r="K226" s="103" t="s">
        <v>918</v>
      </c>
      <c r="L226" s="103" t="s">
        <v>1598</v>
      </c>
    </row>
    <row r="227" spans="2:12">
      <c r="B227" s="103" t="s">
        <v>922</v>
      </c>
      <c r="C227" s="103" t="s">
        <v>502</v>
      </c>
      <c r="D227" s="103" t="s">
        <v>87</v>
      </c>
      <c r="E227" s="330">
        <f>$Y$92</f>
        <v>111.62659951094155</v>
      </c>
      <c r="F227" s="103"/>
      <c r="G227" s="103"/>
      <c r="H227" s="103"/>
      <c r="I227" s="103"/>
      <c r="J227" s="330">
        <f>E227</f>
        <v>111.62659951094155</v>
      </c>
      <c r="K227" s="103" t="s">
        <v>920</v>
      </c>
      <c r="L227" s="103" t="s">
        <v>1067</v>
      </c>
    </row>
    <row r="228" spans="2:12">
      <c r="B228" s="103" t="s">
        <v>939</v>
      </c>
      <c r="C228" s="103" t="s">
        <v>274</v>
      </c>
      <c r="D228" s="103" t="s">
        <v>87</v>
      </c>
      <c r="E228" s="176" t="s">
        <v>457</v>
      </c>
      <c r="F228" s="103"/>
      <c r="G228" s="103"/>
      <c r="H228" s="103"/>
      <c r="I228" s="103"/>
      <c r="J228" s="176" t="s">
        <v>457</v>
      </c>
      <c r="K228" s="103" t="s">
        <v>931</v>
      </c>
      <c r="L228" s="103" t="s">
        <v>932</v>
      </c>
    </row>
    <row r="229" spans="2:12">
      <c r="B229" s="103" t="s">
        <v>940</v>
      </c>
      <c r="C229" s="103" t="s">
        <v>569</v>
      </c>
      <c r="D229" s="103" t="s">
        <v>81</v>
      </c>
      <c r="E229" s="192">
        <v>-33</v>
      </c>
      <c r="F229" s="103"/>
      <c r="G229" s="103"/>
      <c r="H229" s="103"/>
      <c r="I229" s="103"/>
      <c r="J229" s="192">
        <f>E229</f>
        <v>-33</v>
      </c>
      <c r="K229" s="103" t="s">
        <v>941</v>
      </c>
      <c r="L229" s="103" t="s">
        <v>1599</v>
      </c>
    </row>
    <row r="230" spans="2:12">
      <c r="B230" s="103" t="s">
        <v>942</v>
      </c>
      <c r="C230" s="103" t="s">
        <v>569</v>
      </c>
      <c r="D230" s="103" t="s">
        <v>83</v>
      </c>
      <c r="E230" s="418">
        <f>AVERAGE(75,77)</f>
        <v>76</v>
      </c>
      <c r="F230" s="103"/>
      <c r="G230" s="103"/>
      <c r="H230" s="103"/>
      <c r="I230" s="103"/>
      <c r="J230" s="103">
        <f>E230</f>
        <v>76</v>
      </c>
      <c r="K230" s="103" t="s">
        <v>951</v>
      </c>
      <c r="L230" s="103" t="s">
        <v>952</v>
      </c>
    </row>
    <row r="231" spans="2:12">
      <c r="B231" s="103" t="s">
        <v>956</v>
      </c>
      <c r="C231" s="103" t="s">
        <v>569</v>
      </c>
      <c r="D231" s="103" t="s">
        <v>89</v>
      </c>
      <c r="E231" s="418">
        <f>AVERAGE(99,100)</f>
        <v>99.5</v>
      </c>
      <c r="F231" s="103"/>
      <c r="G231" s="103"/>
      <c r="H231" s="103"/>
      <c r="I231" s="103"/>
      <c r="J231" s="103">
        <f>E231</f>
        <v>99.5</v>
      </c>
      <c r="K231" s="103" t="s">
        <v>951</v>
      </c>
      <c r="L231" s="103" t="s">
        <v>962</v>
      </c>
    </row>
    <row r="232" spans="2:12">
      <c r="B232" s="103" t="s">
        <v>966</v>
      </c>
      <c r="C232" s="103" t="s">
        <v>569</v>
      </c>
      <c r="D232" s="103" t="s">
        <v>410</v>
      </c>
      <c r="E232" s="418"/>
      <c r="F232" s="103"/>
      <c r="G232" s="103"/>
      <c r="H232" s="103"/>
      <c r="I232" s="103"/>
      <c r="J232" s="192" t="s">
        <v>1600</v>
      </c>
      <c r="K232" s="103" t="s">
        <v>967</v>
      </c>
      <c r="L232" s="103" t="s">
        <v>932</v>
      </c>
    </row>
    <row r="233" spans="2:12">
      <c r="B233" s="103" t="s">
        <v>974</v>
      </c>
      <c r="C233" s="103" t="s">
        <v>569</v>
      </c>
      <c r="D233" s="103" t="s">
        <v>138</v>
      </c>
      <c r="E233" s="418"/>
      <c r="F233" s="103"/>
      <c r="G233" s="103"/>
      <c r="H233" s="103"/>
      <c r="I233" s="103"/>
      <c r="J233" s="121">
        <f>AVERAGE(115,116)</f>
        <v>115.5</v>
      </c>
      <c r="K233" s="103" t="s">
        <v>975</v>
      </c>
      <c r="L233" s="103" t="s">
        <v>1603</v>
      </c>
    </row>
    <row r="234" spans="2:12">
      <c r="B234" s="103" t="s">
        <v>997</v>
      </c>
      <c r="C234" s="103" t="s">
        <v>569</v>
      </c>
      <c r="D234" s="103" t="s">
        <v>483</v>
      </c>
      <c r="E234" s="418"/>
      <c r="F234" s="103"/>
      <c r="G234" s="103"/>
      <c r="H234" s="103"/>
      <c r="I234" s="103"/>
      <c r="J234" s="103">
        <f>AVERAGE(81,86)</f>
        <v>83.5</v>
      </c>
      <c r="K234" s="103" t="s">
        <v>998</v>
      </c>
      <c r="L234" s="103" t="s">
        <v>999</v>
      </c>
    </row>
    <row r="235" spans="2:12">
      <c r="B235" s="103" t="s">
        <v>1008</v>
      </c>
      <c r="C235" s="103" t="s">
        <v>569</v>
      </c>
      <c r="D235" s="103" t="s">
        <v>146</v>
      </c>
      <c r="E235" s="103">
        <v>-25</v>
      </c>
      <c r="F235" s="103"/>
      <c r="G235" s="103"/>
      <c r="H235" s="103"/>
      <c r="I235" s="103"/>
      <c r="J235" s="103">
        <v>-25</v>
      </c>
      <c r="K235" s="103" t="s">
        <v>1009</v>
      </c>
      <c r="L235" s="103" t="s">
        <v>1604</v>
      </c>
    </row>
    <row r="236" spans="2:12">
      <c r="B236" s="103" t="s">
        <v>1010</v>
      </c>
      <c r="C236" s="103" t="s">
        <v>191</v>
      </c>
      <c r="D236" s="103" t="s">
        <v>509</v>
      </c>
      <c r="E236" s="418">
        <v>-6.3767863852569544</v>
      </c>
      <c r="F236" s="103"/>
      <c r="G236" s="103"/>
      <c r="H236" s="103"/>
      <c r="I236" s="103"/>
      <c r="J236" s="103">
        <v>-6.3767863852569544</v>
      </c>
      <c r="K236" s="103" t="s">
        <v>515</v>
      </c>
      <c r="L236" s="103" t="s">
        <v>1011</v>
      </c>
    </row>
    <row r="237" spans="2:12">
      <c r="B237" s="103" t="s">
        <v>1064</v>
      </c>
      <c r="C237" s="103" t="s">
        <v>1065</v>
      </c>
      <c r="D237" s="103" t="s">
        <v>1015</v>
      </c>
      <c r="E237" s="418"/>
      <c r="F237" s="103"/>
      <c r="G237" s="103"/>
      <c r="H237" s="103"/>
      <c r="I237" s="103"/>
      <c r="J237" s="103">
        <f>W105</f>
        <v>4.6278730120914782E-2</v>
      </c>
      <c r="K237" s="103" t="s">
        <v>1066</v>
      </c>
      <c r="L237" s="103" t="s">
        <v>1672</v>
      </c>
    </row>
    <row r="238" spans="2:12">
      <c r="B238" s="103" t="s">
        <v>1068</v>
      </c>
      <c r="C238" s="103" t="s">
        <v>1069</v>
      </c>
      <c r="D238" s="103" t="s">
        <v>1015</v>
      </c>
      <c r="E238" s="418"/>
      <c r="F238" s="103"/>
      <c r="G238" s="103"/>
      <c r="H238" s="103"/>
      <c r="I238" s="103"/>
      <c r="J238" s="103">
        <f>Y107</f>
        <v>39.263581419041103</v>
      </c>
      <c r="K238" s="103" t="s">
        <v>1066</v>
      </c>
      <c r="L238" s="103" t="s">
        <v>1067</v>
      </c>
    </row>
    <row r="239" spans="2:12">
      <c r="B239" s="103" t="s">
        <v>1070</v>
      </c>
      <c r="C239" s="103" t="s">
        <v>1065</v>
      </c>
      <c r="D239" s="103" t="s">
        <v>1016</v>
      </c>
      <c r="E239" s="418"/>
      <c r="F239" s="103"/>
      <c r="G239" s="103"/>
      <c r="H239" s="103"/>
      <c r="I239" s="103"/>
      <c r="J239" s="103">
        <f>W120</f>
        <v>5.9371378271385576E-2</v>
      </c>
      <c r="K239" s="103" t="s">
        <v>1066</v>
      </c>
      <c r="L239" s="103" t="s">
        <v>1672</v>
      </c>
    </row>
    <row r="240" spans="2:12">
      <c r="B240" s="103" t="s">
        <v>1071</v>
      </c>
      <c r="C240" s="103" t="s">
        <v>1069</v>
      </c>
      <c r="D240" s="103" t="s">
        <v>1016</v>
      </c>
      <c r="E240" s="418"/>
      <c r="F240" s="103"/>
      <c r="G240" s="103"/>
      <c r="H240" s="103"/>
      <c r="I240" s="103"/>
      <c r="J240" s="103">
        <f>Y122</f>
        <v>48.65142588839673</v>
      </c>
      <c r="K240" s="103" t="s">
        <v>1066</v>
      </c>
      <c r="L240" s="103" t="s">
        <v>1067</v>
      </c>
    </row>
    <row r="241" spans="2:12">
      <c r="B241" s="103" t="s">
        <v>1072</v>
      </c>
      <c r="C241" s="103" t="s">
        <v>274</v>
      </c>
      <c r="D241" s="103" t="s">
        <v>1015</v>
      </c>
      <c r="E241" s="114">
        <v>4.0000000000000001E-3</v>
      </c>
      <c r="F241" s="103">
        <v>27</v>
      </c>
      <c r="G241" s="103">
        <f>273.15+F241</f>
        <v>300.14999999999998</v>
      </c>
      <c r="H241" s="372" cm="1">
        <f t="array" aca="1" ref="H241" ca="1">VLOOKUP(D241,Table245[[Compound Name]:[∆OWU SD]],INDIRECT("RAVs!$"&amp;VLOOKUP(C241,$N$45:$P$50,3,FALSE)&amp;"$1")+1,FALSE)*1000</f>
        <v>26877.748609542097</v>
      </c>
      <c r="I241" s="416">
        <f ca="1">EXP(LN(E241)-H241/8.314*(1/$J$46-1/G241))</f>
        <v>3.7211920231926547E-3</v>
      </c>
      <c r="J241" s="416">
        <f ca="1">I241/10^($K$27)</f>
        <v>2.5339844014284407E-2</v>
      </c>
      <c r="K241" s="103" t="s">
        <v>1073</v>
      </c>
      <c r="L241" s="103" t="s">
        <v>1198</v>
      </c>
    </row>
    <row r="242" spans="2:12">
      <c r="B242" s="103" t="s">
        <v>1078</v>
      </c>
      <c r="C242" s="103" t="s">
        <v>281</v>
      </c>
      <c r="D242" s="103" t="s">
        <v>103</v>
      </c>
      <c r="E242" s="418">
        <v>6.67</v>
      </c>
      <c r="F242" s="103"/>
      <c r="G242" s="103"/>
      <c r="H242" s="416"/>
      <c r="I242" s="416"/>
      <c r="J242" s="418">
        <f>E242</f>
        <v>6.67</v>
      </c>
      <c r="K242" s="103" t="s">
        <v>1726</v>
      </c>
      <c r="L242" s="103" t="s">
        <v>1722</v>
      </c>
    </row>
    <row r="243" spans="2:12">
      <c r="B243" s="103" t="s">
        <v>1096</v>
      </c>
      <c r="C243" s="103" t="s">
        <v>281</v>
      </c>
      <c r="D243" s="103" t="s">
        <v>1732</v>
      </c>
      <c r="E243" s="418"/>
      <c r="F243" s="103"/>
      <c r="G243" s="103"/>
      <c r="H243" s="416"/>
      <c r="I243" s="416"/>
      <c r="J243" s="418"/>
      <c r="K243" s="103" t="s">
        <v>824</v>
      </c>
      <c r="L243" s="103" t="s">
        <v>1727</v>
      </c>
    </row>
    <row r="244" spans="2:12">
      <c r="B244" s="103" t="s">
        <v>1097</v>
      </c>
      <c r="C244" s="103" t="s">
        <v>281</v>
      </c>
      <c r="D244" s="103" t="s">
        <v>1732</v>
      </c>
      <c r="E244" s="418"/>
      <c r="F244" s="103"/>
      <c r="G244" s="103"/>
      <c r="H244" s="416"/>
      <c r="I244" s="416"/>
      <c r="J244" s="418"/>
      <c r="K244" s="103" t="s">
        <v>1128</v>
      </c>
      <c r="L244" s="103" t="s">
        <v>1728</v>
      </c>
    </row>
    <row r="245" spans="2:12">
      <c r="B245" s="103" t="s">
        <v>1098</v>
      </c>
      <c r="C245" s="103" t="s">
        <v>275</v>
      </c>
      <c r="D245" s="103" t="s">
        <v>1606</v>
      </c>
      <c r="E245" s="418"/>
      <c r="F245" s="103"/>
      <c r="G245" s="103"/>
      <c r="H245" s="416"/>
      <c r="I245" s="416"/>
      <c r="J245" s="416"/>
      <c r="K245" s="103" t="s">
        <v>1101</v>
      </c>
      <c r="L245" s="103" t="s">
        <v>1605</v>
      </c>
    </row>
    <row r="246" spans="2:12">
      <c r="B246" s="103" t="s">
        <v>1102</v>
      </c>
      <c r="C246" s="103" t="s">
        <v>1343</v>
      </c>
      <c r="D246" s="103" t="s">
        <v>112</v>
      </c>
      <c r="E246" s="418"/>
      <c r="F246" s="103"/>
      <c r="G246" s="103"/>
      <c r="H246" s="416"/>
      <c r="I246" s="416"/>
      <c r="J246" s="416">
        <v>-4.5599999999999996</v>
      </c>
      <c r="K246" s="103" t="s">
        <v>1128</v>
      </c>
      <c r="L246" s="103" t="s">
        <v>1730</v>
      </c>
    </row>
    <row r="247" spans="2:12">
      <c r="B247" s="103" t="s">
        <v>1103</v>
      </c>
      <c r="C247" s="103" t="s">
        <v>1343</v>
      </c>
      <c r="D247" s="103" t="s">
        <v>1732</v>
      </c>
      <c r="E247" s="418"/>
      <c r="F247" s="103"/>
      <c r="G247" s="103"/>
      <c r="H247" s="416"/>
      <c r="I247" s="416"/>
      <c r="J247" s="416">
        <v>-3.81</v>
      </c>
      <c r="K247" s="103" t="s">
        <v>1111</v>
      </c>
      <c r="L247" s="103" t="s">
        <v>1733</v>
      </c>
    </row>
    <row r="248" spans="2:12">
      <c r="B248" s="103" t="s">
        <v>1104</v>
      </c>
      <c r="C248" s="103" t="s">
        <v>274</v>
      </c>
      <c r="D248" s="103" t="s">
        <v>103</v>
      </c>
      <c r="E248" s="17">
        <f>LOG(0.0000735)</f>
        <v>-4.1337126609158048</v>
      </c>
      <c r="F248" s="103"/>
      <c r="G248" s="103"/>
      <c r="H248" s="416"/>
      <c r="I248" s="416"/>
      <c r="J248" s="416">
        <f>E248</f>
        <v>-4.1337126609158048</v>
      </c>
      <c r="K248" s="103" t="s">
        <v>1734</v>
      </c>
      <c r="L248" s="103" t="s">
        <v>1106</v>
      </c>
    </row>
    <row r="249" spans="2:12">
      <c r="B249" s="103" t="s">
        <v>1105</v>
      </c>
      <c r="C249" s="103" t="s">
        <v>191</v>
      </c>
      <c r="D249" s="103" t="s">
        <v>103</v>
      </c>
      <c r="E249" s="418"/>
      <c r="F249" s="103"/>
      <c r="G249" s="103"/>
      <c r="H249" s="416"/>
      <c r="I249" s="416"/>
      <c r="J249" s="416">
        <v>-4.0872466963286769</v>
      </c>
      <c r="K249" s="103" t="s">
        <v>1734</v>
      </c>
      <c r="L249" s="103" t="s">
        <v>1106</v>
      </c>
    </row>
    <row r="250" spans="2:12">
      <c r="B250" s="103" t="s">
        <v>1110</v>
      </c>
      <c r="C250" s="103" t="s">
        <v>191</v>
      </c>
      <c r="D250" s="103" t="s">
        <v>103</v>
      </c>
      <c r="E250" s="418">
        <v>-4.4934949675951277</v>
      </c>
      <c r="F250" s="103"/>
      <c r="G250" s="103"/>
      <c r="H250" s="416"/>
      <c r="I250" s="416"/>
      <c r="J250" s="418">
        <v>-4.4934949675951277</v>
      </c>
      <c r="K250" s="103" t="s">
        <v>1111</v>
      </c>
      <c r="L250" s="103" t="s">
        <v>1609</v>
      </c>
    </row>
    <row r="251" spans="2:12">
      <c r="B251" s="103" t="s">
        <v>1122</v>
      </c>
      <c r="C251" s="103" t="s">
        <v>1610</v>
      </c>
      <c r="D251" s="103" t="s">
        <v>1611</v>
      </c>
      <c r="E251" s="418"/>
      <c r="F251" s="103"/>
      <c r="G251" s="103"/>
      <c r="H251" s="416"/>
      <c r="I251" s="416"/>
      <c r="J251" s="416"/>
      <c r="K251" s="103" t="s">
        <v>1123</v>
      </c>
      <c r="L251" s="103" t="s">
        <v>1612</v>
      </c>
    </row>
    <row r="252" spans="2:12">
      <c r="B252" s="103" t="s">
        <v>1127</v>
      </c>
      <c r="C252" s="103" t="s">
        <v>569</v>
      </c>
      <c r="D252" s="103" t="s">
        <v>103</v>
      </c>
      <c r="E252" s="418">
        <f>AVERAGE(83.5,84.5)</f>
        <v>84</v>
      </c>
      <c r="F252" s="103"/>
      <c r="G252" s="103"/>
      <c r="H252" s="416"/>
      <c r="I252" s="416"/>
      <c r="J252" s="418">
        <f>AVERAGE(83.5,84.5)</f>
        <v>84</v>
      </c>
      <c r="K252" s="103" t="s">
        <v>1128</v>
      </c>
      <c r="L252" s="103" t="s">
        <v>1129</v>
      </c>
    </row>
    <row r="253" spans="2:12">
      <c r="B253" s="103" t="s">
        <v>1131</v>
      </c>
      <c r="C253" s="103" t="s">
        <v>191</v>
      </c>
      <c r="D253" s="103" t="s">
        <v>1015</v>
      </c>
      <c r="E253" s="418">
        <v>-6.43</v>
      </c>
      <c r="F253" s="103"/>
      <c r="G253" s="103"/>
      <c r="H253" s="416"/>
      <c r="I253" s="416"/>
      <c r="J253" s="416">
        <f>E253</f>
        <v>-6.43</v>
      </c>
      <c r="K253" s="103" t="s">
        <v>1133</v>
      </c>
      <c r="L253" s="103" t="s">
        <v>1135</v>
      </c>
    </row>
    <row r="254" spans="2:12">
      <c r="B254" s="103" t="s">
        <v>1132</v>
      </c>
      <c r="C254" s="103" t="s">
        <v>191</v>
      </c>
      <c r="D254" s="103" t="s">
        <v>1015</v>
      </c>
      <c r="E254" s="418">
        <v>-6.1360000000000001</v>
      </c>
      <c r="F254" s="103"/>
      <c r="G254" s="103"/>
      <c r="H254" s="416"/>
      <c r="I254" s="416"/>
      <c r="J254" s="416">
        <f>E254</f>
        <v>-6.1360000000000001</v>
      </c>
      <c r="K254" s="103" t="s">
        <v>1134</v>
      </c>
      <c r="L254" s="103" t="s">
        <v>1135</v>
      </c>
    </row>
    <row r="255" spans="2:12">
      <c r="B255" s="103" t="s">
        <v>1138</v>
      </c>
      <c r="C255" s="103" t="s">
        <v>274</v>
      </c>
      <c r="D255" s="103" t="s">
        <v>103</v>
      </c>
      <c r="E255" s="114">
        <v>1.4999999999999999E-2</v>
      </c>
      <c r="F255" s="103"/>
      <c r="G255" s="103"/>
      <c r="H255" s="416"/>
      <c r="I255" s="416"/>
      <c r="J255" s="416">
        <f>E255/10^($K$28)</f>
        <v>4.7434158416904265E-2</v>
      </c>
      <c r="K255" s="103" t="s">
        <v>1128</v>
      </c>
      <c r="L255" s="103" t="s">
        <v>1198</v>
      </c>
    </row>
    <row r="256" spans="2:12">
      <c r="B256" s="103" t="s">
        <v>1141</v>
      </c>
      <c r="C256" s="103" t="s">
        <v>274</v>
      </c>
      <c r="D256" s="103" t="s">
        <v>103</v>
      </c>
      <c r="E256" s="114">
        <v>1.09E-2</v>
      </c>
      <c r="F256" s="103"/>
      <c r="G256" s="103"/>
      <c r="H256" s="416"/>
      <c r="I256" s="416"/>
      <c r="J256" s="416">
        <f>E256/10^($K$28)</f>
        <v>3.4468821782950437E-2</v>
      </c>
      <c r="K256" s="103" t="s">
        <v>1143</v>
      </c>
      <c r="L256" s="103" t="s">
        <v>1198</v>
      </c>
    </row>
    <row r="257" spans="1:12">
      <c r="B257" s="103" t="s">
        <v>1149</v>
      </c>
      <c r="C257" s="103" t="s">
        <v>274</v>
      </c>
      <c r="D257" s="103" t="s">
        <v>103</v>
      </c>
      <c r="E257" s="418">
        <v>1.5299999999999999E-2</v>
      </c>
      <c r="F257" s="103"/>
      <c r="G257" s="103"/>
      <c r="H257" s="416"/>
      <c r="I257" s="416"/>
      <c r="J257" s="416">
        <f>E257/10^($K$28)</f>
        <v>4.838284158524235E-2</v>
      </c>
      <c r="K257" s="103" t="s">
        <v>1152</v>
      </c>
      <c r="L257" s="103" t="s">
        <v>1618</v>
      </c>
    </row>
    <row r="258" spans="1:12">
      <c r="B258" s="103" t="s">
        <v>1150</v>
      </c>
      <c r="C258" s="103" t="s">
        <v>274</v>
      </c>
      <c r="D258" s="103" t="s">
        <v>103</v>
      </c>
      <c r="E258" s="419">
        <v>1.37E-2</v>
      </c>
      <c r="F258" s="103"/>
      <c r="G258" s="103"/>
      <c r="H258" s="416"/>
      <c r="I258" s="416"/>
      <c r="J258" s="416">
        <f>E258/10^($K$28)</f>
        <v>4.3323198020772564E-2</v>
      </c>
      <c r="K258" s="103" t="s">
        <v>1147</v>
      </c>
      <c r="L258" s="103" t="s">
        <v>1140</v>
      </c>
    </row>
    <row r="259" spans="1:12">
      <c r="A259">
        <v>1</v>
      </c>
      <c r="B259" s="103" t="s">
        <v>1151</v>
      </c>
      <c r="C259" s="103" t="s">
        <v>1529</v>
      </c>
      <c r="D259" s="103" t="s">
        <v>1222</v>
      </c>
      <c r="E259" s="418"/>
      <c r="F259" s="103"/>
      <c r="G259" s="103"/>
      <c r="H259" s="416"/>
      <c r="I259" s="416"/>
      <c r="J259" s="416"/>
      <c r="K259" s="103" t="s">
        <v>1152</v>
      </c>
      <c r="L259" s="103" t="s">
        <v>1153</v>
      </c>
    </row>
    <row r="260" spans="1:12">
      <c r="B260" s="103" t="s">
        <v>1155</v>
      </c>
      <c r="C260" s="103" t="s">
        <v>191</v>
      </c>
      <c r="D260" s="103" t="s">
        <v>103</v>
      </c>
      <c r="E260" s="418">
        <v>-5.03</v>
      </c>
      <c r="F260" s="103"/>
      <c r="G260" s="103"/>
      <c r="H260" s="416"/>
      <c r="I260" s="416"/>
      <c r="J260" s="416">
        <f>E260</f>
        <v>-5.03</v>
      </c>
      <c r="K260" s="103" t="s">
        <v>1156</v>
      </c>
      <c r="L260" s="103" t="s">
        <v>1135</v>
      </c>
    </row>
    <row r="261" spans="1:12">
      <c r="B261" s="103" t="s">
        <v>1159</v>
      </c>
      <c r="C261" s="103" t="s">
        <v>502</v>
      </c>
      <c r="D261" s="103" t="s">
        <v>115</v>
      </c>
      <c r="E261" s="418">
        <v>94.8</v>
      </c>
      <c r="F261" s="103"/>
      <c r="G261" s="103"/>
      <c r="H261" s="416"/>
      <c r="I261" s="416"/>
      <c r="J261" s="416">
        <f>E261+2391/1000</f>
        <v>97.191000000000003</v>
      </c>
      <c r="K261" s="103" t="s">
        <v>1160</v>
      </c>
      <c r="L261" s="103" t="s">
        <v>1163</v>
      </c>
    </row>
    <row r="262" spans="1:12">
      <c r="B262" s="103" t="s">
        <v>1619</v>
      </c>
      <c r="C262" s="103" t="s">
        <v>1343</v>
      </c>
      <c r="D262" s="103" t="s">
        <v>125</v>
      </c>
      <c r="E262" s="418">
        <v>23.61</v>
      </c>
      <c r="F262" s="103"/>
      <c r="G262" s="103"/>
      <c r="H262" s="416"/>
      <c r="I262" s="416"/>
      <c r="J262" s="416">
        <f>E262</f>
        <v>23.61</v>
      </c>
      <c r="K262" s="103" t="s">
        <v>1370</v>
      </c>
      <c r="L262" s="103" t="s">
        <v>1667</v>
      </c>
    </row>
    <row r="263" spans="1:12">
      <c r="B263" s="103" t="s">
        <v>1171</v>
      </c>
      <c r="C263" s="103" t="s">
        <v>1343</v>
      </c>
      <c r="D263" s="103" t="s">
        <v>64</v>
      </c>
      <c r="E263" s="418">
        <v>32</v>
      </c>
      <c r="F263" s="103"/>
      <c r="G263" s="103"/>
      <c r="H263" s="416"/>
      <c r="I263" s="416"/>
      <c r="J263" s="416">
        <f>E263</f>
        <v>32</v>
      </c>
      <c r="K263" s="103" t="s">
        <v>1669</v>
      </c>
      <c r="L263" s="103" t="s">
        <v>1670</v>
      </c>
    </row>
    <row r="264" spans="1:12">
      <c r="B264" s="103" t="s">
        <v>1171</v>
      </c>
      <c r="C264" s="103" t="s">
        <v>653</v>
      </c>
      <c r="D264" s="103" t="s">
        <v>103</v>
      </c>
      <c r="E264" s="418">
        <v>14.9</v>
      </c>
      <c r="F264" s="103"/>
      <c r="G264" s="103"/>
      <c r="H264" s="416"/>
      <c r="I264" s="416"/>
      <c r="J264" s="103">
        <f>E264</f>
        <v>14.9</v>
      </c>
      <c r="K264" s="103" t="s">
        <v>1147</v>
      </c>
      <c r="L264" s="103" t="s">
        <v>1167</v>
      </c>
    </row>
    <row r="265" spans="1:12">
      <c r="B265" s="103" t="s">
        <v>1172</v>
      </c>
      <c r="C265" s="103" t="s">
        <v>281</v>
      </c>
      <c r="D265" s="103" t="s">
        <v>103</v>
      </c>
      <c r="E265" s="418">
        <v>6.19</v>
      </c>
      <c r="F265" s="103"/>
      <c r="G265" s="103"/>
      <c r="H265" s="416"/>
      <c r="I265" s="416"/>
      <c r="J265" s="418">
        <v>6.19</v>
      </c>
      <c r="K265" s="103" t="s">
        <v>1173</v>
      </c>
      <c r="L265" s="103" t="s">
        <v>1174</v>
      </c>
    </row>
    <row r="266" spans="1:12">
      <c r="B266" s="103" t="s">
        <v>1177</v>
      </c>
      <c r="C266" s="103" t="s">
        <v>281</v>
      </c>
      <c r="D266" s="103" t="s">
        <v>1204</v>
      </c>
      <c r="E266" s="418">
        <v>6.02</v>
      </c>
      <c r="F266" s="103"/>
      <c r="G266" s="103"/>
      <c r="H266" s="416"/>
      <c r="I266" s="416"/>
      <c r="J266" s="418">
        <v>6.02</v>
      </c>
      <c r="K266" s="103" t="s">
        <v>1178</v>
      </c>
      <c r="L266" s="103" t="s">
        <v>1179</v>
      </c>
    </row>
    <row r="267" spans="1:12">
      <c r="B267" s="103" t="s">
        <v>1184</v>
      </c>
      <c r="C267" s="103" t="s">
        <v>569</v>
      </c>
      <c r="D267" s="103" t="s">
        <v>112</v>
      </c>
      <c r="E267" s="418">
        <v>100.5</v>
      </c>
      <c r="F267" s="103"/>
      <c r="G267" s="103"/>
      <c r="H267" s="416"/>
      <c r="I267" s="416"/>
      <c r="J267" s="418">
        <v>100.5</v>
      </c>
      <c r="K267" s="47" t="s">
        <v>1185</v>
      </c>
      <c r="L267" s="103" t="s">
        <v>1186</v>
      </c>
    </row>
    <row r="268" spans="1:12">
      <c r="B268" s="103" t="s">
        <v>1188</v>
      </c>
      <c r="C268" s="103" t="s">
        <v>274</v>
      </c>
      <c r="D268" s="103" t="s">
        <v>108</v>
      </c>
      <c r="E268" s="418">
        <v>1.7999999999999999E-2</v>
      </c>
      <c r="F268" s="103"/>
      <c r="G268" s="103"/>
      <c r="H268" s="416"/>
      <c r="I268" s="416"/>
      <c r="J268" s="426">
        <f>E268/10^($K$29)</f>
        <v>0.11404735820679074</v>
      </c>
      <c r="K268" s="103" t="s">
        <v>1128</v>
      </c>
      <c r="L268" s="103" t="s">
        <v>1198</v>
      </c>
    </row>
    <row r="269" spans="1:12">
      <c r="B269" s="103" t="s">
        <v>1190</v>
      </c>
      <c r="C269" s="103" t="s">
        <v>569</v>
      </c>
      <c r="D269" s="103" t="s">
        <v>108</v>
      </c>
      <c r="E269" s="418">
        <f>AVERAGE(104,108)</f>
        <v>106</v>
      </c>
      <c r="F269" s="103"/>
      <c r="G269" s="103"/>
      <c r="H269" s="416"/>
      <c r="I269" s="416"/>
      <c r="J269" s="418">
        <f>AVERAGE(104,108)</f>
        <v>106</v>
      </c>
      <c r="K269" s="103" t="s">
        <v>1128</v>
      </c>
      <c r="L269" s="103" t="s">
        <v>1191</v>
      </c>
    </row>
    <row r="270" spans="1:12">
      <c r="B270" s="103" t="s">
        <v>1197</v>
      </c>
      <c r="C270" s="103" t="s">
        <v>274</v>
      </c>
      <c r="D270" s="103" t="s">
        <v>112</v>
      </c>
      <c r="E270" s="418">
        <v>1.7999999999999999E-2</v>
      </c>
      <c r="F270" s="103"/>
      <c r="G270" s="103"/>
      <c r="H270" s="416"/>
      <c r="I270" s="416"/>
      <c r="J270" s="426">
        <f>E270/10^($K$30)</f>
        <v>9.7228317843718798E-2</v>
      </c>
      <c r="K270" s="103" t="s">
        <v>1128</v>
      </c>
      <c r="L270" s="103" t="s">
        <v>1198</v>
      </c>
    </row>
    <row r="271" spans="1:12">
      <c r="B271" s="103" t="s">
        <v>1200</v>
      </c>
      <c r="C271" s="103" t="s">
        <v>274</v>
      </c>
      <c r="D271" s="103" t="s">
        <v>112</v>
      </c>
      <c r="E271" s="419">
        <v>1.5800000000000001E-5</v>
      </c>
      <c r="F271" s="103"/>
      <c r="G271" s="103"/>
      <c r="H271" s="416"/>
      <c r="I271" s="416"/>
      <c r="J271" s="422">
        <f>E271/10^($K$30)</f>
        <v>8.5344856773930964E-5</v>
      </c>
      <c r="K271" s="103" t="s">
        <v>1111</v>
      </c>
      <c r="L271" s="103" t="s">
        <v>1199</v>
      </c>
    </row>
    <row r="272" spans="1:12">
      <c r="B272" s="103" t="s">
        <v>1201</v>
      </c>
      <c r="C272" s="103" t="s">
        <v>191</v>
      </c>
      <c r="D272" s="103" t="s">
        <v>112</v>
      </c>
      <c r="E272" s="418">
        <f>LOG(0.000036)</f>
        <v>-4.4436974992327123</v>
      </c>
      <c r="F272" s="103"/>
      <c r="G272" s="103"/>
      <c r="H272" s="416"/>
      <c r="I272" s="416"/>
      <c r="J272" s="426">
        <f>LOG(0.000036)</f>
        <v>-4.4436974992327123</v>
      </c>
      <c r="K272" s="103" t="s">
        <v>1173</v>
      </c>
      <c r="L272" s="103"/>
    </row>
    <row r="273" spans="2:12">
      <c r="B273" s="103" t="s">
        <v>1205</v>
      </c>
      <c r="C273" s="103" t="s">
        <v>1206</v>
      </c>
      <c r="D273" s="103" t="s">
        <v>1207</v>
      </c>
      <c r="E273" s="418"/>
      <c r="F273" s="103"/>
      <c r="G273" s="103"/>
      <c r="H273" s="416"/>
      <c r="I273" s="416"/>
      <c r="J273" s="416"/>
      <c r="K273" s="103" t="s">
        <v>1679</v>
      </c>
      <c r="L273" s="103" t="s">
        <v>1735</v>
      </c>
    </row>
    <row r="274" spans="2:12">
      <c r="B274" s="103" t="s">
        <v>1208</v>
      </c>
      <c r="C274" s="103" t="s">
        <v>1530</v>
      </c>
      <c r="D274" s="103" t="s">
        <v>112</v>
      </c>
      <c r="E274" s="418"/>
      <c r="F274" s="103"/>
      <c r="G274" s="103"/>
      <c r="H274" s="416"/>
      <c r="I274" s="416"/>
      <c r="J274" s="416"/>
      <c r="K274" s="103" t="s">
        <v>1210</v>
      </c>
      <c r="L274" s="103" t="s">
        <v>1607</v>
      </c>
    </row>
    <row r="275" spans="2:12">
      <c r="B275" s="103" t="s">
        <v>1622</v>
      </c>
      <c r="C275" s="103" t="s">
        <v>274</v>
      </c>
      <c r="D275" s="103" t="s">
        <v>115</v>
      </c>
      <c r="E275" s="418">
        <f>0.0000094*1000</f>
        <v>9.4000000000000004E-3</v>
      </c>
      <c r="F275" s="103"/>
      <c r="G275" s="103"/>
      <c r="H275" s="416"/>
      <c r="I275" s="416"/>
      <c r="J275" s="422">
        <f>E275/10^($K$31)</f>
        <v>5.8346658169617031E-2</v>
      </c>
      <c r="K275" s="103" t="s">
        <v>1128</v>
      </c>
      <c r="L275" s="103" t="s">
        <v>1198</v>
      </c>
    </row>
    <row r="276" spans="2:12">
      <c r="B276" s="103" t="s">
        <v>1216</v>
      </c>
      <c r="C276" s="103" t="s">
        <v>274</v>
      </c>
      <c r="D276" s="103" t="s">
        <v>115</v>
      </c>
      <c r="E276" s="419">
        <v>2.3999999999999998E-3</v>
      </c>
      <c r="F276" s="103"/>
      <c r="G276" s="103"/>
      <c r="H276" s="416"/>
      <c r="I276" s="416"/>
      <c r="J276" s="422">
        <f>E276/10^($K$31)</f>
        <v>1.4897019107136261E-2</v>
      </c>
      <c r="K276" s="103" t="s">
        <v>1111</v>
      </c>
      <c r="L276" s="103" t="s">
        <v>1217</v>
      </c>
    </row>
    <row r="277" spans="2:12">
      <c r="B277" s="103" t="s">
        <v>1218</v>
      </c>
      <c r="C277" s="103" t="s">
        <v>274</v>
      </c>
      <c r="D277" s="103" t="s">
        <v>115</v>
      </c>
      <c r="E277" s="419">
        <v>4.3699999999999998E-3</v>
      </c>
      <c r="F277" s="103"/>
      <c r="G277" s="103"/>
      <c r="H277" s="416"/>
      <c r="I277" s="416"/>
      <c r="J277" s="422">
        <f>E277/10^($K$31)</f>
        <v>2.7124988957577277E-2</v>
      </c>
      <c r="K277" s="103" t="s">
        <v>1147</v>
      </c>
      <c r="L277" s="103" t="s">
        <v>1198</v>
      </c>
    </row>
    <row r="278" spans="2:12">
      <c r="B278" s="103" t="s">
        <v>1219</v>
      </c>
      <c r="C278" s="103" t="e">
        <f>_xlfn.STDEV.S(D278:D281)</f>
        <v>#DIV/0!</v>
      </c>
      <c r="D278" s="103" t="s">
        <v>653</v>
      </c>
      <c r="E278" s="418">
        <f>30.6-27.5</f>
        <v>3.1000000000000014</v>
      </c>
      <c r="F278" s="103"/>
      <c r="G278" s="103"/>
      <c r="H278" s="416"/>
      <c r="I278" s="416"/>
      <c r="J278" s="418">
        <f>E278</f>
        <v>3.1000000000000014</v>
      </c>
      <c r="K278" s="103" t="s">
        <v>1147</v>
      </c>
      <c r="L278" s="103" t="s">
        <v>1167</v>
      </c>
    </row>
    <row r="279" spans="2:12">
      <c r="B279" s="103" t="s">
        <v>1243</v>
      </c>
      <c r="C279" s="103">
        <f>COUNTA(D278:D281)</f>
        <v>4</v>
      </c>
      <c r="D279" s="103" t="s">
        <v>135</v>
      </c>
      <c r="E279" s="114">
        <f>0.0000000000149*1000</f>
        <v>1.4900000000000001E-8</v>
      </c>
      <c r="F279" s="103"/>
      <c r="G279" s="103"/>
      <c r="H279" s="416"/>
      <c r="I279" s="416"/>
      <c r="J279" s="422">
        <f>E279/10^($K$32)</f>
        <v>8.1910325530358149E-6</v>
      </c>
      <c r="K279" s="103" t="s">
        <v>1247</v>
      </c>
      <c r="L279" s="103" t="s">
        <v>1242</v>
      </c>
    </row>
    <row r="280" spans="2:12">
      <c r="B280" s="103" t="s">
        <v>1244</v>
      </c>
      <c r="C280" s="103" t="s">
        <v>274</v>
      </c>
      <c r="D280" s="330" t="s">
        <v>135</v>
      </c>
      <c r="E280" s="47">
        <f>(0.0000000000321*1000)</f>
        <v>3.2099999999999996E-8</v>
      </c>
      <c r="F280" s="103"/>
      <c r="G280" s="103"/>
      <c r="H280" s="416"/>
      <c r="I280" s="416"/>
      <c r="J280" s="422">
        <f>E280/10^($K$32)</f>
        <v>1.7646452681372456E-5</v>
      </c>
      <c r="K280" s="103" t="s">
        <v>1250</v>
      </c>
      <c r="L280" s="103" t="s">
        <v>1256</v>
      </c>
    </row>
    <row r="281" spans="2:12">
      <c r="B281" s="103" t="s">
        <v>1245</v>
      </c>
      <c r="C281" s="103" t="s">
        <v>274</v>
      </c>
      <c r="D281" s="343" t="s">
        <v>135</v>
      </c>
      <c r="E281" s="114">
        <v>6.4799999999999998E-7</v>
      </c>
      <c r="F281" s="103"/>
      <c r="G281" s="103"/>
      <c r="H281" s="416"/>
      <c r="I281" s="416"/>
      <c r="J281" s="422">
        <f>E281/10^($K$32)</f>
        <v>3.5622745599779918E-4</v>
      </c>
      <c r="K281" s="103" t="s">
        <v>1262</v>
      </c>
      <c r="L281" s="103" t="s">
        <v>1268</v>
      </c>
    </row>
    <row r="282" spans="2:12">
      <c r="B282" s="103" t="s">
        <v>1246</v>
      </c>
      <c r="C282" s="103" t="s">
        <v>274</v>
      </c>
      <c r="D282" s="103" t="s">
        <v>135</v>
      </c>
      <c r="E282" s="418">
        <f>0.015</f>
        <v>1.4999999999999999E-2</v>
      </c>
      <c r="F282" s="103"/>
      <c r="G282" s="103"/>
      <c r="H282" s="103"/>
      <c r="I282" s="103"/>
      <c r="J282" s="422">
        <f>E282/10^($K$32)</f>
        <v>8.2460059258749805</v>
      </c>
      <c r="K282" s="103" t="s">
        <v>1250</v>
      </c>
      <c r="L282" s="103" t="s">
        <v>1254</v>
      </c>
    </row>
    <row r="283" spans="2:12">
      <c r="B283" s="103" t="s">
        <v>1251</v>
      </c>
      <c r="C283" s="103" t="s">
        <v>274</v>
      </c>
      <c r="D283" s="103" t="s">
        <v>135</v>
      </c>
      <c r="E283" s="418">
        <f>AVERAGE(0.00000737,0.00000867,0.00000704,0.00000907)</f>
        <v>8.0374999999999989E-6</v>
      </c>
      <c r="F283" s="103"/>
      <c r="G283" s="103"/>
      <c r="H283" s="103"/>
      <c r="I283" s="103"/>
      <c r="J283" s="422">
        <f>E283/10^($K$32)</f>
        <v>4.4184848419480099E-3</v>
      </c>
      <c r="K283" s="103" t="s">
        <v>1258</v>
      </c>
      <c r="L283" s="103" t="s">
        <v>1259</v>
      </c>
    </row>
    <row r="284" spans="2:12">
      <c r="B284" s="103" t="s">
        <v>1261</v>
      </c>
      <c r="C284" s="103" t="s">
        <v>274</v>
      </c>
      <c r="D284" s="103" t="s">
        <v>135</v>
      </c>
      <c r="E284" s="419">
        <v>2.0999999999999999E-5</v>
      </c>
      <c r="F284" s="103">
        <v>22</v>
      </c>
      <c r="G284" s="103">
        <f>273.15+F284</f>
        <v>295.14999999999998</v>
      </c>
      <c r="H284" s="372" cm="1">
        <f t="array" aca="1" ref="H284" ca="1">VLOOKUP(D284,Table245[[Compound Name]:[∆OWU SD]],INDIRECT("RAVs!$"&amp;VLOOKUP(C284,$N$45:$P$50,3,FALSE)&amp;"$1")+1,FALSE)*1000</f>
        <v>30904.759201741701</v>
      </c>
      <c r="I284" s="416">
        <f ca="1">EXP(LN(E284)-H284/8.314*(1/$J$46-1/G284))</f>
        <v>2.3837178270921712E-5</v>
      </c>
      <c r="J284" s="422">
        <f ca="1">I284/10^($K$32)</f>
        <v>1.3104100885210584E-2</v>
      </c>
      <c r="K284" s="103" t="s">
        <v>1269</v>
      </c>
      <c r="L284" s="103" t="s">
        <v>1253</v>
      </c>
    </row>
    <row r="285" spans="2:12">
      <c r="B285" s="103" t="s">
        <v>1271</v>
      </c>
      <c r="C285" s="103" t="s">
        <v>653</v>
      </c>
      <c r="D285" s="103" t="s">
        <v>135</v>
      </c>
      <c r="E285" s="418">
        <f>66.6-28.79</f>
        <v>37.809999999999995</v>
      </c>
      <c r="F285" s="103"/>
      <c r="G285" s="103"/>
      <c r="H285" s="416"/>
      <c r="I285" s="416"/>
      <c r="J285" s="418">
        <f>E285</f>
        <v>37.809999999999995</v>
      </c>
      <c r="K285" s="103" t="s">
        <v>1264</v>
      </c>
      <c r="L285" s="103" t="s">
        <v>1265</v>
      </c>
    </row>
    <row r="286" spans="2:12">
      <c r="B286" s="103" t="s">
        <v>1273</v>
      </c>
      <c r="C286" s="103" t="s">
        <v>274</v>
      </c>
      <c r="D286" s="103" t="s">
        <v>135</v>
      </c>
      <c r="E286" s="419">
        <v>7.9000000000000006E-6</v>
      </c>
      <c r="F286" s="103"/>
      <c r="G286" s="103"/>
      <c r="H286" s="416"/>
      <c r="I286" s="416"/>
      <c r="J286" s="422">
        <f>E286/10^($K$32)</f>
        <v>4.3428964542941567E-3</v>
      </c>
      <c r="K286" s="103" t="s">
        <v>1274</v>
      </c>
      <c r="L286" s="103" t="s">
        <v>1253</v>
      </c>
    </row>
    <row r="287" spans="2:12">
      <c r="B287" s="103" t="s">
        <v>1278</v>
      </c>
      <c r="C287" s="103" t="s">
        <v>191</v>
      </c>
      <c r="D287" s="103" t="s">
        <v>135</v>
      </c>
      <c r="E287" s="419">
        <v>5.2999999999999998E-8</v>
      </c>
      <c r="F287" s="103"/>
      <c r="G287" s="103"/>
      <c r="H287" s="103"/>
      <c r="I287" s="103"/>
      <c r="J287" s="422">
        <f>E287/10^($K$32)</f>
        <v>2.9135887604758263E-5</v>
      </c>
      <c r="K287" s="103" t="s">
        <v>1284</v>
      </c>
      <c r="L287" s="103" t="s">
        <v>1198</v>
      </c>
    </row>
    <row r="288" spans="2:12">
      <c r="B288" s="103" t="s">
        <v>1283</v>
      </c>
      <c r="C288" s="103" t="s">
        <v>502</v>
      </c>
      <c r="D288" s="103" t="s">
        <v>135</v>
      </c>
      <c r="E288" s="418">
        <f>4.184*29.1</f>
        <v>121.7544</v>
      </c>
      <c r="F288" s="103"/>
      <c r="G288" s="103"/>
      <c r="H288" s="416"/>
      <c r="I288" s="416"/>
      <c r="J288" s="427">
        <f>E288-'Table S3 Literature Values'!$AP$355*'Table S3 Literature Values'!$AS$355/1000</f>
        <v>104.73474906958364</v>
      </c>
      <c r="K288" s="103" t="s">
        <v>1284</v>
      </c>
      <c r="L288" s="103" t="s">
        <v>1281</v>
      </c>
    </row>
    <row r="289" spans="2:12">
      <c r="B289" s="103" t="s">
        <v>1285</v>
      </c>
      <c r="C289" s="103" t="s">
        <v>191</v>
      </c>
      <c r="D289" s="103" t="s">
        <v>135</v>
      </c>
      <c r="E289" s="418" t="s">
        <v>1623</v>
      </c>
      <c r="F289" s="103"/>
      <c r="G289" s="103"/>
      <c r="H289" s="416"/>
      <c r="I289" s="416"/>
      <c r="J289" s="418" t="s">
        <v>1623</v>
      </c>
      <c r="K289" s="103" t="s">
        <v>1321</v>
      </c>
      <c r="L289" s="103" t="s">
        <v>1324</v>
      </c>
    </row>
    <row r="290" spans="2:12">
      <c r="B290" s="103" t="s">
        <v>1287</v>
      </c>
      <c r="C290" s="103" t="s">
        <v>281</v>
      </c>
      <c r="D290" s="103" t="s">
        <v>135</v>
      </c>
      <c r="E290" s="419">
        <v>11.19</v>
      </c>
      <c r="F290" s="103"/>
      <c r="G290" s="103"/>
      <c r="H290" s="416"/>
      <c r="I290" s="416"/>
      <c r="J290" s="422">
        <f>E290</f>
        <v>11.19</v>
      </c>
      <c r="K290" s="103" t="s">
        <v>1250</v>
      </c>
      <c r="L290" s="103" t="s">
        <v>1286</v>
      </c>
    </row>
    <row r="291" spans="2:12">
      <c r="B291" s="103" t="s">
        <v>1298</v>
      </c>
      <c r="C291" s="103" t="s">
        <v>281</v>
      </c>
      <c r="D291" s="103" t="s">
        <v>135</v>
      </c>
      <c r="E291" s="418">
        <v>8.36</v>
      </c>
      <c r="F291" s="103"/>
      <c r="G291" s="103"/>
      <c r="H291" s="416"/>
      <c r="I291" s="416"/>
      <c r="J291" s="418">
        <f>AVERAGE(8.38,8.37,8.41,8.28)</f>
        <v>8.36</v>
      </c>
      <c r="K291" s="103" t="s">
        <v>1258</v>
      </c>
      <c r="L291" s="103" t="s">
        <v>1295</v>
      </c>
    </row>
    <row r="292" spans="2:12">
      <c r="B292" s="103" t="s">
        <v>1299</v>
      </c>
      <c r="C292" s="103" t="s">
        <v>281</v>
      </c>
      <c r="D292" s="103" t="s">
        <v>135</v>
      </c>
      <c r="E292" s="418">
        <v>9.6</v>
      </c>
      <c r="F292" s="103"/>
      <c r="G292" s="103"/>
      <c r="H292" s="416"/>
      <c r="I292" s="416"/>
      <c r="J292" s="418">
        <f>E292</f>
        <v>9.6</v>
      </c>
      <c r="K292" s="103" t="s">
        <v>1297</v>
      </c>
      <c r="L292" s="103" t="s">
        <v>1304</v>
      </c>
    </row>
    <row r="293" spans="2:12">
      <c r="B293" s="103" t="s">
        <v>1307</v>
      </c>
      <c r="C293" s="103" t="s">
        <v>1209</v>
      </c>
      <c r="D293" s="103" t="s">
        <v>135</v>
      </c>
      <c r="E293" s="419">
        <f>10^11.96</f>
        <v>912010839355.91248</v>
      </c>
      <c r="F293" s="103">
        <v>20</v>
      </c>
      <c r="G293" s="103">
        <f>273.15+F293</f>
        <v>293.14999999999998</v>
      </c>
      <c r="H293" s="372" cm="1">
        <f t="array" aca="1" ref="H293" ca="1">VLOOKUP(D293,Table245[[Compound Name]:[∆OWU SD]],INDIRECT("RAVs!$"&amp;VLOOKUP(C293,$N$45:$P$50,3,FALSE)&amp;"$1")+1,FALSE)*1000</f>
        <v>-98067.923463510801</v>
      </c>
      <c r="I293" s="103"/>
      <c r="J293" s="422">
        <f ca="1">EXP(LN(E293)-H293/8.314*(1/$J$46-1/G293))</f>
        <v>464458308413.81122</v>
      </c>
      <c r="K293" s="103" t="s">
        <v>1325</v>
      </c>
      <c r="L293" s="103"/>
    </row>
    <row r="294" spans="2:12">
      <c r="B294" s="103" t="s">
        <v>1309</v>
      </c>
      <c r="C294" s="103" t="s">
        <v>274</v>
      </c>
      <c r="D294" s="103" t="s">
        <v>129</v>
      </c>
      <c r="E294" s="418">
        <v>6.7500000000000004E-2</v>
      </c>
      <c r="F294" s="103"/>
      <c r="G294" s="103"/>
      <c r="H294" s="416"/>
      <c r="I294" s="416"/>
      <c r="J294" s="422">
        <f>E294/10^($K$33)</f>
        <v>0.10373514387966287</v>
      </c>
      <c r="K294" s="103" t="s">
        <v>1250</v>
      </c>
      <c r="L294" s="103" t="s">
        <v>1625</v>
      </c>
    </row>
    <row r="295" spans="2:12">
      <c r="B295" s="103" t="s">
        <v>1310</v>
      </c>
      <c r="C295" s="103" t="s">
        <v>274</v>
      </c>
      <c r="D295" s="103" t="s">
        <v>129</v>
      </c>
      <c r="E295" s="418">
        <f>AVERAGE(0.016,0.0157,0.0172,0.0202)</f>
        <v>1.7274999999999999E-2</v>
      </c>
      <c r="F295" s="103"/>
      <c r="G295" s="103"/>
      <c r="H295" s="416"/>
      <c r="I295" s="416"/>
      <c r="J295" s="422">
        <f>E295/10^($K$33)</f>
        <v>2.6548512748461865E-2</v>
      </c>
      <c r="K295" s="103" t="s">
        <v>1258</v>
      </c>
      <c r="L295" s="103" t="s">
        <v>1626</v>
      </c>
    </row>
    <row r="296" spans="2:12">
      <c r="B296" s="103" t="s">
        <v>1311</v>
      </c>
      <c r="C296" s="103" t="s">
        <v>274</v>
      </c>
      <c r="D296" s="103" t="s">
        <v>129</v>
      </c>
      <c r="E296" s="419">
        <v>5.4100000000000002E-2</v>
      </c>
      <c r="F296" s="103">
        <v>22</v>
      </c>
      <c r="G296" s="103">
        <f>273.15+F296</f>
        <v>295.14999999999998</v>
      </c>
      <c r="H296" s="372" cm="1">
        <f t="array" aca="1" ref="H296" ca="1">VLOOKUP(D296,Table245[[Compound Name]:[∆OWU SD]],INDIRECT("RAVs!$"&amp;VLOOKUP(C296,$N$45:$P$50,3,FALSE)&amp;"$1")+1,FALSE)*1000</f>
        <v>30096.469132255399</v>
      </c>
      <c r="I296" s="416">
        <f ca="1">EXP(LN(E296)-H296/8.314*(1/$J$46-1/G296))</f>
        <v>6.1205916094859952E-2</v>
      </c>
      <c r="J296" s="422">
        <f>E296/10^($K$33)</f>
        <v>8.3141796798366835E-2</v>
      </c>
      <c r="K296" s="103" t="s">
        <v>1269</v>
      </c>
      <c r="L296" s="103" t="s">
        <v>1253</v>
      </c>
    </row>
    <row r="297" spans="2:12">
      <c r="B297" s="103" t="s">
        <v>1314</v>
      </c>
      <c r="C297" s="103" t="s">
        <v>274</v>
      </c>
      <c r="D297" s="103" t="s">
        <v>129</v>
      </c>
      <c r="E297" s="416">
        <v>0.41499359999999996</v>
      </c>
      <c r="F297" s="103"/>
      <c r="G297" s="103"/>
      <c r="H297" s="416"/>
      <c r="I297" s="416"/>
      <c r="J297" s="416">
        <v>0.41499359999999996</v>
      </c>
      <c r="K297" s="103" t="s">
        <v>1317</v>
      </c>
      <c r="L297" s="103" t="s">
        <v>1318</v>
      </c>
    </row>
    <row r="298" spans="2:12">
      <c r="B298" s="103" t="s">
        <v>1322</v>
      </c>
      <c r="C298" s="103" t="s">
        <v>191</v>
      </c>
      <c r="D298" s="103" t="s">
        <v>129</v>
      </c>
      <c r="E298" s="419">
        <v>-2.9393021596463882</v>
      </c>
      <c r="F298" s="103"/>
      <c r="G298" s="103"/>
      <c r="H298" s="416"/>
      <c r="I298" s="416"/>
      <c r="J298" s="419">
        <v>-2.9393021596463882</v>
      </c>
      <c r="K298" s="103" t="s">
        <v>1327</v>
      </c>
      <c r="L298" s="103" t="s">
        <v>1328</v>
      </c>
    </row>
    <row r="299" spans="2:12">
      <c r="B299" s="103" t="s">
        <v>1331</v>
      </c>
      <c r="C299" s="103" t="s">
        <v>191</v>
      </c>
      <c r="D299" s="103" t="s">
        <v>129</v>
      </c>
      <c r="E299" s="418">
        <f>AVERAGE(-1.94,-1.79)</f>
        <v>-1.865</v>
      </c>
      <c r="F299" s="103"/>
      <c r="G299" s="103"/>
      <c r="H299" s="416"/>
      <c r="I299" s="416"/>
      <c r="J299" s="418">
        <f>E299</f>
        <v>-1.865</v>
      </c>
      <c r="K299" s="103" t="s">
        <v>1332</v>
      </c>
      <c r="L299" s="103" t="s">
        <v>1333</v>
      </c>
    </row>
    <row r="300" spans="2:12">
      <c r="B300" s="103" t="s">
        <v>1270</v>
      </c>
      <c r="C300" s="103" t="s">
        <v>1209</v>
      </c>
      <c r="D300" s="103" t="s">
        <v>129</v>
      </c>
      <c r="E300" s="419">
        <f>10^8.56</f>
        <v>363078054.77010262</v>
      </c>
      <c r="F300" s="103">
        <v>20</v>
      </c>
      <c r="G300" s="103">
        <f>273.15+F300</f>
        <v>293.14999999999998</v>
      </c>
      <c r="H300" s="372" cm="1">
        <f t="array" aca="1" ref="H300" ca="1">VLOOKUP(D300,Table245[[Compound Name]:[∆OWU SD]],INDIRECT("RAVs!$"&amp;VLOOKUP(C300,$N$45:$P$50,3,FALSE)&amp;"$1")+1,FALSE)*1000</f>
        <v>-75910.517231461403</v>
      </c>
      <c r="I300" s="422">
        <f ca="1">EXP(LN(E300)-H300/8.314*(1/$J$46-1/G300))</f>
        <v>215357008.61420843</v>
      </c>
      <c r="J300" s="332">
        <f ca="1">LOG(I300)</f>
        <v>8.3331590100802622</v>
      </c>
      <c r="K300" s="103" t="s">
        <v>1325</v>
      </c>
      <c r="L300" s="103" t="s">
        <v>1326</v>
      </c>
    </row>
    <row r="301" spans="2:12">
      <c r="B301" s="103" t="s">
        <v>1340</v>
      </c>
      <c r="C301" s="103" t="s">
        <v>281</v>
      </c>
      <c r="D301" s="103" t="s">
        <v>129</v>
      </c>
      <c r="E301" s="419">
        <f>AVERAGE(5.93,6.04,5.86,5.94)</f>
        <v>5.9424999999999999</v>
      </c>
      <c r="F301" s="103"/>
      <c r="G301" s="103"/>
      <c r="H301" s="416"/>
      <c r="I301" s="422"/>
      <c r="J301" s="416">
        <f>E301</f>
        <v>5.9424999999999999</v>
      </c>
      <c r="K301" s="103" t="s">
        <v>1258</v>
      </c>
      <c r="L301" s="103" t="s">
        <v>1295</v>
      </c>
    </row>
    <row r="302" spans="2:12">
      <c r="B302" s="103" t="s">
        <v>1344</v>
      </c>
      <c r="C302" s="103" t="s">
        <v>1343</v>
      </c>
      <c r="D302" s="103" t="s">
        <v>118</v>
      </c>
      <c r="E302" s="418">
        <v>13.9</v>
      </c>
      <c r="F302" s="103">
        <v>11</v>
      </c>
      <c r="G302" s="103">
        <f>273.15+F302</f>
        <v>284.14999999999998</v>
      </c>
      <c r="H302" s="372" cm="1">
        <f t="array" aca="1" ref="H302" ca="1">VLOOKUP(D302,Table245[[Compound Name]:[∆OWU SD]],INDIRECT("RAVs!$"&amp;VLOOKUP(C302,$N$45:$P$50,3,FALSE)&amp;"$1")+1,FALSE)*1000</f>
        <v>38857.509926811705</v>
      </c>
      <c r="I302" s="103"/>
      <c r="J302" s="427">
        <f ca="1">EXP(LN(E302)-H302/8.314*(1/$J$46-1/G302))</f>
        <v>30.091187710091109</v>
      </c>
      <c r="K302" s="103" t="s">
        <v>1342</v>
      </c>
      <c r="L302" s="103" t="s">
        <v>1349</v>
      </c>
    </row>
    <row r="303" spans="2:12">
      <c r="B303" s="103" t="s">
        <v>1345</v>
      </c>
      <c r="C303" s="103" t="s">
        <v>1343</v>
      </c>
      <c r="D303" s="103" t="s">
        <v>122</v>
      </c>
      <c r="E303" s="418">
        <v>31.8</v>
      </c>
      <c r="F303" s="103">
        <v>11</v>
      </c>
      <c r="G303" s="103">
        <f>273.15+F303</f>
        <v>284.14999999999998</v>
      </c>
      <c r="H303" s="372" cm="1">
        <f t="array" aca="1" ref="H303" ca="1">VLOOKUP(D303,Table245[[Compound Name]:[∆OWU SD]],INDIRECT("RAVs!$"&amp;VLOOKUP(C303,$N$45:$P$50,3,FALSE)&amp;"$1")+1,FALSE)*1000</f>
        <v>48298.530719676899</v>
      </c>
      <c r="I303" s="103"/>
      <c r="J303" s="427">
        <f ca="1">EXP(LN(E303)-H303/8.314*(1/$J$46-1/G303))</f>
        <v>83.051622501545253</v>
      </c>
      <c r="K303" s="103" t="s">
        <v>1342</v>
      </c>
      <c r="L303" s="103" t="s">
        <v>1349</v>
      </c>
    </row>
    <row r="304" spans="2:12">
      <c r="B304" s="103" t="s">
        <v>1347</v>
      </c>
      <c r="C304" s="103" t="s">
        <v>274</v>
      </c>
      <c r="D304" s="103" t="s">
        <v>118</v>
      </c>
      <c r="E304" s="418">
        <f>AVERAGE(0.447,0.408,0.235,0.246)</f>
        <v>0.33399999999999996</v>
      </c>
      <c r="F304" s="103"/>
      <c r="G304" s="103"/>
      <c r="H304" s="416"/>
      <c r="I304" s="416"/>
      <c r="J304" s="422">
        <f>E304/10^($K$34)</f>
        <v>1.3532398556821623</v>
      </c>
      <c r="K304" s="103" t="s">
        <v>1258</v>
      </c>
      <c r="L304" s="103" t="s">
        <v>1366</v>
      </c>
    </row>
    <row r="305" spans="2:21">
      <c r="B305" s="103" t="s">
        <v>1348</v>
      </c>
      <c r="C305" s="103" t="s">
        <v>191</v>
      </c>
      <c r="D305" s="103" t="s">
        <v>118</v>
      </c>
      <c r="E305" s="417">
        <f>LOG(10^(9.86-3970/298.1)*133.322)</f>
        <v>-1.3327768113234066</v>
      </c>
      <c r="F305" s="103"/>
      <c r="G305" s="103"/>
      <c r="H305" s="103"/>
      <c r="I305" s="103"/>
      <c r="J305" s="417">
        <f>E305</f>
        <v>-1.3327768113234066</v>
      </c>
      <c r="K305" s="103" t="s">
        <v>1628</v>
      </c>
      <c r="L305" s="103" t="s">
        <v>1353</v>
      </c>
    </row>
    <row r="306" spans="2:21">
      <c r="B306" s="103" t="s">
        <v>1354</v>
      </c>
      <c r="C306" s="103" t="s">
        <v>191</v>
      </c>
      <c r="D306" s="103" t="s">
        <v>118</v>
      </c>
      <c r="E306" s="418">
        <f>AVERAGE(-0.86,-1.03)</f>
        <v>-0.94500000000000006</v>
      </c>
      <c r="F306" s="103"/>
      <c r="G306" s="103"/>
      <c r="H306" s="103"/>
      <c r="I306" s="103"/>
      <c r="J306" s="418">
        <f>E306</f>
        <v>-0.94500000000000006</v>
      </c>
      <c r="K306" s="103" t="s">
        <v>1332</v>
      </c>
      <c r="L306" s="103" t="s">
        <v>1333</v>
      </c>
    </row>
    <row r="307" spans="2:21">
      <c r="B307" s="103" t="s">
        <v>1356</v>
      </c>
      <c r="C307" s="103" t="s">
        <v>191</v>
      </c>
      <c r="D307" s="103" t="s">
        <v>118</v>
      </c>
      <c r="E307" s="418">
        <f>AVERAGE(3.38,3.14)</f>
        <v>3.26</v>
      </c>
      <c r="F307" s="103"/>
      <c r="G307" s="103"/>
      <c r="H307" s="103"/>
      <c r="I307" s="103"/>
      <c r="J307" s="418">
        <f>E307</f>
        <v>3.26</v>
      </c>
      <c r="K307" s="103" t="s">
        <v>1332</v>
      </c>
      <c r="L307" s="103" t="s">
        <v>1333</v>
      </c>
    </row>
    <row r="308" spans="2:21">
      <c r="B308" s="103" t="s">
        <v>1357</v>
      </c>
      <c r="C308" s="103" t="s">
        <v>281</v>
      </c>
      <c r="D308" s="103" t="s">
        <v>118</v>
      </c>
      <c r="E308" s="419">
        <f>AVERAGE(4.88,5.06,5.03,5.19)</f>
        <v>5.04</v>
      </c>
      <c r="F308" s="103"/>
      <c r="G308" s="103"/>
      <c r="H308" s="416"/>
      <c r="I308" s="422"/>
      <c r="J308" s="419">
        <f>E308</f>
        <v>5.04</v>
      </c>
      <c r="K308" s="103" t="s">
        <v>1258</v>
      </c>
      <c r="L308" s="103" t="s">
        <v>1295</v>
      </c>
    </row>
    <row r="309" spans="2:21">
      <c r="B309" s="103" t="s">
        <v>1359</v>
      </c>
      <c r="C309" s="103" t="s">
        <v>274</v>
      </c>
      <c r="D309" s="103" t="s">
        <v>120</v>
      </c>
      <c r="E309" s="418">
        <v>0.129</v>
      </c>
      <c r="F309" s="103"/>
      <c r="G309" s="103"/>
      <c r="H309" s="416"/>
      <c r="I309" s="416"/>
      <c r="J309" s="422">
        <f>E309/10^($K$35)</f>
        <v>0.26644608852275198</v>
      </c>
      <c r="K309" s="103" t="s">
        <v>1258</v>
      </c>
      <c r="L309" s="103" t="s">
        <v>1361</v>
      </c>
    </row>
    <row r="310" spans="2:21">
      <c r="B310" s="103" t="s">
        <v>1360</v>
      </c>
      <c r="C310" s="103" t="s">
        <v>281</v>
      </c>
      <c r="D310" s="103" t="s">
        <v>122</v>
      </c>
      <c r="E310" s="418">
        <f>AVERAGE(6.44,6.49,6.33,6.35)</f>
        <v>6.4024999999999999</v>
      </c>
      <c r="F310" s="103"/>
      <c r="G310" s="103"/>
      <c r="H310" s="103"/>
      <c r="I310" s="103"/>
      <c r="J310" s="418">
        <f>E310</f>
        <v>6.4024999999999999</v>
      </c>
      <c r="K310" s="103" t="s">
        <v>1258</v>
      </c>
      <c r="L310" s="103" t="s">
        <v>1368</v>
      </c>
    </row>
    <row r="311" spans="2:21">
      <c r="B311" s="103" t="s">
        <v>1365</v>
      </c>
      <c r="C311" s="103" t="s">
        <v>274</v>
      </c>
      <c r="D311" s="103" t="s">
        <v>125</v>
      </c>
      <c r="E311" s="418">
        <f>AVERAGE(0.0406,0.102,0.093,0.0974)</f>
        <v>8.3250000000000005E-2</v>
      </c>
      <c r="F311" s="103"/>
      <c r="G311" s="103"/>
      <c r="H311" s="103"/>
      <c r="I311" s="103"/>
      <c r="J311" s="422">
        <f>E311/10^($K$36)</f>
        <v>9.1435206249058223E-2</v>
      </c>
      <c r="K311" s="103" t="s">
        <v>1258</v>
      </c>
      <c r="L311" s="103" t="s">
        <v>1366</v>
      </c>
    </row>
    <row r="312" spans="2:21">
      <c r="B312" s="103" t="s">
        <v>1369</v>
      </c>
      <c r="C312" s="103" t="s">
        <v>274</v>
      </c>
      <c r="D312" s="103" t="s">
        <v>125</v>
      </c>
      <c r="E312" s="418">
        <v>0.35399999999999998</v>
      </c>
      <c r="F312" s="103"/>
      <c r="G312" s="103"/>
      <c r="H312" s="416"/>
      <c r="I312" s="416"/>
      <c r="J312" s="422">
        <f>E312/10^($K$36)</f>
        <v>0.38880556170770703</v>
      </c>
      <c r="K312" s="103" t="s">
        <v>1370</v>
      </c>
      <c r="L312" s="103" t="s">
        <v>1192</v>
      </c>
    </row>
    <row r="313" spans="2:21">
      <c r="B313" s="103" t="s">
        <v>1372</v>
      </c>
      <c r="C313" s="103" t="s">
        <v>281</v>
      </c>
      <c r="D313" s="103" t="s">
        <v>125</v>
      </c>
      <c r="E313" s="418">
        <f>AVERAGE(5.3,5.39,5.22,5.18)</f>
        <v>5.2725</v>
      </c>
      <c r="F313" s="103"/>
      <c r="G313" s="103"/>
      <c r="H313" s="416"/>
      <c r="I313" s="416"/>
      <c r="J313" s="418">
        <f>E313</f>
        <v>5.2725</v>
      </c>
      <c r="K313" s="103" t="s">
        <v>1258</v>
      </c>
      <c r="L313" s="103" t="s">
        <v>1368</v>
      </c>
    </row>
    <row r="314" spans="2:21">
      <c r="B314" s="103" t="s">
        <v>1632</v>
      </c>
      <c r="C314" s="103" t="s">
        <v>191</v>
      </c>
      <c r="D314" s="103" t="s">
        <v>133</v>
      </c>
      <c r="E314" s="419">
        <v>1.3499999999999999E-5</v>
      </c>
      <c r="F314" s="103">
        <v>20</v>
      </c>
      <c r="G314" s="103">
        <f>273.15+F314</f>
        <v>293.14999999999998</v>
      </c>
      <c r="H314" s="372" cm="1">
        <f t="array" aca="1" ref="H314" ca="1">VLOOKUP(D314,Table245[[Compound Name]:[∆OWU SD]],INDIRECT("RAVs!$"&amp;VLOOKUP(C314,$N$45:$P$50,3,FALSE)&amp;"$1")+1,FALSE)*1000</f>
        <v>87889.230061775103</v>
      </c>
      <c r="I314" s="422">
        <f ca="1">EXP(LN(E314)-H314/8.314*(1/$J$46-1/G314))</f>
        <v>2.4715554923999692E-5</v>
      </c>
      <c r="J314" s="416">
        <f ca="1">LOG(I314)</f>
        <v>-4.6070296341319761</v>
      </c>
      <c r="K314" s="103" t="s">
        <v>1638</v>
      </c>
      <c r="L314" s="103" t="s">
        <v>1211</v>
      </c>
    </row>
    <row r="315" spans="2:21">
      <c r="B315" s="103" t="s">
        <v>1633</v>
      </c>
      <c r="C315" s="103" t="s">
        <v>191</v>
      </c>
      <c r="D315" s="103" t="s">
        <v>133</v>
      </c>
      <c r="E315" s="423">
        <f>LOG(AVERAGE(0.000417,0.000724))</f>
        <v>-3.2437443512457667</v>
      </c>
      <c r="F315" s="103"/>
      <c r="G315" s="103"/>
      <c r="H315" s="416"/>
      <c r="I315" s="416"/>
      <c r="J315" s="418">
        <f>E315</f>
        <v>-3.2437443512457667</v>
      </c>
      <c r="K315" s="103" t="s">
        <v>1332</v>
      </c>
      <c r="L315" s="103" t="s">
        <v>1333</v>
      </c>
    </row>
    <row r="316" spans="2:21">
      <c r="B316" s="103" t="s">
        <v>1634</v>
      </c>
      <c r="C316" s="103" t="s">
        <v>1209</v>
      </c>
      <c r="D316" s="103" t="s">
        <v>131</v>
      </c>
      <c r="E316" s="418">
        <f>10^10.06</f>
        <v>11481536214.968866</v>
      </c>
      <c r="F316" s="103">
        <v>20</v>
      </c>
      <c r="G316" s="103">
        <f>273.15+F316</f>
        <v>293.14999999999998</v>
      </c>
      <c r="H316" s="372" cm="1">
        <f t="array" aca="1" ref="H316" ca="1">VLOOKUP(D316,Table245[[Compound Name]:[∆OWU SD]],INDIRECT("RAVs!$"&amp;VLOOKUP(C316,$N$45:$P$50,3,FALSE)&amp;"$1")+1,FALSE)*1000</f>
        <v>-84371.961581768206</v>
      </c>
      <c r="I316" s="422">
        <f ca="1">EXP(LN(E316)-H316/8.314*(1/$J$46-1/G316))</f>
        <v>6425012018.9780331</v>
      </c>
      <c r="J316" s="416">
        <f ca="1">LOG(I316)</f>
        <v>9.807873944419045</v>
      </c>
      <c r="K316" s="103" t="s">
        <v>1325</v>
      </c>
      <c r="L316" s="103" t="s">
        <v>1326</v>
      </c>
    </row>
    <row r="317" spans="2:21">
      <c r="B317" s="103" t="s">
        <v>1635</v>
      </c>
      <c r="C317" s="103" t="s">
        <v>1343</v>
      </c>
      <c r="D317" s="103" t="s">
        <v>79</v>
      </c>
      <c r="E317" s="418">
        <v>8.3800000000000008</v>
      </c>
      <c r="F317" s="103"/>
      <c r="G317" s="103"/>
      <c r="H317" s="103"/>
      <c r="I317" s="103"/>
      <c r="J317" s="103">
        <f>E317</f>
        <v>8.3800000000000008</v>
      </c>
      <c r="K317" s="103" t="s">
        <v>1673</v>
      </c>
      <c r="L317" s="103" t="s">
        <v>1667</v>
      </c>
    </row>
    <row r="318" spans="2:21">
      <c r="B318" s="103" t="s">
        <v>1374</v>
      </c>
      <c r="C318" s="103" t="s">
        <v>1209</v>
      </c>
      <c r="D318" s="103" t="s">
        <v>125</v>
      </c>
      <c r="E318" s="418">
        <f>10^7.9</f>
        <v>79432823.472428367</v>
      </c>
      <c r="F318" s="103">
        <v>20</v>
      </c>
      <c r="G318" s="103">
        <f>273.15+F318</f>
        <v>293.14999999999998</v>
      </c>
      <c r="H318" s="372" cm="1">
        <f t="array" aca="1" ref="H318" ca="1">VLOOKUP(D318,Table245[[Compound Name]:[∆OWU SD]],INDIRECT("RAVs!$"&amp;VLOOKUP(C318,$N$45:$P$50,3,FALSE)&amp;"$1")+1,FALSE)*1000</f>
        <v>-67527.959058494205</v>
      </c>
      <c r="I318" s="422">
        <f ca="1">EXP(LN(E318)-H318/8.314*(1/$J$46-1/G318))</f>
        <v>49912387.310967587</v>
      </c>
      <c r="J318" s="416">
        <f ca="1">LOG(I318)</f>
        <v>7.6982083426808776</v>
      </c>
      <c r="K318" s="103" t="s">
        <v>1325</v>
      </c>
      <c r="L318" s="103" t="s">
        <v>1326</v>
      </c>
      <c r="T318" s="74"/>
      <c r="U318" s="74"/>
    </row>
    <row r="319" spans="2:21">
      <c r="B319" s="103" t="s">
        <v>1376</v>
      </c>
      <c r="C319" s="103" t="s">
        <v>274</v>
      </c>
      <c r="D319" s="103" t="s">
        <v>122</v>
      </c>
      <c r="E319" s="418">
        <f>AVERAGE(0.00326,0.00375,0.00411,0.00529)</f>
        <v>4.1025000000000002E-3</v>
      </c>
      <c r="F319" s="103"/>
      <c r="G319" s="103"/>
      <c r="H319" s="416"/>
      <c r="I319" s="416"/>
      <c r="J319" s="422">
        <f>E319/10^($K$37)</f>
        <v>1.2361425778730393E-2</v>
      </c>
      <c r="K319" s="103" t="s">
        <v>1258</v>
      </c>
      <c r="L319" s="103" t="s">
        <v>1366</v>
      </c>
      <c r="T319" s="74"/>
      <c r="U319" s="74"/>
    </row>
    <row r="320" spans="2:21">
      <c r="B320" s="103" t="s">
        <v>1378</v>
      </c>
      <c r="C320" s="103" t="s">
        <v>274</v>
      </c>
      <c r="D320" s="103" t="s">
        <v>127</v>
      </c>
      <c r="E320" s="418">
        <v>1.1999999999999999E-3</v>
      </c>
      <c r="F320" s="103"/>
      <c r="G320" s="103"/>
      <c r="H320" s="416"/>
      <c r="I320" s="416"/>
      <c r="J320" s="422">
        <f>E320/10^($K$38)</f>
        <v>1.0943190534265028E-2</v>
      </c>
      <c r="K320" s="103" t="s">
        <v>1258</v>
      </c>
      <c r="L320" s="103" t="s">
        <v>1366</v>
      </c>
      <c r="T320" s="74"/>
      <c r="U320" s="74"/>
    </row>
    <row r="321" spans="2:21">
      <c r="B321" s="103" t="s">
        <v>1379</v>
      </c>
      <c r="C321" s="103" t="s">
        <v>274</v>
      </c>
      <c r="D321" s="103" t="s">
        <v>127</v>
      </c>
      <c r="E321" s="418">
        <v>1.1999999999999999E-3</v>
      </c>
      <c r="F321" s="103">
        <v>20</v>
      </c>
      <c r="G321" s="103">
        <f>273.15+F321</f>
        <v>293.14999999999998</v>
      </c>
      <c r="H321" s="372" cm="1">
        <f t="array" aca="1" ref="H321" ca="1">VLOOKUP(D321,Table245[[Compound Name]:[∆OWU SD]],INDIRECT("RAVs!$"&amp;VLOOKUP(C321,$N$45:$P$50,3,FALSE)&amp;"$1")+1,FALSE)*1000</f>
        <v>17298.462326776298</v>
      </c>
      <c r="I321" s="103"/>
      <c r="J321" s="422">
        <f ca="1">EXP(LN(E321)-H321/8.314*(1/$J$46-1/G321))</f>
        <v>1.3516793908310201E-3</v>
      </c>
      <c r="K321" s="103" t="s">
        <v>1636</v>
      </c>
      <c r="L321" s="103"/>
      <c r="T321" s="74"/>
      <c r="U321" s="74"/>
    </row>
    <row r="322" spans="2:21">
      <c r="B322" s="103" t="s">
        <v>1385</v>
      </c>
      <c r="C322" s="103" t="s">
        <v>191</v>
      </c>
      <c r="D322" s="103" t="s">
        <v>127</v>
      </c>
      <c r="E322" s="419">
        <v>2.63E-4</v>
      </c>
      <c r="F322" s="103">
        <v>20</v>
      </c>
      <c r="G322" s="103">
        <f>273.15+F322</f>
        <v>293.14999999999998</v>
      </c>
      <c r="H322" s="372" cm="1">
        <f t="array" aca="1" ref="H322" ca="1">VLOOKUP(D322,Table245[[Compound Name]:[∆OWU SD]],INDIRECT("RAVs!$"&amp;VLOOKUP(C322,$N$45:$P$50,3,FALSE)&amp;"$1")+1,FALSE)*1000</f>
        <v>85072.838962864902</v>
      </c>
      <c r="I322" s="422">
        <f ca="1">EXP(LN(E322)-H322/8.314*(1/$J$46-1/G322))</f>
        <v>4.7225461831782768E-4</v>
      </c>
      <c r="J322" s="416">
        <f ca="1">LOG(I322)</f>
        <v>-3.3258237862909548</v>
      </c>
      <c r="K322" s="103" t="s">
        <v>1636</v>
      </c>
      <c r="L322" s="103"/>
    </row>
    <row r="323" spans="2:21">
      <c r="B323" s="103" t="s">
        <v>1386</v>
      </c>
      <c r="C323" s="103" t="s">
        <v>281</v>
      </c>
      <c r="D323" s="103" t="s">
        <v>127</v>
      </c>
      <c r="E323" s="418">
        <f>AVERAGE(6.97,6.38,6.41,6.44)</f>
        <v>6.55</v>
      </c>
      <c r="F323" s="103"/>
      <c r="G323" s="103"/>
      <c r="H323" s="416"/>
      <c r="I323" s="416"/>
      <c r="J323" s="418">
        <f>E323</f>
        <v>6.55</v>
      </c>
      <c r="K323" s="103" t="s">
        <v>1383</v>
      </c>
      <c r="L323" s="103" t="s">
        <v>1382</v>
      </c>
    </row>
    <row r="324" spans="2:21">
      <c r="B324" s="103" t="s">
        <v>1389</v>
      </c>
      <c r="C324" s="103" t="s">
        <v>1209</v>
      </c>
      <c r="D324" s="103" t="s">
        <v>127</v>
      </c>
      <c r="E324" s="418">
        <f>10^9.83</f>
        <v>6760829753.9198313</v>
      </c>
      <c r="F324" s="103">
        <v>20</v>
      </c>
      <c r="G324" s="103">
        <f>273.15+F324</f>
        <v>293.14999999999998</v>
      </c>
      <c r="H324" s="372" cm="1">
        <f t="array" aca="1" ref="H324" ca="1">VLOOKUP(D324,Table245[[Compound Name]:[∆OWU SD]],INDIRECT("RAVs!$"&amp;VLOOKUP(C324,$N$45:$P$50,3,FALSE)&amp;"$1")+1,FALSE)*1000</f>
        <v>-84264.997385203096</v>
      </c>
      <c r="I324" s="422">
        <f ca="1">EXP(LN(E324)-H324/8.314*(1/$J$46-1/G324))</f>
        <v>3786113090.6388049</v>
      </c>
      <c r="J324" s="416">
        <f ca="1">LOG(I324)</f>
        <v>9.5781935821335509</v>
      </c>
      <c r="K324" s="103" t="s">
        <v>1325</v>
      </c>
      <c r="L324" s="103" t="s">
        <v>1326</v>
      </c>
    </row>
    <row r="325" spans="2:21">
      <c r="B325" s="103" t="s">
        <v>1391</v>
      </c>
      <c r="C325" s="103" t="s">
        <v>274</v>
      </c>
      <c r="D325" s="103" t="s">
        <v>131</v>
      </c>
      <c r="E325" s="418">
        <v>4.1599999999999996E-3</v>
      </c>
      <c r="F325" s="103">
        <v>20</v>
      </c>
      <c r="G325" s="103">
        <f>273.15+F325</f>
        <v>293.14999999999998</v>
      </c>
      <c r="H325" s="372" cm="1">
        <f t="array" aca="1" ref="H325" ca="1">VLOOKUP(D325,Table245[[Compound Name]:[∆OWU SD]],INDIRECT("RAVs!$"&amp;VLOOKUP(C325,$N$45:$P$50,3,FALSE)&amp;"$1")+1,FALSE)*1000</f>
        <v>22984.890895971501</v>
      </c>
      <c r="I325" s="103"/>
      <c r="J325" s="422">
        <f ca="1">EXP(LN(E325)-H325/8.314*(1/$J$46-1/G325))</f>
        <v>4.8727973550150242E-3</v>
      </c>
      <c r="K325" s="103" t="s">
        <v>1636</v>
      </c>
      <c r="L325" s="103"/>
    </row>
    <row r="326" spans="2:21">
      <c r="B326" s="103" t="s">
        <v>1392</v>
      </c>
      <c r="C326" s="103" t="s">
        <v>1209</v>
      </c>
      <c r="D326" s="103" t="s">
        <v>131</v>
      </c>
      <c r="E326" s="418">
        <f>10^10.6</f>
        <v>39810717055.349792</v>
      </c>
      <c r="F326" s="103">
        <v>20</v>
      </c>
      <c r="G326" s="103">
        <f>273.15+F326</f>
        <v>293.14999999999998</v>
      </c>
      <c r="H326" s="372" cm="1">
        <f t="array" aca="1" ref="H326" ca="1">VLOOKUP(D326,Table245[[Compound Name]:[∆OWU SD]],INDIRECT("RAVs!$"&amp;VLOOKUP(C326,$N$45:$P$50,3,FALSE)&amp;"$1")+1,FALSE)*1000</f>
        <v>-84371.961581768206</v>
      </c>
      <c r="I326" s="422">
        <f ca="1">EXP(LN(E326)-H326/8.314*(1/$J$46-1/G326))</f>
        <v>22277884315.80101</v>
      </c>
      <c r="J326" s="332">
        <f ca="1">LOG(I326)</f>
        <v>10.347873944419044</v>
      </c>
      <c r="K326" s="103" t="s">
        <v>1325</v>
      </c>
      <c r="L326" s="103" t="s">
        <v>1326</v>
      </c>
    </row>
    <row r="327" spans="2:21">
      <c r="B327" s="103" t="s">
        <v>1394</v>
      </c>
      <c r="C327" s="103" t="s">
        <v>274</v>
      </c>
      <c r="D327" s="103" t="s">
        <v>133</v>
      </c>
      <c r="E327" s="418">
        <v>5.8500000000000002E-3</v>
      </c>
      <c r="F327" s="103">
        <v>20</v>
      </c>
      <c r="G327" s="103">
        <f>273.15+F327</f>
        <v>293.14999999999998</v>
      </c>
      <c r="H327" s="372" cm="1">
        <f t="array" aca="1" ref="H327" ca="1">VLOOKUP(D327,Table245[[Compound Name]:[∆OWU SD]],INDIRECT("RAVs!$"&amp;VLOOKUP(C327,$N$45:$P$50,3,FALSE)&amp;"$1")+1,FALSE)*1000</f>
        <v>17226.705376347902</v>
      </c>
      <c r="I327" s="103"/>
      <c r="J327" s="422">
        <f ca="1">EXP(LN(E327)-H327/8.314*(1/$J$46-1/G327))</f>
        <v>6.5861843577292439E-3</v>
      </c>
      <c r="K327" s="103" t="s">
        <v>1636</v>
      </c>
      <c r="L327" s="103"/>
    </row>
    <row r="328" spans="2:21">
      <c r="B328" s="103" t="s">
        <v>1395</v>
      </c>
      <c r="C328" s="103" t="s">
        <v>274</v>
      </c>
      <c r="D328" s="103" t="s">
        <v>133</v>
      </c>
      <c r="E328" s="418">
        <v>2.8E-3</v>
      </c>
      <c r="F328" s="103"/>
      <c r="G328" s="103"/>
      <c r="H328" s="103"/>
      <c r="I328" s="103"/>
      <c r="J328" s="422">
        <f>E328/10^($K$40)</f>
        <v>1.4112565559526035E-2</v>
      </c>
      <c r="K328" s="103" t="s">
        <v>1258</v>
      </c>
      <c r="L328" s="103" t="s">
        <v>1198</v>
      </c>
    </row>
    <row r="329" spans="2:21">
      <c r="B329" s="103" t="s">
        <v>1674</v>
      </c>
      <c r="C329" s="103" t="s">
        <v>1343</v>
      </c>
      <c r="D329" s="103" t="s">
        <v>103</v>
      </c>
      <c r="E329" s="418">
        <v>6.4</v>
      </c>
      <c r="F329" s="103"/>
      <c r="G329" s="103"/>
      <c r="H329" s="103"/>
      <c r="I329" s="103"/>
      <c r="J329" s="418">
        <v>6.4</v>
      </c>
      <c r="K329" s="103" t="s">
        <v>1101</v>
      </c>
      <c r="L329" s="103" t="s">
        <v>1677</v>
      </c>
    </row>
    <row r="330" spans="2:21">
      <c r="B330" s="103" t="s">
        <v>1676</v>
      </c>
      <c r="C330" s="103" t="s">
        <v>1343</v>
      </c>
      <c r="D330" s="103" t="s">
        <v>103</v>
      </c>
      <c r="E330" s="418"/>
      <c r="F330" s="103"/>
      <c r="G330" s="103"/>
      <c r="H330" s="103"/>
      <c r="I330" s="103"/>
      <c r="J330" s="103"/>
      <c r="K330" s="103" t="s">
        <v>1679</v>
      </c>
      <c r="L330" s="103" t="s">
        <v>1678</v>
      </c>
    </row>
    <row r="331" spans="2:21">
      <c r="B331" s="103" t="s">
        <v>1681</v>
      </c>
      <c r="C331" s="103" t="s">
        <v>1343</v>
      </c>
      <c r="D331" s="103" t="s">
        <v>64</v>
      </c>
      <c r="E331" s="418">
        <v>10.7</v>
      </c>
      <c r="F331" s="103"/>
      <c r="G331" s="103"/>
      <c r="H331" s="103"/>
      <c r="I331" s="103"/>
      <c r="J331" s="103">
        <f>E331</f>
        <v>10.7</v>
      </c>
      <c r="K331" s="103" t="s">
        <v>1659</v>
      </c>
      <c r="L331" s="103" t="s">
        <v>1678</v>
      </c>
    </row>
    <row r="332" spans="2:21">
      <c r="B332" s="103" t="s">
        <v>1682</v>
      </c>
      <c r="C332" s="103" t="s">
        <v>1343</v>
      </c>
      <c r="D332" s="103" t="s">
        <v>112</v>
      </c>
      <c r="E332" s="418"/>
      <c r="F332" s="103"/>
      <c r="G332" s="103"/>
      <c r="H332" s="103"/>
      <c r="I332" s="103"/>
      <c r="J332" s="103"/>
      <c r="K332" s="103" t="s">
        <v>1679</v>
      </c>
      <c r="L332" s="103" t="s">
        <v>1678</v>
      </c>
    </row>
    <row r="333" spans="2:21">
      <c r="B333" s="103" t="s">
        <v>1683</v>
      </c>
      <c r="C333" s="103" t="s">
        <v>1684</v>
      </c>
      <c r="D333" s="103" t="s">
        <v>115</v>
      </c>
      <c r="E333" s="418"/>
      <c r="F333" s="103"/>
      <c r="G333" s="103"/>
      <c r="H333" s="103"/>
      <c r="I333" s="103"/>
      <c r="J333" s="103"/>
      <c r="K333" s="103" t="s">
        <v>1679</v>
      </c>
      <c r="L333" s="103" t="s">
        <v>1678</v>
      </c>
    </row>
    <row r="334" spans="2:21">
      <c r="B334" s="103" t="s">
        <v>1685</v>
      </c>
      <c r="C334" s="103" t="s">
        <v>1684</v>
      </c>
      <c r="D334" s="103" t="s">
        <v>103</v>
      </c>
      <c r="E334" s="418"/>
      <c r="F334" s="103"/>
      <c r="G334" s="103"/>
      <c r="H334" s="103"/>
      <c r="I334" s="103"/>
      <c r="J334" s="416"/>
      <c r="K334" s="103" t="s">
        <v>1679</v>
      </c>
      <c r="L334" s="103" t="s">
        <v>1678</v>
      </c>
    </row>
    <row r="335" spans="2:21">
      <c r="B335" t="s">
        <v>1695</v>
      </c>
      <c r="C335" t="s">
        <v>274</v>
      </c>
      <c r="D335" s="103" t="s">
        <v>2027</v>
      </c>
      <c r="E335" s="39">
        <v>3965</v>
      </c>
      <c r="F335"/>
      <c r="G335"/>
      <c r="H335" s="336"/>
      <c r="I335" s="302"/>
      <c r="J335" s="39">
        <f>E335</f>
        <v>3965</v>
      </c>
      <c r="K335" s="74" t="s">
        <v>2219</v>
      </c>
      <c r="L335" s="74" t="s">
        <v>2466</v>
      </c>
    </row>
    <row r="336" spans="2:21">
      <c r="B336" t="s">
        <v>1696</v>
      </c>
      <c r="C336" t="s">
        <v>274</v>
      </c>
      <c r="D336" s="103" t="s">
        <v>2027</v>
      </c>
      <c r="E336" s="117">
        <f>5000/194.18</f>
        <v>25.749304768771243</v>
      </c>
      <c r="F336">
        <v>20</v>
      </c>
      <c r="G336">
        <f>273.15+F336</f>
        <v>293.14999999999998</v>
      </c>
      <c r="H336" s="372" t="e" cm="1">
        <f t="array" aca="1" ref="H336" ca="1">VLOOKUP(D336,Table245[[Compound Name]:[∆OWU SD]],INDIRECT("RAVs!$"&amp;VLOOKUP(C336,$N$45:$P$50,3,FALSE)&amp;"$1")+1,FALSE)*1000</f>
        <v>#N/A</v>
      </c>
      <c r="I336" s="422" t="e">
        <f ca="1">EXP(LN(E336)-H336/8.314*(1/$J$46-1/G336))</f>
        <v>#N/A</v>
      </c>
      <c r="J336" s="61" t="e">
        <f ca="1">I336</f>
        <v>#N/A</v>
      </c>
      <c r="K336" s="74" t="s">
        <v>2198</v>
      </c>
      <c r="L336" s="74" t="s">
        <v>2468</v>
      </c>
    </row>
    <row r="337" spans="2:21">
      <c r="B337" t="s">
        <v>1697</v>
      </c>
      <c r="C337" t="s">
        <v>281</v>
      </c>
      <c r="D337" s="103" t="s">
        <v>2027</v>
      </c>
      <c r="E337" s="396"/>
      <c r="F337"/>
      <c r="G337"/>
      <c r="H337"/>
      <c r="I337"/>
      <c r="J337" s="117">
        <v>1.61</v>
      </c>
      <c r="K337" s="74" t="s">
        <v>2217</v>
      </c>
      <c r="L337" s="431"/>
    </row>
    <row r="338" spans="2:21">
      <c r="B338" t="s">
        <v>1698</v>
      </c>
      <c r="C338" t="s">
        <v>281</v>
      </c>
      <c r="D338" s="103" t="s">
        <v>2027</v>
      </c>
      <c r="E338" s="116"/>
      <c r="F338"/>
      <c r="G338"/>
      <c r="H338"/>
      <c r="I338"/>
      <c r="J338" s="117">
        <v>1.56</v>
      </c>
      <c r="K338" s="74" t="s">
        <v>2217</v>
      </c>
      <c r="L338" s="431"/>
    </row>
    <row r="339" spans="2:21">
      <c r="B339" t="s">
        <v>1699</v>
      </c>
      <c r="C339" t="s">
        <v>2225</v>
      </c>
      <c r="D339" s="103" t="s">
        <v>2027</v>
      </c>
      <c r="E339" s="116"/>
      <c r="F339"/>
      <c r="G339"/>
      <c r="H339"/>
      <c r="I339"/>
      <c r="J339" s="74">
        <v>1.62</v>
      </c>
      <c r="K339" s="74" t="s">
        <v>2224</v>
      </c>
      <c r="L339" s="74" t="s">
        <v>2402</v>
      </c>
      <c r="P339" s="433" t="s">
        <v>2024</v>
      </c>
      <c r="Q339" t="s">
        <v>2223</v>
      </c>
    </row>
    <row r="340" spans="2:21">
      <c r="B340" t="s">
        <v>1740</v>
      </c>
      <c r="C340" t="s">
        <v>281</v>
      </c>
      <c r="D340" s="103" t="s">
        <v>2027</v>
      </c>
      <c r="E340" s="116">
        <f>10^1.53</f>
        <v>33.884415613920268</v>
      </c>
      <c r="F340">
        <v>20</v>
      </c>
      <c r="G340">
        <f t="shared" ref="G340:G351" si="36">273.15+F340</f>
        <v>293.14999999999998</v>
      </c>
      <c r="H340" s="372" t="e" cm="1">
        <f t="array" aca="1" ref="H340" ca="1">VLOOKUP(D340,Table245[[Compound Name]:[∆OWU SD]],INDIRECT("RAVs!$"&amp;VLOOKUP(C340,$N$45:$P$50,3,FALSE)&amp;"$1")+1,FALSE)*1000</f>
        <v>#N/A</v>
      </c>
      <c r="I340" s="422" t="e">
        <f t="shared" ref="I340:I354" ca="1" si="37">EXP(LN(E340)-H340/8.314*(1/$J$46-1/G340))</f>
        <v>#N/A</v>
      </c>
      <c r="J340" s="297" t="e">
        <f ca="1">LOG(I340)</f>
        <v>#N/A</v>
      </c>
      <c r="K340" s="74" t="s">
        <v>2172</v>
      </c>
      <c r="L340" s="74" t="s">
        <v>1326</v>
      </c>
      <c r="Q340" t="s">
        <v>478</v>
      </c>
      <c r="R340" t="s">
        <v>510</v>
      </c>
      <c r="S340" t="s">
        <v>511</v>
      </c>
      <c r="T340" t="s">
        <v>553</v>
      </c>
    </row>
    <row r="341" spans="2:21">
      <c r="B341" t="s">
        <v>1743</v>
      </c>
      <c r="C341" t="s">
        <v>281</v>
      </c>
      <c r="D341" s="103" t="s">
        <v>2011</v>
      </c>
      <c r="E341" s="116">
        <f>10^2.35</f>
        <v>223.87211385683412</v>
      </c>
      <c r="F341">
        <v>20</v>
      </c>
      <c r="G341">
        <f t="shared" si="36"/>
        <v>293.14999999999998</v>
      </c>
      <c r="H341" s="372" t="e" cm="1">
        <f t="array" aca="1" ref="H341" ca="1">VLOOKUP(D341,Table245[[Compound Name]:[∆OWU SD]],INDIRECT("RAVs!$"&amp;VLOOKUP(C341,$N$45:$P$50,3,FALSE)&amp;"$1")+1,FALSE)*1000</f>
        <v>#N/A</v>
      </c>
      <c r="I341" s="422" t="e">
        <f t="shared" ca="1" si="37"/>
        <v>#N/A</v>
      </c>
      <c r="J341" s="297" t="e">
        <f ca="1">LOG(I341)</f>
        <v>#N/A</v>
      </c>
      <c r="K341" s="74" t="s">
        <v>2172</v>
      </c>
      <c r="L341" s="74" t="s">
        <v>1326</v>
      </c>
      <c r="P341">
        <f>Q341+273.15</f>
        <v>359.87</v>
      </c>
      <c r="Q341">
        <v>86.72</v>
      </c>
      <c r="R341">
        <f t="shared" ref="R341:R358" si="38">1/(Q341+273.15)</f>
        <v>2.7787812265540335E-3</v>
      </c>
      <c r="S341">
        <f>0.5*100</f>
        <v>50</v>
      </c>
      <c r="T341" s="61">
        <f t="shared" ref="T341:T358" si="39">LN(S341)</f>
        <v>3.912023005428146</v>
      </c>
    </row>
    <row r="342" spans="2:21">
      <c r="B342" t="s">
        <v>1752</v>
      </c>
      <c r="C342" t="s">
        <v>281</v>
      </c>
      <c r="D342" s="103" t="s">
        <v>2222</v>
      </c>
      <c r="E342" s="116">
        <f>10^3.27</f>
        <v>1862.0871366628687</v>
      </c>
      <c r="F342">
        <v>20</v>
      </c>
      <c r="G342">
        <f t="shared" si="36"/>
        <v>293.14999999999998</v>
      </c>
      <c r="H342" s="372" t="e" cm="1">
        <f t="array" aca="1" ref="H342" ca="1">VLOOKUP(D342,Table245[[Compound Name]:[∆OWU SD]],INDIRECT("RAVs!$"&amp;VLOOKUP(C342,$N$45:$P$50,3,FALSE)&amp;"$1")+1,FALSE)*1000</f>
        <v>#N/A</v>
      </c>
      <c r="I342" s="422" t="e">
        <f t="shared" ca="1" si="37"/>
        <v>#N/A</v>
      </c>
      <c r="J342" s="297" t="e">
        <f ca="1">LOG(I342)</f>
        <v>#N/A</v>
      </c>
      <c r="K342" s="74" t="s">
        <v>2172</v>
      </c>
      <c r="L342" s="74" t="s">
        <v>1326</v>
      </c>
      <c r="Q342">
        <v>91.81</v>
      </c>
      <c r="R342">
        <f t="shared" si="38"/>
        <v>2.7400263042525212E-3</v>
      </c>
      <c r="S342">
        <f>70</f>
        <v>70</v>
      </c>
      <c r="T342" s="61">
        <f t="shared" si="39"/>
        <v>4.2484952420493594</v>
      </c>
    </row>
    <row r="343" spans="2:21">
      <c r="B343" t="s">
        <v>1756</v>
      </c>
      <c r="C343" t="s">
        <v>281</v>
      </c>
      <c r="D343" s="103" t="s">
        <v>1992</v>
      </c>
      <c r="E343" s="116">
        <f>10^4.11</f>
        <v>12882.49551693136</v>
      </c>
      <c r="F343">
        <v>20</v>
      </c>
      <c r="G343">
        <f t="shared" si="36"/>
        <v>293.14999999999998</v>
      </c>
      <c r="H343" s="372" t="e" cm="1">
        <f t="array" aca="1" ref="H343" ca="1">VLOOKUP(D343,Table245[[Compound Name]:[∆OWU SD]],INDIRECT("RAVs!$"&amp;VLOOKUP(C343,$N$45:$P$50,3,FALSE)&amp;"$1")+1,FALSE)*1000</f>
        <v>#N/A</v>
      </c>
      <c r="I343" s="422" t="e">
        <f t="shared" ca="1" si="37"/>
        <v>#N/A</v>
      </c>
      <c r="J343" s="297" t="e">
        <f ca="1">LOG(I343)</f>
        <v>#N/A</v>
      </c>
      <c r="K343" s="74" t="s">
        <v>2172</v>
      </c>
      <c r="L343" s="74" t="s">
        <v>1326</v>
      </c>
      <c r="Q343">
        <v>97.46</v>
      </c>
      <c r="R343">
        <f t="shared" si="38"/>
        <v>2.6982542295135052E-3</v>
      </c>
      <c r="S343">
        <f>1*100</f>
        <v>100</v>
      </c>
      <c r="T343" s="61">
        <f t="shared" si="39"/>
        <v>4.6051701859880918</v>
      </c>
    </row>
    <row r="344" spans="2:21">
      <c r="B344" t="s">
        <v>1762</v>
      </c>
      <c r="C344" t="s">
        <v>274</v>
      </c>
      <c r="D344" s="103" t="s">
        <v>2027</v>
      </c>
      <c r="E344" s="116">
        <v>4290</v>
      </c>
      <c r="F344">
        <v>20</v>
      </c>
      <c r="G344">
        <f t="shared" si="36"/>
        <v>293.14999999999998</v>
      </c>
      <c r="H344" s="372" t="e" cm="1">
        <f t="array" aca="1" ref="H344" ca="1">VLOOKUP(D344,Table245[[Compound Name]:[∆OWU SD]],INDIRECT("RAVs!$"&amp;VLOOKUP(C344,$N$45:$P$50,3,FALSE)&amp;"$1")+1,FALSE)*1000</f>
        <v>#N/A</v>
      </c>
      <c r="I344" s="422" t="e">
        <f t="shared" ca="1" si="37"/>
        <v>#N/A</v>
      </c>
      <c r="J344" s="61" t="e">
        <f t="shared" ref="J344:J349" ca="1" si="40">I344</f>
        <v>#N/A</v>
      </c>
      <c r="K344" s="74" t="s">
        <v>2172</v>
      </c>
      <c r="L344" s="74" t="s">
        <v>1326</v>
      </c>
      <c r="Q344">
        <v>109.22</v>
      </c>
      <c r="R344">
        <f t="shared" si="38"/>
        <v>2.6152679341998586E-3</v>
      </c>
      <c r="S344">
        <v>200</v>
      </c>
      <c r="T344" s="61">
        <f t="shared" si="39"/>
        <v>5.2983173665480363</v>
      </c>
    </row>
    <row r="345" spans="2:21">
      <c r="B345" t="s">
        <v>1778</v>
      </c>
      <c r="C345" t="s">
        <v>274</v>
      </c>
      <c r="D345" s="103" t="s">
        <v>2011</v>
      </c>
      <c r="E345" s="443">
        <f>928/222.24</f>
        <v>4.1756659467242621</v>
      </c>
      <c r="F345">
        <v>20</v>
      </c>
      <c r="G345">
        <f t="shared" si="36"/>
        <v>293.14999999999998</v>
      </c>
      <c r="H345" s="372" t="e" cm="1">
        <f t="array" aca="1" ref="H345" ca="1">VLOOKUP(D345,Table245[[Compound Name]:[∆OWU SD]],INDIRECT("RAVs!$"&amp;VLOOKUP(C345,$N$45:$P$50,3,FALSE)&amp;"$1")+1,FALSE)*1000</f>
        <v>#N/A</v>
      </c>
      <c r="I345" s="422" t="e">
        <f t="shared" ca="1" si="37"/>
        <v>#N/A</v>
      </c>
      <c r="J345" s="302" t="e">
        <f t="shared" ca="1" si="40"/>
        <v>#N/A</v>
      </c>
      <c r="K345" s="74" t="s">
        <v>2172</v>
      </c>
      <c r="L345" s="74" t="s">
        <v>1326</v>
      </c>
      <c r="Q345">
        <v>116.48</v>
      </c>
      <c r="R345">
        <f t="shared" si="38"/>
        <v>2.566537484279958E-3</v>
      </c>
      <c r="S345">
        <v>300</v>
      </c>
      <c r="T345" s="61">
        <f t="shared" si="39"/>
        <v>5.7037824746562009</v>
      </c>
    </row>
    <row r="346" spans="2:21">
      <c r="B346" t="s">
        <v>1779</v>
      </c>
      <c r="C346" t="s">
        <v>274</v>
      </c>
      <c r="D346" s="103" t="s">
        <v>1997</v>
      </c>
      <c r="E346" s="116">
        <v>108</v>
      </c>
      <c r="F346">
        <v>20</v>
      </c>
      <c r="G346">
        <f t="shared" si="36"/>
        <v>293.14999999999998</v>
      </c>
      <c r="H346" s="372" t="e" cm="1">
        <f t="array" aca="1" ref="H346" ca="1">VLOOKUP(D346,Table245[[Compound Name]:[∆OWU SD]],INDIRECT("RAVs!$"&amp;VLOOKUP(C346,$N$45:$P$50,3,FALSE)&amp;"$1")+1,FALSE)*1000</f>
        <v>#N/A</v>
      </c>
      <c r="I346" s="422" t="e">
        <f t="shared" ca="1" si="37"/>
        <v>#N/A</v>
      </c>
      <c r="J346" s="302" t="e">
        <f t="shared" ca="1" si="40"/>
        <v>#N/A</v>
      </c>
      <c r="K346" s="74" t="s">
        <v>2172</v>
      </c>
      <c r="L346" s="74" t="s">
        <v>1326</v>
      </c>
      <c r="Q346">
        <v>126.17</v>
      </c>
      <c r="R346">
        <f t="shared" si="38"/>
        <v>2.5042572373034158E-3</v>
      </c>
      <c r="S346">
        <v>500</v>
      </c>
      <c r="T346" s="61">
        <f t="shared" si="39"/>
        <v>6.2146080984221914</v>
      </c>
    </row>
    <row r="347" spans="2:21">
      <c r="B347" t="s">
        <v>1784</v>
      </c>
      <c r="C347" t="s">
        <v>274</v>
      </c>
      <c r="D347" s="103" t="s">
        <v>1992</v>
      </c>
      <c r="E347" s="116">
        <v>20.3</v>
      </c>
      <c r="F347">
        <v>20</v>
      </c>
      <c r="G347">
        <f t="shared" si="36"/>
        <v>293.14999999999998</v>
      </c>
      <c r="H347" s="372" t="e" cm="1">
        <f t="array" aca="1" ref="H347" ca="1">VLOOKUP(D347,Table245[[Compound Name]:[∆OWU SD]],INDIRECT("RAVs!$"&amp;VLOOKUP(C347,$N$45:$P$50,3,FALSE)&amp;"$1")+1,FALSE)*1000</f>
        <v>#N/A</v>
      </c>
      <c r="I347" s="422" t="e">
        <f t="shared" ca="1" si="37"/>
        <v>#N/A</v>
      </c>
      <c r="J347" s="61" t="e">
        <f t="shared" ca="1" si="40"/>
        <v>#N/A</v>
      </c>
      <c r="K347" s="74" t="s">
        <v>2172</v>
      </c>
      <c r="L347" s="74" t="s">
        <v>1326</v>
      </c>
      <c r="Q347">
        <v>132.9</v>
      </c>
      <c r="R347">
        <f t="shared" si="38"/>
        <v>2.4627508927471987E-3</v>
      </c>
      <c r="S347">
        <v>700</v>
      </c>
      <c r="T347" s="61">
        <f t="shared" si="39"/>
        <v>6.5510803350434044</v>
      </c>
      <c r="U347" s="120"/>
    </row>
    <row r="348" spans="2:21">
      <c r="B348" t="s">
        <v>1785</v>
      </c>
      <c r="C348" t="s">
        <v>274</v>
      </c>
      <c r="D348" s="103" t="s">
        <v>1982</v>
      </c>
      <c r="E348" s="116">
        <v>10.1</v>
      </c>
      <c r="F348">
        <v>20</v>
      </c>
      <c r="G348">
        <f t="shared" si="36"/>
        <v>293.14999999999998</v>
      </c>
      <c r="H348" s="372" t="e" cm="1">
        <f t="array" aca="1" ref="H348" ca="1">VLOOKUP(D348,Table245[[Compound Name]:[∆OWU SD]],INDIRECT("RAVs!$"&amp;VLOOKUP(C348,$N$45:$P$50,3,FALSE)&amp;"$1")+1,FALSE)*1000</f>
        <v>#N/A</v>
      </c>
      <c r="I348" s="422" t="e">
        <f t="shared" ca="1" si="37"/>
        <v>#N/A</v>
      </c>
      <c r="J348" s="61" t="e">
        <f t="shared" ca="1" si="40"/>
        <v>#N/A</v>
      </c>
      <c r="K348" s="74" t="s">
        <v>2172</v>
      </c>
      <c r="L348" s="74" t="s">
        <v>1326</v>
      </c>
      <c r="Q348">
        <v>140.36000000000001</v>
      </c>
      <c r="R348">
        <f t="shared" si="38"/>
        <v>2.418321201421973E-3</v>
      </c>
      <c r="S348">
        <v>1000</v>
      </c>
      <c r="T348" s="61">
        <f t="shared" si="39"/>
        <v>6.9077552789821368</v>
      </c>
    </row>
    <row r="349" spans="2:21">
      <c r="B349" t="s">
        <v>1786</v>
      </c>
      <c r="C349" t="s">
        <v>274</v>
      </c>
      <c r="D349" s="103" t="s">
        <v>1958</v>
      </c>
      <c r="E349" s="116">
        <v>4.1000000000000002E-2</v>
      </c>
      <c r="F349">
        <v>20</v>
      </c>
      <c r="G349">
        <f t="shared" si="36"/>
        <v>293.14999999999998</v>
      </c>
      <c r="H349" s="372" t="e" cm="1">
        <f t="array" aca="1" ref="H349" ca="1">VLOOKUP(D349,Table245[[Compound Name]:[∆OWU SD]],INDIRECT("RAVs!$"&amp;VLOOKUP(C349,$N$45:$P$50,3,FALSE)&amp;"$1")+1,FALSE)*1000</f>
        <v>#N/A</v>
      </c>
      <c r="I349" s="422" t="e">
        <f t="shared" ca="1" si="37"/>
        <v>#N/A</v>
      </c>
      <c r="J349" s="61" t="e">
        <f t="shared" ca="1" si="40"/>
        <v>#N/A</v>
      </c>
      <c r="K349" s="74" t="s">
        <v>2172</v>
      </c>
      <c r="L349" s="74" t="s">
        <v>1326</v>
      </c>
      <c r="Q349">
        <v>155.91999999999999</v>
      </c>
      <c r="R349">
        <f t="shared" si="38"/>
        <v>2.3306220430232834E-3</v>
      </c>
      <c r="S349">
        <v>2000</v>
      </c>
      <c r="T349" s="61">
        <f t="shared" si="39"/>
        <v>7.6009024595420822</v>
      </c>
    </row>
    <row r="350" spans="2:21">
      <c r="B350" t="s">
        <v>1787</v>
      </c>
      <c r="C350" t="s">
        <v>281</v>
      </c>
      <c r="D350" s="103" t="s">
        <v>1982</v>
      </c>
      <c r="E350" s="116">
        <f>10^4.57</f>
        <v>37153.522909717351</v>
      </c>
      <c r="F350">
        <v>20</v>
      </c>
      <c r="G350">
        <f t="shared" si="36"/>
        <v>293.14999999999998</v>
      </c>
      <c r="H350" s="372" t="e" cm="1">
        <f t="array" aca="1" ref="H350" ca="1">VLOOKUP(D350,Table245[[Compound Name]:[∆OWU SD]],INDIRECT("RAVs!$"&amp;VLOOKUP(C350,$N$45:$P$50,3,FALSE)&amp;"$1")+1,FALSE)*1000</f>
        <v>#N/A</v>
      </c>
      <c r="I350" s="422" t="e">
        <f t="shared" ca="1" si="37"/>
        <v>#N/A</v>
      </c>
      <c r="J350" s="297" t="e">
        <f ca="1">LOG(I350)</f>
        <v>#N/A</v>
      </c>
      <c r="K350" s="74" t="s">
        <v>2172</v>
      </c>
      <c r="L350" s="74" t="s">
        <v>1326</v>
      </c>
      <c r="Q350">
        <v>165.65</v>
      </c>
      <c r="R350">
        <f t="shared" si="38"/>
        <v>2.27894257064722E-3</v>
      </c>
      <c r="S350">
        <v>3000</v>
      </c>
      <c r="T350" s="61">
        <f t="shared" si="39"/>
        <v>8.0063675676502459</v>
      </c>
    </row>
    <row r="351" spans="2:21">
      <c r="B351" t="s">
        <v>1791</v>
      </c>
      <c r="C351" t="s">
        <v>274</v>
      </c>
      <c r="D351" s="103" t="s">
        <v>2027</v>
      </c>
      <c r="E351" s="116">
        <v>4000</v>
      </c>
      <c r="F351">
        <v>32</v>
      </c>
      <c r="G351">
        <f t="shared" si="36"/>
        <v>305.14999999999998</v>
      </c>
      <c r="H351" s="372" t="e" cm="1">
        <f t="array" aca="1" ref="H351" ca="1">VLOOKUP(D351,Table245[[Compound Name]:[∆OWU SD]],INDIRECT("RAVs!$"&amp;VLOOKUP(C351,$N$45:$P$50,3,FALSE)&amp;"$1")+1,FALSE)*1000</f>
        <v>#N/A</v>
      </c>
      <c r="I351" s="422" t="e">
        <f t="shared" ca="1" si="37"/>
        <v>#N/A</v>
      </c>
      <c r="J351" s="302" t="e">
        <f ca="1">I351</f>
        <v>#N/A</v>
      </c>
      <c r="K351" s="74" t="s">
        <v>2197</v>
      </c>
      <c r="L351" s="74" t="s">
        <v>2422</v>
      </c>
      <c r="Q351">
        <v>178.82</v>
      </c>
      <c r="R351">
        <f t="shared" si="38"/>
        <v>2.2125362302807712E-3</v>
      </c>
      <c r="S351">
        <v>5000</v>
      </c>
      <c r="T351" s="61">
        <f t="shared" si="39"/>
        <v>8.5171931914162382</v>
      </c>
    </row>
    <row r="352" spans="2:21">
      <c r="B352" t="s">
        <v>1793</v>
      </c>
      <c r="C352" t="s">
        <v>274</v>
      </c>
      <c r="D352" s="103" t="s">
        <v>2027</v>
      </c>
      <c r="E352" s="116">
        <f>4248/194.18</f>
        <v>21.876609331548046</v>
      </c>
      <c r="F352"/>
      <c r="G352"/>
      <c r="H352" s="336"/>
      <c r="I352" s="302"/>
      <c r="J352" s="116">
        <f>4248/194.18</f>
        <v>21.876609331548046</v>
      </c>
      <c r="K352" s="74" t="s">
        <v>2217</v>
      </c>
      <c r="L352" s="74" t="s">
        <v>2216</v>
      </c>
      <c r="Q352">
        <v>188.06</v>
      </c>
      <c r="R352">
        <f t="shared" si="38"/>
        <v>2.1682097092430783E-3</v>
      </c>
      <c r="S352">
        <v>7000</v>
      </c>
      <c r="T352" s="61">
        <f t="shared" si="39"/>
        <v>8.8536654280374503</v>
      </c>
    </row>
    <row r="353" spans="2:21">
      <c r="B353" t="s">
        <v>1795</v>
      </c>
      <c r="C353" t="s">
        <v>274</v>
      </c>
      <c r="D353" s="103" t="s">
        <v>2027</v>
      </c>
      <c r="E353" s="116">
        <v>5000</v>
      </c>
      <c r="F353">
        <v>20</v>
      </c>
      <c r="G353">
        <f>273.15+F353</f>
        <v>293.14999999999998</v>
      </c>
      <c r="H353" s="372" t="e" cm="1">
        <f t="array" aca="1" ref="H353" ca="1">VLOOKUP(D353,Table245[[Compound Name]:[∆OWU SD]],INDIRECT("RAVs!$"&amp;VLOOKUP(C353,$N$45:$P$50,3,FALSE)&amp;"$1")+1,FALSE)*1000</f>
        <v>#N/A</v>
      </c>
      <c r="I353" s="422" t="e">
        <f t="shared" ca="1" si="37"/>
        <v>#N/A</v>
      </c>
      <c r="J353" s="61" t="e">
        <f ca="1">I353</f>
        <v>#N/A</v>
      </c>
      <c r="K353" s="74" t="s">
        <v>2169</v>
      </c>
      <c r="L353" s="74" t="s">
        <v>2471</v>
      </c>
      <c r="Q353">
        <v>198.37</v>
      </c>
      <c r="R353">
        <f t="shared" si="38"/>
        <v>2.1208008143875127E-3</v>
      </c>
      <c r="S353">
        <v>10000</v>
      </c>
      <c r="T353" s="61">
        <f t="shared" si="39"/>
        <v>9.2103403719761836</v>
      </c>
    </row>
    <row r="354" spans="2:21">
      <c r="B354" t="s">
        <v>1798</v>
      </c>
      <c r="C354" t="s">
        <v>274</v>
      </c>
      <c r="D354" s="103" t="s">
        <v>2027</v>
      </c>
      <c r="E354" s="116">
        <v>1744</v>
      </c>
      <c r="F354">
        <v>20</v>
      </c>
      <c r="G354">
        <f>273.15+F354</f>
        <v>293.14999999999998</v>
      </c>
      <c r="H354" s="372" t="e" cm="1">
        <f t="array" aca="1" ref="H354" ca="1">VLOOKUP(D354,Table245[[Compound Name]:[∆OWU SD]],INDIRECT("RAVs!$"&amp;VLOOKUP(C354,$N$45:$P$50,3,FALSE)&amp;"$1")+1,FALSE)*1000</f>
        <v>#N/A</v>
      </c>
      <c r="I354" s="422" t="e">
        <f t="shared" ca="1" si="37"/>
        <v>#N/A</v>
      </c>
      <c r="J354" s="61" t="e">
        <f ca="1">I354</f>
        <v>#N/A</v>
      </c>
      <c r="K354" s="74" t="s">
        <v>2169</v>
      </c>
      <c r="L354" s="74" t="s">
        <v>2471</v>
      </c>
      <c r="Q354">
        <v>220.2</v>
      </c>
      <c r="R354">
        <f t="shared" si="38"/>
        <v>2.0269585486976795E-3</v>
      </c>
      <c r="S354">
        <v>20000</v>
      </c>
      <c r="T354" s="61">
        <f t="shared" si="39"/>
        <v>9.9034875525361272</v>
      </c>
    </row>
    <row r="355" spans="2:21">
      <c r="B355" t="s">
        <v>1799</v>
      </c>
      <c r="C355" t="s">
        <v>281</v>
      </c>
      <c r="D355" s="103" t="s">
        <v>2221</v>
      </c>
      <c r="E355" s="116">
        <v>1.56</v>
      </c>
      <c r="F355"/>
      <c r="G355"/>
      <c r="H355" s="336"/>
      <c r="I355" s="302"/>
      <c r="J355" s="297">
        <v>1.56</v>
      </c>
      <c r="K355" s="74" t="s">
        <v>2204</v>
      </c>
      <c r="L355" s="74" t="s">
        <v>2403</v>
      </c>
      <c r="Q355">
        <v>234.3</v>
      </c>
      <c r="R355">
        <f t="shared" si="38"/>
        <v>1.9706375012316485E-3</v>
      </c>
      <c r="S355">
        <v>30000</v>
      </c>
      <c r="T355" s="61">
        <f t="shared" si="39"/>
        <v>10.308952660644293</v>
      </c>
    </row>
    <row r="356" spans="2:21">
      <c r="B356" t="s">
        <v>1800</v>
      </c>
      <c r="C356" t="s">
        <v>274</v>
      </c>
      <c r="D356" s="103" t="s">
        <v>2220</v>
      </c>
      <c r="E356" s="116">
        <v>598</v>
      </c>
      <c r="F356"/>
      <c r="G356"/>
      <c r="H356" s="336"/>
      <c r="I356" s="302"/>
      <c r="J356" s="39">
        <f>E356</f>
        <v>598</v>
      </c>
      <c r="K356" s="74" t="s">
        <v>2219</v>
      </c>
      <c r="L356" s="74" t="s">
        <v>2473</v>
      </c>
      <c r="Q356">
        <v>253.5</v>
      </c>
      <c r="R356">
        <f t="shared" si="38"/>
        <v>1.8987942656413178E-3</v>
      </c>
      <c r="S356">
        <v>50000</v>
      </c>
      <c r="T356" s="61">
        <f t="shared" si="39"/>
        <v>10.819778284410283</v>
      </c>
    </row>
    <row r="357" spans="2:21">
      <c r="B357" t="s">
        <v>1802</v>
      </c>
      <c r="C357" t="s">
        <v>274</v>
      </c>
      <c r="D357" s="103" t="s">
        <v>1982</v>
      </c>
      <c r="E357" s="116">
        <v>11.08</v>
      </c>
      <c r="F357"/>
      <c r="G357"/>
      <c r="H357" s="336"/>
      <c r="I357" s="302"/>
      <c r="J357" s="39">
        <f>E357</f>
        <v>11.08</v>
      </c>
      <c r="K357" s="74" t="s">
        <v>2219</v>
      </c>
      <c r="L357" s="74" t="s">
        <v>2218</v>
      </c>
      <c r="Q357">
        <v>267.2</v>
      </c>
      <c r="R357">
        <f t="shared" si="38"/>
        <v>1.8506523549551221E-3</v>
      </c>
      <c r="S357">
        <v>70000</v>
      </c>
      <c r="T357" s="61">
        <f t="shared" si="39"/>
        <v>11.156250521031495</v>
      </c>
    </row>
    <row r="358" spans="2:21">
      <c r="B358" t="s">
        <v>1806</v>
      </c>
      <c r="C358" t="s">
        <v>274</v>
      </c>
      <c r="D358" s="103" t="s">
        <v>2011</v>
      </c>
      <c r="E358" s="116">
        <f>1000/222.24</f>
        <v>4.4996400287976961</v>
      </c>
      <c r="F358">
        <v>20</v>
      </c>
      <c r="G358">
        <f>273.15+F358</f>
        <v>293.14999999999998</v>
      </c>
      <c r="H358" s="372" t="e" cm="1">
        <f t="array" aca="1" ref="H358" ca="1">VLOOKUP(D358,Table245[[Compound Name]:[∆OWU SD]],INDIRECT("RAVs!$"&amp;VLOOKUP(C358,$N$45:$P$50,3,FALSE)&amp;"$1")+1,FALSE)*1000</f>
        <v>#N/A</v>
      </c>
      <c r="I358" s="422" t="e">
        <f ca="1">EXP(LN(E358)-H358/8.314*(1/$J$46-1/G358))</f>
        <v>#N/A</v>
      </c>
      <c r="J358" s="61" t="e">
        <f ca="1">I358</f>
        <v>#N/A</v>
      </c>
      <c r="K358" s="74" t="s">
        <v>2198</v>
      </c>
      <c r="L358" s="74" t="s">
        <v>2474</v>
      </c>
      <c r="P358">
        <f>Q358+273.15</f>
        <v>555.84999999999991</v>
      </c>
      <c r="Q358">
        <v>282.7</v>
      </c>
      <c r="R358">
        <f t="shared" si="38"/>
        <v>1.7990465053521637E-3</v>
      </c>
      <c r="S358">
        <f>1000*100</f>
        <v>100000</v>
      </c>
      <c r="T358" s="61">
        <f t="shared" si="39"/>
        <v>11.512925464970229</v>
      </c>
    </row>
    <row r="359" spans="2:21">
      <c r="B359" t="s">
        <v>1807</v>
      </c>
      <c r="C359" t="s">
        <v>274</v>
      </c>
      <c r="D359" s="103" t="s">
        <v>2011</v>
      </c>
      <c r="E359" s="116">
        <f>1000/222.24</f>
        <v>4.4996400287976961</v>
      </c>
      <c r="F359">
        <v>32</v>
      </c>
      <c r="G359">
        <f>273.15+F359</f>
        <v>305.14999999999998</v>
      </c>
      <c r="H359" s="372" t="e" cm="1">
        <f t="array" aca="1" ref="H359" ca="1">VLOOKUP(D359,Table245[[Compound Name]:[∆OWU SD]],INDIRECT("RAVs!$"&amp;VLOOKUP(C359,$N$45:$P$50,3,FALSE)&amp;"$1")+1,FALSE)*1000</f>
        <v>#N/A</v>
      </c>
      <c r="I359" s="422" t="e">
        <f ca="1">EXP(LN(E359)-H359/8.314*(1/$J$46-1/G359))</f>
        <v>#N/A</v>
      </c>
      <c r="J359" s="302" t="e">
        <f ca="1">I359</f>
        <v>#N/A</v>
      </c>
      <c r="K359" s="74" t="s">
        <v>1250</v>
      </c>
      <c r="L359" s="74" t="s">
        <v>2419</v>
      </c>
    </row>
    <row r="360" spans="2:21">
      <c r="B360" t="s">
        <v>1813</v>
      </c>
      <c r="C360" t="s">
        <v>274</v>
      </c>
      <c r="D360" s="103" t="s">
        <v>2011</v>
      </c>
      <c r="E360" s="116">
        <f>1200/222.24</f>
        <v>5.3995680345572348</v>
      </c>
      <c r="F360">
        <v>20</v>
      </c>
      <c r="G360">
        <f>273.15+F360</f>
        <v>293.14999999999998</v>
      </c>
      <c r="H360" s="372" t="e" cm="1">
        <f t="array" aca="1" ref="H360" ca="1">VLOOKUP(D360,Table245[[Compound Name]:[∆OWU SD]],INDIRECT("RAVs!$"&amp;VLOOKUP(C360,$N$45:$P$50,3,FALSE)&amp;"$1")+1,FALSE)*1000</f>
        <v>#N/A</v>
      </c>
      <c r="I360" s="422" t="e">
        <f ca="1">EXP(LN(E360)-H360/8.314*(1/$J$46-1/G360))</f>
        <v>#N/A</v>
      </c>
      <c r="J360" s="61" t="e">
        <f ca="1">I360</f>
        <v>#N/A</v>
      </c>
      <c r="K360" s="74" t="s">
        <v>2483</v>
      </c>
      <c r="L360" s="74" t="s">
        <v>2119</v>
      </c>
    </row>
    <row r="361" spans="2:21">
      <c r="B361" t="s">
        <v>1814</v>
      </c>
      <c r="C361" t="s">
        <v>274</v>
      </c>
      <c r="D361" s="103" t="s">
        <v>1982</v>
      </c>
      <c r="E361" s="116">
        <f>10.8/278.34</f>
        <v>3.8801465833153706E-2</v>
      </c>
      <c r="F361">
        <v>20</v>
      </c>
      <c r="G361">
        <f>273.15+F361</f>
        <v>293.14999999999998</v>
      </c>
      <c r="H361" s="372" t="e" cm="1">
        <f t="array" aca="1" ref="H361" ca="1">VLOOKUP(D361,Table245[[Compound Name]:[∆OWU SD]],INDIRECT("RAVs!$"&amp;VLOOKUP(C361,$N$45:$P$50,3,FALSE)&amp;"$1")+1,FALSE)*1000</f>
        <v>#N/A</v>
      </c>
      <c r="I361" s="422" t="e">
        <f ca="1">EXP(LN(E361)-H361/8.314*(1/$J$46-1/G361))</f>
        <v>#N/A</v>
      </c>
      <c r="J361" s="61" t="e">
        <f ca="1">I361</f>
        <v>#N/A</v>
      </c>
      <c r="K361" s="74" t="s">
        <v>2483</v>
      </c>
      <c r="L361" s="74" t="s">
        <v>2153</v>
      </c>
      <c r="R361" s="120"/>
      <c r="T361" t="s">
        <v>552</v>
      </c>
      <c r="U361" s="120">
        <f>-R362*8.314/1000</f>
        <v>64.564444597133615</v>
      </c>
    </row>
    <row r="362" spans="2:21">
      <c r="B362" t="s">
        <v>1815</v>
      </c>
      <c r="C362" t="s">
        <v>274</v>
      </c>
      <c r="D362" s="103" t="s">
        <v>2011</v>
      </c>
      <c r="E362" s="117">
        <f>1/(10^1.5)*1000</f>
        <v>31.622776601683785</v>
      </c>
      <c r="F362" s="61"/>
      <c r="G362" s="61"/>
      <c r="H362" s="274"/>
      <c r="I362" s="447"/>
      <c r="J362" s="117">
        <f>E362</f>
        <v>31.622776601683785</v>
      </c>
      <c r="K362" s="74" t="s">
        <v>2217</v>
      </c>
      <c r="L362" s="74" t="s">
        <v>1211</v>
      </c>
      <c r="R362">
        <f t="array" ref="R362:S364">LINEST(T341:T358,R341:R358,TRUE,TRUE)</f>
        <v>-7765.7498914040916</v>
      </c>
      <c r="S362">
        <v>25.619701119943741</v>
      </c>
    </row>
    <row r="363" spans="2:21">
      <c r="B363" t="s">
        <v>1826</v>
      </c>
      <c r="C363" t="s">
        <v>274</v>
      </c>
      <c r="D363" s="103" t="s">
        <v>1958</v>
      </c>
      <c r="E363" s="116">
        <f>0.017/390.6</f>
        <v>4.3522785458269329E-5</v>
      </c>
      <c r="F363">
        <v>22</v>
      </c>
      <c r="G363">
        <f>273.15+F363</f>
        <v>295.14999999999998</v>
      </c>
      <c r="H363" s="372" t="e" cm="1">
        <f t="array" aca="1" ref="H363" ca="1">VLOOKUP(D363,Table245[[Compound Name]:[∆OWU SD]],INDIRECT("RAVs!$"&amp;VLOOKUP(C363,$N$45:$P$50,3,FALSE)&amp;"$1")+1,FALSE)*1000</f>
        <v>#N/A</v>
      </c>
      <c r="I363" s="422" t="e">
        <f ca="1">EXP(LN(E363)-H363/8.314*(1/$J$46-1/G363))</f>
        <v>#N/A</v>
      </c>
      <c r="J363" s="61" t="e">
        <f ca="1">I363</f>
        <v>#N/A</v>
      </c>
      <c r="K363" s="74" t="s">
        <v>2215</v>
      </c>
      <c r="L363" s="74" t="s">
        <v>1326</v>
      </c>
      <c r="R363">
        <v>60.179916473223336</v>
      </c>
      <c r="S363">
        <v>0.13977346792021256</v>
      </c>
    </row>
    <row r="364" spans="2:21">
      <c r="B364" t="s">
        <v>1841</v>
      </c>
      <c r="C364" t="s">
        <v>191</v>
      </c>
      <c r="D364" s="103" t="s">
        <v>2011</v>
      </c>
      <c r="E364" s="116">
        <v>5.1999999999999998E-2</v>
      </c>
      <c r="F364">
        <v>20</v>
      </c>
      <c r="G364">
        <f>273.15+F364</f>
        <v>293.14999999999998</v>
      </c>
      <c r="H364" s="372" t="e" cm="1">
        <f t="array" aca="1" ref="H364" ca="1">VLOOKUP(D364,Table245[[Compound Name]:[∆OWU SD]],INDIRECT("RAVs!$"&amp;VLOOKUP(C364,$N$45:$P$50,3,FALSE)&amp;"$1")+1,FALSE)*1000</f>
        <v>#N/A</v>
      </c>
      <c r="I364" s="422" t="e">
        <f ca="1">EXP(LN(E364)-H364/8.314*(1/$J$46-1/G364))</f>
        <v>#N/A</v>
      </c>
      <c r="J364" s="61" t="e">
        <f ca="1">I364</f>
        <v>#N/A</v>
      </c>
      <c r="K364" s="74" t="s">
        <v>2214</v>
      </c>
      <c r="L364" s="74" t="s">
        <v>2213</v>
      </c>
      <c r="R364">
        <v>0.99904007068840195</v>
      </c>
      <c r="S364">
        <v>7.8219720573684912E-2</v>
      </c>
    </row>
    <row r="365" spans="2:21">
      <c r="B365" t="s">
        <v>1846</v>
      </c>
      <c r="C365" t="s">
        <v>2184</v>
      </c>
      <c r="D365" s="103" t="s">
        <v>1982</v>
      </c>
      <c r="E365" s="116">
        <v>-35</v>
      </c>
      <c r="F365"/>
      <c r="G365"/>
      <c r="H365" s="336"/>
      <c r="I365" s="302"/>
      <c r="J365" s="297"/>
      <c r="K365" s="74" t="s">
        <v>2169</v>
      </c>
      <c r="L365" s="74" t="s">
        <v>2168</v>
      </c>
    </row>
    <row r="366" spans="2:21">
      <c r="B366" t="s">
        <v>1850</v>
      </c>
      <c r="C366" t="s">
        <v>274</v>
      </c>
      <c r="D366" s="103" t="s">
        <v>1982</v>
      </c>
      <c r="E366" s="116">
        <v>10</v>
      </c>
      <c r="F366">
        <v>30</v>
      </c>
      <c r="G366">
        <f t="shared" ref="G366:G373" si="41">273.15+F366</f>
        <v>303.14999999999998</v>
      </c>
      <c r="H366" s="372" t="e" cm="1">
        <f t="array" aca="1" ref="H366" ca="1">VLOOKUP(D366,Table245[[Compound Name]:[∆OWU SD]],INDIRECT("RAVs!$"&amp;VLOOKUP(C366,$N$45:$P$50,3,FALSE)&amp;"$1")+1,FALSE)*1000</f>
        <v>#N/A</v>
      </c>
      <c r="I366" s="422" t="e">
        <f t="shared" ref="I366:I373" ca="1" si="42">EXP(LN(E366)-H366/8.314*(1/$J$46-1/G366))</f>
        <v>#N/A</v>
      </c>
      <c r="J366" s="61" t="e">
        <f t="shared" ref="J366:J373" ca="1" si="43">I366</f>
        <v>#N/A</v>
      </c>
      <c r="K366" s="74" t="s">
        <v>2197</v>
      </c>
      <c r="L366" s="74" t="s">
        <v>2212</v>
      </c>
    </row>
    <row r="367" spans="2:21">
      <c r="B367" t="s">
        <v>1851</v>
      </c>
      <c r="C367" t="s">
        <v>191</v>
      </c>
      <c r="D367" s="103" t="s">
        <v>1982</v>
      </c>
      <c r="E367" s="116">
        <v>13.33</v>
      </c>
      <c r="F367">
        <v>89</v>
      </c>
      <c r="G367">
        <f t="shared" si="41"/>
        <v>362.15</v>
      </c>
      <c r="H367" s="372" t="e" cm="1">
        <f t="array" aca="1" ref="H367" ca="1">VLOOKUP(D367,Table245[[Compound Name]:[∆OWU SD]],INDIRECT("RAVs!$"&amp;VLOOKUP(C367,$N$45:$P$50,3,FALSE)&amp;"$1")+1,FALSE)*1000</f>
        <v>#N/A</v>
      </c>
      <c r="I367" s="422" t="e">
        <f t="shared" ca="1" si="42"/>
        <v>#N/A</v>
      </c>
      <c r="J367" s="61" t="e">
        <f t="shared" ca="1" si="43"/>
        <v>#N/A</v>
      </c>
      <c r="K367" s="74" t="s">
        <v>2211</v>
      </c>
      <c r="L367" s="74" t="s">
        <v>2411</v>
      </c>
    </row>
    <row r="368" spans="2:21">
      <c r="B368" t="s">
        <v>1854</v>
      </c>
      <c r="C368" t="s">
        <v>191</v>
      </c>
      <c r="D368" s="103" t="s">
        <v>1982</v>
      </c>
      <c r="E368" s="116">
        <v>32</v>
      </c>
      <c r="F368">
        <v>125.7</v>
      </c>
      <c r="G368">
        <f t="shared" si="41"/>
        <v>398.84999999999997</v>
      </c>
      <c r="H368" s="372" t="e" cm="1">
        <f t="array" aca="1" ref="H368" ca="1">VLOOKUP(D368,Table245[[Compound Name]:[∆OWU SD]],INDIRECT("RAVs!$"&amp;VLOOKUP(C368,$N$45:$P$50,3,FALSE)&amp;"$1")+1,FALSE)*1000</f>
        <v>#N/A</v>
      </c>
      <c r="I368" s="422" t="e">
        <f t="shared" ca="1" si="42"/>
        <v>#N/A</v>
      </c>
      <c r="J368" s="61" t="e">
        <f t="shared" ca="1" si="43"/>
        <v>#N/A</v>
      </c>
      <c r="K368" s="74" t="s">
        <v>2210</v>
      </c>
      <c r="L368" s="74" t="s">
        <v>2411</v>
      </c>
      <c r="P368" s="433" t="s">
        <v>2009</v>
      </c>
      <c r="Q368" t="s">
        <v>2209</v>
      </c>
    </row>
    <row r="369" spans="2:50">
      <c r="B369" t="s">
        <v>1855</v>
      </c>
      <c r="C369" t="s">
        <v>191</v>
      </c>
      <c r="D369" s="103" t="s">
        <v>1982</v>
      </c>
      <c r="E369" s="116">
        <v>1.53</v>
      </c>
      <c r="F369">
        <v>86.5</v>
      </c>
      <c r="G369">
        <f t="shared" si="41"/>
        <v>359.65</v>
      </c>
      <c r="H369" s="372" t="e" cm="1">
        <f t="array" aca="1" ref="H369" ca="1">VLOOKUP(D369,Table245[[Compound Name]:[∆OWU SD]],INDIRECT("RAVs!$"&amp;VLOOKUP(C369,$N$45:$P$50,3,FALSE)&amp;"$1")+1,FALSE)*1000</f>
        <v>#N/A</v>
      </c>
      <c r="I369" s="422" t="e">
        <f t="shared" ca="1" si="42"/>
        <v>#N/A</v>
      </c>
      <c r="J369" s="61" t="e">
        <f t="shared" ca="1" si="43"/>
        <v>#N/A</v>
      </c>
      <c r="K369" s="74" t="s">
        <v>2208</v>
      </c>
      <c r="L369" s="74" t="s">
        <v>2411</v>
      </c>
      <c r="Q369" t="s">
        <v>478</v>
      </c>
      <c r="R369" t="s">
        <v>510</v>
      </c>
      <c r="S369" t="s">
        <v>511</v>
      </c>
      <c r="T369" t="s">
        <v>553</v>
      </c>
    </row>
    <row r="370" spans="2:50">
      <c r="B370" t="s">
        <v>1856</v>
      </c>
      <c r="C370" t="s">
        <v>191</v>
      </c>
      <c r="D370" s="103" t="s">
        <v>1982</v>
      </c>
      <c r="E370" s="118">
        <v>3.8699999999999997E-4</v>
      </c>
      <c r="F370">
        <v>6.55</v>
      </c>
      <c r="G370">
        <f t="shared" si="41"/>
        <v>279.7</v>
      </c>
      <c r="H370" s="372" t="e" cm="1">
        <f t="array" aca="1" ref="H370" ca="1">VLOOKUP(D370,Table245[[Compound Name]:[∆OWU SD]],INDIRECT("RAVs!$"&amp;VLOOKUP(C370,$N$45:$P$50,3,FALSE)&amp;"$1")+1,FALSE)*1000</f>
        <v>#N/A</v>
      </c>
      <c r="I370" s="422" t="e">
        <f t="shared" ca="1" si="42"/>
        <v>#N/A</v>
      </c>
      <c r="J370" s="61" t="e">
        <f t="shared" ca="1" si="43"/>
        <v>#N/A</v>
      </c>
      <c r="K370" s="74" t="s">
        <v>2192</v>
      </c>
      <c r="L370" s="74" t="s">
        <v>2411</v>
      </c>
      <c r="Q370">
        <v>40</v>
      </c>
      <c r="R370">
        <f>1/(Q370+273.15)</f>
        <v>3.1933578157432542E-3</v>
      </c>
      <c r="S370">
        <v>3000</v>
      </c>
      <c r="T370" s="61">
        <f>LN(S370)</f>
        <v>8.0063675676502459</v>
      </c>
    </row>
    <row r="371" spans="2:50">
      <c r="B371" t="s">
        <v>2207</v>
      </c>
      <c r="C371" t="s">
        <v>191</v>
      </c>
      <c r="D371" s="103" t="s">
        <v>1982</v>
      </c>
      <c r="E371" s="116">
        <v>2.0600000000000002E-3</v>
      </c>
      <c r="F371">
        <v>20</v>
      </c>
      <c r="G371">
        <f t="shared" si="41"/>
        <v>293.14999999999998</v>
      </c>
      <c r="H371" s="372" t="e" cm="1">
        <f t="array" aca="1" ref="H371" ca="1">VLOOKUP(D371,Table245[[Compound Name]:[∆OWU SD]],INDIRECT("RAVs!$"&amp;VLOOKUP(C371,$N$45:$P$50,3,FALSE)&amp;"$1")+1,FALSE)*1000</f>
        <v>#N/A</v>
      </c>
      <c r="I371" s="422" t="e">
        <f t="shared" ca="1" si="42"/>
        <v>#N/A</v>
      </c>
      <c r="J371" s="61" t="e">
        <f t="shared" ca="1" si="43"/>
        <v>#N/A</v>
      </c>
      <c r="K371" s="74" t="s">
        <v>2206</v>
      </c>
      <c r="L371" s="74" t="s">
        <v>1326</v>
      </c>
      <c r="Q371">
        <v>60</v>
      </c>
      <c r="R371">
        <f>1/(Q371+273.15)</f>
        <v>3.0016509079993999E-3</v>
      </c>
      <c r="S371">
        <v>9000</v>
      </c>
      <c r="T371" s="61">
        <f>LN(S371)</f>
        <v>9.1049798563183568</v>
      </c>
    </row>
    <row r="372" spans="2:50">
      <c r="B372" t="s">
        <v>1857</v>
      </c>
      <c r="C372" t="s">
        <v>191</v>
      </c>
      <c r="D372" s="103" t="s">
        <v>1982</v>
      </c>
      <c r="E372" s="116">
        <v>2.3E-3</v>
      </c>
      <c r="F372">
        <v>20</v>
      </c>
      <c r="G372">
        <f t="shared" si="41"/>
        <v>293.14999999999998</v>
      </c>
      <c r="H372" s="372" t="e" cm="1">
        <f t="array" aca="1" ref="H372" ca="1">VLOOKUP(D372,Table245[[Compound Name]:[∆OWU SD]],INDIRECT("RAVs!$"&amp;VLOOKUP(C372,$N$45:$P$50,3,FALSE)&amp;"$1")+1,FALSE)*1000</f>
        <v>#N/A</v>
      </c>
      <c r="I372" s="422" t="e">
        <f t="shared" ca="1" si="42"/>
        <v>#N/A</v>
      </c>
      <c r="J372" s="61" t="e">
        <f t="shared" ca="1" si="43"/>
        <v>#N/A</v>
      </c>
      <c r="K372" s="74" t="s">
        <v>2191</v>
      </c>
      <c r="L372" s="74" t="s">
        <v>1326</v>
      </c>
      <c r="Q372">
        <v>80</v>
      </c>
      <c r="R372">
        <f>1/(Q372+273.15)</f>
        <v>2.831657935721365E-3</v>
      </c>
      <c r="S372">
        <v>10000</v>
      </c>
      <c r="T372" s="61">
        <f>LN(S372)</f>
        <v>9.2103403719761836</v>
      </c>
    </row>
    <row r="373" spans="2:50">
      <c r="B373" t="s">
        <v>1858</v>
      </c>
      <c r="C373" t="s">
        <v>191</v>
      </c>
      <c r="D373" s="103" t="s">
        <v>1982</v>
      </c>
      <c r="E373" s="116">
        <v>2.7699999999999999E-3</v>
      </c>
      <c r="F373">
        <v>20</v>
      </c>
      <c r="G373">
        <f t="shared" si="41"/>
        <v>293.14999999999998</v>
      </c>
      <c r="H373" s="372" t="e" cm="1">
        <f t="array" aca="1" ref="H373" ca="1">VLOOKUP(D373,Table245[[Compound Name]:[∆OWU SD]],INDIRECT("RAVs!$"&amp;VLOOKUP(C373,$N$45:$P$50,3,FALSE)&amp;"$1")+1,FALSE)*1000</f>
        <v>#N/A</v>
      </c>
      <c r="I373" s="422" t="e">
        <f t="shared" ca="1" si="42"/>
        <v>#N/A</v>
      </c>
      <c r="J373" s="61" t="e">
        <f t="shared" ca="1" si="43"/>
        <v>#N/A</v>
      </c>
      <c r="K373" s="74" t="s">
        <v>2205</v>
      </c>
      <c r="L373" s="74" t="s">
        <v>1326</v>
      </c>
      <c r="Q373">
        <v>120</v>
      </c>
      <c r="R373">
        <f>1/(Q373+273.15)</f>
        <v>2.5435584382551188E-3</v>
      </c>
      <c r="S373">
        <v>13000</v>
      </c>
      <c r="T373" s="61">
        <f>LN(S373)</f>
        <v>9.4727046364436731</v>
      </c>
    </row>
    <row r="374" spans="2:50">
      <c r="B374" t="s">
        <v>1859</v>
      </c>
      <c r="C374" t="s">
        <v>281</v>
      </c>
      <c r="D374" s="103" t="s">
        <v>1982</v>
      </c>
      <c r="E374" s="116">
        <v>4.72</v>
      </c>
      <c r="F374"/>
      <c r="G374"/>
      <c r="H374" s="336"/>
      <c r="I374" s="302"/>
      <c r="J374" s="297">
        <v>4.72</v>
      </c>
      <c r="K374" s="74" t="s">
        <v>2204</v>
      </c>
      <c r="L374" s="74" t="s">
        <v>2203</v>
      </c>
      <c r="Q374">
        <v>295</v>
      </c>
      <c r="R374">
        <f>1/(Q374+273.15)</f>
        <v>1.7600985655196692E-3</v>
      </c>
      <c r="S374">
        <v>98400</v>
      </c>
      <c r="T374" s="61">
        <f>LN(S374)</f>
        <v>11.496796083040344</v>
      </c>
    </row>
    <row r="375" spans="2:50">
      <c r="B375" t="s">
        <v>1860</v>
      </c>
      <c r="C375" t="s">
        <v>2184</v>
      </c>
      <c r="D375" s="103" t="s">
        <v>1992</v>
      </c>
      <c r="E375" s="116">
        <v>-58</v>
      </c>
      <c r="F375"/>
      <c r="G375"/>
      <c r="H375" s="336"/>
      <c r="I375" s="302"/>
      <c r="J375" s="116">
        <v>-58</v>
      </c>
      <c r="K375" s="74" t="s">
        <v>2202</v>
      </c>
      <c r="L375" s="74" t="s">
        <v>2201</v>
      </c>
      <c r="T375" s="61"/>
    </row>
    <row r="376" spans="2:50">
      <c r="B376" t="s">
        <v>1861</v>
      </c>
      <c r="C376" t="s">
        <v>274</v>
      </c>
      <c r="D376" s="103" t="s">
        <v>1992</v>
      </c>
      <c r="E376" s="116">
        <v>100</v>
      </c>
      <c r="F376">
        <v>20</v>
      </c>
      <c r="G376">
        <f>273.15+F376</f>
        <v>293.14999999999998</v>
      </c>
      <c r="H376" s="372" t="e" cm="1">
        <f t="array" aca="1" ref="H376" ca="1">VLOOKUP(D376,Table245[[Compound Name]:[∆OWU SD]],INDIRECT("RAVs!$"&amp;VLOOKUP(C376,$N$45:$P$50,3,FALSE)&amp;"$1")+1,FALSE)*1000</f>
        <v>#N/A</v>
      </c>
      <c r="I376" s="422" t="e">
        <f ca="1">EXP(LN(E376)-H376/8.314*(1/$J$46-1/G376))</f>
        <v>#N/A</v>
      </c>
      <c r="J376" s="61" t="e">
        <f ca="1">I376</f>
        <v>#N/A</v>
      </c>
      <c r="K376" s="74" t="s">
        <v>2198</v>
      </c>
      <c r="L376" s="74" t="s">
        <v>2488</v>
      </c>
      <c r="T376" s="61"/>
      <c r="U376" s="120"/>
    </row>
    <row r="377" spans="2:50">
      <c r="B377" t="s">
        <v>1862</v>
      </c>
      <c r="C377" t="s">
        <v>191</v>
      </c>
      <c r="D377" s="103" t="str">
        <f>'Table S3 Literature Values'!$A$431</f>
        <v>Di-n-butyl phthalate</v>
      </c>
      <c r="E377" s="117">
        <f>'Table S3 Literature Values'!$AF$454</f>
        <v>-2.9586073148417751</v>
      </c>
      <c r="F377"/>
      <c r="G377"/>
      <c r="H377" s="372"/>
      <c r="I377" s="422">
        <f>$E$377</f>
        <v>-2.9586073148417751</v>
      </c>
      <c r="J377" s="61"/>
      <c r="K377" s="74" t="s">
        <v>2381</v>
      </c>
      <c r="L377" s="74" t="s">
        <v>1211</v>
      </c>
      <c r="R377" s="120"/>
      <c r="T377" t="s">
        <v>552</v>
      </c>
      <c r="U377" s="368">
        <f>-R378*8.314/1000</f>
        <v>18.392287062655026</v>
      </c>
    </row>
    <row r="378" spans="2:50">
      <c r="B378" t="s">
        <v>1863</v>
      </c>
      <c r="C378" t="s">
        <v>191</v>
      </c>
      <c r="D378" s="103" t="s">
        <v>1982</v>
      </c>
      <c r="E378" s="116">
        <v>266.64499999999998</v>
      </c>
      <c r="F378">
        <v>150</v>
      </c>
      <c r="G378">
        <f>273.15+F378</f>
        <v>423.15</v>
      </c>
      <c r="H378" s="372" t="e" cm="1">
        <f t="array" aca="1" ref="H378" ca="1">VLOOKUP(D378,Table245[[Compound Name]:[∆OWU SD]],INDIRECT("RAVs!$"&amp;VLOOKUP(C378,$N$45:$P$50,3,FALSE)&amp;"$1")+1,FALSE)*1000</f>
        <v>#N/A</v>
      </c>
      <c r="I378" s="422" t="e">
        <f ca="1">EXP(LN(E378)-H378/8.314*(1/$J$46-1/G378))</f>
        <v>#N/A</v>
      </c>
      <c r="J378" s="61" t="e">
        <f ca="1">I378</f>
        <v>#N/A</v>
      </c>
      <c r="K378" s="74" t="s">
        <v>2198</v>
      </c>
      <c r="L378" s="74" t="s">
        <v>2411</v>
      </c>
      <c r="R378">
        <f t="array" ref="R378:S380">LINEST(T370:T374,R370:R374,TRUE,TRUE)</f>
        <v>-2212.2067672185499</v>
      </c>
      <c r="S378">
        <v>15.356124146491853</v>
      </c>
    </row>
    <row r="379" spans="2:50">
      <c r="B379" t="s">
        <v>1864</v>
      </c>
      <c r="C379" t="s">
        <v>281</v>
      </c>
      <c r="D379" s="103" t="s">
        <v>2027</v>
      </c>
      <c r="E379" s="116"/>
      <c r="F379"/>
      <c r="G379"/>
      <c r="H379" s="336"/>
      <c r="I379" s="302"/>
      <c r="J379" s="297"/>
      <c r="K379" s="74" t="s">
        <v>2200</v>
      </c>
      <c r="L379" s="74" t="s">
        <v>2199</v>
      </c>
      <c r="R379">
        <v>288.87009671195972</v>
      </c>
      <c r="S379">
        <v>0.78361428028066915</v>
      </c>
    </row>
    <row r="380" spans="2:50">
      <c r="B380" t="s">
        <v>1880</v>
      </c>
      <c r="C380" t="s">
        <v>274</v>
      </c>
      <c r="D380" s="103" t="s">
        <v>1946</v>
      </c>
      <c r="E380" s="116">
        <v>4.0000000000000002E-4</v>
      </c>
      <c r="F380">
        <v>20</v>
      </c>
      <c r="G380">
        <f>273.15+F380</f>
        <v>293.14999999999998</v>
      </c>
      <c r="H380" s="372" t="e" cm="1">
        <f t="array" aca="1" ref="H380" ca="1">VLOOKUP(D380,Table245[[Compound Name]:[∆OWU SD]],INDIRECT("RAVs!$"&amp;VLOOKUP(C380,$N$45:$P$50,3,FALSE)&amp;"$1")+1,FALSE)*1000</f>
        <v>#N/A</v>
      </c>
      <c r="I380" s="422" t="e">
        <f ca="1">EXP(LN(E380)-H380/8.314*(1/$J$46-1/G380))</f>
        <v>#N/A</v>
      </c>
      <c r="J380" s="61" t="e">
        <f ca="1">I380</f>
        <v>#N/A</v>
      </c>
      <c r="K380" s="74" t="s">
        <v>2186</v>
      </c>
      <c r="L380" s="74" t="s">
        <v>1326</v>
      </c>
      <c r="R380">
        <v>0.95133588025526128</v>
      </c>
      <c r="S380">
        <v>0.32346482039512531</v>
      </c>
    </row>
    <row r="381" spans="2:50">
      <c r="B381" t="s">
        <v>1881</v>
      </c>
      <c r="C381" t="s">
        <v>274</v>
      </c>
      <c r="D381" s="103" t="s">
        <v>1958</v>
      </c>
      <c r="E381" s="116">
        <v>100</v>
      </c>
      <c r="F381">
        <v>20</v>
      </c>
      <c r="G381">
        <f>273.15+F381</f>
        <v>293.14999999999998</v>
      </c>
      <c r="H381" s="372" t="e" cm="1">
        <f t="array" aca="1" ref="H381" ca="1">VLOOKUP(D381,Table245[[Compound Name]:[∆OWU SD]],INDIRECT("RAVs!$"&amp;VLOOKUP(C381,$N$45:$P$50,3,FALSE)&amp;"$1")+1,FALSE)*1000</f>
        <v>#N/A</v>
      </c>
      <c r="I381" s="422" t="e">
        <f ca="1">EXP(LN(E381)-H381/8.314*(1/$J$46-1/G381))</f>
        <v>#N/A</v>
      </c>
      <c r="J381" s="61" t="e">
        <f ca="1">I381</f>
        <v>#N/A</v>
      </c>
      <c r="K381" s="74" t="s">
        <v>2198</v>
      </c>
      <c r="L381" s="74" t="s">
        <v>2119</v>
      </c>
      <c r="T381" s="61"/>
      <c r="AV381">
        <f>LOG(AV384)</f>
        <v>-1.4524985040342469</v>
      </c>
    </row>
    <row r="382" spans="2:50">
      <c r="B382" t="s">
        <v>1882</v>
      </c>
      <c r="C382" t="s">
        <v>274</v>
      </c>
      <c r="D382" s="103" t="s">
        <v>1958</v>
      </c>
      <c r="E382" s="116">
        <v>50</v>
      </c>
      <c r="F382"/>
      <c r="G382"/>
      <c r="H382" s="336"/>
      <c r="I382" s="302"/>
      <c r="J382" s="297">
        <v>50</v>
      </c>
      <c r="K382" s="74" t="s">
        <v>2197</v>
      </c>
      <c r="L382" s="74" t="s">
        <v>2196</v>
      </c>
      <c r="T382" s="61"/>
      <c r="AC382" s="391" t="s">
        <v>1989</v>
      </c>
      <c r="AD382" t="s">
        <v>2166</v>
      </c>
      <c r="AQ382" s="391" t="s">
        <v>1980</v>
      </c>
      <c r="AR382" t="s">
        <v>2549</v>
      </c>
    </row>
    <row r="383" spans="2:50">
      <c r="B383" t="s">
        <v>1883</v>
      </c>
      <c r="C383" t="s">
        <v>274</v>
      </c>
      <c r="D383" s="103" t="s">
        <v>1958</v>
      </c>
      <c r="E383" s="116">
        <v>1.9E-3</v>
      </c>
      <c r="F383">
        <v>20</v>
      </c>
      <c r="G383">
        <f t="shared" ref="G383:G388" si="44">273.15+F383</f>
        <v>293.14999999999998</v>
      </c>
      <c r="H383" s="372" t="e" cm="1">
        <f t="array" aca="1" ref="H383" ca="1">VLOOKUP(D383,Table245[[Compound Name]:[∆OWU SD]],INDIRECT("RAVs!$"&amp;VLOOKUP(C383,$N$45:$P$50,3,FALSE)&amp;"$1")+1,FALSE)*1000</f>
        <v>#N/A</v>
      </c>
      <c r="I383" s="422" t="e">
        <f t="shared" ref="I383:I388" ca="1" si="45">EXP(LN(E383)-H383/8.314*(1/$J$46-1/G383))</f>
        <v>#N/A</v>
      </c>
      <c r="J383" s="61" t="e">
        <f t="shared" ref="J383:J388" ca="1" si="46">I383</f>
        <v>#N/A</v>
      </c>
      <c r="K383" s="74" t="s">
        <v>2186</v>
      </c>
      <c r="L383" s="74" t="s">
        <v>2436</v>
      </c>
      <c r="T383" s="61"/>
      <c r="AD383" t="s">
        <v>478</v>
      </c>
      <c r="AE383" t="s">
        <v>510</v>
      </c>
      <c r="AF383" t="s">
        <v>511</v>
      </c>
      <c r="AG383" t="s">
        <v>553</v>
      </c>
      <c r="AR383" t="s">
        <v>478</v>
      </c>
      <c r="AS383" t="s">
        <v>510</v>
      </c>
      <c r="AT383" t="s">
        <v>2551</v>
      </c>
      <c r="AU383" t="s">
        <v>2555</v>
      </c>
      <c r="AV383" t="s">
        <v>2552</v>
      </c>
      <c r="AW383" t="s">
        <v>2553</v>
      </c>
    </row>
    <row r="384" spans="2:50">
      <c r="B384" t="s">
        <v>1884</v>
      </c>
      <c r="C384" t="s">
        <v>191</v>
      </c>
      <c r="D384" s="103" t="s">
        <v>1958</v>
      </c>
      <c r="E384" s="118">
        <v>1.5099999999999999E-5</v>
      </c>
      <c r="F384">
        <v>20</v>
      </c>
      <c r="G384">
        <f t="shared" si="44"/>
        <v>293.14999999999998</v>
      </c>
      <c r="H384" s="372" t="e" cm="1">
        <f t="array" aca="1" ref="H384" ca="1">VLOOKUP(D384,Table245[[Compound Name]:[∆OWU SD]],INDIRECT("RAVs!$"&amp;VLOOKUP(C384,$N$45:$P$50,3,FALSE)&amp;"$1")+1,FALSE)*1000</f>
        <v>#N/A</v>
      </c>
      <c r="I384" s="422" t="e">
        <f t="shared" ca="1" si="45"/>
        <v>#N/A</v>
      </c>
      <c r="J384" s="61" t="e">
        <f t="shared" ca="1" si="46"/>
        <v>#N/A</v>
      </c>
      <c r="K384" s="74" t="s">
        <v>2195</v>
      </c>
      <c r="L384" s="74" t="s">
        <v>1326</v>
      </c>
      <c r="P384" s="391" t="s">
        <v>1989</v>
      </c>
      <c r="Q384" t="s">
        <v>2166</v>
      </c>
      <c r="AD384">
        <v>133.15</v>
      </c>
      <c r="AE384">
        <f t="shared" ref="AE384:AE390" si="47">1/(AD384+273.15)</f>
        <v>2.4612355402412012E-3</v>
      </c>
      <c r="AF384">
        <v>100</v>
      </c>
      <c r="AG384" s="61">
        <f t="shared" ref="AG384:AG390" si="48">LN(AF384)</f>
        <v>4.6051701859880918</v>
      </c>
      <c r="AR384">
        <v>298.14999999999998</v>
      </c>
      <c r="AS384">
        <f>1/(AR384+273.15)</f>
        <v>1.7503938386136883E-3</v>
      </c>
      <c r="AT384" s="74">
        <v>6.3499999999999996E-7</v>
      </c>
      <c r="AU384" s="74">
        <f>AT384/(1-AT384)</f>
        <v>6.3500040322525607E-7</v>
      </c>
      <c r="AV384" s="74">
        <f>AU384/0.000018</f>
        <v>3.527780017918089E-2</v>
      </c>
      <c r="AW384" s="61">
        <f>LN(AV384)</f>
        <v>-3.3445014029854083</v>
      </c>
      <c r="AX384">
        <f>LN(AT384)</f>
        <v>-14.26964083805372</v>
      </c>
    </row>
    <row r="385" spans="2:50">
      <c r="B385" t="s">
        <v>2194</v>
      </c>
      <c r="C385" t="s">
        <v>191</v>
      </c>
      <c r="D385" s="103" t="s">
        <v>1958</v>
      </c>
      <c r="E385" s="118">
        <v>5.8100000000000003E-5</v>
      </c>
      <c r="F385">
        <v>36</v>
      </c>
      <c r="G385">
        <f t="shared" si="44"/>
        <v>309.14999999999998</v>
      </c>
      <c r="H385" s="372" t="e" cm="1">
        <f t="array" aca="1" ref="H385" ca="1">VLOOKUP(D385,Table245[[Compound Name]:[∆OWU SD]],INDIRECT("RAVs!$"&amp;VLOOKUP(C385,$N$45:$P$50,3,FALSE)&amp;"$1")+1,FALSE)*1000</f>
        <v>#N/A</v>
      </c>
      <c r="I385" s="422" t="e">
        <f t="shared" ca="1" si="45"/>
        <v>#N/A</v>
      </c>
      <c r="J385" s="61" t="e">
        <f t="shared" ca="1" si="46"/>
        <v>#N/A</v>
      </c>
      <c r="K385" s="74" t="s">
        <v>2193</v>
      </c>
      <c r="L385" s="74" t="s">
        <v>2411</v>
      </c>
      <c r="Q385" t="s">
        <v>478</v>
      </c>
      <c r="R385" t="s">
        <v>510</v>
      </c>
      <c r="S385" t="s">
        <v>511</v>
      </c>
      <c r="T385" t="s">
        <v>553</v>
      </c>
      <c r="AD385">
        <v>163.37</v>
      </c>
      <c r="AE385">
        <f t="shared" si="47"/>
        <v>2.290845780262073E-3</v>
      </c>
      <c r="AF385">
        <v>500</v>
      </c>
      <c r="AG385" s="61">
        <f t="shared" si="48"/>
        <v>6.2146080984221914</v>
      </c>
      <c r="AR385">
        <v>308.14999999999998</v>
      </c>
      <c r="AS385">
        <f>1/(AR385+273.15)</f>
        <v>1.7202821262687082E-3</v>
      </c>
      <c r="AT385" s="74">
        <v>6.5069999999999997E-7</v>
      </c>
      <c r="AU385" s="74">
        <f>AT385/(1-AT385)</f>
        <v>6.5070042341076547E-7</v>
      </c>
      <c r="AV385" s="74">
        <f>AU385/0.000018</f>
        <v>3.6150023522820304E-2</v>
      </c>
      <c r="AW385" s="61">
        <f>LN(AV385)</f>
        <v>-3.3200776796771518</v>
      </c>
      <c r="AX385">
        <f>LN(AT385)</f>
        <v>-14.245217130445473</v>
      </c>
    </row>
    <row r="386" spans="2:50">
      <c r="B386" t="s">
        <v>1892</v>
      </c>
      <c r="C386" t="s">
        <v>191</v>
      </c>
      <c r="D386" s="103" t="s">
        <v>1958</v>
      </c>
      <c r="E386" s="118">
        <v>5.84E-6</v>
      </c>
      <c r="F386">
        <v>17</v>
      </c>
      <c r="G386">
        <f t="shared" si="44"/>
        <v>290.14999999999998</v>
      </c>
      <c r="H386" s="372" t="e" cm="1">
        <f t="array" aca="1" ref="H386" ca="1">VLOOKUP(D386,Table245[[Compound Name]:[∆OWU SD]],INDIRECT("RAVs!$"&amp;VLOOKUP(C386,$N$45:$P$50,3,FALSE)&amp;"$1")+1,FALSE)*1000</f>
        <v>#N/A</v>
      </c>
      <c r="I386" s="422" t="e">
        <f t="shared" ca="1" si="45"/>
        <v>#N/A</v>
      </c>
      <c r="J386" s="61" t="e">
        <f t="shared" ca="1" si="46"/>
        <v>#N/A</v>
      </c>
      <c r="K386" s="74" t="s">
        <v>2192</v>
      </c>
      <c r="L386" s="74" t="s">
        <v>2411</v>
      </c>
      <c r="Q386">
        <v>127.55</v>
      </c>
      <c r="R386">
        <f t="shared" ref="R386:R393" si="49">1/(Q386+273.15)</f>
        <v>2.4956326428749688E-3</v>
      </c>
      <c r="S386">
        <v>70</v>
      </c>
      <c r="T386" s="61">
        <f t="shared" ref="T386:T393" si="50">LN(S386)</f>
        <v>4.2484952420493594</v>
      </c>
      <c r="AD386">
        <v>178.43</v>
      </c>
      <c r="AE386">
        <f t="shared" si="47"/>
        <v>2.2144470525709732E-3</v>
      </c>
      <c r="AF386">
        <v>1000</v>
      </c>
      <c r="AG386" s="61">
        <f t="shared" si="48"/>
        <v>6.9077552789821368</v>
      </c>
      <c r="AR386">
        <v>318.14999999999998</v>
      </c>
      <c r="AS386">
        <f>1/(AR386+273.15)</f>
        <v>1.6911889058007781E-3</v>
      </c>
      <c r="AT386" s="74">
        <v>7.0739999999999999E-7</v>
      </c>
      <c r="AU386" s="74">
        <f>AT386/(1-AT386)</f>
        <v>7.0740050041511402E-7</v>
      </c>
      <c r="AV386" s="74">
        <f>AU386/0.000018</f>
        <v>3.9300027800839667E-2</v>
      </c>
      <c r="AW386" s="61">
        <f>LN(AV386)</f>
        <v>-3.2365300527066712</v>
      </c>
      <c r="AX386">
        <f>LN(AT386)</f>
        <v>-14.161669560175032</v>
      </c>
    </row>
    <row r="387" spans="2:50">
      <c r="B387" t="s">
        <v>1897</v>
      </c>
      <c r="C387" t="s">
        <v>191</v>
      </c>
      <c r="D387" s="103" t="s">
        <v>1958</v>
      </c>
      <c r="E387" s="118">
        <v>6.0000000000000002E-6</v>
      </c>
      <c r="F387">
        <v>20</v>
      </c>
      <c r="G387">
        <f t="shared" si="44"/>
        <v>293.14999999999998</v>
      </c>
      <c r="H387" s="372" t="e" cm="1">
        <f t="array" aca="1" ref="H387" ca="1">VLOOKUP(D387,Table245[[Compound Name]:[∆OWU SD]],INDIRECT("RAVs!$"&amp;VLOOKUP(C387,$N$45:$P$50,3,FALSE)&amp;"$1")+1,FALSE)*1000</f>
        <v>#N/A</v>
      </c>
      <c r="I387" s="422" t="e">
        <f t="shared" ca="1" si="45"/>
        <v>#N/A</v>
      </c>
      <c r="J387" s="61" t="e">
        <f t="shared" ca="1" si="46"/>
        <v>#N/A</v>
      </c>
      <c r="K387" s="74" t="s">
        <v>2191</v>
      </c>
      <c r="L387" s="74" t="s">
        <v>1326</v>
      </c>
      <c r="Q387">
        <v>133.01</v>
      </c>
      <c r="R387">
        <f t="shared" si="49"/>
        <v>2.4620839078195785E-3</v>
      </c>
      <c r="S387">
        <v>100</v>
      </c>
      <c r="T387" s="61">
        <f t="shared" si="50"/>
        <v>4.6051701859880918</v>
      </c>
      <c r="AD387">
        <v>219.3</v>
      </c>
      <c r="AE387">
        <f t="shared" si="47"/>
        <v>2.0306630114732462E-3</v>
      </c>
      <c r="AF387">
        <v>5000</v>
      </c>
      <c r="AG387" s="61">
        <f t="shared" si="48"/>
        <v>8.5171931914162382</v>
      </c>
      <c r="AR387">
        <v>328.15</v>
      </c>
      <c r="AS387">
        <f>1/(AR387+273.15)</f>
        <v>1.6630633627141196E-3</v>
      </c>
      <c r="AT387" s="74">
        <v>8.2340000000000003E-7</v>
      </c>
      <c r="AU387" s="74">
        <f>AT387/(1-AT387)</f>
        <v>8.234006779881183E-7</v>
      </c>
      <c r="AV387" s="74">
        <f>AU387/0.000018</f>
        <v>4.5744482110451012E-2</v>
      </c>
      <c r="AW387" s="61">
        <f>LN(AV387)</f>
        <v>-3.0846841041421587</v>
      </c>
      <c r="AX387">
        <f>LN(AT387)</f>
        <v>-14.009823727610607</v>
      </c>
    </row>
    <row r="388" spans="2:50">
      <c r="B388" t="s">
        <v>2190</v>
      </c>
      <c r="C388" t="s">
        <v>191</v>
      </c>
      <c r="D388" s="103" t="s">
        <v>1958</v>
      </c>
      <c r="E388" s="118">
        <v>1.4999999999999999E-4</v>
      </c>
      <c r="F388">
        <v>40</v>
      </c>
      <c r="G388">
        <f t="shared" si="44"/>
        <v>313.14999999999998</v>
      </c>
      <c r="H388" s="372" t="e" cm="1">
        <f t="array" aca="1" ref="H388" ca="1">VLOOKUP(D388,Table245[[Compound Name]:[∆OWU SD]],INDIRECT("RAVs!$"&amp;VLOOKUP(C388,$N$45:$P$50,3,FALSE)&amp;"$1")+1,FALSE)*1000</f>
        <v>#N/A</v>
      </c>
      <c r="I388" s="422" t="e">
        <f t="shared" ca="1" si="45"/>
        <v>#N/A</v>
      </c>
      <c r="J388" s="61" t="e">
        <f t="shared" ca="1" si="46"/>
        <v>#N/A</v>
      </c>
      <c r="K388" s="74" t="s">
        <v>1828</v>
      </c>
      <c r="L388" s="74" t="s">
        <v>2411</v>
      </c>
      <c r="Q388">
        <v>163.35</v>
      </c>
      <c r="R388">
        <f t="shared" si="49"/>
        <v>2.2909507445589921E-3</v>
      </c>
      <c r="S388">
        <v>500</v>
      </c>
      <c r="T388" s="61">
        <f t="shared" si="50"/>
        <v>6.2146080984221914</v>
      </c>
      <c r="AD388">
        <v>240.1</v>
      </c>
      <c r="AE388">
        <f t="shared" si="47"/>
        <v>1.948368241597662E-3</v>
      </c>
      <c r="AF388">
        <v>10000</v>
      </c>
      <c r="AG388" s="61">
        <f t="shared" si="48"/>
        <v>9.2103403719761836</v>
      </c>
      <c r="AU388" s="61"/>
    </row>
    <row r="389" spans="2:50">
      <c r="B389" t="s">
        <v>2189</v>
      </c>
      <c r="C389" t="s">
        <v>281</v>
      </c>
      <c r="D389" s="103" t="s">
        <v>1958</v>
      </c>
      <c r="E389" s="116">
        <v>5.3</v>
      </c>
      <c r="F389"/>
      <c r="G389"/>
      <c r="H389" s="336"/>
      <c r="I389" s="302"/>
      <c r="J389" s="297">
        <v>5.3</v>
      </c>
      <c r="K389" s="74" t="s">
        <v>1250</v>
      </c>
      <c r="L389" s="74" t="s">
        <v>2388</v>
      </c>
      <c r="Q389">
        <v>178.36</v>
      </c>
      <c r="R389">
        <f t="shared" si="49"/>
        <v>2.2147903700914708E-3</v>
      </c>
      <c r="S389">
        <v>1000</v>
      </c>
      <c r="T389" s="61">
        <f t="shared" si="50"/>
        <v>6.9077552789821368</v>
      </c>
      <c r="AD389">
        <v>298</v>
      </c>
      <c r="AE389">
        <f t="shared" si="47"/>
        <v>1.750853541101287E-3</v>
      </c>
      <c r="AF389">
        <v>50000</v>
      </c>
      <c r="AG389" s="61">
        <f t="shared" si="48"/>
        <v>10.819778284410283</v>
      </c>
      <c r="AS389" s="120"/>
      <c r="AU389" t="s">
        <v>2550</v>
      </c>
      <c r="AV389" s="120">
        <f>-AS390*8.314/1000</f>
        <v>24.519282917858021</v>
      </c>
    </row>
    <row r="390" spans="2:50" s="334" customFormat="1">
      <c r="B390" s="334" t="s">
        <v>2188</v>
      </c>
      <c r="C390" s="334" t="s">
        <v>281</v>
      </c>
      <c r="D390" s="438" t="s">
        <v>1958</v>
      </c>
      <c r="E390" s="116">
        <v>4.2</v>
      </c>
      <c r="H390" s="336"/>
      <c r="I390" s="439"/>
      <c r="J390" s="440">
        <v>4.2</v>
      </c>
      <c r="K390" s="441" t="s">
        <v>1250</v>
      </c>
      <c r="L390" s="441" t="s">
        <v>2390</v>
      </c>
      <c r="Q390" s="334">
        <v>219.2</v>
      </c>
      <c r="R390" s="334">
        <f t="shared" si="49"/>
        <v>2.0310754544531329E-3</v>
      </c>
      <c r="S390" s="334">
        <v>5000</v>
      </c>
      <c r="T390" s="442">
        <f t="shared" si="50"/>
        <v>8.5171931914162382</v>
      </c>
      <c r="AD390" s="334">
        <v>327.10000000000002</v>
      </c>
      <c r="AE390" s="334">
        <f t="shared" si="47"/>
        <v>1.6659725114535611E-3</v>
      </c>
      <c r="AF390" s="334">
        <v>100000</v>
      </c>
      <c r="AG390" s="442">
        <f t="shared" si="48"/>
        <v>11.512925464970229</v>
      </c>
      <c r="AH390" s="341"/>
      <c r="AS390">
        <f t="array" ref="AS390:AT392">LINEST(AW384:AW387,AS384:AS387,TRUE,TRUE)</f>
        <v>-2949.1559920445056</v>
      </c>
      <c r="AT390">
        <v>1.7854961888214902</v>
      </c>
      <c r="AU390"/>
      <c r="AV390"/>
      <c r="AW390"/>
    </row>
    <row r="391" spans="2:50">
      <c r="B391" t="s">
        <v>2187</v>
      </c>
      <c r="C391" t="s">
        <v>274</v>
      </c>
      <c r="D391" s="103" t="s">
        <v>1932</v>
      </c>
      <c r="E391" s="118">
        <v>6.0999999999999997E-4</v>
      </c>
      <c r="F391">
        <v>20</v>
      </c>
      <c r="G391">
        <f>273.15+F391</f>
        <v>293.14999999999998</v>
      </c>
      <c r="H391" s="372" t="e" cm="1">
        <f t="array" aca="1" ref="H391" ca="1">VLOOKUP(D391,Table245[[Compound Name]:[∆OWU SD]],INDIRECT("RAVs!$"&amp;VLOOKUP(C391,$N$45:$P$50,3,FALSE)&amp;"$1")+1,FALSE)*1000</f>
        <v>#N/A</v>
      </c>
      <c r="I391" s="422" t="e">
        <f ca="1">EXP(LN(E391)-H391/8.314*(1/$J$46-1/G391))</f>
        <v>#N/A</v>
      </c>
      <c r="J391" s="61" t="e">
        <f ca="1">I391</f>
        <v>#N/A</v>
      </c>
      <c r="K391" s="74" t="s">
        <v>2186</v>
      </c>
      <c r="L391" s="74" t="s">
        <v>1326</v>
      </c>
      <c r="Q391">
        <v>240.1</v>
      </c>
      <c r="R391">
        <f t="shared" si="49"/>
        <v>1.948368241597662E-3</v>
      </c>
      <c r="S391">
        <v>10000</v>
      </c>
      <c r="T391" s="61">
        <f t="shared" si="50"/>
        <v>9.2103403719761836</v>
      </c>
      <c r="AS391">
        <v>724.29219346505624</v>
      </c>
      <c r="AT391">
        <v>1.2360353909632431</v>
      </c>
    </row>
    <row r="392" spans="2:50">
      <c r="B392" t="s">
        <v>2185</v>
      </c>
      <c r="C392" t="s">
        <v>2184</v>
      </c>
      <c r="D392" s="103" t="s">
        <v>1972</v>
      </c>
      <c r="E392" s="116">
        <v>-35</v>
      </c>
      <c r="F392"/>
      <c r="G392"/>
      <c r="H392" s="336"/>
      <c r="I392" s="302"/>
      <c r="J392" s="297">
        <v>-35</v>
      </c>
      <c r="K392" s="74" t="s">
        <v>2183</v>
      </c>
      <c r="L392" s="74" t="s">
        <v>2182</v>
      </c>
      <c r="Q392">
        <v>298.7</v>
      </c>
      <c r="R392">
        <f t="shared" si="49"/>
        <v>1.7487103261344761E-3</v>
      </c>
      <c r="S392">
        <v>50000</v>
      </c>
      <c r="T392" s="61">
        <f t="shared" si="50"/>
        <v>10.819778284410283</v>
      </c>
      <c r="U392" s="120"/>
      <c r="AS392">
        <v>0.89235369185171254</v>
      </c>
      <c r="AT392">
        <v>4.7148584431390972E-2</v>
      </c>
    </row>
    <row r="393" spans="2:50">
      <c r="B393" t="s">
        <v>2181</v>
      </c>
      <c r="C393" t="s">
        <v>274</v>
      </c>
      <c r="D393" s="103" t="s">
        <v>1972</v>
      </c>
      <c r="E393" s="116">
        <v>2.9</v>
      </c>
      <c r="F393"/>
      <c r="G393"/>
      <c r="H393" s="336"/>
      <c r="I393" s="302"/>
      <c r="J393" s="297">
        <v>2.9</v>
      </c>
      <c r="K393" s="74" t="s">
        <v>2174</v>
      </c>
      <c r="L393" s="74" t="s">
        <v>2509</v>
      </c>
      <c r="Q393">
        <v>329.4</v>
      </c>
      <c r="R393">
        <f t="shared" si="49"/>
        <v>1.6596133100987471E-3</v>
      </c>
      <c r="S393">
        <v>100000</v>
      </c>
      <c r="T393" s="61">
        <f t="shared" si="50"/>
        <v>11.512925464970229</v>
      </c>
      <c r="AE393" s="120"/>
      <c r="AG393" t="s">
        <v>552</v>
      </c>
      <c r="AH393" s="120">
        <f>-AE394*8.314/1000</f>
        <v>71.813221855092991</v>
      </c>
    </row>
    <row r="394" spans="2:50">
      <c r="B394" t="s">
        <v>2180</v>
      </c>
      <c r="C394" t="s">
        <v>274</v>
      </c>
      <c r="D394" s="103" t="s">
        <v>1972</v>
      </c>
      <c r="E394" s="116">
        <v>2.82</v>
      </c>
      <c r="F394">
        <v>20</v>
      </c>
      <c r="G394">
        <f>273.15+F394</f>
        <v>293.14999999999998</v>
      </c>
      <c r="H394" s="372" t="e" cm="1">
        <f t="array" aca="1" ref="H394" ca="1">VLOOKUP(D394,Table245[[Compound Name]:[∆OWU SD]],INDIRECT("RAVs!$"&amp;VLOOKUP(C394,$N$45:$P$50,3,FALSE)&amp;"$1")+1,FALSE)*1000</f>
        <v>#N/A</v>
      </c>
      <c r="I394" s="422" t="e">
        <f ca="1">EXP(LN(E394)-H394/8.314*(1/$J$46-1/G394))</f>
        <v>#N/A</v>
      </c>
      <c r="J394" s="61" t="e">
        <f ca="1">I394</f>
        <v>#N/A</v>
      </c>
      <c r="K394" s="74" t="s">
        <v>2172</v>
      </c>
      <c r="L394" s="74" t="s">
        <v>1326</v>
      </c>
      <c r="AE394">
        <f t="array" ref="AE394:AF396">LINEST(AG384:AG390,AE384:AE390,TRUE,TRUE)</f>
        <v>-8637.6259147333403</v>
      </c>
      <c r="AF394">
        <v>25.977812230271354</v>
      </c>
      <c r="AQ394" s="391" t="s">
        <v>1989</v>
      </c>
      <c r="AR394" t="s">
        <v>2549</v>
      </c>
      <c r="AV394" s="61">
        <f>LOG(AV396)</f>
        <v>-1.405238939932935</v>
      </c>
    </row>
    <row r="395" spans="2:50">
      <c r="B395" t="s">
        <v>2179</v>
      </c>
      <c r="C395" t="s">
        <v>274</v>
      </c>
      <c r="D395" s="103" t="s">
        <v>1972</v>
      </c>
      <c r="E395" s="116">
        <v>2.9</v>
      </c>
      <c r="F395"/>
      <c r="G395"/>
      <c r="H395" s="336"/>
      <c r="I395" s="302"/>
      <c r="J395" s="116">
        <v>2.9</v>
      </c>
      <c r="K395" s="74" t="s">
        <v>2169</v>
      </c>
      <c r="L395" s="74" t="s">
        <v>2178</v>
      </c>
      <c r="R395" s="120"/>
      <c r="T395" t="s">
        <v>552</v>
      </c>
      <c r="U395" s="120">
        <f>-R396*8.314/1000</f>
        <v>72.213398107892601</v>
      </c>
      <c r="AE395">
        <v>115.90936932832444</v>
      </c>
      <c r="AF395">
        <v>0.23983564037122518</v>
      </c>
      <c r="AR395" t="s">
        <v>478</v>
      </c>
      <c r="AS395" t="s">
        <v>510</v>
      </c>
      <c r="AT395" t="s">
        <v>2551</v>
      </c>
      <c r="AU395" t="s">
        <v>2555</v>
      </c>
      <c r="AV395" t="s">
        <v>2552</v>
      </c>
      <c r="AW395" t="s">
        <v>2553</v>
      </c>
    </row>
    <row r="396" spans="2:50">
      <c r="B396" t="s">
        <v>2177</v>
      </c>
      <c r="C396" t="s">
        <v>191</v>
      </c>
      <c r="D396" s="103" t="s">
        <v>1972</v>
      </c>
      <c r="E396" s="118">
        <v>1.14657E-3</v>
      </c>
      <c r="F396">
        <v>20</v>
      </c>
      <c r="G396">
        <f>273.15+F396</f>
        <v>293.14999999999998</v>
      </c>
      <c r="H396" s="372" t="e" cm="1">
        <f t="array" aca="1" ref="H396" ca="1">VLOOKUP(D396,Table245[[Compound Name]:[∆OWU SD]],INDIRECT("RAVs!$"&amp;VLOOKUP(C396,$N$45:$P$50,3,FALSE)&amp;"$1")+1,FALSE)*1000</f>
        <v>#N/A</v>
      </c>
      <c r="I396" s="422" t="e">
        <f ca="1">EXP(LN(E396)-H396/8.314*(1/$J$46-1/G396))</f>
        <v>#N/A</v>
      </c>
      <c r="J396" s="61" t="e">
        <f ca="1">I396</f>
        <v>#N/A</v>
      </c>
      <c r="K396" s="74" t="s">
        <v>2176</v>
      </c>
      <c r="L396" s="74" t="s">
        <v>2449</v>
      </c>
      <c r="R396">
        <f t="array" ref="R396:S398">LINEST(T386:T393,R386:R393,TRUE,TRUE)</f>
        <v>-8685.7587332081548</v>
      </c>
      <c r="S396">
        <v>26.050242600828327</v>
      </c>
      <c r="AE396">
        <v>0.99910044554254696</v>
      </c>
      <c r="AF396">
        <v>8.2108591010545295E-2</v>
      </c>
      <c r="AR396">
        <v>298.14999999999998</v>
      </c>
      <c r="AS396">
        <f>1/(AR396+273.15)</f>
        <v>1.7503938386136883E-3</v>
      </c>
      <c r="AT396" s="74">
        <v>7.0800000000000004E-7</v>
      </c>
      <c r="AU396" s="74">
        <f>AT396/(1-AT396)</f>
        <v>7.0800050126435491E-7</v>
      </c>
      <c r="AV396" s="74">
        <f>AU396/0.000018</f>
        <v>3.9333361181353048E-2</v>
      </c>
      <c r="AW396" s="61">
        <f>LN(AV396)</f>
        <v>-3.2356822351843313</v>
      </c>
    </row>
    <row r="397" spans="2:50">
      <c r="B397" t="s">
        <v>2175</v>
      </c>
      <c r="C397" t="s">
        <v>281</v>
      </c>
      <c r="D397" s="103" t="s">
        <v>1972</v>
      </c>
      <c r="E397" s="116">
        <v>4.8</v>
      </c>
      <c r="F397"/>
      <c r="G397"/>
      <c r="H397" s="336"/>
      <c r="I397" s="302"/>
      <c r="J397" s="297">
        <v>4.8</v>
      </c>
      <c r="K397" s="74" t="s">
        <v>1250</v>
      </c>
      <c r="L397" s="74" t="s">
        <v>2377</v>
      </c>
      <c r="R397">
        <v>128.50622802336565</v>
      </c>
      <c r="S397">
        <v>0.27327409730520513</v>
      </c>
      <c r="AR397">
        <v>303.14999999999998</v>
      </c>
      <c r="AS397">
        <f>1/(AR397+273.15)</f>
        <v>1.7352073572791951E-3</v>
      </c>
      <c r="AT397" s="74">
        <v>7.0510000000000003E-7</v>
      </c>
      <c r="AU397" s="74">
        <f>AT397/(1-AT397)</f>
        <v>7.0510049716636059E-7</v>
      </c>
      <c r="AV397" s="74">
        <f>AU397/0.000018</f>
        <v>3.9172249842575585E-2</v>
      </c>
      <c r="AW397" s="61">
        <f>LN(AV397)</f>
        <v>-3.2397866950530583</v>
      </c>
    </row>
    <row r="398" spans="2:50">
      <c r="B398" t="s">
        <v>2173</v>
      </c>
      <c r="C398" t="s">
        <v>281</v>
      </c>
      <c r="D398" s="103" t="s">
        <v>1972</v>
      </c>
      <c r="E398" s="116">
        <f>10^4.91</f>
        <v>81283.051616410012</v>
      </c>
      <c r="F398">
        <v>20</v>
      </c>
      <c r="G398">
        <f>273.15+F398</f>
        <v>293.14999999999998</v>
      </c>
      <c r="H398" s="372" t="e" cm="1">
        <f t="array" aca="1" ref="H398" ca="1">VLOOKUP(D398,Table245[[Compound Name]:[∆OWU SD]],INDIRECT("RAVs!$"&amp;VLOOKUP(C398,$N$45:$P$50,3,FALSE)&amp;"$1")+1,FALSE)*1000</f>
        <v>#N/A</v>
      </c>
      <c r="I398" s="422" t="e">
        <f ca="1">EXP(LN(E398)-H398/8.314*(1/$J$46-1/G398))</f>
        <v>#N/A</v>
      </c>
      <c r="J398" s="61" t="e">
        <f ca="1">LOG(I398)</f>
        <v>#N/A</v>
      </c>
      <c r="K398" s="74" t="s">
        <v>2172</v>
      </c>
      <c r="L398" s="74" t="s">
        <v>1326</v>
      </c>
      <c r="R398">
        <v>0.99868836176475284</v>
      </c>
      <c r="S398">
        <v>0.10612689895189611</v>
      </c>
      <c r="AR398">
        <v>308.14999999999998</v>
      </c>
      <c r="AS398">
        <f>1/(AR398+273.15)</f>
        <v>1.7202821262687082E-3</v>
      </c>
      <c r="AT398" s="74">
        <v>8.0719999999999998E-7</v>
      </c>
      <c r="AU398" s="74">
        <f>AT398/(1-AT398)</f>
        <v>8.072006515723659E-7</v>
      </c>
      <c r="AV398" s="74">
        <f>AU398/0.000018</f>
        <v>4.4844480642909218E-2</v>
      </c>
      <c r="AW398" s="61">
        <f>LN(AV398)</f>
        <v>-3.1045547606385768</v>
      </c>
    </row>
    <row r="399" spans="2:50">
      <c r="B399" t="s">
        <v>2171</v>
      </c>
      <c r="C399" t="s">
        <v>281</v>
      </c>
      <c r="D399" s="103" t="s">
        <v>1972</v>
      </c>
      <c r="E399" s="116">
        <v>4.78</v>
      </c>
      <c r="F399"/>
      <c r="G399"/>
      <c r="H399" s="336"/>
      <c r="I399" s="302"/>
      <c r="J399" s="297">
        <v>4.78</v>
      </c>
      <c r="K399" s="74" t="s">
        <v>2169</v>
      </c>
      <c r="L399" s="74" t="s">
        <v>2384</v>
      </c>
      <c r="AR399">
        <v>313.14999999999998</v>
      </c>
      <c r="AS399">
        <f>1/(AR399+273.15)</f>
        <v>1.7056114617090229E-3</v>
      </c>
      <c r="AT399" s="74">
        <v>8.5899999999999995E-7</v>
      </c>
      <c r="AU399" s="74">
        <f>AT399/(1-AT399)</f>
        <v>8.590007378816338E-7</v>
      </c>
      <c r="AV399" s="74">
        <f>AU399/0.000018</f>
        <v>4.7722263215646321E-2</v>
      </c>
      <c r="AW399" s="61">
        <f>LN(AV399)</f>
        <v>-3.0423572558936773</v>
      </c>
    </row>
    <row r="400" spans="2:50">
      <c r="B400" t="s">
        <v>2170</v>
      </c>
      <c r="C400" t="s">
        <v>191</v>
      </c>
      <c r="D400" s="103" t="s">
        <v>1972</v>
      </c>
      <c r="E400" s="116">
        <v>1.5E-3</v>
      </c>
      <c r="F400"/>
      <c r="G400"/>
      <c r="H400" s="336"/>
      <c r="I400" s="302"/>
      <c r="J400" s="297">
        <v>1.5E-3</v>
      </c>
      <c r="K400" s="74" t="s">
        <v>2169</v>
      </c>
      <c r="L400" s="74" t="s">
        <v>2384</v>
      </c>
      <c r="AR400">
        <v>323.14999999999998</v>
      </c>
      <c r="AS400">
        <f>1/(AR400+273.15)</f>
        <v>1.6770082173402652E-3</v>
      </c>
      <c r="AT400" s="74">
        <v>1.1254000000000001E-6</v>
      </c>
      <c r="AU400" s="74">
        <f>AT400/(1-AT400)</f>
        <v>1.1254012665265853E-6</v>
      </c>
      <c r="AV400" s="74">
        <f>AU400/0.000018</f>
        <v>6.2522292584810291E-2</v>
      </c>
      <c r="AW400" s="61">
        <f>LN(AV400)</f>
        <v>-2.7722321044784901</v>
      </c>
    </row>
    <row r="401" spans="2:48">
      <c r="B401" t="s">
        <v>2167</v>
      </c>
      <c r="C401" t="s">
        <v>274</v>
      </c>
      <c r="D401" s="103" t="s">
        <v>2027</v>
      </c>
      <c r="E401" s="116">
        <v>2810</v>
      </c>
      <c r="F401">
        <v>21</v>
      </c>
      <c r="G401">
        <f>273.15+F401</f>
        <v>294.14999999999998</v>
      </c>
      <c r="H401" s="372" t="e" cm="1">
        <f t="array" aca="1" ref="H401" ca="1">VLOOKUP(D401,Table245[[Compound Name]:[∆OWU SD]],INDIRECT("RAVs!$"&amp;VLOOKUP(C401,$N$45:$P$50,3,FALSE)&amp;"$1")+1,FALSE)*1000</f>
        <v>#N/A</v>
      </c>
      <c r="I401" s="422" t="e">
        <f ca="1">EXP(LN(E401)-H401/8.314*(1/$J$46-1/G401))</f>
        <v>#N/A</v>
      </c>
      <c r="J401" s="61" t="e">
        <f ca="1">I401</f>
        <v>#N/A</v>
      </c>
      <c r="K401" s="74" t="s">
        <v>2163</v>
      </c>
      <c r="L401" s="74" t="s">
        <v>1326</v>
      </c>
      <c r="P401" s="391" t="s">
        <v>1989</v>
      </c>
      <c r="Q401" t="s">
        <v>2166</v>
      </c>
      <c r="AD401" s="391" t="s">
        <v>1956</v>
      </c>
      <c r="AE401" t="s">
        <v>2165</v>
      </c>
    </row>
    <row r="402" spans="2:48">
      <c r="B402" t="s">
        <v>2164</v>
      </c>
      <c r="C402" t="s">
        <v>281</v>
      </c>
      <c r="D402" s="103" t="s">
        <v>2027</v>
      </c>
      <c r="E402" s="116">
        <f>10^1.46</f>
        <v>28.840315031266066</v>
      </c>
      <c r="F402">
        <v>21</v>
      </c>
      <c r="G402">
        <f>273.15+F402</f>
        <v>294.14999999999998</v>
      </c>
      <c r="H402" s="372" t="e" cm="1">
        <f t="array" aca="1" ref="H402" ca="1">VLOOKUP(D402,Table245[[Compound Name]:[∆OWU SD]],INDIRECT("RAVs!$"&amp;VLOOKUP(C402,$N$45:$P$50,3,FALSE)&amp;"$1")+1,FALSE)*1000</f>
        <v>#N/A</v>
      </c>
      <c r="I402" s="422" t="e">
        <f ca="1">EXP(LN(E402)-H402/8.314*(1/$J$46-1/G402))</f>
        <v>#N/A</v>
      </c>
      <c r="J402" s="61" t="e">
        <f ca="1">LOG(I402)</f>
        <v>#N/A</v>
      </c>
      <c r="K402" s="74" t="s">
        <v>2163</v>
      </c>
      <c r="L402" s="74" t="s">
        <v>1326</v>
      </c>
      <c r="Q402" t="s">
        <v>478</v>
      </c>
      <c r="R402" t="s">
        <v>510</v>
      </c>
      <c r="S402" t="s">
        <v>511</v>
      </c>
      <c r="T402" t="s">
        <v>553</v>
      </c>
      <c r="AE402" t="s">
        <v>478</v>
      </c>
      <c r="AF402" t="s">
        <v>510</v>
      </c>
      <c r="AG402" t="s">
        <v>511</v>
      </c>
      <c r="AH402" t="s">
        <v>553</v>
      </c>
      <c r="AR402" s="334"/>
      <c r="AS402" s="120"/>
      <c r="AU402" t="s">
        <v>2550</v>
      </c>
      <c r="AV402" s="120">
        <f>-AS403*8.314/1000</f>
        <v>54.650096011000841</v>
      </c>
    </row>
    <row r="403" spans="2:48">
      <c r="B403" t="s">
        <v>2162</v>
      </c>
      <c r="C403" t="s">
        <v>281</v>
      </c>
      <c r="D403" s="103" t="s">
        <v>2027</v>
      </c>
      <c r="E403" s="116"/>
      <c r="F403"/>
      <c r="G403"/>
      <c r="H403" s="336"/>
      <c r="I403" s="302"/>
      <c r="J403" s="61"/>
      <c r="K403" s="74" t="s">
        <v>2161</v>
      </c>
      <c r="L403" s="74" t="s">
        <v>2160</v>
      </c>
      <c r="Q403">
        <v>121.91</v>
      </c>
      <c r="R403">
        <f t="shared" ref="R403:R413" si="51">1/(Q403+273.15)</f>
        <v>2.5312610742672004E-3</v>
      </c>
      <c r="S403">
        <v>50</v>
      </c>
      <c r="T403" s="61">
        <f t="shared" ref="T403:T413" si="52">LN(S403)</f>
        <v>3.912023005428146</v>
      </c>
      <c r="AE403">
        <v>20</v>
      </c>
      <c r="AF403">
        <f t="shared" ref="AF403:AF410" si="53">1/(AE403+273.15)</f>
        <v>3.4112229234180458E-3</v>
      </c>
      <c r="AG403">
        <f>0.000000006*100</f>
        <v>5.9999999999999997E-7</v>
      </c>
      <c r="AH403" s="61">
        <f t="shared" ref="AH403:AH410" si="54">LN(AG403)</f>
        <v>-14.326336181730264</v>
      </c>
      <c r="AS403">
        <f t="array" ref="AS403:AT405">LINEST(AW396:AW400,AS396:AS400,TRUE,TRUE)</f>
        <v>-6573.2614879721959</v>
      </c>
      <c r="AT403">
        <v>8.2119725931889906</v>
      </c>
    </row>
    <row r="404" spans="2:48">
      <c r="B404" t="s">
        <v>2159</v>
      </c>
      <c r="C404" t="s">
        <v>191</v>
      </c>
      <c r="D404" s="103" t="s">
        <v>2011</v>
      </c>
      <c r="E404" s="116">
        <v>4.5999999999999999E-2</v>
      </c>
      <c r="F404">
        <v>20</v>
      </c>
      <c r="G404">
        <f>273.15+F404</f>
        <v>293.14999999999998</v>
      </c>
      <c r="H404" s="372" t="e" cm="1">
        <f t="array" aca="1" ref="H404" ca="1">VLOOKUP(D404,Table245[[Compound Name]:[∆OWU SD]],INDIRECT("RAVs!$"&amp;VLOOKUP(C404,$N$45:$P$50,3,FALSE)&amp;"$1")+1,FALSE)*1000</f>
        <v>#N/A</v>
      </c>
      <c r="I404" s="422" t="e">
        <f ca="1">EXP(LN(E404)-H404/8.314*(1/$J$46-1/G404))</f>
        <v>#N/A</v>
      </c>
      <c r="J404" s="61" t="e">
        <f ca="1">I404</f>
        <v>#N/A</v>
      </c>
      <c r="K404" s="74" t="s">
        <v>2158</v>
      </c>
      <c r="L404" s="74" t="s">
        <v>1326</v>
      </c>
      <c r="Q404">
        <v>133.19999999999999</v>
      </c>
      <c r="R404">
        <f t="shared" si="51"/>
        <v>2.4609326934908332E-3</v>
      </c>
      <c r="S404">
        <v>100</v>
      </c>
      <c r="T404" s="61">
        <f t="shared" si="52"/>
        <v>4.6051701859880918</v>
      </c>
      <c r="AE404">
        <v>50</v>
      </c>
      <c r="AF404">
        <f t="shared" si="53"/>
        <v>3.0945381401825778E-3</v>
      </c>
      <c r="AG404">
        <f>0.00000049*100</f>
        <v>4.8999999999999998E-5</v>
      </c>
      <c r="AH404" s="61">
        <f t="shared" si="54"/>
        <v>-9.9236902598536467</v>
      </c>
      <c r="AS404">
        <v>966.87546402905809</v>
      </c>
      <c r="AT404">
        <v>1.6609817801361937</v>
      </c>
    </row>
    <row r="405" spans="2:48">
      <c r="B405" t="s">
        <v>2157</v>
      </c>
      <c r="C405" t="s">
        <v>191</v>
      </c>
      <c r="D405" s="103" t="s">
        <v>1982</v>
      </c>
      <c r="E405" s="118">
        <v>0.224</v>
      </c>
      <c r="F405">
        <f>G405-273.15</f>
        <v>60.050000000000011</v>
      </c>
      <c r="G405">
        <v>333.2</v>
      </c>
      <c r="H405" s="372" t="e" cm="1">
        <f t="array" aca="1" ref="H405" ca="1">VLOOKUP(D405,Table245[[Compound Name]:[∆OWU SD]],INDIRECT("RAVs!$"&amp;VLOOKUP(C405,$N$45:$P$50,3,FALSE)&amp;"$1")+1,FALSE)*1000</f>
        <v>#N/A</v>
      </c>
      <c r="I405" s="422" t="e">
        <f ca="1">EXP(LN(E405)-H405/8.314*(1/$J$46-1/G405))</f>
        <v>#N/A</v>
      </c>
      <c r="J405" s="61" t="e">
        <f ca="1">I405</f>
        <v>#N/A</v>
      </c>
      <c r="K405" s="74" t="s">
        <v>2156</v>
      </c>
      <c r="L405" s="74" t="s">
        <v>2411</v>
      </c>
      <c r="Q405">
        <v>145.61000000000001</v>
      </c>
      <c r="R405">
        <f t="shared" si="51"/>
        <v>2.3880026745629955E-3</v>
      </c>
      <c r="S405">
        <v>200</v>
      </c>
      <c r="T405" s="61">
        <f t="shared" si="52"/>
        <v>5.2983173665480363</v>
      </c>
      <c r="AE405">
        <v>100</v>
      </c>
      <c r="AF405">
        <f t="shared" si="53"/>
        <v>2.6798874447273215E-3</v>
      </c>
      <c r="AG405">
        <f>0.00015*100</f>
        <v>1.4999999999999999E-2</v>
      </c>
      <c r="AH405" s="61">
        <f t="shared" si="54"/>
        <v>-4.1997050778799272</v>
      </c>
      <c r="AS405">
        <v>0.93904795427326127</v>
      </c>
      <c r="AT405">
        <v>5.4557964240847912E-2</v>
      </c>
    </row>
    <row r="406" spans="2:48">
      <c r="B406" t="s">
        <v>2155</v>
      </c>
      <c r="C406" t="s">
        <v>191</v>
      </c>
      <c r="D406" s="103" t="s">
        <v>2011</v>
      </c>
      <c r="E406" s="116">
        <v>0.17180000000000001</v>
      </c>
      <c r="F406">
        <f>G406-273.15</f>
        <v>30.04000000000002</v>
      </c>
      <c r="G406">
        <v>303.19</v>
      </c>
      <c r="H406" s="372" t="e" cm="1">
        <f t="array" aca="1" ref="H406" ca="1">VLOOKUP(D406,Table245[[Compound Name]:[∆OWU SD]],INDIRECT("RAVs!$"&amp;VLOOKUP(C406,$N$45:$P$50,3,FALSE)&amp;"$1")+1,FALSE)*1000</f>
        <v>#N/A</v>
      </c>
      <c r="I406" s="422" t="e">
        <f ca="1">EXP(LN(E406)-H406/8.314*(1/$J$46-1/G406))</f>
        <v>#N/A</v>
      </c>
      <c r="J406" s="61" t="e">
        <f ca="1">I406</f>
        <v>#N/A</v>
      </c>
      <c r="K406" s="74" t="s">
        <v>2154</v>
      </c>
      <c r="L406" s="74" t="s">
        <v>2411</v>
      </c>
      <c r="Q406">
        <v>163.66</v>
      </c>
      <c r="R406">
        <f t="shared" si="51"/>
        <v>2.2893248780934505E-3</v>
      </c>
      <c r="S406">
        <v>500</v>
      </c>
      <c r="T406" s="61">
        <f t="shared" si="52"/>
        <v>6.2146080984221914</v>
      </c>
      <c r="AE406">
        <v>150</v>
      </c>
      <c r="AF406">
        <f t="shared" si="53"/>
        <v>2.3632281696797826E-3</v>
      </c>
      <c r="AG406">
        <f>0.012*100</f>
        <v>1.2</v>
      </c>
      <c r="AH406" s="61">
        <f t="shared" si="54"/>
        <v>0.18232155679395459</v>
      </c>
    </row>
    <row r="407" spans="2:48">
      <c r="B407" t="s">
        <v>2152</v>
      </c>
      <c r="C407" t="s">
        <v>191</v>
      </c>
      <c r="D407" s="103" t="s">
        <v>1946</v>
      </c>
      <c r="E407" s="116">
        <v>0.93330000000000002</v>
      </c>
      <c r="F407">
        <v>120</v>
      </c>
      <c r="G407">
        <f>273.15+F407</f>
        <v>393.15</v>
      </c>
      <c r="H407" s="372" t="e" cm="1">
        <f t="array" aca="1" ref="H407" ca="1">VLOOKUP(D407,Table245[[Compound Name]:[∆OWU SD]],INDIRECT("RAVs!$"&amp;VLOOKUP(C407,$N$45:$P$50,3,FALSE)&amp;"$1")+1,FALSE)*1000</f>
        <v>#N/A</v>
      </c>
      <c r="I407" s="422" t="e">
        <f ca="1">EXP(LN(E407)-H407/8.314*(1/$J$46-1/G407))</f>
        <v>#N/A</v>
      </c>
      <c r="J407" s="61" t="e">
        <f ca="1">I407</f>
        <v>#N/A</v>
      </c>
      <c r="K407" s="74" t="s">
        <v>2150</v>
      </c>
      <c r="L407" s="74" t="s">
        <v>2411</v>
      </c>
      <c r="Q407">
        <v>178.69</v>
      </c>
      <c r="R407">
        <f t="shared" si="51"/>
        <v>2.2131728045325779E-3</v>
      </c>
      <c r="S407">
        <v>1000</v>
      </c>
      <c r="T407" s="61">
        <f t="shared" si="52"/>
        <v>6.9077552789821368</v>
      </c>
      <c r="AE407">
        <v>200</v>
      </c>
      <c r="AF407">
        <f t="shared" si="53"/>
        <v>2.1134946634259748E-3</v>
      </c>
      <c r="AG407">
        <f>0.39*100</f>
        <v>39</v>
      </c>
      <c r="AH407" s="61">
        <f t="shared" si="54"/>
        <v>3.6635616461296463</v>
      </c>
    </row>
    <row r="408" spans="2:48">
      <c r="B408" t="s">
        <v>2151</v>
      </c>
      <c r="C408" t="s">
        <v>191</v>
      </c>
      <c r="D408" s="103" t="s">
        <v>1982</v>
      </c>
      <c r="E408" s="116">
        <v>20</v>
      </c>
      <c r="F408">
        <v>90</v>
      </c>
      <c r="G408">
        <f>273.15+F408</f>
        <v>363.15</v>
      </c>
      <c r="H408" s="372" t="e" cm="1">
        <f t="array" aca="1" ref="H408" ca="1">VLOOKUP(D408,Table245[[Compound Name]:[∆OWU SD]],INDIRECT("RAVs!$"&amp;VLOOKUP(C408,$N$45:$P$50,3,FALSE)&amp;"$1")+1,FALSE)*1000</f>
        <v>#N/A</v>
      </c>
      <c r="I408" s="422" t="e">
        <f ca="1">EXP(LN(E408)-H408/8.314*(1/$J$46-1/G408))</f>
        <v>#N/A</v>
      </c>
      <c r="J408" s="61" t="e">
        <f ca="1">I408</f>
        <v>#N/A</v>
      </c>
      <c r="K408" s="74" t="s">
        <v>2150</v>
      </c>
      <c r="L408" s="74" t="s">
        <v>2414</v>
      </c>
      <c r="Q408">
        <v>195.25</v>
      </c>
      <c r="R408">
        <f t="shared" si="51"/>
        <v>2.134927412467976E-3</v>
      </c>
      <c r="S408">
        <v>2000</v>
      </c>
      <c r="T408" s="61">
        <f t="shared" si="52"/>
        <v>7.6009024595420822</v>
      </c>
      <c r="AE408">
        <v>250</v>
      </c>
      <c r="AF408">
        <f t="shared" si="53"/>
        <v>1.9114976584153685E-3</v>
      </c>
      <c r="AG408">
        <f>6.5*100</f>
        <v>650</v>
      </c>
      <c r="AH408" s="61">
        <f t="shared" si="54"/>
        <v>6.4769723628896827</v>
      </c>
    </row>
    <row r="409" spans="2:48">
      <c r="B409" t="s">
        <v>2149</v>
      </c>
      <c r="C409" t="s">
        <v>502</v>
      </c>
      <c r="D409" s="103" t="s">
        <v>2027</v>
      </c>
      <c r="E409" s="117">
        <f>$U$361</f>
        <v>64.564444597133615</v>
      </c>
      <c r="F409"/>
      <c r="G409"/>
      <c r="H409" s="336"/>
      <c r="I409" s="302"/>
      <c r="J409" s="61">
        <f>E409</f>
        <v>64.564444597133615</v>
      </c>
      <c r="K409" s="74" t="s">
        <v>2148</v>
      </c>
      <c r="L409" s="74" t="s">
        <v>2339</v>
      </c>
      <c r="Q409">
        <v>219.66</v>
      </c>
      <c r="R409">
        <f t="shared" si="51"/>
        <v>2.029179602686634E-3</v>
      </c>
      <c r="S409">
        <v>5000</v>
      </c>
      <c r="T409" s="61">
        <f t="shared" si="52"/>
        <v>8.5171931914162382</v>
      </c>
      <c r="U409" s="120"/>
      <c r="AE409">
        <v>300</v>
      </c>
      <c r="AF409">
        <f t="shared" si="53"/>
        <v>1.7447439588240427E-3</v>
      </c>
      <c r="AG409">
        <f>65.4*100</f>
        <v>6540.0000000000009</v>
      </c>
      <c r="AH409" s="61">
        <f t="shared" si="54"/>
        <v>8.7856924444512448</v>
      </c>
      <c r="AI409" s="120"/>
    </row>
    <row r="410" spans="2:48">
      <c r="B410" t="s">
        <v>2147</v>
      </c>
      <c r="C410" t="s">
        <v>502</v>
      </c>
      <c r="D410" s="103" t="s">
        <v>2011</v>
      </c>
      <c r="E410" s="117">
        <f>$U$377</f>
        <v>18.392287062655026</v>
      </c>
      <c r="F410"/>
      <c r="G410"/>
      <c r="H410" s="336"/>
      <c r="I410" s="302"/>
      <c r="J410" s="61">
        <f>E410</f>
        <v>18.392287062655026</v>
      </c>
      <c r="K410" s="74" t="s">
        <v>2144</v>
      </c>
      <c r="L410" s="74" t="s">
        <v>2359</v>
      </c>
      <c r="Q410">
        <v>240.68</v>
      </c>
      <c r="R410">
        <f t="shared" si="51"/>
        <v>1.9461689663896622E-3</v>
      </c>
      <c r="S410">
        <v>10000</v>
      </c>
      <c r="T410" s="61">
        <f t="shared" si="52"/>
        <v>9.2103403719761836</v>
      </c>
      <c r="AE410">
        <v>350</v>
      </c>
      <c r="AF410">
        <f t="shared" si="53"/>
        <v>1.6047500601781273E-3</v>
      </c>
      <c r="AG410">
        <f>454*100</f>
        <v>45400</v>
      </c>
      <c r="AH410" s="61">
        <f t="shared" si="54"/>
        <v>10.723267384029439</v>
      </c>
    </row>
    <row r="411" spans="2:48">
      <c r="B411" t="s">
        <v>2146</v>
      </c>
      <c r="C411" t="s">
        <v>281</v>
      </c>
      <c r="D411" s="103" t="s">
        <v>2011</v>
      </c>
      <c r="E411" s="116">
        <f>10^2.2</f>
        <v>158.48931924611153</v>
      </c>
      <c r="F411">
        <v>40</v>
      </c>
      <c r="G411">
        <f>273.15+F411</f>
        <v>313.14999999999998</v>
      </c>
      <c r="H411" s="372" t="e" cm="1">
        <f t="array" aca="1" ref="H411" ca="1">VLOOKUP(D411,Table245[[Compound Name]:[∆OWU SD]],INDIRECT("RAVs!$"&amp;VLOOKUP(C411,$N$45:$P$50,3,FALSE)&amp;"$1")+1,FALSE)*1000</f>
        <v>#N/A</v>
      </c>
      <c r="I411" s="422" t="e">
        <f ca="1">EXP(LN(E411)-H411/8.314*(1/$J$46-1/G411))</f>
        <v>#N/A</v>
      </c>
      <c r="J411" s="61" t="e">
        <f ca="1">LOG(I411)</f>
        <v>#N/A</v>
      </c>
      <c r="K411" s="74" t="s">
        <v>2144</v>
      </c>
      <c r="L411" s="74" t="s">
        <v>2414</v>
      </c>
      <c r="Q411">
        <v>263.7</v>
      </c>
      <c r="R411">
        <f t="shared" si="51"/>
        <v>1.8627177051317877E-3</v>
      </c>
      <c r="S411">
        <v>20000</v>
      </c>
      <c r="T411" s="61">
        <f t="shared" si="52"/>
        <v>9.9034875525361272</v>
      </c>
    </row>
    <row r="412" spans="2:48">
      <c r="B412" t="s">
        <v>2145</v>
      </c>
      <c r="C412" t="s">
        <v>274</v>
      </c>
      <c r="D412" s="103" t="s">
        <v>2011</v>
      </c>
      <c r="E412" s="116">
        <v>932</v>
      </c>
      <c r="F412">
        <v>20</v>
      </c>
      <c r="G412">
        <f>273.15+F412</f>
        <v>293.14999999999998</v>
      </c>
      <c r="H412" s="372" t="e" cm="1">
        <f t="array" aca="1" ref="H412" ca="1">VLOOKUP(D412,Table245[[Compound Name]:[∆OWU SD]],INDIRECT("RAVs!$"&amp;VLOOKUP(C412,$N$45:$P$50,3,FALSE)&amp;"$1")+1,FALSE)*1000</f>
        <v>#N/A</v>
      </c>
      <c r="I412" s="422" t="e">
        <f ca="1">EXP(LN(E412)-H412/8.314*(1/$J$46-1/G412))</f>
        <v>#N/A</v>
      </c>
      <c r="J412" s="61" t="e">
        <f ca="1">I412</f>
        <v>#N/A</v>
      </c>
      <c r="K412" s="74" t="s">
        <v>2144</v>
      </c>
      <c r="L412" s="74" t="s">
        <v>1326</v>
      </c>
      <c r="Q412">
        <v>298.89999999999998</v>
      </c>
      <c r="R412">
        <f t="shared" si="51"/>
        <v>1.7480989424001399E-3</v>
      </c>
      <c r="S412">
        <v>50000</v>
      </c>
      <c r="T412" s="61">
        <f t="shared" si="52"/>
        <v>10.819778284410283</v>
      </c>
      <c r="AF412" s="120"/>
      <c r="AH412" t="s">
        <v>552</v>
      </c>
      <c r="AI412" s="120">
        <f>-AF413*8.314/1000</f>
        <v>115.2882271056732</v>
      </c>
    </row>
    <row r="413" spans="2:48">
      <c r="B413" t="s">
        <v>2143</v>
      </c>
      <c r="C413" t="s">
        <v>502</v>
      </c>
      <c r="D413" s="103" t="s">
        <v>1992</v>
      </c>
      <c r="E413" s="116">
        <f>$U$395</f>
        <v>72.213398107892601</v>
      </c>
      <c r="F413"/>
      <c r="G413"/>
      <c r="H413" s="336"/>
      <c r="I413" s="302"/>
      <c r="J413" s="61">
        <f>E413</f>
        <v>72.213398107892601</v>
      </c>
      <c r="K413" s="74" t="s">
        <v>2137</v>
      </c>
      <c r="L413" s="74" t="s">
        <v>1761</v>
      </c>
      <c r="Q413">
        <v>330.3</v>
      </c>
      <c r="R413">
        <f t="shared" si="51"/>
        <v>1.6571381224625072E-3</v>
      </c>
      <c r="S413">
        <v>100260</v>
      </c>
      <c r="T413" s="61">
        <f t="shared" si="52"/>
        <v>11.515522090817495</v>
      </c>
      <c r="AF413">
        <f t="array" ref="AF413:AG415">LINEST(AH403:AH410,AF403:AF410,TRUE,TRUE)</f>
        <v>-13866.75813154597</v>
      </c>
      <c r="AG413">
        <v>32.973472736585236</v>
      </c>
    </row>
    <row r="414" spans="2:48">
      <c r="B414" t="s">
        <v>2142</v>
      </c>
      <c r="C414" t="s">
        <v>502</v>
      </c>
      <c r="D414" s="103" t="s">
        <v>1992</v>
      </c>
      <c r="E414" s="116">
        <f>$U$416</f>
        <v>72.380523549859419</v>
      </c>
      <c r="F414"/>
      <c r="G414"/>
      <c r="H414" s="336"/>
      <c r="I414" s="302"/>
      <c r="J414" s="61">
        <f>E414</f>
        <v>72.380523549859419</v>
      </c>
      <c r="K414" s="74" t="s">
        <v>2137</v>
      </c>
      <c r="L414" s="74" t="s">
        <v>1761</v>
      </c>
      <c r="T414" s="61"/>
      <c r="AF414">
        <v>7.2223276195737887</v>
      </c>
      <c r="AG414">
        <v>1.7639211830532294E-2</v>
      </c>
    </row>
    <row r="415" spans="2:48">
      <c r="B415" t="s">
        <v>2141</v>
      </c>
      <c r="C415" t="s">
        <v>191</v>
      </c>
      <c r="D415" s="103" t="s">
        <v>1992</v>
      </c>
      <c r="E415" s="116">
        <v>50</v>
      </c>
      <c r="F415">
        <v>121.9</v>
      </c>
      <c r="G415">
        <f>273.15+F415</f>
        <v>395.04999999999995</v>
      </c>
      <c r="H415" s="372" t="e" cm="1">
        <f t="array" aca="1" ref="H415" ca="1">VLOOKUP(D415,Table245[[Compound Name]:[∆OWU SD]],INDIRECT("RAVs!$"&amp;VLOOKUP(C415,$N$45:$P$50,3,FALSE)&amp;"$1")+1,FALSE)*1000</f>
        <v>#N/A</v>
      </c>
      <c r="I415" s="422" t="e">
        <f ca="1">EXP(LN(E415)-H415/8.314*(1/$J$46-1/G415))</f>
        <v>#N/A</v>
      </c>
      <c r="J415" s="61" t="e">
        <f ca="1">I415</f>
        <v>#N/A</v>
      </c>
      <c r="K415" s="74" t="s">
        <v>2137</v>
      </c>
      <c r="L415" s="74" t="s">
        <v>2570</v>
      </c>
      <c r="AF415" s="60">
        <v>0.99999837237244926</v>
      </c>
      <c r="AG415">
        <v>1.2420683817028259E-2</v>
      </c>
    </row>
    <row r="416" spans="2:48">
      <c r="B416" t="s">
        <v>2140</v>
      </c>
      <c r="C416" t="s">
        <v>191</v>
      </c>
      <c r="D416" s="103" t="s">
        <v>1992</v>
      </c>
      <c r="E416" s="116">
        <v>70</v>
      </c>
      <c r="F416">
        <v>127.55</v>
      </c>
      <c r="G416">
        <f>273.15+F416</f>
        <v>400.7</v>
      </c>
      <c r="H416" s="372" t="e" cm="1">
        <f t="array" aca="1" ref="H416" ca="1">VLOOKUP(D416,Table245[[Compound Name]:[∆OWU SD]],INDIRECT("RAVs!$"&amp;VLOOKUP(C416,$N$45:$P$50,3,FALSE)&amp;"$1")+1,FALSE)*1000</f>
        <v>#N/A</v>
      </c>
      <c r="I416" s="422" t="e">
        <f ca="1">EXP(LN(E416)-H416/8.314*(1/$J$46-1/G416))</f>
        <v>#N/A</v>
      </c>
      <c r="J416" s="61" t="e">
        <f ca="1">I416</f>
        <v>#N/A</v>
      </c>
      <c r="K416" s="74" t="s">
        <v>2137</v>
      </c>
      <c r="L416" s="74" t="s">
        <v>2570</v>
      </c>
      <c r="R416" s="120"/>
      <c r="T416" t="s">
        <v>552</v>
      </c>
      <c r="U416" s="120">
        <f>-R417*8.314/1000</f>
        <v>72.380523549859419</v>
      </c>
    </row>
    <row r="417" spans="2:19">
      <c r="B417" t="s">
        <v>2139</v>
      </c>
      <c r="C417" t="s">
        <v>502</v>
      </c>
      <c r="D417" s="103" t="s">
        <v>1992</v>
      </c>
      <c r="E417" s="116">
        <f>$AH$393</f>
        <v>71.813221855092991</v>
      </c>
      <c r="F417"/>
      <c r="G417"/>
      <c r="H417" s="336"/>
      <c r="I417" s="302"/>
      <c r="J417" s="61">
        <f>E417</f>
        <v>71.813221855092991</v>
      </c>
      <c r="K417" s="74" t="s">
        <v>2137</v>
      </c>
      <c r="L417" s="74" t="s">
        <v>1761</v>
      </c>
      <c r="R417">
        <f t="array" ref="R417:S419">LINEST(T403:T413,R403:R413,TRUE,TRUE)</f>
        <v>-8705.8604221625465</v>
      </c>
      <c r="S417">
        <v>26.091951195560064</v>
      </c>
    </row>
    <row r="418" spans="2:19">
      <c r="B418" t="s">
        <v>2138</v>
      </c>
      <c r="C418" t="s">
        <v>191</v>
      </c>
      <c r="D418" s="103" t="s">
        <v>1992</v>
      </c>
      <c r="E418" s="116">
        <v>100</v>
      </c>
      <c r="F418">
        <v>133.15</v>
      </c>
      <c r="G418">
        <f t="shared" ref="G418:G423" si="55">273.15+F418</f>
        <v>406.29999999999995</v>
      </c>
      <c r="H418" s="372" t="e" cm="1">
        <f t="array" aca="1" ref="H418" ca="1">VLOOKUP(D418,Table245[[Compound Name]:[∆OWU SD]],INDIRECT("RAVs!$"&amp;VLOOKUP(C418,$N$45:$P$50,3,FALSE)&amp;"$1")+1,FALSE)*1000</f>
        <v>#N/A</v>
      </c>
      <c r="I418" s="422" t="e">
        <f t="shared" ref="I418:I423" ca="1" si="56">EXP(LN(E418)-H418/8.314*(1/$J$46-1/G418))</f>
        <v>#N/A</v>
      </c>
      <c r="J418" s="61" t="e">
        <f t="shared" ref="J418:J423" ca="1" si="57">I418</f>
        <v>#N/A</v>
      </c>
      <c r="K418" s="74" t="s">
        <v>2137</v>
      </c>
      <c r="L418" s="74" t="s">
        <v>1761</v>
      </c>
      <c r="R418">
        <v>103.01152223454464</v>
      </c>
      <c r="S418">
        <v>0.21970892323728</v>
      </c>
    </row>
    <row r="419" spans="2:19">
      <c r="B419" t="s">
        <v>2136</v>
      </c>
      <c r="C419" t="s">
        <v>191</v>
      </c>
      <c r="D419" s="103" t="s">
        <v>1982</v>
      </c>
      <c r="E419" s="446">
        <v>47.2</v>
      </c>
      <c r="F419">
        <v>20</v>
      </c>
      <c r="G419">
        <f t="shared" si="55"/>
        <v>293.14999999999998</v>
      </c>
      <c r="H419" s="372" t="e" cm="1">
        <f t="array" aca="1" ref="H419" ca="1">VLOOKUP(D419,Table245[[Compound Name]:[∆OWU SD]],INDIRECT("RAVs!$"&amp;VLOOKUP(C419,$N$45:$P$50,3,FALSE)&amp;"$1")+1,FALSE)*1000</f>
        <v>#N/A</v>
      </c>
      <c r="I419" s="422" t="e">
        <f t="shared" ca="1" si="56"/>
        <v>#N/A</v>
      </c>
      <c r="J419" s="61" t="e">
        <f t="shared" ca="1" si="57"/>
        <v>#N/A</v>
      </c>
      <c r="K419" s="74" t="s">
        <v>2133</v>
      </c>
      <c r="L419" s="74" t="s">
        <v>2436</v>
      </c>
      <c r="R419">
        <v>0.99874152721749321</v>
      </c>
      <c r="S419">
        <v>9.5064908994321365E-2</v>
      </c>
    </row>
    <row r="420" spans="2:19">
      <c r="B420" t="s">
        <v>2135</v>
      </c>
      <c r="C420" t="s">
        <v>191</v>
      </c>
      <c r="D420" s="103" t="s">
        <v>1982</v>
      </c>
      <c r="E420" s="118">
        <v>1.6E-2</v>
      </c>
      <c r="F420">
        <v>20</v>
      </c>
      <c r="G420">
        <f t="shared" si="55"/>
        <v>293.14999999999998</v>
      </c>
      <c r="H420" s="372" t="e" cm="1">
        <f t="array" aca="1" ref="H420" ca="1">VLOOKUP(D420,Table245[[Compound Name]:[∆OWU SD]],INDIRECT("RAVs!$"&amp;VLOOKUP(C420,$N$45:$P$50,3,FALSE)&amp;"$1")+1,FALSE)*1000</f>
        <v>#N/A</v>
      </c>
      <c r="I420" s="422" t="e">
        <f t="shared" ca="1" si="56"/>
        <v>#N/A</v>
      </c>
      <c r="J420" s="61" t="e">
        <f t="shared" ca="1" si="57"/>
        <v>#N/A</v>
      </c>
      <c r="K420" s="74" t="s">
        <v>2133</v>
      </c>
      <c r="L420" s="74" t="s">
        <v>1326</v>
      </c>
    </row>
    <row r="421" spans="2:19">
      <c r="B421" t="s">
        <v>2134</v>
      </c>
      <c r="C421" t="s">
        <v>281</v>
      </c>
      <c r="D421" s="103" t="s">
        <v>1982</v>
      </c>
      <c r="E421" s="118">
        <f>10^4.46</f>
        <v>28840.315031266062</v>
      </c>
      <c r="F421">
        <v>30</v>
      </c>
      <c r="G421">
        <f t="shared" si="55"/>
        <v>303.14999999999998</v>
      </c>
      <c r="H421" s="372" t="e" cm="1">
        <f t="array" aca="1" ref="H421" ca="1">VLOOKUP(D421,Table245[[Compound Name]:[∆OWU SD]],INDIRECT("RAVs!$"&amp;VLOOKUP(C421,$N$45:$P$50,3,FALSE)&amp;"$1")+1,FALSE)*1000</f>
        <v>#N/A</v>
      </c>
      <c r="I421" s="422" t="e">
        <f t="shared" ca="1" si="56"/>
        <v>#N/A</v>
      </c>
      <c r="J421" s="61" t="e">
        <f ca="1">LOG(I421)</f>
        <v>#N/A</v>
      </c>
      <c r="K421" s="74" t="s">
        <v>2133</v>
      </c>
      <c r="L421" s="74" t="s">
        <v>2435</v>
      </c>
    </row>
    <row r="422" spans="2:19">
      <c r="B422" t="s">
        <v>2132</v>
      </c>
      <c r="C422" t="s">
        <v>274</v>
      </c>
      <c r="D422" s="103" t="s">
        <v>1963</v>
      </c>
      <c r="E422" s="118">
        <v>5.0000000000000002E-5</v>
      </c>
      <c r="F422">
        <v>20</v>
      </c>
      <c r="G422">
        <f t="shared" si="55"/>
        <v>293.14999999999998</v>
      </c>
      <c r="H422" s="372" t="e" cm="1">
        <f t="array" aca="1" ref="H422" ca="1">VLOOKUP(D422,Table245[[Compound Name]:[∆OWU SD]],INDIRECT("RAVs!$"&amp;VLOOKUP(C422,$N$45:$P$50,3,FALSE)&amp;"$1")+1,FALSE)*1000</f>
        <v>#N/A</v>
      </c>
      <c r="I422" s="422" t="e">
        <f t="shared" ca="1" si="56"/>
        <v>#N/A</v>
      </c>
      <c r="J422" s="61" t="e">
        <f t="shared" ca="1" si="57"/>
        <v>#N/A</v>
      </c>
      <c r="K422" s="74" t="s">
        <v>2130</v>
      </c>
      <c r="L422" s="74" t="s">
        <v>2502</v>
      </c>
    </row>
    <row r="423" spans="2:19">
      <c r="B423" t="s">
        <v>2131</v>
      </c>
      <c r="C423" t="s">
        <v>274</v>
      </c>
      <c r="D423" s="103" t="s">
        <v>1963</v>
      </c>
      <c r="E423" s="118">
        <v>0.79400000000000004</v>
      </c>
      <c r="F423">
        <v>20</v>
      </c>
      <c r="G423">
        <f t="shared" si="55"/>
        <v>293.14999999999998</v>
      </c>
      <c r="H423" s="372" t="e" cm="1">
        <f t="array" aca="1" ref="H423" ca="1">VLOOKUP(D423,Table245[[Compound Name]:[∆OWU SD]],INDIRECT("RAVs!$"&amp;VLOOKUP(C423,$N$45:$P$50,3,FALSE)&amp;"$1")+1,FALSE)*1000</f>
        <v>#N/A</v>
      </c>
      <c r="I423" s="422" t="e">
        <f t="shared" ca="1" si="56"/>
        <v>#N/A</v>
      </c>
      <c r="J423" s="61" t="e">
        <f t="shared" ca="1" si="57"/>
        <v>#N/A</v>
      </c>
      <c r="K423" s="74" t="s">
        <v>2130</v>
      </c>
      <c r="L423" s="74" t="s">
        <v>2503</v>
      </c>
    </row>
    <row r="424" spans="2:19">
      <c r="B424" t="s">
        <v>2129</v>
      </c>
      <c r="C424" t="s">
        <v>502</v>
      </c>
      <c r="D424" s="103" t="s">
        <v>1958</v>
      </c>
      <c r="E424" s="116">
        <f>$AI$412</f>
        <v>115.2882271056732</v>
      </c>
      <c r="F424"/>
      <c r="G424"/>
      <c r="H424" s="336"/>
      <c r="I424" s="302"/>
      <c r="J424" s="61">
        <f>E424</f>
        <v>115.2882271056732</v>
      </c>
      <c r="K424" s="74" t="s">
        <v>2125</v>
      </c>
      <c r="L424" s="74" t="s">
        <v>1761</v>
      </c>
    </row>
    <row r="425" spans="2:19">
      <c r="B425" t="s">
        <v>2128</v>
      </c>
      <c r="C425" t="s">
        <v>191</v>
      </c>
      <c r="D425" s="103" t="s">
        <v>1958</v>
      </c>
      <c r="E425" s="118">
        <f>0.000000006*100</f>
        <v>5.9999999999999997E-7</v>
      </c>
      <c r="F425">
        <v>20</v>
      </c>
      <c r="G425">
        <f t="shared" ref="G425:G431" si="58">273.15+F425</f>
        <v>293.14999999999998</v>
      </c>
      <c r="H425" s="372" t="e" cm="1">
        <f t="array" aca="1" ref="H425" ca="1">VLOOKUP(D425,Table245[[Compound Name]:[∆OWU SD]],INDIRECT("RAVs!$"&amp;VLOOKUP(C425,$N$45:$P$50,3,FALSE)&amp;"$1")+1,FALSE)*1000</f>
        <v>#N/A</v>
      </c>
      <c r="I425" s="422" t="e">
        <f t="shared" ref="I425:I431" ca="1" si="59">EXP(LN(E425)-H425/8.314*(1/$J$46-1/G425))</f>
        <v>#N/A</v>
      </c>
      <c r="J425" s="61" t="e">
        <f t="shared" ref="J425:J431" ca="1" si="60">I425</f>
        <v>#N/A</v>
      </c>
      <c r="K425" s="74" t="s">
        <v>2125</v>
      </c>
      <c r="L425" s="74" t="s">
        <v>2436</v>
      </c>
    </row>
    <row r="426" spans="2:19">
      <c r="B426" t="s">
        <v>2127</v>
      </c>
      <c r="C426" t="s">
        <v>281</v>
      </c>
      <c r="D426" s="103" t="s">
        <v>1958</v>
      </c>
      <c r="E426" s="116">
        <f>10^6.07</f>
        <v>1174897.5549395324</v>
      </c>
      <c r="F426">
        <v>30</v>
      </c>
      <c r="G426">
        <f t="shared" si="58"/>
        <v>303.14999999999998</v>
      </c>
      <c r="H426" s="372" t="e" cm="1">
        <f t="array" aca="1" ref="H426" ca="1">VLOOKUP(D426,Table245[[Compound Name]:[∆OWU SD]],INDIRECT("RAVs!$"&amp;VLOOKUP(C426,$N$45:$P$50,3,FALSE)&amp;"$1")+1,FALSE)*1000</f>
        <v>#N/A</v>
      </c>
      <c r="I426" s="422" t="e">
        <f t="shared" ca="1" si="59"/>
        <v>#N/A</v>
      </c>
      <c r="J426" s="61" t="e">
        <f ca="1">LOG(I426)</f>
        <v>#N/A</v>
      </c>
      <c r="K426" s="74" t="s">
        <v>2125</v>
      </c>
      <c r="L426" s="74" t="s">
        <v>2435</v>
      </c>
    </row>
    <row r="427" spans="2:19">
      <c r="B427" t="s">
        <v>2126</v>
      </c>
      <c r="C427" t="s">
        <v>274</v>
      </c>
      <c r="D427" s="103" t="s">
        <v>1958</v>
      </c>
      <c r="E427" s="116">
        <v>0.157</v>
      </c>
      <c r="F427">
        <v>20</v>
      </c>
      <c r="G427">
        <f t="shared" si="58"/>
        <v>293.14999999999998</v>
      </c>
      <c r="H427" s="372" t="e" cm="1">
        <f t="array" aca="1" ref="H427" ca="1">VLOOKUP(D427,Table245[[Compound Name]:[∆OWU SD]],INDIRECT("RAVs!$"&amp;VLOOKUP(C427,$N$45:$P$50,3,FALSE)&amp;"$1")+1,FALSE)*1000</f>
        <v>#N/A</v>
      </c>
      <c r="I427" s="422" t="e">
        <f t="shared" ca="1" si="59"/>
        <v>#N/A</v>
      </c>
      <c r="J427" s="61" t="e">
        <f t="shared" ca="1" si="60"/>
        <v>#N/A</v>
      </c>
      <c r="K427" s="74" t="s">
        <v>2125</v>
      </c>
      <c r="L427" s="74" t="s">
        <v>2516</v>
      </c>
    </row>
    <row r="428" spans="2:19">
      <c r="B428" t="s">
        <v>2124</v>
      </c>
      <c r="C428" t="s">
        <v>191</v>
      </c>
      <c r="D428" s="103" t="s">
        <v>1932</v>
      </c>
      <c r="E428" s="116"/>
      <c r="F428"/>
      <c r="G428"/>
      <c r="H428" s="372"/>
      <c r="I428" s="422"/>
      <c r="J428" s="61"/>
      <c r="K428" s="74" t="s">
        <v>2453</v>
      </c>
      <c r="L428" s="74" t="s">
        <v>2458</v>
      </c>
    </row>
    <row r="429" spans="2:19">
      <c r="B429" t="s">
        <v>2123</v>
      </c>
      <c r="C429" t="s">
        <v>281</v>
      </c>
      <c r="D429" s="103" t="s">
        <v>1932</v>
      </c>
      <c r="E429" s="116">
        <f>10^7.4</f>
        <v>25118864.315095898</v>
      </c>
      <c r="F429">
        <v>55</v>
      </c>
      <c r="G429">
        <f t="shared" si="58"/>
        <v>328.15</v>
      </c>
      <c r="H429" s="372" t="e" cm="1">
        <f t="array" aca="1" ref="H429" ca="1">VLOOKUP(D429,Table245[[Compound Name]:[∆OWU SD]],INDIRECT("RAVs!$"&amp;VLOOKUP(C429,$N$45:$P$50,3,FALSE)&amp;"$1")+1,FALSE)*1000</f>
        <v>#N/A</v>
      </c>
      <c r="I429" s="422" t="e">
        <f t="shared" ca="1" si="59"/>
        <v>#N/A</v>
      </c>
      <c r="J429" s="61" t="e">
        <f ca="1">LOG(I429)</f>
        <v>#N/A</v>
      </c>
      <c r="K429" s="74" t="s">
        <v>2120</v>
      </c>
      <c r="L429" s="74" t="s">
        <v>2396</v>
      </c>
    </row>
    <row r="430" spans="2:19">
      <c r="B430" t="s">
        <v>2122</v>
      </c>
      <c r="C430" t="s">
        <v>274</v>
      </c>
      <c r="D430" s="103" t="s">
        <v>1932</v>
      </c>
      <c r="E430" s="116">
        <v>5.9999999999999995E-4</v>
      </c>
      <c r="F430">
        <v>21</v>
      </c>
      <c r="G430">
        <f t="shared" si="58"/>
        <v>294.14999999999998</v>
      </c>
      <c r="H430" s="372" t="e" cm="1">
        <f t="array" aca="1" ref="H430" ca="1">VLOOKUP(D430,Table245[[Compound Name]:[∆OWU SD]],INDIRECT("RAVs!$"&amp;VLOOKUP(C430,$N$45:$P$50,3,FALSE)&amp;"$1")+1,FALSE)*1000</f>
        <v>#N/A</v>
      </c>
      <c r="I430" s="422" t="e">
        <f t="shared" ca="1" si="59"/>
        <v>#N/A</v>
      </c>
      <c r="J430" s="61" t="e">
        <f t="shared" ca="1" si="60"/>
        <v>#N/A</v>
      </c>
      <c r="K430" s="74" t="s">
        <v>2120</v>
      </c>
      <c r="L430" s="74" t="s">
        <v>2532</v>
      </c>
    </row>
    <row r="431" spans="2:19">
      <c r="B431" t="s">
        <v>2121</v>
      </c>
      <c r="C431" t="s">
        <v>274</v>
      </c>
      <c r="D431" s="103" t="s">
        <v>1932</v>
      </c>
      <c r="E431" s="116">
        <v>1.4</v>
      </c>
      <c r="F431">
        <v>20</v>
      </c>
      <c r="G431">
        <f t="shared" si="58"/>
        <v>293.14999999999998</v>
      </c>
      <c r="H431" s="372" t="e" cm="1">
        <f t="array" aca="1" ref="H431" ca="1">VLOOKUP(D431,Table245[[Compound Name]:[∆OWU SD]],INDIRECT("RAVs!$"&amp;VLOOKUP(C431,$N$45:$P$50,3,FALSE)&amp;"$1")+1,FALSE)*1000</f>
        <v>#N/A</v>
      </c>
      <c r="I431" s="422" t="e">
        <f t="shared" ca="1" si="59"/>
        <v>#N/A</v>
      </c>
      <c r="J431" s="61" t="e">
        <f t="shared" ca="1" si="60"/>
        <v>#N/A</v>
      </c>
      <c r="K431" s="74" t="s">
        <v>2120</v>
      </c>
      <c r="L431" s="74" t="s">
        <v>2119</v>
      </c>
    </row>
    <row r="432" spans="2:19">
      <c r="B432" t="s">
        <v>2118</v>
      </c>
      <c r="C432" t="s">
        <v>191</v>
      </c>
      <c r="D432" s="103" t="s">
        <v>1958</v>
      </c>
      <c r="E432" s="117">
        <f>LOG(10^(12.9-6157/298.15)*133.322)</f>
        <v>-5.625777368319663</v>
      </c>
      <c r="F432"/>
      <c r="G432"/>
      <c r="H432" s="336"/>
      <c r="I432" s="302"/>
      <c r="J432" s="61">
        <f>E432</f>
        <v>-5.625777368319663</v>
      </c>
      <c r="K432" s="74" t="s">
        <v>2440</v>
      </c>
      <c r="L432" s="74" t="s">
        <v>1211</v>
      </c>
    </row>
    <row r="433" spans="2:12">
      <c r="B433" s="103" t="s">
        <v>2464</v>
      </c>
      <c r="C433" s="103" t="s">
        <v>1343</v>
      </c>
      <c r="D433" s="103" t="s">
        <v>118</v>
      </c>
      <c r="E433" s="419">
        <f>0.000298*101325/8.314/298.15</f>
        <v>1.218114302895278E-2</v>
      </c>
      <c r="F433" s="103">
        <v>20</v>
      </c>
      <c r="G433" s="103">
        <f>273.15+F433</f>
        <v>293.14999999999998</v>
      </c>
      <c r="H433" s="372" cm="1">
        <f t="array" aca="1" ref="H433" ca="1">VLOOKUP(D433,Table245[[Compound Name]:[∆OWU SD]],INDIRECT("RAVs!$"&amp;VLOOKUP(C433,$N$45:$P$50,3,FALSE)&amp;"$1")+1,FALSE)*1000</f>
        <v>38857.509926811705</v>
      </c>
      <c r="I433" s="422">
        <f ca="1">EXP(LN(E433)-H433/8.314*(1/$J$46-1/G433))</f>
        <v>1.591492903969766E-2</v>
      </c>
      <c r="J433" s="332">
        <f ca="1">LOG(I433)</f>
        <v>-1.7981952934386076</v>
      </c>
      <c r="K433" s="416" t="s">
        <v>1636</v>
      </c>
      <c r="L433" s="416">
        <f>LOG(E433)</f>
        <v>-1.914311957361968</v>
      </c>
    </row>
    <row r="434" spans="2:12">
      <c r="B434" t="s">
        <v>2278</v>
      </c>
      <c r="C434" s="103" t="s">
        <v>274</v>
      </c>
      <c r="D434" s="103" t="s">
        <v>118</v>
      </c>
      <c r="E434" s="419">
        <v>0.44833000000000001</v>
      </c>
      <c r="F434" s="103">
        <v>20</v>
      </c>
      <c r="G434" s="103">
        <f>273.15+F434</f>
        <v>293.14999999999998</v>
      </c>
      <c r="H434" s="372" cm="1">
        <f t="array" aca="1" ref="H434" ca="1">VLOOKUP(D434,Table245[[Compound Name]:[∆OWU SD]],INDIRECT("RAVs!$"&amp;VLOOKUP(C434,$N$45:$P$50,3,FALSE)&amp;"$1")+1,FALSE)*1000</f>
        <v>33297.733077406097</v>
      </c>
      <c r="I434" s="103"/>
      <c r="J434" s="422">
        <f ca="1">EXP(LN(E434)-H434/8.314*(1/$J$46-1/G434))</f>
        <v>0.56376792024347855</v>
      </c>
      <c r="K434" s="416" t="s">
        <v>1636</v>
      </c>
      <c r="L434" s="416"/>
    </row>
    <row r="435" spans="2:12">
      <c r="B435" t="s">
        <v>2279</v>
      </c>
      <c r="C435" s="103" t="s">
        <v>191</v>
      </c>
      <c r="D435" s="103" t="s">
        <v>118</v>
      </c>
      <c r="E435" s="419">
        <v>5.2900000000000003E-2</v>
      </c>
      <c r="F435" s="103">
        <v>20</v>
      </c>
      <c r="G435" s="103">
        <f>273.15+F435</f>
        <v>293.14999999999998</v>
      </c>
      <c r="H435" s="372" cm="1">
        <f t="array" aca="1" ref="H435" ca="1">VLOOKUP(D435,Table245[[Compound Name]:[∆OWU SD]],INDIRECT("RAVs!$"&amp;VLOOKUP(C435,$N$45:$P$50,3,FALSE)&amp;"$1")+1,FALSE)*1000</f>
        <v>74542.270187233909</v>
      </c>
      <c r="I435" s="422">
        <f ca="1">EXP(LN(E435)-H435/8.314*(1/$J$46-1/G435))</f>
        <v>8.8350288649232209E-2</v>
      </c>
      <c r="J435" s="332">
        <f ca="1">LOG(I435)</f>
        <v>-1.053792027271377</v>
      </c>
      <c r="K435" s="416" t="s">
        <v>1636</v>
      </c>
      <c r="L435" s="416"/>
    </row>
    <row r="436" spans="2:12">
      <c r="B436" t="s">
        <v>2280</v>
      </c>
      <c r="C436" s="103" t="s">
        <v>1343</v>
      </c>
      <c r="D436" s="103" t="s">
        <v>127</v>
      </c>
      <c r="E436" s="419">
        <f>0.000065*101325/8.314/298.15</f>
        <v>2.6569607277917131E-3</v>
      </c>
      <c r="F436" s="103">
        <v>20</v>
      </c>
      <c r="G436" s="103">
        <f>273.15+F436</f>
        <v>293.14999999999998</v>
      </c>
      <c r="H436" s="372" cm="1">
        <f t="array" aca="1" ref="H436" ca="1">VLOOKUP(D436,Table245[[Compound Name]:[∆OWU SD]],INDIRECT("RAVs!$"&amp;VLOOKUP(C436,$N$45:$P$50,3,FALSE)&amp;"$1")+1,FALSE)*1000</f>
        <v>65380.502203186494</v>
      </c>
      <c r="I436" s="422">
        <f ca="1">EXP(LN(E436)-H436/8.314*(1/$J$46-1/G436))</f>
        <v>4.1663870755937671E-3</v>
      </c>
      <c r="J436" s="332">
        <f ca="1">LOG(I436)</f>
        <v>-2.3802403846558255</v>
      </c>
      <c r="K436" s="416" t="s">
        <v>1636</v>
      </c>
      <c r="L436" s="416"/>
    </row>
    <row r="437" spans="2:12">
      <c r="B437" t="s">
        <v>2281</v>
      </c>
      <c r="C437" s="103" t="s">
        <v>1343</v>
      </c>
      <c r="D437" s="103" t="s">
        <v>133</v>
      </c>
      <c r="E437" s="419">
        <f>0.00009*101325/8.314/298.15</f>
        <v>3.6788687000192965E-3</v>
      </c>
      <c r="F437" s="103">
        <v>20</v>
      </c>
      <c r="G437" s="103">
        <f>273.15+F437</f>
        <v>293.14999999999998</v>
      </c>
      <c r="H437" s="372" cm="1">
        <f t="array" aca="1" ref="H437" ca="1">VLOOKUP(D437,Table245[[Compound Name]:[∆OWU SD]],INDIRECT("RAVs!$"&amp;VLOOKUP(C437,$N$45:$P$50,3,FALSE)&amp;"$1")+1,FALSE)*1000</f>
        <v>68269.706488647396</v>
      </c>
      <c r="I437" s="422">
        <f ca="1">EXP(LN(E437)-H437/8.314*(1/$J$46-1/G437))</f>
        <v>5.8846750418621706E-3</v>
      </c>
      <c r="J437" s="332">
        <f ca="1">LOG(I437)</f>
        <v>-2.2302775143706985</v>
      </c>
      <c r="K437" s="416" t="s">
        <v>1636</v>
      </c>
      <c r="L437" s="416"/>
    </row>
    <row r="438" spans="2:12">
      <c r="B438" t="s">
        <v>2282</v>
      </c>
      <c r="C438" s="103" t="s">
        <v>502</v>
      </c>
      <c r="D438" s="103" t="s">
        <v>103</v>
      </c>
      <c r="E438" s="234">
        <f>105-17.3</f>
        <v>87.7</v>
      </c>
      <c r="F438" s="103"/>
      <c r="G438" s="103"/>
      <c r="H438" s="103"/>
      <c r="I438" s="103"/>
      <c r="J438" s="416">
        <f>E438</f>
        <v>87.7</v>
      </c>
      <c r="K438" s="416" t="s">
        <v>1741</v>
      </c>
      <c r="L438" s="416" t="s">
        <v>1742</v>
      </c>
    </row>
    <row r="439" spans="2:12">
      <c r="B439" t="s">
        <v>2283</v>
      </c>
      <c r="C439" s="103" t="s">
        <v>502</v>
      </c>
      <c r="D439" s="103" t="s">
        <v>103</v>
      </c>
      <c r="E439" s="234">
        <f>115-27.5</f>
        <v>87.5</v>
      </c>
      <c r="F439" s="103"/>
      <c r="G439" s="103"/>
      <c r="H439" s="103"/>
      <c r="I439" s="103"/>
      <c r="J439" s="416">
        <f>E439</f>
        <v>87.5</v>
      </c>
      <c r="K439" s="416" t="s">
        <v>1741</v>
      </c>
      <c r="L439" s="416" t="s">
        <v>1745</v>
      </c>
    </row>
    <row r="440" spans="2:12">
      <c r="B440" t="s">
        <v>2284</v>
      </c>
      <c r="C440" s="103" t="s">
        <v>1753</v>
      </c>
      <c r="D440" s="103" t="s">
        <v>62</v>
      </c>
      <c r="E440" s="30">
        <f>49.4*'Table S3 Literature Values'!$B$133/336.6+2.9*'Table S3 Literature Values'!$B$133/376.2</f>
        <v>56.365631297495078</v>
      </c>
      <c r="F440" s="103"/>
      <c r="G440" s="103"/>
      <c r="H440" s="103"/>
      <c r="I440" s="103"/>
      <c r="J440" s="417">
        <f>E440</f>
        <v>56.365631297495078</v>
      </c>
      <c r="K440" s="416" t="s">
        <v>1754</v>
      </c>
      <c r="L440" s="416" t="s">
        <v>1755</v>
      </c>
    </row>
    <row r="441" spans="2:12">
      <c r="B441" t="s">
        <v>2285</v>
      </c>
      <c r="C441" s="103" t="s">
        <v>1753</v>
      </c>
      <c r="D441" s="103" t="s">
        <v>1658</v>
      </c>
      <c r="E441" s="418">
        <f>4.2*'Table S3 Literature Values'!$B$102/343.6+69.9*'Table S3 Literature Values'!$B$102/361.6</f>
        <v>65.362569591751054</v>
      </c>
      <c r="F441" s="103"/>
      <c r="G441" s="103"/>
      <c r="H441" s="103"/>
      <c r="I441" s="103"/>
      <c r="J441" s="416">
        <f>E441</f>
        <v>65.362569591751054</v>
      </c>
      <c r="K441" s="416" t="s">
        <v>1754</v>
      </c>
      <c r="L441" s="416" t="s">
        <v>1755</v>
      </c>
    </row>
    <row r="442" spans="2:12">
      <c r="B442" t="s">
        <v>2286</v>
      </c>
      <c r="C442" s="103" t="s">
        <v>191</v>
      </c>
      <c r="D442" s="103" t="s">
        <v>62</v>
      </c>
      <c r="E442" s="419">
        <v>8.0999999999999996E-3</v>
      </c>
      <c r="F442" s="103"/>
      <c r="G442" s="103"/>
      <c r="H442" s="103"/>
      <c r="I442" s="428">
        <f>E442/10^$K$26</f>
        <v>3.8665494082811259E-2</v>
      </c>
      <c r="J442" s="416">
        <f>LOG(I442)</f>
        <v>-1.4126764358656672</v>
      </c>
      <c r="K442" s="416" t="s">
        <v>1547</v>
      </c>
      <c r="L442" s="416" t="s">
        <v>1764</v>
      </c>
    </row>
    <row r="443" spans="2:12">
      <c r="B443" t="s">
        <v>2287</v>
      </c>
      <c r="C443" s="103" t="s">
        <v>502</v>
      </c>
      <c r="D443" s="103" t="s">
        <v>62</v>
      </c>
      <c r="E443" s="417">
        <f>Y137-'Table S3 Literature Values'!AP132*('Table S3 Literature Values'!AS132+273.15)/1000</f>
        <v>71.321282283357505</v>
      </c>
      <c r="F443" s="103"/>
      <c r="G443" s="103"/>
      <c r="H443" s="103"/>
      <c r="I443" s="103"/>
      <c r="J443" s="416">
        <f t="shared" ref="J443:J449" si="61">E443</f>
        <v>71.321282283357505</v>
      </c>
      <c r="K443" s="416" t="s">
        <v>1760</v>
      </c>
      <c r="L443" s="416" t="s">
        <v>1763</v>
      </c>
    </row>
    <row r="444" spans="2:12">
      <c r="B444" t="s">
        <v>2288</v>
      </c>
      <c r="C444" s="103" t="s">
        <v>653</v>
      </c>
      <c r="D444" s="103" t="s">
        <v>62</v>
      </c>
      <c r="E444" s="417">
        <f>V157</f>
        <v>33.699944794042423</v>
      </c>
      <c r="F444" s="103"/>
      <c r="G444" s="103"/>
      <c r="H444" s="103"/>
      <c r="I444" s="103"/>
      <c r="J444" s="417">
        <f t="shared" si="61"/>
        <v>33.699944794042423</v>
      </c>
      <c r="K444" s="416" t="s">
        <v>1550</v>
      </c>
      <c r="L444" s="416" t="s">
        <v>1780</v>
      </c>
    </row>
    <row r="445" spans="2:12">
      <c r="B445" t="s">
        <v>2289</v>
      </c>
      <c r="C445" s="103" t="s">
        <v>653</v>
      </c>
      <c r="D445" s="103" t="s">
        <v>62</v>
      </c>
      <c r="E445" s="332">
        <f>X157</f>
        <v>24.45879172833061</v>
      </c>
      <c r="F445" s="103"/>
      <c r="G445" s="103"/>
      <c r="H445" s="103"/>
      <c r="I445" s="103"/>
      <c r="J445" s="417">
        <f t="shared" si="61"/>
        <v>24.45879172833061</v>
      </c>
      <c r="K445" s="416" t="s">
        <v>1770</v>
      </c>
      <c r="L445" s="416" t="s">
        <v>1780</v>
      </c>
    </row>
    <row r="446" spans="2:12">
      <c r="B446" t="s">
        <v>2290</v>
      </c>
      <c r="C446" s="103" t="s">
        <v>653</v>
      </c>
      <c r="D446" s="103" t="s">
        <v>370</v>
      </c>
      <c r="E446" s="332">
        <f>$X$171</f>
        <v>10.485851058199955</v>
      </c>
      <c r="F446" s="103"/>
      <c r="G446" s="103"/>
      <c r="H446" s="103"/>
      <c r="I446" s="103"/>
      <c r="J446" s="332">
        <f t="shared" si="61"/>
        <v>10.485851058199955</v>
      </c>
      <c r="K446" s="416" t="s">
        <v>1770</v>
      </c>
      <c r="L446" s="416" t="s">
        <v>1780</v>
      </c>
    </row>
    <row r="447" spans="2:12">
      <c r="B447" t="s">
        <v>2291</v>
      </c>
      <c r="C447" s="103" t="s">
        <v>653</v>
      </c>
      <c r="D447" s="103" t="s">
        <v>362</v>
      </c>
      <c r="E447" s="332">
        <f>$AA$171</f>
        <v>19.577876175193587</v>
      </c>
      <c r="F447" s="332"/>
      <c r="G447" s="103"/>
      <c r="H447" s="332"/>
      <c r="I447" s="103"/>
      <c r="J447" s="332">
        <f t="shared" si="61"/>
        <v>19.577876175193587</v>
      </c>
      <c r="K447" s="416" t="s">
        <v>1770</v>
      </c>
      <c r="L447" s="416" t="s">
        <v>1780</v>
      </c>
    </row>
    <row r="448" spans="2:12">
      <c r="B448" t="s">
        <v>2292</v>
      </c>
      <c r="C448" s="103" t="s">
        <v>653</v>
      </c>
      <c r="D448" s="103" t="s">
        <v>168</v>
      </c>
      <c r="E448" s="332">
        <f>$AD$171</f>
        <v>10.601937492331281</v>
      </c>
      <c r="F448" s="330"/>
      <c r="G448" s="103"/>
      <c r="H448" s="332"/>
      <c r="I448" s="103"/>
      <c r="J448" s="332">
        <f t="shared" si="61"/>
        <v>10.601937492331281</v>
      </c>
      <c r="K448" s="416" t="s">
        <v>1770</v>
      </c>
      <c r="L448" s="416" t="s">
        <v>1780</v>
      </c>
    </row>
    <row r="449" spans="2:12">
      <c r="B449" t="s">
        <v>2293</v>
      </c>
      <c r="C449" s="103" t="s">
        <v>653</v>
      </c>
      <c r="D449" s="103" t="s">
        <v>1658</v>
      </c>
      <c r="E449" s="332">
        <f>$AG$171</f>
        <v>32.782409563371495</v>
      </c>
      <c r="F449" s="103"/>
      <c r="G449" s="103"/>
      <c r="H449" s="103"/>
      <c r="I449" s="103"/>
      <c r="J449" s="332">
        <f t="shared" si="61"/>
        <v>32.782409563371495</v>
      </c>
      <c r="K449" s="416" t="s">
        <v>1770</v>
      </c>
      <c r="L449" s="416" t="s">
        <v>1780</v>
      </c>
    </row>
    <row r="450" spans="2:12">
      <c r="B450" t="s">
        <v>2294</v>
      </c>
      <c r="C450" s="103" t="s">
        <v>1209</v>
      </c>
      <c r="D450" s="103" t="s">
        <v>62</v>
      </c>
      <c r="E450" s="332">
        <v>8.31</v>
      </c>
      <c r="F450" s="103"/>
      <c r="G450" s="103"/>
      <c r="H450" s="103"/>
      <c r="I450" s="103"/>
      <c r="J450" s="332">
        <f>'Table S4 Conversions and Notes'!$E450</f>
        <v>8.31</v>
      </c>
      <c r="K450" s="416" t="s">
        <v>1792</v>
      </c>
      <c r="L450" s="416" t="s">
        <v>1794</v>
      </c>
    </row>
    <row r="451" spans="2:12">
      <c r="B451" t="s">
        <v>2295</v>
      </c>
      <c r="C451" s="103" t="s">
        <v>274</v>
      </c>
      <c r="D451" s="103" t="s">
        <v>168</v>
      </c>
      <c r="E451" s="416">
        <f>0.000062</f>
        <v>6.2000000000000003E-5</v>
      </c>
      <c r="F451" s="103"/>
      <c r="G451" s="103"/>
      <c r="H451" s="103"/>
      <c r="I451" s="103"/>
      <c r="J451" s="416">
        <f>'Table S4 Conversions and Notes'!$E451/10^$K$41</f>
        <v>7.0191884320552314E-4</v>
      </c>
      <c r="K451" s="416" t="s">
        <v>1792</v>
      </c>
      <c r="L451" s="429" t="s">
        <v>1796</v>
      </c>
    </row>
    <row r="452" spans="2:12">
      <c r="B452" t="s">
        <v>2332</v>
      </c>
      <c r="C452" s="103" t="s">
        <v>502</v>
      </c>
      <c r="D452" s="103" t="s">
        <v>2348</v>
      </c>
      <c r="E452" s="416" t="s">
        <v>2349</v>
      </c>
      <c r="F452" s="103"/>
      <c r="G452" s="103"/>
      <c r="H452" s="103"/>
      <c r="I452" s="103"/>
      <c r="J452" s="416"/>
      <c r="K452" s="416" t="s">
        <v>2350</v>
      </c>
      <c r="L452" s="416" t="s">
        <v>2351</v>
      </c>
    </row>
    <row r="453" spans="2:12">
      <c r="B453" t="s">
        <v>2296</v>
      </c>
      <c r="C453" s="103" t="s">
        <v>274</v>
      </c>
      <c r="D453" s="103" t="s">
        <v>168</v>
      </c>
      <c r="E453" s="416">
        <v>2.7999999999999998E-4</v>
      </c>
      <c r="F453" s="103"/>
      <c r="G453" s="103"/>
      <c r="H453" s="103"/>
      <c r="I453" s="103"/>
      <c r="J453" s="416">
        <f>'Table S4 Conversions and Notes'!$E453/10^K41</f>
        <v>3.1699560660894592E-3</v>
      </c>
      <c r="K453" s="416" t="s">
        <v>1770</v>
      </c>
      <c r="L453" s="416"/>
    </row>
    <row r="454" spans="2:12">
      <c r="B454" t="s">
        <v>2297</v>
      </c>
      <c r="C454" s="103" t="s">
        <v>191</v>
      </c>
      <c r="D454" s="103" t="s">
        <v>168</v>
      </c>
      <c r="E454" s="416">
        <v>1.36E-4</v>
      </c>
      <c r="F454" s="103">
        <v>30</v>
      </c>
      <c r="G454" s="103">
        <f>273.15+F454</f>
        <v>303.14999999999998</v>
      </c>
      <c r="H454" s="372" cm="1">
        <f t="array" aca="1" ref="H454" ca="1">VLOOKUP(D454,Table245[[Compound Name]:[∆OWU SD]],INDIRECT("RAVs!$"&amp;VLOOKUP(C454,$N$45:$P$50,3,FALSE)&amp;"$1")+1,FALSE)*1000</f>
        <v>86561.434827190707</v>
      </c>
      <c r="I454" s="103"/>
      <c r="J454" s="332">
        <f ca="1">LOG(EXP(LN(E454)-H454/8.314*(1/$J$46-1/G454))/10^$K$41)</f>
        <v>-3.0627019691888675</v>
      </c>
      <c r="K454" s="416" t="s">
        <v>1520</v>
      </c>
      <c r="L454" s="416"/>
    </row>
    <row r="455" spans="2:12">
      <c r="B455" t="s">
        <v>2298</v>
      </c>
      <c r="C455" s="103" t="s">
        <v>281</v>
      </c>
      <c r="D455" s="103" t="s">
        <v>168</v>
      </c>
      <c r="E455" s="332">
        <f>10^5</f>
        <v>100000</v>
      </c>
      <c r="F455" s="103">
        <v>18</v>
      </c>
      <c r="G455" s="103">
        <f>273.15+F455</f>
        <v>291.14999999999998</v>
      </c>
      <c r="H455" s="372" cm="1">
        <f t="array" aca="1" ref="H455" ca="1">VLOOKUP(D455,Table245[[Compound Name]:[∆OWU SD]],INDIRECT("RAVs!$"&amp;VLOOKUP(C455,$N$45:$P$50,3,FALSE)&amp;"$1")+1,FALSE)*1000</f>
        <v>-13246.404662499099</v>
      </c>
      <c r="I455" s="422">
        <f ca="1">EXP(LN(E455)-H455/8.314*(1/$J$46-1/G455))</f>
        <v>87943.143655609922</v>
      </c>
      <c r="J455" s="332">
        <f ca="1">LOG(I455)</f>
        <v>4.9442019860492357</v>
      </c>
      <c r="K455" s="416" t="s">
        <v>1801</v>
      </c>
      <c r="L455" s="416" t="s">
        <v>1089</v>
      </c>
    </row>
    <row r="456" spans="2:12">
      <c r="B456" t="s">
        <v>2299</v>
      </c>
      <c r="C456" s="103" t="s">
        <v>281</v>
      </c>
      <c r="D456" s="103" t="s">
        <v>129</v>
      </c>
      <c r="E456" s="332">
        <f>10^6.17</f>
        <v>1479108.3881682095</v>
      </c>
      <c r="F456" s="103">
        <v>18</v>
      </c>
      <c r="G456" s="103">
        <f>273.15+F456</f>
        <v>291.14999999999998</v>
      </c>
      <c r="H456" s="372" cm="1">
        <f t="array" aca="1" ref="H456" ca="1">VLOOKUP(D456,Table245[[Compound Name]:[∆OWU SD]],INDIRECT("RAVs!$"&amp;VLOOKUP(C456,$N$45:$P$50,3,FALSE)&amp;"$1")+1,FALSE)*1000</f>
        <v>-21622.5070415884</v>
      </c>
      <c r="I456" s="422">
        <f ca="1">EXP(LN(E456)-H456/8.314*(1/$J$46-1/G456))</f>
        <v>1199276.1968166388</v>
      </c>
      <c r="J456" s="332">
        <f ca="1">LOG(I456)</f>
        <v>6.0789192139077066</v>
      </c>
      <c r="K456" s="416" t="s">
        <v>1801</v>
      </c>
      <c r="L456" s="416" t="s">
        <v>1089</v>
      </c>
    </row>
    <row r="457" spans="2:12">
      <c r="B457" t="s">
        <v>2300</v>
      </c>
      <c r="C457" s="103" t="s">
        <v>359</v>
      </c>
      <c r="D457" s="103" t="s">
        <v>370</v>
      </c>
      <c r="E457" s="332">
        <f>10^2.51</f>
        <v>323.59365692962825</v>
      </c>
      <c r="F457" s="103">
        <v>20</v>
      </c>
      <c r="G457" s="103">
        <f>273.15+F457</f>
        <v>293.14999999999998</v>
      </c>
      <c r="H457" s="372" cm="1">
        <f t="array" aca="1" ref="H457" ca="1">VLOOKUP(D457,Table245[[Compound Name]:[∆OWU SD]],INDIRECT("RAVs!$"&amp;VLOOKUP(C457,$N$45:$P$50,3,FALSE)&amp;"$1")+1,FALSE)*1000</f>
        <v>-674.17413090979926</v>
      </c>
      <c r="I457" s="422">
        <f ca="1">EXP(LN(E457)-H457/8.314*(1/$J$46-1/G457))</f>
        <v>322.09604104180636</v>
      </c>
      <c r="J457" s="416">
        <f ca="1">LOG('Table S4 Conversions and Notes'!$I457/10^K19)</f>
        <v>3.105241939387922</v>
      </c>
      <c r="K457" s="416" t="s">
        <v>1803</v>
      </c>
      <c r="L457" s="416"/>
    </row>
    <row r="458" spans="2:12">
      <c r="B458" t="s">
        <v>2301</v>
      </c>
      <c r="C458" s="103" t="s">
        <v>359</v>
      </c>
      <c r="D458" s="103" t="s">
        <v>1015</v>
      </c>
      <c r="E458" s="332">
        <f>10^1.4</f>
        <v>25.118864315095799</v>
      </c>
      <c r="F458" s="103">
        <v>20</v>
      </c>
      <c r="G458" s="103">
        <f>273.15+F458</f>
        <v>293.14999999999998</v>
      </c>
      <c r="H458" s="372" cm="1">
        <f t="array" aca="1" ref="H458" ca="1">VLOOKUP(D458,Table245[[Compound Name]:[∆OWU SD]],INDIRECT("RAVs!$"&amp;VLOOKUP(C458,$N$45:$P$50,3,FALSE)&amp;"$1")+1,FALSE)*1000</f>
        <v>761.59969105800053</v>
      </c>
      <c r="I458" s="422">
        <f ca="1">EXP(LN(E458)-H458/8.314*(1/$J$46-1/G458))</f>
        <v>25.250841986115304</v>
      </c>
      <c r="J458" s="416">
        <f ca="1">LOG('Table S4 Conversions and Notes'!$I458/10^K27)</f>
        <v>2.2353977200130184</v>
      </c>
      <c r="K458" s="416" t="s">
        <v>1803</v>
      </c>
      <c r="L458" s="416"/>
    </row>
    <row r="459" spans="2:12">
      <c r="B459" t="s">
        <v>2302</v>
      </c>
      <c r="C459" s="103" t="s">
        <v>1420</v>
      </c>
      <c r="D459" s="103" t="s">
        <v>370</v>
      </c>
      <c r="E459" s="332">
        <f>$X$185</f>
        <v>3.3169414751899033</v>
      </c>
      <c r="F459" s="103"/>
      <c r="G459" s="103"/>
      <c r="H459" s="103"/>
      <c r="I459" s="103"/>
      <c r="J459" s="332">
        <f>$X$185</f>
        <v>3.3169414751899033</v>
      </c>
      <c r="K459" s="416" t="s">
        <v>1803</v>
      </c>
      <c r="L459" s="416" t="s">
        <v>1761</v>
      </c>
    </row>
    <row r="460" spans="2:12">
      <c r="B460" t="s">
        <v>2303</v>
      </c>
      <c r="C460" s="103" t="s">
        <v>1420</v>
      </c>
      <c r="D460" s="103" t="s">
        <v>1658</v>
      </c>
      <c r="E460" s="332">
        <f>$Z$185</f>
        <v>-8.4189731462477848</v>
      </c>
      <c r="F460" s="103"/>
      <c r="G460" s="103"/>
      <c r="H460" s="103"/>
      <c r="I460" s="103"/>
      <c r="J460" s="332">
        <f>$Z$185</f>
        <v>-8.4189731462477848</v>
      </c>
      <c r="K460" s="416" t="s">
        <v>1803</v>
      </c>
      <c r="L460" s="416" t="s">
        <v>1816</v>
      </c>
    </row>
    <row r="461" spans="2:12">
      <c r="B461" t="s">
        <v>2304</v>
      </c>
      <c r="C461" s="103" t="s">
        <v>1420</v>
      </c>
      <c r="D461" s="103" t="s">
        <v>1015</v>
      </c>
      <c r="E461" s="332">
        <f>$AB$185</f>
        <v>7.6253721994684973</v>
      </c>
      <c r="F461" s="103"/>
      <c r="G461" s="103"/>
      <c r="H461" s="103"/>
      <c r="I461" s="103"/>
      <c r="J461" s="332">
        <f>$AB$185</f>
        <v>7.6253721994684973</v>
      </c>
      <c r="K461" s="416" t="s">
        <v>1803</v>
      </c>
      <c r="L461" s="416" t="s">
        <v>1816</v>
      </c>
    </row>
    <row r="462" spans="2:12">
      <c r="B462" t="s">
        <v>2305</v>
      </c>
      <c r="C462" s="103" t="s">
        <v>359</v>
      </c>
      <c r="D462" s="103" t="s">
        <v>135</v>
      </c>
      <c r="E462" s="416">
        <f>10^-2.77*1000</f>
        <v>1.6982436524617426</v>
      </c>
      <c r="F462" s="103">
        <v>23</v>
      </c>
      <c r="G462" s="103">
        <f>273.15+F462</f>
        <v>296.14999999999998</v>
      </c>
      <c r="H462" s="372" cm="1">
        <f t="array" aca="1" ref="H462" ca="1">VLOOKUP(D462,Table245[[Compound Name]:[∆OWU SD]],INDIRECT("RAVs!$"&amp;VLOOKUP(C462,$N$45:$P$50,3,FALSE)&amp;"$1")+1,FALSE)*1000</f>
        <v>3893.0251277952175</v>
      </c>
      <c r="I462" s="422">
        <f ca="1">EXP(LN(E462)-H462/8.314*(1/$J$46-1/G462))</f>
        <v>1.7163514562010223</v>
      </c>
      <c r="J462" s="416">
        <f ca="1">LOG('Table S4 Conversions and Notes'!$I462/10^K32)</f>
        <v>2.9747586063344462</v>
      </c>
      <c r="K462" s="416" t="s">
        <v>1828</v>
      </c>
      <c r="L462" s="416" t="s">
        <v>1831</v>
      </c>
    </row>
    <row r="463" spans="2:12">
      <c r="B463" t="s">
        <v>2306</v>
      </c>
      <c r="C463" s="103" t="s">
        <v>274</v>
      </c>
      <c r="D463" s="103" t="s">
        <v>1015</v>
      </c>
      <c r="E463" s="420">
        <f>AVERAGE(0.00468,0.00477)</f>
        <v>4.725E-3</v>
      </c>
      <c r="F463" s="103">
        <v>25</v>
      </c>
      <c r="G463" s="103">
        <f>273.15+F463</f>
        <v>298.14999999999998</v>
      </c>
      <c r="H463" s="103"/>
      <c r="I463" s="103"/>
      <c r="J463" s="430">
        <f>'Table S4 Conversions and Notes'!$E463/10^$K$27</f>
        <v>3.2175378809064771E-2</v>
      </c>
      <c r="K463" s="416" t="s">
        <v>1847</v>
      </c>
      <c r="L463" s="416" t="s">
        <v>1198</v>
      </c>
    </row>
    <row r="464" spans="2:12">
      <c r="B464" t="s">
        <v>2307</v>
      </c>
      <c r="C464" s="103" t="s">
        <v>569</v>
      </c>
      <c r="D464" s="103" t="s">
        <v>1016</v>
      </c>
      <c r="E464" s="416">
        <f>AVERAGE(198,217)</f>
        <v>207.5</v>
      </c>
      <c r="F464" s="103"/>
      <c r="G464" s="103"/>
      <c r="H464" s="103"/>
      <c r="I464" s="103"/>
      <c r="J464" s="416">
        <f>'Table S4 Conversions and Notes'!$E464</f>
        <v>207.5</v>
      </c>
      <c r="K464" s="416" t="s">
        <v>1848</v>
      </c>
      <c r="L464" s="416" t="s">
        <v>1849</v>
      </c>
    </row>
    <row r="465" spans="2:12">
      <c r="B465" t="s">
        <v>2308</v>
      </c>
      <c r="C465" s="103" t="s">
        <v>191</v>
      </c>
      <c r="D465" s="103" t="s">
        <v>1015</v>
      </c>
      <c r="E465" s="416">
        <f>10^(-6181/298.15+9.601)*101325</f>
        <v>7.508289847882248E-7</v>
      </c>
      <c r="F465" s="103"/>
      <c r="G465" s="103"/>
      <c r="H465" s="103"/>
      <c r="I465" s="416">
        <f>'Table S4 Conversions and Notes'!$E465/10^$K$27</f>
        <v>5.112848043679718E-6</v>
      </c>
      <c r="J465" s="416">
        <f>LOG('Table S4 Conversions and Notes'!$I465)</f>
        <v>-5.2913371145240129</v>
      </c>
      <c r="K465" s="416" t="s">
        <v>1848</v>
      </c>
      <c r="L465" s="416" t="s">
        <v>1852</v>
      </c>
    </row>
    <row r="466" spans="2:12">
      <c r="B466" t="s">
        <v>2309</v>
      </c>
      <c r="C466" s="103" t="s">
        <v>191</v>
      </c>
      <c r="D466" s="103" t="s">
        <v>1016</v>
      </c>
      <c r="E466" s="416">
        <f>10^(-6792/298.15+10.885)*101325</f>
        <v>1.2889527222221337E-7</v>
      </c>
      <c r="F466" s="103"/>
      <c r="G466" s="103"/>
      <c r="H466" s="103"/>
      <c r="I466" s="416">
        <f>'Table S4 Conversions and Notes'!$E466/10^$K$42</f>
        <v>1.0163318274030789E-5</v>
      </c>
      <c r="J466" s="416">
        <f>LOG('Table S4 Conversions and Notes'!$I466)</f>
        <v>-4.9929644738613508</v>
      </c>
      <c r="K466" s="416" t="s">
        <v>1848</v>
      </c>
      <c r="L466" s="416" t="s">
        <v>1853</v>
      </c>
    </row>
    <row r="467" spans="2:12">
      <c r="B467" t="s">
        <v>2310</v>
      </c>
      <c r="C467" s="103" t="s">
        <v>502</v>
      </c>
      <c r="D467" s="103" t="s">
        <v>1015</v>
      </c>
      <c r="E467" s="332">
        <f>6181*8.314*2.303/1000-'Table S3 Literature Values'!$AP$240*('Table S3 Literature Values'!$AS$240+273.15)/1000</f>
        <v>101.81408321800092</v>
      </c>
      <c r="F467" s="103"/>
      <c r="G467" s="103"/>
      <c r="H467" s="103"/>
      <c r="I467" s="103"/>
      <c r="J467" s="332">
        <f>'Table S4 Conversions and Notes'!$E467</f>
        <v>101.81408321800092</v>
      </c>
      <c r="K467" s="416" t="s">
        <v>1848</v>
      </c>
      <c r="L467" s="416" t="s">
        <v>1865</v>
      </c>
    </row>
    <row r="468" spans="2:12">
      <c r="B468" t="s">
        <v>2311</v>
      </c>
      <c r="C468" s="103" t="s">
        <v>502</v>
      </c>
      <c r="D468" s="103" t="s">
        <v>1016</v>
      </c>
      <c r="E468" s="332">
        <f>6792*8.314*2.303/1000-IF('Table S3 Literature Values'!$AP$256=0,56.5,'Table S3 Literature Values'!$AP$256)*('Table S3 Literature Values'!$AS$256+273.15)/1000</f>
        <v>102.37557179733332</v>
      </c>
      <c r="F468" s="103"/>
      <c r="G468" s="103"/>
      <c r="H468" s="103"/>
      <c r="I468" s="103"/>
      <c r="J468" s="332">
        <f>'Table S4 Conversions and Notes'!$E468</f>
        <v>102.37557179733332</v>
      </c>
      <c r="K468" s="416" t="s">
        <v>1848</v>
      </c>
      <c r="L468" s="416" t="s">
        <v>1919</v>
      </c>
    </row>
    <row r="469" spans="2:12">
      <c r="B469" t="s">
        <v>2312</v>
      </c>
      <c r="C469" s="103" t="s">
        <v>274</v>
      </c>
      <c r="D469" s="103" t="s">
        <v>1015</v>
      </c>
      <c r="E469" s="416">
        <f>1.09/1000</f>
        <v>1.09E-3</v>
      </c>
      <c r="F469" s="103"/>
      <c r="G469" s="103"/>
      <c r="H469" s="103"/>
      <c r="I469" s="103"/>
      <c r="J469" s="416">
        <f>'Table S4 Conversions and Notes'!$E469/10^$K$27</f>
        <v>7.4224683390223499E-3</v>
      </c>
      <c r="K469" s="416" t="s">
        <v>1867</v>
      </c>
      <c r="L469" s="416" t="s">
        <v>1198</v>
      </c>
    </row>
    <row r="470" spans="2:12">
      <c r="B470" t="s">
        <v>2313</v>
      </c>
      <c r="C470" s="103" t="s">
        <v>274</v>
      </c>
      <c r="D470" s="103" t="s">
        <v>1016</v>
      </c>
      <c r="E470" s="416">
        <f>1.82/1000</f>
        <v>1.82E-3</v>
      </c>
      <c r="F470" s="103"/>
      <c r="G470" s="103"/>
      <c r="H470" s="103"/>
      <c r="I470" s="103"/>
      <c r="J470" s="416">
        <f>'Table S4 Conversions and Notes'!$E470/10^$K$42</f>
        <v>0.14350595595816029</v>
      </c>
      <c r="K470" s="416" t="s">
        <v>1867</v>
      </c>
      <c r="L470" s="416" t="s">
        <v>1198</v>
      </c>
    </row>
    <row r="471" spans="2:12">
      <c r="B471" t="s">
        <v>2314</v>
      </c>
      <c r="C471" s="103" t="s">
        <v>274</v>
      </c>
      <c r="D471" s="103" t="s">
        <v>1015</v>
      </c>
      <c r="E471" s="416">
        <v>3.8E-3</v>
      </c>
      <c r="F471" s="103"/>
      <c r="G471" s="103"/>
      <c r="H471" s="103"/>
      <c r="I471" s="103"/>
      <c r="J471" s="416">
        <f>'Table S4 Conversions and Notes'!$E471/10^$K$27</f>
        <v>2.5876495126866909E-2</v>
      </c>
      <c r="K471" s="416" t="s">
        <v>1435</v>
      </c>
      <c r="L471" s="416" t="s">
        <v>1198</v>
      </c>
    </row>
    <row r="472" spans="2:12">
      <c r="B472" t="s">
        <v>2315</v>
      </c>
      <c r="C472" s="103" t="s">
        <v>274</v>
      </c>
      <c r="D472" s="103" t="s">
        <v>1015</v>
      </c>
      <c r="E472" s="416">
        <v>1.9000000000000001E-8</v>
      </c>
      <c r="F472" s="103"/>
      <c r="G472" s="103"/>
      <c r="H472" s="103"/>
      <c r="I472" s="103"/>
      <c r="J472" s="416">
        <f>'Table S4 Conversions and Notes'!$E472/10^$K$27</f>
        <v>1.2938247563433455E-7</v>
      </c>
      <c r="K472" s="416" t="s">
        <v>1871</v>
      </c>
      <c r="L472" s="416" t="s">
        <v>1198</v>
      </c>
    </row>
    <row r="473" spans="2:12">
      <c r="B473" t="s">
        <v>2316</v>
      </c>
      <c r="C473" s="103" t="s">
        <v>274</v>
      </c>
      <c r="D473" s="103" t="s">
        <v>1015</v>
      </c>
      <c r="E473" s="416">
        <v>1.6000000000000001E-3</v>
      </c>
      <c r="F473" s="103"/>
      <c r="G473" s="103"/>
      <c r="H473" s="103"/>
      <c r="I473" s="103"/>
      <c r="J473" s="416">
        <f>'Table S4 Conversions and Notes'!$E473/10^$K$27</f>
        <v>1.089536636920712E-2</v>
      </c>
      <c r="K473" s="416" t="s">
        <v>1872</v>
      </c>
      <c r="L473" s="416" t="s">
        <v>1198</v>
      </c>
    </row>
    <row r="474" spans="2:12">
      <c r="B474" t="s">
        <v>2317</v>
      </c>
      <c r="C474" s="103" t="s">
        <v>274</v>
      </c>
      <c r="D474" s="103" t="s">
        <v>1015</v>
      </c>
      <c r="E474" s="416">
        <f>0.002</f>
        <v>2E-3</v>
      </c>
      <c r="F474" s="103"/>
      <c r="G474" s="103"/>
      <c r="H474" s="103"/>
      <c r="I474" s="103"/>
      <c r="J474" s="416">
        <f>'Table S4 Conversions and Notes'!$E474/10^$K$27</f>
        <v>1.36192079615089E-2</v>
      </c>
      <c r="K474" s="416" t="s">
        <v>1874</v>
      </c>
      <c r="L474" s="416" t="s">
        <v>1876</v>
      </c>
    </row>
    <row r="475" spans="2:12">
      <c r="B475" t="s">
        <v>2318</v>
      </c>
      <c r="C475" s="103" t="s">
        <v>653</v>
      </c>
      <c r="D475" s="103" t="s">
        <v>1015</v>
      </c>
      <c r="E475" s="332">
        <f>50.6-'Table S3 Literature Values'!$AP$240*('Table S3 Literature Values'!$AS$240+273.15)/1000</f>
        <v>34.065598516000918</v>
      </c>
      <c r="F475" s="103"/>
      <c r="G475" s="103"/>
      <c r="H475" s="103"/>
      <c r="I475" s="103"/>
      <c r="J475" s="416">
        <f>'Table S4 Conversions and Notes'!$E475</f>
        <v>34.065598516000918</v>
      </c>
      <c r="K475" s="416" t="s">
        <v>1879</v>
      </c>
      <c r="L475" s="416" t="s">
        <v>1888</v>
      </c>
    </row>
    <row r="476" spans="2:12">
      <c r="B476" t="s">
        <v>2319</v>
      </c>
      <c r="C476" s="103" t="s">
        <v>359</v>
      </c>
      <c r="D476" s="103" t="s">
        <v>135</v>
      </c>
      <c r="E476" s="416">
        <v>826</v>
      </c>
      <c r="F476" s="103"/>
      <c r="G476" s="103"/>
      <c r="H476" s="103"/>
      <c r="I476" s="103"/>
      <c r="J476" s="416">
        <f>'Table S4 Conversions and Notes'!$E476/10^$K$27</f>
        <v>5624.7328881031754</v>
      </c>
      <c r="K476" s="416" t="s">
        <v>1247</v>
      </c>
      <c r="L476" s="416" t="s">
        <v>1198</v>
      </c>
    </row>
    <row r="477" spans="2:12">
      <c r="B477" t="s">
        <v>2320</v>
      </c>
      <c r="C477" s="103" t="s">
        <v>502</v>
      </c>
      <c r="D477" s="103" t="s">
        <v>2011</v>
      </c>
      <c r="E477" s="416">
        <v>69</v>
      </c>
      <c r="F477" s="103"/>
      <c r="G477" s="103"/>
      <c r="H477" s="103"/>
      <c r="I477" s="103"/>
      <c r="J477" s="416">
        <v>69</v>
      </c>
      <c r="K477" s="416" t="s">
        <v>2355</v>
      </c>
      <c r="L477" s="416" t="s">
        <v>2819</v>
      </c>
    </row>
    <row r="478" spans="2:12">
      <c r="B478" t="s">
        <v>2321</v>
      </c>
      <c r="C478" s="103" t="s">
        <v>274</v>
      </c>
      <c r="D478" s="103" t="s">
        <v>1015</v>
      </c>
      <c r="E478" s="416">
        <f>0.00000158/0.001/'Table S3 Literature Values'!$B$241</f>
        <v>6.2619889345106925E-6</v>
      </c>
      <c r="F478" s="103"/>
      <c r="G478" s="103"/>
      <c r="H478" s="103"/>
      <c r="I478" s="103"/>
      <c r="J478" s="416">
        <f>'Table S4 Conversions and Notes'!$E478/10^$K$27</f>
        <v>4.2641664775884325E-5</v>
      </c>
      <c r="K478" s="416" t="s">
        <v>1879</v>
      </c>
      <c r="L478" s="416" t="s">
        <v>1198</v>
      </c>
    </row>
    <row r="479" spans="2:12">
      <c r="B479" t="s">
        <v>2322</v>
      </c>
      <c r="C479" s="103" t="s">
        <v>274</v>
      </c>
      <c r="D479" s="103" t="s">
        <v>1015</v>
      </c>
      <c r="E479" s="416">
        <v>6.2199999999999998E-3</v>
      </c>
      <c r="F479" s="103"/>
      <c r="G479" s="103"/>
      <c r="H479" s="103"/>
      <c r="I479" s="103"/>
      <c r="J479" s="416">
        <f>'Table S4 Conversions and Notes'!$E479/10^$K$27</f>
        <v>4.2355736760292674E-2</v>
      </c>
      <c r="K479" s="416" t="s">
        <v>1274</v>
      </c>
      <c r="L479" s="416" t="s">
        <v>1198</v>
      </c>
    </row>
    <row r="480" spans="2:12">
      <c r="B480" t="s">
        <v>2323</v>
      </c>
      <c r="C480" s="103" t="s">
        <v>274</v>
      </c>
      <c r="D480" s="103" t="s">
        <v>1015</v>
      </c>
      <c r="E480" s="416">
        <v>6.4200000000000004E-6</v>
      </c>
      <c r="F480" s="103"/>
      <c r="G480" s="103"/>
      <c r="H480" s="103"/>
      <c r="I480" s="103"/>
      <c r="J480" s="416">
        <f>'Table S4 Conversions and Notes'!$E480/10^$K$27</f>
        <v>4.3717657556443569E-5</v>
      </c>
      <c r="K480" s="416" t="s">
        <v>1887</v>
      </c>
      <c r="L480" s="416" t="s">
        <v>1198</v>
      </c>
    </row>
    <row r="481" spans="2:12">
      <c r="B481" t="s">
        <v>2324</v>
      </c>
      <c r="C481" s="103" t="s">
        <v>653</v>
      </c>
      <c r="D481" s="103" t="s">
        <v>1015</v>
      </c>
      <c r="E481" s="332">
        <f>50.3-'Table S3 Literature Values'!$AP$240*('Table S3 Literature Values'!$AS$240+273.15)/1000</f>
        <v>33.765598516000914</v>
      </c>
      <c r="F481" s="103"/>
      <c r="G481" s="103"/>
      <c r="H481" s="103"/>
      <c r="I481" s="103"/>
      <c r="J481" s="332">
        <f>'Table S4 Conversions and Notes'!$E481</f>
        <v>33.765598516000914</v>
      </c>
      <c r="K481" s="416" t="s">
        <v>1887</v>
      </c>
      <c r="L481" s="416" t="s">
        <v>1888</v>
      </c>
    </row>
    <row r="482" spans="2:12">
      <c r="B482" t="s">
        <v>2325</v>
      </c>
      <c r="C482" s="103" t="s">
        <v>274</v>
      </c>
      <c r="D482" s="103" t="s">
        <v>1015</v>
      </c>
      <c r="E482" s="416">
        <v>6.0900000000000001E-6</v>
      </c>
      <c r="F482" s="103"/>
      <c r="G482" s="103"/>
      <c r="H482" s="103"/>
      <c r="I482" s="103"/>
      <c r="J482" s="416">
        <f>'Table S4 Conversions and Notes'!$E482/10^$K$27</f>
        <v>4.1470488242794597E-5</v>
      </c>
      <c r="K482" s="416" t="s">
        <v>1890</v>
      </c>
      <c r="L482" s="416" t="s">
        <v>1198</v>
      </c>
    </row>
    <row r="483" spans="2:12">
      <c r="B483" t="s">
        <v>2326</v>
      </c>
      <c r="C483" s="103" t="s">
        <v>653</v>
      </c>
      <c r="D483" s="103" t="s">
        <v>1015</v>
      </c>
      <c r="E483" s="332">
        <f>X201</f>
        <v>17.775903407978383</v>
      </c>
      <c r="F483" s="103"/>
      <c r="G483" s="103"/>
      <c r="H483" s="103"/>
      <c r="I483" s="103"/>
      <c r="J483" s="332">
        <f>'Table S4 Conversions and Notes'!$E483</f>
        <v>17.775903407978383</v>
      </c>
      <c r="K483" s="416" t="s">
        <v>1890</v>
      </c>
      <c r="L483" s="416" t="s">
        <v>1896</v>
      </c>
    </row>
    <row r="484" spans="2:12">
      <c r="B484" t="s">
        <v>2327</v>
      </c>
      <c r="C484" s="103" t="s">
        <v>274</v>
      </c>
      <c r="D484" s="103" t="s">
        <v>1015</v>
      </c>
      <c r="E484" s="416">
        <v>4.7600000000000002E-6</v>
      </c>
      <c r="F484" s="103"/>
      <c r="G484" s="103"/>
      <c r="H484" s="103"/>
      <c r="I484" s="103"/>
      <c r="J484" s="416">
        <f>'Table S4 Conversions and Notes'!$E484/10^$K$27</f>
        <v>3.2413714948391182E-5</v>
      </c>
      <c r="K484" s="416" t="s">
        <v>1894</v>
      </c>
      <c r="L484" s="429" t="s">
        <v>1915</v>
      </c>
    </row>
    <row r="485" spans="2:12">
      <c r="B485" t="s">
        <v>2328</v>
      </c>
      <c r="C485" s="103" t="s">
        <v>191</v>
      </c>
      <c r="D485" s="103" t="s">
        <v>1015</v>
      </c>
      <c r="E485" s="332">
        <f>LOG((10^-6.076)*133.322)</f>
        <v>-3.9510981799916403</v>
      </c>
      <c r="F485" s="103"/>
      <c r="G485" s="103"/>
      <c r="H485" s="103"/>
      <c r="I485" s="103"/>
      <c r="J485" s="332">
        <f>'Table S4 Conversions and Notes'!$E485</f>
        <v>-3.9510981799916403</v>
      </c>
      <c r="K485" s="416" t="s">
        <v>1872</v>
      </c>
      <c r="L485" s="416" t="s">
        <v>1898</v>
      </c>
    </row>
    <row r="486" spans="2:12">
      <c r="B486" t="s">
        <v>2329</v>
      </c>
      <c r="C486" s="103" t="s">
        <v>281</v>
      </c>
      <c r="D486" s="103" t="s">
        <v>1015</v>
      </c>
      <c r="E486" s="124">
        <f>10^5.98</f>
        <v>954992.58602143743</v>
      </c>
      <c r="F486" s="103">
        <v>23</v>
      </c>
      <c r="G486" s="103">
        <f>273.15+F486</f>
        <v>296.14999999999998</v>
      </c>
      <c r="H486" s="372" cm="1">
        <f t="array" aca="1" ref="H486" ca="1">VLOOKUP(D486,Table245[[Compound Name]:[∆OWU SD]],INDIRECT("RAVs!$"&amp;VLOOKUP(C486,$N$45:$P$50,3,FALSE)&amp;"$1")+1,FALSE)*1000</f>
        <v>-26111.697558132299</v>
      </c>
      <c r="I486" s="422">
        <f ca="1">EXP(LN(E486)-H486/8.314*(1/$J$46-1/G486))</f>
        <v>889415.4507833583</v>
      </c>
      <c r="J486" s="445">
        <f ca="1">LOG('Table S4 Conversions and Notes'!$I486)</f>
        <v>5.9491046696729217</v>
      </c>
      <c r="K486" s="416" t="s">
        <v>1918</v>
      </c>
      <c r="L486" s="416"/>
    </row>
    <row r="487" spans="2:12">
      <c r="B487" t="s">
        <v>2330</v>
      </c>
      <c r="C487" s="103" t="s">
        <v>274</v>
      </c>
      <c r="D487" s="103" t="s">
        <v>1016</v>
      </c>
      <c r="E487" s="416">
        <f>0.0008/'Table S3 Literature Values'!B257</f>
        <v>3.1706273086130093E-6</v>
      </c>
      <c r="F487" s="103"/>
      <c r="G487" s="103"/>
      <c r="H487" s="103"/>
      <c r="I487" s="103"/>
      <c r="J487" s="416">
        <f>'Table S4 Conversions and Notes'!$E487/10^$K$42</f>
        <v>2.5000214445580158E-4</v>
      </c>
      <c r="K487" s="416" t="s">
        <v>1894</v>
      </c>
      <c r="L487" s="429" t="s">
        <v>1915</v>
      </c>
    </row>
    <row r="488" spans="2:12">
      <c r="B488" t="s">
        <v>2331</v>
      </c>
      <c r="C488" s="103" t="s">
        <v>281</v>
      </c>
      <c r="D488" s="103" t="s">
        <v>1016</v>
      </c>
      <c r="E488" s="416">
        <v>5.94</v>
      </c>
      <c r="F488" s="103"/>
      <c r="G488" s="103"/>
      <c r="H488" s="103"/>
      <c r="I488" s="103"/>
      <c r="J488" s="416">
        <v>5.94</v>
      </c>
      <c r="K488" s="416" t="s">
        <v>1916</v>
      </c>
      <c r="L488" s="416" t="s">
        <v>1917</v>
      </c>
    </row>
    <row r="489" spans="2:12">
      <c r="B489" s="103" t="s">
        <v>2364</v>
      </c>
      <c r="C489" s="103" t="s">
        <v>281</v>
      </c>
      <c r="D489" s="103" t="s">
        <v>1982</v>
      </c>
      <c r="E489" s="332">
        <v>1.4</v>
      </c>
      <c r="F489" s="103"/>
      <c r="G489" s="103"/>
      <c r="H489" s="103"/>
      <c r="I489" s="103"/>
      <c r="J489" s="332">
        <f t="shared" ref="J489:J499" si="62">E489</f>
        <v>1.4</v>
      </c>
      <c r="K489" s="416" t="s">
        <v>2217</v>
      </c>
      <c r="L489" s="416" t="s">
        <v>1211</v>
      </c>
    </row>
    <row r="490" spans="2:12">
      <c r="B490" s="103" t="s">
        <v>2372</v>
      </c>
      <c r="C490" s="103" t="s">
        <v>281</v>
      </c>
      <c r="D490" s="103" t="s">
        <v>1982</v>
      </c>
      <c r="E490" s="332">
        <v>1.47</v>
      </c>
      <c r="F490" s="103"/>
      <c r="G490" s="103"/>
      <c r="H490" s="103"/>
      <c r="I490" s="103"/>
      <c r="J490" s="332">
        <f t="shared" si="62"/>
        <v>1.47</v>
      </c>
      <c r="K490" s="416" t="s">
        <v>2373</v>
      </c>
      <c r="L490" s="416" t="s">
        <v>2374</v>
      </c>
    </row>
    <row r="491" spans="2:12">
      <c r="B491" s="103" t="s">
        <v>2380</v>
      </c>
      <c r="C491" s="103" t="s">
        <v>281</v>
      </c>
      <c r="D491" s="103" t="s">
        <v>1972</v>
      </c>
      <c r="E491" s="332">
        <v>3.57</v>
      </c>
      <c r="F491" s="103"/>
      <c r="G491" s="103"/>
      <c r="H491" s="103"/>
      <c r="I491" s="103"/>
      <c r="J491" s="332">
        <f t="shared" si="62"/>
        <v>3.57</v>
      </c>
      <c r="K491" s="416" t="s">
        <v>2381</v>
      </c>
      <c r="L491" s="416" t="s">
        <v>1211</v>
      </c>
    </row>
    <row r="492" spans="2:12">
      <c r="B492" s="103" t="s">
        <v>2382</v>
      </c>
      <c r="C492" s="103" t="s">
        <v>281</v>
      </c>
      <c r="D492" s="103" t="s">
        <v>1982</v>
      </c>
      <c r="E492" s="332">
        <v>3.74</v>
      </c>
      <c r="F492" s="103"/>
      <c r="G492" s="103"/>
      <c r="H492" s="103"/>
      <c r="I492" s="103"/>
      <c r="J492" s="332">
        <f t="shared" si="62"/>
        <v>3.74</v>
      </c>
      <c r="K492" s="416" t="s">
        <v>2381</v>
      </c>
      <c r="L492" s="416" t="s">
        <v>1211</v>
      </c>
    </row>
    <row r="493" spans="2:12">
      <c r="B493" s="103" t="s">
        <v>2394</v>
      </c>
      <c r="C493" s="103" t="s">
        <v>281</v>
      </c>
      <c r="D493" s="103" t="s">
        <v>1958</v>
      </c>
      <c r="E493" s="332">
        <v>5.1100000000000003</v>
      </c>
      <c r="F493" s="103"/>
      <c r="G493" s="103"/>
      <c r="H493" s="103"/>
      <c r="I493" s="103"/>
      <c r="J493" s="332">
        <f t="shared" si="62"/>
        <v>5.1100000000000003</v>
      </c>
      <c r="K493" s="416" t="s">
        <v>2191</v>
      </c>
      <c r="L493" s="416" t="s">
        <v>1211</v>
      </c>
    </row>
    <row r="494" spans="2:12">
      <c r="B494" s="103" t="s">
        <v>2397</v>
      </c>
      <c r="C494" s="103" t="s">
        <v>281</v>
      </c>
      <c r="D494" s="103" t="s">
        <v>1932</v>
      </c>
      <c r="E494" s="332">
        <f>AVERAGE(8.8,9.7)</f>
        <v>9.25</v>
      </c>
      <c r="F494" s="103"/>
      <c r="G494" s="103"/>
      <c r="H494" s="103"/>
      <c r="I494" s="103"/>
      <c r="J494" s="332">
        <f t="shared" si="62"/>
        <v>9.25</v>
      </c>
      <c r="K494" s="416" t="s">
        <v>2400</v>
      </c>
      <c r="L494" s="416" t="s">
        <v>2401</v>
      </c>
    </row>
    <row r="495" spans="2:12">
      <c r="B495" s="103" t="s">
        <v>2405</v>
      </c>
      <c r="C495" s="103" t="s">
        <v>191</v>
      </c>
      <c r="D495" s="103" t="s">
        <v>2027</v>
      </c>
      <c r="E495" s="332">
        <f>LOG(1.19,10)</f>
        <v>7.554696139253074E-2</v>
      </c>
      <c r="F495" s="103"/>
      <c r="G495" s="103"/>
      <c r="H495" s="103"/>
      <c r="I495" s="103"/>
      <c r="J495" s="332">
        <f t="shared" si="62"/>
        <v>7.554696139253074E-2</v>
      </c>
      <c r="K495" s="416" t="s">
        <v>2174</v>
      </c>
      <c r="L495" s="416" t="s">
        <v>1211</v>
      </c>
    </row>
    <row r="496" spans="2:12">
      <c r="B496" s="103" t="s">
        <v>2438</v>
      </c>
      <c r="C496" s="103" t="s">
        <v>191</v>
      </c>
      <c r="D496" s="16" t="s">
        <v>1982</v>
      </c>
      <c r="E496" s="409">
        <f>LOG(10^(13.83-5204/298.15)*133.322)</f>
        <v>-1.4993997060691193</v>
      </c>
      <c r="J496" s="404">
        <f t="shared" si="62"/>
        <v>-1.4993997060691193</v>
      </c>
      <c r="K496" s="416" t="s">
        <v>2440</v>
      </c>
      <c r="L496" s="416" t="s">
        <v>1211</v>
      </c>
    </row>
    <row r="497" spans="2:12">
      <c r="B497" s="103" t="s">
        <v>2442</v>
      </c>
      <c r="C497" s="103" t="s">
        <v>191</v>
      </c>
      <c r="D497" s="16" t="s">
        <v>1982</v>
      </c>
      <c r="E497" s="409">
        <f>LOG(10^(9.24-3876/298.15)*133.322)</f>
        <v>-1.6352658808133742</v>
      </c>
      <c r="J497" s="404">
        <f t="shared" si="62"/>
        <v>-1.6352658808133742</v>
      </c>
      <c r="K497" s="416" t="s">
        <v>2350</v>
      </c>
      <c r="L497" s="416" t="s">
        <v>1211</v>
      </c>
    </row>
    <row r="498" spans="2:12">
      <c r="B498" s="103" t="s">
        <v>2445</v>
      </c>
      <c r="C498" s="103" t="s">
        <v>191</v>
      </c>
      <c r="D498" s="16" t="s">
        <v>1982</v>
      </c>
      <c r="E498" s="409">
        <f>LOG(0.00133)</f>
        <v>-2.8761483590329142</v>
      </c>
      <c r="J498" s="404">
        <f t="shared" si="62"/>
        <v>-2.8761483590329142</v>
      </c>
      <c r="K498" s="416" t="s">
        <v>2446</v>
      </c>
      <c r="L498" s="416" t="s">
        <v>1211</v>
      </c>
    </row>
    <row r="499" spans="2:12">
      <c r="B499" s="103" t="s">
        <v>2452</v>
      </c>
      <c r="C499" s="103" t="s">
        <v>191</v>
      </c>
      <c r="D499" s="16" t="str">
        <f>'Table S3 Literature Values'!$A$481</f>
        <v>Bis(2-ethylhexyl) phthalate</v>
      </c>
      <c r="E499" s="409">
        <f>LOG(0.00086,10)</f>
        <v>-3.0655015487564317</v>
      </c>
      <c r="J499" s="404">
        <f t="shared" si="62"/>
        <v>-3.0655015487564317</v>
      </c>
      <c r="K499" s="416" t="s">
        <v>2381</v>
      </c>
      <c r="L499" s="416" t="s">
        <v>1211</v>
      </c>
    </row>
    <row r="500" spans="2:12">
      <c r="B500" s="103" t="s">
        <v>2456</v>
      </c>
      <c r="C500" s="103" t="s">
        <v>191</v>
      </c>
      <c r="D500" s="16" t="str">
        <f>'Table S3 Literature Values'!$A$481</f>
        <v>Bis(2-ethylhexyl) phthalate</v>
      </c>
      <c r="E500" s="411">
        <v>2.0000000000000001E-4</v>
      </c>
      <c r="F500" s="103">
        <v>30</v>
      </c>
      <c r="G500" s="103">
        <f>273.15+F500</f>
        <v>303.14999999999998</v>
      </c>
      <c r="H500" s="372" t="e" cm="1">
        <f t="array" aca="1" ref="H500" ca="1">VLOOKUP(D500,Table245[[Compound Name]:[∆OWU SD]],INDIRECT("RAVs!$"&amp;VLOOKUP(C500,$N$45:$P$50,3,FALSE)&amp;"$1")+1,FALSE)*1000</f>
        <v>#N/A</v>
      </c>
      <c r="I500" s="422" t="e">
        <f ca="1">EXP(LN(E500)-H500/8.314*(1/$J$46-1/G500))</f>
        <v>#N/A</v>
      </c>
      <c r="J500" s="404" t="e">
        <f ca="1">LOG(I500)</f>
        <v>#N/A</v>
      </c>
      <c r="K500" s="416" t="s">
        <v>2453</v>
      </c>
      <c r="L500" s="416" t="s">
        <v>2457</v>
      </c>
    </row>
    <row r="501" spans="2:12">
      <c r="B501" s="103" t="s">
        <v>2459</v>
      </c>
      <c r="C501" s="103" t="s">
        <v>191</v>
      </c>
      <c r="D501" s="16" t="s">
        <v>1932</v>
      </c>
      <c r="E501" s="409">
        <f>LOG(0.0000031)</f>
        <v>-5.5086383061657269</v>
      </c>
      <c r="J501" s="404">
        <f t="shared" ref="J501:J506" si="63">E501</f>
        <v>-5.5086383061657269</v>
      </c>
      <c r="K501" s="416" t="s">
        <v>2117</v>
      </c>
      <c r="L501" s="416" t="s">
        <v>1211</v>
      </c>
    </row>
    <row r="502" spans="2:12">
      <c r="B502" s="103" t="s">
        <v>2478</v>
      </c>
      <c r="C502" s="103" t="s">
        <v>274</v>
      </c>
      <c r="D502" s="16" t="s">
        <v>2011</v>
      </c>
      <c r="E502" s="409">
        <v>680</v>
      </c>
      <c r="J502" s="404">
        <f t="shared" si="63"/>
        <v>680</v>
      </c>
      <c r="K502" s="416" t="s">
        <v>2479</v>
      </c>
      <c r="L502" s="416" t="s">
        <v>2480</v>
      </c>
    </row>
    <row r="503" spans="2:12">
      <c r="B503" s="103" t="s">
        <v>2494</v>
      </c>
      <c r="C503" s="103" t="s">
        <v>274</v>
      </c>
      <c r="D503" s="16" t="s">
        <v>1982</v>
      </c>
      <c r="E503" s="337">
        <v>4500</v>
      </c>
      <c r="J503" s="404">
        <f t="shared" si="63"/>
        <v>4500</v>
      </c>
      <c r="K503" s="416" t="s">
        <v>2198</v>
      </c>
      <c r="L503" s="416" t="s">
        <v>2480</v>
      </c>
    </row>
    <row r="504" spans="2:12">
      <c r="B504" s="103" t="s">
        <v>2498</v>
      </c>
      <c r="C504" s="103" t="s">
        <v>274</v>
      </c>
      <c r="D504" s="16" t="s">
        <v>1982</v>
      </c>
      <c r="E504" s="337">
        <v>9.1999999999999993</v>
      </c>
      <c r="J504" s="16">
        <f t="shared" si="63"/>
        <v>9.1999999999999993</v>
      </c>
    </row>
    <row r="505" spans="2:12">
      <c r="B505" s="103" t="s">
        <v>2499</v>
      </c>
      <c r="C505" s="103" t="s">
        <v>274</v>
      </c>
      <c r="D505" s="16" t="s">
        <v>1982</v>
      </c>
      <c r="E505" s="337">
        <v>13</v>
      </c>
      <c r="J505" s="16">
        <f t="shared" si="63"/>
        <v>13</v>
      </c>
    </row>
    <row r="506" spans="2:12">
      <c r="B506" s="103" t="s">
        <v>2504</v>
      </c>
      <c r="C506" s="16" t="s">
        <v>191</v>
      </c>
      <c r="D506" t="s">
        <v>2011</v>
      </c>
      <c r="E506" s="337">
        <v>0.32</v>
      </c>
      <c r="J506" s="404">
        <f t="shared" si="63"/>
        <v>0.32</v>
      </c>
    </row>
    <row r="507" spans="2:12">
      <c r="B507" s="103" t="s">
        <v>2505</v>
      </c>
      <c r="C507" s="16" t="s">
        <v>1526</v>
      </c>
      <c r="D507" s="16" t="s">
        <v>1972</v>
      </c>
      <c r="E507" s="337">
        <v>40.200000000000003</v>
      </c>
      <c r="J507" s="16">
        <f>$E$507</f>
        <v>40.200000000000003</v>
      </c>
      <c r="K507" s="16" t="s">
        <v>2217</v>
      </c>
    </row>
    <row r="508" spans="2:12">
      <c r="B508" s="103" t="s">
        <v>2510</v>
      </c>
      <c r="C508" s="16" t="s">
        <v>1526</v>
      </c>
      <c r="D508" t="s">
        <v>1932</v>
      </c>
      <c r="E508" s="337">
        <v>0.2</v>
      </c>
      <c r="H508" s="336"/>
      <c r="I508" s="302"/>
      <c r="J508" s="61">
        <v>0.2</v>
      </c>
      <c r="K508" s="16" t="s">
        <v>2381</v>
      </c>
      <c r="L508" s="16" t="s">
        <v>1211</v>
      </c>
    </row>
    <row r="509" spans="2:12">
      <c r="B509" s="103" t="s">
        <v>2513</v>
      </c>
      <c r="C509" s="16" t="s">
        <v>1526</v>
      </c>
      <c r="D509" s="16" t="s">
        <v>1972</v>
      </c>
      <c r="E509" s="403">
        <v>2.9</v>
      </c>
      <c r="F509" s="16">
        <f>G509-273.15</f>
        <v>24.340000000000032</v>
      </c>
      <c r="G509" s="16">
        <v>297.49</v>
      </c>
      <c r="H509" s="336" t="e" cm="1">
        <f t="array" aca="1" ref="H509" ca="1">VLOOKUP(D509,Table245[[Compound Name]:[∆OWU SD]],INDIRECT("RAVs!$"&amp;VLOOKUP(C509,$N$45:$P$50,3,FALSE)&amp;"$1")+1,FALSE)*1000</f>
        <v>#N/A</v>
      </c>
      <c r="I509" s="302" t="e">
        <f ca="1">EXP(LN(E509)-H509/8.314*(1/$J$46-1/G509))</f>
        <v>#N/A</v>
      </c>
      <c r="J509" s="61" t="e">
        <f ca="1">I509</f>
        <v>#N/A</v>
      </c>
      <c r="K509" s="16" t="s">
        <v>2176</v>
      </c>
      <c r="L509" s="16" t="s">
        <v>1326</v>
      </c>
    </row>
    <row r="510" spans="2:12">
      <c r="B510" s="103" t="s">
        <v>2525</v>
      </c>
      <c r="C510" s="16" t="s">
        <v>1526</v>
      </c>
      <c r="D510" s="16" t="s">
        <v>1972</v>
      </c>
      <c r="E510" s="263">
        <v>3</v>
      </c>
      <c r="J510" s="410">
        <f>E510</f>
        <v>3</v>
      </c>
      <c r="K510" s="16" t="s">
        <v>2526</v>
      </c>
      <c r="L510" s="16" t="s">
        <v>2527</v>
      </c>
    </row>
    <row r="511" spans="2:12">
      <c r="B511" t="s">
        <v>2533</v>
      </c>
      <c r="C511" t="s">
        <v>274</v>
      </c>
      <c r="D511" t="s">
        <v>32</v>
      </c>
      <c r="E511" s="118">
        <v>5.1999999999999998E-2</v>
      </c>
      <c r="F511">
        <v>22</v>
      </c>
      <c r="G511">
        <f t="shared" ref="G511:G516" si="64">273.15+F511</f>
        <v>295.14999999999998</v>
      </c>
      <c r="H511" s="336" cm="1">
        <f t="array" aca="1" ref="H511" ca="1">VLOOKUP(D511,Table245[[Compound Name]:[∆OWU SD]],INDIRECT("RAVs!$"&amp;VLOOKUP(C511,$N$45:$P$50,3,FALSE)&amp;"$1")+1,FALSE)*1000</f>
        <v>16554.535313873297</v>
      </c>
      <c r="I511" s="302">
        <f t="shared" ref="I511:I516" ca="1" si="65">EXP(LN(E511)-H511/8.314*(1/$J$46-1/G511))</f>
        <v>5.5652393859247855E-2</v>
      </c>
      <c r="J511" s="61">
        <f t="shared" ref="J511:J516" ca="1" si="66">I511</f>
        <v>5.5652393859247855E-2</v>
      </c>
      <c r="K511" s="74" t="s">
        <v>2536</v>
      </c>
      <c r="L511" s="74" t="s">
        <v>1326</v>
      </c>
    </row>
    <row r="512" spans="2:12">
      <c r="B512" t="s">
        <v>2538</v>
      </c>
      <c r="C512" t="s">
        <v>274</v>
      </c>
      <c r="D512" t="s">
        <v>28</v>
      </c>
      <c r="E512" s="118">
        <v>4.5999999999999999E-2</v>
      </c>
      <c r="F512">
        <v>22</v>
      </c>
      <c r="G512">
        <f t="shared" si="64"/>
        <v>295.14999999999998</v>
      </c>
      <c r="H512" s="336" cm="1">
        <f t="array" aca="1" ref="H512" ca="1">VLOOKUP(D512,Table245[[Compound Name]:[∆OWU SD]],INDIRECT("RAVs!$"&amp;VLOOKUP(C512,$N$45:$P$50,3,FALSE)&amp;"$1")+1,FALSE)*1000</f>
        <v>-4020.5512561166001</v>
      </c>
      <c r="I512" s="302">
        <f t="shared" ca="1" si="65"/>
        <v>4.5247854148549524E-2</v>
      </c>
      <c r="J512" s="61">
        <f t="shared" ca="1" si="66"/>
        <v>4.5247854148549524E-2</v>
      </c>
      <c r="K512" s="74" t="s">
        <v>2536</v>
      </c>
      <c r="L512" s="74" t="s">
        <v>1326</v>
      </c>
    </row>
    <row r="513" spans="2:12">
      <c r="B513" t="s">
        <v>2540</v>
      </c>
      <c r="C513" t="s">
        <v>274</v>
      </c>
      <c r="D513" t="s">
        <v>11</v>
      </c>
      <c r="E513" s="118">
        <v>0.79</v>
      </c>
      <c r="F513">
        <v>22</v>
      </c>
      <c r="G513">
        <f t="shared" si="64"/>
        <v>295.14999999999998</v>
      </c>
      <c r="H513" s="336" cm="1">
        <f t="array" aca="1" ref="H513" ca="1">VLOOKUP(D513,Table245[[Compound Name]:[∆OWU SD]],INDIRECT("RAVs!$"&amp;VLOOKUP(C513,$N$45:$P$50,3,FALSE)&amp;"$1")+1,FALSE)*1000</f>
        <v>33206.125118333999</v>
      </c>
      <c r="I513" s="302">
        <f t="shared" ca="1" si="65"/>
        <v>0.90523417179192134</v>
      </c>
      <c r="J513" s="61">
        <f t="shared" ca="1" si="66"/>
        <v>0.90523417179192134</v>
      </c>
      <c r="K513" s="74" t="s">
        <v>2536</v>
      </c>
      <c r="L513" s="74" t="s">
        <v>1326</v>
      </c>
    </row>
    <row r="514" spans="2:12">
      <c r="B514" t="s">
        <v>2542</v>
      </c>
      <c r="C514" t="s">
        <v>281</v>
      </c>
      <c r="D514" t="s">
        <v>32</v>
      </c>
      <c r="E514" s="118">
        <v>4.3</v>
      </c>
      <c r="F514">
        <v>30</v>
      </c>
      <c r="G514">
        <f t="shared" si="64"/>
        <v>303.14999999999998</v>
      </c>
      <c r="H514" s="336" cm="1">
        <f t="array" aca="1" ref="H514" ca="1">VLOOKUP(D514,Table245[[Compound Name]:[∆OWU SD]],INDIRECT("RAVs!$"&amp;VLOOKUP(C514,$N$45:$P$50,3,FALSE)&amp;"$1")+1,FALSE)*1000</f>
        <v>1171.6739872437599</v>
      </c>
      <c r="I514" s="302">
        <f t="shared" ca="1" si="65"/>
        <v>4.2666073372318234</v>
      </c>
      <c r="J514" s="61">
        <f t="shared" ca="1" si="66"/>
        <v>4.2666073372318234</v>
      </c>
      <c r="K514" s="74" t="s">
        <v>2536</v>
      </c>
      <c r="L514" s="74" t="s">
        <v>1326</v>
      </c>
    </row>
    <row r="515" spans="2:12">
      <c r="B515" t="s">
        <v>2543</v>
      </c>
      <c r="C515" t="s">
        <v>281</v>
      </c>
      <c r="D515" s="16" t="s">
        <v>28</v>
      </c>
      <c r="E515" s="118">
        <v>4.4000000000000004</v>
      </c>
      <c r="F515">
        <v>30</v>
      </c>
      <c r="G515">
        <f t="shared" si="64"/>
        <v>303.14999999999998</v>
      </c>
      <c r="H515" s="336" cm="1">
        <f t="array" aca="1" ref="H515" ca="1">VLOOKUP(D515,Table245[[Compound Name]:[∆OWU SD]],INDIRECT("RAVs!$"&amp;VLOOKUP(C515,$N$45:$P$50,3,FALSE)&amp;"$1")+1,FALSE)*1000</f>
        <v>-102.551444534927</v>
      </c>
      <c r="I515" s="302">
        <f t="shared" ca="1" si="65"/>
        <v>4.4030033796665915</v>
      </c>
      <c r="J515" s="61">
        <f t="shared" ca="1" si="66"/>
        <v>4.4030033796665915</v>
      </c>
      <c r="K515" s="74" t="s">
        <v>2536</v>
      </c>
      <c r="L515" s="74" t="s">
        <v>1326</v>
      </c>
    </row>
    <row r="516" spans="2:12">
      <c r="B516" t="s">
        <v>2544</v>
      </c>
      <c r="C516" t="s">
        <v>281</v>
      </c>
      <c r="D516" s="16" t="s">
        <v>11</v>
      </c>
      <c r="E516" s="118">
        <v>4</v>
      </c>
      <c r="F516">
        <v>30</v>
      </c>
      <c r="G516">
        <f t="shared" si="64"/>
        <v>303.14999999999998</v>
      </c>
      <c r="H516" s="336" cm="1">
        <f t="array" aca="1" ref="H516" ca="1">VLOOKUP(D516,Table245[[Compound Name]:[∆OWU SD]],INDIRECT("RAVs!$"&amp;VLOOKUP(C516,$N$45:$P$50,3,FALSE)&amp;"$1")+1,FALSE)*1000</f>
        <v>-7864.2066756705799</v>
      </c>
      <c r="I516" s="302">
        <f t="shared" ca="1" si="65"/>
        <v>4.2148793247020135</v>
      </c>
      <c r="J516" s="61">
        <f t="shared" ca="1" si="66"/>
        <v>4.2148793247020135</v>
      </c>
      <c r="K516" s="74" t="s">
        <v>2536</v>
      </c>
      <c r="L516" s="74" t="s">
        <v>1326</v>
      </c>
    </row>
    <row r="517" spans="2:12">
      <c r="B517" s="16" t="s">
        <v>2556</v>
      </c>
      <c r="C517" s="16" t="s">
        <v>653</v>
      </c>
      <c r="D517" s="16" t="s">
        <v>1982</v>
      </c>
      <c r="E517" s="62">
        <f>$AV$389</f>
        <v>24.519282917858021</v>
      </c>
      <c r="J517" s="404">
        <f t="shared" ref="J517:J522" si="67">E517</f>
        <v>24.519282917858021</v>
      </c>
      <c r="K517" s="410" t="s">
        <v>2549</v>
      </c>
      <c r="L517" s="410" t="s">
        <v>1816</v>
      </c>
    </row>
    <row r="518" spans="2:12">
      <c r="B518" s="16" t="s">
        <v>2557</v>
      </c>
      <c r="C518" s="16" t="s">
        <v>653</v>
      </c>
      <c r="D518" s="16" t="s">
        <v>1992</v>
      </c>
      <c r="E518" s="62">
        <f>$AV$402</f>
        <v>54.650096011000841</v>
      </c>
      <c r="J518" s="404">
        <f t="shared" si="67"/>
        <v>54.650096011000841</v>
      </c>
      <c r="K518" s="410" t="s">
        <v>2549</v>
      </c>
      <c r="L518" s="410" t="s">
        <v>2558</v>
      </c>
    </row>
    <row r="519" spans="2:12">
      <c r="B519" s="16" t="s">
        <v>2559</v>
      </c>
      <c r="C519" s="16" t="s">
        <v>274</v>
      </c>
      <c r="D519" s="16" t="s">
        <v>1982</v>
      </c>
      <c r="E519" s="74">
        <f>$AV$384</f>
        <v>3.527780017918089E-2</v>
      </c>
      <c r="J519" s="404">
        <f t="shared" si="67"/>
        <v>3.527780017918089E-2</v>
      </c>
      <c r="K519" s="410" t="s">
        <v>2549</v>
      </c>
      <c r="L519" s="410" t="s">
        <v>2561</v>
      </c>
    </row>
    <row r="520" spans="2:12">
      <c r="B520" s="16" t="s">
        <v>2560</v>
      </c>
      <c r="C520" s="16" t="s">
        <v>274</v>
      </c>
      <c r="D520" s="16" t="s">
        <v>1992</v>
      </c>
      <c r="E520" s="74">
        <f>$AV$396</f>
        <v>3.9333361181353048E-2</v>
      </c>
      <c r="J520" s="404">
        <f t="shared" si="67"/>
        <v>3.9333361181353048E-2</v>
      </c>
      <c r="K520" s="410" t="s">
        <v>2549</v>
      </c>
      <c r="L520" s="410" t="s">
        <v>2561</v>
      </c>
    </row>
    <row r="521" spans="2:12">
      <c r="B521" s="16" t="s">
        <v>2572</v>
      </c>
      <c r="C521" s="16" t="s">
        <v>274</v>
      </c>
      <c r="D521" s="16" t="s">
        <v>1015</v>
      </c>
      <c r="E521" s="337">
        <v>3.0000000000000001E-3</v>
      </c>
      <c r="J521" s="404">
        <f t="shared" si="67"/>
        <v>3.0000000000000001E-3</v>
      </c>
      <c r="K521" s="410" t="s">
        <v>2574</v>
      </c>
      <c r="L521" s="410" t="s">
        <v>2575</v>
      </c>
    </row>
    <row r="522" spans="2:12">
      <c r="B522" s="16" t="s">
        <v>2573</v>
      </c>
      <c r="C522" s="16" t="s">
        <v>274</v>
      </c>
      <c r="D522" s="16" t="s">
        <v>1016</v>
      </c>
      <c r="E522" s="337">
        <v>2.5000000000000001E-3</v>
      </c>
      <c r="J522" s="404">
        <f t="shared" si="67"/>
        <v>2.5000000000000001E-3</v>
      </c>
      <c r="K522" s="410" t="s">
        <v>2574</v>
      </c>
      <c r="L522" s="410" t="s">
        <v>2575</v>
      </c>
    </row>
    <row r="523" spans="2:12">
      <c r="B523" s="16" t="s">
        <v>2581</v>
      </c>
      <c r="C523" s="16" t="s">
        <v>281</v>
      </c>
      <c r="D523" s="16" t="s">
        <v>35</v>
      </c>
      <c r="E523" s="15" t="s">
        <v>327</v>
      </c>
      <c r="J523" s="16">
        <v>4.8600000000000003</v>
      </c>
      <c r="K523" s="410" t="s">
        <v>754</v>
      </c>
      <c r="L523" s="410" t="s">
        <v>2582</v>
      </c>
    </row>
    <row r="524" spans="2:12">
      <c r="B524" s="16" t="s">
        <v>2585</v>
      </c>
      <c r="C524" s="16" t="s">
        <v>502</v>
      </c>
      <c r="D524" s="16" t="s">
        <v>2592</v>
      </c>
      <c r="K524" s="410" t="s">
        <v>2156</v>
      </c>
      <c r="L524" s="410" t="s">
        <v>2586</v>
      </c>
    </row>
    <row r="525" spans="2:12">
      <c r="B525" s="16" t="s">
        <v>2587</v>
      </c>
      <c r="C525" s="16" t="s">
        <v>502</v>
      </c>
      <c r="D525" s="16" t="str">
        <f>'Table S3 Literature Values'!$A$431</f>
        <v>Di-n-butyl phthalate</v>
      </c>
      <c r="K525" s="410" t="s">
        <v>2156</v>
      </c>
      <c r="L525" s="410" t="s">
        <v>2591</v>
      </c>
    </row>
    <row r="526" spans="2:12">
      <c r="B526" s="16" t="s">
        <v>2590</v>
      </c>
      <c r="C526" s="16" t="s">
        <v>191</v>
      </c>
      <c r="D526" s="16" t="s">
        <v>2027</v>
      </c>
      <c r="E526" s="16">
        <f>AVERAGE(0.319,0.323)</f>
        <v>0.32100000000000001</v>
      </c>
      <c r="J526" s="404">
        <f>LOG(E526)</f>
        <v>-0.4934949675951279</v>
      </c>
      <c r="K526" s="410" t="s">
        <v>2156</v>
      </c>
      <c r="L526" s="410" t="s">
        <v>2594</v>
      </c>
    </row>
    <row r="527" spans="2:12">
      <c r="B527" s="16" t="s">
        <v>2593</v>
      </c>
      <c r="C527" s="16" t="s">
        <v>191</v>
      </c>
      <c r="D527" t="s">
        <v>2011</v>
      </c>
      <c r="E527" s="409">
        <f>AVERAGE(92.3,90.8)/1000</f>
        <v>9.1549999999999992E-2</v>
      </c>
      <c r="J527" s="404">
        <f>LOG(E527)</f>
        <v>-1.0383416513622847</v>
      </c>
      <c r="K527" s="410" t="s">
        <v>2156</v>
      </c>
      <c r="L527" s="410" t="s">
        <v>2594</v>
      </c>
    </row>
    <row r="528" spans="2:12">
      <c r="B528" s="16" t="s">
        <v>2603</v>
      </c>
      <c r="C528" s="16" t="s">
        <v>502</v>
      </c>
      <c r="D528" t="s">
        <v>8</v>
      </c>
      <c r="E528" s="337">
        <v>86</v>
      </c>
      <c r="J528" s="404">
        <f>E528-'Table S3 Literature Values'!AP10*('Table S3 Literature Values'!AS10+273.15)/1000</f>
        <v>76.754437853138953</v>
      </c>
      <c r="K528" s="410" t="s">
        <v>2613</v>
      </c>
      <c r="L528" s="410" t="s">
        <v>2616</v>
      </c>
    </row>
    <row r="529" spans="2:20">
      <c r="B529" s="16" t="s">
        <v>2623</v>
      </c>
      <c r="C529" s="16" t="s">
        <v>502</v>
      </c>
      <c r="D529" s="16" t="s">
        <v>8</v>
      </c>
      <c r="E529">
        <v>77.400000000000006</v>
      </c>
      <c r="J529" s="404">
        <f>E529-'Table S3 Literature Values'!AP10*('Table S3 Literature Values'!AS10+273.15)/1000</f>
        <v>68.154437853138958</v>
      </c>
      <c r="K529" s="410" t="s">
        <v>2614</v>
      </c>
      <c r="L529" s="74" t="s">
        <v>2618</v>
      </c>
    </row>
    <row r="530" spans="2:20">
      <c r="B530" s="16" t="s">
        <v>2624</v>
      </c>
      <c r="C530" s="16" t="s">
        <v>1209</v>
      </c>
      <c r="D530" s="16" t="s">
        <v>73</v>
      </c>
      <c r="E530" s="337">
        <f>AVERAGE(8.05,8.11)</f>
        <v>8.08</v>
      </c>
      <c r="J530" s="16">
        <f>E530</f>
        <v>8.08</v>
      </c>
      <c r="K530" s="410" t="s">
        <v>2621</v>
      </c>
      <c r="L530" s="410" t="s">
        <v>2622</v>
      </c>
    </row>
    <row r="531" spans="2:20">
      <c r="B531" s="16" t="s">
        <v>2627</v>
      </c>
      <c r="C531" s="16" t="s">
        <v>1434</v>
      </c>
      <c r="D531" s="16" t="s">
        <v>73</v>
      </c>
      <c r="E531" s="337">
        <f>AVERAGE(97.1,97.7)</f>
        <v>97.4</v>
      </c>
      <c r="J531" s="16">
        <f>E531</f>
        <v>97.4</v>
      </c>
      <c r="K531" s="74" t="s">
        <v>2621</v>
      </c>
      <c r="L531" s="74" t="s">
        <v>2622</v>
      </c>
    </row>
    <row r="532" spans="2:20">
      <c r="B532" s="16" t="s">
        <v>2628</v>
      </c>
      <c r="C532" s="16" t="s">
        <v>502</v>
      </c>
      <c r="D532" s="16" t="s">
        <v>73</v>
      </c>
      <c r="E532" s="337">
        <f>AVERAGE(85.5,86.1)</f>
        <v>85.8</v>
      </c>
      <c r="J532" s="16">
        <f>E532</f>
        <v>85.8</v>
      </c>
      <c r="K532" s="74" t="s">
        <v>2621</v>
      </c>
      <c r="L532" s="74" t="s">
        <v>2622</v>
      </c>
    </row>
    <row r="533" spans="2:20">
      <c r="B533" s="16" t="s">
        <v>2629</v>
      </c>
      <c r="C533" s="16" t="s">
        <v>191</v>
      </c>
      <c r="D533" s="16" t="s">
        <v>73</v>
      </c>
      <c r="E533" s="337">
        <f>AVERAGE(-1.47,-1.53)</f>
        <v>-1.5</v>
      </c>
      <c r="J533" s="16">
        <f>E533</f>
        <v>-1.5</v>
      </c>
      <c r="K533" s="74" t="s">
        <v>2621</v>
      </c>
      <c r="L533" s="74" t="s">
        <v>2622</v>
      </c>
    </row>
    <row r="534" spans="2:20">
      <c r="B534" s="16" t="s">
        <v>2631</v>
      </c>
      <c r="C534" s="16" t="s">
        <v>191</v>
      </c>
      <c r="D534" s="16" t="s">
        <v>73</v>
      </c>
      <c r="K534" s="410" t="s">
        <v>2632</v>
      </c>
    </row>
    <row r="535" spans="2:20">
      <c r="B535" t="s">
        <v>2641</v>
      </c>
      <c r="C535" t="s">
        <v>1753</v>
      </c>
      <c r="D535" t="s">
        <v>2027</v>
      </c>
      <c r="E535" s="118">
        <v>61.8</v>
      </c>
      <c r="F535"/>
      <c r="G535"/>
      <c r="H535" s="336"/>
      <c r="I535" s="302"/>
      <c r="J535" s="61">
        <f>$E$535</f>
        <v>61.8</v>
      </c>
      <c r="K535" s="74" t="s">
        <v>2642</v>
      </c>
      <c r="L535" s="74"/>
    </row>
    <row r="536" spans="2:20">
      <c r="B536" t="s">
        <v>2643</v>
      </c>
      <c r="C536" t="s">
        <v>502</v>
      </c>
      <c r="D536" t="s">
        <v>2027</v>
      </c>
      <c r="E536" s="116">
        <v>68.599999999999994</v>
      </c>
      <c r="F536"/>
      <c r="G536"/>
      <c r="H536"/>
      <c r="I536"/>
      <c r="J536">
        <v>68.599999999999994</v>
      </c>
      <c r="K536" s="74" t="s">
        <v>2644</v>
      </c>
      <c r="L536" s="74" t="s">
        <v>2758</v>
      </c>
    </row>
    <row r="537" spans="2:20">
      <c r="B537" t="s">
        <v>2645</v>
      </c>
      <c r="C537" t="s">
        <v>502</v>
      </c>
      <c r="D537" t="s">
        <v>2011</v>
      </c>
      <c r="E537" s="116">
        <f>$U$546</f>
        <v>86.738266068566645</v>
      </c>
      <c r="F537"/>
      <c r="G537"/>
      <c r="H537"/>
      <c r="I537"/>
      <c r="J537">
        <f>$E$537</f>
        <v>86.738266068566645</v>
      </c>
      <c r="K537" s="74" t="s">
        <v>2158</v>
      </c>
      <c r="L537" s="74" t="s">
        <v>2755</v>
      </c>
    </row>
    <row r="538" spans="2:20">
      <c r="B538" t="s">
        <v>2646</v>
      </c>
      <c r="C538" t="s">
        <v>502</v>
      </c>
      <c r="D538" t="s">
        <v>2011</v>
      </c>
      <c r="E538" s="116">
        <f>$U$577</f>
        <v>67.440131396985876</v>
      </c>
      <c r="F538"/>
      <c r="G538"/>
      <c r="H538"/>
      <c r="I538"/>
      <c r="J538">
        <f>$U$577</f>
        <v>67.440131396985876</v>
      </c>
      <c r="K538" s="74" t="s">
        <v>2647</v>
      </c>
      <c r="L538" s="74" t="s">
        <v>2813</v>
      </c>
      <c r="P538" s="391" t="s">
        <v>2009</v>
      </c>
      <c r="Q538" t="s">
        <v>2667</v>
      </c>
    </row>
    <row r="539" spans="2:20">
      <c r="B539" t="s">
        <v>2648</v>
      </c>
      <c r="C539" t="s">
        <v>502</v>
      </c>
      <c r="D539" t="s">
        <v>1982</v>
      </c>
      <c r="E539" s="116">
        <f>$U$603</f>
        <v>78.156414612381568</v>
      </c>
      <c r="F539"/>
      <c r="G539"/>
      <c r="H539"/>
      <c r="I539"/>
      <c r="J539">
        <f>$U$603</f>
        <v>78.156414612381568</v>
      </c>
      <c r="K539" s="74" t="s">
        <v>2647</v>
      </c>
      <c r="L539" s="74" t="s">
        <v>1761</v>
      </c>
      <c r="Q539" t="s">
        <v>478</v>
      </c>
      <c r="R539" t="s">
        <v>510</v>
      </c>
      <c r="S539" t="s">
        <v>511</v>
      </c>
      <c r="T539" t="s">
        <v>553</v>
      </c>
    </row>
    <row r="540" spans="2:20">
      <c r="B540" t="s">
        <v>2649</v>
      </c>
      <c r="C540" t="s">
        <v>191</v>
      </c>
      <c r="D540" t="s">
        <v>2011</v>
      </c>
      <c r="E540" s="74">
        <v>300</v>
      </c>
      <c r="F540">
        <f>404.53-273.15</f>
        <v>131.38</v>
      </c>
      <c r="G540">
        <f>273.15+F540</f>
        <v>404.53</v>
      </c>
      <c r="H540" s="336" t="e" cm="1">
        <f t="array" aca="1" ref="H540" ca="1">VLOOKUP(D540,Table245[[Compound Name]:[∆OWU SD]],INDIRECT("RAVs!$"&amp;VLOOKUP(C540,$N$45:$P$50,3,FALSE)&amp;"$1")+1,FALSE)*1000</f>
        <v>#N/A</v>
      </c>
      <c r="I540" s="302" t="e">
        <f ca="1">EXP(LN(E540)-H540/8.314*(1/$J$46-1/G540))</f>
        <v>#N/A</v>
      </c>
      <c r="J540" s="61" t="e">
        <f ca="1">I540</f>
        <v>#N/A</v>
      </c>
      <c r="K540" s="74" t="s">
        <v>2647</v>
      </c>
      <c r="L540" s="74" t="s">
        <v>2435</v>
      </c>
      <c r="Q540">
        <v>34.200000000000003</v>
      </c>
      <c r="R540">
        <f>1/(Q540+273.15)</f>
        <v>3.2536196518626976E-3</v>
      </c>
      <c r="S540">
        <v>0.222</v>
      </c>
      <c r="T540" s="61">
        <f>LN(S540)</f>
        <v>-1.5050778971098575</v>
      </c>
    </row>
    <row r="541" spans="2:20">
      <c r="B541" t="s">
        <v>2650</v>
      </c>
      <c r="C541" t="s">
        <v>191</v>
      </c>
      <c r="D541" t="s">
        <v>1982</v>
      </c>
      <c r="E541" s="74">
        <v>300</v>
      </c>
      <c r="F541">
        <f>438.55-273.15</f>
        <v>165.40000000000003</v>
      </c>
      <c r="G541">
        <f>273.15+F541</f>
        <v>438.55</v>
      </c>
      <c r="H541" s="336" t="e" cm="1">
        <f t="array" aca="1" ref="H541" ca="1">VLOOKUP(D541,Table245[[Compound Name]:[∆OWU SD]],INDIRECT("RAVs!$"&amp;VLOOKUP(C541,$N$45:$P$50,3,FALSE)&amp;"$1")+1,FALSE)*1000</f>
        <v>#N/A</v>
      </c>
      <c r="I541" s="302" t="e">
        <f ca="1">EXP(LN(E541)-H541/8.314*(1/$J$46-1/G541))</f>
        <v>#N/A</v>
      </c>
      <c r="J541" s="61" t="e">
        <f ca="1">I541</f>
        <v>#N/A</v>
      </c>
      <c r="K541" s="74" t="s">
        <v>2647</v>
      </c>
      <c r="L541" s="74" t="s">
        <v>2435</v>
      </c>
      <c r="Q541">
        <v>40</v>
      </c>
      <c r="R541">
        <f>1/(Q541+273.15)</f>
        <v>3.1933578157432542E-3</v>
      </c>
      <c r="S541">
        <v>0.47</v>
      </c>
      <c r="T541" s="61">
        <f>LN(S541)</f>
        <v>-0.75502258427803282</v>
      </c>
    </row>
    <row r="542" spans="2:20">
      <c r="B542" t="s">
        <v>2651</v>
      </c>
      <c r="C542" t="s">
        <v>191</v>
      </c>
      <c r="D542" t="s">
        <v>1982</v>
      </c>
      <c r="E542" s="116">
        <f>$J$542</f>
        <v>91.8098951387434</v>
      </c>
      <c r="F542"/>
      <c r="G542"/>
      <c r="H542"/>
      <c r="I542"/>
      <c r="J542">
        <f>$U$621</f>
        <v>91.8098951387434</v>
      </c>
      <c r="K542" s="74" t="s">
        <v>2652</v>
      </c>
      <c r="L542" s="74" t="s">
        <v>2653</v>
      </c>
      <c r="Q542">
        <v>44.8</v>
      </c>
      <c r="R542">
        <f>1/(Q542+273.15)</f>
        <v>3.1451486082717411E-3</v>
      </c>
      <c r="S542">
        <v>0.78400000000000003</v>
      </c>
      <c r="T542" s="61">
        <f>LN(S542)</f>
        <v>-0.24334625863172918</v>
      </c>
    </row>
    <row r="543" spans="2:20">
      <c r="B543" t="s">
        <v>2654</v>
      </c>
      <c r="C543" t="s">
        <v>502</v>
      </c>
      <c r="D543" t="s">
        <v>140</v>
      </c>
      <c r="E543" s="116">
        <v>118.9</v>
      </c>
      <c r="F543"/>
      <c r="G543"/>
      <c r="H543"/>
      <c r="I543"/>
      <c r="J543" s="61">
        <v>97.117607415107415</v>
      </c>
      <c r="K543" s="74" t="s">
        <v>2655</v>
      </c>
      <c r="L543" s="74" t="s">
        <v>2745</v>
      </c>
      <c r="Q543">
        <v>50.7</v>
      </c>
      <c r="R543">
        <f>1/(Q543+273.15)</f>
        <v>3.0878493129535283E-3</v>
      </c>
      <c r="S543">
        <v>1.3680000000000001</v>
      </c>
      <c r="T543" s="61">
        <f>LN(S543)</f>
        <v>0.31334981920035881</v>
      </c>
    </row>
    <row r="544" spans="2:20">
      <c r="B544" t="s">
        <v>2656</v>
      </c>
      <c r="C544" t="s">
        <v>1753</v>
      </c>
      <c r="D544" t="s">
        <v>264</v>
      </c>
      <c r="E544" s="116">
        <v>96.47</v>
      </c>
      <c r="F544"/>
      <c r="G544"/>
      <c r="H544"/>
      <c r="I544"/>
      <c r="J544" s="61">
        <v>96.47</v>
      </c>
      <c r="K544" s="74" t="s">
        <v>2657</v>
      </c>
      <c r="L544" s="74" t="s">
        <v>2766</v>
      </c>
      <c r="Q544">
        <v>60.5</v>
      </c>
      <c r="R544">
        <f>1/(Q544+273.15)</f>
        <v>2.9971527049303163E-3</v>
      </c>
      <c r="S544">
        <v>3.32</v>
      </c>
      <c r="T544" s="61">
        <f>LN(S544)</f>
        <v>1.199964782928397</v>
      </c>
    </row>
    <row r="545" spans="2:21">
      <c r="B545" t="s">
        <v>2658</v>
      </c>
      <c r="C545" t="s">
        <v>502</v>
      </c>
      <c r="D545" t="s">
        <v>264</v>
      </c>
      <c r="E545" s="116">
        <v>81.3</v>
      </c>
      <c r="F545"/>
      <c r="G545"/>
      <c r="H545"/>
      <c r="I545"/>
      <c r="J545" s="61">
        <v>74.346591276252013</v>
      </c>
      <c r="K545" s="74" t="s">
        <v>2655</v>
      </c>
      <c r="L545" s="74" t="s">
        <v>2616</v>
      </c>
    </row>
    <row r="546" spans="2:21">
      <c r="B546" t="s">
        <v>2659</v>
      </c>
      <c r="C546" t="s">
        <v>569</v>
      </c>
      <c r="D546" t="s">
        <v>2349</v>
      </c>
      <c r="E546" s="116"/>
      <c r="F546"/>
      <c r="G546"/>
      <c r="H546"/>
      <c r="I546"/>
      <c r="J546"/>
      <c r="K546" s="74" t="s">
        <v>2660</v>
      </c>
      <c r="L546" s="74" t="s">
        <v>2661</v>
      </c>
      <c r="R546" s="120"/>
      <c r="T546" t="s">
        <v>552</v>
      </c>
      <c r="U546" s="120">
        <f>-R547*8.314/1000</f>
        <v>86.738266068566645</v>
      </c>
    </row>
    <row r="547" spans="2:21">
      <c r="B547" t="s">
        <v>2662</v>
      </c>
      <c r="C547" t="s">
        <v>1753</v>
      </c>
      <c r="D547" t="s">
        <v>77</v>
      </c>
      <c r="E547" s="116">
        <v>91.84</v>
      </c>
      <c r="F547"/>
      <c r="G547"/>
      <c r="H547"/>
      <c r="I547"/>
      <c r="J547">
        <v>91.84</v>
      </c>
      <c r="K547" s="74" t="s">
        <v>2663</v>
      </c>
      <c r="L547" s="74" t="s">
        <v>2664</v>
      </c>
      <c r="R547">
        <f t="array" ref="R547:S549">LINEST(T540:T544,R540:R544,TRUE,TRUE)</f>
        <v>-10432.796014982758</v>
      </c>
      <c r="S547">
        <v>32.513229473015748</v>
      </c>
    </row>
    <row r="548" spans="2:21">
      <c r="B548" t="s">
        <v>2665</v>
      </c>
      <c r="C548" t="s">
        <v>502</v>
      </c>
      <c r="D548" t="s">
        <v>1015</v>
      </c>
      <c r="E548" s="116">
        <v>122.5</v>
      </c>
      <c r="F548"/>
      <c r="G548"/>
      <c r="H548"/>
      <c r="I548"/>
      <c r="J548" s="61">
        <v>105.96559851600091</v>
      </c>
      <c r="K548" s="74" t="s">
        <v>2666</v>
      </c>
      <c r="L548" s="74" t="s">
        <v>2616</v>
      </c>
      <c r="R548">
        <v>335.18748156194005</v>
      </c>
      <c r="S548">
        <v>1.0513701563555589</v>
      </c>
    </row>
    <row r="549" spans="2:21">
      <c r="B549" s="16" t="s">
        <v>2737</v>
      </c>
      <c r="C549" t="s">
        <v>502</v>
      </c>
      <c r="D549" s="16" t="s">
        <v>68</v>
      </c>
      <c r="E549" s="337">
        <v>36.700000000000003</v>
      </c>
      <c r="J549" s="16">
        <f t="shared" ref="J549:J565" si="68">E549</f>
        <v>36.700000000000003</v>
      </c>
      <c r="K549" s="410" t="s">
        <v>2655</v>
      </c>
      <c r="L549" s="410" t="s">
        <v>2738</v>
      </c>
      <c r="R549">
        <v>0.99691288638311826</v>
      </c>
      <c r="S549">
        <v>6.6027177272510645E-2</v>
      </c>
    </row>
    <row r="550" spans="2:21">
      <c r="B550" s="16" t="s">
        <v>2740</v>
      </c>
      <c r="C550" t="s">
        <v>502</v>
      </c>
      <c r="D550" s="16" t="s">
        <v>2027</v>
      </c>
      <c r="E550" s="337">
        <v>63.7</v>
      </c>
      <c r="J550" s="16">
        <f t="shared" si="68"/>
        <v>63.7</v>
      </c>
      <c r="K550" s="410" t="s">
        <v>2655</v>
      </c>
      <c r="L550" s="410" t="s">
        <v>2738</v>
      </c>
    </row>
    <row r="551" spans="2:21">
      <c r="B551" s="16" t="s">
        <v>2746</v>
      </c>
      <c r="C551" t="s">
        <v>502</v>
      </c>
      <c r="D551" s="16" t="s">
        <v>1946</v>
      </c>
      <c r="E551" s="337">
        <v>99.5</v>
      </c>
      <c r="J551" s="16">
        <f t="shared" si="68"/>
        <v>99.5</v>
      </c>
      <c r="K551" s="410" t="s">
        <v>2655</v>
      </c>
      <c r="L551" s="410" t="s">
        <v>2738</v>
      </c>
    </row>
    <row r="552" spans="2:21">
      <c r="B552" s="16" t="s">
        <v>2747</v>
      </c>
      <c r="C552" t="s">
        <v>502</v>
      </c>
      <c r="D552" s="16" t="s">
        <v>1958</v>
      </c>
      <c r="E552" s="337">
        <v>102.5</v>
      </c>
      <c r="J552" s="16">
        <f t="shared" si="68"/>
        <v>102.5</v>
      </c>
      <c r="K552" s="410" t="s">
        <v>2655</v>
      </c>
      <c r="L552" s="410" t="s">
        <v>2738</v>
      </c>
    </row>
    <row r="553" spans="2:21">
      <c r="B553" s="16" t="s">
        <v>2748</v>
      </c>
      <c r="C553" t="s">
        <v>502</v>
      </c>
      <c r="D553" s="16" t="s">
        <v>1972</v>
      </c>
      <c r="E553" s="337">
        <v>89</v>
      </c>
      <c r="J553" s="16">
        <f t="shared" si="68"/>
        <v>89</v>
      </c>
      <c r="K553" s="410" t="s">
        <v>2655</v>
      </c>
      <c r="L553" s="410" t="s">
        <v>2738</v>
      </c>
    </row>
    <row r="554" spans="2:21">
      <c r="B554" s="16" t="s">
        <v>2753</v>
      </c>
      <c r="C554" t="s">
        <v>502</v>
      </c>
      <c r="D554" s="16" t="s">
        <v>1982</v>
      </c>
      <c r="E554" s="337">
        <v>76.099999999999994</v>
      </c>
      <c r="J554" s="16">
        <f t="shared" si="68"/>
        <v>76.099999999999994</v>
      </c>
      <c r="K554" s="410" t="s">
        <v>2655</v>
      </c>
      <c r="L554" s="410" t="s">
        <v>2738</v>
      </c>
    </row>
    <row r="555" spans="2:21">
      <c r="B555" s="16" t="s">
        <v>2754</v>
      </c>
      <c r="C555" t="s">
        <v>502</v>
      </c>
      <c r="D555" s="16" t="s">
        <v>1997</v>
      </c>
      <c r="E555" s="337">
        <v>73.2</v>
      </c>
      <c r="J555" s="16">
        <f t="shared" si="68"/>
        <v>73.2</v>
      </c>
      <c r="K555" s="410" t="s">
        <v>2655</v>
      </c>
      <c r="L555" s="410" t="s">
        <v>2738</v>
      </c>
      <c r="P555" s="391" t="s">
        <v>2009</v>
      </c>
      <c r="Q555" t="s">
        <v>2668</v>
      </c>
    </row>
    <row r="556" spans="2:21">
      <c r="B556" s="16" t="s">
        <v>2756</v>
      </c>
      <c r="C556" t="s">
        <v>1434</v>
      </c>
      <c r="D556" s="16" t="s">
        <v>335</v>
      </c>
      <c r="E556" s="409">
        <f>'Table S3 Literature Values'!$M$104</f>
        <v>97.956778471999996</v>
      </c>
      <c r="J556" s="404">
        <f t="shared" si="68"/>
        <v>97.956778471999996</v>
      </c>
      <c r="K556" s="410" t="s">
        <v>2770</v>
      </c>
      <c r="L556" s="410" t="s">
        <v>2771</v>
      </c>
      <c r="Q556" t="s">
        <v>478</v>
      </c>
      <c r="R556" t="s">
        <v>510</v>
      </c>
      <c r="S556" t="s">
        <v>511</v>
      </c>
      <c r="T556" t="s">
        <v>553</v>
      </c>
    </row>
    <row r="557" spans="2:21">
      <c r="B557" s="16" t="s">
        <v>2759</v>
      </c>
      <c r="C557" s="16" t="s">
        <v>569</v>
      </c>
      <c r="D557" s="16" t="s">
        <v>135</v>
      </c>
      <c r="E557" s="337">
        <f>AVERAGE(318,320)</f>
        <v>319</v>
      </c>
      <c r="J557" s="16">
        <f t="shared" si="68"/>
        <v>319</v>
      </c>
      <c r="K557" s="410" t="s">
        <v>2760</v>
      </c>
      <c r="L557" s="410" t="s">
        <v>1211</v>
      </c>
      <c r="Q557">
        <f>404.53-273.15</f>
        <v>131.38</v>
      </c>
      <c r="R557">
        <f t="shared" ref="R557:R575" si="69">1/(Q557+273.15)</f>
        <v>2.4720045484883692E-3</v>
      </c>
      <c r="S557">
        <v>300</v>
      </c>
      <c r="T557" s="61">
        <f t="shared" ref="T557:T575" si="70">LN(S557)</f>
        <v>5.7037824746562009</v>
      </c>
    </row>
    <row r="558" spans="2:21">
      <c r="B558" s="16" t="s">
        <v>2763</v>
      </c>
      <c r="C558" s="16" t="s">
        <v>569</v>
      </c>
      <c r="D558" s="16" t="s">
        <v>62</v>
      </c>
      <c r="E558" s="449">
        <v>372</v>
      </c>
      <c r="J558" s="16">
        <f t="shared" si="68"/>
        <v>372</v>
      </c>
      <c r="K558" s="410" t="s">
        <v>2764</v>
      </c>
      <c r="L558" s="410" t="s">
        <v>1211</v>
      </c>
      <c r="Q558">
        <f>409.27-273.15</f>
        <v>136.12</v>
      </c>
      <c r="R558">
        <f t="shared" si="69"/>
        <v>2.4433747892589246E-3</v>
      </c>
      <c r="S558">
        <v>400</v>
      </c>
      <c r="T558" s="61">
        <f t="shared" si="70"/>
        <v>5.9914645471079817</v>
      </c>
    </row>
    <row r="559" spans="2:21">
      <c r="B559" s="16" t="s">
        <v>2767</v>
      </c>
      <c r="C559" t="s">
        <v>502</v>
      </c>
      <c r="D559" s="16" t="s">
        <v>1016</v>
      </c>
      <c r="E559" s="337">
        <f>'Table S3 Literature Values'!D261</f>
        <v>88.5</v>
      </c>
      <c r="J559" s="16">
        <f t="shared" si="68"/>
        <v>88.5</v>
      </c>
      <c r="K559" s="410" t="s">
        <v>2769</v>
      </c>
      <c r="L559" s="410" t="s">
        <v>1211</v>
      </c>
      <c r="Q559">
        <f>416.52-273.15</f>
        <v>143.37</v>
      </c>
      <c r="R559">
        <f t="shared" si="69"/>
        <v>2.4008450974743112E-3</v>
      </c>
      <c r="S559">
        <v>600</v>
      </c>
      <c r="T559" s="61">
        <f t="shared" si="70"/>
        <v>6.3969296552161463</v>
      </c>
    </row>
    <row r="560" spans="2:21">
      <c r="B560" s="16" t="s">
        <v>2773</v>
      </c>
      <c r="C560" s="16" t="s">
        <v>1434</v>
      </c>
      <c r="D560" s="16" t="s">
        <v>168</v>
      </c>
      <c r="E560" s="409">
        <f>4185*8.314*2.303/1000</f>
        <v>80.130789270000008</v>
      </c>
      <c r="J560" s="404">
        <f t="shared" si="68"/>
        <v>80.130789270000008</v>
      </c>
      <c r="K560" s="410" t="s">
        <v>2770</v>
      </c>
      <c r="L560" s="410" t="s">
        <v>2771</v>
      </c>
      <c r="Q560">
        <f>419.33-273.15</f>
        <v>146.18</v>
      </c>
      <c r="R560">
        <f t="shared" si="69"/>
        <v>2.3847566355853387E-3</v>
      </c>
      <c r="S560">
        <v>700</v>
      </c>
      <c r="T560" s="61">
        <f t="shared" si="70"/>
        <v>6.5510803350434044</v>
      </c>
    </row>
    <row r="561" spans="2:20">
      <c r="B561" s="16" t="s">
        <v>2775</v>
      </c>
      <c r="C561" s="16" t="s">
        <v>1434</v>
      </c>
      <c r="D561" s="16" t="s">
        <v>370</v>
      </c>
      <c r="E561" s="409">
        <f>4590*8.314*2.303/1000</f>
        <v>87.885381780000003</v>
      </c>
      <c r="J561" s="404">
        <f t="shared" si="68"/>
        <v>87.885381780000003</v>
      </c>
      <c r="K561" s="410" t="s">
        <v>2770</v>
      </c>
      <c r="L561" s="410" t="s">
        <v>2771</v>
      </c>
      <c r="Q561">
        <f>412.92-273.15</f>
        <v>139.77000000000004</v>
      </c>
      <c r="R561">
        <f t="shared" si="69"/>
        <v>2.4217766153250024E-3</v>
      </c>
      <c r="S561">
        <v>800</v>
      </c>
      <c r="T561" s="61">
        <f t="shared" si="70"/>
        <v>6.6846117276679271</v>
      </c>
    </row>
    <row r="562" spans="2:20">
      <c r="B562" s="16" t="s">
        <v>2776</v>
      </c>
      <c r="C562" s="16" t="s">
        <v>1434</v>
      </c>
      <c r="D562" s="16" t="s">
        <v>64</v>
      </c>
      <c r="E562" s="409">
        <f>5501*8.314*2.303/1000</f>
        <v>105.32842814199999</v>
      </c>
      <c r="J562" s="404">
        <f t="shared" si="68"/>
        <v>105.32842814199999</v>
      </c>
      <c r="K562" s="410" t="s">
        <v>2770</v>
      </c>
      <c r="L562" s="410" t="s">
        <v>2771</v>
      </c>
      <c r="Q562">
        <f>424.15-273.15</f>
        <v>151</v>
      </c>
      <c r="R562">
        <f t="shared" si="69"/>
        <v>2.3576564894494875E-3</v>
      </c>
      <c r="S562">
        <v>900</v>
      </c>
      <c r="T562" s="61">
        <f t="shared" si="70"/>
        <v>6.8023947633243109</v>
      </c>
    </row>
    <row r="563" spans="2:20">
      <c r="B563" s="16" t="s">
        <v>2777</v>
      </c>
      <c r="C563" s="16" t="s">
        <v>1434</v>
      </c>
      <c r="D563" s="16" t="s">
        <v>103</v>
      </c>
      <c r="E563" s="337">
        <v>97</v>
      </c>
      <c r="J563" s="404">
        <f t="shared" si="68"/>
        <v>97</v>
      </c>
      <c r="K563" s="410" t="s">
        <v>2770</v>
      </c>
      <c r="L563" s="410" t="s">
        <v>2771</v>
      </c>
      <c r="Q563">
        <f>426.3-273.15</f>
        <v>153.15000000000003</v>
      </c>
      <c r="R563">
        <f t="shared" si="69"/>
        <v>2.3457658925639222E-3</v>
      </c>
      <c r="S563">
        <v>1000</v>
      </c>
      <c r="T563" s="61">
        <f t="shared" si="70"/>
        <v>6.9077552789821368</v>
      </c>
    </row>
    <row r="564" spans="2:20">
      <c r="B564" s="16" t="s">
        <v>2780</v>
      </c>
      <c r="C564" s="16" t="s">
        <v>1434</v>
      </c>
      <c r="D564" s="16" t="s">
        <v>112</v>
      </c>
      <c r="E564" s="301">
        <v>105</v>
      </c>
      <c r="J564" s="404">
        <f t="shared" si="68"/>
        <v>105</v>
      </c>
      <c r="K564" s="410" t="s">
        <v>2770</v>
      </c>
      <c r="L564" s="410" t="s">
        <v>2771</v>
      </c>
      <c r="Q564">
        <f>434.75-273.15</f>
        <v>161.60000000000002</v>
      </c>
      <c r="R564">
        <f t="shared" si="69"/>
        <v>2.3001725129384704E-3</v>
      </c>
      <c r="S564">
        <v>1500</v>
      </c>
      <c r="T564" s="61">
        <f t="shared" si="70"/>
        <v>7.3132203870903014</v>
      </c>
    </row>
    <row r="565" spans="2:20">
      <c r="B565" s="16" t="s">
        <v>2782</v>
      </c>
      <c r="C565" s="16" t="s">
        <v>1434</v>
      </c>
      <c r="D565" s="16" t="s">
        <v>115</v>
      </c>
      <c r="E565" s="337">
        <v>91.1</v>
      </c>
      <c r="J565" s="404">
        <f t="shared" si="68"/>
        <v>91.1</v>
      </c>
      <c r="K565" s="410" t="s">
        <v>2783</v>
      </c>
      <c r="L565" s="410" t="s">
        <v>2784</v>
      </c>
      <c r="Q565">
        <f>441.25-273.15</f>
        <v>168.10000000000002</v>
      </c>
      <c r="R565">
        <f t="shared" si="69"/>
        <v>2.2662889518413596E-3</v>
      </c>
      <c r="S565">
        <v>2000</v>
      </c>
      <c r="T565" s="61">
        <f t="shared" si="70"/>
        <v>7.6009024595420822</v>
      </c>
    </row>
    <row r="566" spans="2:20">
      <c r="B566" s="16" t="s">
        <v>2794</v>
      </c>
      <c r="C566" s="16" t="s">
        <v>191</v>
      </c>
      <c r="D566" s="16" t="s">
        <v>2027</v>
      </c>
      <c r="E566" s="258">
        <f>LOG(0.00308*133.322)</f>
        <v>-0.38654746349119529</v>
      </c>
      <c r="J566" s="404">
        <f>E566</f>
        <v>-0.38654746349119529</v>
      </c>
      <c r="K566" s="410" t="s">
        <v>2796</v>
      </c>
      <c r="L566" s="410" t="s">
        <v>2797</v>
      </c>
      <c r="Q566">
        <f>450.99-273.15</f>
        <v>177.84000000000003</v>
      </c>
      <c r="R566">
        <f t="shared" si="69"/>
        <v>2.2173440652786093E-3</v>
      </c>
      <c r="S566">
        <v>3000</v>
      </c>
      <c r="T566" s="61">
        <f t="shared" si="70"/>
        <v>8.0063675676502459</v>
      </c>
    </row>
    <row r="567" spans="2:20">
      <c r="B567" s="16" t="s">
        <v>2800</v>
      </c>
      <c r="C567" s="16" t="s">
        <v>2801</v>
      </c>
      <c r="D567" s="16" t="s">
        <v>1982</v>
      </c>
      <c r="K567" s="410" t="s">
        <v>2802</v>
      </c>
      <c r="L567" s="410" t="s">
        <v>2803</v>
      </c>
      <c r="Q567">
        <f>458.47-273.15</f>
        <v>185.32000000000005</v>
      </c>
      <c r="R567">
        <f t="shared" si="69"/>
        <v>2.1811677972386413E-3</v>
      </c>
      <c r="S567">
        <v>4000</v>
      </c>
      <c r="T567" s="61">
        <f t="shared" si="70"/>
        <v>8.2940496401020276</v>
      </c>
    </row>
    <row r="568" spans="2:20">
      <c r="B568" s="16" t="s">
        <v>2808</v>
      </c>
      <c r="C568" s="16" t="s">
        <v>502</v>
      </c>
      <c r="D568" s="16" t="s">
        <v>2011</v>
      </c>
      <c r="E568" s="337">
        <v>65.900000000000006</v>
      </c>
      <c r="J568" s="404">
        <f>E568</f>
        <v>65.900000000000006</v>
      </c>
      <c r="K568" s="410" t="s">
        <v>2809</v>
      </c>
      <c r="L568" s="410" t="s">
        <v>2810</v>
      </c>
      <c r="Q568">
        <f>464.33-273.15</f>
        <v>191.18</v>
      </c>
      <c r="R568">
        <f t="shared" si="69"/>
        <v>2.1536407296534792E-3</v>
      </c>
      <c r="S568">
        <v>5000</v>
      </c>
      <c r="T568" s="61">
        <f t="shared" si="70"/>
        <v>8.5171931914162382</v>
      </c>
    </row>
    <row r="569" spans="2:20">
      <c r="B569" s="16" t="s">
        <v>2818</v>
      </c>
      <c r="C569" s="16" t="s">
        <v>502</v>
      </c>
      <c r="D569" s="16" t="s">
        <v>2011</v>
      </c>
      <c r="E569" s="337">
        <v>68.2</v>
      </c>
      <c r="J569" s="404">
        <f>E569</f>
        <v>68.2</v>
      </c>
      <c r="K569" s="410" t="s">
        <v>2817</v>
      </c>
      <c r="L569" s="16" t="s">
        <v>2816</v>
      </c>
      <c r="Q569">
        <f>469.48-273.15</f>
        <v>196.33000000000004</v>
      </c>
      <c r="R569">
        <f t="shared" si="69"/>
        <v>2.1300161881230295E-3</v>
      </c>
      <c r="S569">
        <v>6000</v>
      </c>
      <c r="T569" s="61">
        <f t="shared" si="70"/>
        <v>8.6995147482101913</v>
      </c>
    </row>
    <row r="570" spans="2:20">
      <c r="B570" s="16" t="s">
        <v>2823</v>
      </c>
      <c r="C570" s="16" t="s">
        <v>191</v>
      </c>
      <c r="D570" s="16" t="s">
        <v>2011</v>
      </c>
      <c r="E570" s="409">
        <f>LOG(10^(11.5-4122/298.15)*133.322)</f>
        <v>-0.20035392374478461</v>
      </c>
      <c r="J570" s="404">
        <f>E570</f>
        <v>-0.20035392374478461</v>
      </c>
      <c r="K570" s="410" t="s">
        <v>2440</v>
      </c>
      <c r="L570" s="410" t="s">
        <v>1211</v>
      </c>
      <c r="Q570">
        <f>477.77-273.15</f>
        <v>204.62</v>
      </c>
      <c r="R570">
        <f t="shared" si="69"/>
        <v>2.0930573288402369E-3</v>
      </c>
      <c r="S570">
        <v>8000</v>
      </c>
      <c r="T570" s="61">
        <f t="shared" si="70"/>
        <v>8.987196820661973</v>
      </c>
    </row>
    <row r="571" spans="2:20">
      <c r="B571" s="16" t="s">
        <v>2828</v>
      </c>
      <c r="C571" s="16" t="s">
        <v>1434</v>
      </c>
      <c r="D571" s="16" t="s">
        <v>2024</v>
      </c>
      <c r="E571" s="409">
        <f>6611*8.314/1000</f>
        <v>54.963853999999998</v>
      </c>
      <c r="J571" s="404">
        <f t="shared" ref="J571:J576" si="71">E571</f>
        <v>54.963853999999998</v>
      </c>
      <c r="K571" s="410" t="s">
        <v>2802</v>
      </c>
      <c r="L571" s="410" t="s">
        <v>2837</v>
      </c>
      <c r="Q571">
        <f>481.27-273.15</f>
        <v>208.12</v>
      </c>
      <c r="R571">
        <f t="shared" si="69"/>
        <v>2.0778357263074782E-3</v>
      </c>
      <c r="S571">
        <v>9000</v>
      </c>
      <c r="T571" s="61">
        <f t="shared" si="70"/>
        <v>9.1049798563183568</v>
      </c>
    </row>
    <row r="572" spans="2:20">
      <c r="B572" s="16" t="s">
        <v>2832</v>
      </c>
      <c r="C572" s="16" t="s">
        <v>1434</v>
      </c>
      <c r="D572" s="16" t="s">
        <v>2009</v>
      </c>
      <c r="E572" s="409">
        <f>7107*8.314/1000</f>
        <v>59.087598</v>
      </c>
      <c r="J572" s="404">
        <f t="shared" si="71"/>
        <v>59.087598</v>
      </c>
      <c r="K572" s="410" t="s">
        <v>2802</v>
      </c>
      <c r="L572" s="410" t="s">
        <v>2837</v>
      </c>
      <c r="Q572">
        <f>484.51-273.15</f>
        <v>211.36</v>
      </c>
      <c r="R572">
        <f t="shared" si="69"/>
        <v>2.0639408887329468E-3</v>
      </c>
      <c r="S572">
        <v>10000</v>
      </c>
      <c r="T572" s="61">
        <f t="shared" si="70"/>
        <v>9.2103403719761836</v>
      </c>
    </row>
    <row r="573" spans="2:20">
      <c r="B573" s="16" t="s">
        <v>2833</v>
      </c>
      <c r="C573" s="16" t="s">
        <v>1434</v>
      </c>
      <c r="D573" s="16" t="s">
        <v>2829</v>
      </c>
      <c r="E573" s="409">
        <f>8326*8.314/1000</f>
        <v>69.222363999999999</v>
      </c>
      <c r="J573" s="404">
        <f t="shared" si="71"/>
        <v>69.222363999999999</v>
      </c>
      <c r="K573" s="410" t="s">
        <v>2802</v>
      </c>
      <c r="L573" s="410" t="s">
        <v>2837</v>
      </c>
      <c r="Q573">
        <f>497.17-273.15</f>
        <v>224.02000000000004</v>
      </c>
      <c r="R573">
        <f t="shared" si="69"/>
        <v>2.011384435907235E-3</v>
      </c>
      <c r="S573">
        <v>15000</v>
      </c>
      <c r="T573" s="61">
        <f t="shared" si="70"/>
        <v>9.6158054800843473</v>
      </c>
    </row>
    <row r="574" spans="2:20">
      <c r="B574" s="16" t="s">
        <v>2834</v>
      </c>
      <c r="C574" s="16" t="s">
        <v>1434</v>
      </c>
      <c r="D574" s="16" t="s">
        <v>2830</v>
      </c>
      <c r="E574" s="409">
        <f>9174*8.314/1000</f>
        <v>76.272636000000006</v>
      </c>
      <c r="J574" s="404">
        <f t="shared" si="71"/>
        <v>76.272636000000006</v>
      </c>
      <c r="K574" s="410" t="s">
        <v>2802</v>
      </c>
      <c r="L574" s="410" t="s">
        <v>2837</v>
      </c>
      <c r="Q574">
        <f>514.37-273.15</f>
        <v>241.22000000000003</v>
      </c>
      <c r="R574">
        <f t="shared" si="69"/>
        <v>1.9441258238233178E-3</v>
      </c>
      <c r="S574">
        <v>25000</v>
      </c>
      <c r="T574" s="61">
        <f t="shared" si="70"/>
        <v>10.126631103850338</v>
      </c>
    </row>
    <row r="575" spans="2:20">
      <c r="B575" s="16" t="s">
        <v>2835</v>
      </c>
      <c r="C575" s="16" t="s">
        <v>1434</v>
      </c>
      <c r="D575" s="16" t="s">
        <v>1956</v>
      </c>
      <c r="E575" s="409">
        <f>10252*8.314/1000</f>
        <v>85.235128000000003</v>
      </c>
      <c r="J575" s="404">
        <f t="shared" si="71"/>
        <v>85.235128000000003</v>
      </c>
      <c r="K575" s="410" t="s">
        <v>2802</v>
      </c>
      <c r="L575" s="410" t="s">
        <v>2837</v>
      </c>
      <c r="Q575">
        <f>520.81-273.15</f>
        <v>247.65999999999997</v>
      </c>
      <c r="R575">
        <f t="shared" si="69"/>
        <v>1.9200860198536895E-3</v>
      </c>
      <c r="S575">
        <v>30000</v>
      </c>
      <c r="T575" s="61">
        <f t="shared" si="70"/>
        <v>10.308952660644293</v>
      </c>
    </row>
    <row r="576" spans="2:20">
      <c r="B576" s="16" t="s">
        <v>2836</v>
      </c>
      <c r="C576" s="16" t="s">
        <v>1434</v>
      </c>
      <c r="D576" s="16" t="s">
        <v>2831</v>
      </c>
      <c r="E576" s="409">
        <f>11143*8.314/1000</f>
        <v>92.642902000000007</v>
      </c>
      <c r="J576" s="404">
        <f t="shared" si="71"/>
        <v>92.642902000000007</v>
      </c>
      <c r="K576" s="410" t="s">
        <v>2802</v>
      </c>
      <c r="L576" s="410" t="s">
        <v>2837</v>
      </c>
    </row>
    <row r="577" spans="2:21">
      <c r="B577" s="16" t="s">
        <v>2844</v>
      </c>
      <c r="C577" s="16" t="s">
        <v>1434</v>
      </c>
      <c r="D577" s="16" t="s">
        <v>146</v>
      </c>
      <c r="E577" s="409">
        <f>AVERAGE(8543*8.314/1000,9346*8.314/1000)</f>
        <v>74.364573000000007</v>
      </c>
      <c r="J577" s="409">
        <f>8543*8.314/1000</f>
        <v>71.026502000000008</v>
      </c>
      <c r="K577" s="410" t="s">
        <v>2802</v>
      </c>
      <c r="L577" s="410" t="s">
        <v>2847</v>
      </c>
      <c r="R577" s="120"/>
      <c r="T577" t="s">
        <v>552</v>
      </c>
      <c r="U577" s="120">
        <f>-R578*8.314/1000</f>
        <v>67.440131396985876</v>
      </c>
    </row>
    <row r="578" spans="2:21">
      <c r="B578" s="16" t="s">
        <v>2845</v>
      </c>
      <c r="C578" s="16" t="s">
        <v>1434</v>
      </c>
      <c r="D578" s="16" t="s">
        <v>146</v>
      </c>
      <c r="E578" s="409">
        <f>AVERAGE(108.91,98.93)</f>
        <v>103.92</v>
      </c>
      <c r="J578" s="409">
        <f>E578</f>
        <v>103.92</v>
      </c>
      <c r="K578" s="410" t="s">
        <v>2802</v>
      </c>
      <c r="L578" s="410" t="s">
        <v>2848</v>
      </c>
      <c r="R578">
        <f t="array" ref="R578:S580">LINEST(T557:T575,R557:R575,TRUE,TRUE)</f>
        <v>-8111.6347602821597</v>
      </c>
      <c r="S578">
        <v>25.948128240935443</v>
      </c>
      <c r="U578">
        <f>1.321*U577+4.54</f>
        <v>93.62841357541835</v>
      </c>
    </row>
    <row r="579" spans="2:21">
      <c r="B579" s="16" t="s">
        <v>2849</v>
      </c>
      <c r="C579" s="16" t="s">
        <v>1209</v>
      </c>
      <c r="D579" s="16" t="s">
        <v>146</v>
      </c>
      <c r="E579" s="337">
        <f>AVERAGE(9.7,9.08)</f>
        <v>9.39</v>
      </c>
      <c r="J579" s="404">
        <f>E579</f>
        <v>9.39</v>
      </c>
      <c r="K579" s="410" t="s">
        <v>2802</v>
      </c>
      <c r="L579" s="410" t="s">
        <v>2848</v>
      </c>
      <c r="R579">
        <v>156.44413372720143</v>
      </c>
      <c r="S579">
        <v>0.34835189032415192</v>
      </c>
    </row>
    <row r="580" spans="2:21">
      <c r="B580" s="16" t="s">
        <v>2853</v>
      </c>
      <c r="C580" s="16" t="s">
        <v>2852</v>
      </c>
      <c r="D580" s="16" t="s">
        <v>146</v>
      </c>
      <c r="E580" s="409">
        <f>AVERAGE(LOG(EXP(-8.626 )),LOG(EXP(-6.987)))</f>
        <v>-3.3903198729777353</v>
      </c>
      <c r="J580" s="404">
        <f>E580</f>
        <v>-3.3903198729777353</v>
      </c>
      <c r="K580" s="410" t="s">
        <v>2802</v>
      </c>
      <c r="L580" s="410" t="s">
        <v>2848</v>
      </c>
      <c r="R580">
        <v>0.99371633331488152</v>
      </c>
      <c r="S580">
        <v>0.11512969486385377</v>
      </c>
    </row>
    <row r="581" spans="2:21">
      <c r="E581" s="138"/>
    </row>
    <row r="583" spans="2:21">
      <c r="P583" s="391" t="s">
        <v>1980</v>
      </c>
      <c r="Q583" t="s">
        <v>2668</v>
      </c>
    </row>
    <row r="584" spans="2:21">
      <c r="Q584" t="s">
        <v>478</v>
      </c>
      <c r="R584" t="s">
        <v>510</v>
      </c>
      <c r="S584" t="s">
        <v>511</v>
      </c>
      <c r="T584" t="s">
        <v>553</v>
      </c>
      <c r="U584" t="s">
        <v>2669</v>
      </c>
    </row>
    <row r="585" spans="2:21">
      <c r="Q585">
        <f t="shared" ref="Q585:Q601" si="72">U585-273.15</f>
        <v>165.40000000000003</v>
      </c>
      <c r="R585">
        <f t="shared" ref="R585:R601" si="73">1/(Q585+273.15)</f>
        <v>2.2802417056207959E-3</v>
      </c>
      <c r="S585">
        <v>300</v>
      </c>
      <c r="T585" s="61">
        <f t="shared" ref="T585:T601" si="74">LN(S585)</f>
        <v>5.7037824746562009</v>
      </c>
      <c r="U585">
        <v>438.55</v>
      </c>
    </row>
    <row r="586" spans="2:21">
      <c r="Q586">
        <f t="shared" si="72"/>
        <v>170.60000000000002</v>
      </c>
      <c r="R586">
        <f t="shared" si="73"/>
        <v>2.2535211267605635E-3</v>
      </c>
      <c r="S586">
        <v>400</v>
      </c>
      <c r="T586" s="61">
        <f t="shared" si="74"/>
        <v>5.9914645471079817</v>
      </c>
      <c r="U586">
        <v>443.75</v>
      </c>
    </row>
    <row r="587" spans="2:21">
      <c r="Q587">
        <f t="shared" si="72"/>
        <v>178.60000000000002</v>
      </c>
      <c r="R587">
        <f t="shared" si="73"/>
        <v>2.2136137244050912E-3</v>
      </c>
      <c r="S587">
        <v>600</v>
      </c>
      <c r="T587" s="61">
        <f t="shared" si="74"/>
        <v>6.3969296552161463</v>
      </c>
      <c r="U587">
        <v>451.75</v>
      </c>
    </row>
    <row r="588" spans="2:21">
      <c r="Q588">
        <f t="shared" si="72"/>
        <v>181.75</v>
      </c>
      <c r="R588">
        <f t="shared" si="73"/>
        <v>2.1982853374367993E-3</v>
      </c>
      <c r="S588">
        <v>700</v>
      </c>
      <c r="T588" s="61">
        <f t="shared" si="74"/>
        <v>6.5510803350434044</v>
      </c>
      <c r="U588">
        <v>454.9</v>
      </c>
    </row>
    <row r="589" spans="2:21">
      <c r="Q589">
        <f t="shared" si="72"/>
        <v>184.61</v>
      </c>
      <c r="R589">
        <f t="shared" si="73"/>
        <v>2.1845508563439358E-3</v>
      </c>
      <c r="S589">
        <v>800</v>
      </c>
      <c r="T589" s="61">
        <f t="shared" si="74"/>
        <v>6.6846117276679271</v>
      </c>
      <c r="U589">
        <v>457.76</v>
      </c>
    </row>
    <row r="590" spans="2:21">
      <c r="Q590">
        <f t="shared" si="72"/>
        <v>187.20000000000005</v>
      </c>
      <c r="R590">
        <f t="shared" si="73"/>
        <v>2.1722602367763655E-3</v>
      </c>
      <c r="S590">
        <v>900</v>
      </c>
      <c r="T590" s="61">
        <f t="shared" si="74"/>
        <v>6.8023947633243109</v>
      </c>
      <c r="U590">
        <v>460.35</v>
      </c>
    </row>
    <row r="591" spans="2:21">
      <c r="Q591">
        <f t="shared" si="72"/>
        <v>189.44</v>
      </c>
      <c r="R591">
        <f t="shared" si="73"/>
        <v>2.1617414989515554E-3</v>
      </c>
      <c r="S591">
        <v>1000</v>
      </c>
      <c r="T591" s="61">
        <f t="shared" si="74"/>
        <v>6.9077552789821368</v>
      </c>
      <c r="U591">
        <v>462.59</v>
      </c>
    </row>
    <row r="592" spans="2:21">
      <c r="Q592">
        <f t="shared" si="72"/>
        <v>198.62</v>
      </c>
      <c r="R592">
        <f t="shared" si="73"/>
        <v>2.1196769612311086E-3</v>
      </c>
      <c r="S592">
        <v>1500</v>
      </c>
      <c r="T592" s="61">
        <f t="shared" si="74"/>
        <v>7.3132203870903014</v>
      </c>
      <c r="U592">
        <v>471.77</v>
      </c>
    </row>
    <row r="593" spans="17:21">
      <c r="Q593">
        <f t="shared" si="72"/>
        <v>205.73000000000002</v>
      </c>
      <c r="R593">
        <f t="shared" si="73"/>
        <v>2.088205813564985E-3</v>
      </c>
      <c r="S593">
        <v>2000</v>
      </c>
      <c r="T593" s="61">
        <f t="shared" si="74"/>
        <v>7.6009024595420822</v>
      </c>
      <c r="U593">
        <v>478.88</v>
      </c>
    </row>
    <row r="594" spans="17:21">
      <c r="Q594">
        <f t="shared" si="72"/>
        <v>216.08000000000004</v>
      </c>
      <c r="R594">
        <f t="shared" si="73"/>
        <v>2.044028371113791E-3</v>
      </c>
      <c r="S594">
        <v>3000</v>
      </c>
      <c r="T594" s="61">
        <f t="shared" si="74"/>
        <v>8.0063675676502459</v>
      </c>
      <c r="U594">
        <v>489.23</v>
      </c>
    </row>
    <row r="595" spans="17:21">
      <c r="Q595">
        <f t="shared" si="72"/>
        <v>223.81</v>
      </c>
      <c r="R595">
        <f t="shared" si="73"/>
        <v>2.0122343850611721E-3</v>
      </c>
      <c r="S595">
        <v>4000</v>
      </c>
      <c r="T595" s="61">
        <f t="shared" si="74"/>
        <v>8.2940496401020276</v>
      </c>
      <c r="U595">
        <v>496.96</v>
      </c>
    </row>
    <row r="596" spans="17:21">
      <c r="Q596">
        <f t="shared" si="72"/>
        <v>229.75</v>
      </c>
      <c r="R596">
        <f t="shared" si="73"/>
        <v>1.9884668920262479E-3</v>
      </c>
      <c r="S596">
        <v>5000</v>
      </c>
      <c r="T596" s="61">
        <f t="shared" si="74"/>
        <v>8.5171931914162382</v>
      </c>
      <c r="U596">
        <v>502.9</v>
      </c>
    </row>
    <row r="597" spans="17:21">
      <c r="Q597">
        <f t="shared" si="72"/>
        <v>234.90000000000003</v>
      </c>
      <c r="R597">
        <f t="shared" si="73"/>
        <v>1.9683102056884164E-3</v>
      </c>
      <c r="S597">
        <v>6000</v>
      </c>
      <c r="T597" s="61">
        <f t="shared" si="74"/>
        <v>8.6995147482101913</v>
      </c>
      <c r="U597">
        <v>508.05</v>
      </c>
    </row>
    <row r="598" spans="17:21">
      <c r="Q598">
        <f t="shared" si="72"/>
        <v>239.43000000000006</v>
      </c>
      <c r="R598">
        <f t="shared" si="73"/>
        <v>1.9509149791252095E-3</v>
      </c>
      <c r="S598">
        <v>7000</v>
      </c>
      <c r="T598" s="61">
        <f t="shared" si="74"/>
        <v>8.8536654280374503</v>
      </c>
      <c r="U598">
        <v>512.58000000000004</v>
      </c>
    </row>
    <row r="599" spans="17:21">
      <c r="Q599">
        <f t="shared" si="72"/>
        <v>241.59000000000003</v>
      </c>
      <c r="R599">
        <f t="shared" si="73"/>
        <v>1.9427283677196255E-3</v>
      </c>
      <c r="S599">
        <v>7500</v>
      </c>
      <c r="T599" s="61">
        <f t="shared" si="74"/>
        <v>8.9226582995244019</v>
      </c>
      <c r="U599">
        <v>514.74</v>
      </c>
    </row>
    <row r="600" spans="17:21">
      <c r="Q600">
        <f t="shared" si="72"/>
        <v>243.40999999999997</v>
      </c>
      <c r="R600">
        <f t="shared" si="73"/>
        <v>1.9358835372463995E-3</v>
      </c>
      <c r="S600">
        <v>8000</v>
      </c>
      <c r="T600" s="61">
        <f t="shared" si="74"/>
        <v>8.987196820661973</v>
      </c>
      <c r="U600">
        <v>516.55999999999995</v>
      </c>
    </row>
    <row r="601" spans="17:21">
      <c r="Q601">
        <f t="shared" si="72"/>
        <v>246.94000000000005</v>
      </c>
      <c r="R601">
        <f t="shared" si="73"/>
        <v>1.9227441404372318E-3</v>
      </c>
      <c r="S601">
        <v>9000</v>
      </c>
      <c r="T601" s="61">
        <f t="shared" si="74"/>
        <v>9.1049798563183568</v>
      </c>
      <c r="U601">
        <v>520.09</v>
      </c>
    </row>
    <row r="602" spans="17:21">
      <c r="T602" s="61"/>
    </row>
    <row r="603" spans="17:21">
      <c r="R603" s="120"/>
      <c r="T603" t="s">
        <v>552</v>
      </c>
      <c r="U603" s="120">
        <f>-R604*8.314/1000</f>
        <v>78.156414612381568</v>
      </c>
    </row>
    <row r="604" spans="17:21">
      <c r="R604">
        <f t="array" ref="R604:S606">LINEST(T585:T601,R585:R601,TRUE,TRUE)</f>
        <v>-9400.5790969908066</v>
      </c>
      <c r="S604">
        <v>27.204113258138491</v>
      </c>
      <c r="U604">
        <f>1.321*U603+4.54</f>
        <v>107.78462370295605</v>
      </c>
    </row>
    <row r="605" spans="17:21">
      <c r="R605">
        <v>53.415405306782333</v>
      </c>
      <c r="S605">
        <v>0.11152589669057231</v>
      </c>
    </row>
    <row r="606" spans="17:21">
      <c r="R606">
        <v>0.99951593373076209</v>
      </c>
      <c r="S606">
        <v>2.6015466406690179E-2</v>
      </c>
    </row>
    <row r="609" spans="16:21">
      <c r="P609" s="391" t="s">
        <v>1980</v>
      </c>
      <c r="Q609" t="s">
        <v>2670</v>
      </c>
    </row>
    <row r="610" spans="16:21">
      <c r="Q610" t="s">
        <v>478</v>
      </c>
      <c r="R610" t="s">
        <v>510</v>
      </c>
      <c r="S610" t="s">
        <v>511</v>
      </c>
      <c r="T610" t="s">
        <v>553</v>
      </c>
      <c r="U610" t="s">
        <v>2671</v>
      </c>
    </row>
    <row r="611" spans="16:21">
      <c r="Q611">
        <v>19.899999999999999</v>
      </c>
      <c r="R611">
        <f t="shared" ref="R611:R619" si="75">1/(Q611+273.15)</f>
        <v>3.4123869646817953E-3</v>
      </c>
      <c r="S611">
        <f t="shared" ref="S611:S619" si="76">U611*10^-5*133.322</f>
        <v>1.8931724000000002E-3</v>
      </c>
      <c r="T611" s="61">
        <f t="shared" ref="T611:T619" si="77">LN(S611)</f>
        <v>-6.2695013385298912</v>
      </c>
      <c r="U611">
        <v>1.42</v>
      </c>
    </row>
    <row r="612" spans="16:21">
      <c r="Q612">
        <v>23</v>
      </c>
      <c r="R612">
        <f t="shared" si="75"/>
        <v>3.3766672294445383E-3</v>
      </c>
      <c r="S612">
        <f t="shared" si="76"/>
        <v>2.8130942000000004E-3</v>
      </c>
      <c r="T612" s="61">
        <f t="shared" si="77"/>
        <v>-5.8734702626550854</v>
      </c>
      <c r="U612">
        <v>2.11</v>
      </c>
    </row>
    <row r="613" spans="16:21">
      <c r="Q613">
        <v>25</v>
      </c>
      <c r="R613">
        <f t="shared" si="75"/>
        <v>3.3540164346805303E-3</v>
      </c>
      <c r="S613">
        <f t="shared" si="76"/>
        <v>3.6263584000000007E-3</v>
      </c>
      <c r="T613" s="61">
        <f t="shared" si="77"/>
        <v>-5.6195263298351543</v>
      </c>
      <c r="U613">
        <v>2.72</v>
      </c>
    </row>
    <row r="614" spans="16:21">
      <c r="Q614">
        <v>30</v>
      </c>
      <c r="R614">
        <f t="shared" si="75"/>
        <v>3.298697014679202E-3</v>
      </c>
      <c r="S614">
        <f t="shared" si="76"/>
        <v>6.6661000000000003E-3</v>
      </c>
      <c r="T614" s="61">
        <f t="shared" si="77"/>
        <v>-5.0107202977089607</v>
      </c>
      <c r="U614">
        <v>5</v>
      </c>
    </row>
    <row r="615" spans="16:21">
      <c r="Q615">
        <v>35</v>
      </c>
      <c r="R615">
        <f t="shared" si="75"/>
        <v>3.2451728054518907E-3</v>
      </c>
      <c r="S615">
        <f t="shared" si="76"/>
        <v>1.1998980000000001E-2</v>
      </c>
      <c r="T615" s="61">
        <f t="shared" si="77"/>
        <v>-4.4229336328068412</v>
      </c>
      <c r="U615">
        <v>9</v>
      </c>
    </row>
    <row r="616" spans="16:21">
      <c r="Q616">
        <v>40</v>
      </c>
      <c r="R616">
        <f t="shared" si="75"/>
        <v>3.1933578157432542E-3</v>
      </c>
      <c r="S616">
        <f t="shared" si="76"/>
        <v>2.1264859000000001E-2</v>
      </c>
      <c r="T616" s="61">
        <f t="shared" si="77"/>
        <v>-3.8506993809122072</v>
      </c>
      <c r="U616">
        <v>15.95</v>
      </c>
    </row>
    <row r="617" spans="16:21">
      <c r="Q617">
        <v>43</v>
      </c>
      <c r="R617">
        <f t="shared" si="75"/>
        <v>3.1630555116242292E-3</v>
      </c>
      <c r="S617">
        <f t="shared" si="76"/>
        <v>2.9730806000000005E-2</v>
      </c>
      <c r="T617" s="61">
        <f t="shared" si="77"/>
        <v>-3.5155715316769878</v>
      </c>
      <c r="U617">
        <v>22.3</v>
      </c>
    </row>
    <row r="618" spans="16:21">
      <c r="Q618">
        <v>43.5</v>
      </c>
      <c r="R618">
        <f t="shared" si="75"/>
        <v>3.1580609505763462E-3</v>
      </c>
      <c r="S618">
        <f t="shared" si="76"/>
        <v>3.1463992000000003E-2</v>
      </c>
      <c r="T618" s="61">
        <f t="shared" si="77"/>
        <v>-3.4589114981114966</v>
      </c>
      <c r="U618">
        <v>23.6</v>
      </c>
    </row>
    <row r="619" spans="16:21">
      <c r="Q619">
        <v>44</v>
      </c>
      <c r="R619">
        <f t="shared" si="75"/>
        <v>3.1530821377896896E-3</v>
      </c>
      <c r="S619">
        <f t="shared" si="76"/>
        <v>3.3330499999999999E-2</v>
      </c>
      <c r="T619" s="61">
        <f t="shared" si="77"/>
        <v>-3.4012823852748602</v>
      </c>
      <c r="U619">
        <v>25</v>
      </c>
    </row>
    <row r="621" spans="16:21">
      <c r="R621" s="120"/>
      <c r="T621" t="s">
        <v>552</v>
      </c>
      <c r="U621" s="120">
        <f>-R622*8.314/1000</f>
        <v>91.8098951387434</v>
      </c>
    </row>
    <row r="622" spans="16:21">
      <c r="R622">
        <f t="array" ref="R622:S624">LINEST(T611:T619,R611:R619,TRUE,TRUE)</f>
        <v>-11042.806728258769</v>
      </c>
      <c r="S622">
        <v>31.414824313814854</v>
      </c>
    </row>
    <row r="623" spans="16:21">
      <c r="R623">
        <v>7.7001769178476858</v>
      </c>
      <c r="S623">
        <v>2.512586743273728E-2</v>
      </c>
    </row>
    <row r="624" spans="16:21">
      <c r="R624">
        <v>0.99999659639599059</v>
      </c>
      <c r="S624">
        <v>2.2187801132004712E-3</v>
      </c>
    </row>
  </sheetData>
  <mergeCells count="1">
    <mergeCell ref="A1:N4"/>
  </mergeCells>
  <phoneticPr fontId="52"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B188D-0A1B-4632-9B38-43EEB9DB5173}">
  <sheetPr codeName="Sheet5">
    <pageSetUpPr fitToPage="1"/>
  </sheetPr>
  <dimension ref="A1:BF439"/>
  <sheetViews>
    <sheetView zoomScale="85" zoomScaleNormal="85" workbookViewId="0">
      <pane xSplit="2" topLeftCell="C1" activePane="topRight" state="frozen"/>
      <selection pane="topRight" activeCell="H26" sqref="H26"/>
    </sheetView>
  </sheetViews>
  <sheetFormatPr defaultColWidth="9.140625" defaultRowHeight="15"/>
  <cols>
    <col min="1" max="1" width="33.7109375" style="1" customWidth="1"/>
    <col min="2" max="2" width="22.5703125" style="1" customWidth="1"/>
    <col min="3" max="3" width="19.140625" style="1" bestFit="1" customWidth="1"/>
    <col min="4" max="4" width="21.42578125" style="1" bestFit="1" customWidth="1"/>
    <col min="5" max="6" width="21.42578125" style="1" customWidth="1"/>
    <col min="7" max="18" width="22.5703125" style="13" customWidth="1"/>
    <col min="19" max="21" width="22.5703125" style="1" customWidth="1"/>
    <col min="22" max="22" width="22.5703125" style="13" customWidth="1"/>
    <col min="23" max="23" width="22.5703125" style="1" customWidth="1"/>
    <col min="24" max="24" width="14.42578125" style="35" customWidth="1"/>
    <col min="25" max="25" width="16.85546875" style="35" customWidth="1"/>
    <col min="26" max="26" width="22.5703125" style="13" customWidth="1"/>
    <col min="27" max="27" width="9.7109375" style="16" customWidth="1"/>
    <col min="28" max="29" width="11.85546875" style="16" customWidth="1"/>
    <col min="30" max="30" width="25.140625" style="40" customWidth="1"/>
    <col min="31" max="33" width="20.7109375" style="40" customWidth="1"/>
    <col min="34" max="35" width="16.28515625" style="40" customWidth="1"/>
    <col min="36" max="37" width="20.7109375" style="40" customWidth="1"/>
    <col min="38" max="38" width="11" style="1" customWidth="1"/>
    <col min="39" max="39" width="17.140625" style="1" customWidth="1"/>
    <col min="40" max="40" width="22.42578125" style="1" bestFit="1" customWidth="1"/>
    <col min="41" max="41" width="11.5703125" style="40" customWidth="1"/>
    <col min="42" max="42" width="9.5703125" style="40" customWidth="1"/>
    <col min="43" max="44" width="20.7109375" style="40" customWidth="1"/>
    <col min="45" max="45" width="12.140625" style="40" customWidth="1"/>
    <col min="46" max="46" width="18.28515625" style="40" bestFit="1" customWidth="1"/>
    <col min="47" max="48" width="20.7109375" style="40" customWidth="1"/>
    <col min="49" max="49" width="9.5703125" style="40" customWidth="1"/>
    <col min="50" max="52" width="20.7109375" style="40" customWidth="1"/>
    <col min="53" max="53" width="12.140625" style="40" customWidth="1"/>
    <col min="54" max="55" width="20.7109375" style="40" customWidth="1"/>
    <col min="56" max="56" width="30.140625" style="40" bestFit="1" customWidth="1"/>
    <col min="57" max="58" width="26.28515625" style="40" customWidth="1"/>
    <col min="59" max="16384" width="9.140625" style="1"/>
  </cols>
  <sheetData>
    <row r="1" spans="1:58" hidden="1">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1">
        <v>24</v>
      </c>
      <c r="Y1" s="1">
        <v>25</v>
      </c>
      <c r="Z1" s="1">
        <v>26</v>
      </c>
      <c r="AA1" s="1">
        <v>27</v>
      </c>
      <c r="AB1" s="1">
        <v>28</v>
      </c>
      <c r="AC1" s="1">
        <v>29</v>
      </c>
      <c r="AD1" s="1">
        <v>30</v>
      </c>
      <c r="AE1" s="1">
        <v>31</v>
      </c>
      <c r="AF1" s="1">
        <v>32</v>
      </c>
      <c r="AG1" s="1">
        <v>33</v>
      </c>
      <c r="AH1" s="1">
        <v>34</v>
      </c>
      <c r="AI1" s="1">
        <v>35</v>
      </c>
      <c r="AJ1" s="1">
        <v>36</v>
      </c>
      <c r="AK1" s="1">
        <v>37</v>
      </c>
      <c r="AL1" s="1">
        <v>38</v>
      </c>
      <c r="AM1" s="1">
        <v>39</v>
      </c>
      <c r="AN1" s="1">
        <v>40</v>
      </c>
      <c r="AO1" s="1">
        <v>41</v>
      </c>
      <c r="AP1" s="1">
        <v>42</v>
      </c>
      <c r="AQ1" s="1">
        <v>43</v>
      </c>
      <c r="AR1" s="1">
        <v>44</v>
      </c>
      <c r="AS1" s="1">
        <v>45</v>
      </c>
      <c r="AT1" s="1">
        <v>46</v>
      </c>
      <c r="AU1" s="1">
        <v>47</v>
      </c>
      <c r="AV1" s="1">
        <v>48</v>
      </c>
      <c r="AW1" s="1">
        <v>49</v>
      </c>
      <c r="AX1" s="1">
        <v>50</v>
      </c>
      <c r="AY1" s="1">
        <v>51</v>
      </c>
      <c r="AZ1" s="1">
        <v>52</v>
      </c>
      <c r="BA1" s="1">
        <v>53</v>
      </c>
      <c r="BB1" s="1">
        <v>54</v>
      </c>
      <c r="BC1" s="1">
        <v>55</v>
      </c>
      <c r="BD1" s="1">
        <v>56</v>
      </c>
      <c r="BE1" s="1">
        <v>57</v>
      </c>
      <c r="BF1" s="1">
        <v>58</v>
      </c>
    </row>
    <row r="2" spans="1:58" hidden="1">
      <c r="Z2" s="101"/>
    </row>
    <row r="3" spans="1:58">
      <c r="Z3" s="101"/>
      <c r="AA3" s="102"/>
      <c r="AB3" s="102"/>
      <c r="AC3" s="102"/>
      <c r="AD3" s="71"/>
      <c r="AE3" s="71"/>
      <c r="AF3" s="71"/>
      <c r="AG3" s="71"/>
      <c r="AH3" s="71"/>
      <c r="AI3" s="71"/>
      <c r="AJ3" s="71"/>
      <c r="AK3" s="71"/>
      <c r="AO3" s="71"/>
      <c r="AP3" s="71"/>
      <c r="AQ3" s="71"/>
      <c r="AR3" s="71"/>
      <c r="AS3" s="71"/>
      <c r="AT3" s="71"/>
      <c r="AU3" s="71"/>
      <c r="AV3" s="71"/>
      <c r="AW3" s="71"/>
      <c r="AX3" s="71"/>
      <c r="AY3" s="71"/>
      <c r="AZ3" s="71"/>
      <c r="BA3" s="71"/>
      <c r="BB3" s="71"/>
      <c r="BC3" s="71"/>
      <c r="BD3" s="71"/>
      <c r="BE3" s="71"/>
      <c r="BF3" s="71"/>
    </row>
    <row r="4" spans="1:58">
      <c r="A4" s="521" t="s">
        <v>3054</v>
      </c>
      <c r="B4" s="521"/>
      <c r="C4" s="521"/>
      <c r="D4" s="521"/>
      <c r="E4" s="521"/>
      <c r="F4" s="521"/>
      <c r="G4" s="521"/>
      <c r="H4" s="521"/>
      <c r="I4" s="521"/>
      <c r="J4" s="521"/>
      <c r="L4" s="499"/>
      <c r="Z4" s="101"/>
      <c r="AA4" s="102"/>
      <c r="AB4" s="102"/>
      <c r="AC4" s="102"/>
      <c r="AD4" s="71"/>
      <c r="AE4" s="71"/>
      <c r="AF4" s="71"/>
      <c r="AG4" s="71"/>
      <c r="AH4" s="71"/>
      <c r="AI4" s="71"/>
      <c r="AJ4" s="71"/>
      <c r="AK4" s="71"/>
      <c r="AO4" s="71"/>
      <c r="AP4" s="71"/>
      <c r="AQ4" s="71"/>
      <c r="AR4" s="71"/>
      <c r="AS4" s="71"/>
      <c r="AT4" s="71"/>
      <c r="AU4" s="71"/>
      <c r="AV4" s="71"/>
      <c r="AW4" s="71"/>
      <c r="AX4" s="71"/>
      <c r="AY4" s="71"/>
      <c r="AZ4" s="71"/>
      <c r="BA4" s="71"/>
      <c r="BB4" s="71"/>
      <c r="BC4" s="71"/>
      <c r="BD4" s="71"/>
      <c r="BE4" s="71"/>
      <c r="BF4" s="71"/>
    </row>
    <row r="5" spans="1:58" ht="36" customHeight="1">
      <c r="A5" s="521"/>
      <c r="B5" s="521"/>
      <c r="C5" s="521"/>
      <c r="D5" s="521"/>
      <c r="E5" s="521"/>
      <c r="F5" s="521"/>
      <c r="G5" s="521"/>
      <c r="H5" s="521"/>
      <c r="I5" s="521"/>
      <c r="J5" s="521"/>
      <c r="K5" s="481"/>
      <c r="L5" s="481"/>
      <c r="M5" s="481"/>
      <c r="N5" s="481"/>
      <c r="O5" s="481"/>
      <c r="P5" s="481"/>
      <c r="Q5" s="481"/>
      <c r="R5" s="481"/>
      <c r="S5" s="76"/>
      <c r="T5" s="76"/>
      <c r="U5" s="76"/>
      <c r="V5" s="481"/>
      <c r="W5" s="76"/>
      <c r="X5" s="481"/>
      <c r="Y5" s="481"/>
      <c r="Z5" s="481"/>
      <c r="AA5" s="76"/>
      <c r="AB5" s="76"/>
      <c r="AC5" s="76"/>
      <c r="AD5" s="76"/>
      <c r="AE5" s="76"/>
      <c r="AF5" s="76"/>
      <c r="AG5" s="76"/>
      <c r="AH5" s="76"/>
      <c r="AI5" s="76"/>
      <c r="AJ5" s="76"/>
      <c r="AK5" s="76"/>
      <c r="AM5" s="76"/>
      <c r="AN5" s="76"/>
      <c r="AO5" s="71"/>
      <c r="AP5" s="76"/>
      <c r="AQ5" s="76"/>
      <c r="AR5" s="76"/>
      <c r="AS5" s="71"/>
      <c r="AT5" s="76"/>
      <c r="AU5" s="76"/>
      <c r="AV5" s="76"/>
      <c r="AW5" s="76"/>
      <c r="AX5" s="76"/>
      <c r="AY5" s="76"/>
      <c r="AZ5" s="76"/>
      <c r="BB5" s="76"/>
      <c r="BC5" s="76"/>
      <c r="BD5" s="76"/>
      <c r="BE5" s="76"/>
      <c r="BF5" s="76"/>
    </row>
    <row r="6" spans="1:58" ht="20.25">
      <c r="A6" s="76"/>
      <c r="B6" s="76"/>
      <c r="C6" s="507" t="s">
        <v>0</v>
      </c>
      <c r="D6" s="507"/>
      <c r="E6" s="507"/>
      <c r="F6" s="507"/>
      <c r="G6" s="507"/>
      <c r="H6" s="507"/>
      <c r="I6" s="507"/>
      <c r="J6" s="507"/>
      <c r="K6" s="507"/>
      <c r="L6" s="507"/>
      <c r="M6" s="507"/>
      <c r="N6" s="507"/>
      <c r="O6" s="507"/>
      <c r="P6" s="507"/>
      <c r="Q6" s="507"/>
      <c r="R6" s="507"/>
      <c r="S6" s="507"/>
      <c r="T6" s="507"/>
      <c r="U6" s="507"/>
      <c r="V6" s="507"/>
      <c r="W6" s="507"/>
      <c r="X6" s="507"/>
      <c r="Y6" s="507"/>
      <c r="Z6" s="507"/>
      <c r="AA6" s="507" t="s">
        <v>258</v>
      </c>
      <c r="AB6" s="507"/>
      <c r="AC6" s="507"/>
      <c r="AD6" s="507"/>
      <c r="AE6" s="507"/>
      <c r="AF6" s="507"/>
      <c r="AG6" s="507"/>
      <c r="AH6" s="507"/>
      <c r="AI6" s="507"/>
      <c r="AJ6" s="507"/>
      <c r="AK6" s="507"/>
      <c r="AL6" s="507"/>
      <c r="AM6" s="533" t="s">
        <v>259</v>
      </c>
      <c r="AN6" s="534"/>
      <c r="AO6" s="534"/>
      <c r="AP6" s="534"/>
      <c r="AQ6" s="534"/>
      <c r="AR6" s="534"/>
      <c r="AS6" s="534"/>
      <c r="AT6" s="534"/>
      <c r="AU6" s="534"/>
      <c r="AV6" s="534"/>
      <c r="AW6" s="534"/>
      <c r="AX6" s="535"/>
      <c r="AY6" s="507" t="s">
        <v>556</v>
      </c>
      <c r="AZ6" s="507"/>
      <c r="BA6" s="507"/>
      <c r="BB6" s="507"/>
      <c r="BC6" s="507" t="s">
        <v>555</v>
      </c>
      <c r="BD6" s="507"/>
      <c r="BE6" s="507"/>
      <c r="BF6" s="507"/>
    </row>
    <row r="7" spans="1:58" ht="23.25">
      <c r="A7" s="2"/>
      <c r="B7" s="57"/>
      <c r="C7" s="536" t="s">
        <v>2727</v>
      </c>
      <c r="D7" s="537"/>
      <c r="E7" s="537"/>
      <c r="F7" s="538"/>
      <c r="G7" s="536" t="s">
        <v>2728</v>
      </c>
      <c r="H7" s="537"/>
      <c r="I7" s="537"/>
      <c r="J7" s="538"/>
      <c r="K7" s="536" t="s">
        <v>2729</v>
      </c>
      <c r="L7" s="537"/>
      <c r="M7" s="537"/>
      <c r="N7" s="538"/>
      <c r="O7" s="508" t="s">
        <v>2730</v>
      </c>
      <c r="P7" s="509"/>
      <c r="Q7" s="509"/>
      <c r="R7" s="510"/>
      <c r="S7" s="508" t="s">
        <v>2726</v>
      </c>
      <c r="T7" s="509"/>
      <c r="U7" s="509"/>
      <c r="V7" s="510"/>
      <c r="W7" s="508" t="s">
        <v>2725</v>
      </c>
      <c r="X7" s="509"/>
      <c r="Y7" s="509"/>
      <c r="Z7" s="510"/>
      <c r="AA7" s="508" t="s">
        <v>2</v>
      </c>
      <c r="AB7" s="509"/>
      <c r="AC7" s="509"/>
      <c r="AD7" s="510"/>
      <c r="AE7" s="508" t="s">
        <v>238</v>
      </c>
      <c r="AF7" s="509"/>
      <c r="AG7" s="509"/>
      <c r="AH7" s="510"/>
      <c r="AI7" s="508" t="s">
        <v>239</v>
      </c>
      <c r="AJ7" s="509"/>
      <c r="AK7" s="509"/>
      <c r="AL7" s="510"/>
      <c r="AM7" s="508" t="s">
        <v>1</v>
      </c>
      <c r="AN7" s="509"/>
      <c r="AO7" s="509"/>
      <c r="AP7" s="510"/>
      <c r="AQ7" s="508" t="s">
        <v>796</v>
      </c>
      <c r="AR7" s="509"/>
      <c r="AS7" s="509"/>
      <c r="AT7" s="510"/>
      <c r="AU7" s="508" t="s">
        <v>2716</v>
      </c>
      <c r="AV7" s="509"/>
      <c r="AW7" s="509"/>
      <c r="AX7" s="510"/>
      <c r="AY7" s="508" t="s">
        <v>2719</v>
      </c>
      <c r="AZ7" s="509"/>
      <c r="BA7" s="509"/>
      <c r="BB7" s="510"/>
      <c r="BC7" s="508" t="s">
        <v>2720</v>
      </c>
      <c r="BD7" s="509"/>
      <c r="BE7" s="509"/>
      <c r="BF7" s="510"/>
    </row>
    <row r="8" spans="1:58" ht="38.450000000000003" customHeight="1">
      <c r="A8" s="58" t="s">
        <v>3</v>
      </c>
      <c r="B8" s="200" t="s">
        <v>795</v>
      </c>
      <c r="C8" s="37" t="s">
        <v>2742</v>
      </c>
      <c r="D8" s="38" t="s">
        <v>1471</v>
      </c>
      <c r="E8" s="342" t="s">
        <v>1472</v>
      </c>
      <c r="F8" s="38" t="s">
        <v>1474</v>
      </c>
      <c r="G8" s="37" t="s">
        <v>2742</v>
      </c>
      <c r="H8" s="38" t="s">
        <v>1473</v>
      </c>
      <c r="I8" s="342" t="s">
        <v>1475</v>
      </c>
      <c r="J8" s="38" t="s">
        <v>1474</v>
      </c>
      <c r="K8" s="37" t="s">
        <v>2742</v>
      </c>
      <c r="L8" s="38" t="s">
        <v>1496</v>
      </c>
      <c r="M8" s="342" t="s">
        <v>1497</v>
      </c>
      <c r="N8" s="38" t="s">
        <v>1474</v>
      </c>
      <c r="O8" s="81" t="s">
        <v>2742</v>
      </c>
      <c r="P8" s="146" t="s">
        <v>1476</v>
      </c>
      <c r="Q8" s="146" t="s">
        <v>1477</v>
      </c>
      <c r="R8" s="38" t="s">
        <v>1474</v>
      </c>
      <c r="S8" s="81" t="s">
        <v>2742</v>
      </c>
      <c r="T8" s="146" t="s">
        <v>1478</v>
      </c>
      <c r="U8" s="351" t="s">
        <v>1479</v>
      </c>
      <c r="V8" s="38" t="s">
        <v>1474</v>
      </c>
      <c r="W8" s="81" t="s">
        <v>2742</v>
      </c>
      <c r="X8" s="146" t="s">
        <v>1481</v>
      </c>
      <c r="Y8" s="146" t="s">
        <v>1480</v>
      </c>
      <c r="Z8" s="38" t="s">
        <v>1474</v>
      </c>
      <c r="AA8" s="81" t="s">
        <v>2742</v>
      </c>
      <c r="AB8" s="146" t="s">
        <v>2706</v>
      </c>
      <c r="AC8" s="146" t="s">
        <v>2707</v>
      </c>
      <c r="AD8" s="38" t="s">
        <v>1474</v>
      </c>
      <c r="AE8" s="81" t="s">
        <v>2742</v>
      </c>
      <c r="AF8" s="146" t="s">
        <v>2708</v>
      </c>
      <c r="AG8" s="146" t="s">
        <v>2711</v>
      </c>
      <c r="AH8" s="38" t="s">
        <v>1474</v>
      </c>
      <c r="AI8" s="81" t="s">
        <v>2742</v>
      </c>
      <c r="AJ8" s="146" t="s">
        <v>2709</v>
      </c>
      <c r="AK8" s="146" t="s">
        <v>2710</v>
      </c>
      <c r="AL8" s="38" t="s">
        <v>1474</v>
      </c>
      <c r="AM8" s="81" t="s">
        <v>2742</v>
      </c>
      <c r="AN8" s="146" t="s">
        <v>2712</v>
      </c>
      <c r="AO8" s="146" t="s">
        <v>2713</v>
      </c>
      <c r="AP8" s="38" t="s">
        <v>1474</v>
      </c>
      <c r="AQ8" s="81" t="s">
        <v>2742</v>
      </c>
      <c r="AR8" s="146" t="s">
        <v>2714</v>
      </c>
      <c r="AS8" s="146" t="s">
        <v>2715</v>
      </c>
      <c r="AT8" s="38" t="s">
        <v>1474</v>
      </c>
      <c r="AU8" s="81" t="s">
        <v>2742</v>
      </c>
      <c r="AV8" s="146" t="s">
        <v>2717</v>
      </c>
      <c r="AW8" s="146" t="s">
        <v>2718</v>
      </c>
      <c r="AX8" s="38" t="s">
        <v>1474</v>
      </c>
      <c r="AY8" s="81" t="s">
        <v>2742</v>
      </c>
      <c r="AZ8" s="146" t="s">
        <v>2721</v>
      </c>
      <c r="BA8" s="146" t="s">
        <v>2722</v>
      </c>
      <c r="BB8" s="38" t="s">
        <v>1474</v>
      </c>
      <c r="BC8" s="81" t="s">
        <v>2742</v>
      </c>
      <c r="BD8" s="146" t="s">
        <v>2723</v>
      </c>
      <c r="BE8" s="146" t="s">
        <v>2724</v>
      </c>
      <c r="BF8" s="82" t="s">
        <v>1474</v>
      </c>
    </row>
    <row r="9" spans="1:58">
      <c r="A9" s="530" t="s">
        <v>7</v>
      </c>
      <c r="B9" s="531"/>
      <c r="C9" s="531"/>
      <c r="D9" s="531"/>
      <c r="E9" s="531"/>
      <c r="F9" s="531"/>
      <c r="G9" s="531"/>
      <c r="H9" s="531"/>
      <c r="I9" s="531"/>
      <c r="J9" s="531"/>
      <c r="K9" s="531"/>
      <c r="L9" s="531"/>
      <c r="M9" s="531"/>
      <c r="N9" s="531"/>
      <c r="O9" s="531"/>
      <c r="P9" s="531"/>
      <c r="Q9" s="531"/>
      <c r="R9" s="531"/>
      <c r="S9" s="531"/>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2"/>
    </row>
    <row r="10" spans="1:58">
      <c r="A10" s="3" t="s">
        <v>8</v>
      </c>
      <c r="B10" s="4" t="s">
        <v>9</v>
      </c>
      <c r="C10" s="157">
        <v>64.044399324153304</v>
      </c>
      <c r="D10" s="30" t="s">
        <v>2855</v>
      </c>
      <c r="E10" s="30" t="s">
        <v>2855</v>
      </c>
      <c r="F10" s="30" t="s">
        <v>2743</v>
      </c>
      <c r="G10" s="157">
        <v>5.1368203185714201</v>
      </c>
      <c r="H10" s="30" t="s">
        <v>2855</v>
      </c>
      <c r="I10" s="30" t="s">
        <v>2855</v>
      </c>
      <c r="J10" s="30" t="s">
        <v>2743</v>
      </c>
      <c r="K10" s="157">
        <v>22.232362921152507</v>
      </c>
      <c r="L10" s="113">
        <v>22.232362921152507</v>
      </c>
      <c r="M10" s="30">
        <v>15.022803318704382</v>
      </c>
      <c r="N10" s="355" t="s">
        <v>1498</v>
      </c>
      <c r="O10" s="157">
        <v>-39.421036403000798</v>
      </c>
      <c r="P10" s="30" t="s">
        <v>2855</v>
      </c>
      <c r="Q10" s="30" t="s">
        <v>2855</v>
      </c>
      <c r="R10" s="30" t="s">
        <v>2743</v>
      </c>
      <c r="S10" s="157">
        <v>56.5153382167139</v>
      </c>
      <c r="T10" s="30" t="s">
        <v>2855</v>
      </c>
      <c r="U10" s="30" t="s">
        <v>2855</v>
      </c>
      <c r="V10" s="30" t="s">
        <v>2743</v>
      </c>
      <c r="W10" s="157">
        <v>17.092706768038401</v>
      </c>
      <c r="X10" s="30" t="s">
        <v>2855</v>
      </c>
      <c r="Y10" s="30" t="s">
        <v>2855</v>
      </c>
      <c r="Z10" s="300" t="s">
        <v>2743</v>
      </c>
      <c r="AA10" s="157">
        <v>6.7859081191935404</v>
      </c>
      <c r="AB10" s="30">
        <v>6.5988515357582802</v>
      </c>
      <c r="AC10" s="30">
        <v>0.18421295969975701</v>
      </c>
      <c r="AD10" s="30" t="s">
        <v>2743</v>
      </c>
      <c r="AE10" s="157">
        <v>5.86756508426412</v>
      </c>
      <c r="AF10" s="30">
        <v>5.3975117357370204</v>
      </c>
      <c r="AG10" s="30">
        <v>0.53859827322742304</v>
      </c>
      <c r="AH10" s="30" t="s">
        <v>2743</v>
      </c>
      <c r="AI10" s="157">
        <v>-0.92706081973982801</v>
      </c>
      <c r="AJ10" s="30">
        <v>-1.20319857812509</v>
      </c>
      <c r="AK10" s="30">
        <v>0.50790872028228995</v>
      </c>
      <c r="AL10" s="30" t="s">
        <v>2743</v>
      </c>
      <c r="AM10" s="157">
        <v>1.4701347467103483E-2</v>
      </c>
      <c r="AN10" s="30">
        <v>-0.22151312212942686</v>
      </c>
      <c r="AO10" s="30">
        <v>0.42325969325853002</v>
      </c>
      <c r="AP10" s="30" t="s">
        <v>2743</v>
      </c>
      <c r="AQ10" s="157">
        <v>-2.4501588666919898</v>
      </c>
      <c r="AR10" s="30">
        <v>-2.4102826258953498</v>
      </c>
      <c r="AS10" s="30">
        <v>0.29027652970815898</v>
      </c>
      <c r="AT10" s="30" t="s">
        <v>2743</v>
      </c>
      <c r="AU10" s="157">
        <v>3.4166266595993799</v>
      </c>
      <c r="AV10" s="30" t="s">
        <v>2855</v>
      </c>
      <c r="AW10" s="30" t="s">
        <v>2855</v>
      </c>
      <c r="AX10" s="30" t="s">
        <v>2743</v>
      </c>
      <c r="AY10" s="157">
        <v>27.437164066193851</v>
      </c>
      <c r="AZ10" s="30">
        <v>27.437164066193851</v>
      </c>
      <c r="BA10" s="30">
        <v>2.0257703248192196</v>
      </c>
      <c r="BB10" s="30" t="s">
        <v>558</v>
      </c>
      <c r="BC10" s="157">
        <v>63.82222222222223</v>
      </c>
      <c r="BD10" s="30">
        <v>63.82222222222223</v>
      </c>
      <c r="BE10" s="30">
        <v>3.0339857357022035</v>
      </c>
      <c r="BF10" s="300" t="s">
        <v>558</v>
      </c>
    </row>
    <row r="11" spans="1:58">
      <c r="A11" s="3"/>
      <c r="B11" s="171">
        <v>224.38800000000001</v>
      </c>
      <c r="C11" s="157">
        <v>11.247407250340601</v>
      </c>
      <c r="D11" s="30">
        <v>64.044399324153304</v>
      </c>
      <c r="E11" s="30">
        <v>11.247407250340601</v>
      </c>
      <c r="F11" s="8" t="s">
        <v>2742</v>
      </c>
      <c r="G11" s="157">
        <v>14.645600403107601</v>
      </c>
      <c r="H11" s="30">
        <v>5.1368203185714201</v>
      </c>
      <c r="I11" s="30">
        <v>14.645600403107601</v>
      </c>
      <c r="J11" s="8" t="s">
        <v>2742</v>
      </c>
      <c r="K11" s="158">
        <v>15.022803318704382</v>
      </c>
      <c r="L11" s="113">
        <v>22.229527086609821</v>
      </c>
      <c r="M11" s="113">
        <v>20.470647230594054</v>
      </c>
      <c r="N11" s="13" t="s">
        <v>1499</v>
      </c>
      <c r="O11" s="157">
        <v>9.9589381812249993</v>
      </c>
      <c r="P11" s="30">
        <v>-39.421036403000798</v>
      </c>
      <c r="Q11" s="30">
        <v>9.9589381812249993</v>
      </c>
      <c r="R11" s="8" t="s">
        <v>2742</v>
      </c>
      <c r="S11" s="157">
        <v>13.401310108308801</v>
      </c>
      <c r="T11" s="30">
        <v>56.5153382167139</v>
      </c>
      <c r="U11" s="30">
        <v>13.401310108308801</v>
      </c>
      <c r="V11" s="8" t="s">
        <v>2742</v>
      </c>
      <c r="W11" s="157">
        <v>14.3022301363082</v>
      </c>
      <c r="X11" s="30">
        <v>17.092706768038401</v>
      </c>
      <c r="Y11" s="30">
        <v>14.3022301363082</v>
      </c>
      <c r="Z11" s="498" t="s">
        <v>2742</v>
      </c>
      <c r="AA11" s="157">
        <v>0.363340702106625</v>
      </c>
      <c r="AB11" s="30">
        <v>6.7859081191935404</v>
      </c>
      <c r="AC11" s="30">
        <v>0.363340702106625</v>
      </c>
      <c r="AD11" s="8" t="s">
        <v>2742</v>
      </c>
      <c r="AE11" s="157">
        <v>0.53622949210097604</v>
      </c>
      <c r="AF11" s="30">
        <v>5.86756508426412</v>
      </c>
      <c r="AG11" s="30">
        <v>0.53622949210097604</v>
      </c>
      <c r="AH11" s="8" t="s">
        <v>2742</v>
      </c>
      <c r="AI11" s="157">
        <v>0.45548031840665998</v>
      </c>
      <c r="AJ11" s="30">
        <v>-0.92706081973982801</v>
      </c>
      <c r="AK11" s="30">
        <v>0.45548031840665998</v>
      </c>
      <c r="AL11" s="8" t="s">
        <v>2742</v>
      </c>
      <c r="AM11" s="157">
        <v>0.360418755543017</v>
      </c>
      <c r="AN11" s="30">
        <v>1.4701347467103483E-2</v>
      </c>
      <c r="AO11" s="30">
        <v>0.360418755543017</v>
      </c>
      <c r="AP11" s="8" t="s">
        <v>2742</v>
      </c>
      <c r="AQ11" s="157">
        <v>0.36276422494720101</v>
      </c>
      <c r="AR11" s="30">
        <v>-2.4501588666919898</v>
      </c>
      <c r="AS11" s="30">
        <v>0.36276422494720101</v>
      </c>
      <c r="AT11" s="8" t="s">
        <v>2742</v>
      </c>
      <c r="AU11" s="157">
        <v>0.45319533274921298</v>
      </c>
      <c r="AV11" s="30">
        <v>3.4166266595993799</v>
      </c>
      <c r="AW11" s="30">
        <v>0.45319533274921298</v>
      </c>
      <c r="AX11" s="8" t="s">
        <v>2742</v>
      </c>
      <c r="AY11" s="157">
        <v>2.0257703248192196</v>
      </c>
      <c r="AZ11" s="30"/>
      <c r="BA11" s="30"/>
      <c r="BB11" s="101"/>
      <c r="BC11" s="157">
        <v>3.0339857357022035</v>
      </c>
      <c r="BD11" s="30"/>
      <c r="BE11" s="30"/>
      <c r="BF11" s="277"/>
    </row>
    <row r="12" spans="1:58">
      <c r="A12" s="3"/>
      <c r="B12" s="4"/>
      <c r="C12" s="3"/>
      <c r="D12" s="206">
        <v>65.209156034639165</v>
      </c>
      <c r="E12" s="206">
        <v>12.406667724169532</v>
      </c>
      <c r="F12" s="206" t="s">
        <v>558</v>
      </c>
      <c r="G12" s="3"/>
      <c r="H12" s="206" t="s">
        <v>2855</v>
      </c>
      <c r="I12" s="206" t="s">
        <v>2855</v>
      </c>
      <c r="J12" s="206" t="s">
        <v>558</v>
      </c>
      <c r="K12" s="353"/>
      <c r="L12" s="176">
        <v>2.7677698187919759</v>
      </c>
      <c r="M12" s="176">
        <v>3.9800541945658714</v>
      </c>
      <c r="N12" s="206" t="s">
        <v>1124</v>
      </c>
      <c r="O12" s="3"/>
      <c r="P12" s="206">
        <v>-35.5</v>
      </c>
      <c r="Q12" s="206">
        <v>2.2492119741999494</v>
      </c>
      <c r="R12" s="206" t="s">
        <v>558</v>
      </c>
      <c r="S12" s="3"/>
      <c r="T12" s="206" t="s">
        <v>2855</v>
      </c>
      <c r="U12" s="206" t="s">
        <v>2855</v>
      </c>
      <c r="V12" s="206" t="s">
        <v>558</v>
      </c>
      <c r="W12" s="3"/>
      <c r="X12" s="206" t="s">
        <v>2855</v>
      </c>
      <c r="Y12" s="206" t="s">
        <v>2855</v>
      </c>
      <c r="Z12" s="206" t="s">
        <v>558</v>
      </c>
      <c r="AA12" s="3"/>
      <c r="AB12" s="206">
        <v>6.5903532568443328</v>
      </c>
      <c r="AC12" s="206">
        <v>0.16968721679640786</v>
      </c>
      <c r="AD12" s="206" t="s">
        <v>558</v>
      </c>
      <c r="AE12" s="3"/>
      <c r="AF12" s="206">
        <v>6.0489547509074884</v>
      </c>
      <c r="AG12" s="206">
        <v>1.1302155186529612</v>
      </c>
      <c r="AH12" s="206" t="s">
        <v>558</v>
      </c>
      <c r="AI12" s="3"/>
      <c r="AJ12" s="206" t="s">
        <v>2855</v>
      </c>
      <c r="AK12" s="206" t="s">
        <v>2855</v>
      </c>
      <c r="AL12" s="206" t="s">
        <v>558</v>
      </c>
      <c r="AM12" s="3"/>
      <c r="AN12" s="206">
        <v>-0.27186946994290417</v>
      </c>
      <c r="AO12" s="206">
        <v>0.43981008116415443</v>
      </c>
      <c r="AP12" s="206" t="s">
        <v>558</v>
      </c>
      <c r="AQ12" s="3"/>
      <c r="AR12" s="206">
        <v>-0.27186946994290417</v>
      </c>
      <c r="AS12" s="206">
        <v>0.43981008116415443</v>
      </c>
      <c r="AT12" s="206" t="s">
        <v>558</v>
      </c>
      <c r="AU12" s="3"/>
      <c r="AV12" s="206" t="s">
        <v>2855</v>
      </c>
      <c r="AW12" s="206" t="s">
        <v>2855</v>
      </c>
      <c r="AX12" s="206" t="s">
        <v>558</v>
      </c>
      <c r="AY12" s="3"/>
      <c r="AZ12" s="52"/>
      <c r="BA12" s="52"/>
      <c r="BB12" s="52"/>
      <c r="BC12" s="3"/>
      <c r="BF12" s="42"/>
    </row>
    <row r="13" spans="1:58">
      <c r="A13" s="3"/>
      <c r="B13" s="4"/>
      <c r="C13" s="3"/>
      <c r="D13" s="176">
        <v>78.527219234560008</v>
      </c>
      <c r="E13" s="176">
        <v>19.875553297144076</v>
      </c>
      <c r="F13" s="206" t="s">
        <v>1124</v>
      </c>
      <c r="G13" s="3"/>
      <c r="H13" s="176">
        <v>1.523041337784008</v>
      </c>
      <c r="I13" s="176">
        <v>1.2844310205174008</v>
      </c>
      <c r="J13" s="206" t="s">
        <v>1124</v>
      </c>
      <c r="K13" s="353"/>
      <c r="L13" s="101"/>
      <c r="M13" s="101"/>
      <c r="N13" s="101"/>
      <c r="O13" s="3"/>
      <c r="P13" s="178">
        <v>-75.759449415768032</v>
      </c>
      <c r="Q13" s="178">
        <v>24.848114535529508</v>
      </c>
      <c r="R13" s="206" t="s">
        <v>1124</v>
      </c>
      <c r="S13" s="3"/>
      <c r="T13" s="178">
        <v>68.97436159999998</v>
      </c>
      <c r="U13" s="178">
        <v>11.615834288332797</v>
      </c>
      <c r="V13" s="206" t="s">
        <v>1124</v>
      </c>
      <c r="W13" s="3"/>
      <c r="X13" s="178">
        <v>1.244728481007968</v>
      </c>
      <c r="Y13" s="178">
        <v>2.3326049919386791</v>
      </c>
      <c r="Z13" s="206" t="s">
        <v>1124</v>
      </c>
      <c r="AA13" s="3"/>
      <c r="AB13" s="178">
        <v>8.4145000000000003</v>
      </c>
      <c r="AC13" s="178">
        <v>1.104975311</v>
      </c>
      <c r="AD13" s="206" t="s">
        <v>1124</v>
      </c>
      <c r="AE13" s="3"/>
      <c r="AF13" s="178">
        <v>5.55</v>
      </c>
      <c r="AG13" s="178">
        <v>0.78739514999999993</v>
      </c>
      <c r="AH13" s="206" t="s">
        <v>1124</v>
      </c>
      <c r="AI13" s="3"/>
      <c r="AJ13" s="178">
        <v>-0.7172759999999998</v>
      </c>
      <c r="AK13" s="178">
        <v>0.30392131761599989</v>
      </c>
      <c r="AL13" s="206" t="s">
        <v>1124</v>
      </c>
      <c r="AM13" s="3"/>
      <c r="AN13" s="178">
        <v>-1.3927676100000002</v>
      </c>
      <c r="AO13" s="178">
        <v>0.98230228212168014</v>
      </c>
      <c r="AP13" s="206" t="s">
        <v>1124</v>
      </c>
      <c r="AQ13" s="3"/>
      <c r="AR13" s="178">
        <v>-1.3927676100000002</v>
      </c>
      <c r="AS13" s="178">
        <v>0.98230228212168014</v>
      </c>
      <c r="AT13" s="206" t="s">
        <v>1124</v>
      </c>
      <c r="AU13" s="3"/>
      <c r="AV13" s="178">
        <v>4.1383071999999981</v>
      </c>
      <c r="AW13" s="178">
        <v>0.7479203985631997</v>
      </c>
      <c r="AX13" s="206" t="s">
        <v>1124</v>
      </c>
      <c r="AY13" s="3"/>
      <c r="AZ13" s="178"/>
      <c r="BA13" s="178"/>
      <c r="BB13" s="206"/>
      <c r="BC13" s="3"/>
      <c r="BD13" s="178"/>
      <c r="BE13" s="178"/>
      <c r="BF13" s="350"/>
    </row>
    <row r="14" spans="1:58">
      <c r="A14" s="3"/>
      <c r="B14" s="4"/>
      <c r="C14" s="3"/>
      <c r="D14" s="4"/>
      <c r="E14" s="4"/>
      <c r="F14" s="4"/>
      <c r="G14" s="3"/>
      <c r="H14" s="4"/>
      <c r="I14" s="4"/>
      <c r="J14" s="4"/>
      <c r="K14" s="3"/>
      <c r="L14" s="4"/>
      <c r="M14" s="4"/>
      <c r="N14" s="4"/>
      <c r="O14" s="3"/>
      <c r="P14" s="4"/>
      <c r="Q14" s="4"/>
      <c r="R14" s="4"/>
      <c r="S14" s="3"/>
      <c r="T14" s="4"/>
      <c r="U14" s="4"/>
      <c r="V14" s="4"/>
      <c r="W14" s="3"/>
      <c r="X14" s="9"/>
      <c r="Y14" s="9"/>
      <c r="Z14" s="4"/>
      <c r="AA14" s="3"/>
      <c r="AB14" s="9"/>
      <c r="AC14" s="9"/>
      <c r="AD14" s="4"/>
      <c r="AE14" s="3"/>
      <c r="AF14" s="9"/>
      <c r="AG14" s="9"/>
      <c r="AH14" s="4"/>
      <c r="AI14" s="3"/>
      <c r="AJ14" s="9"/>
      <c r="AK14" s="9"/>
      <c r="AL14" s="4"/>
      <c r="AM14" s="3"/>
      <c r="AN14" s="9"/>
      <c r="AO14" s="9"/>
      <c r="AP14" s="4"/>
      <c r="AQ14" s="3"/>
      <c r="AR14" s="9"/>
      <c r="AS14" s="9"/>
      <c r="AT14" s="4"/>
      <c r="AU14" s="3"/>
      <c r="AV14" s="9"/>
      <c r="AW14" s="9"/>
      <c r="AX14" s="4"/>
      <c r="AY14" s="3"/>
      <c r="AZ14" s="9"/>
      <c r="BA14" s="9"/>
      <c r="BB14" s="4"/>
      <c r="BC14" s="3"/>
      <c r="BD14" s="9"/>
      <c r="BE14" s="9"/>
      <c r="BF14" s="122"/>
    </row>
    <row r="15" spans="1:58">
      <c r="A15" s="3" t="s">
        <v>264</v>
      </c>
      <c r="B15" s="4" t="s">
        <v>260</v>
      </c>
      <c r="C15" s="157">
        <v>77.051090849398904</v>
      </c>
      <c r="D15" s="30" t="s">
        <v>2855</v>
      </c>
      <c r="E15" s="30" t="s">
        <v>2855</v>
      </c>
      <c r="F15" s="30" t="s">
        <v>2743</v>
      </c>
      <c r="G15" s="157">
        <v>4.4961263956267299</v>
      </c>
      <c r="H15" s="30" t="s">
        <v>2855</v>
      </c>
      <c r="I15" s="30" t="s">
        <v>2855</v>
      </c>
      <c r="J15" s="30" t="s">
        <v>2743</v>
      </c>
      <c r="K15" s="157">
        <v>3.786068539609607</v>
      </c>
      <c r="L15" s="113">
        <v>3.786068539609607</v>
      </c>
      <c r="M15" s="30">
        <v>5.7968615539742325</v>
      </c>
      <c r="N15" s="355" t="s">
        <v>1498</v>
      </c>
      <c r="O15" s="157">
        <v>-70.874022309789297</v>
      </c>
      <c r="P15" s="30" t="s">
        <v>2855</v>
      </c>
      <c r="Q15" s="30" t="s">
        <v>2855</v>
      </c>
      <c r="R15" s="30" t="s">
        <v>2743</v>
      </c>
      <c r="S15" s="157">
        <v>70.164694617555398</v>
      </c>
      <c r="T15" s="30" t="s">
        <v>2855</v>
      </c>
      <c r="U15" s="30" t="s">
        <v>2855</v>
      </c>
      <c r="V15" s="30" t="s">
        <v>2743</v>
      </c>
      <c r="W15" s="157">
        <v>-0.70966283867056201</v>
      </c>
      <c r="X15" s="30" t="s">
        <v>2855</v>
      </c>
      <c r="Y15" s="30" t="s">
        <v>2855</v>
      </c>
      <c r="Z15" s="300" t="s">
        <v>2743</v>
      </c>
      <c r="AA15" s="157">
        <v>8.2862242334128293</v>
      </c>
      <c r="AB15" s="30" t="s">
        <v>2855</v>
      </c>
      <c r="AC15" s="30" t="s">
        <v>2855</v>
      </c>
      <c r="AD15" s="30" t="s">
        <v>2743</v>
      </c>
      <c r="AE15" s="157">
        <v>6.8124291424026797</v>
      </c>
      <c r="AF15" s="30" t="s">
        <v>2855</v>
      </c>
      <c r="AG15" s="30" t="s">
        <v>2855</v>
      </c>
      <c r="AH15" s="30" t="s">
        <v>2743</v>
      </c>
      <c r="AI15" s="157">
        <v>-1.4476662522431201</v>
      </c>
      <c r="AJ15" s="30" t="s">
        <v>2855</v>
      </c>
      <c r="AK15" s="30" t="s">
        <v>2855</v>
      </c>
      <c r="AL15" s="30" t="s">
        <v>2743</v>
      </c>
      <c r="AM15" s="157">
        <v>-1.0207343306259067</v>
      </c>
      <c r="AN15" s="30" t="s">
        <v>2855</v>
      </c>
      <c r="AO15" s="30" t="s">
        <v>2855</v>
      </c>
      <c r="AP15" s="30" t="s">
        <v>2743</v>
      </c>
      <c r="AQ15" s="157">
        <v>-2.95308617326359</v>
      </c>
      <c r="AR15" s="30" t="s">
        <v>2855</v>
      </c>
      <c r="AS15" s="30" t="s">
        <v>2855</v>
      </c>
      <c r="AT15" s="30" t="s">
        <v>2743</v>
      </c>
      <c r="AU15" s="157">
        <v>3.868267115004</v>
      </c>
      <c r="AV15" s="30" t="s">
        <v>2855</v>
      </c>
      <c r="AW15" s="30" t="s">
        <v>2855</v>
      </c>
      <c r="AX15" s="30" t="s">
        <v>2743</v>
      </c>
      <c r="AY15" s="157">
        <v>22.617124394184167</v>
      </c>
      <c r="AZ15" s="30">
        <v>22.617124394184167</v>
      </c>
      <c r="BA15" s="30">
        <v>1.7826732863184251</v>
      </c>
      <c r="BB15" s="30" t="s">
        <v>558</v>
      </c>
      <c r="BC15" s="157">
        <v>34.290000000000006</v>
      </c>
      <c r="BD15" s="30">
        <v>34.290000000000006</v>
      </c>
      <c r="BE15" s="30">
        <v>1.6364595931461381</v>
      </c>
      <c r="BF15" s="300" t="s">
        <v>558</v>
      </c>
    </row>
    <row r="16" spans="1:58">
      <c r="A16" s="3"/>
      <c r="B16" s="171">
        <v>240.387</v>
      </c>
      <c r="C16" s="157">
        <v>2.4401658671586399</v>
      </c>
      <c r="D16" s="30">
        <v>77.051090849398904</v>
      </c>
      <c r="E16" s="30">
        <v>2.4401658671586399</v>
      </c>
      <c r="F16" s="8" t="s">
        <v>2742</v>
      </c>
      <c r="G16" s="157">
        <v>3.75182379524413</v>
      </c>
      <c r="H16" s="30">
        <v>4.4961263956267299</v>
      </c>
      <c r="I16" s="30">
        <v>3.75182379524413</v>
      </c>
      <c r="J16" s="8" t="s">
        <v>2742</v>
      </c>
      <c r="K16" s="158">
        <v>5.7968615539742325</v>
      </c>
      <c r="L16" s="113">
        <v>3.7864635569561678</v>
      </c>
      <c r="M16" s="113">
        <v>4.8502366915481741</v>
      </c>
      <c r="N16" s="13" t="s">
        <v>1499</v>
      </c>
      <c r="O16" s="157">
        <v>5.2582501287689301</v>
      </c>
      <c r="P16" s="30">
        <v>-70.874022309789297</v>
      </c>
      <c r="Q16" s="30">
        <v>5.2582501287689301</v>
      </c>
      <c r="R16" s="8" t="s">
        <v>2742</v>
      </c>
      <c r="S16" s="157">
        <v>4.3046088006826499</v>
      </c>
      <c r="T16" s="30">
        <v>70.164694617555398</v>
      </c>
      <c r="U16" s="30">
        <v>4.3046088006826499</v>
      </c>
      <c r="V16" s="8" t="s">
        <v>2742</v>
      </c>
      <c r="W16" s="157">
        <v>3.0738598168231599</v>
      </c>
      <c r="X16" s="30">
        <v>-0.70966283867056201</v>
      </c>
      <c r="Y16" s="30">
        <v>3.0738598168231599</v>
      </c>
      <c r="Z16" s="498" t="s">
        <v>2742</v>
      </c>
      <c r="AA16" s="157">
        <v>0.54842622541147601</v>
      </c>
      <c r="AB16" s="30">
        <v>8.2862242334128293</v>
      </c>
      <c r="AC16" s="30">
        <v>0.54842622541147601</v>
      </c>
      <c r="AD16" s="8" t="s">
        <v>2742</v>
      </c>
      <c r="AE16" s="157">
        <v>0.54063838477767301</v>
      </c>
      <c r="AF16" s="30">
        <v>6.8124291424026797</v>
      </c>
      <c r="AG16" s="30">
        <v>0.54063838477767301</v>
      </c>
      <c r="AH16" s="8" t="s">
        <v>2742</v>
      </c>
      <c r="AI16" s="157">
        <v>0.37941188355073302</v>
      </c>
      <c r="AJ16" s="30">
        <v>-1.4476662522431201</v>
      </c>
      <c r="AK16" s="30">
        <v>0.37941188355073302</v>
      </c>
      <c r="AL16" s="8" t="s">
        <v>2742</v>
      </c>
      <c r="AM16" s="157">
        <v>0.19283848401916201</v>
      </c>
      <c r="AN16" s="30">
        <v>-1.0207343306259067</v>
      </c>
      <c r="AO16" s="30">
        <v>0.19283848401916201</v>
      </c>
      <c r="AP16" s="8" t="s">
        <v>2742</v>
      </c>
      <c r="AQ16" s="157">
        <v>0.34236194007381998</v>
      </c>
      <c r="AR16" s="30">
        <v>-2.95308617326359</v>
      </c>
      <c r="AS16" s="30">
        <v>0.34236194007381998</v>
      </c>
      <c r="AT16" s="8" t="s">
        <v>2742</v>
      </c>
      <c r="AU16" s="157">
        <v>0.527349935079378</v>
      </c>
      <c r="AV16" s="30">
        <v>3.868267115004</v>
      </c>
      <c r="AW16" s="30">
        <v>0.527349935079378</v>
      </c>
      <c r="AX16" s="8" t="s">
        <v>2742</v>
      </c>
      <c r="AY16" s="157">
        <v>1.7826732863184251</v>
      </c>
      <c r="AZ16" s="30"/>
      <c r="BA16" s="30"/>
      <c r="BB16" s="101"/>
      <c r="BC16" s="157">
        <v>1.6364595931461381</v>
      </c>
      <c r="BD16" s="30"/>
      <c r="BE16" s="30"/>
      <c r="BF16" s="277"/>
    </row>
    <row r="17" spans="1:58">
      <c r="A17" s="3"/>
      <c r="B17" s="122"/>
      <c r="C17" s="3"/>
      <c r="D17" s="206">
        <v>76.989318255250396</v>
      </c>
      <c r="E17" s="206">
        <v>2.5069905941640158</v>
      </c>
      <c r="F17" s="206" t="s">
        <v>558</v>
      </c>
      <c r="G17" s="3"/>
      <c r="H17" s="206" t="s">
        <v>2855</v>
      </c>
      <c r="I17" s="206" t="s">
        <v>2855</v>
      </c>
      <c r="J17" s="206" t="s">
        <v>558</v>
      </c>
      <c r="K17" s="353"/>
      <c r="L17" s="344">
        <v>4.0855169494241892</v>
      </c>
      <c r="M17" s="344">
        <v>5.8749751374277279</v>
      </c>
      <c r="N17" s="206" t="s">
        <v>1124</v>
      </c>
      <c r="O17" s="3"/>
      <c r="P17" s="206" t="s">
        <v>2855</v>
      </c>
      <c r="Q17" s="206" t="s">
        <v>2855</v>
      </c>
      <c r="R17" s="206" t="s">
        <v>558</v>
      </c>
      <c r="S17" s="3"/>
      <c r="T17" s="206" t="s">
        <v>2855</v>
      </c>
      <c r="U17" s="206" t="s">
        <v>2855</v>
      </c>
      <c r="V17" s="206" t="s">
        <v>558</v>
      </c>
      <c r="W17" s="3"/>
      <c r="X17" s="206" t="s">
        <v>2855</v>
      </c>
      <c r="Y17" s="206" t="s">
        <v>2855</v>
      </c>
      <c r="Z17" s="206" t="s">
        <v>558</v>
      </c>
      <c r="AA17" s="3"/>
      <c r="AB17" s="206" t="s">
        <v>2855</v>
      </c>
      <c r="AC17" s="206" t="s">
        <v>2855</v>
      </c>
      <c r="AD17" s="206" t="s">
        <v>558</v>
      </c>
      <c r="AE17" s="3"/>
      <c r="AF17" s="206">
        <v>6.2336371050277242</v>
      </c>
      <c r="AG17" s="206">
        <v>0.57878793370575732</v>
      </c>
      <c r="AH17" s="206" t="s">
        <v>558</v>
      </c>
      <c r="AI17" s="3"/>
      <c r="AJ17" s="206" t="s">
        <v>2855</v>
      </c>
      <c r="AK17" s="206" t="s">
        <v>2855</v>
      </c>
      <c r="AL17" s="206" t="s">
        <v>558</v>
      </c>
      <c r="AM17" s="3"/>
      <c r="AN17" s="206">
        <v>-1.0752173599150463</v>
      </c>
      <c r="AO17" s="206">
        <v>5.8617107041970429E-2</v>
      </c>
      <c r="AP17" s="206" t="s">
        <v>558</v>
      </c>
      <c r="AQ17" s="3"/>
      <c r="AR17" s="206">
        <v>-1.0752173599150463</v>
      </c>
      <c r="AS17" s="206">
        <v>5.8617107041970429E-2</v>
      </c>
      <c r="AT17" s="206" t="s">
        <v>558</v>
      </c>
      <c r="AU17" s="3"/>
      <c r="AV17" s="206" t="s">
        <v>2855</v>
      </c>
      <c r="AW17" s="206" t="s">
        <v>2855</v>
      </c>
      <c r="AX17" s="206" t="s">
        <v>558</v>
      </c>
      <c r="AY17" s="3"/>
      <c r="AZ17" s="52"/>
      <c r="BA17" s="52"/>
      <c r="BB17" s="52"/>
      <c r="BC17" s="3"/>
      <c r="BF17" s="42"/>
    </row>
    <row r="18" spans="1:58">
      <c r="A18" s="3"/>
      <c r="B18" s="4"/>
      <c r="C18" s="3"/>
      <c r="D18" s="176">
        <v>80.192986075280004</v>
      </c>
      <c r="E18" s="176">
        <v>20.297165547597668</v>
      </c>
      <c r="F18" s="206" t="s">
        <v>1124</v>
      </c>
      <c r="G18" s="3"/>
      <c r="H18" s="176">
        <v>4.7269968092080745</v>
      </c>
      <c r="I18" s="176">
        <v>3.986432400099873</v>
      </c>
      <c r="J18" s="206" t="s">
        <v>1124</v>
      </c>
      <c r="K18" s="353"/>
      <c r="L18" s="206"/>
      <c r="M18" s="206"/>
      <c r="N18" s="206"/>
      <c r="O18" s="3"/>
      <c r="P18" s="178">
        <v>-76.107469125855815</v>
      </c>
      <c r="Q18" s="178">
        <v>24.96226047618207</v>
      </c>
      <c r="R18" s="206" t="s">
        <v>1124</v>
      </c>
      <c r="S18" s="3"/>
      <c r="T18" s="178">
        <v>70.803798699999987</v>
      </c>
      <c r="U18" s="178">
        <v>11.923926131469598</v>
      </c>
      <c r="V18" s="206" t="s">
        <v>1124</v>
      </c>
      <c r="W18" s="3"/>
      <c r="X18" s="178">
        <v>-0.64147985978388533</v>
      </c>
      <c r="Y18" s="178">
        <v>1.2021249179968239</v>
      </c>
      <c r="Z18" s="206" t="s">
        <v>1124</v>
      </c>
      <c r="AA18" s="3"/>
      <c r="AB18" s="178">
        <v>8.6320200000000007</v>
      </c>
      <c r="AC18" s="178">
        <v>1.13353960236</v>
      </c>
      <c r="AD18" s="206" t="s">
        <v>1124</v>
      </c>
      <c r="AE18" s="3"/>
      <c r="AF18" s="178">
        <v>6.15</v>
      </c>
      <c r="AG18" s="178">
        <v>0.87251895000000002</v>
      </c>
      <c r="AH18" s="206" t="s">
        <v>1124</v>
      </c>
      <c r="AI18" s="3"/>
      <c r="AJ18" s="178">
        <v>-0.40163699999999958</v>
      </c>
      <c r="AK18" s="178">
        <v>0.17018002309199981</v>
      </c>
      <c r="AL18" s="206" t="s">
        <v>1124</v>
      </c>
      <c r="AM18" s="3"/>
      <c r="AN18" s="178">
        <v>-1.4876193299999998</v>
      </c>
      <c r="AO18" s="178">
        <v>1.0492000620170399</v>
      </c>
      <c r="AP18" s="206" t="s">
        <v>1124</v>
      </c>
      <c r="AQ18" s="3"/>
      <c r="AR18" s="178">
        <v>-1.4876193299999998</v>
      </c>
      <c r="AS18" s="178">
        <v>1.0492000620170399</v>
      </c>
      <c r="AT18" s="206" t="s">
        <v>1124</v>
      </c>
      <c r="AU18" s="3"/>
      <c r="AV18" s="178">
        <v>4.3127088999999987</v>
      </c>
      <c r="AW18" s="178">
        <v>0.77944019220589977</v>
      </c>
      <c r="AX18" s="206" t="s">
        <v>1124</v>
      </c>
      <c r="AY18" s="3"/>
      <c r="AZ18" s="178"/>
      <c r="BA18" s="178"/>
      <c r="BB18" s="206"/>
      <c r="BC18" s="3"/>
      <c r="BD18" s="178"/>
      <c r="BE18" s="178"/>
      <c r="BF18" s="350"/>
    </row>
    <row r="19" spans="1:58">
      <c r="A19" s="3"/>
      <c r="B19" s="4"/>
      <c r="C19" s="3"/>
      <c r="D19" s="9"/>
      <c r="E19" s="9"/>
      <c r="F19" s="9"/>
      <c r="G19" s="3"/>
      <c r="H19" s="4"/>
      <c r="I19" s="4"/>
      <c r="J19" s="4"/>
      <c r="K19" s="3"/>
      <c r="L19" s="4"/>
      <c r="M19" s="4"/>
      <c r="N19" s="4"/>
      <c r="O19" s="3"/>
      <c r="P19" s="4"/>
      <c r="Q19" s="4"/>
      <c r="R19" s="4"/>
      <c r="S19" s="3"/>
      <c r="T19" s="4"/>
      <c r="U19" s="4"/>
      <c r="V19" s="4"/>
      <c r="W19" s="3"/>
      <c r="X19" s="9"/>
      <c r="Y19" s="9"/>
      <c r="Z19" s="4"/>
      <c r="AA19" s="3"/>
      <c r="AB19" s="9"/>
      <c r="AC19" s="9"/>
      <c r="AD19" s="4"/>
      <c r="AE19" s="3"/>
      <c r="AF19" s="9"/>
      <c r="AG19" s="9"/>
      <c r="AH19" s="4"/>
      <c r="AI19" s="3"/>
      <c r="AJ19" s="9"/>
      <c r="AK19" s="9"/>
      <c r="AL19" s="4"/>
      <c r="AM19" s="3"/>
      <c r="AN19" s="9"/>
      <c r="AO19" s="9"/>
      <c r="AP19" s="4"/>
      <c r="AQ19" s="3"/>
      <c r="AR19" s="9"/>
      <c r="AS19" s="9"/>
      <c r="AT19" s="4"/>
      <c r="AU19" s="3"/>
      <c r="AV19" s="9"/>
      <c r="AW19" s="9"/>
      <c r="AX19" s="4"/>
      <c r="AY19" s="3"/>
      <c r="AZ19" s="9"/>
      <c r="BA19" s="9"/>
      <c r="BB19" s="4"/>
      <c r="BC19" s="3"/>
      <c r="BD19" s="9"/>
      <c r="BE19" s="9"/>
      <c r="BF19" s="122"/>
    </row>
    <row r="20" spans="1:58">
      <c r="A20" s="3" t="s">
        <v>11</v>
      </c>
      <c r="B20" s="4" t="s">
        <v>12</v>
      </c>
      <c r="C20" s="157">
        <v>94.163003250220498</v>
      </c>
      <c r="D20" s="30">
        <v>92.320608801395309</v>
      </c>
      <c r="E20" s="30">
        <v>11.8622532373504</v>
      </c>
      <c r="F20" s="30" t="s">
        <v>2743</v>
      </c>
      <c r="G20" s="157">
        <v>33.206125118334</v>
      </c>
      <c r="H20" s="30">
        <v>34.629936201529702</v>
      </c>
      <c r="I20" s="30">
        <v>11.931398208972601</v>
      </c>
      <c r="J20" s="30" t="s">
        <v>2743</v>
      </c>
      <c r="K20" s="157">
        <v>25.337256618379904</v>
      </c>
      <c r="L20" s="113">
        <v>25.337256618379904</v>
      </c>
      <c r="M20" s="30">
        <v>14.749633767740006</v>
      </c>
      <c r="N20" s="355" t="s">
        <v>1498</v>
      </c>
      <c r="O20" s="157">
        <v>-66.434746631840596</v>
      </c>
      <c r="P20" s="30">
        <v>-65.831223169406599</v>
      </c>
      <c r="Q20" s="30">
        <v>6.7679744952145802</v>
      </c>
      <c r="R20" s="30" t="s">
        <v>2743</v>
      </c>
      <c r="S20" s="157">
        <v>58.5689184362856</v>
      </c>
      <c r="T20" s="30">
        <v>55.301270250817403</v>
      </c>
      <c r="U20" s="30">
        <v>12.436819400572899</v>
      </c>
      <c r="V20" s="30" t="s">
        <v>2743</v>
      </c>
      <c r="W20" s="157">
        <v>-7.8642066756705802</v>
      </c>
      <c r="X20" s="30">
        <v>-10.5278104264293</v>
      </c>
      <c r="Y20" s="30">
        <v>11.7838875708972</v>
      </c>
      <c r="Z20" s="300" t="s">
        <v>2743</v>
      </c>
      <c r="AA20" s="157">
        <v>7.8750223749763801</v>
      </c>
      <c r="AB20" s="30">
        <v>7.8591816397309202</v>
      </c>
      <c r="AC20" s="30">
        <v>0.21056605098251999</v>
      </c>
      <c r="AD20" s="30" t="s">
        <v>2743</v>
      </c>
      <c r="AE20" s="157">
        <v>4.6551204764599001</v>
      </c>
      <c r="AF20" s="30">
        <v>4.7968981576501601</v>
      </c>
      <c r="AG20" s="30">
        <v>0.34721649509626901</v>
      </c>
      <c r="AH20" s="30" t="s">
        <v>2743</v>
      </c>
      <c r="AI20" s="157">
        <v>-3.20927055698164</v>
      </c>
      <c r="AJ20" s="30">
        <v>-3.03379247446447</v>
      </c>
      <c r="AK20" s="30">
        <v>0.35616261797077198</v>
      </c>
      <c r="AL20" s="30" t="s">
        <v>2743</v>
      </c>
      <c r="AM20" s="157">
        <v>-1.4485784657801761</v>
      </c>
      <c r="AN20" s="30">
        <v>-1.398092691677137</v>
      </c>
      <c r="AO20" s="30">
        <v>0.21051762167360599</v>
      </c>
      <c r="AP20" s="30" t="s">
        <v>2743</v>
      </c>
      <c r="AQ20" s="157">
        <v>-1.6372441692450901</v>
      </c>
      <c r="AR20" s="30">
        <v>-1.7875048895249399</v>
      </c>
      <c r="AS20" s="30">
        <v>0.3463922112915</v>
      </c>
      <c r="AT20" s="30" t="s">
        <v>2743</v>
      </c>
      <c r="AU20" s="157">
        <v>3.0245245351517802</v>
      </c>
      <c r="AV20" s="30" t="s">
        <v>2855</v>
      </c>
      <c r="AW20" s="30" t="s">
        <v>2855</v>
      </c>
      <c r="AX20" s="30" t="s">
        <v>2743</v>
      </c>
      <c r="AY20" s="157" t="s">
        <v>2855</v>
      </c>
      <c r="AZ20" s="30" t="s">
        <v>2855</v>
      </c>
      <c r="BA20" s="30" t="s">
        <v>2855</v>
      </c>
      <c r="BB20" s="30" t="s">
        <v>558</v>
      </c>
      <c r="BC20" s="157">
        <v>85.25</v>
      </c>
      <c r="BD20" s="30">
        <v>85.25</v>
      </c>
      <c r="BE20" s="30">
        <v>0.5</v>
      </c>
      <c r="BF20" s="300" t="s">
        <v>558</v>
      </c>
    </row>
    <row r="21" spans="1:58">
      <c r="A21" s="3"/>
      <c r="B21" s="171">
        <v>268.26900000000001</v>
      </c>
      <c r="C21" s="157">
        <v>12.7381895159967</v>
      </c>
      <c r="D21" s="30">
        <v>94.163003250220498</v>
      </c>
      <c r="E21" s="30">
        <v>12.7381895159967</v>
      </c>
      <c r="F21" s="8" t="s">
        <v>2742</v>
      </c>
      <c r="G21" s="157">
        <v>12.675723950149401</v>
      </c>
      <c r="H21" s="30">
        <v>33.206125118334</v>
      </c>
      <c r="I21" s="30">
        <v>12.675723950149401</v>
      </c>
      <c r="J21" s="8" t="s">
        <v>2742</v>
      </c>
      <c r="K21" s="158">
        <v>14.749633767740006</v>
      </c>
      <c r="L21" s="113">
        <v>25.34191844266342</v>
      </c>
      <c r="M21" s="113">
        <v>17.634056111058992</v>
      </c>
      <c r="N21" s="13" t="s">
        <v>1499</v>
      </c>
      <c r="O21" s="157">
        <v>7.4357396496251802</v>
      </c>
      <c r="P21" s="30">
        <v>-66.434746631840596</v>
      </c>
      <c r="Q21" s="30">
        <v>7.4357396496251802</v>
      </c>
      <c r="R21" s="8" t="s">
        <v>2742</v>
      </c>
      <c r="S21" s="157">
        <v>12.5180415622523</v>
      </c>
      <c r="T21" s="30">
        <v>58.5689184362856</v>
      </c>
      <c r="U21" s="30">
        <v>12.5180415622523</v>
      </c>
      <c r="V21" s="8" t="s">
        <v>2742</v>
      </c>
      <c r="W21" s="157">
        <v>12.2591173119269</v>
      </c>
      <c r="X21" s="30">
        <v>-7.8642066756705802</v>
      </c>
      <c r="Y21" s="30">
        <v>12.2591173119269</v>
      </c>
      <c r="Z21" s="498" t="s">
        <v>2742</v>
      </c>
      <c r="AA21" s="157">
        <v>0.39882492735078801</v>
      </c>
      <c r="AB21" s="30">
        <v>7.8750223749763801</v>
      </c>
      <c r="AC21" s="30">
        <v>0.39882492735078801</v>
      </c>
      <c r="AD21" s="8" t="s">
        <v>2742</v>
      </c>
      <c r="AE21" s="157">
        <v>0.63686637305464999</v>
      </c>
      <c r="AF21" s="30">
        <v>4.6551204764599001</v>
      </c>
      <c r="AG21" s="30">
        <v>0.63686637305464999</v>
      </c>
      <c r="AH21" s="8" t="s">
        <v>2742</v>
      </c>
      <c r="AI21" s="157">
        <v>0.64981332227049005</v>
      </c>
      <c r="AJ21" s="30">
        <v>-3.20927055698164</v>
      </c>
      <c r="AK21" s="30">
        <v>0.64981332227049005</v>
      </c>
      <c r="AL21" s="8" t="s">
        <v>2742</v>
      </c>
      <c r="AM21" s="157">
        <v>0.39876676087693003</v>
      </c>
      <c r="AN21" s="30">
        <v>-1.4485784657801761</v>
      </c>
      <c r="AO21" s="30">
        <v>0.39876676087693003</v>
      </c>
      <c r="AP21" s="8" t="s">
        <v>2742</v>
      </c>
      <c r="AQ21" s="157">
        <v>0.63388787522016099</v>
      </c>
      <c r="AR21" s="30">
        <v>-1.6372441692450901</v>
      </c>
      <c r="AS21" s="30">
        <v>0.63388787522016099</v>
      </c>
      <c r="AT21" s="8" t="s">
        <v>2742</v>
      </c>
      <c r="AU21" s="157">
        <v>0.52255679616604001</v>
      </c>
      <c r="AV21" s="30">
        <v>3.0245245351517802</v>
      </c>
      <c r="AW21" s="30">
        <v>0.52255679616604001</v>
      </c>
      <c r="AX21" s="8" t="s">
        <v>2742</v>
      </c>
      <c r="AY21" s="157" t="s">
        <v>2855</v>
      </c>
      <c r="AZ21" s="30"/>
      <c r="BA21" s="30"/>
      <c r="BB21" s="101"/>
      <c r="BC21" s="157">
        <v>0.5</v>
      </c>
      <c r="BD21" s="30"/>
      <c r="BE21" s="30"/>
      <c r="BF21" s="277"/>
    </row>
    <row r="22" spans="1:58">
      <c r="A22" s="3"/>
      <c r="B22" s="4"/>
      <c r="C22" s="3"/>
      <c r="D22" s="206">
        <v>79.5</v>
      </c>
      <c r="E22" s="206">
        <v>5.673391768285347</v>
      </c>
      <c r="F22" s="206" t="s">
        <v>558</v>
      </c>
      <c r="G22" s="3"/>
      <c r="H22" s="206">
        <v>48.037836661553541</v>
      </c>
      <c r="I22" s="206">
        <v>14.411350998466062</v>
      </c>
      <c r="J22" s="206" t="s">
        <v>558</v>
      </c>
      <c r="K22" s="353"/>
      <c r="L22" s="344">
        <v>8.6848650017520157</v>
      </c>
      <c r="M22" s="344">
        <v>12.48883962270687</v>
      </c>
      <c r="N22" s="206" t="s">
        <v>1124</v>
      </c>
      <c r="O22" s="3"/>
      <c r="P22" s="206">
        <v>-69.05</v>
      </c>
      <c r="Q22" s="206">
        <v>2.7577164466275392</v>
      </c>
      <c r="R22" s="206" t="s">
        <v>558</v>
      </c>
      <c r="S22" s="3"/>
      <c r="T22" s="206" t="s">
        <v>2855</v>
      </c>
      <c r="U22" s="206" t="s">
        <v>2855</v>
      </c>
      <c r="V22" s="206" t="s">
        <v>558</v>
      </c>
      <c r="W22" s="3"/>
      <c r="X22" s="206">
        <v>2.496337497195086</v>
      </c>
      <c r="Y22" s="206">
        <v>0.74890124915852574</v>
      </c>
      <c r="Z22" s="206" t="s">
        <v>558</v>
      </c>
      <c r="AA22" s="3"/>
      <c r="AB22" s="206">
        <v>8.0299999999999994</v>
      </c>
      <c r="AC22" s="206">
        <v>0.11313708498984708</v>
      </c>
      <c r="AD22" s="206" t="s">
        <v>558</v>
      </c>
      <c r="AE22" s="3"/>
      <c r="AF22" s="206">
        <v>4.1100870883477185</v>
      </c>
      <c r="AG22" s="206">
        <v>0.28572881932613631</v>
      </c>
      <c r="AH22" s="206" t="s">
        <v>558</v>
      </c>
      <c r="AI22" s="3"/>
      <c r="AJ22" s="206" t="s">
        <v>2855</v>
      </c>
      <c r="AK22" s="206" t="s">
        <v>2855</v>
      </c>
      <c r="AL22" s="206" t="s">
        <v>558</v>
      </c>
      <c r="AM22" s="3"/>
      <c r="AN22" s="206">
        <v>-1.2257354196510586</v>
      </c>
      <c r="AO22" s="206">
        <v>0.19195887136493303</v>
      </c>
      <c r="AP22" s="206" t="s">
        <v>558</v>
      </c>
      <c r="AQ22" s="3"/>
      <c r="AR22" s="206">
        <v>-1.2257354196510586</v>
      </c>
      <c r="AS22" s="206">
        <v>0.19195887136493303</v>
      </c>
      <c r="AT22" s="206" t="s">
        <v>558</v>
      </c>
      <c r="AU22" s="3"/>
      <c r="AV22" s="206" t="s">
        <v>2855</v>
      </c>
      <c r="AW22" s="206" t="s">
        <v>2855</v>
      </c>
      <c r="AX22" s="206" t="s">
        <v>558</v>
      </c>
      <c r="AY22" s="3"/>
      <c r="AZ22" s="52"/>
      <c r="BA22" s="52"/>
      <c r="BB22" s="52"/>
      <c r="BC22" s="3"/>
      <c r="BF22" s="42"/>
    </row>
    <row r="23" spans="1:58">
      <c r="A23" s="3"/>
      <c r="B23" s="4"/>
      <c r="C23" s="3"/>
      <c r="D23" s="176">
        <v>85.133109727039994</v>
      </c>
      <c r="E23" s="176">
        <v>21.54753060435273</v>
      </c>
      <c r="F23" s="206" t="s">
        <v>1124</v>
      </c>
      <c r="G23" s="3"/>
      <c r="H23" s="176">
        <v>14.955279199015934</v>
      </c>
      <c r="I23" s="176">
        <v>12.612280472743704</v>
      </c>
      <c r="J23" s="206" t="s">
        <v>1124</v>
      </c>
      <c r="K23" s="353"/>
      <c r="L23" s="206"/>
      <c r="M23" s="206"/>
      <c r="N23" s="206"/>
      <c r="O23" s="3"/>
      <c r="P23" s="178">
        <v>-76.448244725287978</v>
      </c>
      <c r="Q23" s="178">
        <v>25.074030442713028</v>
      </c>
      <c r="R23" s="206" t="s">
        <v>1124</v>
      </c>
      <c r="S23" s="3"/>
      <c r="T23" s="178">
        <v>76.026879699999995</v>
      </c>
      <c r="U23" s="178">
        <v>12.8035347565176</v>
      </c>
      <c r="V23" s="206" t="s">
        <v>1124</v>
      </c>
      <c r="W23" s="3"/>
      <c r="X23" s="178">
        <v>-6.2704141972639178</v>
      </c>
      <c r="Y23" s="178">
        <v>11.750674690288019</v>
      </c>
      <c r="Z23" s="206" t="s">
        <v>1124</v>
      </c>
      <c r="AA23" s="3"/>
      <c r="AB23" s="178">
        <v>7.5040699999999996</v>
      </c>
      <c r="AC23" s="178">
        <v>0.98541946425999982</v>
      </c>
      <c r="AD23" s="206" t="s">
        <v>1124</v>
      </c>
      <c r="AE23" s="3"/>
      <c r="AF23" s="178">
        <v>4.17</v>
      </c>
      <c r="AG23" s="178">
        <v>0.59161041000000003</v>
      </c>
      <c r="AH23" s="206" t="s">
        <v>1124</v>
      </c>
      <c r="AI23" s="3"/>
      <c r="AJ23" s="178">
        <v>-4.7292670000000001</v>
      </c>
      <c r="AK23" s="178">
        <v>2.0038660961720001</v>
      </c>
      <c r="AL23" s="206" t="s">
        <v>1124</v>
      </c>
      <c r="AM23" s="3"/>
      <c r="AN23" s="178">
        <v>-2.0975657400000012</v>
      </c>
      <c r="AO23" s="178">
        <v>1.4793879456331209</v>
      </c>
      <c r="AP23" s="206" t="s">
        <v>1124</v>
      </c>
      <c r="AQ23" s="3"/>
      <c r="AR23" s="178">
        <v>-2.0975657400000012</v>
      </c>
      <c r="AS23" s="178">
        <v>1.4793879456331209</v>
      </c>
      <c r="AT23" s="206" t="s">
        <v>1124</v>
      </c>
      <c r="AU23" s="3"/>
      <c r="AV23" s="178">
        <v>2.7309598999999993</v>
      </c>
      <c r="AW23" s="178">
        <v>0.49356911368689987</v>
      </c>
      <c r="AX23" s="206" t="s">
        <v>1124</v>
      </c>
      <c r="AY23" s="3"/>
      <c r="AZ23" s="178"/>
      <c r="BA23" s="178"/>
      <c r="BB23" s="206"/>
      <c r="BC23" s="3"/>
      <c r="BD23" s="178"/>
      <c r="BE23" s="178"/>
      <c r="BF23" s="350"/>
    </row>
    <row r="24" spans="1:58">
      <c r="A24" s="3"/>
      <c r="B24" s="4"/>
      <c r="C24" s="29"/>
      <c r="D24" s="30"/>
      <c r="E24" s="30"/>
      <c r="F24" s="30"/>
      <c r="G24" s="83"/>
      <c r="H24" s="70"/>
      <c r="I24" s="70"/>
      <c r="J24" s="70"/>
      <c r="K24" s="83"/>
      <c r="L24" s="70"/>
      <c r="M24" s="70"/>
      <c r="N24" s="70"/>
      <c r="O24" s="83"/>
      <c r="P24" s="70"/>
      <c r="Q24" s="70"/>
      <c r="R24" s="70"/>
      <c r="S24" s="77"/>
      <c r="T24" s="147"/>
      <c r="U24" s="147"/>
      <c r="V24" s="70"/>
      <c r="W24" s="77"/>
      <c r="X24" s="70"/>
      <c r="Y24" s="70"/>
      <c r="Z24" s="70"/>
      <c r="AA24" s="3"/>
      <c r="AB24" s="9"/>
      <c r="AC24" s="9"/>
      <c r="AD24" s="4"/>
      <c r="AE24" s="3"/>
      <c r="AF24" s="9"/>
      <c r="AG24" s="9"/>
      <c r="AH24" s="4"/>
      <c r="AI24" s="3"/>
      <c r="AJ24" s="9"/>
      <c r="AK24" s="9"/>
      <c r="AL24" s="4"/>
      <c r="AM24" s="3"/>
      <c r="AN24" s="9"/>
      <c r="AO24" s="9"/>
      <c r="AP24" s="4"/>
      <c r="AQ24" s="3"/>
      <c r="AR24" s="9"/>
      <c r="AS24" s="9"/>
      <c r="AT24" s="4"/>
      <c r="AU24" s="3"/>
      <c r="AV24" s="9"/>
      <c r="AW24" s="9"/>
      <c r="AX24" s="4"/>
      <c r="AY24" s="3"/>
      <c r="AZ24" s="9"/>
      <c r="BA24" s="9"/>
      <c r="BB24" s="4"/>
      <c r="BC24" s="3"/>
      <c r="BD24" s="9"/>
      <c r="BE24" s="9"/>
      <c r="BF24" s="122"/>
    </row>
    <row r="25" spans="1:58">
      <c r="A25" s="3" t="s">
        <v>14</v>
      </c>
      <c r="B25" s="4" t="s">
        <v>15</v>
      </c>
      <c r="C25" s="157">
        <v>73.257107669058399</v>
      </c>
      <c r="D25" s="30" t="s">
        <v>2855</v>
      </c>
      <c r="E25" s="30" t="s">
        <v>2855</v>
      </c>
      <c r="F25" s="30" t="s">
        <v>2743</v>
      </c>
      <c r="G25" s="157">
        <v>7.6861874046552003</v>
      </c>
      <c r="H25" s="30" t="s">
        <v>2855</v>
      </c>
      <c r="I25" s="30" t="s">
        <v>2855</v>
      </c>
      <c r="J25" s="30" t="s">
        <v>2743</v>
      </c>
      <c r="K25" s="157">
        <v>15.674888933249902</v>
      </c>
      <c r="L25" s="113">
        <v>15.674888933249902</v>
      </c>
      <c r="M25" s="30">
        <v>12.069906339165497</v>
      </c>
      <c r="N25" s="355" t="s">
        <v>1498</v>
      </c>
      <c r="O25" s="157">
        <v>-55.191218735808498</v>
      </c>
      <c r="P25" s="30" t="s">
        <v>2855</v>
      </c>
      <c r="Q25" s="30" t="s">
        <v>2855</v>
      </c>
      <c r="R25" s="30" t="s">
        <v>2743</v>
      </c>
      <c r="S25" s="157">
        <v>63.179617943944599</v>
      </c>
      <c r="T25" s="30" t="s">
        <v>2855</v>
      </c>
      <c r="U25" s="30" t="s">
        <v>2855</v>
      </c>
      <c r="V25" s="30" t="s">
        <v>2743</v>
      </c>
      <c r="W25" s="157">
        <v>7.9869303571894497</v>
      </c>
      <c r="X25" s="30" t="s">
        <v>2855</v>
      </c>
      <c r="Y25" s="30" t="s">
        <v>2855</v>
      </c>
      <c r="Z25" s="300" t="s">
        <v>2743</v>
      </c>
      <c r="AA25" s="157">
        <v>7.6625644912374398</v>
      </c>
      <c r="AB25" s="30">
        <v>7.4604225952818002</v>
      </c>
      <c r="AC25" s="30">
        <v>0.53301115709283398</v>
      </c>
      <c r="AD25" s="30" t="s">
        <v>2743</v>
      </c>
      <c r="AE25" s="157">
        <v>6.9540940874145303</v>
      </c>
      <c r="AF25" s="30">
        <v>6.5008181785227599</v>
      </c>
      <c r="AG25" s="30">
        <v>0.82018110509658204</v>
      </c>
      <c r="AH25" s="30" t="s">
        <v>2743</v>
      </c>
      <c r="AI25" s="157">
        <v>-0.72050507466904201</v>
      </c>
      <c r="AJ25" s="30">
        <v>-0.96333103433935796</v>
      </c>
      <c r="AK25" s="30">
        <v>0.66946377600236595</v>
      </c>
      <c r="AL25" s="30" t="s">
        <v>2743</v>
      </c>
      <c r="AM25" s="157">
        <v>-0.84718891358109705</v>
      </c>
      <c r="AN25" s="30">
        <v>-1.0400169067243372</v>
      </c>
      <c r="AO25" s="30">
        <v>0.43134104727024097</v>
      </c>
      <c r="AP25" s="30" t="s">
        <v>2743</v>
      </c>
      <c r="AQ25" s="157">
        <v>-3.51846450659409</v>
      </c>
      <c r="AR25" s="30">
        <v>-3.4670846512147602</v>
      </c>
      <c r="AS25" s="30">
        <v>0.53091006170652799</v>
      </c>
      <c r="AT25" s="30" t="s">
        <v>2743</v>
      </c>
      <c r="AU25" s="157">
        <v>3.4321656599735699</v>
      </c>
      <c r="AV25" s="30" t="s">
        <v>2855</v>
      </c>
      <c r="AW25" s="30" t="s">
        <v>2855</v>
      </c>
      <c r="AX25" s="30" t="s">
        <v>2743</v>
      </c>
      <c r="AY25" s="157">
        <v>24.902975420439848</v>
      </c>
      <c r="AZ25" s="30">
        <v>24.902975420439848</v>
      </c>
      <c r="BA25" s="30">
        <v>1.962843209337348</v>
      </c>
      <c r="BB25" s="30" t="s">
        <v>558</v>
      </c>
      <c r="BC25" s="157">
        <v>35.525000000000006</v>
      </c>
      <c r="BD25" s="30">
        <v>35.525000000000006</v>
      </c>
      <c r="BE25" s="30">
        <v>0.74246212024588287</v>
      </c>
      <c r="BF25" s="300" t="s">
        <v>558</v>
      </c>
    </row>
    <row r="26" spans="1:58">
      <c r="A26" s="4"/>
      <c r="B26" s="171">
        <v>254.41399999999999</v>
      </c>
      <c r="C26" s="157">
        <v>8.9872598744832199</v>
      </c>
      <c r="D26" s="30">
        <v>73.257107669058399</v>
      </c>
      <c r="E26" s="30">
        <v>8.9872598744832199</v>
      </c>
      <c r="F26" s="8" t="s">
        <v>2742</v>
      </c>
      <c r="G26" s="157">
        <v>11.8363427045248</v>
      </c>
      <c r="H26" s="30">
        <v>7.6861874046552003</v>
      </c>
      <c r="I26" s="30">
        <v>11.8363427045248</v>
      </c>
      <c r="J26" s="8" t="s">
        <v>2742</v>
      </c>
      <c r="K26" s="158">
        <v>12.069906339165497</v>
      </c>
      <c r="L26" s="113">
        <v>15.673117761844651</v>
      </c>
      <c r="M26" s="113">
        <v>16.527260630562218</v>
      </c>
      <c r="N26" s="13" t="s">
        <v>1499</v>
      </c>
      <c r="O26" s="157">
        <v>8.0567858966669395</v>
      </c>
      <c r="P26" s="30">
        <v>-55.191218735808498</v>
      </c>
      <c r="Q26" s="30">
        <v>8.0567858966669395</v>
      </c>
      <c r="R26" s="8" t="s">
        <v>2742</v>
      </c>
      <c r="S26" s="157">
        <v>10.7906071723654</v>
      </c>
      <c r="T26" s="30">
        <v>63.179617943944599</v>
      </c>
      <c r="U26" s="30">
        <v>10.7906071723654</v>
      </c>
      <c r="V26" s="8" t="s">
        <v>2742</v>
      </c>
      <c r="W26" s="157">
        <v>11.5347880488362</v>
      </c>
      <c r="X26" s="30">
        <v>7.9869303571894497</v>
      </c>
      <c r="Y26" s="30">
        <v>11.5347880488362</v>
      </c>
      <c r="Z26" s="498" t="s">
        <v>2742</v>
      </c>
      <c r="AA26" s="157">
        <v>0.48284093639688802</v>
      </c>
      <c r="AB26" s="30">
        <v>7.6625644912374398</v>
      </c>
      <c r="AC26" s="30">
        <v>0.48284093639688802</v>
      </c>
      <c r="AD26" s="8" t="s">
        <v>2742</v>
      </c>
      <c r="AE26" s="157">
        <v>0.68983675695806101</v>
      </c>
      <c r="AF26" s="30">
        <v>6.9540940874145303</v>
      </c>
      <c r="AG26" s="30">
        <v>0.68983675695806101</v>
      </c>
      <c r="AH26" s="8" t="s">
        <v>2742</v>
      </c>
      <c r="AI26" s="157">
        <v>0.56538167222095304</v>
      </c>
      <c r="AJ26" s="30">
        <v>-0.72050507466904201</v>
      </c>
      <c r="AK26" s="30">
        <v>0.56538167222095304</v>
      </c>
      <c r="AL26" s="8" t="s">
        <v>2742</v>
      </c>
      <c r="AM26" s="157">
        <v>0.38925297706055201</v>
      </c>
      <c r="AN26" s="30">
        <v>-0.84718891358109705</v>
      </c>
      <c r="AO26" s="30">
        <v>0.38925297706055201</v>
      </c>
      <c r="AP26" s="8" t="s">
        <v>2742</v>
      </c>
      <c r="AQ26" s="157">
        <v>0.481187085639389</v>
      </c>
      <c r="AR26" s="30">
        <v>-3.51846450659409</v>
      </c>
      <c r="AS26" s="30">
        <v>0.481187085639389</v>
      </c>
      <c r="AT26" s="8" t="s">
        <v>2742</v>
      </c>
      <c r="AU26" s="157">
        <v>0.56200137383723903</v>
      </c>
      <c r="AV26" s="30">
        <v>3.4321656599735699</v>
      </c>
      <c r="AW26" s="30">
        <v>0.56200137383723903</v>
      </c>
      <c r="AX26" s="8" t="s">
        <v>2742</v>
      </c>
      <c r="AY26" s="157">
        <v>1.962843209337348</v>
      </c>
      <c r="AZ26" s="30"/>
      <c r="BA26" s="30"/>
      <c r="BB26" s="101"/>
      <c r="BC26" s="157">
        <v>0.74246212024588287</v>
      </c>
      <c r="BD26" s="30"/>
      <c r="BE26" s="30"/>
      <c r="BF26" s="277"/>
    </row>
    <row r="27" spans="1:58">
      <c r="A27" s="4"/>
      <c r="B27" s="4"/>
      <c r="C27" s="3"/>
      <c r="D27" s="206">
        <v>73.3</v>
      </c>
      <c r="E27" s="206">
        <v>9.7616596949493708</v>
      </c>
      <c r="F27" s="206" t="s">
        <v>558</v>
      </c>
      <c r="G27" s="3"/>
      <c r="H27" s="206" t="s">
        <v>2855</v>
      </c>
      <c r="I27" s="206" t="s">
        <v>2855</v>
      </c>
      <c r="J27" s="206" t="s">
        <v>558</v>
      </c>
      <c r="K27" s="353"/>
      <c r="L27" s="344">
        <v>4.0708239589681341</v>
      </c>
      <c r="M27" s="344">
        <v>5.8538466108073814</v>
      </c>
      <c r="N27" s="206" t="s">
        <v>1124</v>
      </c>
      <c r="O27" s="3"/>
      <c r="P27" s="206">
        <v>-52.3</v>
      </c>
      <c r="Q27" s="206">
        <v>3.3136277817086577</v>
      </c>
      <c r="R27" s="206" t="s">
        <v>558</v>
      </c>
      <c r="S27" s="3"/>
      <c r="T27" s="206" t="s">
        <v>2855</v>
      </c>
      <c r="U27" s="206" t="s">
        <v>2855</v>
      </c>
      <c r="V27" s="206" t="s">
        <v>558</v>
      </c>
      <c r="W27" s="3"/>
      <c r="X27" s="206" t="s">
        <v>2855</v>
      </c>
      <c r="Y27" s="206" t="s">
        <v>2855</v>
      </c>
      <c r="Z27" s="206" t="s">
        <v>558</v>
      </c>
      <c r="AA27" s="3"/>
      <c r="AB27" s="206">
        <v>7.313836917880459</v>
      </c>
      <c r="AC27" s="206">
        <v>0.1883153424907929</v>
      </c>
      <c r="AD27" s="206" t="s">
        <v>558</v>
      </c>
      <c r="AE27" s="3"/>
      <c r="AF27" s="206">
        <v>8.3072205722457788</v>
      </c>
      <c r="AG27" s="206">
        <v>1.4647734181104859</v>
      </c>
      <c r="AH27" s="206" t="s">
        <v>558</v>
      </c>
      <c r="AI27" s="3"/>
      <c r="AJ27" s="206" t="s">
        <v>2855</v>
      </c>
      <c r="AK27" s="206" t="s">
        <v>2855</v>
      </c>
      <c r="AL27" s="206" t="s">
        <v>558</v>
      </c>
      <c r="AM27" s="3"/>
      <c r="AN27" s="206">
        <v>-1.1355420887223011</v>
      </c>
      <c r="AO27" s="206">
        <v>0.43924064333015556</v>
      </c>
      <c r="AP27" s="206" t="s">
        <v>558</v>
      </c>
      <c r="AQ27" s="3"/>
      <c r="AR27" s="206">
        <v>-1.1355420887223011</v>
      </c>
      <c r="AS27" s="206">
        <v>0.43924064333015556</v>
      </c>
      <c r="AT27" s="206" t="s">
        <v>558</v>
      </c>
      <c r="AU27" s="3"/>
      <c r="AV27" s="206" t="s">
        <v>2855</v>
      </c>
      <c r="AW27" s="206" t="s">
        <v>2855</v>
      </c>
      <c r="AX27" s="206" t="s">
        <v>558</v>
      </c>
      <c r="AY27" s="3"/>
      <c r="AZ27" s="52"/>
      <c r="BA27" s="52"/>
      <c r="BB27" s="52"/>
      <c r="BC27" s="3"/>
      <c r="BF27" s="42"/>
    </row>
    <row r="28" spans="1:58">
      <c r="A28" s="4"/>
      <c r="B28" s="4"/>
      <c r="C28" s="3"/>
      <c r="D28" s="176">
        <v>87.750757571440005</v>
      </c>
      <c r="E28" s="176">
        <v>22.210067744361751</v>
      </c>
      <c r="F28" s="206" t="s">
        <v>1124</v>
      </c>
      <c r="G28" s="3"/>
      <c r="H28" s="176">
        <v>7.8802933416640002</v>
      </c>
      <c r="I28" s="176">
        <v>6.6457114247055262</v>
      </c>
      <c r="J28" s="206" t="s">
        <v>1124</v>
      </c>
      <c r="K28" s="353"/>
      <c r="L28" s="206"/>
      <c r="M28" s="206"/>
      <c r="N28" s="206"/>
      <c r="O28" s="3"/>
      <c r="P28" s="178">
        <v>-83.679933612471871</v>
      </c>
      <c r="Q28" s="178">
        <v>27.445930385753808</v>
      </c>
      <c r="R28" s="206" t="s">
        <v>1124</v>
      </c>
      <c r="S28" s="3"/>
      <c r="T28" s="178">
        <v>74.363602399999991</v>
      </c>
      <c r="U28" s="178">
        <v>12.523425552979198</v>
      </c>
      <c r="V28" s="206" t="s">
        <v>1124</v>
      </c>
      <c r="W28" s="3"/>
      <c r="X28" s="178">
        <v>-3.8094693826958661</v>
      </c>
      <c r="Y28" s="178">
        <v>7.1388961000700784</v>
      </c>
      <c r="Z28" s="206" t="s">
        <v>1124</v>
      </c>
      <c r="AA28" s="3"/>
      <c r="AB28" s="178">
        <v>8.7630400000000002</v>
      </c>
      <c r="AC28" s="178">
        <v>1.1507448867199999</v>
      </c>
      <c r="AD28" s="206" t="s">
        <v>1124</v>
      </c>
      <c r="AE28" s="3"/>
      <c r="AF28" s="178">
        <v>6.65</v>
      </c>
      <c r="AG28" s="178">
        <v>0.94345545000000008</v>
      </c>
      <c r="AH28" s="206" t="s">
        <v>1124</v>
      </c>
      <c r="AI28" s="3"/>
      <c r="AJ28" s="178">
        <v>-0.33406399999999969</v>
      </c>
      <c r="AK28" s="178">
        <v>0.14154826182399988</v>
      </c>
      <c r="AL28" s="206" t="s">
        <v>1124</v>
      </c>
      <c r="AM28" s="3"/>
      <c r="AN28" s="178">
        <v>-2.2322335300000002</v>
      </c>
      <c r="AO28" s="178">
        <v>1.5743675219066402</v>
      </c>
      <c r="AP28" s="206" t="s">
        <v>1124</v>
      </c>
      <c r="AQ28" s="3"/>
      <c r="AR28" s="178">
        <v>-2.2322335300000002</v>
      </c>
      <c r="AS28" s="178">
        <v>1.5743675219066402</v>
      </c>
      <c r="AT28" s="206" t="s">
        <v>1124</v>
      </c>
      <c r="AU28" s="3"/>
      <c r="AV28" s="178">
        <v>4.4211807999999992</v>
      </c>
      <c r="AW28" s="178">
        <v>0.79904442716479984</v>
      </c>
      <c r="AX28" s="206" t="s">
        <v>1124</v>
      </c>
      <c r="AY28" s="3"/>
      <c r="AZ28" s="178"/>
      <c r="BA28" s="178"/>
      <c r="BB28" s="206"/>
      <c r="BC28" s="3"/>
      <c r="BD28" s="178"/>
      <c r="BE28" s="178"/>
      <c r="BF28" s="350"/>
    </row>
    <row r="29" spans="1:58">
      <c r="A29" s="4"/>
      <c r="B29" s="4"/>
      <c r="C29" s="3"/>
      <c r="D29" s="176"/>
      <c r="E29" s="176"/>
      <c r="F29" s="206"/>
      <c r="G29" s="3"/>
      <c r="H29" s="176"/>
      <c r="I29" s="176"/>
      <c r="J29" s="206"/>
      <c r="K29" s="353"/>
      <c r="L29" s="206"/>
      <c r="M29" s="206"/>
      <c r="N29" s="206"/>
      <c r="O29" s="3"/>
      <c r="P29" s="178"/>
      <c r="Q29" s="178"/>
      <c r="R29" s="206"/>
      <c r="S29" s="3"/>
      <c r="T29" s="178"/>
      <c r="U29" s="178"/>
      <c r="V29" s="206"/>
      <c r="W29" s="3"/>
      <c r="X29" s="178"/>
      <c r="Y29" s="178"/>
      <c r="Z29" s="206"/>
      <c r="AA29" s="3"/>
      <c r="AB29" s="9"/>
      <c r="AC29" s="9"/>
      <c r="AD29" s="4"/>
      <c r="AE29" s="3"/>
      <c r="AF29" s="9"/>
      <c r="AG29" s="9"/>
      <c r="AH29" s="4"/>
      <c r="AI29" s="3"/>
      <c r="AJ29" s="9"/>
      <c r="AK29" s="9"/>
      <c r="AL29" s="4"/>
      <c r="AM29" s="3"/>
      <c r="AN29" s="9"/>
      <c r="AO29" s="9"/>
      <c r="AP29" s="4"/>
      <c r="AQ29" s="3"/>
      <c r="AR29" s="9"/>
      <c r="AS29" s="9"/>
      <c r="AT29" s="4"/>
      <c r="AU29" s="3"/>
      <c r="AV29" s="9"/>
      <c r="AW29" s="9"/>
      <c r="AX29" s="4"/>
      <c r="AY29" s="3"/>
      <c r="AZ29" s="9"/>
      <c r="BA29" s="9"/>
      <c r="BB29" s="4"/>
      <c r="BC29" s="3"/>
      <c r="BD29" s="9"/>
      <c r="BE29" s="9"/>
      <c r="BF29" s="122"/>
    </row>
    <row r="30" spans="1:58">
      <c r="A30" s="4" t="s">
        <v>312</v>
      </c>
      <c r="B30" s="4" t="s">
        <v>313</v>
      </c>
      <c r="C30" s="157">
        <v>56.007294871555196</v>
      </c>
      <c r="D30" s="30" t="s">
        <v>2855</v>
      </c>
      <c r="E30" s="30" t="s">
        <v>2855</v>
      </c>
      <c r="F30" s="30" t="s">
        <v>2743</v>
      </c>
      <c r="G30" s="157">
        <v>-18.988723064732699</v>
      </c>
      <c r="H30" s="30" t="s">
        <v>2855</v>
      </c>
      <c r="I30" s="30" t="s">
        <v>2855</v>
      </c>
      <c r="J30" s="30" t="s">
        <v>2743</v>
      </c>
      <c r="K30" s="157">
        <v>-15.1183619774057</v>
      </c>
      <c r="L30" s="113">
        <v>-15.1183619774057</v>
      </c>
      <c r="M30" s="30">
        <v>11.615695938793243</v>
      </c>
      <c r="N30" s="355" t="s">
        <v>1498</v>
      </c>
      <c r="O30" s="157">
        <v>-68.734656848960896</v>
      </c>
      <c r="P30" s="30" t="s">
        <v>2855</v>
      </c>
      <c r="Q30" s="30" t="s">
        <v>2855</v>
      </c>
      <c r="R30" s="30" t="s">
        <v>2743</v>
      </c>
      <c r="S30" s="157">
        <v>72.601548096413396</v>
      </c>
      <c r="T30" s="30" t="s">
        <v>2855</v>
      </c>
      <c r="U30" s="30" t="s">
        <v>2855</v>
      </c>
      <c r="V30" s="30" t="s">
        <v>2743</v>
      </c>
      <c r="W30" s="157">
        <v>3.8644381341585499</v>
      </c>
      <c r="X30" s="30" t="s">
        <v>2855</v>
      </c>
      <c r="Y30" s="30" t="s">
        <v>2855</v>
      </c>
      <c r="Z30" s="300" t="s">
        <v>2743</v>
      </c>
      <c r="AA30" s="157">
        <v>7.6391223946349998</v>
      </c>
      <c r="AB30" s="30">
        <v>7.6359456010691202</v>
      </c>
      <c r="AC30" s="30">
        <v>0.331929852286933</v>
      </c>
      <c r="AD30" s="30" t="s">
        <v>2743</v>
      </c>
      <c r="AE30" s="157">
        <v>5.1402506387086504</v>
      </c>
      <c r="AF30" s="30">
        <v>4.9393101862456499</v>
      </c>
      <c r="AG30" s="30">
        <v>0.56159868758537601</v>
      </c>
      <c r="AH30" s="30" t="s">
        <v>2743</v>
      </c>
      <c r="AI30" s="157">
        <v>-2.4999029809298299</v>
      </c>
      <c r="AJ30" s="30">
        <v>-2.7010570522314299</v>
      </c>
      <c r="AK30" s="30">
        <v>0.46655372279458901</v>
      </c>
      <c r="AL30" s="30" t="s">
        <v>2743</v>
      </c>
      <c r="AM30" s="157">
        <v>-0.61495757133778572</v>
      </c>
      <c r="AN30" s="30">
        <v>-0.7200666175881768</v>
      </c>
      <c r="AO30" s="30">
        <v>0.33300260517173902</v>
      </c>
      <c r="AP30" s="30" t="s">
        <v>2743</v>
      </c>
      <c r="AQ30" s="157">
        <v>-1.5023027135254801</v>
      </c>
      <c r="AR30" s="30">
        <v>-1.4090832030093501</v>
      </c>
      <c r="AS30" s="30">
        <v>0.330697225410711</v>
      </c>
      <c r="AT30" s="30" t="s">
        <v>2743</v>
      </c>
      <c r="AU30" s="157">
        <v>3.6337456928099399</v>
      </c>
      <c r="AV30" s="30" t="s">
        <v>2855</v>
      </c>
      <c r="AW30" s="30" t="s">
        <v>2855</v>
      </c>
      <c r="AX30" s="30" t="s">
        <v>2743</v>
      </c>
      <c r="AY30" s="157" t="s">
        <v>2855</v>
      </c>
      <c r="AZ30" s="30" t="s">
        <v>2855</v>
      </c>
      <c r="BA30" s="30" t="s">
        <v>2855</v>
      </c>
      <c r="BB30" s="30" t="s">
        <v>558</v>
      </c>
      <c r="BC30" s="157">
        <v>78</v>
      </c>
      <c r="BD30" s="30">
        <v>78</v>
      </c>
      <c r="BE30" s="30">
        <v>0.5</v>
      </c>
      <c r="BF30" s="300" t="s">
        <v>558</v>
      </c>
    </row>
    <row r="31" spans="1:58">
      <c r="A31" s="4"/>
      <c r="B31" s="171">
        <v>244.37799999999999</v>
      </c>
      <c r="C31" s="157">
        <v>9.6724602900215206</v>
      </c>
      <c r="D31" s="30">
        <v>56.007294871555196</v>
      </c>
      <c r="E31" s="30">
        <v>9.6724602900215206</v>
      </c>
      <c r="F31" s="8" t="s">
        <v>2742</v>
      </c>
      <c r="G31" s="157">
        <v>6.8671673848398296</v>
      </c>
      <c r="H31" s="30">
        <v>-18.988723064732699</v>
      </c>
      <c r="I31" s="30">
        <v>6.8671673848398296</v>
      </c>
      <c r="J31" s="8" t="s">
        <v>2742</v>
      </c>
      <c r="K31" s="158">
        <v>11.615695938793243</v>
      </c>
      <c r="L31" s="113">
        <v>-15.124284930574149</v>
      </c>
      <c r="M31" s="113">
        <v>9.3945146597363891</v>
      </c>
      <c r="N31" s="13" t="s">
        <v>1499</v>
      </c>
      <c r="O31" s="157">
        <v>6.4317885599928299</v>
      </c>
      <c r="P31" s="30">
        <v>-68.734656848960896</v>
      </c>
      <c r="Q31" s="30">
        <v>6.4317885599928299</v>
      </c>
      <c r="R31" s="8" t="s">
        <v>2742</v>
      </c>
      <c r="S31" s="157">
        <v>7.8166871534656002</v>
      </c>
      <c r="T31" s="30">
        <v>72.601548096413396</v>
      </c>
      <c r="U31" s="30">
        <v>7.8166871534656002</v>
      </c>
      <c r="V31" s="8" t="s">
        <v>2742</v>
      </c>
      <c r="W31" s="157">
        <v>6.4108437666655096</v>
      </c>
      <c r="X31" s="30">
        <v>3.8644381341585499</v>
      </c>
      <c r="Y31" s="30">
        <v>6.4108437666655096</v>
      </c>
      <c r="Z31" s="498" t="s">
        <v>2742</v>
      </c>
      <c r="AA31" s="157">
        <v>0.329339400787724</v>
      </c>
      <c r="AB31" s="30">
        <v>7.6391223946349998</v>
      </c>
      <c r="AC31" s="30">
        <v>0.329339400787724</v>
      </c>
      <c r="AD31" s="8" t="s">
        <v>2742</v>
      </c>
      <c r="AE31" s="157">
        <v>0.49833080178880002</v>
      </c>
      <c r="AF31" s="30">
        <v>5.1402506387086504</v>
      </c>
      <c r="AG31" s="30">
        <v>0.49833080178880002</v>
      </c>
      <c r="AH31" s="8" t="s">
        <v>2742</v>
      </c>
      <c r="AI31" s="157">
        <v>0.42408485142894597</v>
      </c>
      <c r="AJ31" s="30">
        <v>-2.4999029809298299</v>
      </c>
      <c r="AK31" s="30">
        <v>0.42408485142894597</v>
      </c>
      <c r="AL31" s="8" t="s">
        <v>2742</v>
      </c>
      <c r="AM31" s="157">
        <v>0.312258378211899</v>
      </c>
      <c r="AN31" s="30">
        <v>-0.61495757133778572</v>
      </c>
      <c r="AO31" s="30">
        <v>0.312258378211899</v>
      </c>
      <c r="AP31" s="8" t="s">
        <v>2742</v>
      </c>
      <c r="AQ31" s="157">
        <v>0.33706156554697198</v>
      </c>
      <c r="AR31" s="30">
        <v>-1.5023027135254801</v>
      </c>
      <c r="AS31" s="30">
        <v>0.33706156554697198</v>
      </c>
      <c r="AT31" s="8" t="s">
        <v>2742</v>
      </c>
      <c r="AU31" s="157">
        <v>0.40749559607068297</v>
      </c>
      <c r="AV31" s="30">
        <v>3.6337456928099399</v>
      </c>
      <c r="AW31" s="30">
        <v>0.40749559607068297</v>
      </c>
      <c r="AX31" s="8" t="s">
        <v>2742</v>
      </c>
      <c r="AY31" s="157" t="s">
        <v>2855</v>
      </c>
      <c r="AZ31" s="30"/>
      <c r="BA31" s="30"/>
      <c r="BB31" s="101"/>
      <c r="BC31" s="157">
        <v>0.5</v>
      </c>
      <c r="BD31" s="30"/>
      <c r="BE31" s="30"/>
      <c r="BF31" s="277"/>
    </row>
    <row r="32" spans="1:58">
      <c r="A32" s="4"/>
      <c r="B32" s="4"/>
      <c r="C32" s="3"/>
      <c r="D32" s="206" t="s">
        <v>2855</v>
      </c>
      <c r="E32" s="206" t="s">
        <v>2855</v>
      </c>
      <c r="F32" s="206" t="s">
        <v>558</v>
      </c>
      <c r="G32" s="3"/>
      <c r="H32" s="206">
        <v>-21.899453175314246</v>
      </c>
      <c r="I32" s="206">
        <v>6.569835952594274</v>
      </c>
      <c r="J32" s="206" t="s">
        <v>558</v>
      </c>
      <c r="K32" s="353"/>
      <c r="L32" s="344">
        <v>3.4171332880880527</v>
      </c>
      <c r="M32" s="344">
        <v>4.913839143813469</v>
      </c>
      <c r="N32" s="206" t="s">
        <v>1124</v>
      </c>
      <c r="O32" s="3"/>
      <c r="P32" s="206">
        <v>-64.900000000000006</v>
      </c>
      <c r="Q32" s="206">
        <v>4.11193963734019</v>
      </c>
      <c r="R32" s="206" t="s">
        <v>558</v>
      </c>
      <c r="S32" s="3"/>
      <c r="T32" s="206" t="s">
        <v>2855</v>
      </c>
      <c r="U32" s="206" t="s">
        <v>2855</v>
      </c>
      <c r="V32" s="206" t="s">
        <v>558</v>
      </c>
      <c r="W32" s="3"/>
      <c r="X32" s="206">
        <v>5.8579698937246648E-2</v>
      </c>
      <c r="Y32" s="344">
        <v>1.7573909681173994E-2</v>
      </c>
      <c r="Z32" s="206" t="s">
        <v>558</v>
      </c>
      <c r="AA32" s="3"/>
      <c r="AB32" s="206">
        <v>7.58</v>
      </c>
      <c r="AC32" s="206">
        <v>0.19516846111109046</v>
      </c>
      <c r="AD32" s="206" t="s">
        <v>558</v>
      </c>
      <c r="AE32" s="3"/>
      <c r="AF32" s="206">
        <v>6.1150000000000011</v>
      </c>
      <c r="AG32" s="206">
        <v>1.1400000000000001</v>
      </c>
      <c r="AH32" s="206" t="s">
        <v>558</v>
      </c>
      <c r="AI32" s="3"/>
      <c r="AJ32" s="206" t="s">
        <v>2855</v>
      </c>
      <c r="AK32" s="206" t="s">
        <v>2855</v>
      </c>
      <c r="AL32" s="206" t="s">
        <v>558</v>
      </c>
      <c r="AM32" s="3"/>
      <c r="AN32" s="206">
        <v>-0.77638710177176951</v>
      </c>
      <c r="AO32" s="206">
        <v>0.12318497505347768</v>
      </c>
      <c r="AP32" s="206" t="s">
        <v>558</v>
      </c>
      <c r="AQ32" s="3"/>
      <c r="AR32" s="206">
        <v>-0.77638710177176951</v>
      </c>
      <c r="AS32" s="206">
        <v>0.12318497505347768</v>
      </c>
      <c r="AT32" s="206" t="s">
        <v>558</v>
      </c>
      <c r="AU32" s="3"/>
      <c r="AV32" s="206" t="s">
        <v>2855</v>
      </c>
      <c r="AW32" s="206" t="s">
        <v>2855</v>
      </c>
      <c r="AX32" s="206" t="s">
        <v>558</v>
      </c>
      <c r="AY32" s="3"/>
      <c r="AZ32" s="52"/>
      <c r="BA32" s="52"/>
      <c r="BB32" s="52"/>
      <c r="BC32" s="3"/>
      <c r="BF32" s="42"/>
    </row>
    <row r="33" spans="1:58">
      <c r="A33" s="4"/>
      <c r="B33" s="4"/>
      <c r="C33" s="3"/>
      <c r="D33" s="176">
        <v>78.515084253840001</v>
      </c>
      <c r="E33" s="176">
        <v>19.87248188498392</v>
      </c>
      <c r="F33" s="206" t="s">
        <v>1124</v>
      </c>
      <c r="G33" s="3"/>
      <c r="H33" s="176">
        <v>-5.2323277010158904</v>
      </c>
      <c r="I33" s="176">
        <v>4.4125946170808339</v>
      </c>
      <c r="J33" s="206" t="s">
        <v>1124</v>
      </c>
      <c r="K33" s="353"/>
      <c r="L33" s="206"/>
      <c r="M33" s="206"/>
      <c r="N33" s="206"/>
      <c r="O33" s="3"/>
      <c r="P33" s="178">
        <v>-75.097950965751949</v>
      </c>
      <c r="Q33" s="178">
        <v>24.631151643404081</v>
      </c>
      <c r="R33" s="206" t="s">
        <v>1124</v>
      </c>
      <c r="S33" s="3"/>
      <c r="T33" s="178">
        <v>76.371950200000001</v>
      </c>
      <c r="U33" s="178">
        <v>12.8616473892816</v>
      </c>
      <c r="V33" s="206" t="s">
        <v>1124</v>
      </c>
      <c r="W33" s="3"/>
      <c r="X33" s="178">
        <v>8.6494609891039431</v>
      </c>
      <c r="Y33" s="178">
        <v>16.20897745058793</v>
      </c>
      <c r="Z33" s="206" t="s">
        <v>1124</v>
      </c>
      <c r="AA33" s="3"/>
      <c r="AB33" s="178">
        <v>8.3421900000000004</v>
      </c>
      <c r="AC33" s="178">
        <v>1.0954797064199999</v>
      </c>
      <c r="AD33" s="206" t="s">
        <v>1124</v>
      </c>
      <c r="AE33" s="3"/>
      <c r="AF33" s="178">
        <v>5.93</v>
      </c>
      <c r="AG33" s="178">
        <v>0.84130688999999992</v>
      </c>
      <c r="AH33" s="206" t="s">
        <v>1124</v>
      </c>
      <c r="AI33" s="3"/>
      <c r="AJ33" s="178">
        <v>-1.9819019999999989</v>
      </c>
      <c r="AK33" s="178">
        <v>0.83976358783199956</v>
      </c>
      <c r="AL33" s="206" t="s">
        <v>1124</v>
      </c>
      <c r="AM33" s="3"/>
      <c r="AN33" s="178">
        <v>-1.2344237000000002</v>
      </c>
      <c r="AO33" s="178">
        <v>0.87062422252560023</v>
      </c>
      <c r="AP33" s="206" t="s">
        <v>1124</v>
      </c>
      <c r="AQ33" s="3"/>
      <c r="AR33" s="178">
        <v>-1.2344237000000002</v>
      </c>
      <c r="AS33" s="178">
        <v>0.87062422252560023</v>
      </c>
      <c r="AT33" s="206" t="s">
        <v>1124</v>
      </c>
      <c r="AU33" s="3"/>
      <c r="AV33" s="178">
        <v>3.6582493999999981</v>
      </c>
      <c r="AW33" s="178">
        <v>0.6611590723113997</v>
      </c>
      <c r="AX33" s="206" t="s">
        <v>1124</v>
      </c>
      <c r="AY33" s="3"/>
      <c r="AZ33" s="178"/>
      <c r="BA33" s="178"/>
      <c r="BB33" s="206"/>
      <c r="BC33" s="3"/>
      <c r="BD33" s="178"/>
      <c r="BE33" s="178"/>
      <c r="BF33" s="350"/>
    </row>
    <row r="34" spans="1:58">
      <c r="A34" s="4"/>
      <c r="B34" s="4"/>
      <c r="C34" s="29"/>
      <c r="D34" s="30"/>
      <c r="E34" s="30"/>
      <c r="F34" s="30"/>
      <c r="G34" s="83"/>
      <c r="H34" s="70"/>
      <c r="I34" s="70"/>
      <c r="J34" s="70"/>
      <c r="K34" s="83"/>
      <c r="L34" s="70"/>
      <c r="M34" s="70"/>
      <c r="N34" s="70"/>
      <c r="O34" s="83"/>
      <c r="P34" s="70"/>
      <c r="Q34" s="70"/>
      <c r="R34" s="70"/>
      <c r="S34" s="77"/>
      <c r="T34" s="147"/>
      <c r="U34" s="147"/>
      <c r="V34" s="70"/>
      <c r="W34" s="77"/>
      <c r="X34" s="70"/>
      <c r="Y34" s="70"/>
      <c r="Z34" s="70"/>
      <c r="AA34" s="3"/>
      <c r="AB34" s="9"/>
      <c r="AC34" s="9"/>
      <c r="AD34" s="4"/>
      <c r="AE34" s="3"/>
      <c r="AF34" s="9"/>
      <c r="AG34" s="9"/>
      <c r="AH34" s="4"/>
      <c r="AI34" s="3"/>
      <c r="AJ34" s="9"/>
      <c r="AK34" s="9"/>
      <c r="AL34" s="4"/>
      <c r="AM34" s="3"/>
      <c r="AN34" s="9"/>
      <c r="AO34" s="9"/>
      <c r="AP34" s="4"/>
      <c r="AQ34" s="3"/>
      <c r="AR34" s="9"/>
      <c r="AS34" s="9"/>
      <c r="AT34" s="4"/>
      <c r="AU34" s="3"/>
      <c r="AV34" s="9"/>
      <c r="AW34" s="9"/>
      <c r="AX34" s="4"/>
      <c r="AY34" s="3"/>
      <c r="AZ34" s="9"/>
      <c r="BA34" s="9"/>
      <c r="BB34" s="4"/>
      <c r="BC34" s="3"/>
      <c r="BD34" s="9"/>
      <c r="BE34" s="9"/>
      <c r="BF34" s="122"/>
    </row>
    <row r="35" spans="1:58">
      <c r="A35" s="482" t="s">
        <v>17</v>
      </c>
      <c r="B35" s="11" t="s">
        <v>18</v>
      </c>
      <c r="C35" s="157">
        <v>78.014699132377004</v>
      </c>
      <c r="D35" s="30" t="s">
        <v>2855</v>
      </c>
      <c r="E35" s="30" t="s">
        <v>2855</v>
      </c>
      <c r="F35" s="30" t="s">
        <v>2743</v>
      </c>
      <c r="G35" s="157">
        <v>-1.8997252646368299</v>
      </c>
      <c r="H35" s="30" t="s">
        <v>2855</v>
      </c>
      <c r="I35" s="30" t="s">
        <v>2855</v>
      </c>
      <c r="J35" s="30" t="s">
        <v>2743</v>
      </c>
      <c r="K35" s="157">
        <v>10.199514221738005</v>
      </c>
      <c r="L35" s="113">
        <v>10.199514221738005</v>
      </c>
      <c r="M35" s="30">
        <v>6.4211983343881274</v>
      </c>
      <c r="N35" s="355" t="s">
        <v>1498</v>
      </c>
      <c r="O35" s="157">
        <v>-65.424184910638999</v>
      </c>
      <c r="P35" s="30" t="s">
        <v>2855</v>
      </c>
      <c r="Q35" s="30" t="s">
        <v>2855</v>
      </c>
      <c r="R35" s="30" t="s">
        <v>2743</v>
      </c>
      <c r="S35" s="157">
        <v>77.524707598247304</v>
      </c>
      <c r="T35" s="30" t="s">
        <v>2855</v>
      </c>
      <c r="U35" s="30" t="s">
        <v>2855</v>
      </c>
      <c r="V35" s="30" t="s">
        <v>2743</v>
      </c>
      <c r="W35" s="157">
        <v>12.0997150104893</v>
      </c>
      <c r="X35" s="30" t="s">
        <v>2855</v>
      </c>
      <c r="Y35" s="30" t="s">
        <v>2855</v>
      </c>
      <c r="Z35" s="300" t="s">
        <v>2743</v>
      </c>
      <c r="AA35" s="157">
        <v>7.8592858811007797</v>
      </c>
      <c r="AB35" s="30">
        <v>7.8219762756012701</v>
      </c>
      <c r="AC35" s="30">
        <v>0.195078646632699</v>
      </c>
      <c r="AD35" s="30" t="s">
        <v>2743</v>
      </c>
      <c r="AE35" s="157">
        <v>3.7906422960517898</v>
      </c>
      <c r="AF35" s="30">
        <v>3.6136121833733599</v>
      </c>
      <c r="AG35" s="30">
        <v>0.33730287586956398</v>
      </c>
      <c r="AH35" s="30" t="s">
        <v>2743</v>
      </c>
      <c r="AI35" s="157">
        <v>-4.05905002835107</v>
      </c>
      <c r="AJ35" s="30">
        <v>-4.2081022743794501</v>
      </c>
      <c r="AK35" s="30">
        <v>0.28662478074011399</v>
      </c>
      <c r="AL35" s="30" t="s">
        <v>2743</v>
      </c>
      <c r="AM35" s="157">
        <v>-1.2695848970149464</v>
      </c>
      <c r="AN35" s="30">
        <v>-1.3524932162584364</v>
      </c>
      <c r="AO35" s="30">
        <v>0.270761557906887</v>
      </c>
      <c r="AP35" s="30" t="s">
        <v>2743</v>
      </c>
      <c r="AQ35" s="157">
        <v>-0.59788787366643004</v>
      </c>
      <c r="AR35" s="30">
        <v>-0.53886890114619201</v>
      </c>
      <c r="AS35" s="30">
        <v>6.6066196294302507E-2</v>
      </c>
      <c r="AT35" s="30" t="s">
        <v>2743</v>
      </c>
      <c r="AU35" s="157">
        <v>3.1967715037166502</v>
      </c>
      <c r="AV35" s="30" t="s">
        <v>2855</v>
      </c>
      <c r="AW35" s="30" t="s">
        <v>2855</v>
      </c>
      <c r="AX35" s="30" t="s">
        <v>2743</v>
      </c>
      <c r="AY35" s="157" t="s">
        <v>2855</v>
      </c>
      <c r="AZ35" s="30" t="s">
        <v>2855</v>
      </c>
      <c r="BA35" s="30" t="s">
        <v>2855</v>
      </c>
      <c r="BB35" s="30" t="s">
        <v>558</v>
      </c>
      <c r="BC35" s="157">
        <v>17.36</v>
      </c>
      <c r="BD35" s="30">
        <v>17.36</v>
      </c>
      <c r="BE35" s="30">
        <v>0.90509667991878162</v>
      </c>
      <c r="BF35" s="300" t="s">
        <v>558</v>
      </c>
    </row>
    <row r="36" spans="1:58">
      <c r="A36" s="482"/>
      <c r="B36" s="171">
        <v>256.34199999999998</v>
      </c>
      <c r="C36" s="157">
        <v>5.0138123310893699</v>
      </c>
      <c r="D36" s="30">
        <v>78.014699132377004</v>
      </c>
      <c r="E36" s="30">
        <v>5.0138123310893699</v>
      </c>
      <c r="F36" s="8" t="s">
        <v>2742</v>
      </c>
      <c r="G36" s="157">
        <v>5.82628213499033</v>
      </c>
      <c r="H36" s="30">
        <v>-1.8997252646368299</v>
      </c>
      <c r="I36" s="30">
        <v>5.82628213499033</v>
      </c>
      <c r="J36" s="8" t="s">
        <v>2742</v>
      </c>
      <c r="K36" s="158">
        <v>6.4211983343881274</v>
      </c>
      <c r="L36" s="113">
        <v>10.19998974585247</v>
      </c>
      <c r="M36" s="113">
        <v>9.4671556993456587</v>
      </c>
      <c r="N36" s="13" t="s">
        <v>1499</v>
      </c>
      <c r="O36" s="157">
        <v>4.0116672292408602</v>
      </c>
      <c r="P36" s="30">
        <v>-65.424184910638999</v>
      </c>
      <c r="Q36" s="30">
        <v>4.0116672292408602</v>
      </c>
      <c r="R36" s="8" t="s">
        <v>2742</v>
      </c>
      <c r="S36" s="157">
        <v>6.72114995141159</v>
      </c>
      <c r="T36" s="30">
        <v>77.524707598247304</v>
      </c>
      <c r="U36" s="30">
        <v>6.72114995141159</v>
      </c>
      <c r="V36" s="8" t="s">
        <v>2742</v>
      </c>
      <c r="W36" s="157">
        <v>7.4620019779644604</v>
      </c>
      <c r="X36" s="30">
        <v>12.0997150104893</v>
      </c>
      <c r="Y36" s="30">
        <v>7.4620019779644604</v>
      </c>
      <c r="Z36" s="498" t="s">
        <v>2742</v>
      </c>
      <c r="AA36" s="157">
        <v>0.35529528413871903</v>
      </c>
      <c r="AB36" s="30">
        <v>7.8592858811007797</v>
      </c>
      <c r="AC36" s="30">
        <v>0.35529528413871903</v>
      </c>
      <c r="AD36" s="8" t="s">
        <v>2742</v>
      </c>
      <c r="AE36" s="157">
        <v>0.46273134458649801</v>
      </c>
      <c r="AF36" s="30">
        <v>3.7906422960517898</v>
      </c>
      <c r="AG36" s="30">
        <v>0.46273134458649801</v>
      </c>
      <c r="AH36" s="8" t="s">
        <v>2742</v>
      </c>
      <c r="AI36" s="157">
        <v>0.424659887149198</v>
      </c>
      <c r="AJ36" s="30">
        <v>-4.05905002835107</v>
      </c>
      <c r="AK36" s="30">
        <v>0.424659887149198</v>
      </c>
      <c r="AL36" s="8" t="s">
        <v>2742</v>
      </c>
      <c r="AM36" s="157">
        <v>0.26462772023487602</v>
      </c>
      <c r="AN36" s="30">
        <v>-1.2695848970149464</v>
      </c>
      <c r="AO36" s="30">
        <v>0.26462772023487602</v>
      </c>
      <c r="AP36" s="8" t="s">
        <v>2742</v>
      </c>
      <c r="AQ36" s="157">
        <v>0.36482384260306799</v>
      </c>
      <c r="AR36" s="30">
        <v>-0.59788787366643004</v>
      </c>
      <c r="AS36" s="30">
        <v>0.36482384260306799</v>
      </c>
      <c r="AT36" s="8" t="s">
        <v>2742</v>
      </c>
      <c r="AU36" s="157">
        <v>0.39352399115963799</v>
      </c>
      <c r="AV36" s="30">
        <v>3.1967715037166502</v>
      </c>
      <c r="AW36" s="30">
        <v>0.39352399115963799</v>
      </c>
      <c r="AX36" s="8" t="s">
        <v>2742</v>
      </c>
      <c r="AY36" s="157" t="s">
        <v>2855</v>
      </c>
      <c r="AZ36" s="30"/>
      <c r="BA36" s="30"/>
      <c r="BB36" s="101"/>
      <c r="BC36" s="157">
        <v>0.90509667991878162</v>
      </c>
      <c r="BD36" s="30"/>
      <c r="BE36" s="30"/>
      <c r="BF36" s="277"/>
    </row>
    <row r="37" spans="1:58">
      <c r="A37" s="3"/>
      <c r="B37" s="4" t="s">
        <v>20</v>
      </c>
      <c r="C37" s="3"/>
      <c r="D37" s="206">
        <v>77.5</v>
      </c>
      <c r="E37" s="206">
        <v>5.530664931347351</v>
      </c>
      <c r="F37" s="206" t="s">
        <v>558</v>
      </c>
      <c r="G37" s="3"/>
      <c r="H37" s="206" t="s">
        <v>2855</v>
      </c>
      <c r="I37" s="206" t="s">
        <v>2855</v>
      </c>
      <c r="J37" s="206" t="s">
        <v>558</v>
      </c>
      <c r="K37" s="353"/>
      <c r="L37" s="344">
        <v>7.516380887048058</v>
      </c>
      <c r="M37" s="344">
        <v>10.808558961202694</v>
      </c>
      <c r="N37" s="206" t="s">
        <v>1124</v>
      </c>
      <c r="O37" s="3"/>
      <c r="P37" s="206">
        <v>-65.2</v>
      </c>
      <c r="Q37" s="206">
        <v>4.1309470624742737</v>
      </c>
      <c r="R37" s="206" t="s">
        <v>558</v>
      </c>
      <c r="S37" s="3"/>
      <c r="T37" s="206" t="s">
        <v>2855</v>
      </c>
      <c r="U37" s="206" t="s">
        <v>2855</v>
      </c>
      <c r="V37" s="206" t="s">
        <v>558</v>
      </c>
      <c r="W37" s="3"/>
      <c r="X37" s="206" t="s">
        <v>2855</v>
      </c>
      <c r="Y37" s="206" t="s">
        <v>2855</v>
      </c>
      <c r="Z37" s="206" t="s">
        <v>558</v>
      </c>
      <c r="AA37" s="3"/>
      <c r="AB37" s="206">
        <v>7.8241175322339735</v>
      </c>
      <c r="AC37" s="206">
        <v>0.20145395492327275</v>
      </c>
      <c r="AD37" s="206" t="s">
        <v>558</v>
      </c>
      <c r="AE37" s="3"/>
      <c r="AF37" s="206">
        <v>3.5691571944287661</v>
      </c>
      <c r="AG37" s="206">
        <v>0.73723143888575327</v>
      </c>
      <c r="AH37" s="206" t="s">
        <v>558</v>
      </c>
      <c r="AI37" s="3"/>
      <c r="AJ37" s="206" t="s">
        <v>2855</v>
      </c>
      <c r="AK37" s="206" t="s">
        <v>2855</v>
      </c>
      <c r="AL37" s="206" t="s">
        <v>558</v>
      </c>
      <c r="AM37" s="3"/>
      <c r="AN37" s="206">
        <v>-1.345</v>
      </c>
      <c r="AO37" s="206">
        <v>0.28991378028648518</v>
      </c>
      <c r="AP37" s="206" t="s">
        <v>558</v>
      </c>
      <c r="AQ37" s="3"/>
      <c r="AR37" s="206">
        <v>-1.345</v>
      </c>
      <c r="AS37" s="206">
        <v>0.28991378028648518</v>
      </c>
      <c r="AT37" s="206" t="s">
        <v>558</v>
      </c>
      <c r="AU37" s="3"/>
      <c r="AV37" s="206" t="s">
        <v>2855</v>
      </c>
      <c r="AW37" s="206" t="s">
        <v>2855</v>
      </c>
      <c r="AX37" s="206" t="s">
        <v>558</v>
      </c>
      <c r="AY37" s="3"/>
      <c r="AZ37" s="52"/>
      <c r="BA37" s="52"/>
      <c r="BB37" s="52"/>
      <c r="BC37" s="3"/>
      <c r="BF37" s="42"/>
    </row>
    <row r="38" spans="1:58">
      <c r="A38" s="3"/>
      <c r="B38" s="4"/>
      <c r="C38" s="3"/>
      <c r="D38" s="176">
        <v>88.80840009536</v>
      </c>
      <c r="E38" s="176">
        <v>22.477761297735999</v>
      </c>
      <c r="F38" s="206" t="s">
        <v>1124</v>
      </c>
      <c r="G38" s="3"/>
      <c r="H38" s="176">
        <v>-1.1161344418160724</v>
      </c>
      <c r="I38" s="176">
        <v>0.94127300722007379</v>
      </c>
      <c r="J38" s="206" t="s">
        <v>1124</v>
      </c>
      <c r="K38" s="353"/>
      <c r="L38" s="206"/>
      <c r="M38" s="206"/>
      <c r="N38" s="206"/>
      <c r="O38" s="3"/>
      <c r="P38" s="178">
        <v>-81.292019208311942</v>
      </c>
      <c r="Q38" s="178">
        <v>26.662725504076608</v>
      </c>
      <c r="R38" s="206" t="s">
        <v>1124</v>
      </c>
      <c r="S38" s="3"/>
      <c r="T38" s="178">
        <v>83.877201200000002</v>
      </c>
      <c r="U38" s="178">
        <v>14.1255916996896</v>
      </c>
      <c r="V38" s="206" t="s">
        <v>1124</v>
      </c>
      <c r="W38" s="3"/>
      <c r="X38" s="178">
        <v>8.6325153288641303</v>
      </c>
      <c r="Y38" s="178">
        <v>16.177221503592104</v>
      </c>
      <c r="Z38" s="206" t="s">
        <v>1124</v>
      </c>
      <c r="AA38" s="3"/>
      <c r="AB38" s="178">
        <v>9.4517199999999999</v>
      </c>
      <c r="AC38" s="178">
        <v>1.2411809669599998</v>
      </c>
      <c r="AD38" s="206" t="s">
        <v>1124</v>
      </c>
      <c r="AE38" s="3"/>
      <c r="AF38" s="178">
        <v>4.22</v>
      </c>
      <c r="AG38" s="178">
        <v>0.59870405999999998</v>
      </c>
      <c r="AH38" s="206" t="s">
        <v>1124</v>
      </c>
      <c r="AI38" s="3"/>
      <c r="AJ38" s="178">
        <v>-2.9360420000000005</v>
      </c>
      <c r="AK38" s="178">
        <v>1.2440479720720001</v>
      </c>
      <c r="AL38" s="206" t="s">
        <v>1124</v>
      </c>
      <c r="AM38" s="3"/>
      <c r="AN38" s="178">
        <v>-2.3348556</v>
      </c>
      <c r="AO38" s="178">
        <v>1.6467456364128001</v>
      </c>
      <c r="AP38" s="206" t="s">
        <v>1124</v>
      </c>
      <c r="AQ38" s="3"/>
      <c r="AR38" s="178">
        <v>-2.3348556</v>
      </c>
      <c r="AS38" s="178">
        <v>1.6467456364128001</v>
      </c>
      <c r="AT38" s="206" t="s">
        <v>1124</v>
      </c>
      <c r="AU38" s="3"/>
      <c r="AV38" s="178">
        <v>3.6189873999999982</v>
      </c>
      <c r="AW38" s="178">
        <v>0.65406321178939963</v>
      </c>
      <c r="AX38" s="206" t="s">
        <v>1124</v>
      </c>
      <c r="AY38" s="3"/>
      <c r="AZ38" s="178"/>
      <c r="BA38" s="178"/>
      <c r="BB38" s="206"/>
      <c r="BC38" s="3"/>
      <c r="BD38" s="178"/>
      <c r="BE38" s="178"/>
      <c r="BF38" s="350"/>
    </row>
    <row r="39" spans="1:58">
      <c r="A39" s="3"/>
      <c r="B39" s="4"/>
      <c r="C39" s="3"/>
      <c r="D39" s="4"/>
      <c r="E39" s="4"/>
      <c r="F39" s="4"/>
      <c r="G39" s="3"/>
      <c r="H39" s="4"/>
      <c r="I39" s="4"/>
      <c r="J39" s="4"/>
      <c r="K39" s="3"/>
      <c r="L39" s="4"/>
      <c r="M39" s="4"/>
      <c r="N39" s="4"/>
      <c r="O39" s="3"/>
      <c r="P39" s="4"/>
      <c r="Q39" s="4"/>
      <c r="R39" s="4"/>
      <c r="S39" s="3"/>
      <c r="T39" s="4"/>
      <c r="U39" s="4"/>
      <c r="V39" s="4"/>
      <c r="W39" s="3"/>
      <c r="X39" s="9"/>
      <c r="Y39" s="9"/>
      <c r="Z39" s="4"/>
      <c r="AA39" s="3"/>
      <c r="AB39" s="9"/>
      <c r="AC39" s="9"/>
      <c r="AD39" s="4"/>
      <c r="AE39" s="3"/>
      <c r="AF39" s="9"/>
      <c r="AG39" s="9"/>
      <c r="AH39" s="4"/>
      <c r="AI39" s="3"/>
      <c r="AJ39" s="9"/>
      <c r="AK39" s="9"/>
      <c r="AL39" s="4"/>
      <c r="AM39" s="3"/>
      <c r="AN39" s="9"/>
      <c r="AO39" s="9"/>
      <c r="AP39" s="4"/>
      <c r="AQ39" s="3"/>
      <c r="AR39" s="9"/>
      <c r="AS39" s="9"/>
      <c r="AT39" s="4"/>
      <c r="AU39" s="3"/>
      <c r="AV39" s="9"/>
      <c r="AW39" s="9"/>
      <c r="AX39" s="4"/>
      <c r="AY39" s="3"/>
      <c r="AZ39" s="9"/>
      <c r="BA39" s="9"/>
      <c r="BB39" s="4"/>
      <c r="BC39" s="3"/>
      <c r="BD39" s="9"/>
      <c r="BE39" s="9"/>
      <c r="BF39" s="122"/>
    </row>
    <row r="40" spans="1:58">
      <c r="A40" s="3"/>
      <c r="B40" s="4"/>
      <c r="C40" s="3"/>
      <c r="D40" s="4"/>
      <c r="E40" s="4"/>
      <c r="F40" s="4"/>
      <c r="G40" s="3"/>
      <c r="H40" s="4"/>
      <c r="I40" s="4"/>
      <c r="J40" s="4"/>
      <c r="K40" s="3"/>
      <c r="L40" s="4"/>
      <c r="M40" s="4"/>
      <c r="N40" s="4"/>
      <c r="O40" s="3"/>
      <c r="P40" s="4"/>
      <c r="Q40" s="4"/>
      <c r="R40" s="4"/>
      <c r="S40" s="3"/>
      <c r="T40" s="4"/>
      <c r="U40" s="4"/>
      <c r="V40" s="4"/>
      <c r="W40" s="3"/>
      <c r="X40" s="9"/>
      <c r="Y40" s="9"/>
      <c r="Z40" s="4"/>
      <c r="AA40" s="3"/>
      <c r="AB40" s="9"/>
      <c r="AC40" s="9"/>
      <c r="AD40" s="4"/>
      <c r="AE40" s="3"/>
      <c r="AF40" s="9"/>
      <c r="AG40" s="9"/>
      <c r="AH40" s="4"/>
      <c r="AI40" s="3"/>
      <c r="AJ40" s="9"/>
      <c r="AK40" s="9"/>
      <c r="AL40" s="4"/>
      <c r="AM40" s="3"/>
      <c r="AN40" s="9"/>
      <c r="AO40" s="9"/>
      <c r="AP40" s="4"/>
      <c r="AQ40" s="3"/>
      <c r="AR40" s="9"/>
      <c r="AS40" s="9"/>
      <c r="AT40" s="4"/>
      <c r="AU40" s="3"/>
      <c r="AV40" s="9"/>
      <c r="AW40" s="9"/>
      <c r="AX40" s="4"/>
      <c r="AY40" s="3"/>
      <c r="AZ40" s="9"/>
      <c r="BA40" s="9"/>
      <c r="BB40" s="4"/>
      <c r="BC40" s="3"/>
      <c r="BD40" s="9"/>
      <c r="BE40" s="9"/>
      <c r="BF40" s="122"/>
    </row>
    <row r="41" spans="1:58">
      <c r="A41" s="3" t="s">
        <v>21</v>
      </c>
      <c r="B41" s="4" t="s">
        <v>22</v>
      </c>
      <c r="C41" s="157">
        <v>65.406491872309502</v>
      </c>
      <c r="D41" s="30">
        <v>63.239921152914796</v>
      </c>
      <c r="E41" s="30">
        <v>7.2162617714174999</v>
      </c>
      <c r="F41" s="30" t="s">
        <v>2743</v>
      </c>
      <c r="G41" s="157">
        <v>-12.7187637776351</v>
      </c>
      <c r="H41" s="30">
        <v>-12.7082544990913</v>
      </c>
      <c r="I41" s="30">
        <v>7.2259858788622404</v>
      </c>
      <c r="J41" s="30" t="s">
        <v>2743</v>
      </c>
      <c r="K41" s="157">
        <v>-7.327704404577597</v>
      </c>
      <c r="L41" s="113">
        <v>-7.327704404577597</v>
      </c>
      <c r="M41" s="30">
        <v>6.5989025101103094</v>
      </c>
      <c r="N41" s="355" t="s">
        <v>1498</v>
      </c>
      <c r="O41" s="157">
        <v>-70.343196276887099</v>
      </c>
      <c r="P41" s="30">
        <v>-66.260514400882798</v>
      </c>
      <c r="Q41" s="30">
        <v>5.6185175858156899</v>
      </c>
      <c r="R41" s="30" t="s">
        <v>2743</v>
      </c>
      <c r="S41" s="157">
        <v>75.725211839103196</v>
      </c>
      <c r="T41" s="30">
        <v>73.553158972792303</v>
      </c>
      <c r="U41" s="30">
        <v>7.8784119660406802</v>
      </c>
      <c r="V41" s="30" t="s">
        <v>2743</v>
      </c>
      <c r="W41" s="157">
        <v>5.3724944079313302</v>
      </c>
      <c r="X41" s="30">
        <v>7.2878038512485404</v>
      </c>
      <c r="Y41" s="30">
        <v>7.22372882231946</v>
      </c>
      <c r="Z41" s="300" t="s">
        <v>2743</v>
      </c>
      <c r="AA41" s="157">
        <v>7.63253426170641</v>
      </c>
      <c r="AB41" s="30">
        <v>7.6250259684566499</v>
      </c>
      <c r="AC41" s="30">
        <v>0.22440771683105901</v>
      </c>
      <c r="AD41" s="30" t="s">
        <v>2743</v>
      </c>
      <c r="AE41" s="157">
        <v>5.0513005974729701</v>
      </c>
      <c r="AF41" s="30">
        <v>4.9380892135241004</v>
      </c>
      <c r="AG41" s="30">
        <v>0.482590821277876</v>
      </c>
      <c r="AH41" s="30" t="s">
        <v>2743</v>
      </c>
      <c r="AI41" s="157">
        <v>-2.5847220843490399</v>
      </c>
      <c r="AJ41" s="30">
        <v>-2.7057133557708801</v>
      </c>
      <c r="AK41" s="30">
        <v>0.395617674787208</v>
      </c>
      <c r="AL41" s="30" t="s">
        <v>2743</v>
      </c>
      <c r="AM41" s="157">
        <v>-0.70776091769666594</v>
      </c>
      <c r="AN41" s="30">
        <v>-0.75511521602973608</v>
      </c>
      <c r="AO41" s="30">
        <v>0.23674717497820699</v>
      </c>
      <c r="AP41" s="30" t="s">
        <v>2743</v>
      </c>
      <c r="AQ41" s="157">
        <v>-1.51064399510685</v>
      </c>
      <c r="AR41" s="30">
        <v>-1.42649101673082</v>
      </c>
      <c r="AS41" s="30">
        <v>0.25849961769803598</v>
      </c>
      <c r="AT41" s="30" t="s">
        <v>2743</v>
      </c>
      <c r="AU41" s="157">
        <v>3.5364605005279799</v>
      </c>
      <c r="AV41" s="30" t="s">
        <v>2855</v>
      </c>
      <c r="AW41" s="30" t="s">
        <v>2855</v>
      </c>
      <c r="AX41" s="30" t="s">
        <v>2743</v>
      </c>
      <c r="AY41" s="157" t="s">
        <v>2855</v>
      </c>
      <c r="AZ41" s="30" t="s">
        <v>2855</v>
      </c>
      <c r="BA41" s="30" t="s">
        <v>2855</v>
      </c>
      <c r="BB41" s="30" t="s">
        <v>558</v>
      </c>
      <c r="BC41" s="157">
        <v>59.8</v>
      </c>
      <c r="BD41" s="30">
        <v>59.8</v>
      </c>
      <c r="BE41" s="30">
        <v>2.4041630560342604</v>
      </c>
      <c r="BF41" s="300" t="s">
        <v>558</v>
      </c>
    </row>
    <row r="42" spans="1:58">
      <c r="A42" s="3"/>
      <c r="B42" s="171">
        <v>244.37799999999999</v>
      </c>
      <c r="C42" s="157">
        <v>4.4054800975332302</v>
      </c>
      <c r="D42" s="30">
        <v>65.406491872309502</v>
      </c>
      <c r="E42" s="30">
        <v>4.4054800975332302</v>
      </c>
      <c r="F42" s="8" t="s">
        <v>2742</v>
      </c>
      <c r="G42" s="157">
        <v>4.8635218298089304</v>
      </c>
      <c r="H42" s="30">
        <v>-12.7187637776351</v>
      </c>
      <c r="I42" s="30">
        <v>4.8635218298089304</v>
      </c>
      <c r="J42" s="8" t="s">
        <v>2742</v>
      </c>
      <c r="K42" s="158">
        <v>6.5989025101103094</v>
      </c>
      <c r="L42" s="113">
        <v>-7.3462693697037702</v>
      </c>
      <c r="M42" s="113">
        <v>6.5459064353728671</v>
      </c>
      <c r="N42" s="13" t="s">
        <v>1499</v>
      </c>
      <c r="O42" s="157">
        <v>4.9129684965587499</v>
      </c>
      <c r="P42" s="30">
        <v>-70.343196276887099</v>
      </c>
      <c r="Q42" s="30">
        <v>4.9129684965587499</v>
      </c>
      <c r="R42" s="8" t="s">
        <v>2742</v>
      </c>
      <c r="S42" s="157">
        <v>5.1225815222130304</v>
      </c>
      <c r="T42" s="30">
        <v>75.725211839103196</v>
      </c>
      <c r="U42" s="30">
        <v>5.1225815222130304</v>
      </c>
      <c r="V42" s="8" t="s">
        <v>2742</v>
      </c>
      <c r="W42" s="157">
        <v>4.3812151820731096</v>
      </c>
      <c r="X42" s="30">
        <v>5.3724944079313302</v>
      </c>
      <c r="Y42" s="30">
        <v>4.3812151820731096</v>
      </c>
      <c r="Z42" s="498" t="s">
        <v>2742</v>
      </c>
      <c r="AA42" s="157">
        <v>0.21309086220248399</v>
      </c>
      <c r="AB42" s="30">
        <v>7.63253426170641</v>
      </c>
      <c r="AC42" s="30">
        <v>0.21309086220248399</v>
      </c>
      <c r="AD42" s="8" t="s">
        <v>2742</v>
      </c>
      <c r="AE42" s="157">
        <v>0.406521794616446</v>
      </c>
      <c r="AF42" s="30">
        <v>5.0513005974729701</v>
      </c>
      <c r="AG42" s="30">
        <v>0.406521794616446</v>
      </c>
      <c r="AH42" s="8" t="s">
        <v>2742</v>
      </c>
      <c r="AI42" s="157">
        <v>0.35620967875047499</v>
      </c>
      <c r="AJ42" s="30">
        <v>-2.5847220843490399</v>
      </c>
      <c r="AK42" s="30">
        <v>0.35620967875047499</v>
      </c>
      <c r="AL42" s="8" t="s">
        <v>2742</v>
      </c>
      <c r="AM42" s="157">
        <v>0.21717028867202501</v>
      </c>
      <c r="AN42" s="30">
        <v>-0.70776091769666594</v>
      </c>
      <c r="AO42" s="30">
        <v>0.21717028867202501</v>
      </c>
      <c r="AP42" s="8" t="s">
        <v>2742</v>
      </c>
      <c r="AQ42" s="157">
        <v>0.29670545371922302</v>
      </c>
      <c r="AR42" s="30">
        <v>-1.51064399510685</v>
      </c>
      <c r="AS42" s="30">
        <v>0.29670545371922302</v>
      </c>
      <c r="AT42" s="8" t="s">
        <v>2742</v>
      </c>
      <c r="AU42" s="157">
        <v>0.29294772862431701</v>
      </c>
      <c r="AV42" s="30">
        <v>3.5364605005279799</v>
      </c>
      <c r="AW42" s="30">
        <v>0.29294772862431701</v>
      </c>
      <c r="AX42" s="8" t="s">
        <v>2742</v>
      </c>
      <c r="AY42" s="157" t="s">
        <v>2855</v>
      </c>
      <c r="AZ42" s="30"/>
      <c r="BA42" s="30"/>
      <c r="BB42" s="101"/>
      <c r="BC42" s="157">
        <v>2.4041630560342604</v>
      </c>
      <c r="BD42" s="30"/>
      <c r="BE42" s="30"/>
      <c r="BF42" s="277"/>
    </row>
    <row r="43" spans="1:58">
      <c r="A43" s="3"/>
      <c r="B43" s="4" t="s">
        <v>20</v>
      </c>
      <c r="C43" s="3"/>
      <c r="D43" s="206">
        <v>70.5</v>
      </c>
      <c r="E43" s="206">
        <v>5.0311210020643644</v>
      </c>
      <c r="F43" s="206" t="s">
        <v>558</v>
      </c>
      <c r="G43" s="3"/>
      <c r="H43" s="206">
        <v>-19.961429878840377</v>
      </c>
      <c r="I43" s="206">
        <v>5.9884289636521126</v>
      </c>
      <c r="J43" s="206" t="s">
        <v>558</v>
      </c>
      <c r="K43" s="353"/>
      <c r="L43" s="344">
        <v>3.446230731991605</v>
      </c>
      <c r="M43" s="344">
        <v>4.9556812807112633</v>
      </c>
      <c r="N43" s="206" t="s">
        <v>1124</v>
      </c>
      <c r="O43" s="3"/>
      <c r="P43" s="206">
        <v>-62.5</v>
      </c>
      <c r="Q43" s="206">
        <v>6.0811183182043047</v>
      </c>
      <c r="R43" s="206" t="s">
        <v>558</v>
      </c>
      <c r="S43" s="3"/>
      <c r="T43" s="206" t="s">
        <v>2855</v>
      </c>
      <c r="U43" s="206" t="s">
        <v>2855</v>
      </c>
      <c r="V43" s="206" t="s">
        <v>558</v>
      </c>
      <c r="W43" s="3"/>
      <c r="X43" s="344">
        <v>2.2398120181888418E-2</v>
      </c>
      <c r="Y43" s="344">
        <v>6.7194360545665254E-3</v>
      </c>
      <c r="Z43" s="206" t="s">
        <v>558</v>
      </c>
      <c r="AA43" s="3"/>
      <c r="AB43" s="206">
        <v>7.6006955888277421</v>
      </c>
      <c r="AC43" s="206">
        <v>0.22529045882566684</v>
      </c>
      <c r="AD43" s="206" t="s">
        <v>558</v>
      </c>
      <c r="AE43" s="3"/>
      <c r="AF43" s="206">
        <v>5.9881735136615992</v>
      </c>
      <c r="AG43" s="206">
        <v>1.1212108909128295</v>
      </c>
      <c r="AH43" s="206" t="s">
        <v>558</v>
      </c>
      <c r="AI43" s="3"/>
      <c r="AJ43" s="206" t="s">
        <v>2855</v>
      </c>
      <c r="AK43" s="206" t="s">
        <v>2855</v>
      </c>
      <c r="AL43" s="206" t="s">
        <v>558</v>
      </c>
      <c r="AM43" s="3"/>
      <c r="AN43" s="206">
        <v>-0.78068417864398842</v>
      </c>
      <c r="AO43" s="206">
        <v>0.23818872039740308</v>
      </c>
      <c r="AP43" s="206" t="s">
        <v>558</v>
      </c>
      <c r="AQ43" s="3"/>
      <c r="AR43" s="206">
        <v>-0.78068417864398842</v>
      </c>
      <c r="AS43" s="206">
        <v>0.23818872039740308</v>
      </c>
      <c r="AT43" s="206" t="s">
        <v>558</v>
      </c>
      <c r="AU43" s="3"/>
      <c r="AV43" s="206" t="s">
        <v>2855</v>
      </c>
      <c r="AW43" s="206" t="s">
        <v>2855</v>
      </c>
      <c r="AX43" s="206" t="s">
        <v>558</v>
      </c>
      <c r="AY43" s="3"/>
      <c r="AZ43" s="52"/>
      <c r="BA43" s="52"/>
      <c r="BB43" s="52"/>
      <c r="BC43" s="3"/>
      <c r="BF43" s="42"/>
    </row>
    <row r="44" spans="1:58">
      <c r="A44" s="3"/>
      <c r="B44" s="4" t="s">
        <v>20</v>
      </c>
      <c r="C44" s="3"/>
      <c r="D44" s="176">
        <v>80.115830604880003</v>
      </c>
      <c r="E44" s="176">
        <v>20.277637189417547</v>
      </c>
      <c r="F44" s="206" t="s">
        <v>1124</v>
      </c>
      <c r="G44" s="3"/>
      <c r="H44" s="176">
        <v>-5.5409366833440004</v>
      </c>
      <c r="I44" s="176">
        <v>4.6728547559745461</v>
      </c>
      <c r="J44" s="206" t="s">
        <v>1124</v>
      </c>
      <c r="K44" s="353"/>
      <c r="L44" s="206"/>
      <c r="M44" s="206"/>
      <c r="N44" s="206"/>
      <c r="O44" s="3"/>
      <c r="P44" s="178">
        <v>-76.669599872888398</v>
      </c>
      <c r="Q44" s="178">
        <v>25.146632053509045</v>
      </c>
      <c r="R44" s="206" t="s">
        <v>1124</v>
      </c>
      <c r="S44" s="3"/>
      <c r="T44" s="178">
        <v>77.529065199999991</v>
      </c>
      <c r="U44" s="178">
        <v>13.056514812201598</v>
      </c>
      <c r="V44" s="206" t="s">
        <v>1124</v>
      </c>
      <c r="W44" s="3"/>
      <c r="X44" s="178">
        <v>8.9871674153356054</v>
      </c>
      <c r="Y44" s="178">
        <v>16.841834903162525</v>
      </c>
      <c r="Z44" s="206" t="s">
        <v>1124</v>
      </c>
      <c r="AA44" s="3"/>
      <c r="AB44" s="178">
        <v>8.4140700000000006</v>
      </c>
      <c r="AC44" s="178">
        <v>1.10491884426</v>
      </c>
      <c r="AD44" s="206" t="s">
        <v>1124</v>
      </c>
      <c r="AE44" s="3"/>
      <c r="AF44" s="178">
        <v>5.85</v>
      </c>
      <c r="AG44" s="178">
        <v>0.82995704999999997</v>
      </c>
      <c r="AH44" s="206" t="s">
        <v>1124</v>
      </c>
      <c r="AI44" s="3"/>
      <c r="AJ44" s="178">
        <v>-2.0666020000000001</v>
      </c>
      <c r="AK44" s="178">
        <v>0.87565233303199996</v>
      </c>
      <c r="AL44" s="206" t="s">
        <v>1124</v>
      </c>
      <c r="AM44" s="3"/>
      <c r="AN44" s="178">
        <v>-1.4471055300000004</v>
      </c>
      <c r="AO44" s="178">
        <v>1.0206261650426403</v>
      </c>
      <c r="AP44" s="206" t="s">
        <v>1124</v>
      </c>
      <c r="AQ44" s="3"/>
      <c r="AR44" s="178">
        <v>-1.4471055300000004</v>
      </c>
      <c r="AS44" s="178">
        <v>1.0206261650426403</v>
      </c>
      <c r="AT44" s="206" t="s">
        <v>1124</v>
      </c>
      <c r="AU44" s="3"/>
      <c r="AV44" s="178">
        <v>3.6384993999999988</v>
      </c>
      <c r="AW44" s="178">
        <v>0.65758963506139978</v>
      </c>
      <c r="AX44" s="206" t="s">
        <v>1124</v>
      </c>
      <c r="AY44" s="3"/>
      <c r="AZ44" s="178"/>
      <c r="BA44" s="178"/>
      <c r="BB44" s="206"/>
      <c r="BC44" s="3"/>
      <c r="BD44" s="178"/>
      <c r="BE44" s="178"/>
      <c r="BF44" s="350"/>
    </row>
    <row r="45" spans="1:58">
      <c r="A45" s="12"/>
      <c r="B45" s="11" t="s">
        <v>20</v>
      </c>
      <c r="C45" s="12"/>
      <c r="D45" s="11"/>
      <c r="E45" s="11"/>
      <c r="F45" s="11"/>
      <c r="G45" s="12"/>
      <c r="H45" s="166"/>
      <c r="I45" s="166"/>
      <c r="J45" s="11"/>
      <c r="K45" s="12"/>
      <c r="L45" s="11"/>
      <c r="M45" s="11"/>
      <c r="N45" s="11"/>
      <c r="O45" s="12"/>
      <c r="P45" s="11"/>
      <c r="Q45" s="11"/>
      <c r="R45" s="11"/>
      <c r="S45" s="12"/>
      <c r="T45" s="11"/>
      <c r="U45" s="11"/>
      <c r="V45" s="11"/>
      <c r="W45" s="12"/>
      <c r="X45" s="169"/>
      <c r="Y45" s="169"/>
      <c r="Z45" s="11"/>
      <c r="AA45" s="3"/>
      <c r="AB45" s="9"/>
      <c r="AC45" s="9"/>
      <c r="AD45" s="4"/>
      <c r="AE45" s="3"/>
      <c r="AF45" s="9"/>
      <c r="AG45" s="9"/>
      <c r="AH45" s="4"/>
      <c r="AI45" s="3"/>
      <c r="AJ45" s="9"/>
      <c r="AK45" s="9"/>
      <c r="AL45" s="4"/>
      <c r="AM45" s="3"/>
      <c r="AN45" s="9"/>
      <c r="AO45" s="9"/>
      <c r="AP45" s="4"/>
      <c r="AQ45" s="3"/>
      <c r="AR45" s="9"/>
      <c r="AS45" s="9"/>
      <c r="AT45" s="4"/>
      <c r="AU45" s="3"/>
      <c r="AV45" s="9"/>
      <c r="AW45" s="9"/>
      <c r="AX45" s="4"/>
      <c r="AY45" s="3"/>
      <c r="AZ45" s="9"/>
      <c r="BA45" s="9"/>
      <c r="BB45" s="4"/>
      <c r="BC45" s="3"/>
      <c r="BD45" s="9"/>
      <c r="BE45" s="9"/>
      <c r="BF45" s="122"/>
    </row>
    <row r="46" spans="1:58">
      <c r="A46" s="3" t="s">
        <v>23</v>
      </c>
      <c r="B46" s="4" t="s">
        <v>24</v>
      </c>
      <c r="C46" s="157">
        <v>64.209824312646901</v>
      </c>
      <c r="D46" s="30" t="s">
        <v>2855</v>
      </c>
      <c r="E46" s="30" t="s">
        <v>2855</v>
      </c>
      <c r="F46" s="30" t="s">
        <v>2743</v>
      </c>
      <c r="G46" s="157">
        <v>-7.9295514839308296</v>
      </c>
      <c r="H46" s="30" t="s">
        <v>2855</v>
      </c>
      <c r="I46" s="30" t="s">
        <v>2855</v>
      </c>
      <c r="J46" s="30" t="s">
        <v>2743</v>
      </c>
      <c r="K46" s="157">
        <v>11.544155116040498</v>
      </c>
      <c r="L46" s="113">
        <v>11.544155116040498</v>
      </c>
      <c r="M46" s="30">
        <v>16.359417999699463</v>
      </c>
      <c r="N46" s="355" t="s">
        <v>1498</v>
      </c>
      <c r="O46" s="157">
        <v>-50.274669196606403</v>
      </c>
      <c r="P46" s="30" t="s">
        <v>2855</v>
      </c>
      <c r="Q46" s="30" t="s">
        <v>2855</v>
      </c>
      <c r="R46" s="30" t="s">
        <v>2743</v>
      </c>
      <c r="S46" s="157">
        <v>69.747096984771105</v>
      </c>
      <c r="T46" s="30" t="s">
        <v>2855</v>
      </c>
      <c r="U46" s="30" t="s">
        <v>2855</v>
      </c>
      <c r="V46" s="30" t="s">
        <v>2743</v>
      </c>
      <c r="W46" s="157">
        <v>19.471110175535301</v>
      </c>
      <c r="X46" s="30" t="s">
        <v>2855</v>
      </c>
      <c r="Y46" s="30" t="s">
        <v>2855</v>
      </c>
      <c r="Z46" s="300" t="s">
        <v>2743</v>
      </c>
      <c r="AA46" s="157">
        <v>7.8187306342451803</v>
      </c>
      <c r="AB46" s="30">
        <v>7.73529191747242</v>
      </c>
      <c r="AC46" s="30">
        <v>0.198709546021379</v>
      </c>
      <c r="AD46" s="30" t="s">
        <v>2743</v>
      </c>
      <c r="AE46" s="157">
        <v>4.78873301384239</v>
      </c>
      <c r="AF46" s="30">
        <v>4.3298282448720498</v>
      </c>
      <c r="AG46" s="30">
        <v>0.37355635616400701</v>
      </c>
      <c r="AH46" s="30" t="s">
        <v>2743</v>
      </c>
      <c r="AI46" s="157">
        <v>-3.0214490870780599</v>
      </c>
      <c r="AJ46" s="30">
        <v>-3.4049934373305399</v>
      </c>
      <c r="AK46" s="30">
        <v>0.30703386630882601</v>
      </c>
      <c r="AL46" s="30" t="s">
        <v>2743</v>
      </c>
      <c r="AM46" s="157">
        <v>-0.9500363118680567</v>
      </c>
      <c r="AN46" s="30">
        <v>-1.0502605610577274</v>
      </c>
      <c r="AO46" s="30">
        <v>0.26669006224726999</v>
      </c>
      <c r="AP46" s="30" t="s">
        <v>2743</v>
      </c>
      <c r="AQ46" s="157">
        <v>-1.3135967455189701</v>
      </c>
      <c r="AR46" s="30">
        <v>-1.0403062584009699</v>
      </c>
      <c r="AS46" s="30">
        <v>0.12944939901337199</v>
      </c>
      <c r="AT46" s="30" t="s">
        <v>2743</v>
      </c>
      <c r="AU46" s="157">
        <v>3.4768179488727098</v>
      </c>
      <c r="AV46" s="30" t="s">
        <v>2855</v>
      </c>
      <c r="AW46" s="30" t="s">
        <v>2855</v>
      </c>
      <c r="AX46" s="30" t="s">
        <v>2743</v>
      </c>
      <c r="AY46" s="157" t="s">
        <v>2855</v>
      </c>
      <c r="AZ46" s="30" t="s">
        <v>2855</v>
      </c>
      <c r="BA46" s="30" t="s">
        <v>2855</v>
      </c>
      <c r="BB46" s="30" t="s">
        <v>558</v>
      </c>
      <c r="BC46" s="157">
        <v>-27.1</v>
      </c>
      <c r="BD46" s="30">
        <v>-27.1</v>
      </c>
      <c r="BE46" s="30">
        <v>1.2510909358091147</v>
      </c>
      <c r="BF46" s="300" t="s">
        <v>558</v>
      </c>
    </row>
    <row r="47" spans="1:58">
      <c r="A47" s="3"/>
      <c r="B47" s="171">
        <v>256.38</v>
      </c>
      <c r="C47" s="157">
        <v>14.3105596366283</v>
      </c>
      <c r="D47" s="30">
        <v>64.209824312646901</v>
      </c>
      <c r="E47" s="30">
        <v>14.3105596366283</v>
      </c>
      <c r="F47" s="8" t="s">
        <v>2742</v>
      </c>
      <c r="G47" s="157">
        <v>13.7934213114205</v>
      </c>
      <c r="H47" s="30">
        <v>-7.9295514839308296</v>
      </c>
      <c r="I47" s="30">
        <v>13.7934213114205</v>
      </c>
      <c r="J47" s="8" t="s">
        <v>2742</v>
      </c>
      <c r="K47" s="158">
        <v>16.359417999699463</v>
      </c>
      <c r="L47" s="113">
        <v>11.541558691604472</v>
      </c>
      <c r="M47" s="113">
        <v>18.272272391168126</v>
      </c>
      <c r="N47" s="13" t="s">
        <v>1499</v>
      </c>
      <c r="O47" s="157">
        <v>7.9270700877055296</v>
      </c>
      <c r="P47" s="30">
        <v>-50.274669196606403</v>
      </c>
      <c r="Q47" s="30">
        <v>7.9270700877055296</v>
      </c>
      <c r="R47" s="8" t="s">
        <v>2742</v>
      </c>
      <c r="S47" s="157">
        <v>11.4959633588422</v>
      </c>
      <c r="T47" s="30">
        <v>69.747096984771105</v>
      </c>
      <c r="U47" s="30">
        <v>11.4959633588422</v>
      </c>
      <c r="V47" s="8" t="s">
        <v>2742</v>
      </c>
      <c r="W47" s="157">
        <v>11.9840505198658</v>
      </c>
      <c r="X47" s="30">
        <v>19.471110175535301</v>
      </c>
      <c r="Y47" s="30">
        <v>11.9840505198658</v>
      </c>
      <c r="Z47" s="498" t="s">
        <v>2742</v>
      </c>
      <c r="AA47" s="157">
        <v>0.48615358125741698</v>
      </c>
      <c r="AB47" s="30">
        <v>7.8187306342451803</v>
      </c>
      <c r="AC47" s="30">
        <v>0.48615358125741698</v>
      </c>
      <c r="AD47" s="8" t="s">
        <v>2742</v>
      </c>
      <c r="AE47" s="157">
        <v>0.67125991747149605</v>
      </c>
      <c r="AF47" s="30">
        <v>4.78873301384239</v>
      </c>
      <c r="AG47" s="30">
        <v>0.67125991747149605</v>
      </c>
      <c r="AH47" s="8" t="s">
        <v>2742</v>
      </c>
      <c r="AI47" s="157">
        <v>0.524810130272655</v>
      </c>
      <c r="AJ47" s="30">
        <v>-3.0214490870780599</v>
      </c>
      <c r="AK47" s="30">
        <v>0.524810130272655</v>
      </c>
      <c r="AL47" s="8" t="s">
        <v>2742</v>
      </c>
      <c r="AM47" s="157">
        <v>0.26399473849639998</v>
      </c>
      <c r="AN47" s="30">
        <v>-0.9500363118680567</v>
      </c>
      <c r="AO47" s="30">
        <v>0.26399473849639998</v>
      </c>
      <c r="AP47" s="8" t="s">
        <v>2742</v>
      </c>
      <c r="AQ47" s="157">
        <v>0.486538636491405</v>
      </c>
      <c r="AR47" s="30">
        <v>-1.3135967455189701</v>
      </c>
      <c r="AS47" s="30">
        <v>0.486538636491405</v>
      </c>
      <c r="AT47" s="8" t="s">
        <v>2742</v>
      </c>
      <c r="AU47" s="157">
        <v>0.52396715310828401</v>
      </c>
      <c r="AV47" s="30">
        <v>3.4768179488727098</v>
      </c>
      <c r="AW47" s="30">
        <v>0.52396715310828401</v>
      </c>
      <c r="AX47" s="8" t="s">
        <v>2742</v>
      </c>
      <c r="AY47" s="157" t="s">
        <v>2855</v>
      </c>
      <c r="AZ47" s="30"/>
      <c r="BA47" s="30"/>
      <c r="BB47" s="101"/>
      <c r="BC47" s="157">
        <v>1.2510909358091147</v>
      </c>
      <c r="BD47" s="30"/>
      <c r="BE47" s="30"/>
      <c r="BF47" s="277"/>
    </row>
    <row r="48" spans="1:58">
      <c r="A48" s="3"/>
      <c r="B48" s="4"/>
      <c r="C48" s="3"/>
      <c r="D48" s="206">
        <v>62.150000000000006</v>
      </c>
      <c r="E48" s="206">
        <v>19.445436482630033</v>
      </c>
      <c r="F48" s="206" t="s">
        <v>558</v>
      </c>
      <c r="G48" s="3"/>
      <c r="H48" s="206" t="s">
        <v>2855</v>
      </c>
      <c r="I48" s="206" t="s">
        <v>2855</v>
      </c>
      <c r="J48" s="206" t="s">
        <v>558</v>
      </c>
      <c r="K48" s="353"/>
      <c r="L48" s="344">
        <v>2.2882437753918481</v>
      </c>
      <c r="M48" s="344">
        <v>3.2904955370936766</v>
      </c>
      <c r="N48" s="206" t="s">
        <v>1124</v>
      </c>
      <c r="O48" s="3"/>
      <c r="P48" s="206">
        <v>-47.6</v>
      </c>
      <c r="Q48" s="206">
        <v>3.0158447879413406</v>
      </c>
      <c r="R48" s="206" t="s">
        <v>558</v>
      </c>
      <c r="S48" s="3"/>
      <c r="T48" s="206" t="s">
        <v>2855</v>
      </c>
      <c r="U48" s="206" t="s">
        <v>2855</v>
      </c>
      <c r="V48" s="206" t="s">
        <v>558</v>
      </c>
      <c r="W48" s="3"/>
      <c r="X48" s="344" t="s">
        <v>2855</v>
      </c>
      <c r="Y48" s="344" t="s">
        <v>2855</v>
      </c>
      <c r="Z48" s="206" t="s">
        <v>558</v>
      </c>
      <c r="AA48" s="3"/>
      <c r="AB48" s="206">
        <v>7.7366088067909136</v>
      </c>
      <c r="AC48" s="206">
        <v>0.19920079617940534</v>
      </c>
      <c r="AD48" s="206" t="s">
        <v>558</v>
      </c>
      <c r="AE48" s="3"/>
      <c r="AF48" s="206">
        <v>4.2105479804411576</v>
      </c>
      <c r="AG48" s="206">
        <v>1.2867884400980349</v>
      </c>
      <c r="AH48" s="206" t="s">
        <v>558</v>
      </c>
      <c r="AI48" s="3"/>
      <c r="AJ48" s="206" t="s">
        <v>2855</v>
      </c>
      <c r="AK48" s="206" t="s">
        <v>2855</v>
      </c>
      <c r="AL48" s="206" t="s">
        <v>558</v>
      </c>
      <c r="AM48" s="3"/>
      <c r="AN48" s="206">
        <v>-1.0485024426567202</v>
      </c>
      <c r="AO48" s="206">
        <v>0.27081844275618577</v>
      </c>
      <c r="AP48" s="206" t="s">
        <v>558</v>
      </c>
      <c r="AQ48" s="3"/>
      <c r="AR48" s="206">
        <v>-1.0485024426567202</v>
      </c>
      <c r="AS48" s="206">
        <v>0.27081844275618577</v>
      </c>
      <c r="AT48" s="206" t="s">
        <v>558</v>
      </c>
      <c r="AU48" s="3"/>
      <c r="AV48" s="206" t="s">
        <v>2855</v>
      </c>
      <c r="AW48" s="206" t="s">
        <v>2855</v>
      </c>
      <c r="AX48" s="206" t="s">
        <v>558</v>
      </c>
      <c r="AY48" s="3"/>
      <c r="AZ48" s="52"/>
      <c r="BA48" s="52"/>
      <c r="BB48" s="52"/>
      <c r="BC48" s="3"/>
      <c r="BF48" s="42"/>
    </row>
    <row r="49" spans="1:58">
      <c r="A49" s="3"/>
      <c r="B49" s="4"/>
      <c r="C49" s="3"/>
      <c r="D49" s="176">
        <v>84.626290761280003</v>
      </c>
      <c r="E49" s="176">
        <v>21.419252696843014</v>
      </c>
      <c r="F49" s="206" t="s">
        <v>1124</v>
      </c>
      <c r="G49" s="3"/>
      <c r="H49" s="176">
        <v>-6.4118555004559141</v>
      </c>
      <c r="I49" s="176">
        <v>5.4073293347659872</v>
      </c>
      <c r="J49" s="206" t="s">
        <v>1124</v>
      </c>
      <c r="K49" s="353"/>
      <c r="L49" s="206"/>
      <c r="M49" s="206"/>
      <c r="N49" s="206"/>
      <c r="O49" s="3"/>
      <c r="P49" s="178">
        <v>-82.338046985888155</v>
      </c>
      <c r="Q49" s="178">
        <v>27.005809016760495</v>
      </c>
      <c r="R49" s="206" t="s">
        <v>1124</v>
      </c>
      <c r="S49" s="3"/>
      <c r="T49" s="178">
        <v>81.788230799999994</v>
      </c>
      <c r="U49" s="178">
        <v>13.773792372566399</v>
      </c>
      <c r="V49" s="206" t="s">
        <v>1124</v>
      </c>
      <c r="W49" s="3"/>
      <c r="X49" s="178">
        <v>8.7000992758477622</v>
      </c>
      <c r="Y49" s="178">
        <v>16.30387294164812</v>
      </c>
      <c r="Z49" s="206" t="s">
        <v>1124</v>
      </c>
      <c r="AA49" s="3"/>
      <c r="AB49" s="178">
        <v>8.9791600000000003</v>
      </c>
      <c r="AC49" s="178">
        <v>1.17912533288</v>
      </c>
      <c r="AD49" s="206" t="s">
        <v>1124</v>
      </c>
      <c r="AE49" s="3"/>
      <c r="AF49" s="178">
        <v>4.9000000000000004</v>
      </c>
      <c r="AG49" s="178">
        <v>0.69517770000000001</v>
      </c>
      <c r="AH49" s="206" t="s">
        <v>1124</v>
      </c>
      <c r="AI49" s="3"/>
      <c r="AJ49" s="178">
        <v>-1.7342979999999999</v>
      </c>
      <c r="AK49" s="178">
        <v>0.73484981136799987</v>
      </c>
      <c r="AL49" s="206" t="s">
        <v>1124</v>
      </c>
      <c r="AM49" s="3"/>
      <c r="AN49" s="178">
        <v>-2.0234393900000005</v>
      </c>
      <c r="AO49" s="178">
        <v>1.4271075204943204</v>
      </c>
      <c r="AP49" s="206" t="s">
        <v>1124</v>
      </c>
      <c r="AQ49" s="3"/>
      <c r="AR49" s="178">
        <v>-2.0234393900000005</v>
      </c>
      <c r="AS49" s="178">
        <v>1.4271075204943204</v>
      </c>
      <c r="AT49" s="206" t="s">
        <v>1124</v>
      </c>
      <c r="AU49" s="3"/>
      <c r="AV49" s="178">
        <v>4.0142305999999994</v>
      </c>
      <c r="AW49" s="178">
        <v>0.72549591056859986</v>
      </c>
      <c r="AX49" s="206" t="s">
        <v>1124</v>
      </c>
      <c r="AY49" s="3"/>
      <c r="AZ49" s="178"/>
      <c r="BA49" s="178"/>
      <c r="BB49" s="206"/>
      <c r="BC49" s="3"/>
      <c r="BD49" s="178"/>
      <c r="BE49" s="178"/>
      <c r="BF49" s="350"/>
    </row>
    <row r="50" spans="1:58">
      <c r="A50" s="3"/>
      <c r="B50" s="4"/>
      <c r="C50" s="29"/>
      <c r="D50" s="30"/>
      <c r="E50" s="30"/>
      <c r="F50" s="30"/>
      <c r="G50" s="83"/>
      <c r="H50" s="166"/>
      <c r="I50" s="166"/>
      <c r="J50" s="70"/>
      <c r="K50" s="83"/>
      <c r="L50" s="70"/>
      <c r="M50" s="70"/>
      <c r="N50" s="70"/>
      <c r="O50" s="3"/>
      <c r="P50" s="4"/>
      <c r="Q50" s="4"/>
      <c r="R50" s="4"/>
      <c r="S50" s="3"/>
      <c r="T50" s="4"/>
      <c r="U50" s="4"/>
      <c r="V50" s="4"/>
      <c r="W50" s="77"/>
      <c r="X50" s="70"/>
      <c r="Y50" s="70"/>
      <c r="Z50" s="70"/>
      <c r="AA50" s="3"/>
      <c r="AB50" s="9"/>
      <c r="AC50" s="9"/>
      <c r="AD50" s="4"/>
      <c r="AE50" s="3"/>
      <c r="AF50" s="9"/>
      <c r="AG50" s="9"/>
      <c r="AH50" s="4"/>
      <c r="AI50" s="3"/>
      <c r="AJ50" s="9"/>
      <c r="AK50" s="9"/>
      <c r="AL50" s="4"/>
      <c r="AM50" s="3"/>
      <c r="AN50" s="9"/>
      <c r="AO50" s="9"/>
      <c r="AP50" s="4"/>
      <c r="AQ50" s="3"/>
      <c r="AR50" s="9"/>
      <c r="AS50" s="9"/>
      <c r="AT50" s="4"/>
      <c r="AU50" s="3"/>
      <c r="AV50" s="9"/>
      <c r="AW50" s="9"/>
      <c r="AX50" s="4"/>
      <c r="AY50" s="3"/>
      <c r="AZ50" s="9"/>
      <c r="BA50" s="9"/>
      <c r="BB50" s="4"/>
      <c r="BC50" s="3"/>
      <c r="BD50" s="9"/>
      <c r="BE50" s="9"/>
      <c r="BF50" s="122"/>
    </row>
    <row r="51" spans="1:58">
      <c r="A51" s="3" t="s">
        <v>26</v>
      </c>
      <c r="B51" s="4" t="s">
        <v>27</v>
      </c>
      <c r="C51" s="157">
        <v>65.362143622774795</v>
      </c>
      <c r="D51" s="30">
        <v>65.0545311516711</v>
      </c>
      <c r="E51" s="30">
        <v>10.131166300697901</v>
      </c>
      <c r="F51" s="30" t="s">
        <v>2743</v>
      </c>
      <c r="G51" s="157">
        <v>-22.621512277570702</v>
      </c>
      <c r="H51" s="30">
        <v>-25.272694752926299</v>
      </c>
      <c r="I51" s="30">
        <v>10.104072657070899</v>
      </c>
      <c r="J51" s="30" t="s">
        <v>2743</v>
      </c>
      <c r="K51" s="157">
        <v>-12.094191551414704</v>
      </c>
      <c r="L51" s="113">
        <v>-12.094191551414704</v>
      </c>
      <c r="M51" s="30">
        <v>11.765412598348233</v>
      </c>
      <c r="N51" s="355" t="s">
        <v>1498</v>
      </c>
      <c r="O51" s="157">
        <v>-75.065335174189499</v>
      </c>
      <c r="P51" s="30">
        <v>-76.175569703694606</v>
      </c>
      <c r="Q51" s="30">
        <v>10.208628513531201</v>
      </c>
      <c r="R51" s="30" t="s">
        <v>2743</v>
      </c>
      <c r="S51" s="157">
        <v>85.587072784634501</v>
      </c>
      <c r="T51" s="30">
        <v>87.932223249035104</v>
      </c>
      <c r="U51" s="30">
        <v>11.714317464608801</v>
      </c>
      <c r="V51" s="30" t="s">
        <v>2743</v>
      </c>
      <c r="W51" s="157">
        <v>10.518260389715699</v>
      </c>
      <c r="X51" s="30">
        <v>11.753429987099</v>
      </c>
      <c r="Y51" s="30">
        <v>10.244436092016</v>
      </c>
      <c r="Z51" s="300" t="s">
        <v>2743</v>
      </c>
      <c r="AA51" s="157">
        <v>8.0406390101334804</v>
      </c>
      <c r="AB51" s="30">
        <v>7.9488228251899598</v>
      </c>
      <c r="AC51" s="30">
        <v>0.32155447992748898</v>
      </c>
      <c r="AD51" s="30" t="s">
        <v>2743</v>
      </c>
      <c r="AE51" s="157">
        <v>6.0365527087945301</v>
      </c>
      <c r="AF51" s="30">
        <v>5.8723376017085398</v>
      </c>
      <c r="AG51" s="30">
        <v>0.58039940818930502</v>
      </c>
      <c r="AH51" s="30" t="s">
        <v>2743</v>
      </c>
      <c r="AI51" s="157">
        <v>-2.0136355434472</v>
      </c>
      <c r="AJ51" s="30">
        <v>-2.0767420920688702</v>
      </c>
      <c r="AK51" s="30">
        <v>0.48719754261117798</v>
      </c>
      <c r="AL51" s="30" t="s">
        <v>2743</v>
      </c>
      <c r="AM51" s="157">
        <v>-1.3446515709870561</v>
      </c>
      <c r="AN51" s="30">
        <v>-1.4307658559753371</v>
      </c>
      <c r="AO51" s="30">
        <v>0.347400137413376</v>
      </c>
      <c r="AP51" s="30" t="s">
        <v>2743</v>
      </c>
      <c r="AQ51" s="157">
        <v>-2.7268569126062601</v>
      </c>
      <c r="AR51" s="30">
        <v>-2.7482755633732898</v>
      </c>
      <c r="AS51" s="30">
        <v>0.33449690791688003</v>
      </c>
      <c r="AT51" s="30" t="s">
        <v>2743</v>
      </c>
      <c r="AU51" s="157">
        <v>3.3098119803621699</v>
      </c>
      <c r="AV51" s="30" t="s">
        <v>2855</v>
      </c>
      <c r="AW51" s="30" t="s">
        <v>2855</v>
      </c>
      <c r="AX51" s="30" t="s">
        <v>2743</v>
      </c>
      <c r="AY51" s="157" t="s">
        <v>2855</v>
      </c>
      <c r="AZ51" s="30" t="s">
        <v>2855</v>
      </c>
      <c r="BA51" s="30" t="s">
        <v>2855</v>
      </c>
      <c r="BB51" s="30" t="s">
        <v>558</v>
      </c>
      <c r="BC51" s="157">
        <v>-50</v>
      </c>
      <c r="BD51" s="30">
        <v>-50</v>
      </c>
      <c r="BE51" s="30">
        <v>15</v>
      </c>
      <c r="BF51" s="300" t="s">
        <v>558</v>
      </c>
    </row>
    <row r="52" spans="1:58">
      <c r="A52" s="3"/>
      <c r="B52" s="171">
        <v>258.40499999999997</v>
      </c>
      <c r="C52" s="157">
        <v>8.3481054468286704</v>
      </c>
      <c r="D52" s="30">
        <v>65.362143622774795</v>
      </c>
      <c r="E52" s="30">
        <v>8.3481054468286704</v>
      </c>
      <c r="F52" s="8" t="s">
        <v>2742</v>
      </c>
      <c r="G52" s="157">
        <v>8.9841848281536993</v>
      </c>
      <c r="H52" s="30">
        <v>-22.621512277570702</v>
      </c>
      <c r="I52" s="30">
        <v>8.9841848281536993</v>
      </c>
      <c r="J52" s="8" t="s">
        <v>2742</v>
      </c>
      <c r="K52" s="158">
        <v>11.765412598348233</v>
      </c>
      <c r="L52" s="113">
        <v>-12.103251887855002</v>
      </c>
      <c r="M52" s="113">
        <v>12.270551979084184</v>
      </c>
      <c r="N52" s="13" t="s">
        <v>1499</v>
      </c>
      <c r="O52" s="157">
        <v>8.2906012482811402</v>
      </c>
      <c r="P52" s="30">
        <v>-75.065335174189499</v>
      </c>
      <c r="Q52" s="30">
        <v>8.2906012482811402</v>
      </c>
      <c r="R52" s="8" t="s">
        <v>2742</v>
      </c>
      <c r="S52" s="157">
        <v>9.0209543597838309</v>
      </c>
      <c r="T52" s="30">
        <v>85.587072784634501</v>
      </c>
      <c r="U52" s="30">
        <v>9.0209543597838309</v>
      </c>
      <c r="V52" s="8" t="s">
        <v>2742</v>
      </c>
      <c r="W52" s="157">
        <v>8.3576832223397695</v>
      </c>
      <c r="X52" s="30">
        <v>10.518260389715699</v>
      </c>
      <c r="Y52" s="30">
        <v>8.3576832223397695</v>
      </c>
      <c r="Z52" s="498" t="s">
        <v>2742</v>
      </c>
      <c r="AA52" s="157">
        <v>0.29950436593005902</v>
      </c>
      <c r="AB52" s="30">
        <v>8.0406390101334804</v>
      </c>
      <c r="AC52" s="30">
        <v>0.29950436593005902</v>
      </c>
      <c r="AD52" s="8" t="s">
        <v>2742</v>
      </c>
      <c r="AE52" s="157">
        <v>0.482861261244796</v>
      </c>
      <c r="AF52" s="30">
        <v>6.0365527087945301</v>
      </c>
      <c r="AG52" s="30">
        <v>0.482861261244796</v>
      </c>
      <c r="AH52" s="8" t="s">
        <v>2742</v>
      </c>
      <c r="AI52" s="157">
        <v>0.41678258479114999</v>
      </c>
      <c r="AJ52" s="30">
        <v>-2.0136355434472</v>
      </c>
      <c r="AK52" s="30">
        <v>0.41678258479114999</v>
      </c>
      <c r="AL52" s="8" t="s">
        <v>2742</v>
      </c>
      <c r="AM52" s="157">
        <v>0.30507106945523499</v>
      </c>
      <c r="AN52" s="30">
        <v>-1.3446515709870561</v>
      </c>
      <c r="AO52" s="30">
        <v>0.30507106945523499</v>
      </c>
      <c r="AP52" s="8" t="s">
        <v>2742</v>
      </c>
      <c r="AQ52" s="157">
        <v>0.31634173036357699</v>
      </c>
      <c r="AR52" s="30">
        <v>-2.7268569126062601</v>
      </c>
      <c r="AS52" s="30">
        <v>0.31634173036357699</v>
      </c>
      <c r="AT52" s="8" t="s">
        <v>2742</v>
      </c>
      <c r="AU52" s="157">
        <v>0.38406136170638999</v>
      </c>
      <c r="AV52" s="30">
        <v>3.3098119803621699</v>
      </c>
      <c r="AW52" s="30">
        <v>0.38406136170638999</v>
      </c>
      <c r="AX52" s="8" t="s">
        <v>2742</v>
      </c>
      <c r="AY52" s="157" t="s">
        <v>2855</v>
      </c>
      <c r="AZ52" s="30"/>
      <c r="BA52" s="30"/>
      <c r="BB52" s="101"/>
      <c r="BC52" s="157">
        <v>15</v>
      </c>
      <c r="BD52" s="30"/>
      <c r="BE52" s="30"/>
      <c r="BF52" s="277"/>
    </row>
    <row r="53" spans="1:58">
      <c r="A53" s="3"/>
      <c r="B53" s="4" t="s">
        <v>20</v>
      </c>
      <c r="C53" s="3"/>
      <c r="D53" s="206">
        <v>76.8</v>
      </c>
      <c r="E53" s="206">
        <v>5.4807105384190518</v>
      </c>
      <c r="F53" s="206" t="s">
        <v>558</v>
      </c>
      <c r="G53" s="3"/>
      <c r="H53" s="206">
        <v>-36.996452467197493</v>
      </c>
      <c r="I53" s="206">
        <v>11.098935740159247</v>
      </c>
      <c r="J53" s="206" t="s">
        <v>558</v>
      </c>
      <c r="K53" s="353"/>
      <c r="L53" s="344">
        <v>3.5196824209918418</v>
      </c>
      <c r="M53" s="344">
        <v>5.0613048412105739</v>
      </c>
      <c r="N53" s="206" t="s">
        <v>1124</v>
      </c>
      <c r="O53" s="3"/>
      <c r="P53" s="206">
        <v>-64.5</v>
      </c>
      <c r="Q53" s="206">
        <v>4.0865964038280769</v>
      </c>
      <c r="R53" s="206" t="s">
        <v>558</v>
      </c>
      <c r="S53" s="3"/>
      <c r="T53" s="206" t="s">
        <v>2855</v>
      </c>
      <c r="U53" s="206" t="s">
        <v>2855</v>
      </c>
      <c r="V53" s="206" t="s">
        <v>558</v>
      </c>
      <c r="W53" s="3"/>
      <c r="X53" s="344">
        <v>-2.8524101770097222E-2</v>
      </c>
      <c r="Y53" s="344">
        <v>8.5572305310291658E-3</v>
      </c>
      <c r="Z53" s="206" t="s">
        <v>558</v>
      </c>
      <c r="AA53" s="3"/>
      <c r="AB53" s="206">
        <v>7.9485634665041607</v>
      </c>
      <c r="AC53" s="206">
        <v>0.32730068449843069</v>
      </c>
      <c r="AD53" s="206" t="s">
        <v>558</v>
      </c>
      <c r="AE53" s="3"/>
      <c r="AF53" s="206">
        <v>6.0342662748391263</v>
      </c>
      <c r="AG53" s="206">
        <v>1.6920591721864724</v>
      </c>
      <c r="AH53" s="206" t="s">
        <v>558</v>
      </c>
      <c r="AI53" s="3"/>
      <c r="AJ53" s="206" t="s">
        <v>2855</v>
      </c>
      <c r="AK53" s="206" t="s">
        <v>2855</v>
      </c>
      <c r="AL53" s="206" t="s">
        <v>558</v>
      </c>
      <c r="AM53" s="3"/>
      <c r="AN53" s="206">
        <v>-1.4354646307627545</v>
      </c>
      <c r="AO53" s="206">
        <v>0.35282277344123536</v>
      </c>
      <c r="AP53" s="206" t="s">
        <v>558</v>
      </c>
      <c r="AQ53" s="3"/>
      <c r="AR53" s="206">
        <v>-1.4354646307627545</v>
      </c>
      <c r="AS53" s="206">
        <v>0.35282277344123536</v>
      </c>
      <c r="AT53" s="206" t="s">
        <v>558</v>
      </c>
      <c r="AU53" s="3"/>
      <c r="AV53" s="206" t="s">
        <v>2855</v>
      </c>
      <c r="AW53" s="206" t="s">
        <v>2855</v>
      </c>
      <c r="AX53" s="206" t="s">
        <v>558</v>
      </c>
      <c r="AY53" s="3"/>
      <c r="AZ53" s="52"/>
      <c r="BA53" s="52"/>
      <c r="BB53" s="52"/>
      <c r="BC53" s="3"/>
      <c r="BF53" s="42"/>
    </row>
    <row r="54" spans="1:58">
      <c r="A54" s="3"/>
      <c r="B54" s="4"/>
      <c r="C54" s="3"/>
      <c r="D54" s="176">
        <v>82.527717404399993</v>
      </c>
      <c r="E54" s="176">
        <v>20.888095385923254</v>
      </c>
      <c r="F54" s="206" t="s">
        <v>1124</v>
      </c>
      <c r="G54" s="3"/>
      <c r="H54" s="176">
        <v>-4.327835455375947</v>
      </c>
      <c r="I54" s="176">
        <v>3.6498064580885634</v>
      </c>
      <c r="J54" s="206" t="s">
        <v>1124</v>
      </c>
      <c r="K54" s="353"/>
      <c r="L54" s="206"/>
      <c r="M54" s="206"/>
      <c r="N54" s="206"/>
      <c r="O54" s="3"/>
      <c r="P54" s="178">
        <v>-79.008034983408152</v>
      </c>
      <c r="Q54" s="178">
        <v>25.913608370103088</v>
      </c>
      <c r="R54" s="206" t="s">
        <v>1124</v>
      </c>
      <c r="S54" s="3"/>
      <c r="T54" s="178">
        <v>81.65030689999999</v>
      </c>
      <c r="U54" s="178">
        <v>13.750564884415198</v>
      </c>
      <c r="V54" s="206" t="s">
        <v>1124</v>
      </c>
      <c r="W54" s="3"/>
      <c r="X54" s="178">
        <v>7.8475178763677889</v>
      </c>
      <c r="Y54" s="178">
        <v>14.706146482580843</v>
      </c>
      <c r="Z54" s="206" t="s">
        <v>1124</v>
      </c>
      <c r="AA54" s="3"/>
      <c r="AB54" s="178">
        <v>7.8782699999999997</v>
      </c>
      <c r="AC54" s="178">
        <v>1.0345586598599998</v>
      </c>
      <c r="AD54" s="206" t="s">
        <v>1124</v>
      </c>
      <c r="AE54" s="3"/>
      <c r="AF54" s="178">
        <v>6.31</v>
      </c>
      <c r="AG54" s="178">
        <v>0.8952186299999999</v>
      </c>
      <c r="AH54" s="206" t="s">
        <v>1124</v>
      </c>
      <c r="AI54" s="3"/>
      <c r="AJ54" s="178">
        <v>-2.1431289999999996</v>
      </c>
      <c r="AK54" s="178">
        <v>0.90807804736399977</v>
      </c>
      <c r="AL54" s="206" t="s">
        <v>1124</v>
      </c>
      <c r="AM54" s="3"/>
      <c r="AN54" s="178">
        <v>-1.6968418500000007</v>
      </c>
      <c r="AO54" s="178">
        <v>1.1967621947028004</v>
      </c>
      <c r="AP54" s="206" t="s">
        <v>1124</v>
      </c>
      <c r="AQ54" s="3"/>
      <c r="AR54" s="178">
        <v>-1.6968418500000007</v>
      </c>
      <c r="AS54" s="178">
        <v>1.1967621947028004</v>
      </c>
      <c r="AT54" s="206" t="s">
        <v>1124</v>
      </c>
      <c r="AU54" s="3"/>
      <c r="AV54" s="178">
        <v>3.6969012999999986</v>
      </c>
      <c r="AW54" s="178">
        <v>0.66814466885029977</v>
      </c>
      <c r="AX54" s="206" t="s">
        <v>1124</v>
      </c>
      <c r="AY54" s="3"/>
      <c r="AZ54" s="178"/>
      <c r="BA54" s="178"/>
      <c r="BB54" s="206"/>
      <c r="BC54" s="3"/>
      <c r="BD54" s="178"/>
      <c r="BE54" s="178"/>
      <c r="BF54" s="350"/>
    </row>
    <row r="55" spans="1:58">
      <c r="A55" s="3"/>
      <c r="B55" s="4"/>
      <c r="C55" s="3"/>
      <c r="D55" s="176"/>
      <c r="E55" s="176"/>
      <c r="F55" s="206"/>
      <c r="G55" s="3"/>
      <c r="H55" s="176"/>
      <c r="I55" s="176"/>
      <c r="J55" s="206"/>
      <c r="K55" s="353"/>
      <c r="L55" s="206"/>
      <c r="M55" s="206"/>
      <c r="N55" s="206"/>
      <c r="O55" s="3"/>
      <c r="P55" s="178"/>
      <c r="Q55" s="178"/>
      <c r="R55" s="206"/>
      <c r="S55" s="3"/>
      <c r="T55" s="178"/>
      <c r="U55" s="178"/>
      <c r="V55" s="206"/>
      <c r="W55" s="78"/>
      <c r="X55" s="47"/>
      <c r="Y55" s="47"/>
      <c r="Z55" s="47"/>
      <c r="AA55" s="3"/>
      <c r="AB55" s="9"/>
      <c r="AC55" s="9"/>
      <c r="AD55" s="4"/>
      <c r="AE55" s="3"/>
      <c r="AF55" s="9"/>
      <c r="AG55" s="9"/>
      <c r="AH55" s="4"/>
      <c r="AI55" s="3"/>
      <c r="AJ55" s="9"/>
      <c r="AK55" s="9"/>
      <c r="AL55" s="4"/>
      <c r="AM55" s="3"/>
      <c r="AN55" s="9"/>
      <c r="AO55" s="9"/>
      <c r="AP55" s="4"/>
      <c r="AQ55" s="3"/>
      <c r="AR55" s="9"/>
      <c r="AS55" s="9"/>
      <c r="AT55" s="4"/>
      <c r="AU55" s="3"/>
      <c r="AV55" s="9"/>
      <c r="AW55" s="9"/>
      <c r="AX55" s="4"/>
      <c r="AY55" s="3"/>
      <c r="AZ55" s="9"/>
      <c r="BA55" s="9"/>
      <c r="BB55" s="4"/>
      <c r="BC55" s="3"/>
      <c r="BD55" s="9"/>
      <c r="BE55" s="9"/>
      <c r="BF55" s="122"/>
    </row>
    <row r="56" spans="1:58">
      <c r="A56" s="3" t="s">
        <v>28</v>
      </c>
      <c r="B56" s="4" t="s">
        <v>29</v>
      </c>
      <c r="C56" s="157">
        <v>58.079360630807301</v>
      </c>
      <c r="D56" s="30" t="s">
        <v>2855</v>
      </c>
      <c r="E56" s="30" t="s">
        <v>2855</v>
      </c>
      <c r="F56" s="30" t="s">
        <v>2743</v>
      </c>
      <c r="G56" s="157">
        <v>-4.0205512561166001</v>
      </c>
      <c r="H56" s="30" t="s">
        <v>2855</v>
      </c>
      <c r="I56" s="30" t="s">
        <v>2855</v>
      </c>
      <c r="J56" s="30" t="s">
        <v>2743</v>
      </c>
      <c r="K56" s="157">
        <v>-4.1254427325704004</v>
      </c>
      <c r="L56" s="113">
        <v>-4.1254427325704004</v>
      </c>
      <c r="M56" s="30">
        <v>15.466074730087835</v>
      </c>
      <c r="N56" s="355" t="s">
        <v>1498</v>
      </c>
      <c r="O56" s="157">
        <v>-59.813803363377701</v>
      </c>
      <c r="P56" s="30" t="s">
        <v>2855</v>
      </c>
      <c r="Q56" s="30" t="s">
        <v>2855</v>
      </c>
      <c r="R56" s="30" t="s">
        <v>2743</v>
      </c>
      <c r="S56" s="157">
        <v>59.710852874934901</v>
      </c>
      <c r="T56" s="30" t="s">
        <v>2855</v>
      </c>
      <c r="U56" s="30" t="s">
        <v>2855</v>
      </c>
      <c r="V56" s="30" t="s">
        <v>2743</v>
      </c>
      <c r="W56" s="157">
        <v>-0.102551444534927</v>
      </c>
      <c r="X56" s="30" t="s">
        <v>2855</v>
      </c>
      <c r="Y56" s="30" t="s">
        <v>2855</v>
      </c>
      <c r="Z56" s="300" t="s">
        <v>2743</v>
      </c>
      <c r="AA56" s="157">
        <v>7.9034344741726601</v>
      </c>
      <c r="AB56" s="30">
        <v>7.8681709975760699</v>
      </c>
      <c r="AC56" s="30">
        <v>0.32480248191078198</v>
      </c>
      <c r="AD56" s="30" t="s">
        <v>2743</v>
      </c>
      <c r="AE56" s="157">
        <v>5.1825842250349501</v>
      </c>
      <c r="AF56" s="30">
        <v>5.13339171914002</v>
      </c>
      <c r="AG56" s="30">
        <v>0.55636135821940702</v>
      </c>
      <c r="AH56" s="30" t="s">
        <v>2743</v>
      </c>
      <c r="AI56" s="157">
        <v>-2.7032979508132202</v>
      </c>
      <c r="AJ56" s="30">
        <v>-2.72078344327526</v>
      </c>
      <c r="AK56" s="30">
        <v>0.59198661036998002</v>
      </c>
      <c r="AL56" s="30" t="s">
        <v>2743</v>
      </c>
      <c r="AM56" s="157">
        <v>-2.0711420692820863</v>
      </c>
      <c r="AN56" s="30">
        <v>-2.3273067953855566</v>
      </c>
      <c r="AO56" s="30">
        <v>0.57570977603467899</v>
      </c>
      <c r="AP56" s="30" t="s">
        <v>2743</v>
      </c>
      <c r="AQ56" s="157">
        <v>-2.76498696422111</v>
      </c>
      <c r="AR56" s="30">
        <v>-3.0149355087506899</v>
      </c>
      <c r="AS56" s="30">
        <v>0.55374653792966699</v>
      </c>
      <c r="AT56" s="30" t="s">
        <v>2743</v>
      </c>
      <c r="AU56" s="157">
        <v>2.4288744693717401</v>
      </c>
      <c r="AV56" s="30" t="s">
        <v>2855</v>
      </c>
      <c r="AW56" s="30" t="s">
        <v>2855</v>
      </c>
      <c r="AX56" s="30" t="s">
        <v>2743</v>
      </c>
      <c r="AY56" s="157" t="s">
        <v>2855</v>
      </c>
      <c r="AZ56" s="30" t="s">
        <v>2855</v>
      </c>
      <c r="BA56" s="30" t="s">
        <v>2855</v>
      </c>
      <c r="BB56" s="30" t="s">
        <v>558</v>
      </c>
      <c r="BC56" s="157">
        <v>133</v>
      </c>
      <c r="BD56" s="30">
        <v>133</v>
      </c>
      <c r="BE56" s="30">
        <v>39.9</v>
      </c>
      <c r="BF56" s="300" t="s">
        <v>558</v>
      </c>
    </row>
    <row r="57" spans="1:58">
      <c r="A57" s="3"/>
      <c r="B57" s="171">
        <v>278.30799999999999</v>
      </c>
      <c r="C57" s="157">
        <v>10.1774167955957</v>
      </c>
      <c r="D57" s="30">
        <v>58.079360630807301</v>
      </c>
      <c r="E57" s="30">
        <v>10.1774167955957</v>
      </c>
      <c r="F57" s="8" t="s">
        <v>2742</v>
      </c>
      <c r="G57" s="157">
        <v>13.842475897571999</v>
      </c>
      <c r="H57" s="30">
        <v>-4.0205512561166001</v>
      </c>
      <c r="I57" s="30">
        <v>13.842475897571999</v>
      </c>
      <c r="J57" s="8" t="s">
        <v>2742</v>
      </c>
      <c r="K57" s="158">
        <v>15.466074730087835</v>
      </c>
      <c r="L57" s="113">
        <v>-4.1231027006515273</v>
      </c>
      <c r="M57" s="113">
        <v>17.027217729568203</v>
      </c>
      <c r="N57" s="13" t="s">
        <v>1499</v>
      </c>
      <c r="O57" s="157">
        <v>11.645585211804001</v>
      </c>
      <c r="P57" s="30">
        <v>-59.813803363377701</v>
      </c>
      <c r="Q57" s="30">
        <v>11.645585211804001</v>
      </c>
      <c r="R57" s="8" t="s">
        <v>2742</v>
      </c>
      <c r="S57" s="157">
        <v>12.219917856728401</v>
      </c>
      <c r="T57" s="30">
        <v>59.710852874934901</v>
      </c>
      <c r="U57" s="30">
        <v>12.219917856728401</v>
      </c>
      <c r="V57" s="8" t="s">
        <v>2742</v>
      </c>
      <c r="W57" s="157">
        <v>9.9152410275928293</v>
      </c>
      <c r="X57" s="30">
        <v>-0.102551444534927</v>
      </c>
      <c r="Y57" s="30">
        <v>9.9152410275928293</v>
      </c>
      <c r="Z57" s="498" t="s">
        <v>2742</v>
      </c>
      <c r="AA57" s="157">
        <v>0.38670838059241502</v>
      </c>
      <c r="AB57" s="30">
        <v>7.9034344741726601</v>
      </c>
      <c r="AC57" s="30">
        <v>0.38670838059241502</v>
      </c>
      <c r="AD57" s="8" t="s">
        <v>2742</v>
      </c>
      <c r="AE57" s="157">
        <v>0.62412013157611601</v>
      </c>
      <c r="AF57" s="30">
        <v>5.1825842250349501</v>
      </c>
      <c r="AG57" s="30">
        <v>0.62412013157611601</v>
      </c>
      <c r="AH57" s="8" t="s">
        <v>2742</v>
      </c>
      <c r="AI57" s="157">
        <v>0.654306674999108</v>
      </c>
      <c r="AJ57" s="30">
        <v>-2.7032979508132202</v>
      </c>
      <c r="AK57" s="30">
        <v>0.654306674999108</v>
      </c>
      <c r="AL57" s="8" t="s">
        <v>2742</v>
      </c>
      <c r="AM57" s="157">
        <v>0.56447045251161698</v>
      </c>
      <c r="AN57" s="30">
        <v>-2.0711420692820863</v>
      </c>
      <c r="AO57" s="30">
        <v>0.56447045251161698</v>
      </c>
      <c r="AP57" s="8" t="s">
        <v>2742</v>
      </c>
      <c r="AQ57" s="157">
        <v>0.63932142420777505</v>
      </c>
      <c r="AR57" s="30">
        <v>-2.76498696422111</v>
      </c>
      <c r="AS57" s="30">
        <v>0.63932142420777505</v>
      </c>
      <c r="AT57" s="8" t="s">
        <v>2742</v>
      </c>
      <c r="AU57" s="157">
        <v>0.61241725802990898</v>
      </c>
      <c r="AV57" s="30">
        <v>2.4288744693717401</v>
      </c>
      <c r="AW57" s="30">
        <v>0.61241725802990898</v>
      </c>
      <c r="AX57" s="8" t="s">
        <v>2742</v>
      </c>
      <c r="AY57" s="157" t="s">
        <v>2855</v>
      </c>
      <c r="AZ57" s="30"/>
      <c r="BA57" s="30"/>
      <c r="BB57" s="101"/>
      <c r="BC57" s="157">
        <v>39.9</v>
      </c>
      <c r="BD57" s="30"/>
      <c r="BE57" s="30"/>
      <c r="BF57" s="277"/>
    </row>
    <row r="58" spans="1:58">
      <c r="A58" s="3"/>
      <c r="B58" s="171"/>
      <c r="C58" s="3"/>
      <c r="D58" s="206">
        <v>53.6</v>
      </c>
      <c r="E58" s="206">
        <v>3.825079229938297</v>
      </c>
      <c r="F58" s="206" t="s">
        <v>558</v>
      </c>
      <c r="G58" s="3"/>
      <c r="H58" s="206" t="s">
        <v>2855</v>
      </c>
      <c r="I58" s="206" t="s">
        <v>2855</v>
      </c>
      <c r="J58" s="206" t="s">
        <v>558</v>
      </c>
      <c r="K58" s="353"/>
      <c r="L58" s="344">
        <v>7.7463969104641137</v>
      </c>
      <c r="M58" s="344">
        <v>11.139322102197562</v>
      </c>
      <c r="N58" s="206" t="s">
        <v>1124</v>
      </c>
      <c r="O58" s="3"/>
      <c r="P58" s="206">
        <v>-62.949999999999996</v>
      </c>
      <c r="Q58" s="206">
        <v>14.354267658086917</v>
      </c>
      <c r="R58" s="206" t="s">
        <v>558</v>
      </c>
      <c r="S58" s="3"/>
      <c r="T58" s="206" t="s">
        <v>2855</v>
      </c>
      <c r="U58" s="206" t="s">
        <v>2855</v>
      </c>
      <c r="V58" s="206" t="s">
        <v>558</v>
      </c>
      <c r="W58" s="3"/>
      <c r="X58" s="206">
        <v>1.7750031651834997</v>
      </c>
      <c r="Y58" s="344">
        <v>0.5325009495550499</v>
      </c>
      <c r="Z58" s="206" t="s">
        <v>558</v>
      </c>
      <c r="AA58" s="3"/>
      <c r="AB58" s="206">
        <v>8.0706983277410878</v>
      </c>
      <c r="AC58" s="206">
        <v>0.33842367040711524</v>
      </c>
      <c r="AD58" s="206" t="s">
        <v>558</v>
      </c>
      <c r="AE58" s="3"/>
      <c r="AF58" s="206">
        <v>4.3640545625498985</v>
      </c>
      <c r="AG58" s="206">
        <v>0.29848184496956309</v>
      </c>
      <c r="AH58" s="206" t="s">
        <v>558</v>
      </c>
      <c r="AI58" s="3"/>
      <c r="AJ58" s="206" t="s">
        <v>2855</v>
      </c>
      <c r="AK58" s="206" t="s">
        <v>2855</v>
      </c>
      <c r="AL58" s="206" t="s">
        <v>558</v>
      </c>
      <c r="AM58" s="3"/>
      <c r="AN58" s="206">
        <v>-1.4557851489072775</v>
      </c>
      <c r="AO58" s="206">
        <v>0.6989253451415276</v>
      </c>
      <c r="AP58" s="206" t="s">
        <v>558</v>
      </c>
      <c r="AQ58" s="3"/>
      <c r="AR58" s="206">
        <v>-1.4557851489072775</v>
      </c>
      <c r="AS58" s="206">
        <v>0.6989253451415276</v>
      </c>
      <c r="AT58" s="206" t="s">
        <v>558</v>
      </c>
      <c r="AU58" s="3"/>
      <c r="AV58" s="206" t="s">
        <v>2855</v>
      </c>
      <c r="AW58" s="206" t="s">
        <v>2855</v>
      </c>
      <c r="AX58" s="206" t="s">
        <v>558</v>
      </c>
      <c r="AY58" s="3"/>
      <c r="AZ58" s="52"/>
      <c r="BA58" s="52"/>
      <c r="BB58" s="52"/>
      <c r="BC58" s="3"/>
      <c r="BF58" s="42"/>
    </row>
    <row r="59" spans="1:58">
      <c r="A59" s="3"/>
      <c r="B59" s="171"/>
      <c r="C59" s="3"/>
      <c r="D59" s="176">
        <v>87.041681242400003</v>
      </c>
      <c r="E59" s="176">
        <v>22.03059768917641</v>
      </c>
      <c r="F59" s="206" t="s">
        <v>1124</v>
      </c>
      <c r="G59" s="3"/>
      <c r="H59" s="176">
        <v>14.26040524040792</v>
      </c>
      <c r="I59" s="176">
        <v>12.026270332608933</v>
      </c>
      <c r="J59" s="206" t="s">
        <v>1124</v>
      </c>
      <c r="K59" s="353"/>
      <c r="L59" s="206"/>
      <c r="M59" s="206"/>
      <c r="N59" s="206"/>
      <c r="O59" s="3"/>
      <c r="P59" s="178">
        <v>-79.295284331935889</v>
      </c>
      <c r="Q59" s="178">
        <v>26.007822422178656</v>
      </c>
      <c r="R59" s="206" t="s">
        <v>1124</v>
      </c>
      <c r="S59" s="3"/>
      <c r="T59" s="178">
        <v>70.2114282</v>
      </c>
      <c r="U59" s="178">
        <v>11.8241662003056</v>
      </c>
      <c r="V59" s="206" t="s">
        <v>1124</v>
      </c>
      <c r="W59" s="3"/>
      <c r="X59" s="178">
        <v>-6.5140083299438061</v>
      </c>
      <c r="Y59" s="178">
        <v>12.207166928206403</v>
      </c>
      <c r="Z59" s="206" t="s">
        <v>1124</v>
      </c>
      <c r="AA59" s="3"/>
      <c r="AB59" s="178">
        <v>8.4114000000000004</v>
      </c>
      <c r="AC59" s="178">
        <v>1.1045682252</v>
      </c>
      <c r="AD59" s="206" t="s">
        <v>1124</v>
      </c>
      <c r="AE59" s="3"/>
      <c r="AF59" s="178">
        <v>5.39</v>
      </c>
      <c r="AG59" s="178">
        <v>0.76469546999999993</v>
      </c>
      <c r="AH59" s="206" t="s">
        <v>1124</v>
      </c>
      <c r="AI59" s="3"/>
      <c r="AJ59" s="178">
        <v>-3.5046020000000007</v>
      </c>
      <c r="AK59" s="178">
        <v>1.4849559410320001</v>
      </c>
      <c r="AL59" s="206" t="s">
        <v>1124</v>
      </c>
      <c r="AM59" s="3"/>
      <c r="AN59" s="178">
        <v>-2.4294893100000001</v>
      </c>
      <c r="AO59" s="178">
        <v>1.71348965647128</v>
      </c>
      <c r="AP59" s="206" t="s">
        <v>1124</v>
      </c>
      <c r="AQ59" s="3"/>
      <c r="AR59" s="178">
        <v>-2.4294893100000001</v>
      </c>
      <c r="AS59" s="178">
        <v>1.71348965647128</v>
      </c>
      <c r="AT59" s="206" t="s">
        <v>1124</v>
      </c>
      <c r="AU59" s="3"/>
      <c r="AV59" s="178">
        <v>3.0542393999999984</v>
      </c>
      <c r="AW59" s="178">
        <v>0.5519957410013997</v>
      </c>
      <c r="AX59" s="206" t="s">
        <v>1124</v>
      </c>
      <c r="AY59" s="3"/>
      <c r="AZ59" s="178"/>
      <c r="BA59" s="178"/>
      <c r="BB59" s="206"/>
      <c r="BC59" s="3"/>
      <c r="BD59" s="178"/>
      <c r="BE59" s="178"/>
      <c r="BF59" s="350"/>
    </row>
    <row r="60" spans="1:58">
      <c r="A60" s="3"/>
      <c r="B60" s="171"/>
      <c r="C60" s="157"/>
      <c r="D60" s="206"/>
      <c r="E60" s="206"/>
      <c r="F60" s="206"/>
      <c r="G60" s="157"/>
      <c r="H60" s="70"/>
      <c r="I60" s="70"/>
      <c r="J60" s="70"/>
      <c r="K60" s="83"/>
      <c r="L60" s="70"/>
      <c r="M60" s="70"/>
      <c r="N60" s="70"/>
      <c r="O60" s="191"/>
      <c r="P60" s="323"/>
      <c r="Q60" s="323"/>
      <c r="R60" s="180"/>
      <c r="S60" s="191"/>
      <c r="T60" s="318"/>
      <c r="U60" s="318"/>
      <c r="V60" s="70"/>
      <c r="W60" s="191"/>
      <c r="X60" s="318"/>
      <c r="Y60" s="318"/>
      <c r="Z60" s="70"/>
      <c r="AA60" s="3"/>
      <c r="AB60" s="9"/>
      <c r="AC60" s="9"/>
      <c r="AD60" s="4"/>
      <c r="AE60" s="3"/>
      <c r="AF60" s="9"/>
      <c r="AG60" s="9"/>
      <c r="AH60" s="4"/>
      <c r="AI60" s="3"/>
      <c r="AJ60" s="9"/>
      <c r="AK60" s="9"/>
      <c r="AL60" s="4"/>
      <c r="AM60" s="3"/>
      <c r="AN60" s="9"/>
      <c r="AO60" s="9"/>
      <c r="AP60" s="4"/>
      <c r="AQ60" s="3"/>
      <c r="AR60" s="9"/>
      <c r="AS60" s="9"/>
      <c r="AT60" s="4"/>
      <c r="AU60" s="3"/>
      <c r="AV60" s="9"/>
      <c r="AW60" s="9"/>
      <c r="AX60" s="4"/>
      <c r="AY60" s="3"/>
      <c r="AZ60" s="9"/>
      <c r="BA60" s="9"/>
      <c r="BB60" s="4"/>
      <c r="BC60" s="3"/>
      <c r="BD60" s="9"/>
      <c r="BE60" s="9"/>
      <c r="BF60" s="122"/>
    </row>
    <row r="61" spans="1:58">
      <c r="A61" s="3" t="s">
        <v>322</v>
      </c>
      <c r="B61" s="4" t="s">
        <v>323</v>
      </c>
      <c r="C61" s="157">
        <v>60.516519255099801</v>
      </c>
      <c r="D61" s="30" t="s">
        <v>2855</v>
      </c>
      <c r="E61" s="30" t="s">
        <v>2855</v>
      </c>
      <c r="F61" s="30" t="s">
        <v>2743</v>
      </c>
      <c r="G61" s="157">
        <v>-23.901570188792501</v>
      </c>
      <c r="H61" s="30" t="s">
        <v>2855</v>
      </c>
      <c r="I61" s="30" t="s">
        <v>2855</v>
      </c>
      <c r="J61" s="30" t="s">
        <v>2743</v>
      </c>
      <c r="K61" s="157">
        <v>-19.093224163485303</v>
      </c>
      <c r="L61" s="113">
        <v>-19.093224163485303</v>
      </c>
      <c r="M61" s="30">
        <v>14.949470247030238</v>
      </c>
      <c r="N61" s="355" t="s">
        <v>1498</v>
      </c>
      <c r="O61" s="157">
        <v>-77.218743418585106</v>
      </c>
      <c r="P61" s="30" t="s">
        <v>2855</v>
      </c>
      <c r="Q61" s="30" t="s">
        <v>2855</v>
      </c>
      <c r="R61" s="30" t="s">
        <v>2743</v>
      </c>
      <c r="S61" s="157">
        <v>82.024972430536707</v>
      </c>
      <c r="T61" s="30" t="s">
        <v>2855</v>
      </c>
      <c r="U61" s="30" t="s">
        <v>2855</v>
      </c>
      <c r="V61" s="30" t="s">
        <v>2743</v>
      </c>
      <c r="W61" s="157">
        <v>4.8046259583034496</v>
      </c>
      <c r="X61" s="30" t="s">
        <v>2855</v>
      </c>
      <c r="Y61" s="30" t="s">
        <v>2855</v>
      </c>
      <c r="Z61" s="300" t="s">
        <v>2743</v>
      </c>
      <c r="AA61" s="157">
        <v>8.1763409261796802</v>
      </c>
      <c r="AB61" s="30">
        <v>8.1204682571706801</v>
      </c>
      <c r="AC61" s="30">
        <v>0.23425858350218101</v>
      </c>
      <c r="AD61" s="30" t="s">
        <v>2743</v>
      </c>
      <c r="AE61" s="157">
        <v>6.00044655934256</v>
      </c>
      <c r="AF61" s="30">
        <v>6.03366538433401</v>
      </c>
      <c r="AG61" s="30">
        <v>0.23483557889555401</v>
      </c>
      <c r="AH61" s="30" t="s">
        <v>2743</v>
      </c>
      <c r="AI61" s="157">
        <v>-2.1319008922850702</v>
      </c>
      <c r="AJ61" s="30">
        <v>-2.0369610529692701</v>
      </c>
      <c r="AK61" s="30">
        <v>0.211380489756858</v>
      </c>
      <c r="AL61" s="30" t="s">
        <v>2743</v>
      </c>
      <c r="AM61" s="157">
        <v>-0.85290698013769584</v>
      </c>
      <c r="AN61" s="30">
        <v>-0.77973398767516633</v>
      </c>
      <c r="AO61" s="30">
        <v>0.23043944558300999</v>
      </c>
      <c r="AP61" s="30" t="s">
        <v>2743</v>
      </c>
      <c r="AQ61" s="157">
        <v>-2.0932402356478601</v>
      </c>
      <c r="AR61" s="30">
        <v>-2.1139723939028401</v>
      </c>
      <c r="AS61" s="30">
        <v>0.23073043203770799</v>
      </c>
      <c r="AT61" s="30" t="s">
        <v>2743</v>
      </c>
      <c r="AU61" s="157">
        <v>3.9169343482716799</v>
      </c>
      <c r="AV61" s="30">
        <v>3.93275994485046</v>
      </c>
      <c r="AW61" s="30">
        <v>0.29962222061524002</v>
      </c>
      <c r="AX61" s="30" t="s">
        <v>2743</v>
      </c>
      <c r="AY61" s="157" t="s">
        <v>2855</v>
      </c>
      <c r="AZ61" s="30" t="s">
        <v>2855</v>
      </c>
      <c r="BA61" s="30" t="s">
        <v>2855</v>
      </c>
      <c r="BB61" s="30" t="s">
        <v>558</v>
      </c>
      <c r="BC61" s="157">
        <v>54.949999999999996</v>
      </c>
      <c r="BD61" s="30">
        <v>54.949999999999996</v>
      </c>
      <c r="BE61" s="30">
        <v>1.2379418403139955</v>
      </c>
      <c r="BF61" s="300" t="s">
        <v>558</v>
      </c>
    </row>
    <row r="62" spans="1:58">
      <c r="A62" s="3"/>
      <c r="B62" s="171">
        <v>258.40499999999997</v>
      </c>
      <c r="C62" s="157">
        <v>12.214596324134099</v>
      </c>
      <c r="D62" s="30">
        <v>60.516519255099801</v>
      </c>
      <c r="E62" s="30">
        <v>12.214596324134099</v>
      </c>
      <c r="F62" s="8" t="s">
        <v>2742</v>
      </c>
      <c r="G62" s="157">
        <v>9.2097379897017806</v>
      </c>
      <c r="H62" s="30">
        <v>-23.901570188792501</v>
      </c>
      <c r="I62" s="30">
        <v>9.2097379897017806</v>
      </c>
      <c r="J62" s="8" t="s">
        <v>2742</v>
      </c>
      <c r="K62" s="158">
        <v>14.949470247030238</v>
      </c>
      <c r="L62" s="113">
        <v>-19.096944230489051</v>
      </c>
      <c r="M62" s="113">
        <v>12.617072076437724</v>
      </c>
      <c r="N62" s="13" t="s">
        <v>1499</v>
      </c>
      <c r="O62" s="157">
        <v>8.6191819394471594</v>
      </c>
      <c r="P62" s="30">
        <v>-77.218743418585106</v>
      </c>
      <c r="Q62" s="30">
        <v>8.6191819394471594</v>
      </c>
      <c r="R62" s="8" t="s">
        <v>2742</v>
      </c>
      <c r="S62" s="157">
        <v>10.211993497956099</v>
      </c>
      <c r="T62" s="30">
        <v>82.024972430536707</v>
      </c>
      <c r="U62" s="30">
        <v>10.211993497956099</v>
      </c>
      <c r="V62" s="8" t="s">
        <v>2742</v>
      </c>
      <c r="W62" s="157">
        <v>8.6238758074933095</v>
      </c>
      <c r="X62" s="30">
        <v>4.8046259583034496</v>
      </c>
      <c r="Y62" s="30">
        <v>8.6238758074933095</v>
      </c>
      <c r="Z62" s="498" t="s">
        <v>2742</v>
      </c>
      <c r="AA62" s="157">
        <v>0.18364291581697001</v>
      </c>
      <c r="AB62" s="30">
        <v>8.1763409261796802</v>
      </c>
      <c r="AC62" s="30">
        <v>0.18364291581697001</v>
      </c>
      <c r="AD62" s="8" t="s">
        <v>2742</v>
      </c>
      <c r="AE62" s="157">
        <v>0.21830621827942201</v>
      </c>
      <c r="AF62" s="30">
        <v>6.00044655934256</v>
      </c>
      <c r="AG62" s="30">
        <v>0.21830621827942201</v>
      </c>
      <c r="AH62" s="8" t="s">
        <v>2742</v>
      </c>
      <c r="AI62" s="157">
        <v>0.20579909266834001</v>
      </c>
      <c r="AJ62" s="30">
        <v>-2.1319008922850702</v>
      </c>
      <c r="AK62" s="30">
        <v>0.20579909266834001</v>
      </c>
      <c r="AL62" s="8" t="s">
        <v>2742</v>
      </c>
      <c r="AM62" s="157">
        <v>0.13014603595539401</v>
      </c>
      <c r="AN62" s="30">
        <v>-0.85290698013769584</v>
      </c>
      <c r="AO62" s="30">
        <v>0.13014603595539401</v>
      </c>
      <c r="AP62" s="8" t="s">
        <v>2742</v>
      </c>
      <c r="AQ62" s="157">
        <v>0.191515417631307</v>
      </c>
      <c r="AR62" s="30">
        <v>-2.0932402356478601</v>
      </c>
      <c r="AS62" s="30">
        <v>0.191515417631307</v>
      </c>
      <c r="AT62" s="8" t="s">
        <v>2742</v>
      </c>
      <c r="AU62" s="157">
        <v>0.215072185484352</v>
      </c>
      <c r="AV62" s="30">
        <v>3.9169343482716799</v>
      </c>
      <c r="AW62" s="30">
        <v>0.215072185484352</v>
      </c>
      <c r="AX62" s="8" t="s">
        <v>2742</v>
      </c>
      <c r="AY62" s="157" t="s">
        <v>2855</v>
      </c>
      <c r="AZ62" s="30"/>
      <c r="BA62" s="30"/>
      <c r="BB62" s="101"/>
      <c r="BC62" s="157">
        <v>1.2379418403139955</v>
      </c>
      <c r="BD62" s="30"/>
      <c r="BE62" s="30"/>
      <c r="BF62" s="277"/>
    </row>
    <row r="63" spans="1:58">
      <c r="A63" s="3"/>
      <c r="B63" s="4"/>
      <c r="C63" s="3"/>
      <c r="D63" s="206" t="s">
        <v>2855</v>
      </c>
      <c r="E63" s="206" t="s">
        <v>2855</v>
      </c>
      <c r="F63" s="206" t="s">
        <v>558</v>
      </c>
      <c r="G63" s="3"/>
      <c r="H63" s="206">
        <v>-28.986481274746431</v>
      </c>
      <c r="I63" s="206">
        <v>8.6959443824239298</v>
      </c>
      <c r="J63" s="206" t="s">
        <v>558</v>
      </c>
      <c r="K63" s="353"/>
      <c r="L63" s="344">
        <v>3.8713379936082077</v>
      </c>
      <c r="M63" s="344">
        <v>5.5669857064803256</v>
      </c>
      <c r="N63" s="206" t="s">
        <v>1124</v>
      </c>
      <c r="O63" s="3"/>
      <c r="P63" s="206">
        <v>-72.400000000000006</v>
      </c>
      <c r="Q63" s="206">
        <v>4.5871252656922916</v>
      </c>
      <c r="R63" s="206" t="s">
        <v>558</v>
      </c>
      <c r="S63" s="3"/>
      <c r="T63" s="206" t="s">
        <v>2855</v>
      </c>
      <c r="U63" s="206" t="s">
        <v>2855</v>
      </c>
      <c r="V63" s="206" t="s">
        <v>558</v>
      </c>
      <c r="W63" s="3"/>
      <c r="X63" s="345">
        <v>3.8287384926305001E-3</v>
      </c>
      <c r="Y63" s="345">
        <v>1.14862154778915E-3</v>
      </c>
      <c r="Z63" s="206" t="s">
        <v>558</v>
      </c>
      <c r="AA63" s="3"/>
      <c r="AB63" s="206">
        <v>8.24</v>
      </c>
      <c r="AC63" s="206">
        <v>0.21216202104952314</v>
      </c>
      <c r="AD63" s="206" t="s">
        <v>558</v>
      </c>
      <c r="AE63" s="3"/>
      <c r="AF63" s="206">
        <v>5.9125000000000014</v>
      </c>
      <c r="AG63" s="206">
        <v>0.21213203435596412</v>
      </c>
      <c r="AH63" s="206" t="s">
        <v>558</v>
      </c>
      <c r="AI63" s="3"/>
      <c r="AJ63" s="206">
        <v>-1.8248709242369081</v>
      </c>
      <c r="AK63" s="206">
        <v>0.36497418484738164</v>
      </c>
      <c r="AL63" s="206" t="s">
        <v>558</v>
      </c>
      <c r="AM63" s="3"/>
      <c r="AN63" s="206">
        <v>-0.86974289568179053</v>
      </c>
      <c r="AO63" s="206">
        <v>0.13799721384216915</v>
      </c>
      <c r="AP63" s="206" t="s">
        <v>558</v>
      </c>
      <c r="AQ63" s="3"/>
      <c r="AR63" s="206">
        <v>-0.86974289568179053</v>
      </c>
      <c r="AS63" s="206">
        <v>0.13799721384216915</v>
      </c>
      <c r="AT63" s="206" t="s">
        <v>558</v>
      </c>
      <c r="AU63" s="3"/>
      <c r="AV63" s="206" t="s">
        <v>2855</v>
      </c>
      <c r="AW63" s="206" t="s">
        <v>2855</v>
      </c>
      <c r="AX63" s="206" t="s">
        <v>558</v>
      </c>
      <c r="AY63" s="3"/>
      <c r="AZ63" s="52"/>
      <c r="BA63" s="52"/>
      <c r="BB63" s="52"/>
      <c r="BC63" s="3"/>
      <c r="BF63" s="42"/>
    </row>
    <row r="64" spans="1:58">
      <c r="A64" s="3"/>
      <c r="B64" s="4"/>
      <c r="C64" s="3"/>
      <c r="D64" s="176">
        <v>83.718157117680008</v>
      </c>
      <c r="E64" s="176">
        <v>21.189400439113282</v>
      </c>
      <c r="F64" s="206" t="s">
        <v>1124</v>
      </c>
      <c r="G64" s="3"/>
      <c r="H64" s="176">
        <v>-4.5920132111919969</v>
      </c>
      <c r="I64" s="176">
        <v>3.8725962774341802</v>
      </c>
      <c r="J64" s="206" t="s">
        <v>1124</v>
      </c>
      <c r="K64" s="353"/>
      <c r="L64" s="206"/>
      <c r="M64" s="206"/>
      <c r="N64" s="206"/>
      <c r="O64" s="3"/>
      <c r="P64" s="178">
        <v>-79.8468191240718</v>
      </c>
      <c r="Q64" s="178">
        <v>26.188718664046934</v>
      </c>
      <c r="R64" s="206" t="s">
        <v>1124</v>
      </c>
      <c r="S64" s="3"/>
      <c r="T64" s="178">
        <v>80.655651899999995</v>
      </c>
      <c r="U64" s="178">
        <v>13.583057025175199</v>
      </c>
      <c r="V64" s="206" t="s">
        <v>1124</v>
      </c>
      <c r="W64" s="3"/>
      <c r="X64" s="178">
        <v>8.4633512048002046</v>
      </c>
      <c r="Y64" s="178">
        <v>15.860210134229922</v>
      </c>
      <c r="Z64" s="206" t="s">
        <v>1124</v>
      </c>
      <c r="AA64" s="3"/>
      <c r="AB64" s="178">
        <v>7.9268700000000001</v>
      </c>
      <c r="AC64" s="178">
        <v>1.04094071466</v>
      </c>
      <c r="AD64" s="206" t="s">
        <v>1124</v>
      </c>
      <c r="AE64" s="3"/>
      <c r="AF64" s="178">
        <v>6.35</v>
      </c>
      <c r="AG64" s="178">
        <v>0.90089354999999993</v>
      </c>
      <c r="AH64" s="206" t="s">
        <v>1124</v>
      </c>
      <c r="AI64" s="3"/>
      <c r="AJ64" s="178">
        <v>-1.9556290000000005</v>
      </c>
      <c r="AK64" s="178">
        <v>0.82863129736400021</v>
      </c>
      <c r="AL64" s="206" t="s">
        <v>1124</v>
      </c>
      <c r="AM64" s="3"/>
      <c r="AN64" s="178">
        <v>-1.8752392300000007</v>
      </c>
      <c r="AO64" s="178">
        <v>1.3225837260482405</v>
      </c>
      <c r="AP64" s="206" t="s">
        <v>1124</v>
      </c>
      <c r="AQ64" s="3"/>
      <c r="AR64" s="178">
        <v>-1.8752392300000007</v>
      </c>
      <c r="AS64" s="178">
        <v>1.3225837260482405</v>
      </c>
      <c r="AT64" s="206" t="s">
        <v>1124</v>
      </c>
      <c r="AU64" s="3"/>
      <c r="AV64" s="178">
        <v>3.7568212999999977</v>
      </c>
      <c r="AW64" s="178">
        <v>0.67897407037029955</v>
      </c>
      <c r="AX64" s="206" t="s">
        <v>1124</v>
      </c>
      <c r="AY64" s="3"/>
      <c r="AZ64" s="178"/>
      <c r="BA64" s="178"/>
      <c r="BB64" s="206"/>
      <c r="BC64" s="3"/>
      <c r="BD64" s="178"/>
      <c r="BE64" s="178"/>
      <c r="BF64" s="350"/>
    </row>
    <row r="65" spans="1:58">
      <c r="A65" s="3"/>
      <c r="B65" s="4"/>
      <c r="C65" s="3"/>
      <c r="D65" s="4"/>
      <c r="E65" s="4"/>
      <c r="F65" s="4"/>
      <c r="G65" s="3"/>
      <c r="H65" s="166"/>
      <c r="I65" s="166"/>
      <c r="J65" s="4"/>
      <c r="K65" s="3"/>
      <c r="L65" s="4"/>
      <c r="M65" s="4"/>
      <c r="N65" s="4"/>
      <c r="O65" s="3"/>
      <c r="P65" s="4"/>
      <c r="Q65" s="4"/>
      <c r="R65" s="4"/>
      <c r="S65" s="3"/>
      <c r="T65" s="4"/>
      <c r="U65" s="4"/>
      <c r="V65" s="4"/>
      <c r="W65" s="3"/>
      <c r="X65" s="9"/>
      <c r="Y65" s="9"/>
      <c r="Z65" s="4"/>
      <c r="AA65" s="3"/>
      <c r="AB65" s="9"/>
      <c r="AC65" s="9"/>
      <c r="AD65" s="4"/>
      <c r="AE65" s="3"/>
      <c r="AF65" s="9"/>
      <c r="AG65" s="9"/>
      <c r="AH65" s="4"/>
      <c r="AI65" s="3"/>
      <c r="AJ65" s="9"/>
      <c r="AK65" s="9"/>
      <c r="AL65" s="4"/>
      <c r="AM65" s="3"/>
      <c r="AN65" s="9"/>
      <c r="AO65" s="9"/>
      <c r="AP65" s="4"/>
      <c r="AQ65" s="3"/>
      <c r="AR65" s="9"/>
      <c r="AS65" s="9"/>
      <c r="AT65" s="4"/>
      <c r="AU65" s="3"/>
      <c r="AV65" s="9"/>
      <c r="AW65" s="9"/>
      <c r="AX65" s="4"/>
      <c r="AY65" s="3"/>
      <c r="AZ65" s="9"/>
      <c r="BA65" s="9"/>
      <c r="BB65" s="4"/>
      <c r="BC65" s="3"/>
      <c r="BD65" s="9"/>
      <c r="BE65" s="9"/>
      <c r="BF65" s="122"/>
    </row>
    <row r="66" spans="1:58">
      <c r="A66" s="3" t="s">
        <v>30</v>
      </c>
      <c r="B66" s="4" t="s">
        <v>31</v>
      </c>
      <c r="C66" s="157">
        <v>86.299305835356407</v>
      </c>
      <c r="D66" s="30">
        <v>86.045520399072103</v>
      </c>
      <c r="E66" s="30">
        <v>1.9171768039377799</v>
      </c>
      <c r="F66" s="30" t="s">
        <v>2743</v>
      </c>
      <c r="G66" s="157">
        <v>16.018315529616899</v>
      </c>
      <c r="H66" s="30">
        <v>14.171716466396401</v>
      </c>
      <c r="I66" s="30">
        <v>3.3756814007758802</v>
      </c>
      <c r="J66" s="30" t="s">
        <v>2743</v>
      </c>
      <c r="K66" s="157">
        <v>13.288497470620205</v>
      </c>
      <c r="L66" s="113">
        <v>13.288497470620205</v>
      </c>
      <c r="M66" s="30">
        <v>3.5521386373675874</v>
      </c>
      <c r="N66" s="355" t="s">
        <v>1498</v>
      </c>
      <c r="O66" s="157">
        <v>-70.619808364736201</v>
      </c>
      <c r="P66" s="30">
        <v>-70.980016474862794</v>
      </c>
      <c r="Q66" s="30">
        <v>1.4179930255034601</v>
      </c>
      <c r="R66" s="30" t="s">
        <v>2743</v>
      </c>
      <c r="S66" s="157">
        <v>67.895840150703805</v>
      </c>
      <c r="T66" s="30">
        <v>69.490647122606106</v>
      </c>
      <c r="U66" s="30">
        <v>3.0004319873770098</v>
      </c>
      <c r="V66" s="30" t="s">
        <v>2743</v>
      </c>
      <c r="W66" s="157">
        <v>-2.7197647639654399</v>
      </c>
      <c r="X66" s="30">
        <v>-1.48255515962017</v>
      </c>
      <c r="Y66" s="30">
        <v>2.7322141078153601</v>
      </c>
      <c r="Z66" s="300" t="s">
        <v>2743</v>
      </c>
      <c r="AA66" s="157">
        <v>8.0723704870270705</v>
      </c>
      <c r="AB66" s="30">
        <v>8.0308013314343292</v>
      </c>
      <c r="AC66" s="30">
        <v>0.20111784036333599</v>
      </c>
      <c r="AD66" s="30" t="s">
        <v>2743</v>
      </c>
      <c r="AE66" s="157">
        <v>5.7105185036412101</v>
      </c>
      <c r="AF66" s="30">
        <v>5.7359685790766797</v>
      </c>
      <c r="AG66" s="30">
        <v>0.25806057845290298</v>
      </c>
      <c r="AH66" s="30" t="s">
        <v>2743</v>
      </c>
      <c r="AI66" s="157">
        <v>-2.3496394728358299</v>
      </c>
      <c r="AJ66" s="30">
        <v>-2.2359148821390198</v>
      </c>
      <c r="AK66" s="30">
        <v>0.14581772512535501</v>
      </c>
      <c r="AL66" s="30" t="s">
        <v>2743</v>
      </c>
      <c r="AM66" s="157">
        <v>-1.1582446085834464</v>
      </c>
      <c r="AN66" s="30">
        <v>-1.1025749907812363</v>
      </c>
      <c r="AO66" s="30">
        <v>0.122947598055512</v>
      </c>
      <c r="AP66" s="30" t="s">
        <v>2743</v>
      </c>
      <c r="AQ66" s="157">
        <v>-2.16682492478972</v>
      </c>
      <c r="AR66" s="30">
        <v>-2.1876347176923701</v>
      </c>
      <c r="AS66" s="30">
        <v>7.4129581354111407E-2</v>
      </c>
      <c r="AT66" s="30" t="s">
        <v>2743</v>
      </c>
      <c r="AU66" s="157">
        <v>3.5357753904757701</v>
      </c>
      <c r="AV66" s="30">
        <v>3.5412287464792298</v>
      </c>
      <c r="AW66" s="30">
        <v>0.243257527300624</v>
      </c>
      <c r="AX66" s="30" t="s">
        <v>2743</v>
      </c>
      <c r="AY66" s="157" t="s">
        <v>2855</v>
      </c>
      <c r="AZ66" s="30" t="s">
        <v>2855</v>
      </c>
      <c r="BA66" s="30" t="s">
        <v>2855</v>
      </c>
      <c r="BB66" s="30" t="s">
        <v>558</v>
      </c>
      <c r="BC66" s="157">
        <v>-20</v>
      </c>
      <c r="BD66" s="30">
        <v>-20</v>
      </c>
      <c r="BE66" s="30">
        <v>6</v>
      </c>
      <c r="BF66" s="300" t="s">
        <v>558</v>
      </c>
    </row>
    <row r="67" spans="1:58">
      <c r="A67" s="3"/>
      <c r="B67" s="171">
        <v>258.40499999999997</v>
      </c>
      <c r="C67" s="157">
        <v>2.5114336972291</v>
      </c>
      <c r="D67" s="30">
        <v>86.299305835356407</v>
      </c>
      <c r="E67" s="30">
        <v>2.5114336972291</v>
      </c>
      <c r="F67" s="8" t="s">
        <v>2742</v>
      </c>
      <c r="G67" s="157">
        <v>4.5050571813864799</v>
      </c>
      <c r="H67" s="30">
        <v>16.018315529616899</v>
      </c>
      <c r="I67" s="30">
        <v>4.5050571813864799</v>
      </c>
      <c r="J67" s="8" t="s">
        <v>2742</v>
      </c>
      <c r="K67" s="158">
        <v>3.5521386373675874</v>
      </c>
      <c r="L67" s="113">
        <v>13.298550765651459</v>
      </c>
      <c r="M67" s="113">
        <v>6.1650774747331427</v>
      </c>
      <c r="N67" s="13" t="s">
        <v>1499</v>
      </c>
      <c r="O67" s="157">
        <v>2.5120489014949201</v>
      </c>
      <c r="P67" s="30">
        <v>-70.619808364736201</v>
      </c>
      <c r="Q67" s="30">
        <v>2.5120489014949201</v>
      </c>
      <c r="R67" s="8" t="s">
        <v>2742</v>
      </c>
      <c r="S67" s="157">
        <v>4.32827989385863</v>
      </c>
      <c r="T67" s="30">
        <v>67.895840150703805</v>
      </c>
      <c r="U67" s="30">
        <v>4.32827989385863</v>
      </c>
      <c r="V67" s="8" t="s">
        <v>2742</v>
      </c>
      <c r="W67" s="157">
        <v>4.2086387421469302</v>
      </c>
      <c r="X67" s="30">
        <v>-2.7197647639654399</v>
      </c>
      <c r="Y67" s="30">
        <v>4.2086387421469302</v>
      </c>
      <c r="Z67" s="498" t="s">
        <v>2742</v>
      </c>
      <c r="AA67" s="157">
        <v>0.194929202151987</v>
      </c>
      <c r="AB67" s="30">
        <v>8.0723704870270705</v>
      </c>
      <c r="AC67" s="30">
        <v>0.194929202151987</v>
      </c>
      <c r="AD67" s="8" t="s">
        <v>2742</v>
      </c>
      <c r="AE67" s="157">
        <v>0.24970236375275501</v>
      </c>
      <c r="AF67" s="30">
        <v>5.7105185036412101</v>
      </c>
      <c r="AG67" s="30">
        <v>0.24970236375275501</v>
      </c>
      <c r="AH67" s="8" t="s">
        <v>2742</v>
      </c>
      <c r="AI67" s="157">
        <v>0.164582715239875</v>
      </c>
      <c r="AJ67" s="30">
        <v>-2.3496394728358299</v>
      </c>
      <c r="AK67" s="30">
        <v>0.164582715239875</v>
      </c>
      <c r="AL67" s="8" t="s">
        <v>2742</v>
      </c>
      <c r="AM67" s="157">
        <v>0.12924400848171999</v>
      </c>
      <c r="AN67" s="30">
        <v>-1.1582446085834464</v>
      </c>
      <c r="AO67" s="30">
        <v>0.12924400848171999</v>
      </c>
      <c r="AP67" s="8" t="s">
        <v>2742</v>
      </c>
      <c r="AQ67" s="157">
        <v>7.5816250244709699E-2</v>
      </c>
      <c r="AR67" s="30">
        <v>-2.16682492478972</v>
      </c>
      <c r="AS67" s="30">
        <v>7.5816250244709699E-2</v>
      </c>
      <c r="AT67" s="8" t="s">
        <v>2742</v>
      </c>
      <c r="AU67" s="157">
        <v>0.23170115220430801</v>
      </c>
      <c r="AV67" s="30">
        <v>3.5357753904757701</v>
      </c>
      <c r="AW67" s="30">
        <v>0.23170115220430801</v>
      </c>
      <c r="AX67" s="8" t="s">
        <v>2742</v>
      </c>
      <c r="AY67" s="157" t="s">
        <v>2855</v>
      </c>
      <c r="AZ67" s="30"/>
      <c r="BA67" s="30"/>
      <c r="BB67" s="101"/>
      <c r="BC67" s="157">
        <v>6</v>
      </c>
      <c r="BD67" s="30"/>
      <c r="BE67" s="30"/>
      <c r="BF67" s="277"/>
    </row>
    <row r="68" spans="1:58">
      <c r="A68" s="3"/>
      <c r="B68" s="4"/>
      <c r="C68" s="3"/>
      <c r="D68" s="206">
        <v>85.300000000000011</v>
      </c>
      <c r="E68" s="206">
        <v>1.9798989873223309</v>
      </c>
      <c r="F68" s="206" t="s">
        <v>558</v>
      </c>
      <c r="G68" s="3"/>
      <c r="H68" s="206">
        <v>23.077500195159161</v>
      </c>
      <c r="I68" s="206">
        <v>6.9232500585477483</v>
      </c>
      <c r="J68" s="206" t="s">
        <v>558</v>
      </c>
      <c r="K68" s="353"/>
      <c r="L68" s="344">
        <v>3.4886218275518104</v>
      </c>
      <c r="M68" s="344">
        <v>5.0166396944316203</v>
      </c>
      <c r="N68" s="206" t="s">
        <v>1124</v>
      </c>
      <c r="O68" s="3"/>
      <c r="P68" s="206">
        <v>-71.349999999999994</v>
      </c>
      <c r="Q68" s="206">
        <v>0.21213203435596226</v>
      </c>
      <c r="R68" s="206" t="s">
        <v>558</v>
      </c>
      <c r="S68" s="3"/>
      <c r="T68" s="206" t="s">
        <v>2855</v>
      </c>
      <c r="U68" s="206" t="s">
        <v>2855</v>
      </c>
      <c r="V68" s="206" t="s">
        <v>558</v>
      </c>
      <c r="W68" s="3"/>
      <c r="X68" s="345">
        <v>4.7093483459355143E-2</v>
      </c>
      <c r="Y68" s="345">
        <v>1.4128045037806541E-2</v>
      </c>
      <c r="Z68" s="206" t="s">
        <v>558</v>
      </c>
      <c r="AA68" s="3"/>
      <c r="AB68" s="206">
        <v>7.9998604803912841</v>
      </c>
      <c r="AC68" s="206">
        <v>0.21232934487882721</v>
      </c>
      <c r="AD68" s="206" t="s">
        <v>558</v>
      </c>
      <c r="AE68" s="3"/>
      <c r="AF68" s="206">
        <v>5.9799999999999995</v>
      </c>
      <c r="AG68" s="206">
        <v>0.4242640687119289</v>
      </c>
      <c r="AH68" s="206" t="s">
        <v>558</v>
      </c>
      <c r="AI68" s="3"/>
      <c r="AJ68" s="206">
        <v>-1.8272184676928935</v>
      </c>
      <c r="AK68" s="206">
        <v>0.36544369353857875</v>
      </c>
      <c r="AL68" s="206" t="s">
        <v>558</v>
      </c>
      <c r="AM68" s="3"/>
      <c r="AN68" s="206">
        <v>-1.2693282965604173</v>
      </c>
      <c r="AO68" s="206">
        <v>0.14121492754984227</v>
      </c>
      <c r="AP68" s="206" t="s">
        <v>558</v>
      </c>
      <c r="AQ68" s="3"/>
      <c r="AR68" s="206">
        <v>-1.2693282965604173</v>
      </c>
      <c r="AS68" s="206">
        <v>0.14121492754984227</v>
      </c>
      <c r="AT68" s="206" t="s">
        <v>558</v>
      </c>
      <c r="AU68" s="3"/>
      <c r="AV68" s="206" t="s">
        <v>2855</v>
      </c>
      <c r="AW68" s="206" t="s">
        <v>2855</v>
      </c>
      <c r="AX68" s="206" t="s">
        <v>558</v>
      </c>
      <c r="AY68" s="3"/>
      <c r="AZ68" s="52"/>
      <c r="BA68" s="52"/>
      <c r="BB68" s="52"/>
      <c r="BC68" s="3"/>
      <c r="BF68" s="42"/>
    </row>
    <row r="69" spans="1:58">
      <c r="A69" s="3"/>
      <c r="B69" s="4"/>
      <c r="C69" s="3"/>
      <c r="D69" s="176">
        <v>81.346364209439997</v>
      </c>
      <c r="E69" s="176">
        <v>20.5890901668661</v>
      </c>
      <c r="F69" s="206" t="s">
        <v>1124</v>
      </c>
      <c r="G69" s="3"/>
      <c r="H69" s="176">
        <v>-2.5594978588399897</v>
      </c>
      <c r="I69" s="176">
        <v>2.1585090077891049</v>
      </c>
      <c r="J69" s="206" t="s">
        <v>1124</v>
      </c>
      <c r="K69" s="353"/>
      <c r="L69" s="206"/>
      <c r="M69" s="206"/>
      <c r="N69" s="206"/>
      <c r="O69" s="3"/>
      <c r="P69" s="178">
        <v>-77.857742381888187</v>
      </c>
      <c r="Q69" s="178">
        <v>25.53632735060836</v>
      </c>
      <c r="R69" s="206" t="s">
        <v>1124</v>
      </c>
      <c r="S69" s="3"/>
      <c r="T69" s="178">
        <v>75.583765099999994</v>
      </c>
      <c r="U69" s="178">
        <v>12.728910712960799</v>
      </c>
      <c r="V69" s="206" t="s">
        <v>1124</v>
      </c>
      <c r="W69" s="3"/>
      <c r="X69" s="178">
        <v>6.0481196863918001</v>
      </c>
      <c r="Y69" s="178">
        <v>11.334097666742311</v>
      </c>
      <c r="Z69" s="206" t="s">
        <v>1124</v>
      </c>
      <c r="AA69" s="3"/>
      <c r="AB69" s="178">
        <v>8.1839600000000008</v>
      </c>
      <c r="AC69" s="178">
        <v>1.07470125928</v>
      </c>
      <c r="AD69" s="206" t="s">
        <v>1124</v>
      </c>
      <c r="AE69" s="3"/>
      <c r="AF69" s="178">
        <v>6.26</v>
      </c>
      <c r="AG69" s="178">
        <v>0.88812497999999995</v>
      </c>
      <c r="AH69" s="206" t="s">
        <v>1124</v>
      </c>
      <c r="AI69" s="3"/>
      <c r="AJ69" s="178">
        <v>-0.96426100000000003</v>
      </c>
      <c r="AK69" s="178">
        <v>0.40857281387599997</v>
      </c>
      <c r="AL69" s="206" t="s">
        <v>1124</v>
      </c>
      <c r="AM69" s="3"/>
      <c r="AN69" s="178">
        <v>-1.5472621000000006</v>
      </c>
      <c r="AO69" s="178">
        <v>1.0912653919848005</v>
      </c>
      <c r="AP69" s="206" t="s">
        <v>1124</v>
      </c>
      <c r="AQ69" s="3"/>
      <c r="AR69" s="178">
        <v>-1.5472621000000006</v>
      </c>
      <c r="AS69" s="178">
        <v>1.0912653919848005</v>
      </c>
      <c r="AT69" s="206" t="s">
        <v>1124</v>
      </c>
      <c r="AU69" s="3"/>
      <c r="AV69" s="178">
        <v>3.9587616999999984</v>
      </c>
      <c r="AW69" s="178">
        <v>0.71547096080269967</v>
      </c>
      <c r="AX69" s="206" t="s">
        <v>1124</v>
      </c>
      <c r="AY69" s="3"/>
      <c r="AZ69" s="178"/>
      <c r="BA69" s="178"/>
      <c r="BB69" s="206"/>
      <c r="BC69" s="3"/>
      <c r="BD69" s="178"/>
      <c r="BE69" s="178"/>
      <c r="BF69" s="350"/>
    </row>
    <row r="70" spans="1:58">
      <c r="A70" s="91"/>
      <c r="B70" s="25" t="s">
        <v>20</v>
      </c>
      <c r="C70" s="91"/>
      <c r="D70" s="25"/>
      <c r="E70" s="25"/>
      <c r="F70" s="25"/>
      <c r="G70" s="91"/>
      <c r="H70" s="166"/>
      <c r="I70" s="166"/>
      <c r="J70" s="25"/>
      <c r="K70" s="91"/>
      <c r="L70" s="25"/>
      <c r="M70" s="25"/>
      <c r="N70" s="25"/>
      <c r="O70" s="91"/>
      <c r="P70" s="25"/>
      <c r="Q70" s="25"/>
      <c r="R70" s="25"/>
      <c r="S70" s="91"/>
      <c r="T70" s="25"/>
      <c r="U70" s="25"/>
      <c r="V70" s="25"/>
      <c r="W70" s="91"/>
      <c r="X70" s="9"/>
      <c r="Y70" s="9"/>
      <c r="Z70" s="25"/>
      <c r="AA70" s="3"/>
      <c r="AB70" s="9"/>
      <c r="AC70" s="9"/>
      <c r="AD70" s="4"/>
      <c r="AE70" s="3"/>
      <c r="AF70" s="9"/>
      <c r="AG70" s="9"/>
      <c r="AH70" s="4"/>
      <c r="AI70" s="3"/>
      <c r="AJ70" s="9"/>
      <c r="AK70" s="9"/>
      <c r="AL70" s="4"/>
      <c r="AM70" s="3"/>
      <c r="AN70" s="9"/>
      <c r="AO70" s="9"/>
      <c r="AP70" s="4"/>
      <c r="AQ70" s="3"/>
      <c r="AR70" s="9"/>
      <c r="AS70" s="9"/>
      <c r="AT70" s="4"/>
      <c r="AU70" s="3"/>
      <c r="AV70" s="9"/>
      <c r="AW70" s="9"/>
      <c r="AX70" s="4"/>
      <c r="AY70" s="3"/>
      <c r="AZ70" s="9"/>
      <c r="BA70" s="9"/>
      <c r="BB70" s="4"/>
      <c r="BC70" s="3"/>
      <c r="BD70" s="9"/>
      <c r="BE70" s="9"/>
      <c r="BF70" s="122"/>
    </row>
    <row r="71" spans="1:58">
      <c r="A71" s="12" t="s">
        <v>32</v>
      </c>
      <c r="B71" s="11" t="s">
        <v>33</v>
      </c>
      <c r="C71" s="157">
        <v>95.333248577082202</v>
      </c>
      <c r="D71" s="30">
        <v>95.056322540876806</v>
      </c>
      <c r="E71" s="30">
        <v>5.3713438102850697</v>
      </c>
      <c r="F71" s="30" t="s">
        <v>2743</v>
      </c>
      <c r="G71" s="157">
        <v>16.554535313873298</v>
      </c>
      <c r="H71" s="30">
        <v>17.3073508541416</v>
      </c>
      <c r="I71" s="30">
        <v>5.5156306786390799</v>
      </c>
      <c r="J71" s="30" t="s">
        <v>2743</v>
      </c>
      <c r="K71" s="157">
        <v>17.711581396024208</v>
      </c>
      <c r="L71" s="113">
        <v>17.711581396024208</v>
      </c>
      <c r="M71" s="30">
        <v>5.406207626779107</v>
      </c>
      <c r="N71" s="355" t="s">
        <v>1498</v>
      </c>
      <c r="O71" s="157">
        <v>-75.230667181057996</v>
      </c>
      <c r="P71" s="30">
        <v>-75.022672649205106</v>
      </c>
      <c r="Q71" s="30">
        <v>2.64816854499903</v>
      </c>
      <c r="R71" s="30" t="s">
        <v>2743</v>
      </c>
      <c r="S71" s="157">
        <v>76.392573014920302</v>
      </c>
      <c r="T71" s="30">
        <v>75.362781552798097</v>
      </c>
      <c r="U71" s="30">
        <v>5.1344850982043102</v>
      </c>
      <c r="V71" s="30" t="s">
        <v>2743</v>
      </c>
      <c r="W71" s="157">
        <v>1.17167398724376</v>
      </c>
      <c r="X71" s="30">
        <v>0.34623190804939802</v>
      </c>
      <c r="Y71" s="30">
        <v>4.7678406934049002</v>
      </c>
      <c r="Z71" s="300" t="s">
        <v>2743</v>
      </c>
      <c r="AA71" s="157">
        <v>8.1732639552134199</v>
      </c>
      <c r="AB71" s="30">
        <v>8.1402010676775909</v>
      </c>
      <c r="AC71" s="30">
        <v>0.30632321380002497</v>
      </c>
      <c r="AD71" s="30" t="s">
        <v>2743</v>
      </c>
      <c r="AE71" s="157">
        <v>5.19150294031654</v>
      </c>
      <c r="AF71" s="30">
        <v>5.1847551817898196</v>
      </c>
      <c r="AG71" s="30">
        <v>0.49943182435864802</v>
      </c>
      <c r="AH71" s="30" t="s">
        <v>2743</v>
      </c>
      <c r="AI71" s="157">
        <v>-2.96004238806252</v>
      </c>
      <c r="AJ71" s="30">
        <v>-2.9356794810815598</v>
      </c>
      <c r="AK71" s="30">
        <v>0.51075899129215996</v>
      </c>
      <c r="AL71" s="30" t="s">
        <v>2743</v>
      </c>
      <c r="AM71" s="157">
        <v>-2.1736517464854863</v>
      </c>
      <c r="AN71" s="30">
        <v>-2.1869363777555364</v>
      </c>
      <c r="AO71" s="30">
        <v>0.30386120064570898</v>
      </c>
      <c r="AP71" s="30" t="s">
        <v>2743</v>
      </c>
      <c r="AQ71" s="157">
        <v>-2.60849856725928</v>
      </c>
      <c r="AR71" s="30">
        <v>-2.6654088332280499</v>
      </c>
      <c r="AS71" s="30">
        <v>0.501312005091341</v>
      </c>
      <c r="AT71" s="30" t="s">
        <v>2743</v>
      </c>
      <c r="AU71" s="157">
        <v>2.5949404408335801</v>
      </c>
      <c r="AV71" s="30" t="s">
        <v>2855</v>
      </c>
      <c r="AW71" s="30" t="s">
        <v>2855</v>
      </c>
      <c r="AX71" s="30" t="s">
        <v>2743</v>
      </c>
      <c r="AY71" s="157" t="s">
        <v>2855</v>
      </c>
      <c r="AZ71" s="30" t="s">
        <v>2855</v>
      </c>
      <c r="BA71" s="30" t="s">
        <v>2855</v>
      </c>
      <c r="BB71" s="30" t="s">
        <v>558</v>
      </c>
      <c r="BC71" s="157">
        <v>135.5</v>
      </c>
      <c r="BD71" s="30">
        <v>135.5</v>
      </c>
      <c r="BE71" s="30">
        <v>0.70710678118654757</v>
      </c>
      <c r="BF71" s="300" t="s">
        <v>558</v>
      </c>
    </row>
    <row r="72" spans="1:58" ht="18" customHeight="1">
      <c r="A72" s="12"/>
      <c r="B72" s="171">
        <v>266.29700000000003</v>
      </c>
      <c r="C72" s="157">
        <v>5.0790848705248601</v>
      </c>
      <c r="D72" s="30">
        <v>95.333248577082202</v>
      </c>
      <c r="E72" s="30">
        <v>5.0790848705248601</v>
      </c>
      <c r="F72" s="8" t="s">
        <v>2742</v>
      </c>
      <c r="G72" s="157">
        <v>5.1887732802996602</v>
      </c>
      <c r="H72" s="30">
        <v>16.554535313873298</v>
      </c>
      <c r="I72" s="30">
        <v>5.1887732802996602</v>
      </c>
      <c r="J72" s="8" t="s">
        <v>2742</v>
      </c>
      <c r="K72" s="158">
        <v>5.406207626779107</v>
      </c>
      <c r="L72" s="113">
        <v>17.726209301117059</v>
      </c>
      <c r="M72" s="113">
        <v>6.2168911653504164</v>
      </c>
      <c r="N72" s="13" t="s">
        <v>1499</v>
      </c>
      <c r="O72" s="157">
        <v>1.85201991939883</v>
      </c>
      <c r="P72" s="30">
        <v>-75.230667181057996</v>
      </c>
      <c r="Q72" s="30">
        <v>1.85201991939883</v>
      </c>
      <c r="R72" s="8" t="s">
        <v>2742</v>
      </c>
      <c r="S72" s="157">
        <v>3.71078002743034</v>
      </c>
      <c r="T72" s="30">
        <v>76.392573014920302</v>
      </c>
      <c r="U72" s="30">
        <v>3.71078002743034</v>
      </c>
      <c r="V72" s="8" t="s">
        <v>2742</v>
      </c>
      <c r="W72" s="157">
        <v>3.4243784264389299</v>
      </c>
      <c r="X72" s="30">
        <v>1.17167398724376</v>
      </c>
      <c r="Y72" s="30">
        <v>3.4243784264389299</v>
      </c>
      <c r="Z72" s="498" t="s">
        <v>2742</v>
      </c>
      <c r="AA72" s="157">
        <v>0.41612146749498002</v>
      </c>
      <c r="AB72" s="30">
        <v>8.1732639552134199</v>
      </c>
      <c r="AC72" s="30">
        <v>0.41612146749498002</v>
      </c>
      <c r="AD72" s="8" t="s">
        <v>2742</v>
      </c>
      <c r="AE72" s="157">
        <v>0.65761733002238898</v>
      </c>
      <c r="AF72" s="30">
        <v>5.19150294031654</v>
      </c>
      <c r="AG72" s="30">
        <v>0.65761733002238898</v>
      </c>
      <c r="AH72" s="8" t="s">
        <v>2742</v>
      </c>
      <c r="AI72" s="157">
        <v>0.66599940629069598</v>
      </c>
      <c r="AJ72" s="30">
        <v>-2.96004238806252</v>
      </c>
      <c r="AK72" s="30">
        <v>0.66599940629069598</v>
      </c>
      <c r="AL72" s="8" t="s">
        <v>2742</v>
      </c>
      <c r="AM72" s="157">
        <v>0.41225798182413398</v>
      </c>
      <c r="AN72" s="30">
        <v>-2.1736517464854863</v>
      </c>
      <c r="AO72" s="30">
        <v>0.41225798182413398</v>
      </c>
      <c r="AP72" s="8" t="s">
        <v>2742</v>
      </c>
      <c r="AQ72" s="157">
        <v>0.65620016606248299</v>
      </c>
      <c r="AR72" s="30">
        <v>-2.60849856725928</v>
      </c>
      <c r="AS72" s="30">
        <v>0.65620016606248299</v>
      </c>
      <c r="AT72" s="8" t="s">
        <v>2742</v>
      </c>
      <c r="AU72" s="157">
        <v>0.54585195483752402</v>
      </c>
      <c r="AV72" s="30">
        <v>2.5949404408335801</v>
      </c>
      <c r="AW72" s="30">
        <v>0.54585195483752402</v>
      </c>
      <c r="AX72" s="8" t="s">
        <v>2742</v>
      </c>
      <c r="AY72" s="157" t="s">
        <v>2855</v>
      </c>
      <c r="AZ72" s="30"/>
      <c r="BA72" s="30"/>
      <c r="BB72" s="101"/>
      <c r="BC72" s="157">
        <v>0.70710678118654757</v>
      </c>
      <c r="BD72" s="30"/>
      <c r="BE72" s="30"/>
      <c r="BF72" s="277"/>
    </row>
    <row r="73" spans="1:58">
      <c r="A73" s="3"/>
      <c r="B73" s="4"/>
      <c r="C73" s="3"/>
      <c r="D73" s="206">
        <v>89.6</v>
      </c>
      <c r="E73" s="206">
        <v>6.3941622948222268</v>
      </c>
      <c r="F73" s="206" t="s">
        <v>558</v>
      </c>
      <c r="G73" s="3"/>
      <c r="H73" s="206">
        <v>23.479493637232562</v>
      </c>
      <c r="I73" s="206">
        <v>7.0438480911697683</v>
      </c>
      <c r="J73" s="206" t="s">
        <v>558</v>
      </c>
      <c r="K73" s="353"/>
      <c r="L73" s="344">
        <v>7.4912136207840945</v>
      </c>
      <c r="M73" s="344">
        <v>10.772368421447707</v>
      </c>
      <c r="N73" s="206" t="s">
        <v>1124</v>
      </c>
      <c r="O73" s="3"/>
      <c r="P73" s="206">
        <v>-75.95</v>
      </c>
      <c r="Q73" s="206">
        <v>1.7677669529663689</v>
      </c>
      <c r="R73" s="206" t="s">
        <v>558</v>
      </c>
      <c r="S73" s="3"/>
      <c r="T73" s="206" t="s">
        <v>2855</v>
      </c>
      <c r="U73" s="206" t="s">
        <v>2855</v>
      </c>
      <c r="V73" s="206" t="s">
        <v>558</v>
      </c>
      <c r="W73" s="3"/>
      <c r="X73" s="206">
        <v>4.0866040301091635</v>
      </c>
      <c r="Y73" s="206">
        <v>1.2259812090327491</v>
      </c>
      <c r="Z73" s="206" t="s">
        <v>558</v>
      </c>
      <c r="AA73" s="3"/>
      <c r="AB73" s="206">
        <v>8.3924145244009445</v>
      </c>
      <c r="AC73" s="206">
        <v>0.12386456745908143</v>
      </c>
      <c r="AD73" s="206" t="s">
        <v>558</v>
      </c>
      <c r="AE73" s="3"/>
      <c r="AF73" s="206">
        <v>4.1799199052629623</v>
      </c>
      <c r="AG73" s="206">
        <v>0.28923548768069834</v>
      </c>
      <c r="AH73" s="206" t="s">
        <v>558</v>
      </c>
      <c r="AI73" s="3"/>
      <c r="AJ73" s="206" t="s">
        <v>2855</v>
      </c>
      <c r="AK73" s="206" t="s">
        <v>2855</v>
      </c>
      <c r="AL73" s="206" t="s">
        <v>558</v>
      </c>
      <c r="AM73" s="3"/>
      <c r="AN73" s="206">
        <v>-1.9375421369556207</v>
      </c>
      <c r="AO73" s="206">
        <v>0.26517043543960583</v>
      </c>
      <c r="AP73" s="206" t="s">
        <v>558</v>
      </c>
      <c r="AQ73" s="3"/>
      <c r="AR73" s="206">
        <v>-1.9375421369556207</v>
      </c>
      <c r="AS73" s="206">
        <v>0.26517043543960583</v>
      </c>
      <c r="AT73" s="206" t="s">
        <v>558</v>
      </c>
      <c r="AU73" s="3"/>
      <c r="AV73" s="206" t="s">
        <v>2855</v>
      </c>
      <c r="AW73" s="206" t="s">
        <v>2855</v>
      </c>
      <c r="AX73" s="206" t="s">
        <v>558</v>
      </c>
      <c r="AY73" s="3"/>
      <c r="AZ73" s="52"/>
      <c r="BA73" s="52"/>
      <c r="BB73" s="52"/>
      <c r="BC73" s="3"/>
      <c r="BF73" s="42"/>
    </row>
    <row r="74" spans="1:58">
      <c r="A74" s="3"/>
      <c r="B74" s="4" t="s">
        <v>20</v>
      </c>
      <c r="C74" s="3"/>
      <c r="D74" s="176">
        <v>83.770022734800008</v>
      </c>
      <c r="E74" s="176">
        <v>21.202527834268821</v>
      </c>
      <c r="F74" s="206" t="s">
        <v>1124</v>
      </c>
      <c r="G74" s="3"/>
      <c r="H74" s="176">
        <v>15.28637696796001</v>
      </c>
      <c r="I74" s="176">
        <v>12.891506147520619</v>
      </c>
      <c r="J74" s="206" t="s">
        <v>1124</v>
      </c>
      <c r="K74" s="353"/>
      <c r="L74" s="206"/>
      <c r="M74" s="206"/>
      <c r="N74" s="206"/>
      <c r="O74" s="3"/>
      <c r="P74" s="178">
        <v>-76.278809114015914</v>
      </c>
      <c r="Q74" s="178">
        <v>25.018457764878736</v>
      </c>
      <c r="R74" s="206" t="s">
        <v>1124</v>
      </c>
      <c r="S74" s="3"/>
      <c r="T74" s="178">
        <v>68.615185299999993</v>
      </c>
      <c r="U74" s="178">
        <v>11.5553461260024</v>
      </c>
      <c r="V74" s="206" t="s">
        <v>1124</v>
      </c>
      <c r="W74" s="3"/>
      <c r="X74" s="178">
        <v>-7.7951633471759152</v>
      </c>
      <c r="Y74" s="178">
        <v>14.608034775484152</v>
      </c>
      <c r="Z74" s="206" t="s">
        <v>1124</v>
      </c>
      <c r="AA74" s="3"/>
      <c r="AB74" s="178">
        <v>7.3715400000000004</v>
      </c>
      <c r="AC74" s="178">
        <v>0.96801588971999997</v>
      </c>
      <c r="AD74" s="206" t="s">
        <v>1124</v>
      </c>
      <c r="AE74" s="3"/>
      <c r="AF74" s="178">
        <v>5.18</v>
      </c>
      <c r="AG74" s="178">
        <v>0.73490213999999998</v>
      </c>
      <c r="AH74" s="206" t="s">
        <v>1124</v>
      </c>
      <c r="AI74" s="3"/>
      <c r="AJ74" s="178">
        <v>-3.1866329999999992</v>
      </c>
      <c r="AK74" s="178">
        <v>1.3502273882279996</v>
      </c>
      <c r="AL74" s="206" t="s">
        <v>1124</v>
      </c>
      <c r="AM74" s="3"/>
      <c r="AN74" s="178">
        <v>-2.0699144900000013</v>
      </c>
      <c r="AO74" s="178">
        <v>1.4598858508231209</v>
      </c>
      <c r="AP74" s="206" t="s">
        <v>1124</v>
      </c>
      <c r="AQ74" s="3"/>
      <c r="AR74" s="178">
        <v>-2.0699144900000013</v>
      </c>
      <c r="AS74" s="178">
        <v>1.4598858508231209</v>
      </c>
      <c r="AT74" s="206" t="s">
        <v>1124</v>
      </c>
      <c r="AU74" s="3"/>
      <c r="AV74" s="178">
        <v>3.1719500999999983</v>
      </c>
      <c r="AW74" s="178">
        <v>0.57326971352309974</v>
      </c>
      <c r="AX74" s="206" t="s">
        <v>1124</v>
      </c>
      <c r="AY74" s="3"/>
      <c r="AZ74" s="178"/>
      <c r="BA74" s="178"/>
      <c r="BB74" s="206"/>
      <c r="BC74" s="3"/>
      <c r="BD74" s="178"/>
      <c r="BE74" s="178"/>
      <c r="BF74" s="350"/>
    </row>
    <row r="75" spans="1:58">
      <c r="A75" s="3"/>
      <c r="B75" s="4" t="s">
        <v>20</v>
      </c>
      <c r="C75" s="3"/>
      <c r="D75" s="4"/>
      <c r="E75" s="4"/>
      <c r="F75" s="4"/>
      <c r="G75" s="3"/>
      <c r="H75" s="166"/>
      <c r="I75" s="166"/>
      <c r="J75" s="4"/>
      <c r="K75" s="3"/>
      <c r="L75" s="4"/>
      <c r="M75" s="4"/>
      <c r="N75" s="4"/>
      <c r="O75" s="3"/>
      <c r="P75" s="4"/>
      <c r="Q75" s="4"/>
      <c r="R75" s="4"/>
      <c r="S75" s="3"/>
      <c r="T75" s="4"/>
      <c r="U75" s="4"/>
      <c r="V75" s="4"/>
      <c r="W75" s="3"/>
      <c r="X75" s="9"/>
      <c r="Y75" s="9"/>
      <c r="Z75" s="4"/>
      <c r="AA75" s="3"/>
      <c r="AB75" s="9"/>
      <c r="AC75" s="9"/>
      <c r="AD75" s="4"/>
      <c r="AE75" s="3"/>
      <c r="AF75" s="9"/>
      <c r="AG75" s="9"/>
      <c r="AH75" s="4"/>
      <c r="AI75" s="3"/>
      <c r="AJ75" s="9"/>
      <c r="AK75" s="9"/>
      <c r="AL75" s="4"/>
      <c r="AM75" s="3"/>
      <c r="AN75" s="9"/>
      <c r="AO75" s="9"/>
      <c r="AP75" s="4"/>
      <c r="AQ75" s="3"/>
      <c r="AR75" s="9"/>
      <c r="AS75" s="9"/>
      <c r="AT75" s="4"/>
      <c r="AU75" s="3"/>
      <c r="AV75" s="9"/>
      <c r="AW75" s="9"/>
      <c r="AX75" s="4"/>
      <c r="AY75" s="3"/>
      <c r="AZ75" s="9"/>
      <c r="BA75" s="9"/>
      <c r="BB75" s="4"/>
      <c r="BC75" s="3"/>
      <c r="BD75" s="9"/>
      <c r="BE75" s="9"/>
      <c r="BF75" s="122"/>
    </row>
    <row r="76" spans="1:58">
      <c r="A76" s="511" t="s">
        <v>34</v>
      </c>
      <c r="B76" s="511"/>
      <c r="C76" s="511"/>
      <c r="D76" s="511"/>
      <c r="E76" s="511"/>
      <c r="F76" s="511"/>
      <c r="G76" s="511"/>
      <c r="H76" s="511"/>
      <c r="I76" s="511"/>
      <c r="J76" s="511"/>
      <c r="K76" s="511"/>
      <c r="L76" s="511"/>
      <c r="M76" s="511"/>
      <c r="N76" s="511"/>
      <c r="O76" s="511"/>
      <c r="P76" s="511"/>
      <c r="Q76" s="511"/>
      <c r="R76" s="511"/>
      <c r="S76" s="511"/>
      <c r="T76" s="511"/>
      <c r="U76" s="511"/>
      <c r="V76" s="511"/>
      <c r="W76" s="511"/>
      <c r="X76" s="511"/>
      <c r="Y76" s="511"/>
      <c r="Z76" s="511"/>
      <c r="AA76" s="511"/>
      <c r="AB76" s="511"/>
      <c r="AC76" s="511"/>
      <c r="AD76" s="511"/>
      <c r="AE76" s="511"/>
      <c r="AF76" s="511"/>
      <c r="AG76" s="511"/>
      <c r="AH76" s="511"/>
      <c r="AI76" s="511"/>
      <c r="AJ76" s="511"/>
      <c r="AK76" s="511"/>
      <c r="AL76" s="511"/>
      <c r="AM76" s="511"/>
      <c r="AN76" s="511"/>
      <c r="AO76" s="511"/>
      <c r="AP76" s="511"/>
      <c r="AQ76" s="511"/>
      <c r="AR76" s="511"/>
      <c r="AS76" s="511"/>
      <c r="AT76" s="511"/>
      <c r="AU76" s="511"/>
      <c r="AV76" s="511"/>
      <c r="AW76" s="511"/>
      <c r="AX76" s="511"/>
      <c r="AY76" s="511"/>
      <c r="AZ76" s="511"/>
      <c r="BA76" s="511"/>
      <c r="BB76" s="511"/>
      <c r="BC76" s="511"/>
      <c r="BD76" s="511"/>
      <c r="BE76" s="511"/>
      <c r="BF76" s="511"/>
    </row>
    <row r="77" spans="1:58">
      <c r="A77" s="3" t="s">
        <v>35</v>
      </c>
      <c r="B77" s="4" t="s">
        <v>36</v>
      </c>
      <c r="C77" s="157">
        <v>73.176868700435904</v>
      </c>
      <c r="D77" s="30" t="s">
        <v>2855</v>
      </c>
      <c r="E77" s="30" t="s">
        <v>2855</v>
      </c>
      <c r="F77" s="30" t="s">
        <v>2743</v>
      </c>
      <c r="G77" s="157">
        <v>19.3891572855729</v>
      </c>
      <c r="H77" s="30" t="s">
        <v>2855</v>
      </c>
      <c r="I77" s="30" t="s">
        <v>2855</v>
      </c>
      <c r="J77" s="30" t="s">
        <v>2743</v>
      </c>
      <c r="K77" s="157">
        <v>16.195549314901008</v>
      </c>
      <c r="L77" s="113">
        <v>16.195549314901008</v>
      </c>
      <c r="M77" s="30">
        <v>14.188428764134342</v>
      </c>
      <c r="N77" s="355" t="s">
        <v>1498</v>
      </c>
      <c r="O77" s="157">
        <v>-54.590319385534897</v>
      </c>
      <c r="P77" s="30" t="s">
        <v>2855</v>
      </c>
      <c r="Q77" s="30" t="s">
        <v>2855</v>
      </c>
      <c r="R77" s="30" t="s">
        <v>2743</v>
      </c>
      <c r="S77" s="157">
        <v>51.396599290728197</v>
      </c>
      <c r="T77" s="30" t="s">
        <v>2855</v>
      </c>
      <c r="U77" s="30" t="s">
        <v>2855</v>
      </c>
      <c r="V77" s="30" t="s">
        <v>2743</v>
      </c>
      <c r="W77" s="157">
        <v>-3.19540326044921</v>
      </c>
      <c r="X77" s="30" t="s">
        <v>2855</v>
      </c>
      <c r="Y77" s="30" t="s">
        <v>2855</v>
      </c>
      <c r="Z77" s="300" t="s">
        <v>2743</v>
      </c>
      <c r="AA77" s="157">
        <v>6.9211747651154303</v>
      </c>
      <c r="AB77" s="30">
        <v>6.7968099579267403</v>
      </c>
      <c r="AC77" s="30">
        <v>0.17431637757923699</v>
      </c>
      <c r="AD77" s="30" t="s">
        <v>2743</v>
      </c>
      <c r="AE77" s="157">
        <v>5.0047082304973998</v>
      </c>
      <c r="AF77" s="30">
        <v>5.1875821901826402</v>
      </c>
      <c r="AG77" s="30">
        <v>0.420837976985109</v>
      </c>
      <c r="AH77" s="30" t="s">
        <v>2743</v>
      </c>
      <c r="AI77" s="157">
        <v>-1.9302160455945201</v>
      </c>
      <c r="AJ77" s="30">
        <v>-1.6090450812753601</v>
      </c>
      <c r="AK77" s="30">
        <v>0.37592056090885601</v>
      </c>
      <c r="AL77" s="30" t="s">
        <v>2743</v>
      </c>
      <c r="AM77" s="157">
        <v>-1.0604214703229866</v>
      </c>
      <c r="AN77" s="30">
        <v>-0.96309118144228645</v>
      </c>
      <c r="AO77" s="30">
        <v>0.152103780063302</v>
      </c>
      <c r="AP77" s="30" t="s">
        <v>2743</v>
      </c>
      <c r="AQ77" s="157">
        <v>-2.53371878142045</v>
      </c>
      <c r="AR77" s="30">
        <v>-2.7484762134522001</v>
      </c>
      <c r="AS77" s="30">
        <v>0.33332583837034302</v>
      </c>
      <c r="AT77" s="30" t="s">
        <v>2743</v>
      </c>
      <c r="AU77" s="157">
        <v>2.4714211492798599</v>
      </c>
      <c r="AV77" s="30" t="s">
        <v>2855</v>
      </c>
      <c r="AW77" s="30" t="s">
        <v>2855</v>
      </c>
      <c r="AX77" s="30" t="s">
        <v>2743</v>
      </c>
      <c r="AY77" s="157" t="s">
        <v>2855</v>
      </c>
      <c r="AZ77" s="30" t="s">
        <v>2855</v>
      </c>
      <c r="BA77" s="30" t="s">
        <v>2855</v>
      </c>
      <c r="BB77" s="30" t="s">
        <v>558</v>
      </c>
      <c r="BC77" s="157">
        <v>75.400000000000006</v>
      </c>
      <c r="BD77" s="30">
        <v>75.400000000000006</v>
      </c>
      <c r="BE77" s="30">
        <v>0.56568542494923602</v>
      </c>
      <c r="BF77" s="300" t="s">
        <v>558</v>
      </c>
    </row>
    <row r="78" spans="1:58">
      <c r="A78" s="3"/>
      <c r="B78" s="171">
        <v>427.8</v>
      </c>
      <c r="C78" s="157">
        <v>10.0249150948158</v>
      </c>
      <c r="D78" s="30">
        <v>73.176868700435904</v>
      </c>
      <c r="E78" s="30">
        <v>10.0249150948158</v>
      </c>
      <c r="F78" s="8" t="s">
        <v>2742</v>
      </c>
      <c r="G78" s="157">
        <v>14.3823010922161</v>
      </c>
      <c r="H78" s="30">
        <v>19.3891572855729</v>
      </c>
      <c r="I78" s="30">
        <v>14.3823010922161</v>
      </c>
      <c r="J78" s="8" t="s">
        <v>2742</v>
      </c>
      <c r="K78" s="158">
        <v>14.188428764134342</v>
      </c>
      <c r="L78" s="113">
        <v>16.193754025123688</v>
      </c>
      <c r="M78" s="113">
        <v>20.343132598108181</v>
      </c>
      <c r="N78" s="13" t="s">
        <v>1499</v>
      </c>
      <c r="O78" s="157">
        <v>10.0405472030487</v>
      </c>
      <c r="P78" s="30">
        <v>-54.590319385534897</v>
      </c>
      <c r="Q78" s="30">
        <v>10.0405472030487</v>
      </c>
      <c r="R78" s="8" t="s">
        <v>2742</v>
      </c>
      <c r="S78" s="157">
        <v>13.4050604285564</v>
      </c>
      <c r="T78" s="30">
        <v>51.396599290728197</v>
      </c>
      <c r="U78" s="30">
        <v>13.4050604285564</v>
      </c>
      <c r="V78" s="8" t="s">
        <v>2742</v>
      </c>
      <c r="W78" s="157">
        <v>14.387232506533399</v>
      </c>
      <c r="X78" s="30">
        <v>-3.19540326044921</v>
      </c>
      <c r="Y78" s="30">
        <v>14.387232506533399</v>
      </c>
      <c r="Z78" s="498" t="s">
        <v>2742</v>
      </c>
      <c r="AA78" s="157">
        <v>0.408677437746016</v>
      </c>
      <c r="AB78" s="30">
        <v>6.9211747651154303</v>
      </c>
      <c r="AC78" s="30">
        <v>0.408677437746016</v>
      </c>
      <c r="AD78" s="8" t="s">
        <v>2742</v>
      </c>
      <c r="AE78" s="157">
        <v>0.60762649292844095</v>
      </c>
      <c r="AF78" s="30">
        <v>5.0047082304973998</v>
      </c>
      <c r="AG78" s="30">
        <v>0.60762649292844095</v>
      </c>
      <c r="AH78" s="8" t="s">
        <v>2742</v>
      </c>
      <c r="AI78" s="157">
        <v>0.51251223808305102</v>
      </c>
      <c r="AJ78" s="30">
        <v>-1.9302160455945201</v>
      </c>
      <c r="AK78" s="30">
        <v>0.51251223808305102</v>
      </c>
      <c r="AL78" s="8" t="s">
        <v>2742</v>
      </c>
      <c r="AM78" s="157">
        <v>0.384231055762496</v>
      </c>
      <c r="AN78" s="30">
        <v>-1.0604214703229866</v>
      </c>
      <c r="AO78" s="30">
        <v>0.384231055762496</v>
      </c>
      <c r="AP78" s="8" t="s">
        <v>2742</v>
      </c>
      <c r="AQ78" s="157">
        <v>0.41369176279792302</v>
      </c>
      <c r="AR78" s="30">
        <v>-2.53371878142045</v>
      </c>
      <c r="AS78" s="30">
        <v>0.41369176279792302</v>
      </c>
      <c r="AT78" s="8" t="s">
        <v>2742</v>
      </c>
      <c r="AU78" s="157">
        <v>0.50196563448738796</v>
      </c>
      <c r="AV78" s="30">
        <v>2.4714211492798599</v>
      </c>
      <c r="AW78" s="30">
        <v>0.50196563448738796</v>
      </c>
      <c r="AX78" s="8" t="s">
        <v>2742</v>
      </c>
      <c r="AY78" s="157" t="s">
        <v>2855</v>
      </c>
      <c r="AZ78" s="30"/>
      <c r="BA78" s="30"/>
      <c r="BB78" s="101"/>
      <c r="BC78" s="157">
        <v>0.56568542494923602</v>
      </c>
      <c r="BD78" s="30"/>
      <c r="BE78" s="30"/>
      <c r="BF78" s="277"/>
    </row>
    <row r="79" spans="1:58">
      <c r="A79" s="3"/>
      <c r="B79" s="171"/>
      <c r="C79" s="3"/>
      <c r="D79" s="206">
        <v>75</v>
      </c>
      <c r="E79" s="206">
        <v>5.3522563851748552</v>
      </c>
      <c r="F79" s="206" t="s">
        <v>558</v>
      </c>
      <c r="G79" s="3"/>
      <c r="H79" s="206" t="s">
        <v>2855</v>
      </c>
      <c r="I79" s="206" t="s">
        <v>2855</v>
      </c>
      <c r="J79" s="206" t="s">
        <v>558</v>
      </c>
      <c r="K79" s="353"/>
      <c r="L79" s="344">
        <v>4.3659824858718821</v>
      </c>
      <c r="M79" s="344">
        <v>6.278284699946556</v>
      </c>
      <c r="N79" s="206" t="s">
        <v>1124</v>
      </c>
      <c r="O79" s="3"/>
      <c r="P79" s="206">
        <v>-50.2</v>
      </c>
      <c r="Q79" s="206">
        <v>3.1805758057700695</v>
      </c>
      <c r="R79" s="206" t="s">
        <v>558</v>
      </c>
      <c r="S79" s="3"/>
      <c r="T79" s="206" t="s">
        <v>2855</v>
      </c>
      <c r="U79" s="206" t="s">
        <v>2855</v>
      </c>
      <c r="V79" s="206" t="s">
        <v>558</v>
      </c>
      <c r="W79" s="3"/>
      <c r="X79" s="206" t="s">
        <v>2855</v>
      </c>
      <c r="Y79" s="206" t="s">
        <v>2855</v>
      </c>
      <c r="Z79" s="206" t="s">
        <v>558</v>
      </c>
      <c r="AA79" s="3"/>
      <c r="AB79" s="206">
        <v>6.7979039072356926</v>
      </c>
      <c r="AC79" s="206">
        <v>0.17503119318684157</v>
      </c>
      <c r="AD79" s="206" t="s">
        <v>558</v>
      </c>
      <c r="AE79" s="3"/>
      <c r="AF79" s="206">
        <v>4.9810000000000008</v>
      </c>
      <c r="AG79" s="206">
        <v>1.458</v>
      </c>
      <c r="AH79" s="206" t="s">
        <v>558</v>
      </c>
      <c r="AI79" s="3"/>
      <c r="AJ79" s="206" t="s">
        <v>2855</v>
      </c>
      <c r="AK79" s="206" t="s">
        <v>2855</v>
      </c>
      <c r="AL79" s="206" t="s">
        <v>558</v>
      </c>
      <c r="AM79" s="3"/>
      <c r="AN79" s="206">
        <v>-0.96330666731063319</v>
      </c>
      <c r="AO79" s="206">
        <v>0.15284245128584373</v>
      </c>
      <c r="AP79" s="206" t="s">
        <v>558</v>
      </c>
      <c r="AQ79" s="3"/>
      <c r="AR79" s="206">
        <v>-0.96330666731063319</v>
      </c>
      <c r="AS79" s="206">
        <v>0.15284245128584373</v>
      </c>
      <c r="AT79" s="206" t="s">
        <v>558</v>
      </c>
      <c r="AU79" s="3"/>
      <c r="AV79" s="206" t="s">
        <v>2855</v>
      </c>
      <c r="AW79" s="206" t="s">
        <v>2855</v>
      </c>
      <c r="AX79" s="206" t="s">
        <v>558</v>
      </c>
      <c r="AY79" s="3"/>
      <c r="AZ79" s="52"/>
      <c r="BA79" s="52"/>
      <c r="BB79" s="52"/>
      <c r="BC79" s="3"/>
      <c r="BF79" s="42"/>
    </row>
    <row r="80" spans="1:58">
      <c r="A80" s="3"/>
      <c r="B80" s="171"/>
      <c r="C80" s="3"/>
      <c r="D80" s="176">
        <v>76.23002746472001</v>
      </c>
      <c r="E80" s="176">
        <v>17.708006689972063</v>
      </c>
      <c r="F80" s="206" t="s">
        <v>1124</v>
      </c>
      <c r="G80" s="3"/>
      <c r="H80" s="176">
        <v>12.041129332759994</v>
      </c>
      <c r="I80" s="176">
        <v>16.891055405409062</v>
      </c>
      <c r="J80" s="206" t="s">
        <v>1124</v>
      </c>
      <c r="K80" s="353"/>
      <c r="L80" s="206"/>
      <c r="M80" s="206"/>
      <c r="N80" s="206"/>
      <c r="O80" s="3"/>
      <c r="P80" s="178">
        <v>-71.864044978848128</v>
      </c>
      <c r="Q80" s="178">
        <v>22.231286042296627</v>
      </c>
      <c r="R80" s="206" t="s">
        <v>1124</v>
      </c>
      <c r="S80" s="3"/>
      <c r="T80" s="178">
        <v>61.7891014</v>
      </c>
      <c r="U80" s="178">
        <v>11.583541050356599</v>
      </c>
      <c r="V80" s="206" t="s">
        <v>1124</v>
      </c>
      <c r="W80" s="3"/>
      <c r="X80" s="178">
        <v>-20.865455999999995</v>
      </c>
      <c r="Y80" s="178">
        <v>8.5592843851820071</v>
      </c>
      <c r="Z80" s="206" t="s">
        <v>1124</v>
      </c>
      <c r="AA80" s="3"/>
      <c r="AB80" s="178">
        <v>7.6681477973714856</v>
      </c>
      <c r="AC80" s="178">
        <v>0.70966790827723758</v>
      </c>
      <c r="AD80" s="206" t="s">
        <v>1124</v>
      </c>
      <c r="AE80" s="3"/>
      <c r="AF80" s="178">
        <v>4.7513800000000002</v>
      </c>
      <c r="AG80" s="178">
        <v>0.88407977384000003</v>
      </c>
      <c r="AH80" s="206" t="s">
        <v>1124</v>
      </c>
      <c r="AI80" s="3"/>
      <c r="AJ80" s="178">
        <v>-2.9661100398231652</v>
      </c>
      <c r="AK80" s="178">
        <v>0.98237267907939252</v>
      </c>
      <c r="AL80" s="206" t="s">
        <v>1124</v>
      </c>
      <c r="AM80" s="3"/>
      <c r="AN80" s="178">
        <v>-0.90732941000000045</v>
      </c>
      <c r="AO80" s="178">
        <v>0.26648355504641014</v>
      </c>
      <c r="AP80" s="206" t="s">
        <v>1124</v>
      </c>
      <c r="AQ80" s="3"/>
      <c r="AR80" s="178">
        <v>-0.90732941000000045</v>
      </c>
      <c r="AS80" s="178">
        <v>0.26648355504641014</v>
      </c>
      <c r="AT80" s="206" t="s">
        <v>1124</v>
      </c>
      <c r="AU80" s="3"/>
      <c r="AV80" s="178">
        <v>2.9623931999999993</v>
      </c>
      <c r="AW80" s="178">
        <v>0.53539628542919993</v>
      </c>
      <c r="AX80" s="206" t="s">
        <v>1124</v>
      </c>
      <c r="AY80" s="3"/>
      <c r="AZ80" s="178"/>
      <c r="BA80" s="178"/>
      <c r="BB80" s="206"/>
      <c r="BC80" s="3"/>
      <c r="BD80" s="178"/>
      <c r="BE80" s="178"/>
      <c r="BF80" s="350"/>
    </row>
    <row r="81" spans="1:58">
      <c r="A81" s="3"/>
      <c r="B81" s="4"/>
      <c r="C81" s="3"/>
      <c r="D81" s="4"/>
      <c r="E81" s="4"/>
      <c r="F81" s="4"/>
      <c r="G81" s="3"/>
      <c r="H81" s="4"/>
      <c r="I81" s="4"/>
      <c r="J81" s="4"/>
      <c r="K81" s="3"/>
      <c r="L81" s="4"/>
      <c r="M81" s="4"/>
      <c r="N81" s="4"/>
      <c r="O81" s="3"/>
      <c r="P81" s="4"/>
      <c r="Q81" s="4"/>
      <c r="R81" s="4"/>
      <c r="S81" s="3"/>
      <c r="T81" s="4"/>
      <c r="U81" s="4"/>
      <c r="V81" s="4"/>
      <c r="W81" s="3"/>
      <c r="X81" s="4"/>
      <c r="Y81" s="4"/>
      <c r="Z81" s="4"/>
      <c r="AA81" s="3"/>
      <c r="AB81" s="9"/>
      <c r="AC81" s="9"/>
      <c r="AD81" s="4"/>
      <c r="AE81" s="3"/>
      <c r="AF81" s="9"/>
      <c r="AG81" s="9"/>
      <c r="AH81" s="4"/>
      <c r="AI81" s="3"/>
      <c r="AJ81" s="9"/>
      <c r="AK81" s="9"/>
      <c r="AL81" s="4"/>
      <c r="AM81" s="3"/>
      <c r="AN81" s="9"/>
      <c r="AO81" s="9"/>
      <c r="AP81" s="4"/>
      <c r="AQ81" s="3"/>
      <c r="AR81" s="9"/>
      <c r="AS81" s="9"/>
      <c r="AT81" s="4"/>
      <c r="AU81" s="3"/>
      <c r="AV81" s="9"/>
      <c r="AW81" s="9"/>
      <c r="AX81" s="4"/>
      <c r="AY81" s="3"/>
      <c r="AZ81" s="9"/>
      <c r="BA81" s="9"/>
      <c r="BB81" s="4"/>
      <c r="BC81" s="3"/>
      <c r="BD81" s="9"/>
      <c r="BE81" s="9"/>
      <c r="BF81" s="122"/>
    </row>
    <row r="82" spans="1:58">
      <c r="A82" s="3" t="s">
        <v>37</v>
      </c>
      <c r="B82" s="4" t="s">
        <v>38</v>
      </c>
      <c r="C82" s="157">
        <v>64.543131105368104</v>
      </c>
      <c r="D82" s="30" t="s">
        <v>2855</v>
      </c>
      <c r="E82" s="30" t="s">
        <v>2855</v>
      </c>
      <c r="F82" s="30" t="s">
        <v>2743</v>
      </c>
      <c r="G82" s="157">
        <v>13.8939819597739</v>
      </c>
      <c r="H82" s="30" t="s">
        <v>2855</v>
      </c>
      <c r="I82" s="30" t="s">
        <v>2855</v>
      </c>
      <c r="J82" s="30" t="s">
        <v>2743</v>
      </c>
      <c r="K82" s="157">
        <v>6.5214297026220063</v>
      </c>
      <c r="L82" s="113">
        <v>6.5214297026220063</v>
      </c>
      <c r="M82" s="30">
        <v>13.392590590061742</v>
      </c>
      <c r="N82" s="355" t="s">
        <v>1498</v>
      </c>
      <c r="O82" s="157">
        <v>-55.630701402746098</v>
      </c>
      <c r="P82" s="30" t="s">
        <v>2855</v>
      </c>
      <c r="Q82" s="30" t="s">
        <v>2855</v>
      </c>
      <c r="R82" s="30" t="s">
        <v>2743</v>
      </c>
      <c r="S82" s="157">
        <v>48.257707333913601</v>
      </c>
      <c r="T82" s="30" t="s">
        <v>2855</v>
      </c>
      <c r="U82" s="30" t="s">
        <v>2855</v>
      </c>
      <c r="V82" s="30" t="s">
        <v>2743</v>
      </c>
      <c r="W82" s="157">
        <v>-7.3730948616554501</v>
      </c>
      <c r="X82" s="30" t="s">
        <v>2855</v>
      </c>
      <c r="Y82" s="30" t="s">
        <v>2855</v>
      </c>
      <c r="Z82" s="300" t="s">
        <v>2743</v>
      </c>
      <c r="AA82" s="157">
        <v>7.3976739459553604</v>
      </c>
      <c r="AB82" s="30" t="s">
        <v>2855</v>
      </c>
      <c r="AC82" s="30" t="s">
        <v>2855</v>
      </c>
      <c r="AD82" s="30" t="s">
        <v>2743</v>
      </c>
      <c r="AE82" s="157">
        <v>5.3691010093097598</v>
      </c>
      <c r="AF82" s="30" t="s">
        <v>2855</v>
      </c>
      <c r="AG82" s="30" t="s">
        <v>2855</v>
      </c>
      <c r="AH82" s="30" t="s">
        <v>2743</v>
      </c>
      <c r="AI82" s="157">
        <v>-2.0344965396017098</v>
      </c>
      <c r="AJ82" s="30" t="s">
        <v>2855</v>
      </c>
      <c r="AK82" s="30" t="s">
        <v>2855</v>
      </c>
      <c r="AL82" s="30" t="s">
        <v>2743</v>
      </c>
      <c r="AM82" s="157">
        <v>-0.93910323816878594</v>
      </c>
      <c r="AN82" s="30" t="s">
        <v>2855</v>
      </c>
      <c r="AO82" s="30" t="s">
        <v>2855</v>
      </c>
      <c r="AP82" s="30" t="s">
        <v>2743</v>
      </c>
      <c r="AQ82" s="157">
        <v>-2.3047395138625699</v>
      </c>
      <c r="AR82" s="30" t="s">
        <v>2855</v>
      </c>
      <c r="AS82" s="30" t="s">
        <v>2855</v>
      </c>
      <c r="AT82" s="30" t="s">
        <v>2743</v>
      </c>
      <c r="AU82" s="157">
        <v>3.0643751662849099</v>
      </c>
      <c r="AV82" s="30" t="s">
        <v>2855</v>
      </c>
      <c r="AW82" s="30" t="s">
        <v>2855</v>
      </c>
      <c r="AX82" s="30" t="s">
        <v>2743</v>
      </c>
      <c r="AY82" s="157" t="s">
        <v>2855</v>
      </c>
      <c r="AZ82" s="30" t="s">
        <v>2855</v>
      </c>
      <c r="BA82" s="30" t="s">
        <v>2855</v>
      </c>
      <c r="BB82" s="30" t="s">
        <v>558</v>
      </c>
      <c r="BC82" s="157">
        <v>147.5</v>
      </c>
      <c r="BD82" s="30">
        <v>147.5</v>
      </c>
      <c r="BE82" s="30">
        <v>44.25</v>
      </c>
      <c r="BF82" s="300" t="s">
        <v>558</v>
      </c>
    </row>
    <row r="83" spans="1:58">
      <c r="A83" s="3"/>
      <c r="B83" s="171">
        <v>427.8</v>
      </c>
      <c r="C83" s="157">
        <v>9.64440325223649</v>
      </c>
      <c r="D83" s="30">
        <v>64.543131105368104</v>
      </c>
      <c r="E83" s="30">
        <v>9.64440325223649</v>
      </c>
      <c r="F83" s="8" t="s">
        <v>2742</v>
      </c>
      <c r="G83" s="157">
        <v>13.6124801445287</v>
      </c>
      <c r="H83" s="30">
        <v>13.8939819597739</v>
      </c>
      <c r="I83" s="30">
        <v>13.6124801445287</v>
      </c>
      <c r="J83" s="8" t="s">
        <v>2742</v>
      </c>
      <c r="K83" s="158">
        <v>13.392590590061742</v>
      </c>
      <c r="L83" s="113">
        <v>6.5208870981184495</v>
      </c>
      <c r="M83" s="113">
        <v>19.235457758049996</v>
      </c>
      <c r="N83" s="13" t="s">
        <v>1499</v>
      </c>
      <c r="O83" s="157">
        <v>9.2923069590527696</v>
      </c>
      <c r="P83" s="30">
        <v>-55.630701402746098</v>
      </c>
      <c r="Q83" s="30">
        <v>9.2923069590527696</v>
      </c>
      <c r="R83" s="8" t="s">
        <v>2742</v>
      </c>
      <c r="S83" s="157">
        <v>12.592886651222299</v>
      </c>
      <c r="T83" s="30">
        <v>48.257707333913601</v>
      </c>
      <c r="U83" s="30">
        <v>12.592886651222299</v>
      </c>
      <c r="V83" s="8" t="s">
        <v>2742</v>
      </c>
      <c r="W83" s="157">
        <v>13.5905562607473</v>
      </c>
      <c r="X83" s="30">
        <v>-7.3730948616554501</v>
      </c>
      <c r="Y83" s="30">
        <v>13.5905562607473</v>
      </c>
      <c r="Z83" s="498" t="s">
        <v>2742</v>
      </c>
      <c r="AA83" s="157">
        <v>0.488744421000261</v>
      </c>
      <c r="AB83" s="30">
        <v>7.3976739459553604</v>
      </c>
      <c r="AC83" s="30">
        <v>0.488744421000261</v>
      </c>
      <c r="AD83" s="8" t="s">
        <v>2742</v>
      </c>
      <c r="AE83" s="157">
        <v>0.76960073180072397</v>
      </c>
      <c r="AF83" s="30">
        <v>5.3691010093097598</v>
      </c>
      <c r="AG83" s="30">
        <v>0.76960073180072397</v>
      </c>
      <c r="AH83" s="8" t="s">
        <v>2742</v>
      </c>
      <c r="AI83" s="157">
        <v>0.71513162519859197</v>
      </c>
      <c r="AJ83" s="30">
        <v>-2.0344965396017098</v>
      </c>
      <c r="AK83" s="30">
        <v>0.71513162519859197</v>
      </c>
      <c r="AL83" s="8" t="s">
        <v>2742</v>
      </c>
      <c r="AM83" s="157">
        <v>0.480882734818182</v>
      </c>
      <c r="AN83" s="30">
        <v>-0.93910323816878594</v>
      </c>
      <c r="AO83" s="30">
        <v>0.480882734818182</v>
      </c>
      <c r="AP83" s="8" t="s">
        <v>2742</v>
      </c>
      <c r="AQ83" s="157">
        <v>0.73702664336786305</v>
      </c>
      <c r="AR83" s="30">
        <v>-2.3047395138625699</v>
      </c>
      <c r="AS83" s="30">
        <v>0.73702664336786305</v>
      </c>
      <c r="AT83" s="8" t="s">
        <v>2742</v>
      </c>
      <c r="AU83" s="157">
        <v>0.604484291938712</v>
      </c>
      <c r="AV83" s="30">
        <v>3.0643751662849099</v>
      </c>
      <c r="AW83" s="30">
        <v>0.604484291938712</v>
      </c>
      <c r="AX83" s="8" t="s">
        <v>2742</v>
      </c>
      <c r="AY83" s="157" t="s">
        <v>2855</v>
      </c>
      <c r="AZ83" s="30"/>
      <c r="BA83" s="30"/>
      <c r="BB83" s="101"/>
      <c r="BC83" s="157">
        <v>44.25</v>
      </c>
      <c r="BD83" s="30"/>
      <c r="BE83" s="30"/>
      <c r="BF83" s="277"/>
    </row>
    <row r="84" spans="1:58">
      <c r="A84" s="3"/>
      <c r="B84" s="171"/>
      <c r="C84" s="3"/>
      <c r="D84" s="206">
        <v>64.599999999999994</v>
      </c>
      <c r="E84" s="206">
        <v>4.610076833097275</v>
      </c>
      <c r="F84" s="206" t="s">
        <v>558</v>
      </c>
      <c r="G84" s="3"/>
      <c r="H84" s="206" t="s">
        <v>2855</v>
      </c>
      <c r="I84" s="206" t="s">
        <v>2855</v>
      </c>
      <c r="J84" s="206" t="s">
        <v>558</v>
      </c>
      <c r="K84" s="353"/>
      <c r="L84" s="344">
        <v>5.6111682283120103</v>
      </c>
      <c r="M84" s="344">
        <v>8.0688623352556625</v>
      </c>
      <c r="N84" s="206" t="s">
        <v>1124</v>
      </c>
      <c r="O84" s="3"/>
      <c r="P84" s="206">
        <v>-52.3</v>
      </c>
      <c r="Q84" s="206">
        <v>3.3136277817086577</v>
      </c>
      <c r="R84" s="206" t="s">
        <v>558</v>
      </c>
      <c r="S84" s="3"/>
      <c r="T84" s="206" t="s">
        <v>2855</v>
      </c>
      <c r="U84" s="206" t="s">
        <v>2855</v>
      </c>
      <c r="V84" s="206" t="s">
        <v>558</v>
      </c>
      <c r="W84" s="3"/>
      <c r="X84" s="206" t="s">
        <v>2855</v>
      </c>
      <c r="Y84" s="206" t="s">
        <v>2855</v>
      </c>
      <c r="Z84" s="206" t="s">
        <v>558</v>
      </c>
      <c r="AA84" s="3"/>
      <c r="AB84" s="206">
        <v>7.4000524662295337</v>
      </c>
      <c r="AC84" s="206">
        <v>0.19053520474608812</v>
      </c>
      <c r="AD84" s="206" t="s">
        <v>558</v>
      </c>
      <c r="AE84" s="3"/>
      <c r="AF84" s="206" t="s">
        <v>2855</v>
      </c>
      <c r="AG84" s="206" t="s">
        <v>2855</v>
      </c>
      <c r="AH84" s="206" t="s">
        <v>558</v>
      </c>
      <c r="AI84" s="3"/>
      <c r="AJ84" s="206" t="s">
        <v>2855</v>
      </c>
      <c r="AK84" s="206" t="s">
        <v>2855</v>
      </c>
      <c r="AL84" s="206" t="s">
        <v>558</v>
      </c>
      <c r="AM84" s="3"/>
      <c r="AN84" s="206">
        <v>-0.75193215432646821</v>
      </c>
      <c r="AO84" s="206">
        <v>0.11930484607643922</v>
      </c>
      <c r="AP84" s="206" t="s">
        <v>558</v>
      </c>
      <c r="AQ84" s="3"/>
      <c r="AR84" s="206">
        <v>-0.75193215432646821</v>
      </c>
      <c r="AS84" s="206">
        <v>0.11930484607643922</v>
      </c>
      <c r="AT84" s="206" t="s">
        <v>558</v>
      </c>
      <c r="AU84" s="3"/>
      <c r="AV84" s="206" t="s">
        <v>2855</v>
      </c>
      <c r="AW84" s="206" t="s">
        <v>2855</v>
      </c>
      <c r="AX84" s="206" t="s">
        <v>558</v>
      </c>
      <c r="AY84" s="3"/>
      <c r="AZ84" s="52"/>
      <c r="BA84" s="52"/>
      <c r="BB84" s="52"/>
      <c r="BC84" s="3"/>
      <c r="BF84" s="42"/>
    </row>
    <row r="85" spans="1:58">
      <c r="A85" s="3"/>
      <c r="B85" s="171"/>
      <c r="C85" s="3"/>
      <c r="D85" s="176">
        <v>84.306112462480002</v>
      </c>
      <c r="E85" s="176">
        <v>19.584057006696717</v>
      </c>
      <c r="F85" s="206" t="s">
        <v>1124</v>
      </c>
      <c r="G85" s="3"/>
      <c r="H85" s="176">
        <v>12.968037981815996</v>
      </c>
      <c r="I85" s="176">
        <v>18.191304320131842</v>
      </c>
      <c r="J85" s="206" t="s">
        <v>1124</v>
      </c>
      <c r="K85" s="353"/>
      <c r="L85" s="206"/>
      <c r="M85" s="206"/>
      <c r="N85" s="206"/>
      <c r="O85" s="3"/>
      <c r="P85" s="178">
        <v>-78.694944234167991</v>
      </c>
      <c r="Q85" s="178">
        <v>24.344438388728339</v>
      </c>
      <c r="R85" s="206" t="s">
        <v>1124</v>
      </c>
      <c r="S85" s="3"/>
      <c r="T85" s="178">
        <v>61.460961599999997</v>
      </c>
      <c r="U85" s="178">
        <v>11.522025010190399</v>
      </c>
      <c r="V85" s="206" t="s">
        <v>1124</v>
      </c>
      <c r="W85" s="3"/>
      <c r="X85" s="178">
        <v>-21.488224000000013</v>
      </c>
      <c r="Y85" s="178">
        <v>8.8147520067854455</v>
      </c>
      <c r="Z85" s="206" t="s">
        <v>1124</v>
      </c>
      <c r="AA85" s="3"/>
      <c r="AB85" s="178">
        <v>8.6391274017084907</v>
      </c>
      <c r="AC85" s="178">
        <v>0.79952964320961661</v>
      </c>
      <c r="AD85" s="206" t="s">
        <v>1124</v>
      </c>
      <c r="AE85" s="3"/>
      <c r="AF85" s="178">
        <v>5.1360400000000004</v>
      </c>
      <c r="AG85" s="178">
        <v>0.95565269072000014</v>
      </c>
      <c r="AH85" s="206" t="s">
        <v>1124</v>
      </c>
      <c r="AI85" s="3"/>
      <c r="AJ85" s="178">
        <v>-2.7689323828902799</v>
      </c>
      <c r="AK85" s="178">
        <v>0.91706763628087784</v>
      </c>
      <c r="AL85" s="206" t="s">
        <v>1124</v>
      </c>
      <c r="AM85" s="3"/>
      <c r="AN85" s="178">
        <v>-2.0157311400000002</v>
      </c>
      <c r="AO85" s="178">
        <v>0.59202225154914001</v>
      </c>
      <c r="AP85" s="206" t="s">
        <v>1124</v>
      </c>
      <c r="AQ85" s="3"/>
      <c r="AR85" s="178">
        <v>-2.0157311400000002</v>
      </c>
      <c r="AS85" s="178">
        <v>0.59202225154914001</v>
      </c>
      <c r="AT85" s="206" t="s">
        <v>1124</v>
      </c>
      <c r="AU85" s="3"/>
      <c r="AV85" s="178">
        <v>3.0776351999999996</v>
      </c>
      <c r="AW85" s="178">
        <v>0.55622408733119988</v>
      </c>
      <c r="AX85" s="206" t="s">
        <v>1124</v>
      </c>
      <c r="AY85" s="3"/>
      <c r="AZ85" s="178"/>
      <c r="BA85" s="178"/>
      <c r="BB85" s="206"/>
      <c r="BC85" s="3"/>
      <c r="BD85" s="178"/>
      <c r="BE85" s="178"/>
      <c r="BF85" s="350"/>
    </row>
    <row r="86" spans="1:58">
      <c r="A86" s="3"/>
      <c r="B86" s="4"/>
      <c r="C86" s="3"/>
      <c r="D86" s="4"/>
      <c r="E86" s="4"/>
      <c r="F86" s="4"/>
      <c r="G86" s="3"/>
      <c r="H86" s="4"/>
      <c r="I86" s="4"/>
      <c r="J86" s="4"/>
      <c r="K86" s="3"/>
      <c r="L86" s="4"/>
      <c r="M86" s="4"/>
      <c r="N86" s="4"/>
      <c r="O86" s="3"/>
      <c r="P86" s="4"/>
      <c r="Q86" s="4"/>
      <c r="R86" s="4"/>
      <c r="S86" s="3"/>
      <c r="T86" s="4"/>
      <c r="U86" s="4"/>
      <c r="V86" s="4"/>
      <c r="W86" s="3"/>
      <c r="X86" s="4"/>
      <c r="Y86" s="4"/>
      <c r="Z86" s="4"/>
      <c r="AA86" s="3"/>
      <c r="AB86" s="9"/>
      <c r="AC86" s="9"/>
      <c r="AD86" s="4"/>
      <c r="AE86" s="3"/>
      <c r="AF86" s="9"/>
      <c r="AG86" s="9"/>
      <c r="AH86" s="4"/>
      <c r="AI86" s="3"/>
      <c r="AJ86" s="9"/>
      <c r="AK86" s="9"/>
      <c r="AL86" s="4"/>
      <c r="AM86" s="3"/>
      <c r="AN86" s="9"/>
      <c r="AO86" s="9"/>
      <c r="AP86" s="4"/>
      <c r="AQ86" s="3"/>
      <c r="AR86" s="9"/>
      <c r="AS86" s="9"/>
      <c r="AT86" s="4"/>
      <c r="AU86" s="3"/>
      <c r="AV86" s="9"/>
      <c r="AW86" s="9"/>
      <c r="AX86" s="4"/>
      <c r="AY86" s="3"/>
      <c r="AZ86" s="9"/>
      <c r="BA86" s="9"/>
      <c r="BB86" s="4"/>
      <c r="BC86" s="3"/>
      <c r="BD86" s="9"/>
      <c r="BE86" s="9"/>
      <c r="BF86" s="122"/>
    </row>
    <row r="87" spans="1:58">
      <c r="A87" s="3" t="s">
        <v>39</v>
      </c>
      <c r="B87" s="4" t="s">
        <v>40</v>
      </c>
      <c r="C87" s="157">
        <v>60.779987488315399</v>
      </c>
      <c r="D87" s="30" t="s">
        <v>2855</v>
      </c>
      <c r="E87" s="30" t="s">
        <v>2855</v>
      </c>
      <c r="F87" s="30" t="s">
        <v>2743</v>
      </c>
      <c r="G87" s="157">
        <v>17.672509700736601</v>
      </c>
      <c r="H87" s="30" t="s">
        <v>2855</v>
      </c>
      <c r="I87" s="30" t="s">
        <v>2855</v>
      </c>
      <c r="J87" s="30" t="s">
        <v>2743</v>
      </c>
      <c r="K87" s="157">
        <v>-4.2343194940435982</v>
      </c>
      <c r="L87" s="113">
        <v>-4.2343194940435982</v>
      </c>
      <c r="M87" s="30">
        <v>7.4688677764728881</v>
      </c>
      <c r="N87" s="355" t="s">
        <v>1498</v>
      </c>
      <c r="O87" s="157">
        <v>-62.623306982358997</v>
      </c>
      <c r="P87" s="30" t="s">
        <v>2855</v>
      </c>
      <c r="Q87" s="30" t="s">
        <v>2855</v>
      </c>
      <c r="R87" s="30" t="s">
        <v>2743</v>
      </c>
      <c r="S87" s="157">
        <v>40.7154037627432</v>
      </c>
      <c r="T87" s="30" t="s">
        <v>2855</v>
      </c>
      <c r="U87" s="30" t="s">
        <v>2855</v>
      </c>
      <c r="V87" s="30" t="s">
        <v>2743</v>
      </c>
      <c r="W87" s="157">
        <v>-21.910597661529</v>
      </c>
      <c r="X87" s="30" t="s">
        <v>2855</v>
      </c>
      <c r="Y87" s="30" t="s">
        <v>2855</v>
      </c>
      <c r="Z87" s="300" t="s">
        <v>2743</v>
      </c>
      <c r="AA87" s="157">
        <v>8.1101403759282604</v>
      </c>
      <c r="AB87" s="30" t="s">
        <v>2855</v>
      </c>
      <c r="AC87" s="30" t="s">
        <v>2855</v>
      </c>
      <c r="AD87" s="30" t="s">
        <v>2743</v>
      </c>
      <c r="AE87" s="157">
        <v>5.6849087437761199</v>
      </c>
      <c r="AF87" s="30" t="s">
        <v>2855</v>
      </c>
      <c r="AG87" s="30" t="s">
        <v>2855</v>
      </c>
      <c r="AH87" s="30" t="s">
        <v>2743</v>
      </c>
      <c r="AI87" s="157">
        <v>-2.4119457400011299</v>
      </c>
      <c r="AJ87" s="30" t="s">
        <v>2855</v>
      </c>
      <c r="AK87" s="30" t="s">
        <v>2855</v>
      </c>
      <c r="AL87" s="30" t="s">
        <v>2743</v>
      </c>
      <c r="AM87" s="157">
        <v>-1.7215655612037966</v>
      </c>
      <c r="AN87" s="30" t="s">
        <v>2855</v>
      </c>
      <c r="AO87" s="30" t="s">
        <v>2855</v>
      </c>
      <c r="AP87" s="30" t="s">
        <v>2743</v>
      </c>
      <c r="AQ87" s="157">
        <v>-2.70636869110698</v>
      </c>
      <c r="AR87" s="30" t="s">
        <v>2855</v>
      </c>
      <c r="AS87" s="30" t="s">
        <v>2855</v>
      </c>
      <c r="AT87" s="30" t="s">
        <v>2743</v>
      </c>
      <c r="AU87" s="157">
        <v>2.9844420964935701</v>
      </c>
      <c r="AV87" s="30" t="s">
        <v>2855</v>
      </c>
      <c r="AW87" s="30" t="s">
        <v>2855</v>
      </c>
      <c r="AX87" s="30" t="s">
        <v>2743</v>
      </c>
      <c r="AY87" s="157" t="s">
        <v>2855</v>
      </c>
      <c r="AZ87" s="30" t="s">
        <v>2855</v>
      </c>
      <c r="BA87" s="30" t="s">
        <v>2855</v>
      </c>
      <c r="BB87" s="30" t="s">
        <v>558</v>
      </c>
      <c r="BC87" s="157">
        <v>159.66666666666666</v>
      </c>
      <c r="BD87" s="30">
        <v>159.66666666666666</v>
      </c>
      <c r="BE87" s="30">
        <v>1.2583057392117916</v>
      </c>
      <c r="BF87" s="300" t="s">
        <v>558</v>
      </c>
    </row>
    <row r="88" spans="1:58">
      <c r="A88" s="3"/>
      <c r="B88" s="171">
        <v>472.59399999999999</v>
      </c>
      <c r="C88" s="157">
        <v>5.3111536137936497</v>
      </c>
      <c r="D88" s="30">
        <v>60.779987488315399</v>
      </c>
      <c r="E88" s="30">
        <v>5.3111536137936497</v>
      </c>
      <c r="F88" s="8" t="s">
        <v>2742</v>
      </c>
      <c r="G88" s="157">
        <v>8.7544226950697794</v>
      </c>
      <c r="H88" s="30">
        <v>17.672509700736601</v>
      </c>
      <c r="I88" s="30">
        <v>8.7544226950697794</v>
      </c>
      <c r="J88" s="8" t="s">
        <v>2742</v>
      </c>
      <c r="K88" s="158">
        <v>7.4688677764728881</v>
      </c>
      <c r="L88" s="113">
        <v>-4.2380879607923987</v>
      </c>
      <c r="M88" s="113">
        <v>12.095941656040015</v>
      </c>
      <c r="N88" s="13" t="s">
        <v>1499</v>
      </c>
      <c r="O88" s="157">
        <v>5.25125062752881</v>
      </c>
      <c r="P88" s="30">
        <v>-62.623306982358997</v>
      </c>
      <c r="Q88" s="30">
        <v>5.25125062752881</v>
      </c>
      <c r="R88" s="8" t="s">
        <v>2742</v>
      </c>
      <c r="S88" s="157">
        <v>7.80021164582823</v>
      </c>
      <c r="T88" s="30">
        <v>40.7154037627432</v>
      </c>
      <c r="U88" s="30">
        <v>7.80021164582823</v>
      </c>
      <c r="V88" s="8" t="s">
        <v>2742</v>
      </c>
      <c r="W88" s="157">
        <v>8.3469687804838006</v>
      </c>
      <c r="X88" s="30">
        <v>-21.910597661529</v>
      </c>
      <c r="Y88" s="30">
        <v>8.3469687804838006</v>
      </c>
      <c r="Z88" s="498" t="s">
        <v>2742</v>
      </c>
      <c r="AA88" s="157">
        <v>0.38693490281439002</v>
      </c>
      <c r="AB88" s="30">
        <v>8.1101403759282604</v>
      </c>
      <c r="AC88" s="30">
        <v>0.38693490281439002</v>
      </c>
      <c r="AD88" s="8" t="s">
        <v>2742</v>
      </c>
      <c r="AE88" s="157">
        <v>0.64034324872113402</v>
      </c>
      <c r="AF88" s="30">
        <v>5.6849087437761199</v>
      </c>
      <c r="AG88" s="30">
        <v>0.64034324872113402</v>
      </c>
      <c r="AH88" s="8" t="s">
        <v>2742</v>
      </c>
      <c r="AI88" s="157">
        <v>0.58270117153858303</v>
      </c>
      <c r="AJ88" s="30">
        <v>-2.4119457400011299</v>
      </c>
      <c r="AK88" s="30">
        <v>0.58270117153858303</v>
      </c>
      <c r="AL88" s="8" t="s">
        <v>2742</v>
      </c>
      <c r="AM88" s="157">
        <v>0.37713809167455298</v>
      </c>
      <c r="AN88" s="30">
        <v>-1.7215655612037966</v>
      </c>
      <c r="AO88" s="30">
        <v>0.37713809167455298</v>
      </c>
      <c r="AP88" s="8" t="s">
        <v>2742</v>
      </c>
      <c r="AQ88" s="157">
        <v>0.59757402537158399</v>
      </c>
      <c r="AR88" s="30">
        <v>-2.70636869110698</v>
      </c>
      <c r="AS88" s="30">
        <v>0.59757402537158399</v>
      </c>
      <c r="AT88" s="8" t="s">
        <v>2742</v>
      </c>
      <c r="AU88" s="157">
        <v>0.48218097992347198</v>
      </c>
      <c r="AV88" s="30">
        <v>2.9844420964935701</v>
      </c>
      <c r="AW88" s="30">
        <v>0.48218097992347198</v>
      </c>
      <c r="AX88" s="8" t="s">
        <v>2742</v>
      </c>
      <c r="AY88" s="157" t="s">
        <v>2855</v>
      </c>
      <c r="AZ88" s="30"/>
      <c r="BA88" s="30"/>
      <c r="BB88" s="101"/>
      <c r="BC88" s="157">
        <v>1.2583057392117916</v>
      </c>
      <c r="BD88" s="30"/>
      <c r="BE88" s="30"/>
      <c r="BF88" s="277"/>
    </row>
    <row r="89" spans="1:58">
      <c r="A89" s="3"/>
      <c r="B89" s="171"/>
      <c r="C89" s="3"/>
      <c r="D89" s="206">
        <v>61.6</v>
      </c>
      <c r="E89" s="206">
        <v>4.3959865776902811</v>
      </c>
      <c r="F89" s="206" t="s">
        <v>558</v>
      </c>
      <c r="G89" s="3"/>
      <c r="H89" s="206" t="s">
        <v>2855</v>
      </c>
      <c r="I89" s="206" t="s">
        <v>2855</v>
      </c>
      <c r="J89" s="206" t="s">
        <v>558</v>
      </c>
      <c r="K89" s="353"/>
      <c r="L89" s="344">
        <v>5.8544724516320059</v>
      </c>
      <c r="M89" s="344">
        <v>8.4187339134503389</v>
      </c>
      <c r="N89" s="206" t="s">
        <v>1124</v>
      </c>
      <c r="O89" s="3"/>
      <c r="P89" s="206">
        <v>-60.8</v>
      </c>
      <c r="Q89" s="206">
        <v>3.8521714938410399</v>
      </c>
      <c r="R89" s="206" t="s">
        <v>558</v>
      </c>
      <c r="S89" s="3"/>
      <c r="T89" s="206" t="s">
        <v>2855</v>
      </c>
      <c r="U89" s="206" t="s">
        <v>2855</v>
      </c>
      <c r="V89" s="206" t="s">
        <v>558</v>
      </c>
      <c r="W89" s="3"/>
      <c r="X89" s="206" t="s">
        <v>2855</v>
      </c>
      <c r="Y89" s="206" t="s">
        <v>2855</v>
      </c>
      <c r="Z89" s="206" t="s">
        <v>558</v>
      </c>
      <c r="AA89" s="3"/>
      <c r="AB89" s="206">
        <v>8.2998774637940009</v>
      </c>
      <c r="AC89" s="206">
        <v>0.21370373509489388</v>
      </c>
      <c r="AD89" s="206" t="s">
        <v>558</v>
      </c>
      <c r="AE89" s="3"/>
      <c r="AF89" s="206" t="s">
        <v>2855</v>
      </c>
      <c r="AG89" s="206" t="s">
        <v>2855</v>
      </c>
      <c r="AH89" s="206" t="s">
        <v>558</v>
      </c>
      <c r="AI89" s="3"/>
      <c r="AJ89" s="206" t="s">
        <v>2855</v>
      </c>
      <c r="AK89" s="206" t="s">
        <v>2855</v>
      </c>
      <c r="AL89" s="206" t="s">
        <v>558</v>
      </c>
      <c r="AM89" s="3"/>
      <c r="AN89" s="206">
        <v>-1.4783758762335981</v>
      </c>
      <c r="AO89" s="206">
        <v>0.2345655859273072</v>
      </c>
      <c r="AP89" s="206" t="s">
        <v>558</v>
      </c>
      <c r="AQ89" s="3"/>
      <c r="AR89" s="206">
        <v>-1.4783758762335981</v>
      </c>
      <c r="AS89" s="206">
        <v>0.2345655859273072</v>
      </c>
      <c r="AT89" s="206" t="s">
        <v>558</v>
      </c>
      <c r="AU89" s="3"/>
      <c r="AV89" s="206" t="s">
        <v>2855</v>
      </c>
      <c r="AW89" s="206" t="s">
        <v>2855</v>
      </c>
      <c r="AX89" s="206" t="s">
        <v>558</v>
      </c>
      <c r="AY89" s="3"/>
      <c r="AZ89" s="52"/>
      <c r="BA89" s="52"/>
      <c r="BB89" s="52"/>
      <c r="BC89" s="3"/>
      <c r="BF89" s="42"/>
    </row>
    <row r="90" spans="1:58">
      <c r="A90" s="3"/>
      <c r="B90" s="171"/>
      <c r="C90" s="3"/>
      <c r="D90" s="176">
        <v>85.101295846240006</v>
      </c>
      <c r="E90" s="176">
        <v>19.768775721194014</v>
      </c>
      <c r="F90" s="206" t="s">
        <v>1124</v>
      </c>
      <c r="G90" s="3"/>
      <c r="H90" s="176">
        <v>11.302201736904053</v>
      </c>
      <c r="I90" s="176">
        <v>15.854502552494266</v>
      </c>
      <c r="J90" s="206" t="s">
        <v>1124</v>
      </c>
      <c r="K90" s="353"/>
      <c r="L90" s="206"/>
      <c r="M90" s="206"/>
      <c r="N90" s="206"/>
      <c r="O90" s="3"/>
      <c r="P90" s="178">
        <v>-79.246823394608001</v>
      </c>
      <c r="Q90" s="178">
        <v>24.515163310768777</v>
      </c>
      <c r="R90" s="206" t="s">
        <v>1124</v>
      </c>
      <c r="S90" s="3"/>
      <c r="T90" s="178">
        <v>44.778869200000003</v>
      </c>
      <c r="U90" s="178">
        <v>8.3946498300548011</v>
      </c>
      <c r="V90" s="206" t="s">
        <v>1124</v>
      </c>
      <c r="W90" s="3"/>
      <c r="X90" s="178">
        <v>-32.617588000000005</v>
      </c>
      <c r="Y90" s="178">
        <v>13.380163445778521</v>
      </c>
      <c r="Z90" s="206" t="s">
        <v>1124</v>
      </c>
      <c r="AA90" s="3"/>
      <c r="AB90" s="178">
        <v>8.6227213141072703</v>
      </c>
      <c r="AC90" s="178">
        <v>0.79801130081734262</v>
      </c>
      <c r="AD90" s="206" t="s">
        <v>1124</v>
      </c>
      <c r="AE90" s="3"/>
      <c r="AF90" s="178">
        <v>4.7283799999999996</v>
      </c>
      <c r="AG90" s="178">
        <v>0.87980020983999996</v>
      </c>
      <c r="AH90" s="206" t="s">
        <v>1124</v>
      </c>
      <c r="AI90" s="3"/>
      <c r="AJ90" s="178">
        <v>-2.6554642753675846</v>
      </c>
      <c r="AK90" s="178">
        <v>0.8794871125374687</v>
      </c>
      <c r="AL90" s="206" t="s">
        <v>1124</v>
      </c>
      <c r="AM90" s="3"/>
      <c r="AN90" s="178">
        <v>-2.1127455499999996</v>
      </c>
      <c r="AO90" s="178">
        <v>0.62051548078054986</v>
      </c>
      <c r="AP90" s="206" t="s">
        <v>1124</v>
      </c>
      <c r="AQ90" s="3"/>
      <c r="AR90" s="178">
        <v>-2.1127455499999996</v>
      </c>
      <c r="AS90" s="178">
        <v>0.62051548078054986</v>
      </c>
      <c r="AT90" s="206" t="s">
        <v>1124</v>
      </c>
      <c r="AU90" s="3"/>
      <c r="AV90" s="178">
        <v>2.6880173999999988</v>
      </c>
      <c r="AW90" s="178">
        <v>0.4858080727193998</v>
      </c>
      <c r="AX90" s="206" t="s">
        <v>1124</v>
      </c>
      <c r="AY90" s="3"/>
      <c r="AZ90" s="178"/>
      <c r="BA90" s="178"/>
      <c r="BB90" s="206"/>
      <c r="BC90" s="3"/>
      <c r="BD90" s="178"/>
      <c r="BE90" s="178"/>
      <c r="BF90" s="350"/>
    </row>
    <row r="91" spans="1:58">
      <c r="A91" s="3"/>
      <c r="B91" s="4"/>
      <c r="C91" s="3"/>
      <c r="D91" s="4"/>
      <c r="E91" s="4"/>
      <c r="F91" s="4"/>
      <c r="G91" s="3"/>
      <c r="H91" s="4"/>
      <c r="I91" s="4"/>
      <c r="J91" s="4"/>
      <c r="K91" s="3"/>
      <c r="L91" s="4"/>
      <c r="M91" s="4"/>
      <c r="N91" s="4"/>
      <c r="O91" s="3"/>
      <c r="P91" s="4"/>
      <c r="Q91" s="4"/>
      <c r="R91" s="4"/>
      <c r="S91" s="3"/>
      <c r="T91" s="4"/>
      <c r="U91" s="4"/>
      <c r="V91" s="4"/>
      <c r="W91" s="3"/>
      <c r="X91" s="4"/>
      <c r="Y91" s="4"/>
      <c r="Z91" s="4"/>
      <c r="AA91" s="3"/>
      <c r="AB91" s="9"/>
      <c r="AC91" s="9"/>
      <c r="AD91" s="4"/>
      <c r="AE91" s="3"/>
      <c r="AF91" s="9"/>
      <c r="AG91" s="9"/>
      <c r="AH91" s="4"/>
      <c r="AI91" s="3"/>
      <c r="AJ91" s="9"/>
      <c r="AK91" s="9"/>
      <c r="AL91" s="4"/>
      <c r="AM91" s="3"/>
      <c r="AN91" s="9"/>
      <c r="AO91" s="9"/>
      <c r="AP91" s="4"/>
      <c r="AQ91" s="3"/>
      <c r="AR91" s="9"/>
      <c r="AS91" s="9"/>
      <c r="AT91" s="4"/>
      <c r="AU91" s="3"/>
      <c r="AV91" s="9"/>
      <c r="AW91" s="9"/>
      <c r="AX91" s="4"/>
      <c r="AY91" s="3"/>
      <c r="AZ91" s="9"/>
      <c r="BA91" s="9"/>
      <c r="BB91" s="4"/>
      <c r="BC91" s="3"/>
      <c r="BD91" s="9"/>
      <c r="BE91" s="9"/>
      <c r="BF91" s="122"/>
    </row>
    <row r="92" spans="1:58">
      <c r="A92" s="3" t="s">
        <v>41</v>
      </c>
      <c r="B92" s="4" t="s">
        <v>42</v>
      </c>
      <c r="C92" s="157">
        <v>77.574459875704605</v>
      </c>
      <c r="D92" s="30" t="s">
        <v>2855</v>
      </c>
      <c r="E92" s="30" t="s">
        <v>2855</v>
      </c>
      <c r="F92" s="30" t="s">
        <v>2743</v>
      </c>
      <c r="G92" s="157">
        <v>18.172455653371401</v>
      </c>
      <c r="H92" s="30" t="s">
        <v>2855</v>
      </c>
      <c r="I92" s="30" t="s">
        <v>2855</v>
      </c>
      <c r="J92" s="30" t="s">
        <v>2743</v>
      </c>
      <c r="K92" s="157">
        <v>-4.3078551772811924</v>
      </c>
      <c r="L92" s="113">
        <v>-4.3078551772811924</v>
      </c>
      <c r="M92" s="30">
        <v>8.8226482752641484</v>
      </c>
      <c r="N92" s="355" t="s">
        <v>1498</v>
      </c>
      <c r="O92" s="157">
        <v>-79.491315052985797</v>
      </c>
      <c r="P92" s="30" t="s">
        <v>2855</v>
      </c>
      <c r="Q92" s="30" t="s">
        <v>2855</v>
      </c>
      <c r="R92" s="30" t="s">
        <v>2743</v>
      </c>
      <c r="S92" s="157">
        <v>57.010629299879099</v>
      </c>
      <c r="T92" s="30" t="s">
        <v>2855</v>
      </c>
      <c r="U92" s="30" t="s">
        <v>2855</v>
      </c>
      <c r="V92" s="30" t="s">
        <v>2743</v>
      </c>
      <c r="W92" s="157">
        <v>-22.483055090470799</v>
      </c>
      <c r="X92" s="30" t="s">
        <v>2855</v>
      </c>
      <c r="Y92" s="30" t="s">
        <v>2855</v>
      </c>
      <c r="Z92" s="300" t="s">
        <v>2743</v>
      </c>
      <c r="AA92" s="157">
        <v>9.3429619138065707</v>
      </c>
      <c r="AB92" s="30" t="s">
        <v>2855</v>
      </c>
      <c r="AC92" s="30" t="s">
        <v>2855</v>
      </c>
      <c r="AD92" s="30" t="s">
        <v>2743</v>
      </c>
      <c r="AE92" s="157">
        <v>6.7421994837125698</v>
      </c>
      <c r="AF92" s="30" t="s">
        <v>2855</v>
      </c>
      <c r="AG92" s="30" t="s">
        <v>2855</v>
      </c>
      <c r="AH92" s="30" t="s">
        <v>2743</v>
      </c>
      <c r="AI92" s="157">
        <v>-2.5945005945777901</v>
      </c>
      <c r="AJ92" s="30" t="s">
        <v>2855</v>
      </c>
      <c r="AK92" s="30" t="s">
        <v>2855</v>
      </c>
      <c r="AL92" s="30" t="s">
        <v>2743</v>
      </c>
      <c r="AM92" s="157">
        <v>-2.8785021166739471</v>
      </c>
      <c r="AN92" s="30" t="s">
        <v>2855</v>
      </c>
      <c r="AO92" s="30" t="s">
        <v>2855</v>
      </c>
      <c r="AP92" s="30" t="s">
        <v>2743</v>
      </c>
      <c r="AQ92" s="157">
        <v>-3.6764761771174501</v>
      </c>
      <c r="AR92" s="30" t="s">
        <v>2855</v>
      </c>
      <c r="AS92" s="30" t="s">
        <v>2855</v>
      </c>
      <c r="AT92" s="30" t="s">
        <v>2743</v>
      </c>
      <c r="AU92" s="157">
        <v>3.0670711248439799</v>
      </c>
      <c r="AV92" s="30" t="s">
        <v>2855</v>
      </c>
      <c r="AW92" s="30" t="s">
        <v>2855</v>
      </c>
      <c r="AX92" s="30" t="s">
        <v>2743</v>
      </c>
      <c r="AY92" s="157">
        <v>32.770848618244074</v>
      </c>
      <c r="AZ92" s="30">
        <v>32.770848618244074</v>
      </c>
      <c r="BA92" s="30">
        <v>2.5829860323335803</v>
      </c>
      <c r="BB92" s="30" t="s">
        <v>558</v>
      </c>
      <c r="BC92" s="157">
        <v>137.16666666666666</v>
      </c>
      <c r="BD92" s="30">
        <v>137.16666666666666</v>
      </c>
      <c r="BE92" s="30">
        <v>1.2332207155790618</v>
      </c>
      <c r="BF92" s="300" t="s">
        <v>558</v>
      </c>
    </row>
    <row r="93" spans="1:58">
      <c r="A93" s="3"/>
      <c r="B93" s="171">
        <v>500.64800000000002</v>
      </c>
      <c r="C93" s="157">
        <v>6.2937113125555104</v>
      </c>
      <c r="D93" s="30">
        <v>77.574459875704605</v>
      </c>
      <c r="E93" s="30">
        <v>6.2937113125555104</v>
      </c>
      <c r="F93" s="8" t="s">
        <v>2742</v>
      </c>
      <c r="G93" s="157">
        <v>9.8382843031898606</v>
      </c>
      <c r="H93" s="30">
        <v>18.172455653371401</v>
      </c>
      <c r="I93" s="30">
        <v>9.8382843031898606</v>
      </c>
      <c r="J93" s="8" t="s">
        <v>2742</v>
      </c>
      <c r="K93" s="158">
        <v>8.8226482752641484</v>
      </c>
      <c r="L93" s="113">
        <v>-4.3105994370993983</v>
      </c>
      <c r="M93" s="113">
        <v>13.436795247743456</v>
      </c>
      <c r="N93" s="13" t="s">
        <v>1499</v>
      </c>
      <c r="O93" s="157">
        <v>6.1829055065747403</v>
      </c>
      <c r="P93" s="30">
        <v>-79.491315052985797</v>
      </c>
      <c r="Q93" s="30">
        <v>6.1829055065747403</v>
      </c>
      <c r="R93" s="8" t="s">
        <v>2742</v>
      </c>
      <c r="S93" s="157">
        <v>8.7113411144999198</v>
      </c>
      <c r="T93" s="30">
        <v>57.010629299879099</v>
      </c>
      <c r="U93" s="30">
        <v>8.7113411144999198</v>
      </c>
      <c r="V93" s="8" t="s">
        <v>2742</v>
      </c>
      <c r="W93" s="157">
        <v>9.1518101214671805</v>
      </c>
      <c r="X93" s="30">
        <v>-22.483055090470799</v>
      </c>
      <c r="Y93" s="30">
        <v>9.1518101214671805</v>
      </c>
      <c r="Z93" s="498" t="s">
        <v>2742</v>
      </c>
      <c r="AA93" s="157">
        <v>0.11612022256297599</v>
      </c>
      <c r="AB93" s="30">
        <v>9.3429619138065707</v>
      </c>
      <c r="AC93" s="30">
        <v>0.11612022256297599</v>
      </c>
      <c r="AD93" s="8" t="s">
        <v>2742</v>
      </c>
      <c r="AE93" s="157">
        <v>0.60622999363841701</v>
      </c>
      <c r="AF93" s="30">
        <v>6.7421994837125698</v>
      </c>
      <c r="AG93" s="30">
        <v>0.60622999363841701</v>
      </c>
      <c r="AH93" s="8" t="s">
        <v>2742</v>
      </c>
      <c r="AI93" s="157">
        <v>0.59322839853601494</v>
      </c>
      <c r="AJ93" s="30">
        <v>-2.5945005945777901</v>
      </c>
      <c r="AK93" s="30">
        <v>0.59322839853601494</v>
      </c>
      <c r="AL93" s="8" t="s">
        <v>2742</v>
      </c>
      <c r="AM93" s="157">
        <v>0.32916179983968102</v>
      </c>
      <c r="AN93" s="30">
        <v>-2.8785021166739471</v>
      </c>
      <c r="AO93" s="30">
        <v>0.32916179983968102</v>
      </c>
      <c r="AP93" s="8" t="s">
        <v>2742</v>
      </c>
      <c r="AQ93" s="157">
        <v>0.61574125454220996</v>
      </c>
      <c r="AR93" s="30">
        <v>-3.6764761771174501</v>
      </c>
      <c r="AS93" s="30">
        <v>0.61574125454220996</v>
      </c>
      <c r="AT93" s="8" t="s">
        <v>2742</v>
      </c>
      <c r="AU93" s="157">
        <v>0.34044184067404198</v>
      </c>
      <c r="AV93" s="30">
        <v>3.0670711248439799</v>
      </c>
      <c r="AW93" s="30">
        <v>0.34044184067404198</v>
      </c>
      <c r="AX93" s="8" t="s">
        <v>2742</v>
      </c>
      <c r="AY93" s="157">
        <v>2.5829860323335803</v>
      </c>
      <c r="AZ93" s="30"/>
      <c r="BA93" s="30"/>
      <c r="BB93" s="101"/>
      <c r="BC93" s="157">
        <v>1.2332207155790618</v>
      </c>
      <c r="BD93" s="30"/>
      <c r="BE93" s="30"/>
      <c r="BF93" s="277"/>
    </row>
    <row r="94" spans="1:58">
      <c r="A94" s="3"/>
      <c r="B94" s="171"/>
      <c r="C94" s="3"/>
      <c r="D94" s="206">
        <v>78.3</v>
      </c>
      <c r="E94" s="206">
        <v>5.5877556661225487</v>
      </c>
      <c r="F94" s="206" t="s">
        <v>558</v>
      </c>
      <c r="G94" s="3"/>
      <c r="H94" s="206" t="s">
        <v>2855</v>
      </c>
      <c r="I94" s="206" t="s">
        <v>2855</v>
      </c>
      <c r="J94" s="206" t="s">
        <v>558</v>
      </c>
      <c r="K94" s="353"/>
      <c r="L94" s="344">
        <v>6.8418482979760427</v>
      </c>
      <c r="M94" s="344">
        <v>9.8385808068490892</v>
      </c>
      <c r="N94" s="206" t="s">
        <v>1124</v>
      </c>
      <c r="O94" s="3"/>
      <c r="P94" s="206">
        <v>-77</v>
      </c>
      <c r="Q94" s="206">
        <v>4.8785724510815802</v>
      </c>
      <c r="R94" s="206" t="s">
        <v>558</v>
      </c>
      <c r="S94" s="3"/>
      <c r="T94" s="206" t="s">
        <v>2855</v>
      </c>
      <c r="U94" s="206" t="s">
        <v>2855</v>
      </c>
      <c r="V94" s="206" t="s">
        <v>558</v>
      </c>
      <c r="W94" s="3"/>
      <c r="X94" s="206" t="s">
        <v>2855</v>
      </c>
      <c r="Y94" s="206" t="s">
        <v>2855</v>
      </c>
      <c r="Z94" s="206" t="s">
        <v>558</v>
      </c>
      <c r="AA94" s="3"/>
      <c r="AB94" s="206">
        <v>9.3461858616439955</v>
      </c>
      <c r="AC94" s="206">
        <v>0.11853109118167626</v>
      </c>
      <c r="AD94" s="206" t="s">
        <v>558</v>
      </c>
      <c r="AE94" s="3"/>
      <c r="AF94" s="206" t="s">
        <v>2855</v>
      </c>
      <c r="AG94" s="206" t="s">
        <v>2855</v>
      </c>
      <c r="AH94" s="206" t="s">
        <v>558</v>
      </c>
      <c r="AI94" s="3"/>
      <c r="AJ94" s="206" t="s">
        <v>2855</v>
      </c>
      <c r="AK94" s="206" t="s">
        <v>2855</v>
      </c>
      <c r="AL94" s="206" t="s">
        <v>558</v>
      </c>
      <c r="AM94" s="3"/>
      <c r="AN94" s="206">
        <v>-2.8450767105888928</v>
      </c>
      <c r="AO94" s="206">
        <v>0.43122665136860511</v>
      </c>
      <c r="AP94" s="206" t="s">
        <v>558</v>
      </c>
      <c r="AQ94" s="3"/>
      <c r="AR94" s="206">
        <v>-2.8450767105888928</v>
      </c>
      <c r="AS94" s="206">
        <v>0.43122665136860511</v>
      </c>
      <c r="AT94" s="206" t="s">
        <v>558</v>
      </c>
      <c r="AU94" s="3"/>
      <c r="AV94" s="206" t="s">
        <v>2855</v>
      </c>
      <c r="AW94" s="206" t="s">
        <v>2855</v>
      </c>
      <c r="AX94" s="206" t="s">
        <v>558</v>
      </c>
      <c r="AY94" s="3"/>
      <c r="AZ94" s="52"/>
      <c r="BA94" s="52"/>
      <c r="BB94" s="52"/>
      <c r="BC94" s="3"/>
      <c r="BF94" s="42"/>
    </row>
    <row r="95" spans="1:58">
      <c r="A95" s="3"/>
      <c r="B95" s="171"/>
      <c r="C95" s="3"/>
      <c r="D95" s="176">
        <v>92.205119074240002</v>
      </c>
      <c r="E95" s="176">
        <v>21.41897254558873</v>
      </c>
      <c r="F95" s="206" t="s">
        <v>1124</v>
      </c>
      <c r="G95" s="3"/>
      <c r="H95" s="176">
        <v>12.626384733992026</v>
      </c>
      <c r="I95" s="176">
        <v>17.712039977149335</v>
      </c>
      <c r="J95" s="206" t="s">
        <v>1124</v>
      </c>
      <c r="K95" s="353"/>
      <c r="L95" s="206"/>
      <c r="M95" s="206"/>
      <c r="N95" s="206"/>
      <c r="O95" s="3"/>
      <c r="P95" s="178">
        <v>-85.36327077626396</v>
      </c>
      <c r="Q95" s="178">
        <v>26.407298541178811</v>
      </c>
      <c r="R95" s="206" t="s">
        <v>1124</v>
      </c>
      <c r="S95" s="3"/>
      <c r="T95" s="178">
        <v>63.830761599999995</v>
      </c>
      <c r="U95" s="178">
        <v>11.966289046390399</v>
      </c>
      <c r="V95" s="206" t="s">
        <v>1124</v>
      </c>
      <c r="W95" s="3"/>
      <c r="X95" s="178">
        <v>-32.895783999999992</v>
      </c>
      <c r="Y95" s="178">
        <v>13.494283102632414</v>
      </c>
      <c r="Z95" s="206" t="s">
        <v>1124</v>
      </c>
      <c r="AA95" s="3"/>
      <c r="AB95" s="178">
        <v>9.3182417349417364</v>
      </c>
      <c r="AC95" s="178">
        <v>0.8623799769645204</v>
      </c>
      <c r="AD95" s="206" t="s">
        <v>1124</v>
      </c>
      <c r="AE95" s="3"/>
      <c r="AF95" s="178">
        <v>5.93241</v>
      </c>
      <c r="AG95" s="178">
        <v>1.1038316638800001</v>
      </c>
      <c r="AH95" s="206" t="s">
        <v>1124</v>
      </c>
      <c r="AI95" s="3"/>
      <c r="AJ95" s="178">
        <v>-2.4895292885732729</v>
      </c>
      <c r="AK95" s="178">
        <v>0.82452961084617948</v>
      </c>
      <c r="AL95" s="206" t="s">
        <v>1124</v>
      </c>
      <c r="AM95" s="3"/>
      <c r="AN95" s="178">
        <v>-2.9534646500000004</v>
      </c>
      <c r="AO95" s="178">
        <v>0.86743552116965006</v>
      </c>
      <c r="AP95" s="206" t="s">
        <v>1124</v>
      </c>
      <c r="AQ95" s="3"/>
      <c r="AR95" s="178">
        <v>-2.9534646500000004</v>
      </c>
      <c r="AS95" s="178">
        <v>0.86743552116965006</v>
      </c>
      <c r="AT95" s="206" t="s">
        <v>1124</v>
      </c>
      <c r="AU95" s="3"/>
      <c r="AV95" s="178">
        <v>3.0130111999999984</v>
      </c>
      <c r="AW95" s="178">
        <v>0.5445445271871997</v>
      </c>
      <c r="AX95" s="206" t="s">
        <v>1124</v>
      </c>
      <c r="AY95" s="3"/>
      <c r="AZ95" s="178"/>
      <c r="BA95" s="178"/>
      <c r="BB95" s="206"/>
      <c r="BC95" s="3"/>
      <c r="BD95" s="178"/>
      <c r="BE95" s="178"/>
      <c r="BF95" s="350"/>
    </row>
    <row r="96" spans="1:58">
      <c r="A96" s="3"/>
      <c r="B96" s="4" t="s">
        <v>20</v>
      </c>
      <c r="C96" s="3"/>
      <c r="D96" s="4"/>
      <c r="E96" s="4"/>
      <c r="F96" s="4"/>
      <c r="G96" s="3"/>
      <c r="H96" s="4"/>
      <c r="I96" s="4"/>
      <c r="J96" s="4"/>
      <c r="K96" s="3"/>
      <c r="L96" s="4"/>
      <c r="M96" s="4"/>
      <c r="N96" s="4"/>
      <c r="O96" s="3"/>
      <c r="P96" s="4"/>
      <c r="Q96" s="4"/>
      <c r="R96" s="4"/>
      <c r="S96" s="3"/>
      <c r="T96" s="4"/>
      <c r="U96" s="4"/>
      <c r="V96" s="4"/>
      <c r="W96" s="3"/>
      <c r="X96" s="4"/>
      <c r="Y96" s="4"/>
      <c r="Z96" s="4"/>
      <c r="AA96" s="3"/>
      <c r="AB96" s="9"/>
      <c r="AC96" s="9"/>
      <c r="AD96" s="4"/>
      <c r="AE96" s="3"/>
      <c r="AF96" s="9"/>
      <c r="AG96" s="9"/>
      <c r="AH96" s="4"/>
      <c r="AI96" s="3"/>
      <c r="AJ96" s="9"/>
      <c r="AK96" s="9"/>
      <c r="AL96" s="4"/>
      <c r="AM96" s="3"/>
      <c r="AN96" s="9"/>
      <c r="AO96" s="9"/>
      <c r="AP96" s="4"/>
      <c r="AQ96" s="3"/>
      <c r="AR96" s="9"/>
      <c r="AS96" s="9"/>
      <c r="AT96" s="4"/>
      <c r="AU96" s="3"/>
      <c r="AV96" s="9"/>
      <c r="AW96" s="9"/>
      <c r="AX96" s="4"/>
      <c r="AY96" s="3"/>
      <c r="AZ96" s="9"/>
      <c r="BA96" s="9"/>
      <c r="BB96" s="4"/>
      <c r="BC96" s="3"/>
      <c r="BD96" s="9"/>
      <c r="BE96" s="9"/>
      <c r="BF96" s="122"/>
    </row>
    <row r="97" spans="1:58">
      <c r="A97" s="3" t="s">
        <v>44</v>
      </c>
      <c r="B97" s="4" t="s">
        <v>45</v>
      </c>
      <c r="C97" s="157">
        <v>85.433735438151601</v>
      </c>
      <c r="D97" s="30" t="s">
        <v>2855</v>
      </c>
      <c r="E97" s="30" t="s">
        <v>2855</v>
      </c>
      <c r="F97" s="30" t="s">
        <v>2743</v>
      </c>
      <c r="G97" s="157">
        <v>13.1060282154784</v>
      </c>
      <c r="H97" s="30" t="s">
        <v>2855</v>
      </c>
      <c r="I97" s="30" t="s">
        <v>2855</v>
      </c>
      <c r="J97" s="30" t="s">
        <v>2743</v>
      </c>
      <c r="K97" s="157">
        <v>4.2054503508979959</v>
      </c>
      <c r="L97" s="113">
        <v>4.2054503508979959</v>
      </c>
      <c r="M97" s="30">
        <v>17.695568508088776</v>
      </c>
      <c r="N97" s="355" t="s">
        <v>1498</v>
      </c>
      <c r="O97" s="157">
        <v>-78.837285087253605</v>
      </c>
      <c r="P97" s="30" t="s">
        <v>2855</v>
      </c>
      <c r="Q97" s="30" t="s">
        <v>2855</v>
      </c>
      <c r="R97" s="30" t="s">
        <v>2743</v>
      </c>
      <c r="S97" s="157">
        <v>69.9371613548293</v>
      </c>
      <c r="T97" s="30" t="s">
        <v>2855</v>
      </c>
      <c r="U97" s="30" t="s">
        <v>2855</v>
      </c>
      <c r="V97" s="30" t="s">
        <v>2743</v>
      </c>
      <c r="W97" s="157">
        <v>-8.9022592744680793</v>
      </c>
      <c r="X97" s="30" t="s">
        <v>2855</v>
      </c>
      <c r="Y97" s="30" t="s">
        <v>2855</v>
      </c>
      <c r="Z97" s="300" t="s">
        <v>2743</v>
      </c>
      <c r="AA97" s="157">
        <v>8.9231594848933007</v>
      </c>
      <c r="AB97" s="30" t="s">
        <v>2855</v>
      </c>
      <c r="AC97" s="30" t="s">
        <v>2855</v>
      </c>
      <c r="AD97" s="30" t="s">
        <v>2743</v>
      </c>
      <c r="AE97" s="157">
        <v>5.2804126078025302</v>
      </c>
      <c r="AF97" s="30" t="s">
        <v>2855</v>
      </c>
      <c r="AG97" s="30" t="s">
        <v>2855</v>
      </c>
      <c r="AH97" s="30" t="s">
        <v>2743</v>
      </c>
      <c r="AI97" s="157">
        <v>-3.6705936556713099</v>
      </c>
      <c r="AJ97" s="30" t="s">
        <v>2855</v>
      </c>
      <c r="AK97" s="30" t="s">
        <v>2855</v>
      </c>
      <c r="AL97" s="30" t="s">
        <v>2743</v>
      </c>
      <c r="AM97" s="157">
        <v>-3.6220926346423359</v>
      </c>
      <c r="AN97" s="30" t="s">
        <v>2855</v>
      </c>
      <c r="AO97" s="30" t="s">
        <v>2855</v>
      </c>
      <c r="AP97" s="30" t="s">
        <v>2743</v>
      </c>
      <c r="AQ97" s="157">
        <v>-3.3499919292191498</v>
      </c>
      <c r="AR97" s="30" t="s">
        <v>2855</v>
      </c>
      <c r="AS97" s="30" t="s">
        <v>2855</v>
      </c>
      <c r="AT97" s="30" t="s">
        <v>2743</v>
      </c>
      <c r="AU97" s="157">
        <v>1.92524691893431</v>
      </c>
      <c r="AV97" s="30" t="s">
        <v>2855</v>
      </c>
      <c r="AW97" s="30" t="s">
        <v>2855</v>
      </c>
      <c r="AX97" s="30" t="s">
        <v>2743</v>
      </c>
      <c r="AY97" s="157">
        <v>8.1606630538731277</v>
      </c>
      <c r="AZ97" s="30">
        <v>8.1606630538731277</v>
      </c>
      <c r="BA97" s="30">
        <v>0.64322040995301011</v>
      </c>
      <c r="BB97" s="30" t="s">
        <v>558</v>
      </c>
      <c r="BC97" s="157">
        <v>40.550000000000011</v>
      </c>
      <c r="BD97" s="30">
        <v>40.550000000000011</v>
      </c>
      <c r="BE97" s="30">
        <v>1.8720198319948196</v>
      </c>
      <c r="BF97" s="300" t="s">
        <v>558</v>
      </c>
    </row>
    <row r="98" spans="1:58">
      <c r="A98" s="3"/>
      <c r="B98" s="171">
        <v>530.67399999999998</v>
      </c>
      <c r="C98" s="157">
        <v>16.6228333840203</v>
      </c>
      <c r="D98" s="30">
        <v>85.433735438151601</v>
      </c>
      <c r="E98" s="30">
        <v>16.6228333840203</v>
      </c>
      <c r="F98" s="8" t="s">
        <v>2742</v>
      </c>
      <c r="G98" s="157">
        <v>16.312239032257501</v>
      </c>
      <c r="H98" s="30">
        <v>13.1060282154784</v>
      </c>
      <c r="I98" s="30">
        <v>16.312239032257501</v>
      </c>
      <c r="J98" s="8" t="s">
        <v>2742</v>
      </c>
      <c r="K98" s="158">
        <v>17.695568508088776</v>
      </c>
      <c r="L98" s="113">
        <v>4.2037689410103205</v>
      </c>
      <c r="M98" s="113">
        <v>18.928926643709815</v>
      </c>
      <c r="N98" s="13" t="s">
        <v>1499</v>
      </c>
      <c r="O98" s="157">
        <v>6.0674999061856996</v>
      </c>
      <c r="P98" s="30">
        <v>-78.837285087253605</v>
      </c>
      <c r="Q98" s="30">
        <v>6.0674999061856996</v>
      </c>
      <c r="R98" s="8" t="s">
        <v>2742</v>
      </c>
      <c r="S98" s="157">
        <v>9.8107935018984893</v>
      </c>
      <c r="T98" s="30">
        <v>69.9371613548293</v>
      </c>
      <c r="U98" s="30">
        <v>9.8107935018984893</v>
      </c>
      <c r="V98" s="8" t="s">
        <v>2742</v>
      </c>
      <c r="W98" s="157">
        <v>9.6028704894652304</v>
      </c>
      <c r="X98" s="30">
        <v>-8.9022592744680793</v>
      </c>
      <c r="Y98" s="30">
        <v>9.6028704894652304</v>
      </c>
      <c r="Z98" s="498" t="s">
        <v>2742</v>
      </c>
      <c r="AA98" s="157">
        <v>0.25045890228090301</v>
      </c>
      <c r="AB98" s="30">
        <v>8.9231594848933007</v>
      </c>
      <c r="AC98" s="30">
        <v>0.25045890228090301</v>
      </c>
      <c r="AD98" s="8" t="s">
        <v>2742</v>
      </c>
      <c r="AE98" s="157">
        <v>0.714175034075333</v>
      </c>
      <c r="AF98" s="30">
        <v>5.2804126078025302</v>
      </c>
      <c r="AG98" s="30">
        <v>0.714175034075333</v>
      </c>
      <c r="AH98" s="8" t="s">
        <v>2742</v>
      </c>
      <c r="AI98" s="157">
        <v>0.70100183823751705</v>
      </c>
      <c r="AJ98" s="30">
        <v>-3.6705936556713099</v>
      </c>
      <c r="AK98" s="30">
        <v>0.70100183823751705</v>
      </c>
      <c r="AL98" s="8" t="s">
        <v>2742</v>
      </c>
      <c r="AM98" s="157">
        <v>0.296898173399536</v>
      </c>
      <c r="AN98" s="30">
        <v>-3.6220926346423359</v>
      </c>
      <c r="AO98" s="30">
        <v>0.296898173399536</v>
      </c>
      <c r="AP98" s="8" t="s">
        <v>2742</v>
      </c>
      <c r="AQ98" s="157">
        <v>0.67669988915935098</v>
      </c>
      <c r="AR98" s="30">
        <v>-3.3499919292191498</v>
      </c>
      <c r="AS98" s="30">
        <v>0.67669988915935098</v>
      </c>
      <c r="AT98" s="8" t="s">
        <v>2742</v>
      </c>
      <c r="AU98" s="157">
        <v>0.34255192147347402</v>
      </c>
      <c r="AV98" s="30">
        <v>1.92524691893431</v>
      </c>
      <c r="AW98" s="30">
        <v>0.34255192147347402</v>
      </c>
      <c r="AX98" s="8" t="s">
        <v>2742</v>
      </c>
      <c r="AY98" s="157">
        <v>0.64322040995301011</v>
      </c>
      <c r="AZ98" s="30"/>
      <c r="BA98" s="30"/>
      <c r="BB98" s="101"/>
      <c r="BC98" s="157">
        <v>1.8720198319948196</v>
      </c>
      <c r="BD98" s="30"/>
      <c r="BE98" s="30"/>
      <c r="BF98" s="277"/>
    </row>
    <row r="99" spans="1:58">
      <c r="A99" s="3"/>
      <c r="B99" s="171"/>
      <c r="C99" s="3"/>
      <c r="D99" s="206">
        <v>82.6</v>
      </c>
      <c r="E99" s="206">
        <v>24.183051916579956</v>
      </c>
      <c r="F99" s="206" t="s">
        <v>558</v>
      </c>
      <c r="G99" s="3"/>
      <c r="H99" s="206" t="s">
        <v>2855</v>
      </c>
      <c r="I99" s="206" t="s">
        <v>2855</v>
      </c>
      <c r="J99" s="206" t="s">
        <v>558</v>
      </c>
      <c r="K99" s="353"/>
      <c r="L99" s="344">
        <v>5.5075884925279723</v>
      </c>
      <c r="M99" s="344">
        <v>7.9199146304717374</v>
      </c>
      <c r="N99" s="206" t="s">
        <v>1124</v>
      </c>
      <c r="O99" s="3"/>
      <c r="P99" s="206">
        <v>-77.2</v>
      </c>
      <c r="Q99" s="206">
        <v>4.8912440678376363</v>
      </c>
      <c r="R99" s="206" t="s">
        <v>558</v>
      </c>
      <c r="S99" s="3"/>
      <c r="T99" s="206" t="s">
        <v>2855</v>
      </c>
      <c r="U99" s="206" t="s">
        <v>2855</v>
      </c>
      <c r="V99" s="206" t="s">
        <v>558</v>
      </c>
      <c r="W99" s="3"/>
      <c r="X99" s="206" t="s">
        <v>2855</v>
      </c>
      <c r="Y99" s="206" t="s">
        <v>2855</v>
      </c>
      <c r="Z99" s="206" t="s">
        <v>558</v>
      </c>
      <c r="AA99" s="3"/>
      <c r="AB99" s="206">
        <v>8.7698145846704172</v>
      </c>
      <c r="AC99" s="206">
        <v>0.22580359059626945</v>
      </c>
      <c r="AD99" s="206" t="s">
        <v>558</v>
      </c>
      <c r="AE99" s="3"/>
      <c r="AF99" s="206" t="s">
        <v>2855</v>
      </c>
      <c r="AG99" s="206" t="s">
        <v>2855</v>
      </c>
      <c r="AH99" s="206" t="s">
        <v>558</v>
      </c>
      <c r="AI99" s="3"/>
      <c r="AJ99" s="206" t="s">
        <v>2855</v>
      </c>
      <c r="AK99" s="206" t="s">
        <v>2855</v>
      </c>
      <c r="AL99" s="206" t="s">
        <v>558</v>
      </c>
      <c r="AM99" s="3"/>
      <c r="AN99" s="206">
        <v>-3.8123009188630648</v>
      </c>
      <c r="AO99" s="206">
        <v>0.35029939993120696</v>
      </c>
      <c r="AP99" s="206" t="s">
        <v>558</v>
      </c>
      <c r="AQ99" s="3"/>
      <c r="AR99" s="206">
        <v>-3.8123009188630648</v>
      </c>
      <c r="AS99" s="206">
        <v>0.35029939993120696</v>
      </c>
      <c r="AT99" s="206" t="s">
        <v>558</v>
      </c>
      <c r="AU99" s="3"/>
      <c r="AV99" s="206" t="s">
        <v>2855</v>
      </c>
      <c r="AW99" s="206" t="s">
        <v>2855</v>
      </c>
      <c r="AX99" s="206" t="s">
        <v>558</v>
      </c>
      <c r="AY99" s="3"/>
      <c r="AZ99" s="52"/>
      <c r="BA99" s="52"/>
      <c r="BB99" s="52"/>
      <c r="BC99" s="3"/>
      <c r="BF99" s="42"/>
    </row>
    <row r="100" spans="1:58">
      <c r="A100" s="3"/>
      <c r="B100" s="171"/>
      <c r="C100" s="3"/>
      <c r="D100" s="176">
        <v>99.132954643199994</v>
      </c>
      <c r="E100" s="176">
        <v>23.028287964751428</v>
      </c>
      <c r="F100" s="206" t="s">
        <v>1124</v>
      </c>
      <c r="G100" s="3"/>
      <c r="H100" s="176">
        <v>14.877243356439891</v>
      </c>
      <c r="I100" s="176">
        <v>20.86949943554675</v>
      </c>
      <c r="J100" s="206" t="s">
        <v>1124</v>
      </c>
      <c r="K100" s="353"/>
      <c r="L100" s="206"/>
      <c r="M100" s="206"/>
      <c r="N100" s="206"/>
      <c r="O100" s="3"/>
      <c r="P100" s="178">
        <v>-93.625366150672022</v>
      </c>
      <c r="Q100" s="178">
        <v>28.963194269442692</v>
      </c>
      <c r="R100" s="206" t="s">
        <v>1124</v>
      </c>
      <c r="S100" s="3"/>
      <c r="T100" s="178">
        <v>80.419296399999993</v>
      </c>
      <c r="U100" s="178">
        <v>15.076125076811598</v>
      </c>
      <c r="V100" s="206" t="s">
        <v>1124</v>
      </c>
      <c r="W100" s="3"/>
      <c r="X100" s="178">
        <v>-15.87223600000001</v>
      </c>
      <c r="Y100" s="178">
        <v>6.5109998915299929</v>
      </c>
      <c r="Z100" s="206" t="s">
        <v>1124</v>
      </c>
      <c r="AA100" s="3"/>
      <c r="AB100" s="178">
        <v>10.345510793748833</v>
      </c>
      <c r="AC100" s="178">
        <v>0.95745116018447018</v>
      </c>
      <c r="AD100" s="206" t="s">
        <v>1124</v>
      </c>
      <c r="AE100" s="3"/>
      <c r="AF100" s="178">
        <v>5.9713399999999996</v>
      </c>
      <c r="AG100" s="178">
        <v>1.1110752911199999</v>
      </c>
      <c r="AH100" s="206" t="s">
        <v>1124</v>
      </c>
      <c r="AI100" s="3"/>
      <c r="AJ100" s="178">
        <v>-4.714816937239835</v>
      </c>
      <c r="AK100" s="178">
        <v>1.5615426547968962</v>
      </c>
      <c r="AL100" s="206" t="s">
        <v>1124</v>
      </c>
      <c r="AM100" s="3"/>
      <c r="AN100" s="178">
        <v>-3.7427708300000009</v>
      </c>
      <c r="AO100" s="178">
        <v>1.0992555355418303</v>
      </c>
      <c r="AP100" s="206" t="s">
        <v>1124</v>
      </c>
      <c r="AQ100" s="3"/>
      <c r="AR100" s="178">
        <v>-3.7427708300000009</v>
      </c>
      <c r="AS100" s="178">
        <v>1.0992555355418303</v>
      </c>
      <c r="AT100" s="206" t="s">
        <v>1124</v>
      </c>
      <c r="AU100" s="3"/>
      <c r="AV100" s="178">
        <v>2.3636247999999984</v>
      </c>
      <c r="AW100" s="178">
        <v>0.42718027372879974</v>
      </c>
      <c r="AX100" s="206" t="s">
        <v>1124</v>
      </c>
      <c r="AY100" s="3"/>
      <c r="AZ100" s="178"/>
      <c r="BA100" s="178"/>
      <c r="BB100" s="206"/>
      <c r="BC100" s="3"/>
      <c r="BD100" s="178"/>
      <c r="BE100" s="178"/>
      <c r="BF100" s="350"/>
    </row>
    <row r="101" spans="1:58">
      <c r="A101" s="3"/>
      <c r="B101" s="4" t="s">
        <v>20</v>
      </c>
      <c r="C101" s="3"/>
      <c r="D101" s="4"/>
      <c r="E101" s="4"/>
      <c r="F101" s="4"/>
      <c r="G101" s="3"/>
      <c r="H101" s="4"/>
      <c r="I101" s="4"/>
      <c r="J101" s="4"/>
      <c r="K101" s="3"/>
      <c r="L101" s="4"/>
      <c r="M101" s="4"/>
      <c r="N101" s="4"/>
      <c r="O101" s="3"/>
      <c r="P101" s="4"/>
      <c r="Q101" s="4"/>
      <c r="R101" s="4"/>
      <c r="S101" s="3"/>
      <c r="T101" s="4"/>
      <c r="U101" s="4"/>
      <c r="V101" s="4"/>
      <c r="W101" s="3"/>
      <c r="X101" s="4"/>
      <c r="Y101" s="4"/>
      <c r="Z101" s="4"/>
      <c r="AA101" s="3"/>
      <c r="AB101" s="9"/>
      <c r="AC101" s="9"/>
      <c r="AD101" s="4"/>
      <c r="AE101" s="3"/>
      <c r="AF101" s="9"/>
      <c r="AG101" s="9"/>
      <c r="AH101" s="4"/>
      <c r="AI101" s="3"/>
      <c r="AJ101" s="9"/>
      <c r="AK101" s="9"/>
      <c r="AL101" s="4"/>
      <c r="AM101" s="3"/>
      <c r="AN101" s="9"/>
      <c r="AO101" s="9"/>
      <c r="AP101" s="4"/>
      <c r="AQ101" s="3"/>
      <c r="AR101" s="9"/>
      <c r="AS101" s="9"/>
      <c r="AT101" s="4"/>
      <c r="AU101" s="3"/>
      <c r="AV101" s="9"/>
      <c r="AW101" s="9"/>
      <c r="AX101" s="4"/>
      <c r="AY101" s="3"/>
      <c r="AZ101" s="9"/>
      <c r="BA101" s="9"/>
      <c r="BB101" s="4"/>
      <c r="BC101" s="3"/>
      <c r="BD101" s="9"/>
      <c r="BE101" s="9"/>
      <c r="BF101" s="122"/>
    </row>
    <row r="102" spans="1:58">
      <c r="A102" s="3" t="s">
        <v>46</v>
      </c>
      <c r="B102" s="4" t="s">
        <v>47</v>
      </c>
      <c r="C102" s="157">
        <v>101.3245387105719</v>
      </c>
      <c r="D102" s="30" t="s">
        <v>2855</v>
      </c>
      <c r="E102" s="30" t="s">
        <v>2855</v>
      </c>
      <c r="F102" s="30" t="s">
        <v>2743</v>
      </c>
      <c r="G102" s="157">
        <v>9.9547481482321007</v>
      </c>
      <c r="H102" s="30" t="s">
        <v>2855</v>
      </c>
      <c r="I102" s="30" t="s">
        <v>2855</v>
      </c>
      <c r="J102" s="30" t="s">
        <v>2743</v>
      </c>
      <c r="K102" s="157">
        <v>-12.596713225166093</v>
      </c>
      <c r="L102" s="113">
        <v>-12.596713225166093</v>
      </c>
      <c r="M102" s="30">
        <v>14.225534148239376</v>
      </c>
      <c r="N102" s="355" t="s">
        <v>1498</v>
      </c>
      <c r="O102" s="157">
        <v>-111.53025193573799</v>
      </c>
      <c r="P102" s="30" t="s">
        <v>2855</v>
      </c>
      <c r="Q102" s="30" t="s">
        <v>2855</v>
      </c>
      <c r="R102" s="30" t="s">
        <v>2743</v>
      </c>
      <c r="S102" s="157">
        <v>88.9798952291859</v>
      </c>
      <c r="T102" s="30" t="s">
        <v>2855</v>
      </c>
      <c r="U102" s="30" t="s">
        <v>2855</v>
      </c>
      <c r="V102" s="30" t="s">
        <v>2743</v>
      </c>
      <c r="W102" s="157">
        <v>-22.5492664718419</v>
      </c>
      <c r="X102" s="30" t="s">
        <v>2855</v>
      </c>
      <c r="Y102" s="30" t="s">
        <v>2855</v>
      </c>
      <c r="Z102" s="300" t="s">
        <v>2743</v>
      </c>
      <c r="AA102" s="157">
        <v>10.6865757205296</v>
      </c>
      <c r="AB102" s="30" t="s">
        <v>2855</v>
      </c>
      <c r="AC102" s="30" t="s">
        <v>2855</v>
      </c>
      <c r="AD102" s="30" t="s">
        <v>2743</v>
      </c>
      <c r="AE102" s="157">
        <v>6.17618418011544</v>
      </c>
      <c r="AF102" s="30" t="s">
        <v>2855</v>
      </c>
      <c r="AG102" s="30" t="s">
        <v>2855</v>
      </c>
      <c r="AH102" s="30" t="s">
        <v>2743</v>
      </c>
      <c r="AI102" s="157">
        <v>-4.4992259467150202</v>
      </c>
      <c r="AJ102" s="30" t="s">
        <v>2855</v>
      </c>
      <c r="AK102" s="30" t="s">
        <v>2855</v>
      </c>
      <c r="AL102" s="30" t="s">
        <v>2743</v>
      </c>
      <c r="AM102" s="157">
        <v>-4.4602193918710578</v>
      </c>
      <c r="AN102" s="30" t="s">
        <v>2855</v>
      </c>
      <c r="AO102" s="30" t="s">
        <v>2855</v>
      </c>
      <c r="AP102" s="30" t="s">
        <v>2743</v>
      </c>
      <c r="AQ102" s="157">
        <v>-3.35458293067322</v>
      </c>
      <c r="AR102" s="30" t="s">
        <v>2855</v>
      </c>
      <c r="AS102" s="30" t="s">
        <v>2855</v>
      </c>
      <c r="AT102" s="30" t="s">
        <v>2743</v>
      </c>
      <c r="AU102" s="157">
        <v>2.82686704866929</v>
      </c>
      <c r="AV102" s="30" t="s">
        <v>2855</v>
      </c>
      <c r="AW102" s="30" t="s">
        <v>2855</v>
      </c>
      <c r="AX102" s="30" t="s">
        <v>2743</v>
      </c>
      <c r="AY102" s="157" t="s">
        <v>2855</v>
      </c>
      <c r="AZ102" s="30" t="s">
        <v>2855</v>
      </c>
      <c r="BA102" s="30" t="s">
        <v>2855</v>
      </c>
      <c r="BB102" s="30" t="s">
        <v>558</v>
      </c>
      <c r="BC102" s="157">
        <v>170.25</v>
      </c>
      <c r="BD102" s="30">
        <v>170.25</v>
      </c>
      <c r="BE102" s="30">
        <v>1.0606601717798212</v>
      </c>
      <c r="BF102" s="300" t="s">
        <v>558</v>
      </c>
    </row>
    <row r="103" spans="1:58">
      <c r="A103" s="3"/>
      <c r="B103" s="171">
        <v>641.70000000000005</v>
      </c>
      <c r="C103" s="157">
        <v>6.9122214083899101</v>
      </c>
      <c r="D103" s="30">
        <v>101.3245387105719</v>
      </c>
      <c r="E103" s="30">
        <v>6.9122214083899101</v>
      </c>
      <c r="F103" s="8" t="s">
        <v>2742</v>
      </c>
      <c r="G103" s="157">
        <v>11.9001514295256</v>
      </c>
      <c r="H103" s="30">
        <v>9.9547481482321007</v>
      </c>
      <c r="I103" s="30">
        <v>11.9001514295256</v>
      </c>
      <c r="J103" s="8" t="s">
        <v>2742</v>
      </c>
      <c r="K103" s="158">
        <v>14.225534148239376</v>
      </c>
      <c r="L103" s="113">
        <v>-12.594518323609799</v>
      </c>
      <c r="M103" s="113">
        <v>12.716748229193115</v>
      </c>
      <c r="N103" s="13" t="s">
        <v>1499</v>
      </c>
      <c r="O103" s="157">
        <v>12.4333027391808</v>
      </c>
      <c r="P103" s="30">
        <v>-111.53025193573799</v>
      </c>
      <c r="Q103" s="30">
        <v>12.4333027391808</v>
      </c>
      <c r="R103" s="8" t="s">
        <v>2742</v>
      </c>
      <c r="S103" s="157">
        <v>11.742901609276</v>
      </c>
      <c r="T103" s="30">
        <v>88.9798952291859</v>
      </c>
      <c r="U103" s="30">
        <v>11.742901609276</v>
      </c>
      <c r="V103" s="8" t="s">
        <v>2742</v>
      </c>
      <c r="W103" s="157">
        <v>4.4835344850961096</v>
      </c>
      <c r="X103" s="30">
        <v>-22.5492664718419</v>
      </c>
      <c r="Y103" s="30">
        <v>4.4835344850961096</v>
      </c>
      <c r="Z103" s="498" t="s">
        <v>2742</v>
      </c>
      <c r="AA103" s="157">
        <v>1.0915092881533801</v>
      </c>
      <c r="AB103" s="30">
        <v>10.6865757205296</v>
      </c>
      <c r="AC103" s="30">
        <v>1.0915092881533801</v>
      </c>
      <c r="AD103" s="8" t="s">
        <v>2742</v>
      </c>
      <c r="AE103" s="157">
        <v>0.55036081022322203</v>
      </c>
      <c r="AF103" s="30">
        <v>6.17618418011544</v>
      </c>
      <c r="AG103" s="30">
        <v>0.55036081022322203</v>
      </c>
      <c r="AH103" s="8" t="s">
        <v>2742</v>
      </c>
      <c r="AI103" s="157">
        <v>1.0145922537037799</v>
      </c>
      <c r="AJ103" s="30">
        <v>-4.4992259467150202</v>
      </c>
      <c r="AK103" s="30">
        <v>1.0145922537037799</v>
      </c>
      <c r="AL103" s="8" t="s">
        <v>2742</v>
      </c>
      <c r="AM103" s="157">
        <v>0.96276416036826096</v>
      </c>
      <c r="AN103" s="30">
        <v>-4.4602193918710578</v>
      </c>
      <c r="AO103" s="30">
        <v>0.96276416036826096</v>
      </c>
      <c r="AP103" s="8" t="s">
        <v>2742</v>
      </c>
      <c r="AQ103" s="157">
        <v>0.54007427591731905</v>
      </c>
      <c r="AR103" s="30">
        <v>-3.35458293067322</v>
      </c>
      <c r="AS103" s="30">
        <v>0.54007427591731905</v>
      </c>
      <c r="AT103" s="8" t="s">
        <v>2742</v>
      </c>
      <c r="AU103" s="157">
        <v>0.74481915484008598</v>
      </c>
      <c r="AV103" s="30">
        <v>2.82686704866929</v>
      </c>
      <c r="AW103" s="30">
        <v>0.74481915484008598</v>
      </c>
      <c r="AX103" s="8" t="s">
        <v>2742</v>
      </c>
      <c r="AY103" s="157" t="s">
        <v>2855</v>
      </c>
      <c r="AZ103" s="30"/>
      <c r="BA103" s="30"/>
      <c r="BB103" s="101"/>
      <c r="BC103" s="157">
        <v>1.0606601717798212</v>
      </c>
      <c r="BD103" s="30"/>
      <c r="BE103" s="30"/>
      <c r="BF103" s="277"/>
    </row>
    <row r="104" spans="1:58">
      <c r="A104" s="3"/>
      <c r="B104" s="171"/>
      <c r="C104" s="3"/>
      <c r="D104" s="206">
        <v>101</v>
      </c>
      <c r="E104" s="206">
        <v>7.2077052653688058</v>
      </c>
      <c r="F104" s="206" t="s">
        <v>558</v>
      </c>
      <c r="G104" s="3"/>
      <c r="H104" s="206" t="s">
        <v>2855</v>
      </c>
      <c r="I104" s="206" t="s">
        <v>2855</v>
      </c>
      <c r="J104" s="206" t="s">
        <v>558</v>
      </c>
      <c r="K104" s="353"/>
      <c r="L104" s="344">
        <v>8.7574516529360409</v>
      </c>
      <c r="M104" s="344">
        <v>12.593219258452939</v>
      </c>
      <c r="N104" s="206" t="s">
        <v>1124</v>
      </c>
      <c r="O104" s="3"/>
      <c r="P104" s="206" t="s">
        <v>2855</v>
      </c>
      <c r="Q104" s="206" t="s">
        <v>2855</v>
      </c>
      <c r="R104" s="206" t="s">
        <v>558</v>
      </c>
      <c r="S104" s="3"/>
      <c r="T104" s="206" t="s">
        <v>2855</v>
      </c>
      <c r="U104" s="206" t="s">
        <v>2855</v>
      </c>
      <c r="V104" s="206" t="s">
        <v>558</v>
      </c>
      <c r="W104" s="3"/>
      <c r="X104" s="206">
        <v>-22.4</v>
      </c>
      <c r="Y104" s="206">
        <v>4.4799999999999995</v>
      </c>
      <c r="Z104" s="206" t="s">
        <v>558</v>
      </c>
      <c r="AA104" s="3"/>
      <c r="AB104" s="206" t="s">
        <v>2855</v>
      </c>
      <c r="AC104" s="206" t="s">
        <v>2855</v>
      </c>
      <c r="AD104" s="206" t="s">
        <v>558</v>
      </c>
      <c r="AE104" s="3"/>
      <c r="AF104" s="206">
        <v>5.9799999999999995</v>
      </c>
      <c r="AG104" s="206">
        <v>0.268700576850888</v>
      </c>
      <c r="AH104" s="206" t="s">
        <v>558</v>
      </c>
      <c r="AI104" s="3"/>
      <c r="AJ104" s="206" t="s">
        <v>2855</v>
      </c>
      <c r="AK104" s="206" t="s">
        <v>2855</v>
      </c>
      <c r="AL104" s="206" t="s">
        <v>558</v>
      </c>
      <c r="AM104" s="3"/>
      <c r="AN104" s="206">
        <v>-3.755444851511903</v>
      </c>
      <c r="AO104" s="206">
        <v>0.59585531404693193</v>
      </c>
      <c r="AP104" s="206" t="s">
        <v>558</v>
      </c>
      <c r="AQ104" s="3"/>
      <c r="AR104" s="206">
        <v>-3.755444851511903</v>
      </c>
      <c r="AS104" s="206">
        <v>0.59585531404693193</v>
      </c>
      <c r="AT104" s="206" t="s">
        <v>558</v>
      </c>
      <c r="AU104" s="3"/>
      <c r="AV104" s="206" t="s">
        <v>2855</v>
      </c>
      <c r="AW104" s="206" t="s">
        <v>2855</v>
      </c>
      <c r="AX104" s="206" t="s">
        <v>558</v>
      </c>
      <c r="AY104" s="3"/>
      <c r="AZ104" s="52"/>
      <c r="BA104" s="52"/>
      <c r="BB104" s="52"/>
      <c r="BC104" s="3"/>
      <c r="BF104" s="42"/>
    </row>
    <row r="105" spans="1:58">
      <c r="A105" s="3"/>
      <c r="B105" s="171"/>
      <c r="C105" s="3"/>
      <c r="D105" s="176">
        <v>128.00799647912001</v>
      </c>
      <c r="E105" s="176">
        <v>29.735873558110143</v>
      </c>
      <c r="F105" s="206" t="s">
        <v>1124</v>
      </c>
      <c r="G105" s="3"/>
      <c r="H105" s="176">
        <v>11.864889399439761</v>
      </c>
      <c r="I105" s="176">
        <v>16.643829551746109</v>
      </c>
      <c r="J105" s="206" t="s">
        <v>1124</v>
      </c>
      <c r="K105" s="353"/>
      <c r="L105" s="206"/>
      <c r="M105" s="206"/>
      <c r="N105" s="206"/>
      <c r="O105" s="3"/>
      <c r="P105" s="178">
        <v>-119.25054482618397</v>
      </c>
      <c r="Q105" s="178">
        <v>36.890394543069668</v>
      </c>
      <c r="R105" s="206" t="s">
        <v>1124</v>
      </c>
      <c r="S105" s="3"/>
      <c r="T105" s="178">
        <v>89.23246739999999</v>
      </c>
      <c r="U105" s="178">
        <v>16.728321431010599</v>
      </c>
      <c r="V105" s="206" t="s">
        <v>1124</v>
      </c>
      <c r="W105" s="3"/>
      <c r="X105" s="178">
        <v>-33.533035999999996</v>
      </c>
      <c r="Y105" s="178">
        <v>13.755692251467984</v>
      </c>
      <c r="Z105" s="206" t="s">
        <v>1124</v>
      </c>
      <c r="AA105" s="3"/>
      <c r="AB105" s="178">
        <v>13.707361624522813</v>
      </c>
      <c r="AC105" s="178">
        <v>1.2685820499455251</v>
      </c>
      <c r="AD105" s="206" t="s">
        <v>1124</v>
      </c>
      <c r="AE105" s="3"/>
      <c r="AF105" s="178">
        <v>6.1532799999999996</v>
      </c>
      <c r="AG105" s="178">
        <v>1.14492850304</v>
      </c>
      <c r="AH105" s="206" t="s">
        <v>1124</v>
      </c>
      <c r="AI105" s="3"/>
      <c r="AJ105" s="178">
        <v>-4.1536955855693538</v>
      </c>
      <c r="AK105" s="178">
        <v>1.3756998242449845</v>
      </c>
      <c r="AL105" s="206" t="s">
        <v>1124</v>
      </c>
      <c r="AM105" s="3"/>
      <c r="AN105" s="178">
        <v>-7.3726715600000023</v>
      </c>
      <c r="AO105" s="178">
        <v>2.1653610098435605</v>
      </c>
      <c r="AP105" s="206" t="s">
        <v>1124</v>
      </c>
      <c r="AQ105" s="3"/>
      <c r="AR105" s="178">
        <v>-7.3726715600000023</v>
      </c>
      <c r="AS105" s="178">
        <v>2.1653610098435605</v>
      </c>
      <c r="AT105" s="206" t="s">
        <v>1124</v>
      </c>
      <c r="AU105" s="3"/>
      <c r="AV105" s="178">
        <v>3.0782728000000006</v>
      </c>
      <c r="AW105" s="178">
        <v>0.55633932141680009</v>
      </c>
      <c r="AX105" s="206" t="s">
        <v>1124</v>
      </c>
      <c r="AY105" s="3"/>
      <c r="AZ105" s="178"/>
      <c r="BA105" s="178"/>
      <c r="BB105" s="206"/>
      <c r="BC105" s="3"/>
      <c r="BD105" s="178"/>
      <c r="BE105" s="178"/>
      <c r="BF105" s="350"/>
    </row>
    <row r="106" spans="1:58">
      <c r="A106" s="3"/>
      <c r="B106" s="4"/>
      <c r="C106" s="3"/>
      <c r="D106" s="4"/>
      <c r="E106" s="4"/>
      <c r="F106" s="4"/>
      <c r="G106" s="3"/>
      <c r="H106" s="4"/>
      <c r="I106" s="4"/>
      <c r="J106" s="4"/>
      <c r="K106" s="3"/>
      <c r="L106" s="4"/>
      <c r="M106" s="4"/>
      <c r="N106" s="4"/>
      <c r="O106" s="3"/>
      <c r="P106" s="4"/>
      <c r="Q106" s="4"/>
      <c r="R106" s="4"/>
      <c r="S106" s="3"/>
      <c r="T106" s="4"/>
      <c r="U106" s="4"/>
      <c r="V106" s="4"/>
      <c r="W106" s="3"/>
      <c r="X106" s="4"/>
      <c r="Y106" s="4"/>
      <c r="Z106" s="4"/>
      <c r="AA106" s="3"/>
      <c r="AB106" s="9"/>
      <c r="AC106" s="9"/>
      <c r="AD106" s="4"/>
      <c r="AE106" s="3"/>
      <c r="AF106" s="9"/>
      <c r="AG106" s="9"/>
      <c r="AH106" s="4"/>
      <c r="AI106" s="3"/>
      <c r="AJ106" s="9"/>
      <c r="AK106" s="9"/>
      <c r="AL106" s="4"/>
      <c r="AM106" s="3"/>
      <c r="AN106" s="9"/>
      <c r="AO106" s="9"/>
      <c r="AP106" s="4"/>
      <c r="AQ106" s="3"/>
      <c r="AR106" s="9"/>
      <c r="AS106" s="9"/>
      <c r="AT106" s="4"/>
      <c r="AU106" s="3"/>
      <c r="AV106" s="9"/>
      <c r="AW106" s="9"/>
      <c r="AX106" s="4"/>
      <c r="AY106" s="3"/>
      <c r="AZ106" s="9"/>
      <c r="BA106" s="9"/>
      <c r="BB106" s="4"/>
      <c r="BC106" s="3"/>
      <c r="BD106" s="9"/>
      <c r="BE106" s="9"/>
      <c r="BF106" s="122"/>
    </row>
    <row r="107" spans="1:58">
      <c r="A107" s="3" t="s">
        <v>48</v>
      </c>
      <c r="B107" s="4" t="s">
        <v>49</v>
      </c>
      <c r="C107" s="157">
        <v>134.35124268394199</v>
      </c>
      <c r="D107" s="30" t="s">
        <v>2855</v>
      </c>
      <c r="E107" s="30" t="s">
        <v>2855</v>
      </c>
      <c r="F107" s="30" t="s">
        <v>2743</v>
      </c>
      <c r="G107" s="157">
        <v>6.5788138686790596</v>
      </c>
      <c r="H107" s="30" t="s">
        <v>2855</v>
      </c>
      <c r="I107" s="30" t="s">
        <v>2855</v>
      </c>
      <c r="J107" s="30" t="s">
        <v>2743</v>
      </c>
      <c r="K107" s="157">
        <v>-21.698523634691021</v>
      </c>
      <c r="L107" s="113">
        <v>-21.698523634691021</v>
      </c>
      <c r="M107" s="30">
        <v>19.554604370127464</v>
      </c>
      <c r="N107" s="355" t="s">
        <v>1498</v>
      </c>
      <c r="O107" s="157">
        <v>-153.65876631863301</v>
      </c>
      <c r="P107" s="30" t="s">
        <v>2855</v>
      </c>
      <c r="Q107" s="30" t="s">
        <v>2855</v>
      </c>
      <c r="R107" s="30" t="s">
        <v>2743</v>
      </c>
      <c r="S107" s="157">
        <v>125.381377541905</v>
      </c>
      <c r="T107" s="30" t="s">
        <v>2855</v>
      </c>
      <c r="U107" s="30" t="s">
        <v>2855</v>
      </c>
      <c r="V107" s="30" t="s">
        <v>2743</v>
      </c>
      <c r="W107" s="157">
        <v>-28.2793264613797</v>
      </c>
      <c r="X107" s="30" t="s">
        <v>2855</v>
      </c>
      <c r="Y107" s="30" t="s">
        <v>2855</v>
      </c>
      <c r="Z107" s="300" t="s">
        <v>2743</v>
      </c>
      <c r="AA107" s="157">
        <v>13.6824357617043</v>
      </c>
      <c r="AB107" s="30" t="s">
        <v>2855</v>
      </c>
      <c r="AC107" s="30" t="s">
        <v>2855</v>
      </c>
      <c r="AD107" s="30" t="s">
        <v>2743</v>
      </c>
      <c r="AE107" s="157">
        <v>9.0157182011642494</v>
      </c>
      <c r="AF107" s="30" t="s">
        <v>2855</v>
      </c>
      <c r="AG107" s="30" t="s">
        <v>2855</v>
      </c>
      <c r="AH107" s="30" t="s">
        <v>2743</v>
      </c>
      <c r="AI107" s="157">
        <v>-4.6630243985845201</v>
      </c>
      <c r="AJ107" s="30" t="s">
        <v>2855</v>
      </c>
      <c r="AK107" s="30" t="s">
        <v>2855</v>
      </c>
      <c r="AL107" s="30" t="s">
        <v>2743</v>
      </c>
      <c r="AM107" s="157">
        <v>-8.6541623001552459</v>
      </c>
      <c r="AN107" s="30" t="s">
        <v>2855</v>
      </c>
      <c r="AO107" s="30" t="s">
        <v>2855</v>
      </c>
      <c r="AP107" s="30" t="s">
        <v>2743</v>
      </c>
      <c r="AQ107" s="157">
        <v>-7.3842343265906898</v>
      </c>
      <c r="AR107" s="30" t="s">
        <v>2855</v>
      </c>
      <c r="AS107" s="30" t="s">
        <v>2855</v>
      </c>
      <c r="AT107" s="30" t="s">
        <v>2743</v>
      </c>
      <c r="AU107" s="157">
        <v>1.6335364234760501</v>
      </c>
      <c r="AV107" s="30" t="s">
        <v>2855</v>
      </c>
      <c r="AW107" s="30" t="s">
        <v>2855</v>
      </c>
      <c r="AX107" s="30" t="s">
        <v>2743</v>
      </c>
      <c r="AY107" s="157" t="s">
        <v>2855</v>
      </c>
      <c r="AZ107" s="30" t="s">
        <v>2855</v>
      </c>
      <c r="BA107" s="30" t="s">
        <v>2855</v>
      </c>
      <c r="BB107" s="30" t="s">
        <v>558</v>
      </c>
      <c r="BC107" s="157" t="s">
        <v>2855</v>
      </c>
      <c r="BD107" s="30" t="s">
        <v>2855</v>
      </c>
      <c r="BE107" s="30" t="s">
        <v>2855</v>
      </c>
      <c r="BF107" s="300" t="s">
        <v>558</v>
      </c>
    </row>
    <row r="108" spans="1:58">
      <c r="A108" s="3"/>
      <c r="B108" s="171">
        <v>653.69399999999996</v>
      </c>
      <c r="C108" s="157">
        <v>9.1005820699741093</v>
      </c>
      <c r="D108" s="30">
        <v>134.35124268394199</v>
      </c>
      <c r="E108" s="30">
        <v>9.1005820699741093</v>
      </c>
      <c r="F108" s="8" t="s">
        <v>2742</v>
      </c>
      <c r="G108" s="157">
        <v>11.491552714882401</v>
      </c>
      <c r="H108" s="30">
        <v>6.5788138686790596</v>
      </c>
      <c r="I108" s="30">
        <v>11.491552714882401</v>
      </c>
      <c r="J108" s="8" t="s">
        <v>2742</v>
      </c>
      <c r="K108" s="158">
        <v>19.554604370127464</v>
      </c>
      <c r="L108" s="113">
        <v>-21.70051259270064</v>
      </c>
      <c r="M108" s="113">
        <v>17.312384146399815</v>
      </c>
      <c r="N108" s="13" t="s">
        <v>1499</v>
      </c>
      <c r="O108" s="157">
        <v>17.307858274780099</v>
      </c>
      <c r="P108" s="30">
        <v>-153.65876631863301</v>
      </c>
      <c r="Q108" s="30">
        <v>17.307858274780099</v>
      </c>
      <c r="R108" s="8" t="s">
        <v>2742</v>
      </c>
      <c r="S108" s="157">
        <v>12.744257768720001</v>
      </c>
      <c r="T108" s="30">
        <v>125.381377541905</v>
      </c>
      <c r="U108" s="30">
        <v>12.744257768720001</v>
      </c>
      <c r="V108" s="8" t="s">
        <v>2742</v>
      </c>
      <c r="W108" s="157">
        <v>12.948469447529099</v>
      </c>
      <c r="X108" s="30">
        <v>-28.2793264613797</v>
      </c>
      <c r="Y108" s="30">
        <v>12.948469447529099</v>
      </c>
      <c r="Z108" s="498" t="s">
        <v>2742</v>
      </c>
      <c r="AA108" s="157">
        <v>2.0454488415088998</v>
      </c>
      <c r="AB108" s="30">
        <v>13.6824357617043</v>
      </c>
      <c r="AC108" s="30">
        <v>2.0454488415088998</v>
      </c>
      <c r="AD108" s="8" t="s">
        <v>2742</v>
      </c>
      <c r="AE108" s="157">
        <v>2.2252843275445202</v>
      </c>
      <c r="AF108" s="30">
        <v>9.0157182011642494</v>
      </c>
      <c r="AG108" s="30">
        <v>2.2252843275445202</v>
      </c>
      <c r="AH108" s="8" t="s">
        <v>2742</v>
      </c>
      <c r="AI108" s="157">
        <v>2.0337079312437698</v>
      </c>
      <c r="AJ108" s="30">
        <v>-4.6630243985845201</v>
      </c>
      <c r="AK108" s="30">
        <v>2.0337079312437698</v>
      </c>
      <c r="AL108" s="8" t="s">
        <v>2742</v>
      </c>
      <c r="AM108" s="157">
        <v>1.38654954964613</v>
      </c>
      <c r="AN108" s="30">
        <v>-8.6541623001552459</v>
      </c>
      <c r="AO108" s="30">
        <v>1.38654954964613</v>
      </c>
      <c r="AP108" s="8" t="s">
        <v>2742</v>
      </c>
      <c r="AQ108" s="157">
        <v>2.03765790613667</v>
      </c>
      <c r="AR108" s="30">
        <v>-7.3842343265906898</v>
      </c>
      <c r="AS108" s="30">
        <v>2.03765790613667</v>
      </c>
      <c r="AT108" s="8" t="s">
        <v>2742</v>
      </c>
      <c r="AU108" s="157">
        <v>2.04929439153634</v>
      </c>
      <c r="AV108" s="30">
        <v>1.6335364234760501</v>
      </c>
      <c r="AW108" s="30">
        <v>2.04929439153634</v>
      </c>
      <c r="AX108" s="8" t="s">
        <v>2742</v>
      </c>
      <c r="AY108" s="157" t="s">
        <v>2855</v>
      </c>
      <c r="AZ108" s="30"/>
      <c r="BA108" s="30"/>
      <c r="BB108" s="101"/>
      <c r="BC108" s="157" t="s">
        <v>2855</v>
      </c>
      <c r="BD108" s="30"/>
      <c r="BE108" s="30"/>
      <c r="BF108" s="277"/>
    </row>
    <row r="109" spans="1:58">
      <c r="A109" s="3"/>
      <c r="B109" s="171"/>
      <c r="C109" s="3"/>
      <c r="D109" s="206">
        <v>138</v>
      </c>
      <c r="E109" s="206">
        <v>9.8481517487217349</v>
      </c>
      <c r="F109" s="206" t="s">
        <v>558</v>
      </c>
      <c r="G109" s="3"/>
      <c r="H109" s="206" t="s">
        <v>2855</v>
      </c>
      <c r="I109" s="206" t="s">
        <v>2855</v>
      </c>
      <c r="J109" s="206" t="s">
        <v>558</v>
      </c>
      <c r="K109" s="353"/>
      <c r="L109" s="344">
        <v>3.6736975111514596</v>
      </c>
      <c r="M109" s="344">
        <v>5.282778607364933</v>
      </c>
      <c r="N109" s="206" t="s">
        <v>1124</v>
      </c>
      <c r="O109" s="3"/>
      <c r="P109" s="206" t="s">
        <v>2855</v>
      </c>
      <c r="Q109" s="206" t="s">
        <v>2855</v>
      </c>
      <c r="R109" s="206" t="s">
        <v>558</v>
      </c>
      <c r="S109" s="3"/>
      <c r="T109" s="206" t="s">
        <v>2855</v>
      </c>
      <c r="U109" s="206" t="s">
        <v>2855</v>
      </c>
      <c r="V109" s="206" t="s">
        <v>558</v>
      </c>
      <c r="W109" s="3"/>
      <c r="X109" s="206" t="s">
        <v>2855</v>
      </c>
      <c r="Y109" s="206" t="s">
        <v>2855</v>
      </c>
      <c r="Z109" s="206" t="s">
        <v>558</v>
      </c>
      <c r="AA109" s="3"/>
      <c r="AB109" s="206" t="s">
        <v>2855</v>
      </c>
      <c r="AC109" s="206" t="s">
        <v>2855</v>
      </c>
      <c r="AD109" s="206" t="s">
        <v>558</v>
      </c>
      <c r="AE109" s="3"/>
      <c r="AF109" s="206" t="s">
        <v>2855</v>
      </c>
      <c r="AG109" s="206" t="s">
        <v>2855</v>
      </c>
      <c r="AH109" s="206" t="s">
        <v>558</v>
      </c>
      <c r="AI109" s="3"/>
      <c r="AJ109" s="206" t="s">
        <v>2855</v>
      </c>
      <c r="AK109" s="206" t="s">
        <v>2855</v>
      </c>
      <c r="AL109" s="206" t="s">
        <v>558</v>
      </c>
      <c r="AM109" s="3"/>
      <c r="AN109" s="206">
        <v>-8.7574316117610298</v>
      </c>
      <c r="AO109" s="206">
        <v>1.389492422227854</v>
      </c>
      <c r="AP109" s="206" t="s">
        <v>558</v>
      </c>
      <c r="AQ109" s="3"/>
      <c r="AR109" s="206">
        <v>-8.7574316117610298</v>
      </c>
      <c r="AS109" s="206">
        <v>1.389492422227854</v>
      </c>
      <c r="AT109" s="206" t="s">
        <v>558</v>
      </c>
      <c r="AU109" s="3"/>
      <c r="AV109" s="206" t="s">
        <v>2855</v>
      </c>
      <c r="AW109" s="206" t="s">
        <v>2855</v>
      </c>
      <c r="AX109" s="206" t="s">
        <v>558</v>
      </c>
      <c r="AY109" s="3"/>
      <c r="AZ109" s="52"/>
      <c r="BA109" s="52"/>
      <c r="BB109" s="52"/>
      <c r="BC109" s="3"/>
      <c r="BF109" s="42"/>
    </row>
    <row r="110" spans="1:58">
      <c r="A110" s="3"/>
      <c r="B110" s="171"/>
      <c r="C110" s="3"/>
      <c r="D110" s="176">
        <v>131.68177274152001</v>
      </c>
      <c r="E110" s="176">
        <v>30.589280762536873</v>
      </c>
      <c r="F110" s="206" t="s">
        <v>1124</v>
      </c>
      <c r="G110" s="3"/>
      <c r="H110" s="176">
        <v>-0.38474256468006729</v>
      </c>
      <c r="I110" s="176">
        <v>0.53970917488190473</v>
      </c>
      <c r="J110" s="206" t="s">
        <v>1124</v>
      </c>
      <c r="K110" s="353"/>
      <c r="L110" s="206"/>
      <c r="M110" s="206"/>
      <c r="N110" s="206"/>
      <c r="O110" s="3"/>
      <c r="P110" s="178">
        <v>-128.00807523036855</v>
      </c>
      <c r="Q110" s="178">
        <v>39.599554088664974</v>
      </c>
      <c r="R110" s="206" t="s">
        <v>1124</v>
      </c>
      <c r="S110" s="3"/>
      <c r="T110" s="178">
        <v>115.48447279999999</v>
      </c>
      <c r="U110" s="178">
        <v>21.649758631343197</v>
      </c>
      <c r="V110" s="206" t="s">
        <v>1124</v>
      </c>
      <c r="W110" s="3"/>
      <c r="X110" s="178">
        <v>-31.295112</v>
      </c>
      <c r="Y110" s="178">
        <v>12.8376664029831</v>
      </c>
      <c r="Z110" s="206" t="s">
        <v>1124</v>
      </c>
      <c r="AA110" s="3"/>
      <c r="AB110" s="178">
        <v>14.390340114716981</v>
      </c>
      <c r="AC110" s="178">
        <v>1.3317900017667699</v>
      </c>
      <c r="AD110" s="206" t="s">
        <v>1124</v>
      </c>
      <c r="AE110" s="3"/>
      <c r="AF110" s="178">
        <v>6.2161099999999996</v>
      </c>
      <c r="AG110" s="178">
        <v>1.15661915548</v>
      </c>
      <c r="AH110" s="206" t="s">
        <v>1124</v>
      </c>
      <c r="AI110" s="3"/>
      <c r="AJ110" s="178">
        <v>-3.5168734879821799</v>
      </c>
      <c r="AK110" s="178">
        <v>1.16478498234621</v>
      </c>
      <c r="AL110" s="206" t="s">
        <v>1124</v>
      </c>
      <c r="AM110" s="3"/>
      <c r="AN110" s="178">
        <v>-7.6330792300000008</v>
      </c>
      <c r="AO110" s="178">
        <v>2.2418430029302301</v>
      </c>
      <c r="AP110" s="206" t="s">
        <v>1124</v>
      </c>
      <c r="AQ110" s="3"/>
      <c r="AR110" s="178">
        <v>-7.6330792300000008</v>
      </c>
      <c r="AS110" s="178">
        <v>2.2418430029302301</v>
      </c>
      <c r="AT110" s="206" t="s">
        <v>1124</v>
      </c>
      <c r="AU110" s="3"/>
      <c r="AV110" s="178">
        <v>3.1009285999999978</v>
      </c>
      <c r="AW110" s="178">
        <v>0.56043392680659965</v>
      </c>
      <c r="AX110" s="206" t="s">
        <v>1124</v>
      </c>
      <c r="AY110" s="3"/>
      <c r="AZ110" s="178"/>
      <c r="BA110" s="178"/>
      <c r="BB110" s="206"/>
      <c r="BC110" s="3"/>
      <c r="BD110" s="178"/>
      <c r="BE110" s="178"/>
      <c r="BF110" s="350"/>
    </row>
    <row r="111" spans="1:58">
      <c r="A111" s="3"/>
      <c r="B111" s="171"/>
      <c r="C111" s="157"/>
      <c r="D111" s="206"/>
      <c r="E111" s="206"/>
      <c r="F111" s="206"/>
      <c r="G111" s="157"/>
      <c r="H111" s="70"/>
      <c r="I111" s="70"/>
      <c r="J111" s="70"/>
      <c r="K111" s="83"/>
      <c r="L111" s="70"/>
      <c r="M111" s="70"/>
      <c r="N111" s="70"/>
      <c r="O111" s="191"/>
      <c r="P111" s="323"/>
      <c r="Q111" s="323"/>
      <c r="R111" s="180"/>
      <c r="S111" s="191"/>
      <c r="T111" s="318"/>
      <c r="U111" s="318"/>
      <c r="V111" s="70"/>
      <c r="W111" s="191"/>
      <c r="X111" s="318"/>
      <c r="Y111" s="318"/>
      <c r="Z111" s="70"/>
      <c r="AA111" s="3"/>
      <c r="AB111" s="9"/>
      <c r="AC111" s="9"/>
      <c r="AD111" s="4"/>
      <c r="AE111" s="3"/>
      <c r="AF111" s="9"/>
      <c r="AG111" s="9"/>
      <c r="AH111" s="4"/>
      <c r="AI111" s="3"/>
      <c r="AJ111" s="9"/>
      <c r="AK111" s="9"/>
      <c r="AL111" s="4"/>
      <c r="AM111" s="3"/>
      <c r="AN111" s="9"/>
      <c r="AO111" s="9"/>
      <c r="AP111" s="4"/>
      <c r="AQ111" s="3"/>
      <c r="AR111" s="9"/>
      <c r="AS111" s="9"/>
      <c r="AT111" s="4"/>
      <c r="AU111" s="3"/>
      <c r="AV111" s="9"/>
      <c r="AW111" s="9"/>
      <c r="AX111" s="4"/>
      <c r="AY111" s="3"/>
      <c r="AZ111" s="9"/>
      <c r="BA111" s="9"/>
      <c r="BB111" s="4"/>
      <c r="BC111" s="3"/>
      <c r="BD111" s="9"/>
      <c r="BE111" s="9"/>
      <c r="BF111" s="122"/>
    </row>
    <row r="112" spans="1:58">
      <c r="A112" s="3" t="s">
        <v>50</v>
      </c>
      <c r="B112" s="4" t="s">
        <v>51</v>
      </c>
      <c r="C112" s="157">
        <v>142.18715525635298</v>
      </c>
      <c r="D112" s="30" t="s">
        <v>2855</v>
      </c>
      <c r="E112" s="30" t="s">
        <v>2855</v>
      </c>
      <c r="F112" s="30" t="s">
        <v>2743</v>
      </c>
      <c r="G112" s="157">
        <v>22.972343715575601</v>
      </c>
      <c r="H112" s="30" t="s">
        <v>2855</v>
      </c>
      <c r="I112" s="30" t="s">
        <v>2855</v>
      </c>
      <c r="J112" s="30" t="s">
        <v>2743</v>
      </c>
      <c r="K112" s="157">
        <v>1.6623892384759724</v>
      </c>
      <c r="L112" s="113">
        <v>1.6623892384759724</v>
      </c>
      <c r="M112" s="30">
        <v>24.190053875885795</v>
      </c>
      <c r="N112" s="355" t="s">
        <v>1498</v>
      </c>
      <c r="O112" s="157">
        <v>-138.13376601787701</v>
      </c>
      <c r="P112" s="30" t="s">
        <v>2855</v>
      </c>
      <c r="Q112" s="30" t="s">
        <v>2855</v>
      </c>
      <c r="R112" s="30" t="s">
        <v>2743</v>
      </c>
      <c r="S112" s="157">
        <v>116.823362154335</v>
      </c>
      <c r="T112" s="30" t="s">
        <v>2855</v>
      </c>
      <c r="U112" s="30" t="s">
        <v>2855</v>
      </c>
      <c r="V112" s="30" t="s">
        <v>2743</v>
      </c>
      <c r="W112" s="157">
        <v>-21.3112943539562</v>
      </c>
      <c r="X112" s="30" t="s">
        <v>2855</v>
      </c>
      <c r="Y112" s="30" t="s">
        <v>2855</v>
      </c>
      <c r="Z112" s="300" t="s">
        <v>2743</v>
      </c>
      <c r="AA112" s="157">
        <v>13.0453673599265</v>
      </c>
      <c r="AB112" s="30" t="s">
        <v>2855</v>
      </c>
      <c r="AC112" s="30" t="s">
        <v>2855</v>
      </c>
      <c r="AD112" s="30" t="s">
        <v>2743</v>
      </c>
      <c r="AE112" s="157">
        <v>9.1904419399426605</v>
      </c>
      <c r="AF112" s="30" t="s">
        <v>2855</v>
      </c>
      <c r="AG112" s="30" t="s">
        <v>2855</v>
      </c>
      <c r="AH112" s="30" t="s">
        <v>2743</v>
      </c>
      <c r="AI112" s="157">
        <v>-3.85453364350824</v>
      </c>
      <c r="AJ112" s="30" t="s">
        <v>2855</v>
      </c>
      <c r="AK112" s="30" t="s">
        <v>2855</v>
      </c>
      <c r="AL112" s="30" t="s">
        <v>2743</v>
      </c>
      <c r="AM112" s="157">
        <v>-9.0277439672748461</v>
      </c>
      <c r="AN112" s="30" t="s">
        <v>2855</v>
      </c>
      <c r="AO112" s="30" t="s">
        <v>2855</v>
      </c>
      <c r="AP112" s="30" t="s">
        <v>2743</v>
      </c>
      <c r="AQ112" s="157">
        <v>-8.5679778128574995</v>
      </c>
      <c r="AR112" s="30" t="s">
        <v>2855</v>
      </c>
      <c r="AS112" s="30" t="s">
        <v>2855</v>
      </c>
      <c r="AT112" s="30" t="s">
        <v>2743</v>
      </c>
      <c r="AU112" s="157">
        <v>0.623429420282131</v>
      </c>
      <c r="AV112" s="30" t="s">
        <v>2855</v>
      </c>
      <c r="AW112" s="30" t="s">
        <v>2855</v>
      </c>
      <c r="AX112" s="30" t="s">
        <v>2743</v>
      </c>
      <c r="AY112" s="157" t="s">
        <v>2855</v>
      </c>
      <c r="AZ112" s="30" t="s">
        <v>2855</v>
      </c>
      <c r="BA112" s="30" t="s">
        <v>2855</v>
      </c>
      <c r="BB112" s="30" t="s">
        <v>558</v>
      </c>
      <c r="BC112" s="157">
        <v>380</v>
      </c>
      <c r="BD112" s="30">
        <v>380</v>
      </c>
      <c r="BE112" s="30">
        <v>114</v>
      </c>
      <c r="BF112" s="300" t="s">
        <v>558</v>
      </c>
    </row>
    <row r="113" spans="1:58">
      <c r="A113" s="3"/>
      <c r="B113" s="171">
        <v>653.69399999999996</v>
      </c>
      <c r="C113" s="157">
        <v>10.492976974115001</v>
      </c>
      <c r="D113" s="30">
        <v>142.18715525635298</v>
      </c>
      <c r="E113" s="30">
        <v>10.492976974115001</v>
      </c>
      <c r="F113" s="8" t="s">
        <v>2742</v>
      </c>
      <c r="G113" s="157">
        <v>16.135039348075999</v>
      </c>
      <c r="H113" s="30">
        <v>22.972343715575601</v>
      </c>
      <c r="I113" s="30">
        <v>16.135039348075999</v>
      </c>
      <c r="J113" s="8" t="s">
        <v>2742</v>
      </c>
      <c r="K113" s="158">
        <v>24.190053875885795</v>
      </c>
      <c r="L113" s="113">
        <v>1.6610493616194013</v>
      </c>
      <c r="M113" s="113">
        <v>25.291202888102813</v>
      </c>
      <c r="N113" s="13" t="s">
        <v>1499</v>
      </c>
      <c r="O113" s="157">
        <v>21.795782636532</v>
      </c>
      <c r="P113" s="30">
        <v>-138.13376601787701</v>
      </c>
      <c r="Q113" s="30">
        <v>21.795782636532</v>
      </c>
      <c r="R113" s="8" t="s">
        <v>2742</v>
      </c>
      <c r="S113" s="157">
        <v>15.5316822508033</v>
      </c>
      <c r="T113" s="30">
        <v>116.823362154335</v>
      </c>
      <c r="U113" s="30">
        <v>15.5316822508033</v>
      </c>
      <c r="V113" s="8" t="s">
        <v>2742</v>
      </c>
      <c r="W113" s="157">
        <v>19.475765678484098</v>
      </c>
      <c r="X113" s="30">
        <v>-21.3112943539562</v>
      </c>
      <c r="Y113" s="30">
        <v>19.475765678484098</v>
      </c>
      <c r="Z113" s="498" t="s">
        <v>2742</v>
      </c>
      <c r="AA113" s="157">
        <v>2.5758614738998</v>
      </c>
      <c r="AB113" s="30">
        <v>13.0453673599265</v>
      </c>
      <c r="AC113" s="30">
        <v>2.5758614738998</v>
      </c>
      <c r="AD113" s="8" t="s">
        <v>2742</v>
      </c>
      <c r="AE113" s="157">
        <v>2.7083925269033</v>
      </c>
      <c r="AF113" s="30">
        <v>9.1904419399426605</v>
      </c>
      <c r="AG113" s="30">
        <v>2.7083925269033</v>
      </c>
      <c r="AH113" s="8" t="s">
        <v>2742</v>
      </c>
      <c r="AI113" s="157">
        <v>2.3610953382280102</v>
      </c>
      <c r="AJ113" s="30">
        <v>-3.85453364350824</v>
      </c>
      <c r="AK113" s="30">
        <v>2.3610953382280102</v>
      </c>
      <c r="AL113" s="8" t="s">
        <v>2742</v>
      </c>
      <c r="AM113" s="157">
        <v>1.73441466430724</v>
      </c>
      <c r="AN113" s="30">
        <v>-9.0277439672748461</v>
      </c>
      <c r="AO113" s="30">
        <v>1.73441466430724</v>
      </c>
      <c r="AP113" s="8" t="s">
        <v>2742</v>
      </c>
      <c r="AQ113" s="157">
        <v>2.20899653813537</v>
      </c>
      <c r="AR113" s="30">
        <v>-8.5679778128574995</v>
      </c>
      <c r="AS113" s="30">
        <v>2.20899653813537</v>
      </c>
      <c r="AT113" s="8" t="s">
        <v>2742</v>
      </c>
      <c r="AU113" s="157">
        <v>2.5270957501236602</v>
      </c>
      <c r="AV113" s="30">
        <v>0.623429420282131</v>
      </c>
      <c r="AW113" s="30">
        <v>2.5270957501236602</v>
      </c>
      <c r="AX113" s="8" t="s">
        <v>2742</v>
      </c>
      <c r="AY113" s="157" t="s">
        <v>2855</v>
      </c>
      <c r="AZ113" s="30"/>
      <c r="BA113" s="30"/>
      <c r="BB113" s="101"/>
      <c r="BC113" s="157">
        <v>114</v>
      </c>
      <c r="BD113" s="30"/>
      <c r="BE113" s="30"/>
      <c r="BF113" s="277"/>
    </row>
    <row r="114" spans="1:58">
      <c r="A114" s="3"/>
      <c r="B114" s="171"/>
      <c r="C114" s="3"/>
      <c r="D114" s="206">
        <v>145</v>
      </c>
      <c r="E114" s="206">
        <v>10.347695678004721</v>
      </c>
      <c r="F114" s="206" t="s">
        <v>558</v>
      </c>
      <c r="G114" s="3"/>
      <c r="H114" s="206" t="s">
        <v>2855</v>
      </c>
      <c r="I114" s="206" t="s">
        <v>2855</v>
      </c>
      <c r="J114" s="206" t="s">
        <v>558</v>
      </c>
      <c r="K114" s="353"/>
      <c r="L114" s="344">
        <v>7.199385365416191</v>
      </c>
      <c r="M114" s="344">
        <v>10.352719264215112</v>
      </c>
      <c r="N114" s="206" t="s">
        <v>1124</v>
      </c>
      <c r="O114" s="3"/>
      <c r="P114" s="206" t="s">
        <v>2855</v>
      </c>
      <c r="Q114" s="206" t="s">
        <v>2855</v>
      </c>
      <c r="R114" s="206" t="s">
        <v>558</v>
      </c>
      <c r="S114" s="3"/>
      <c r="T114" s="206" t="s">
        <v>2855</v>
      </c>
      <c r="U114" s="206" t="s">
        <v>2855</v>
      </c>
      <c r="V114" s="206" t="s">
        <v>558</v>
      </c>
      <c r="W114" s="3"/>
      <c r="X114" s="206" t="s">
        <v>2855</v>
      </c>
      <c r="Y114" s="206" t="s">
        <v>2855</v>
      </c>
      <c r="Z114" s="206" t="s">
        <v>558</v>
      </c>
      <c r="AA114" s="3"/>
      <c r="AB114" s="206" t="s">
        <v>2855</v>
      </c>
      <c r="AC114" s="206" t="s">
        <v>2855</v>
      </c>
      <c r="AD114" s="206" t="s">
        <v>558</v>
      </c>
      <c r="AE114" s="3"/>
      <c r="AF114" s="206" t="s">
        <v>2855</v>
      </c>
      <c r="AG114" s="206" t="s">
        <v>2855</v>
      </c>
      <c r="AH114" s="206" t="s">
        <v>558</v>
      </c>
      <c r="AI114" s="3"/>
      <c r="AJ114" s="206" t="s">
        <v>2855</v>
      </c>
      <c r="AK114" s="206" t="s">
        <v>2855</v>
      </c>
      <c r="AL114" s="206" t="s">
        <v>558</v>
      </c>
      <c r="AM114" s="3"/>
      <c r="AN114" s="206">
        <v>-9.1887291340467172</v>
      </c>
      <c r="AO114" s="206">
        <v>1.4579239744807755</v>
      </c>
      <c r="AP114" s="206" t="s">
        <v>558</v>
      </c>
      <c r="AQ114" s="3"/>
      <c r="AR114" s="206">
        <v>-9.1887291340467172</v>
      </c>
      <c r="AS114" s="206">
        <v>1.4579239744807755</v>
      </c>
      <c r="AT114" s="206" t="s">
        <v>558</v>
      </c>
      <c r="AU114" s="3"/>
      <c r="AV114" s="206" t="s">
        <v>2855</v>
      </c>
      <c r="AW114" s="206" t="s">
        <v>2855</v>
      </c>
      <c r="AX114" s="206" t="s">
        <v>558</v>
      </c>
      <c r="AY114" s="3"/>
      <c r="AZ114" s="52"/>
      <c r="BA114" s="52"/>
      <c r="BB114" s="52"/>
      <c r="BC114" s="3"/>
      <c r="BF114" s="42"/>
    </row>
    <row r="115" spans="1:58">
      <c r="A115" s="3"/>
      <c r="B115" s="171"/>
      <c r="C115" s="3"/>
      <c r="D115" s="176">
        <v>120.4407216964</v>
      </c>
      <c r="E115" s="176">
        <v>27.978018327908632</v>
      </c>
      <c r="F115" s="206" t="s">
        <v>1124</v>
      </c>
      <c r="G115" s="3"/>
      <c r="H115" s="176">
        <v>11.186780235120139</v>
      </c>
      <c r="I115" s="176">
        <v>15.692591578221828</v>
      </c>
      <c r="J115" s="206" t="s">
        <v>1124</v>
      </c>
      <c r="K115" s="354"/>
      <c r="L115" s="206"/>
      <c r="M115" s="206"/>
      <c r="N115" s="206"/>
      <c r="O115" s="3"/>
      <c r="P115" s="178">
        <v>-113.24133633098381</v>
      </c>
      <c r="Q115" s="178">
        <v>35.031433876662504</v>
      </c>
      <c r="R115" s="206" t="s">
        <v>1124</v>
      </c>
      <c r="S115" s="3"/>
      <c r="T115" s="178">
        <v>115.48447279999999</v>
      </c>
      <c r="U115" s="178">
        <v>21.649758631343197</v>
      </c>
      <c r="V115" s="206" t="s">
        <v>1124</v>
      </c>
      <c r="W115" s="3"/>
      <c r="X115" s="178">
        <v>-31.295112</v>
      </c>
      <c r="Y115" s="178">
        <v>12.8376664029831</v>
      </c>
      <c r="Z115" s="206" t="s">
        <v>1124</v>
      </c>
      <c r="AA115" s="3"/>
      <c r="AB115" s="178">
        <v>12.908807698145912</v>
      </c>
      <c r="AC115" s="178">
        <v>1.1946778804441589</v>
      </c>
      <c r="AD115" s="206" t="s">
        <v>1124</v>
      </c>
      <c r="AE115" s="3"/>
      <c r="AF115" s="178">
        <v>6.2161099999999996</v>
      </c>
      <c r="AG115" s="178">
        <v>1.15661915548</v>
      </c>
      <c r="AH115" s="206" t="s">
        <v>1124</v>
      </c>
      <c r="AI115" s="3"/>
      <c r="AJ115" s="178">
        <v>-3.5168734879821799</v>
      </c>
      <c r="AK115" s="178">
        <v>1.16478498234621</v>
      </c>
      <c r="AL115" s="206" t="s">
        <v>1124</v>
      </c>
      <c r="AM115" s="3"/>
      <c r="AN115" s="178">
        <v>-6.4367054699999997</v>
      </c>
      <c r="AO115" s="178">
        <v>1.8904668332444698</v>
      </c>
      <c r="AP115" s="206" t="s">
        <v>1124</v>
      </c>
      <c r="AQ115" s="3"/>
      <c r="AR115" s="178">
        <v>-6.4367054699999997</v>
      </c>
      <c r="AS115" s="178">
        <v>1.8904668332444698</v>
      </c>
      <c r="AT115" s="206" t="s">
        <v>1124</v>
      </c>
      <c r="AU115" s="3"/>
      <c r="AV115" s="178">
        <v>3.1009285999999978</v>
      </c>
      <c r="AW115" s="178">
        <v>0.56043392680659965</v>
      </c>
      <c r="AX115" s="206" t="s">
        <v>1124</v>
      </c>
      <c r="AY115" s="3"/>
      <c r="AZ115" s="178"/>
      <c r="BA115" s="178"/>
      <c r="BB115" s="206"/>
      <c r="BC115" s="3"/>
      <c r="BD115" s="178"/>
      <c r="BE115" s="178"/>
      <c r="BF115" s="350"/>
    </row>
    <row r="116" spans="1:58">
      <c r="A116" s="3"/>
      <c r="B116" s="171"/>
      <c r="C116" s="4"/>
      <c r="D116" s="176"/>
      <c r="E116" s="176"/>
      <c r="F116" s="206"/>
      <c r="G116" s="4"/>
      <c r="H116" s="176"/>
      <c r="I116" s="176"/>
      <c r="J116" s="206"/>
      <c r="K116" s="206"/>
      <c r="L116" s="206"/>
      <c r="M116" s="206"/>
      <c r="N116" s="206"/>
      <c r="O116" s="4"/>
      <c r="P116" s="178"/>
      <c r="Q116" s="178"/>
      <c r="R116" s="206"/>
      <c r="S116" s="4"/>
      <c r="T116" s="178"/>
      <c r="U116" s="178"/>
      <c r="V116" s="206"/>
      <c r="W116" s="4"/>
      <c r="X116" s="178"/>
      <c r="Y116" s="178"/>
      <c r="Z116" s="206"/>
      <c r="AA116" s="3"/>
      <c r="AB116" s="9"/>
      <c r="AC116" s="9"/>
      <c r="AD116" s="4"/>
      <c r="AE116" s="3"/>
      <c r="AF116" s="9"/>
      <c r="AG116" s="9"/>
      <c r="AH116" s="4"/>
      <c r="AI116" s="3"/>
      <c r="AJ116" s="9"/>
      <c r="AK116" s="9"/>
      <c r="AL116" s="4"/>
      <c r="AM116" s="3"/>
      <c r="AN116" s="9"/>
      <c r="AO116" s="9"/>
      <c r="AP116" s="4"/>
      <c r="AQ116" s="3"/>
      <c r="AR116" s="9"/>
      <c r="AS116" s="9"/>
      <c r="AT116" s="4"/>
      <c r="AU116" s="3"/>
      <c r="AV116" s="9"/>
      <c r="AW116" s="9"/>
      <c r="AX116" s="4"/>
      <c r="AY116" s="3"/>
      <c r="AZ116" s="9"/>
      <c r="BA116" s="9"/>
      <c r="BB116" s="4"/>
      <c r="BC116" s="3"/>
      <c r="BD116" s="9"/>
      <c r="BE116" s="9"/>
      <c r="BF116" s="122"/>
    </row>
    <row r="117" spans="1:58">
      <c r="A117" s="511" t="s">
        <v>52</v>
      </c>
      <c r="B117" s="511"/>
      <c r="C117" s="511"/>
      <c r="D117" s="511"/>
      <c r="E117" s="511"/>
      <c r="F117" s="511"/>
      <c r="G117" s="511"/>
      <c r="H117" s="511"/>
      <c r="I117" s="511"/>
      <c r="J117" s="511"/>
      <c r="K117" s="511"/>
      <c r="L117" s="511"/>
      <c r="M117" s="511"/>
      <c r="N117" s="511"/>
      <c r="O117" s="511"/>
      <c r="P117" s="511"/>
      <c r="Q117" s="511"/>
      <c r="R117" s="511"/>
      <c r="S117" s="511"/>
      <c r="T117" s="511"/>
      <c r="U117" s="511"/>
      <c r="V117" s="511"/>
      <c r="W117" s="511"/>
      <c r="X117" s="511"/>
      <c r="Y117" s="511"/>
      <c r="Z117" s="511"/>
      <c r="AA117" s="511"/>
      <c r="AB117" s="511"/>
      <c r="AC117" s="511"/>
      <c r="AD117" s="511"/>
      <c r="AE117" s="511"/>
      <c r="AF117" s="511"/>
      <c r="AG117" s="511"/>
      <c r="AH117" s="511"/>
      <c r="AI117" s="511"/>
      <c r="AJ117" s="511"/>
      <c r="AK117" s="511"/>
      <c r="AL117" s="511"/>
      <c r="AM117" s="511"/>
      <c r="AN117" s="511"/>
      <c r="AO117" s="511"/>
      <c r="AP117" s="511"/>
      <c r="AQ117" s="511"/>
      <c r="AR117" s="511"/>
      <c r="AS117" s="511"/>
      <c r="AT117" s="511"/>
      <c r="AU117" s="511"/>
      <c r="AV117" s="511"/>
      <c r="AW117" s="511"/>
      <c r="AX117" s="511"/>
      <c r="AY117" s="511"/>
      <c r="AZ117" s="511"/>
      <c r="BA117" s="511"/>
      <c r="BB117" s="511"/>
      <c r="BC117" s="511"/>
      <c r="BD117" s="511"/>
      <c r="BE117" s="511"/>
      <c r="BF117" s="511"/>
    </row>
    <row r="118" spans="1:58">
      <c r="A118" s="3" t="s">
        <v>53</v>
      </c>
      <c r="B118" s="4" t="s">
        <v>54</v>
      </c>
      <c r="C118" s="157">
        <v>85.192139340417711</v>
      </c>
      <c r="D118" s="30">
        <v>81.854330546553101</v>
      </c>
      <c r="E118" s="30">
        <v>2.2759179199612198</v>
      </c>
      <c r="F118" s="30" t="s">
        <v>2743</v>
      </c>
      <c r="G118" s="157">
        <v>29.486552806597601</v>
      </c>
      <c r="H118" s="30" t="s">
        <v>2855</v>
      </c>
      <c r="I118" s="30" t="s">
        <v>2855</v>
      </c>
      <c r="J118" s="30" t="s">
        <v>2743</v>
      </c>
      <c r="K118" s="157">
        <v>1.3465058862351125</v>
      </c>
      <c r="L118" s="113">
        <v>1.3465058862351125</v>
      </c>
      <c r="M118" s="30">
        <v>3.8715181710019326</v>
      </c>
      <c r="N118" s="355" t="s">
        <v>1498</v>
      </c>
      <c r="O118" s="157">
        <v>-81.454633454182598</v>
      </c>
      <c r="P118" s="30">
        <v>-84.759448042851005</v>
      </c>
      <c r="Q118" s="30">
        <v>2.34077049422261</v>
      </c>
      <c r="R118" s="30" t="s">
        <v>2743</v>
      </c>
      <c r="S118" s="157">
        <v>53.318731511617699</v>
      </c>
      <c r="T118" s="30" t="s">
        <v>2855</v>
      </c>
      <c r="U118" s="30" t="s">
        <v>2855</v>
      </c>
      <c r="V118" s="30" t="s">
        <v>2743</v>
      </c>
      <c r="W118" s="157">
        <v>-28.1332664907757</v>
      </c>
      <c r="X118" s="30" t="s">
        <v>2855</v>
      </c>
      <c r="Y118" s="30" t="s">
        <v>2855</v>
      </c>
      <c r="Z118" s="300" t="s">
        <v>2743</v>
      </c>
      <c r="AA118" s="157">
        <v>9.5006100784031098</v>
      </c>
      <c r="AB118" s="30">
        <v>9.5098478700754594</v>
      </c>
      <c r="AC118" s="30">
        <v>0.20362179357943999</v>
      </c>
      <c r="AD118" s="30" t="s">
        <v>2743</v>
      </c>
      <c r="AE118" s="157">
        <v>6.9471642802517497</v>
      </c>
      <c r="AF118" s="30">
        <v>6.8492048717644796</v>
      </c>
      <c r="AG118" s="30">
        <v>0.26656342347216699</v>
      </c>
      <c r="AH118" s="30" t="s">
        <v>2743</v>
      </c>
      <c r="AI118" s="157">
        <v>-2.5789338525506502</v>
      </c>
      <c r="AJ118" s="30">
        <v>-2.6964221396322401</v>
      </c>
      <c r="AK118" s="30">
        <v>0.142000462115177</v>
      </c>
      <c r="AL118" s="30" t="s">
        <v>2743</v>
      </c>
      <c r="AM118" s="157">
        <v>-2.5891262565090067</v>
      </c>
      <c r="AN118" s="30">
        <v>-2.6182167289455069</v>
      </c>
      <c r="AO118" s="30">
        <v>0.16943631150800301</v>
      </c>
      <c r="AP118" s="30" t="s">
        <v>2743</v>
      </c>
      <c r="AQ118" s="157">
        <v>-3.4081728416361501</v>
      </c>
      <c r="AR118" s="30">
        <v>-3.32740325659389</v>
      </c>
      <c r="AS118" s="30">
        <v>0.20741390940292301</v>
      </c>
      <c r="AT118" s="30" t="s">
        <v>2743</v>
      </c>
      <c r="AU118" s="157">
        <v>3.51877721065263</v>
      </c>
      <c r="AV118" s="30">
        <v>3.5000887435729902</v>
      </c>
      <c r="AW118" s="30">
        <v>0.25792463132986099</v>
      </c>
      <c r="AX118" s="30" t="s">
        <v>2743</v>
      </c>
      <c r="AY118" s="157">
        <v>65.848126363730174</v>
      </c>
      <c r="AZ118" s="30">
        <v>65.848126363730174</v>
      </c>
      <c r="BA118" s="30">
        <v>0.86935111572526058</v>
      </c>
      <c r="BB118" s="30" t="s">
        <v>558</v>
      </c>
      <c r="BC118" s="157">
        <v>88.638000000000005</v>
      </c>
      <c r="BD118" s="30">
        <v>88.638000000000005</v>
      </c>
      <c r="BE118" s="30">
        <v>0.92923086474782779</v>
      </c>
      <c r="BF118" s="300" t="s">
        <v>558</v>
      </c>
    </row>
    <row r="119" spans="1:58">
      <c r="A119" s="3"/>
      <c r="B119" s="171">
        <v>318.01799999999997</v>
      </c>
      <c r="C119" s="157">
        <v>2.6837502027736901</v>
      </c>
      <c r="D119" s="30">
        <v>85.192139340417711</v>
      </c>
      <c r="E119" s="30">
        <v>2.6837502027736901</v>
      </c>
      <c r="F119" s="8" t="s">
        <v>2742</v>
      </c>
      <c r="G119" s="157">
        <v>5.2017127483615804</v>
      </c>
      <c r="H119" s="30">
        <v>29.486552806597601</v>
      </c>
      <c r="I119" s="30">
        <v>5.2017127483615804</v>
      </c>
      <c r="J119" s="8" t="s">
        <v>2742</v>
      </c>
      <c r="K119" s="158">
        <v>3.8715181710019326</v>
      </c>
      <c r="L119" s="113">
        <v>1.3532863158219008</v>
      </c>
      <c r="M119" s="113">
        <v>7.6832727516325123</v>
      </c>
      <c r="N119" s="13" t="s">
        <v>1499</v>
      </c>
      <c r="O119" s="157">
        <v>2.79036517278838</v>
      </c>
      <c r="P119" s="30">
        <v>-81.454633454182598</v>
      </c>
      <c r="Q119" s="30">
        <v>2.79036517278838</v>
      </c>
      <c r="R119" s="8" t="s">
        <v>2742</v>
      </c>
      <c r="S119" s="157">
        <v>5.3582511750754103</v>
      </c>
      <c r="T119" s="30">
        <v>53.318731511617699</v>
      </c>
      <c r="U119" s="30">
        <v>5.3582511750754103</v>
      </c>
      <c r="V119" s="8" t="s">
        <v>2742</v>
      </c>
      <c r="W119" s="157">
        <v>5.6546321418383396</v>
      </c>
      <c r="X119" s="30">
        <v>-28.1332664907757</v>
      </c>
      <c r="Y119" s="30">
        <v>5.6546321418383396</v>
      </c>
      <c r="Z119" s="498" t="s">
        <v>2742</v>
      </c>
      <c r="AA119" s="157">
        <v>0.20708173798257301</v>
      </c>
      <c r="AB119" s="30">
        <v>9.5006100784031098</v>
      </c>
      <c r="AC119" s="30">
        <v>0.20708173798257301</v>
      </c>
      <c r="AD119" s="8" t="s">
        <v>2742</v>
      </c>
      <c r="AE119" s="157">
        <v>0.344731204717103</v>
      </c>
      <c r="AF119" s="30">
        <v>6.9471642802517497</v>
      </c>
      <c r="AG119" s="30">
        <v>0.344731204717103</v>
      </c>
      <c r="AH119" s="8" t="s">
        <v>2742</v>
      </c>
      <c r="AI119" s="157">
        <v>0.311532935296506</v>
      </c>
      <c r="AJ119" s="30">
        <v>-2.5789338525506502</v>
      </c>
      <c r="AK119" s="30">
        <v>0.311532935296506</v>
      </c>
      <c r="AL119" s="8" t="s">
        <v>2742</v>
      </c>
      <c r="AM119" s="157">
        <v>0.17808519871765799</v>
      </c>
      <c r="AN119" s="30">
        <v>-2.5891262565090067</v>
      </c>
      <c r="AO119" s="30">
        <v>0.17808519871765799</v>
      </c>
      <c r="AP119" s="8" t="s">
        <v>2742</v>
      </c>
      <c r="AQ119" s="157">
        <v>0.28913166203003499</v>
      </c>
      <c r="AR119" s="30">
        <v>-3.4081728416361501</v>
      </c>
      <c r="AS119" s="30">
        <v>0.28913166203003499</v>
      </c>
      <c r="AT119" s="8" t="s">
        <v>2742</v>
      </c>
      <c r="AU119" s="157">
        <v>0.259702289243673</v>
      </c>
      <c r="AV119" s="30">
        <v>3.51877721065263</v>
      </c>
      <c r="AW119" s="30">
        <v>0.259702289243673</v>
      </c>
      <c r="AX119" s="8" t="s">
        <v>2742</v>
      </c>
      <c r="AY119" s="157">
        <v>0.86935111572526058</v>
      </c>
      <c r="AZ119" s="30"/>
      <c r="BA119" s="30"/>
      <c r="BB119" s="101"/>
      <c r="BC119" s="157">
        <v>0.92923086474782779</v>
      </c>
      <c r="BD119" s="30"/>
      <c r="BE119" s="30"/>
      <c r="BF119" s="277"/>
    </row>
    <row r="120" spans="1:58">
      <c r="A120" s="3"/>
      <c r="B120" s="4" t="s">
        <v>20</v>
      </c>
      <c r="C120" s="3"/>
      <c r="D120" s="206">
        <v>84.568750000000009</v>
      </c>
      <c r="E120" s="206">
        <v>2.7668327711181484</v>
      </c>
      <c r="F120" s="206" t="s">
        <v>558</v>
      </c>
      <c r="G120" s="3"/>
      <c r="H120" s="206">
        <v>32.782409563371495</v>
      </c>
      <c r="I120" s="206">
        <v>6.5564819126742995</v>
      </c>
      <c r="J120" s="206" t="s">
        <v>558</v>
      </c>
      <c r="K120" s="353"/>
      <c r="L120" s="344">
        <v>3.5062168153039153</v>
      </c>
      <c r="M120" s="344">
        <v>5.0419412944167901</v>
      </c>
      <c r="N120" s="206" t="s">
        <v>1124</v>
      </c>
      <c r="O120" s="3"/>
      <c r="P120" s="206">
        <v>-81.75</v>
      </c>
      <c r="Q120" s="206">
        <v>2.8991378028648409</v>
      </c>
      <c r="R120" s="206" t="s">
        <v>558</v>
      </c>
      <c r="S120" s="3"/>
      <c r="T120" s="206" t="s">
        <v>2855</v>
      </c>
      <c r="U120" s="206" t="s">
        <v>2855</v>
      </c>
      <c r="V120" s="206" t="s">
        <v>558</v>
      </c>
      <c r="W120" s="3"/>
      <c r="X120" s="206" t="s">
        <v>2855</v>
      </c>
      <c r="Y120" s="206" t="s">
        <v>2855</v>
      </c>
      <c r="Z120" s="350" t="s">
        <v>558</v>
      </c>
      <c r="AA120" s="3"/>
      <c r="AB120" s="206">
        <v>9.49394862833846</v>
      </c>
      <c r="AC120" s="206">
        <v>0.22642182954226633</v>
      </c>
      <c r="AD120" s="206" t="s">
        <v>558</v>
      </c>
      <c r="AE120" s="3"/>
      <c r="AF120" s="206">
        <v>7.8106000000000009</v>
      </c>
      <c r="AG120" s="206">
        <v>0.47155078808172524</v>
      </c>
      <c r="AH120" s="206" t="s">
        <v>558</v>
      </c>
      <c r="AI120" s="3"/>
      <c r="AJ120" s="206">
        <v>-2.7281124801669447</v>
      </c>
      <c r="AK120" s="206">
        <v>0.54562249603338897</v>
      </c>
      <c r="AL120" s="206" t="s">
        <v>558</v>
      </c>
      <c r="AM120" s="3"/>
      <c r="AN120" s="206">
        <v>-2.5790539975289355</v>
      </c>
      <c r="AO120" s="206">
        <v>0.19619774377662969</v>
      </c>
      <c r="AP120" s="206" t="s">
        <v>558</v>
      </c>
      <c r="AQ120" s="3"/>
      <c r="AR120" s="206">
        <v>-2.5790539975289355</v>
      </c>
      <c r="AS120" s="206">
        <v>0.19619774377662969</v>
      </c>
      <c r="AT120" s="206" t="s">
        <v>558</v>
      </c>
      <c r="AU120" s="3"/>
      <c r="AV120" s="206">
        <v>2.8358769443038372</v>
      </c>
      <c r="AW120" s="206">
        <v>0.56717538886076746</v>
      </c>
      <c r="AX120" s="206" t="s">
        <v>558</v>
      </c>
      <c r="AY120" s="3"/>
      <c r="AZ120" s="52"/>
      <c r="BA120" s="52"/>
      <c r="BB120" s="52"/>
      <c r="BC120" s="3"/>
      <c r="BF120" s="42"/>
    </row>
    <row r="121" spans="1:58">
      <c r="A121" s="3"/>
      <c r="B121" s="4"/>
      <c r="C121" s="3"/>
      <c r="D121" s="176">
        <v>87.515482757919997</v>
      </c>
      <c r="E121" s="176">
        <v>11.911644842697733</v>
      </c>
      <c r="F121" s="206" t="s">
        <v>1124</v>
      </c>
      <c r="G121" s="3"/>
      <c r="H121" s="176">
        <v>17.908759623407946</v>
      </c>
      <c r="I121" s="176">
        <v>11.36430786794711</v>
      </c>
      <c r="J121" s="206" t="s">
        <v>1124</v>
      </c>
      <c r="K121" s="353"/>
      <c r="L121" s="206"/>
      <c r="M121" s="206"/>
      <c r="N121" s="206"/>
      <c r="O121" s="3"/>
      <c r="P121" s="178">
        <v>-84.009265942616082</v>
      </c>
      <c r="Q121" s="178">
        <v>12.683886990548062</v>
      </c>
      <c r="R121" s="206" t="s">
        <v>1124</v>
      </c>
      <c r="S121" s="3"/>
      <c r="T121" s="178">
        <v>60.731431800000003</v>
      </c>
      <c r="U121" s="178">
        <v>13.120357794640201</v>
      </c>
      <c r="V121" s="206" t="s">
        <v>1124</v>
      </c>
      <c r="W121" s="3"/>
      <c r="X121" s="178">
        <v>-24.578272000000002</v>
      </c>
      <c r="Y121" s="178">
        <v>10.082330323591117</v>
      </c>
      <c r="Z121" s="206" t="s">
        <v>1124</v>
      </c>
      <c r="AA121" s="3"/>
      <c r="AB121" s="178">
        <v>9.20741944443294</v>
      </c>
      <c r="AC121" s="178">
        <v>0.32039978182737749</v>
      </c>
      <c r="AD121" s="206" t="s">
        <v>1124</v>
      </c>
      <c r="AE121" s="3"/>
      <c r="AF121" s="178">
        <v>6.5480663400000001</v>
      </c>
      <c r="AG121" s="178">
        <v>0.82753807598286</v>
      </c>
      <c r="AH121" s="206" t="s">
        <v>1124</v>
      </c>
      <c r="AI121" s="3"/>
      <c r="AJ121" s="178">
        <v>-2.9609236550416753</v>
      </c>
      <c r="AK121" s="178">
        <v>0.37419857060051187</v>
      </c>
      <c r="AL121" s="206" t="s">
        <v>1124</v>
      </c>
      <c r="AM121" s="3"/>
      <c r="AN121" s="178">
        <v>-2.4262503000000009</v>
      </c>
      <c r="AO121" s="178">
        <v>0.24936757958370007</v>
      </c>
      <c r="AP121" s="206" t="s">
        <v>1124</v>
      </c>
      <c r="AQ121" s="3"/>
      <c r="AR121" s="178">
        <v>-2.4262503000000009</v>
      </c>
      <c r="AS121" s="178">
        <v>0.24936757958370007</v>
      </c>
      <c r="AT121" s="206" t="s">
        <v>1124</v>
      </c>
      <c r="AU121" s="3"/>
      <c r="AV121" s="178">
        <v>3.215146599999998</v>
      </c>
      <c r="AW121" s="178">
        <v>0.58107666016459969</v>
      </c>
      <c r="AX121" s="206" t="s">
        <v>1124</v>
      </c>
      <c r="AY121" s="3"/>
      <c r="AZ121" s="178"/>
      <c r="BA121" s="178"/>
      <c r="BB121" s="206"/>
      <c r="BC121" s="3"/>
      <c r="BD121" s="178"/>
      <c r="BE121" s="178"/>
      <c r="BF121" s="350"/>
    </row>
    <row r="122" spans="1:58">
      <c r="A122" s="3"/>
      <c r="B122" s="4"/>
      <c r="C122" s="3"/>
      <c r="D122" s="30">
        <v>82.909141991778</v>
      </c>
      <c r="E122" s="30">
        <v>3.2001949457672501</v>
      </c>
      <c r="F122" s="206" t="s">
        <v>2875</v>
      </c>
      <c r="G122" s="3"/>
      <c r="H122" s="30">
        <v>41.165293188862201</v>
      </c>
      <c r="I122" s="30">
        <v>3.2001949457672501</v>
      </c>
      <c r="J122" s="206" t="s">
        <v>2875</v>
      </c>
      <c r="K122" s="353"/>
      <c r="L122" s="206"/>
      <c r="M122" s="206"/>
      <c r="N122" s="206"/>
      <c r="O122" s="3"/>
      <c r="P122" s="30">
        <v>-81.863869183996698</v>
      </c>
      <c r="Q122" s="30">
        <v>8.3604776046875493</v>
      </c>
      <c r="R122" s="206" t="s">
        <v>2875</v>
      </c>
      <c r="S122" s="3"/>
      <c r="T122" s="30">
        <v>41.738913021032801</v>
      </c>
      <c r="U122" s="30">
        <v>3.4708413057473702</v>
      </c>
      <c r="V122" s="206" t="s">
        <v>2875</v>
      </c>
      <c r="W122" s="3"/>
      <c r="X122" s="30">
        <v>-40.122662482138402</v>
      </c>
      <c r="Y122" s="30">
        <v>8.7143184320151406</v>
      </c>
      <c r="Z122" s="206" t="s">
        <v>2875</v>
      </c>
      <c r="AA122" s="3"/>
      <c r="AB122" s="9"/>
      <c r="AC122" s="9"/>
      <c r="AD122" s="4"/>
      <c r="AE122" s="3"/>
      <c r="AF122" s="9"/>
      <c r="AG122" s="9"/>
      <c r="AH122" s="4"/>
      <c r="AI122" s="3"/>
      <c r="AJ122" s="9"/>
      <c r="AK122" s="9"/>
      <c r="AL122" s="4"/>
      <c r="AM122" s="3"/>
      <c r="AN122" s="9"/>
      <c r="AO122" s="9"/>
      <c r="AP122" s="4"/>
      <c r="AQ122" s="3"/>
      <c r="AR122" s="9"/>
      <c r="AS122" s="9"/>
      <c r="AT122" s="4"/>
      <c r="AU122" s="3"/>
      <c r="AV122" s="9"/>
      <c r="AW122" s="9"/>
      <c r="AX122" s="4"/>
      <c r="AY122" s="3"/>
      <c r="AZ122" s="9"/>
      <c r="BA122" s="9"/>
      <c r="BB122" s="4"/>
      <c r="BC122" s="3"/>
      <c r="BD122" s="9"/>
      <c r="BE122" s="9"/>
      <c r="BF122" s="122"/>
    </row>
    <row r="123" spans="1:58">
      <c r="A123" s="3"/>
      <c r="B123" s="4"/>
      <c r="C123" s="87"/>
      <c r="D123" s="4"/>
      <c r="E123" s="4"/>
      <c r="F123" s="4"/>
      <c r="G123" s="3"/>
      <c r="H123" s="4"/>
      <c r="I123" s="4"/>
      <c r="J123" s="4"/>
      <c r="K123" s="3"/>
      <c r="L123" s="4"/>
      <c r="M123" s="4"/>
      <c r="N123" s="4"/>
      <c r="O123" s="115"/>
      <c r="P123" s="4"/>
      <c r="Q123" s="4"/>
      <c r="R123" s="70"/>
      <c r="S123" s="87"/>
      <c r="T123" s="4"/>
      <c r="U123" s="4"/>
      <c r="V123" s="4"/>
      <c r="W123" s="3"/>
      <c r="X123" s="4"/>
      <c r="Y123" s="4"/>
      <c r="Z123" s="4"/>
      <c r="AA123" s="87"/>
      <c r="AB123" s="9"/>
      <c r="AC123" s="9"/>
      <c r="AD123" s="45"/>
      <c r="AH123" s="42"/>
      <c r="AI123" s="47"/>
      <c r="AJ123" s="47"/>
      <c r="AK123" s="47"/>
      <c r="AL123" s="275"/>
      <c r="AM123" s="135"/>
      <c r="AN123" s="6"/>
      <c r="AP123" s="42"/>
      <c r="AR123" s="52"/>
      <c r="AS123" s="47"/>
      <c r="AT123" s="45"/>
      <c r="AU123" s="47"/>
      <c r="AV123" s="47"/>
      <c r="AW123" s="47"/>
      <c r="AX123" s="45"/>
      <c r="AY123" s="47"/>
      <c r="AZ123" s="47"/>
      <c r="BA123" s="47"/>
      <c r="BB123" s="484"/>
      <c r="BC123" s="47"/>
      <c r="BD123" s="47"/>
      <c r="BE123" s="47"/>
      <c r="BF123" s="45"/>
    </row>
    <row r="124" spans="1:58">
      <c r="A124" s="3" t="s">
        <v>56</v>
      </c>
      <c r="B124" s="4" t="s">
        <v>57</v>
      </c>
      <c r="C124" s="157">
        <v>84.526939616741799</v>
      </c>
      <c r="D124" s="30" t="s">
        <v>2855</v>
      </c>
      <c r="E124" s="30" t="s">
        <v>2855</v>
      </c>
      <c r="F124" s="30" t="s">
        <v>2743</v>
      </c>
      <c r="G124" s="157">
        <v>19.880618183846199</v>
      </c>
      <c r="H124" s="30" t="s">
        <v>2855</v>
      </c>
      <c r="I124" s="30" t="s">
        <v>2855</v>
      </c>
      <c r="J124" s="30" t="s">
        <v>2743</v>
      </c>
      <c r="K124" s="157">
        <v>0.11819344940409415</v>
      </c>
      <c r="L124" s="113">
        <v>0.11819344940409415</v>
      </c>
      <c r="M124" s="30">
        <v>4.5906406765183148</v>
      </c>
      <c r="N124" s="355" t="s">
        <v>1498</v>
      </c>
      <c r="O124" s="157">
        <v>-82.017746167337705</v>
      </c>
      <c r="P124" s="30" t="s">
        <v>2855</v>
      </c>
      <c r="Q124" s="30" t="s">
        <v>2855</v>
      </c>
      <c r="R124" s="30" t="s">
        <v>2743</v>
      </c>
      <c r="S124" s="157">
        <v>62.254837179763499</v>
      </c>
      <c r="T124" s="30" t="s">
        <v>2855</v>
      </c>
      <c r="U124" s="30" t="s">
        <v>2855</v>
      </c>
      <c r="V124" s="30" t="s">
        <v>2743</v>
      </c>
      <c r="W124" s="157">
        <v>-19.764401430403499</v>
      </c>
      <c r="X124" s="30" t="s">
        <v>2855</v>
      </c>
      <c r="Y124" s="30" t="s">
        <v>2855</v>
      </c>
      <c r="Z124" s="300" t="s">
        <v>2743</v>
      </c>
      <c r="AA124" s="157">
        <v>9.3593572447661604</v>
      </c>
      <c r="AB124" s="30">
        <v>9.37128346234093</v>
      </c>
      <c r="AC124" s="30">
        <v>0.23425707374562499</v>
      </c>
      <c r="AD124" s="30" t="s">
        <v>2743</v>
      </c>
      <c r="AE124" s="157">
        <v>6.1093524342583203</v>
      </c>
      <c r="AF124" s="30">
        <v>6.0169892087402603</v>
      </c>
      <c r="AG124" s="30">
        <v>0.57719056073070096</v>
      </c>
      <c r="AH124" s="30" t="s">
        <v>2743</v>
      </c>
      <c r="AI124" s="157">
        <v>-3.2343875148081902</v>
      </c>
      <c r="AJ124" s="30">
        <v>-3.3299515800166701</v>
      </c>
      <c r="AK124" s="30">
        <v>0.52090764567569703</v>
      </c>
      <c r="AL124" s="30" t="s">
        <v>2743</v>
      </c>
      <c r="AM124" s="157">
        <v>-2.5840900316508968</v>
      </c>
      <c r="AN124" s="30">
        <v>-2.5912315257286567</v>
      </c>
      <c r="AO124" s="30">
        <v>0.23243776051196299</v>
      </c>
      <c r="AP124" s="30" t="s">
        <v>2743</v>
      </c>
      <c r="AQ124" s="157">
        <v>-2.7427391410965001</v>
      </c>
      <c r="AR124" s="30">
        <v>-2.6784087362482398</v>
      </c>
      <c r="AS124" s="30">
        <v>0.44744135282763697</v>
      </c>
      <c r="AT124" s="30" t="s">
        <v>2743</v>
      </c>
      <c r="AU124" s="157">
        <v>3.3725332109905999</v>
      </c>
      <c r="AV124" s="30" t="s">
        <v>2855</v>
      </c>
      <c r="AW124" s="30" t="s">
        <v>2855</v>
      </c>
      <c r="AX124" s="30" t="s">
        <v>2743</v>
      </c>
      <c r="AY124" s="157">
        <v>75.441327990841444</v>
      </c>
      <c r="AZ124" s="30">
        <v>75.441327990841444</v>
      </c>
      <c r="BA124" s="30">
        <v>5.9462572584268036</v>
      </c>
      <c r="BB124" s="30" t="s">
        <v>558</v>
      </c>
      <c r="BC124" s="157">
        <v>76.083333333333329</v>
      </c>
      <c r="BD124" s="30">
        <v>76.083333333333329</v>
      </c>
      <c r="BE124" s="30">
        <v>1.0103629710818451</v>
      </c>
      <c r="BF124" s="300" t="s">
        <v>558</v>
      </c>
    </row>
    <row r="125" spans="1:58">
      <c r="A125" s="3"/>
      <c r="B125" s="171">
        <v>320.03399999999999</v>
      </c>
      <c r="C125" s="157">
        <v>3.6355990438999699</v>
      </c>
      <c r="D125" s="30">
        <v>84.526939616741799</v>
      </c>
      <c r="E125" s="30">
        <v>3.6355990438999699</v>
      </c>
      <c r="F125" s="8" t="s">
        <v>2742</v>
      </c>
      <c r="G125" s="157">
        <v>3.6120994386283498</v>
      </c>
      <c r="H125" s="30">
        <v>19.880618183846199</v>
      </c>
      <c r="I125" s="30">
        <v>3.6120994386283498</v>
      </c>
      <c r="J125" s="8" t="s">
        <v>2742</v>
      </c>
      <c r="K125" s="158">
        <v>4.5906406765183148</v>
      </c>
      <c r="L125" s="113">
        <v>0.11621675344269988</v>
      </c>
      <c r="M125" s="113">
        <v>6.2284712086546818</v>
      </c>
      <c r="N125" s="13" t="s">
        <v>1499</v>
      </c>
      <c r="O125" s="157">
        <v>2.80292729354476</v>
      </c>
      <c r="P125" s="30">
        <v>-82.017746167337705</v>
      </c>
      <c r="Q125" s="30">
        <v>2.80292729354476</v>
      </c>
      <c r="R125" s="8" t="s">
        <v>2742</v>
      </c>
      <c r="S125" s="157">
        <v>4.6332894005397902</v>
      </c>
      <c r="T125" s="30">
        <v>62.254837179763499</v>
      </c>
      <c r="U125" s="30">
        <v>4.6332894005397902</v>
      </c>
      <c r="V125" s="8" t="s">
        <v>2742</v>
      </c>
      <c r="W125" s="157">
        <v>5.0741098965731002</v>
      </c>
      <c r="X125" s="30">
        <v>-19.764401430403499</v>
      </c>
      <c r="Y125" s="30">
        <v>5.0741098965731002</v>
      </c>
      <c r="Z125" s="498" t="s">
        <v>2742</v>
      </c>
      <c r="AA125" s="157">
        <v>0.217487101554384</v>
      </c>
      <c r="AB125" s="30">
        <v>9.3593572447661604</v>
      </c>
      <c r="AC125" s="30">
        <v>0.217487101554384</v>
      </c>
      <c r="AD125" s="8" t="s">
        <v>2742</v>
      </c>
      <c r="AE125" s="157">
        <v>0.40721188464307601</v>
      </c>
      <c r="AF125" s="30">
        <v>6.1093524342583203</v>
      </c>
      <c r="AG125" s="30">
        <v>0.40721188464307601</v>
      </c>
      <c r="AH125" s="8" t="s">
        <v>2742</v>
      </c>
      <c r="AI125" s="157">
        <v>0.349259554047256</v>
      </c>
      <c r="AJ125" s="30">
        <v>-3.2343875148081902</v>
      </c>
      <c r="AK125" s="30">
        <v>0.349259554047256</v>
      </c>
      <c r="AL125" s="8" t="s">
        <v>2742</v>
      </c>
      <c r="AM125" s="157">
        <v>0.17107240239193899</v>
      </c>
      <c r="AN125" s="30">
        <v>-2.5840900316508968</v>
      </c>
      <c r="AO125" s="30">
        <v>0.17107240239193899</v>
      </c>
      <c r="AP125" s="8" t="s">
        <v>2742</v>
      </c>
      <c r="AQ125" s="157">
        <v>0.321333590377617</v>
      </c>
      <c r="AR125" s="30">
        <v>-2.7427391410965001</v>
      </c>
      <c r="AS125" s="30">
        <v>0.321333590377617</v>
      </c>
      <c r="AT125" s="8" t="s">
        <v>2742</v>
      </c>
      <c r="AU125" s="157">
        <v>0.27514634419679801</v>
      </c>
      <c r="AV125" s="30">
        <v>3.3725332109905999</v>
      </c>
      <c r="AW125" s="30">
        <v>0.27514634419679801</v>
      </c>
      <c r="AX125" s="8" t="s">
        <v>2742</v>
      </c>
      <c r="AY125" s="157">
        <v>5.9462572584268036</v>
      </c>
      <c r="AZ125" s="30"/>
      <c r="BA125" s="30"/>
      <c r="BB125" s="101"/>
      <c r="BC125" s="157">
        <v>1.0103629710818451</v>
      </c>
      <c r="BD125" s="30"/>
      <c r="BE125" s="30"/>
      <c r="BF125" s="277"/>
    </row>
    <row r="126" spans="1:58">
      <c r="A126" s="3"/>
      <c r="B126" s="171"/>
      <c r="C126" s="3"/>
      <c r="D126" s="206">
        <v>84.896999999999991</v>
      </c>
      <c r="E126" s="206">
        <v>3.9337802429723991</v>
      </c>
      <c r="F126" s="206" t="s">
        <v>558</v>
      </c>
      <c r="G126" s="3"/>
      <c r="H126" s="206">
        <v>19.577876175193587</v>
      </c>
      <c r="I126" s="206">
        <v>3.9155752350387178</v>
      </c>
      <c r="J126" s="206" t="s">
        <v>558</v>
      </c>
      <c r="K126" s="353"/>
      <c r="L126" s="344">
        <v>2.6992563962081988</v>
      </c>
      <c r="M126" s="344">
        <v>3.8815318633058089</v>
      </c>
      <c r="N126" s="206" t="s">
        <v>1124</v>
      </c>
      <c r="O126" s="3"/>
      <c r="P126" s="206">
        <v>-81.650000000000006</v>
      </c>
      <c r="Q126" s="206">
        <v>2.8991378028648507</v>
      </c>
      <c r="R126" s="206" t="s">
        <v>558</v>
      </c>
      <c r="S126" s="3"/>
      <c r="T126" s="206" t="s">
        <v>2855</v>
      </c>
      <c r="U126" s="206" t="s">
        <v>2855</v>
      </c>
      <c r="V126" s="206" t="s">
        <v>558</v>
      </c>
      <c r="W126" s="3"/>
      <c r="X126" s="206" t="s">
        <v>2855</v>
      </c>
      <c r="Y126" s="206" t="s">
        <v>2855</v>
      </c>
      <c r="Z126" s="206" t="s">
        <v>558</v>
      </c>
      <c r="AA126" s="3"/>
      <c r="AB126" s="206">
        <v>9.4062489048902727</v>
      </c>
      <c r="AC126" s="206">
        <v>0.23157901955762342</v>
      </c>
      <c r="AD126" s="206" t="s">
        <v>558</v>
      </c>
      <c r="AE126" s="3"/>
      <c r="AF126" s="206">
        <v>4.962929957190938</v>
      </c>
      <c r="AG126" s="206">
        <v>0.96932295662087964</v>
      </c>
      <c r="AH126" s="206" t="s">
        <v>558</v>
      </c>
      <c r="AI126" s="3"/>
      <c r="AJ126" s="206" t="s">
        <v>2855</v>
      </c>
      <c r="AK126" s="206" t="s">
        <v>2855</v>
      </c>
      <c r="AL126" s="206" t="s">
        <v>558</v>
      </c>
      <c r="AM126" s="3"/>
      <c r="AN126" s="206">
        <v>-2.5591147360710078</v>
      </c>
      <c r="AO126" s="206">
        <v>5.7820494749584374E-2</v>
      </c>
      <c r="AP126" s="206" t="s">
        <v>558</v>
      </c>
      <c r="AQ126" s="3"/>
      <c r="AR126" s="206">
        <v>-2.5591147360710078</v>
      </c>
      <c r="AS126" s="206">
        <v>5.7820494749584374E-2</v>
      </c>
      <c r="AT126" s="206" t="s">
        <v>558</v>
      </c>
      <c r="AU126" s="3"/>
      <c r="AV126" s="206" t="s">
        <v>2855</v>
      </c>
      <c r="AW126" s="206" t="s">
        <v>2855</v>
      </c>
      <c r="AX126" s="206" t="s">
        <v>558</v>
      </c>
      <c r="AY126" s="3"/>
      <c r="AZ126" s="52"/>
      <c r="BA126" s="52"/>
      <c r="BB126" s="52"/>
      <c r="BC126" s="3"/>
      <c r="BF126" s="42"/>
    </row>
    <row r="127" spans="1:58">
      <c r="A127" s="3"/>
      <c r="B127" s="4" t="s">
        <v>20</v>
      </c>
      <c r="C127" s="3"/>
      <c r="D127" s="176">
        <v>90.198166572799991</v>
      </c>
      <c r="E127" s="176">
        <v>12.276782254057235</v>
      </c>
      <c r="F127" s="206" t="s">
        <v>1124</v>
      </c>
      <c r="G127" s="3"/>
      <c r="H127" s="176">
        <v>14.709405526904064</v>
      </c>
      <c r="I127" s="176">
        <v>9.3341033369909301</v>
      </c>
      <c r="J127" s="206" t="s">
        <v>1124</v>
      </c>
      <c r="K127" s="353"/>
      <c r="L127" s="206"/>
      <c r="M127" s="206"/>
      <c r="N127" s="206"/>
      <c r="O127" s="3"/>
      <c r="P127" s="178">
        <v>-87.498910176591792</v>
      </c>
      <c r="Q127" s="178">
        <v>13.210760456282182</v>
      </c>
      <c r="R127" s="206" t="s">
        <v>1124</v>
      </c>
      <c r="S127" s="3"/>
      <c r="T127" s="178">
        <v>67.198563799999988</v>
      </c>
      <c r="U127" s="178">
        <v>14.517510524788198</v>
      </c>
      <c r="V127" s="206" t="s">
        <v>1124</v>
      </c>
      <c r="W127" s="3"/>
      <c r="X127" s="178">
        <v>-23.654891999999993</v>
      </c>
      <c r="Y127" s="178">
        <v>9.7035477072136249</v>
      </c>
      <c r="Z127" s="350" t="s">
        <v>1124</v>
      </c>
      <c r="AA127" s="3"/>
      <c r="AB127" s="178">
        <v>9.6411024898761202</v>
      </c>
      <c r="AC127" s="178">
        <v>0.33549108444270925</v>
      </c>
      <c r="AD127" s="206" t="s">
        <v>1124</v>
      </c>
      <c r="AE127" s="3"/>
      <c r="AF127" s="178">
        <v>5.8891639800000002</v>
      </c>
      <c r="AG127" s="178">
        <v>0.74426665462842001</v>
      </c>
      <c r="AH127" s="206" t="s">
        <v>1124</v>
      </c>
      <c r="AI127" s="3"/>
      <c r="AJ127" s="178">
        <v>-3.1838277580227832</v>
      </c>
      <c r="AK127" s="178">
        <v>0.40236896823116131</v>
      </c>
      <c r="AL127" s="206" t="s">
        <v>1124</v>
      </c>
      <c r="AM127" s="3"/>
      <c r="AN127" s="178">
        <v>-2.7702042300000005</v>
      </c>
      <c r="AO127" s="178">
        <v>0.28471882055517006</v>
      </c>
      <c r="AP127" s="206" t="s">
        <v>1124</v>
      </c>
      <c r="AQ127" s="3"/>
      <c r="AR127" s="178">
        <v>-2.7702042300000005</v>
      </c>
      <c r="AS127" s="178">
        <v>0.28471882055517006</v>
      </c>
      <c r="AT127" s="206" t="s">
        <v>1124</v>
      </c>
      <c r="AU127" s="3"/>
      <c r="AV127" s="178">
        <v>3.2420019999999985</v>
      </c>
      <c r="AW127" s="178">
        <v>0.58593026346199972</v>
      </c>
      <c r="AX127" s="206" t="s">
        <v>1124</v>
      </c>
      <c r="AY127" s="3"/>
      <c r="AZ127" s="178"/>
      <c r="BA127" s="178"/>
      <c r="BB127" s="206"/>
      <c r="BC127" s="3"/>
      <c r="BD127" s="178"/>
      <c r="BE127" s="178"/>
      <c r="BF127" s="350"/>
    </row>
    <row r="128" spans="1:58">
      <c r="A128" s="3"/>
      <c r="B128" s="4"/>
      <c r="C128" s="3"/>
      <c r="D128" s="176"/>
      <c r="E128" s="176"/>
      <c r="F128" s="206"/>
      <c r="G128" s="3"/>
      <c r="H128" s="176"/>
      <c r="I128" s="176"/>
      <c r="J128" s="206"/>
      <c r="K128" s="353"/>
      <c r="L128" s="206"/>
      <c r="M128" s="206"/>
      <c r="N128" s="206"/>
      <c r="O128" s="3"/>
      <c r="P128" s="178"/>
      <c r="Q128" s="178"/>
      <c r="R128" s="206"/>
      <c r="S128" s="3"/>
      <c r="T128" s="178"/>
      <c r="U128" s="178"/>
      <c r="V128" s="206"/>
      <c r="W128" s="3"/>
      <c r="X128" s="178"/>
      <c r="Y128" s="178"/>
      <c r="Z128" s="350"/>
      <c r="AA128" s="3"/>
      <c r="AB128" s="9"/>
      <c r="AC128" s="9"/>
      <c r="AD128" s="4"/>
      <c r="AE128" s="3"/>
      <c r="AF128" s="9"/>
      <c r="AG128" s="9"/>
      <c r="AH128" s="4"/>
      <c r="AI128" s="3"/>
      <c r="AJ128" s="9"/>
      <c r="AK128" s="9"/>
      <c r="AL128" s="4"/>
      <c r="AM128" s="3"/>
      <c r="AN128" s="9"/>
      <c r="AO128" s="9"/>
      <c r="AP128" s="4"/>
      <c r="AQ128" s="3"/>
      <c r="AR128" s="9"/>
      <c r="AS128" s="9"/>
      <c r="AT128" s="4"/>
      <c r="AU128" s="3"/>
      <c r="AV128" s="9"/>
      <c r="AW128" s="9"/>
      <c r="AX128" s="4"/>
      <c r="AY128" s="3"/>
      <c r="AZ128" s="9"/>
      <c r="BA128" s="9"/>
      <c r="BB128" s="4"/>
      <c r="BC128" s="3"/>
      <c r="BD128" s="9"/>
      <c r="BE128" s="9"/>
      <c r="BF128" s="122"/>
    </row>
    <row r="129" spans="1:58">
      <c r="A129" s="3" t="s">
        <v>58</v>
      </c>
      <c r="B129" s="4" t="s">
        <v>59</v>
      </c>
      <c r="C129" s="157">
        <v>86.561434827190709</v>
      </c>
      <c r="D129" s="30" t="s">
        <v>2855</v>
      </c>
      <c r="E129" s="30" t="s">
        <v>2855</v>
      </c>
      <c r="F129" s="30" t="s">
        <v>2743</v>
      </c>
      <c r="G129" s="157">
        <v>11.9481622414188</v>
      </c>
      <c r="H129" s="30" t="s">
        <v>2855</v>
      </c>
      <c r="I129" s="30" t="s">
        <v>2855</v>
      </c>
      <c r="J129" s="30" t="s">
        <v>2743</v>
      </c>
      <c r="K129" s="157">
        <v>-1.2881629321214891</v>
      </c>
      <c r="L129" s="113">
        <v>-1.2881629321214891</v>
      </c>
      <c r="M129" s="30">
        <v>2.8328976320960475</v>
      </c>
      <c r="N129" s="355" t="s">
        <v>1498</v>
      </c>
      <c r="O129" s="157">
        <v>-85.458597759312198</v>
      </c>
      <c r="P129" s="30" t="s">
        <v>2855</v>
      </c>
      <c r="Q129" s="30" t="s">
        <v>2855</v>
      </c>
      <c r="R129" s="30" t="s">
        <v>2743</v>
      </c>
      <c r="S129" s="157">
        <v>72.216841932890404</v>
      </c>
      <c r="T129" s="30" t="s">
        <v>2855</v>
      </c>
      <c r="U129" s="30" t="s">
        <v>2855</v>
      </c>
      <c r="V129" s="30" t="s">
        <v>2743</v>
      </c>
      <c r="W129" s="157">
        <v>-13.246404662499099</v>
      </c>
      <c r="X129" s="30" t="s">
        <v>2855</v>
      </c>
      <c r="Y129" s="30" t="s">
        <v>2855</v>
      </c>
      <c r="Z129" s="300" t="s">
        <v>2743</v>
      </c>
      <c r="AA129" s="157">
        <v>9.8747608931984292</v>
      </c>
      <c r="AB129" s="30">
        <v>9.9240343820324295</v>
      </c>
      <c r="AC129" s="30">
        <v>0.26837495972257303</v>
      </c>
      <c r="AD129" s="30" t="s">
        <v>2743</v>
      </c>
      <c r="AE129" s="157">
        <v>6.4143130824873698</v>
      </c>
      <c r="AF129" s="30">
        <v>6.4569945304614702</v>
      </c>
      <c r="AG129" s="30">
        <v>0.30359399178132401</v>
      </c>
      <c r="AH129" s="30" t="s">
        <v>2743</v>
      </c>
      <c r="AI129" s="157">
        <v>-3.4776429551068699</v>
      </c>
      <c r="AJ129" s="30">
        <v>-3.4881147489338198</v>
      </c>
      <c r="AK129" s="30">
        <v>0.106234603307852</v>
      </c>
      <c r="AL129" s="30" t="s">
        <v>2743</v>
      </c>
      <c r="AM129" s="157">
        <v>-2.9517006502930965</v>
      </c>
      <c r="AN129" s="30">
        <v>-2.9364504361218868</v>
      </c>
      <c r="AO129" s="30">
        <v>0.15209385944149401</v>
      </c>
      <c r="AP129" s="30" t="s">
        <v>2743</v>
      </c>
      <c r="AQ129" s="157">
        <v>-2.8694495482712998</v>
      </c>
      <c r="AR129" s="30">
        <v>-2.84341732028658</v>
      </c>
      <c r="AS129" s="30">
        <v>0.194631806776598</v>
      </c>
      <c r="AT129" s="30" t="s">
        <v>2743</v>
      </c>
      <c r="AU129" s="157">
        <v>3.5328737305744999</v>
      </c>
      <c r="AV129" s="30">
        <v>3.6039180549158898</v>
      </c>
      <c r="AW129" s="30">
        <v>0.316952440633188</v>
      </c>
      <c r="AX129" s="30" t="s">
        <v>2743</v>
      </c>
      <c r="AY129" s="157">
        <v>76.233760351550458</v>
      </c>
      <c r="AZ129" s="30">
        <v>76.233760351550458</v>
      </c>
      <c r="BA129" s="30">
        <v>6.7230943967648491</v>
      </c>
      <c r="BB129" s="30" t="s">
        <v>558</v>
      </c>
      <c r="BC129" s="157">
        <v>109.78000000000002</v>
      </c>
      <c r="BD129" s="30">
        <v>109.78000000000002</v>
      </c>
      <c r="BE129" s="30">
        <v>0.7973393255070198</v>
      </c>
      <c r="BF129" s="300" t="s">
        <v>558</v>
      </c>
    </row>
    <row r="130" spans="1:58">
      <c r="A130" s="3"/>
      <c r="B130" s="171">
        <v>320.03399999999999</v>
      </c>
      <c r="C130" s="157">
        <v>2.06454846748872</v>
      </c>
      <c r="D130" s="30">
        <v>86.561434827190709</v>
      </c>
      <c r="E130" s="30">
        <v>2.06454846748872</v>
      </c>
      <c r="F130" s="8" t="s">
        <v>2742</v>
      </c>
      <c r="G130" s="157">
        <v>3.0461317456255199</v>
      </c>
      <c r="H130" s="30">
        <v>11.9481622414188</v>
      </c>
      <c r="I130" s="30">
        <v>3.0461317456255199</v>
      </c>
      <c r="J130" s="8" t="s">
        <v>2742</v>
      </c>
      <c r="K130" s="158">
        <v>2.8328976320960475</v>
      </c>
      <c r="L130" s="113">
        <v>-1.2982424210802996</v>
      </c>
      <c r="M130" s="113">
        <v>4.9828728003479767</v>
      </c>
      <c r="N130" s="13" t="s">
        <v>1499</v>
      </c>
      <c r="O130" s="157">
        <v>1.93983211111822</v>
      </c>
      <c r="P130" s="30">
        <v>-85.458597759312198</v>
      </c>
      <c r="Q130" s="30">
        <v>1.93983211111822</v>
      </c>
      <c r="R130" s="8" t="s">
        <v>2742</v>
      </c>
      <c r="S130" s="157">
        <v>3.5188025972918702</v>
      </c>
      <c r="T130" s="30">
        <v>72.216841932890404</v>
      </c>
      <c r="U130" s="30">
        <v>3.5188025972918702</v>
      </c>
      <c r="V130" s="8" t="s">
        <v>2742</v>
      </c>
      <c r="W130" s="157">
        <v>3.94336185668271</v>
      </c>
      <c r="X130" s="30">
        <v>-13.246404662499099</v>
      </c>
      <c r="Y130" s="30">
        <v>3.94336185668271</v>
      </c>
      <c r="Z130" s="498" t="s">
        <v>2742</v>
      </c>
      <c r="AA130" s="157">
        <v>0.25356994764131802</v>
      </c>
      <c r="AB130" s="30">
        <v>9.8747608931984292</v>
      </c>
      <c r="AC130" s="30">
        <v>0.25356994764131802</v>
      </c>
      <c r="AD130" s="8" t="s">
        <v>2742</v>
      </c>
      <c r="AE130" s="157">
        <v>0.3763636317031</v>
      </c>
      <c r="AF130" s="30">
        <v>6.4143130824873698</v>
      </c>
      <c r="AG130" s="30">
        <v>0.3763636317031</v>
      </c>
      <c r="AH130" s="8" t="s">
        <v>2742</v>
      </c>
      <c r="AI130" s="157">
        <v>0.356594876833427</v>
      </c>
      <c r="AJ130" s="30">
        <v>-3.4776429551068699</v>
      </c>
      <c r="AK130" s="30">
        <v>0.356594876833427</v>
      </c>
      <c r="AL130" s="8" t="s">
        <v>2742</v>
      </c>
      <c r="AM130" s="157">
        <v>0.154179452191259</v>
      </c>
      <c r="AN130" s="30">
        <v>-2.9517006502930965</v>
      </c>
      <c r="AO130" s="30">
        <v>0.154179452191259</v>
      </c>
      <c r="AP130" s="8" t="s">
        <v>2742</v>
      </c>
      <c r="AQ130" s="157">
        <v>0.34151506757709899</v>
      </c>
      <c r="AR130" s="30">
        <v>-2.8694495482712998</v>
      </c>
      <c r="AS130" s="30">
        <v>0.34151506757709899</v>
      </c>
      <c r="AT130" s="8" t="s">
        <v>2742</v>
      </c>
      <c r="AU130" s="157">
        <v>0.28038735674052001</v>
      </c>
      <c r="AV130" s="30">
        <v>3.5328737305744999</v>
      </c>
      <c r="AW130" s="30">
        <v>0.28038735674052001</v>
      </c>
      <c r="AX130" s="8" t="s">
        <v>2742</v>
      </c>
      <c r="AY130" s="157">
        <v>6.7230943967648491</v>
      </c>
      <c r="AZ130" s="30"/>
      <c r="BA130" s="30"/>
      <c r="BB130" s="101"/>
      <c r="BC130" s="157">
        <v>0.7973393255070198</v>
      </c>
      <c r="BD130" s="30"/>
      <c r="BE130" s="30"/>
      <c r="BF130" s="277"/>
    </row>
    <row r="131" spans="1:58">
      <c r="A131" s="3"/>
      <c r="B131" s="4" t="s">
        <v>20</v>
      </c>
      <c r="C131" s="3"/>
      <c r="D131" s="206">
        <v>87.153382188230282</v>
      </c>
      <c r="E131" s="206">
        <v>2.1271417621101278</v>
      </c>
      <c r="F131" s="206" t="s">
        <v>558</v>
      </c>
      <c r="G131" s="3"/>
      <c r="H131" s="206">
        <v>10.601937492331281</v>
      </c>
      <c r="I131" s="206">
        <v>2.1203874984662563</v>
      </c>
      <c r="J131" s="206" t="s">
        <v>558</v>
      </c>
      <c r="K131" s="353"/>
      <c r="L131" s="344">
        <v>2.5668291268399486</v>
      </c>
      <c r="M131" s="344">
        <v>3.6911013927712131</v>
      </c>
      <c r="N131" s="206" t="s">
        <v>1124</v>
      </c>
      <c r="O131" s="3"/>
      <c r="P131" s="206">
        <v>-85</v>
      </c>
      <c r="Q131" s="206">
        <v>1.9798989873223412</v>
      </c>
      <c r="R131" s="206" t="s">
        <v>558</v>
      </c>
      <c r="S131" s="3"/>
      <c r="T131" s="206" t="s">
        <v>2855</v>
      </c>
      <c r="U131" s="206" t="s">
        <v>2855</v>
      </c>
      <c r="V131" s="206" t="s">
        <v>558</v>
      </c>
      <c r="W131" s="3"/>
      <c r="X131" s="206" t="s">
        <v>2855</v>
      </c>
      <c r="Y131" s="206" t="s">
        <v>2855</v>
      </c>
      <c r="Z131" s="350" t="s">
        <v>558</v>
      </c>
      <c r="AA131" s="3"/>
      <c r="AB131" s="206">
        <v>9.8266666666666662</v>
      </c>
      <c r="AC131" s="206">
        <v>0.2973774257292125</v>
      </c>
      <c r="AD131" s="206" t="s">
        <v>558</v>
      </c>
      <c r="AE131" s="3"/>
      <c r="AF131" s="206">
        <v>6.8129500000000007</v>
      </c>
      <c r="AG131" s="206">
        <v>0.42145360113629754</v>
      </c>
      <c r="AH131" s="206" t="s">
        <v>558</v>
      </c>
      <c r="AI131" s="3"/>
      <c r="AJ131" s="206">
        <v>-3.5688187160841309</v>
      </c>
      <c r="AK131" s="206">
        <v>0.71376374321682623</v>
      </c>
      <c r="AL131" s="206" t="s">
        <v>558</v>
      </c>
      <c r="AM131" s="3"/>
      <c r="AN131" s="206">
        <v>-2.9619416913154448</v>
      </c>
      <c r="AO131" s="206">
        <v>0.16052646786295441</v>
      </c>
      <c r="AP131" s="206" t="s">
        <v>558</v>
      </c>
      <c r="AQ131" s="3"/>
      <c r="AR131" s="206">
        <v>-2.9619416913154448</v>
      </c>
      <c r="AS131" s="206">
        <v>0.16052646786295441</v>
      </c>
      <c r="AT131" s="206" t="s">
        <v>558</v>
      </c>
      <c r="AU131" s="3"/>
      <c r="AV131" s="206" t="s">
        <v>2855</v>
      </c>
      <c r="AW131" s="206" t="s">
        <v>2855</v>
      </c>
      <c r="AX131" s="206" t="s">
        <v>558</v>
      </c>
      <c r="AY131" s="3"/>
      <c r="AZ131" s="52"/>
      <c r="BA131" s="52"/>
      <c r="BB131" s="52"/>
      <c r="BC131" s="3"/>
      <c r="BF131" s="42"/>
    </row>
    <row r="132" spans="1:58">
      <c r="A132" s="3"/>
      <c r="B132" s="4"/>
      <c r="C132" s="3"/>
      <c r="D132" s="176">
        <v>93.752571934480002</v>
      </c>
      <c r="E132" s="176">
        <v>12.760568813430138</v>
      </c>
      <c r="F132" s="206" t="s">
        <v>1124</v>
      </c>
      <c r="G132" s="3"/>
      <c r="H132" s="176">
        <v>15.06523858921598</v>
      </c>
      <c r="I132" s="176">
        <v>9.5599032558430164</v>
      </c>
      <c r="J132" s="206" t="s">
        <v>1124</v>
      </c>
      <c r="K132" s="353"/>
      <c r="L132" s="206"/>
      <c r="M132" s="206"/>
      <c r="N132" s="206"/>
      <c r="O132" s="3"/>
      <c r="P132" s="178">
        <v>-91.185742807640054</v>
      </c>
      <c r="Q132" s="178">
        <v>13.767405820583111</v>
      </c>
      <c r="R132" s="206" t="s">
        <v>1124</v>
      </c>
      <c r="S132" s="3"/>
      <c r="T132" s="178">
        <v>67.696422799999993</v>
      </c>
      <c r="U132" s="178">
        <v>14.625067485289199</v>
      </c>
      <c r="V132" s="206" t="s">
        <v>1124</v>
      </c>
      <c r="W132" s="3"/>
      <c r="X132" s="178">
        <v>-26.927071999999999</v>
      </c>
      <c r="Y132" s="178">
        <v>11.045838965046903</v>
      </c>
      <c r="Z132" s="350" t="s">
        <v>1124</v>
      </c>
      <c r="AA132" s="3"/>
      <c r="AB132" s="178">
        <v>10.194022538625545</v>
      </c>
      <c r="AC132" s="178">
        <v>0.35473159629909173</v>
      </c>
      <c r="AD132" s="206" t="s">
        <v>1124</v>
      </c>
      <c r="AE132" s="3"/>
      <c r="AF132" s="178">
        <v>5.8702692299999999</v>
      </c>
      <c r="AG132" s="178">
        <v>0.74187875501816991</v>
      </c>
      <c r="AH132" s="206" t="s">
        <v>1124</v>
      </c>
      <c r="AI132" s="3"/>
      <c r="AJ132" s="178">
        <v>-3.3863621596817155</v>
      </c>
      <c r="AK132" s="178">
        <v>0.4279650633784155</v>
      </c>
      <c r="AL132" s="206" t="s">
        <v>1124</v>
      </c>
      <c r="AM132" s="3"/>
      <c r="AN132" s="178">
        <v>-3.2711030499999998</v>
      </c>
      <c r="AO132" s="178">
        <v>0.33620070037594996</v>
      </c>
      <c r="AP132" s="206" t="s">
        <v>1124</v>
      </c>
      <c r="AQ132" s="3"/>
      <c r="AR132" s="178">
        <v>-3.2711030499999998</v>
      </c>
      <c r="AS132" s="178">
        <v>0.33620070037594996</v>
      </c>
      <c r="AT132" s="206" t="s">
        <v>1124</v>
      </c>
      <c r="AU132" s="3"/>
      <c r="AV132" s="178">
        <v>3.2836867999999981</v>
      </c>
      <c r="AW132" s="178">
        <v>0.59346399905079972</v>
      </c>
      <c r="AX132" s="206" t="s">
        <v>1124</v>
      </c>
      <c r="AY132" s="3"/>
      <c r="AZ132" s="178"/>
      <c r="BA132" s="178"/>
      <c r="BB132" s="206"/>
      <c r="BC132" s="3"/>
      <c r="BD132" s="178"/>
      <c r="BE132" s="178"/>
      <c r="BF132" s="350"/>
    </row>
    <row r="133" spans="1:58">
      <c r="A133" s="3"/>
      <c r="B133" s="4"/>
      <c r="C133" s="3"/>
      <c r="D133" s="30">
        <v>86.037254890904109</v>
      </c>
      <c r="E133" s="30">
        <v>2.4939065342037399</v>
      </c>
      <c r="F133" s="206" t="s">
        <v>2875</v>
      </c>
      <c r="G133" s="3"/>
      <c r="H133" s="30">
        <v>33.672223874525002</v>
      </c>
      <c r="I133" s="30">
        <v>2.4939065342037399</v>
      </c>
      <c r="J133" s="206" t="s">
        <v>2875</v>
      </c>
      <c r="K133" s="353"/>
      <c r="L133" s="206"/>
      <c r="M133" s="206"/>
      <c r="N133" s="206"/>
      <c r="O133" s="3"/>
      <c r="P133" s="30">
        <v>-84.831962292183107</v>
      </c>
      <c r="Q133" s="30">
        <v>3.5903291196704101</v>
      </c>
      <c r="R133" s="206" t="s">
        <v>2875</v>
      </c>
      <c r="S133" s="3"/>
      <c r="T133" s="30">
        <v>52.359590565668903</v>
      </c>
      <c r="U133" s="30">
        <v>8.3234849672475395</v>
      </c>
      <c r="V133" s="206" t="s">
        <v>2875</v>
      </c>
      <c r="W133" s="3"/>
      <c r="X133" s="30">
        <v>-32.472303202515398</v>
      </c>
      <c r="Y133" s="30">
        <v>8.8545258088582894</v>
      </c>
      <c r="Z133" s="206" t="s">
        <v>2875</v>
      </c>
      <c r="AA133" s="3"/>
      <c r="AB133" s="9"/>
      <c r="AC133" s="9"/>
      <c r="AD133" s="4"/>
      <c r="AE133" s="3"/>
      <c r="AF133" s="9"/>
      <c r="AG133" s="9"/>
      <c r="AH133" s="4"/>
      <c r="AI133" s="3"/>
      <c r="AJ133" s="9"/>
      <c r="AK133" s="9"/>
      <c r="AL133" s="4"/>
      <c r="AM133" s="3"/>
      <c r="AN133" s="9"/>
      <c r="AO133" s="9"/>
      <c r="AP133" s="4"/>
      <c r="AQ133" s="3"/>
      <c r="AR133" s="9"/>
      <c r="AS133" s="9"/>
      <c r="AT133" s="4"/>
      <c r="AU133" s="3"/>
      <c r="AV133" s="9"/>
      <c r="AW133" s="9"/>
      <c r="AX133" s="4"/>
      <c r="AY133" s="3"/>
      <c r="AZ133" s="9"/>
      <c r="BA133" s="9"/>
      <c r="BB133" s="4"/>
      <c r="BC133" s="3"/>
      <c r="BD133" s="9"/>
      <c r="BE133" s="9"/>
      <c r="BF133" s="122"/>
    </row>
    <row r="134" spans="1:58">
      <c r="A134" s="3"/>
      <c r="B134" s="4"/>
      <c r="C134" s="87"/>
      <c r="D134" s="4"/>
      <c r="E134" s="4"/>
      <c r="F134" s="4"/>
      <c r="G134" s="3"/>
      <c r="H134" s="4"/>
      <c r="I134" s="4"/>
      <c r="J134" s="4"/>
      <c r="K134" s="3"/>
      <c r="L134" s="4"/>
      <c r="M134" s="4"/>
      <c r="N134" s="4"/>
      <c r="O134" s="115"/>
      <c r="P134" s="4"/>
      <c r="Q134" s="4"/>
      <c r="R134" s="70"/>
      <c r="S134" s="87"/>
      <c r="T134" s="4"/>
      <c r="U134" s="4"/>
      <c r="V134" s="4"/>
      <c r="W134" s="3"/>
      <c r="X134" s="4"/>
      <c r="Y134" s="4"/>
      <c r="Z134" s="122"/>
      <c r="AB134" s="9"/>
      <c r="AC134" s="9"/>
      <c r="AD134" s="45"/>
      <c r="AG134" s="52"/>
      <c r="AH134" s="42"/>
      <c r="AI134" s="47"/>
      <c r="AJ134" s="47"/>
      <c r="AK134" s="47"/>
      <c r="AL134" s="275"/>
      <c r="AM134" s="6"/>
      <c r="AN134" s="6"/>
      <c r="AP134" s="42"/>
      <c r="AQ134" s="17"/>
      <c r="AR134" s="6"/>
      <c r="AS134" s="47"/>
      <c r="AT134" s="45"/>
      <c r="AU134" s="47"/>
      <c r="AV134" s="47"/>
      <c r="AW134" s="47"/>
      <c r="AX134" s="45"/>
      <c r="AY134" s="47"/>
      <c r="AZ134" s="47"/>
      <c r="BA134" s="47"/>
      <c r="BB134" s="484"/>
      <c r="BC134" s="47"/>
      <c r="BD134" s="47"/>
      <c r="BE134" s="47"/>
      <c r="BF134" s="45"/>
    </row>
    <row r="135" spans="1:58">
      <c r="A135" s="3" t="s">
        <v>60</v>
      </c>
      <c r="B135" s="4" t="s">
        <v>61</v>
      </c>
      <c r="C135" s="157">
        <v>86.378622777650207</v>
      </c>
      <c r="D135" s="30">
        <v>88.841299961778006</v>
      </c>
      <c r="E135" s="30">
        <v>1.0849342670145099</v>
      </c>
      <c r="F135" s="30" t="s">
        <v>2743</v>
      </c>
      <c r="G135" s="157">
        <v>11.300733036256601</v>
      </c>
      <c r="H135" s="30" t="s">
        <v>2855</v>
      </c>
      <c r="I135" s="30" t="s">
        <v>2855</v>
      </c>
      <c r="J135" s="30" t="s">
        <v>2743</v>
      </c>
      <c r="K135" s="157">
        <v>-0.67417413090979927</v>
      </c>
      <c r="L135" s="113">
        <v>-0.67417413090979927</v>
      </c>
      <c r="M135" s="30">
        <v>2.059437655979941</v>
      </c>
      <c r="N135" s="355" t="s">
        <v>1498</v>
      </c>
      <c r="O135" s="157">
        <v>-84.661796908560007</v>
      </c>
      <c r="P135" s="30">
        <v>-84.009671133327501</v>
      </c>
      <c r="Q135" s="30">
        <v>0.77958149153813605</v>
      </c>
      <c r="R135" s="30" t="s">
        <v>2743</v>
      </c>
      <c r="S135" s="157">
        <v>72.680680665693501</v>
      </c>
      <c r="T135" s="30" t="s">
        <v>2855</v>
      </c>
      <c r="U135" s="30" t="s">
        <v>2855</v>
      </c>
      <c r="V135" s="30" t="s">
        <v>2743</v>
      </c>
      <c r="W135" s="157">
        <v>-11.9859414181636</v>
      </c>
      <c r="X135" s="30" t="s">
        <v>2855</v>
      </c>
      <c r="Y135" s="30" t="s">
        <v>2855</v>
      </c>
      <c r="Z135" s="300" t="s">
        <v>2743</v>
      </c>
      <c r="AA135" s="157">
        <v>9.50764772157601</v>
      </c>
      <c r="AB135" s="30">
        <v>9.5285079203311298</v>
      </c>
      <c r="AC135" s="30">
        <v>0.168689148930806</v>
      </c>
      <c r="AD135" s="30" t="s">
        <v>2743</v>
      </c>
      <c r="AE135" s="157">
        <v>5.9950463068700302</v>
      </c>
      <c r="AF135" s="30">
        <v>5.9148423081421697</v>
      </c>
      <c r="AG135" s="30">
        <v>0.26153463994989501</v>
      </c>
      <c r="AH135" s="30" t="s">
        <v>2743</v>
      </c>
      <c r="AI135" s="157">
        <v>-3.4507783580666702</v>
      </c>
      <c r="AJ135" s="30">
        <v>-3.5774938764194002</v>
      </c>
      <c r="AK135" s="30">
        <v>0.29867819653377498</v>
      </c>
      <c r="AL135" s="30" t="s">
        <v>2743</v>
      </c>
      <c r="AM135" s="157">
        <v>-2.8890473755584876</v>
      </c>
      <c r="AN135" s="30">
        <v>-2.9132325952591169</v>
      </c>
      <c r="AO135" s="30">
        <v>0.178738230487508</v>
      </c>
      <c r="AP135" s="30" t="s">
        <v>2743</v>
      </c>
      <c r="AQ135" s="157">
        <v>-2.8199504744138602</v>
      </c>
      <c r="AR135" s="30">
        <v>-2.7303198246842002</v>
      </c>
      <c r="AS135" s="30">
        <v>0.27646416857107198</v>
      </c>
      <c r="AT135" s="30" t="s">
        <v>2743</v>
      </c>
      <c r="AU135" s="157">
        <v>3.1985646682901399</v>
      </c>
      <c r="AV135" s="30">
        <v>3.20182238270371</v>
      </c>
      <c r="AW135" s="30">
        <v>0.22936502592895999</v>
      </c>
      <c r="AX135" s="30" t="s">
        <v>2743</v>
      </c>
      <c r="AY135" s="157">
        <v>71.225632154001929</v>
      </c>
      <c r="AZ135" s="30">
        <v>71.225632154001929</v>
      </c>
      <c r="BA135" s="30">
        <v>4.7361176093360013</v>
      </c>
      <c r="BB135" s="30" t="s">
        <v>558</v>
      </c>
      <c r="BC135" s="157">
        <v>74.825000000000003</v>
      </c>
      <c r="BD135" s="30">
        <v>74.825000000000003</v>
      </c>
      <c r="BE135" s="30">
        <v>0.77513439694890829</v>
      </c>
      <c r="BF135" s="300" t="s">
        <v>558</v>
      </c>
    </row>
    <row r="136" spans="1:58">
      <c r="A136" s="3"/>
      <c r="B136" s="171">
        <v>354.476</v>
      </c>
      <c r="C136" s="157">
        <v>1.6977978211973199</v>
      </c>
      <c r="D136" s="30">
        <v>86.378622777650207</v>
      </c>
      <c r="E136" s="30">
        <v>1.6977978211973199</v>
      </c>
      <c r="F136" s="8" t="s">
        <v>2742</v>
      </c>
      <c r="G136" s="157">
        <v>2.2404349893648599</v>
      </c>
      <c r="H136" s="30">
        <v>11.300733036256601</v>
      </c>
      <c r="I136" s="30">
        <v>2.2404349893648599</v>
      </c>
      <c r="J136" s="8" t="s">
        <v>2742</v>
      </c>
      <c r="K136" s="158">
        <v>2.059437655979941</v>
      </c>
      <c r="L136" s="113">
        <v>-0.68520838190699962</v>
      </c>
      <c r="M136" s="113">
        <v>3.7076379405045543</v>
      </c>
      <c r="N136" s="13" t="s">
        <v>1499</v>
      </c>
      <c r="O136" s="157">
        <v>1.16566119314567</v>
      </c>
      <c r="P136" s="30">
        <v>-84.661796908560007</v>
      </c>
      <c r="Q136" s="30">
        <v>1.16566119314567</v>
      </c>
      <c r="R136" s="8" t="s">
        <v>2742</v>
      </c>
      <c r="S136" s="157">
        <v>2.73918154298268</v>
      </c>
      <c r="T136" s="30">
        <v>72.680680665693501</v>
      </c>
      <c r="U136" s="30">
        <v>2.73918154298268</v>
      </c>
      <c r="V136" s="8" t="s">
        <v>2742</v>
      </c>
      <c r="W136" s="157">
        <v>2.9541547278872402</v>
      </c>
      <c r="X136" s="30">
        <v>-11.9859414181636</v>
      </c>
      <c r="Y136" s="30">
        <v>2.9541547278872402</v>
      </c>
      <c r="Z136" s="498" t="s">
        <v>2742</v>
      </c>
      <c r="AA136" s="157">
        <v>0.164638973550014</v>
      </c>
      <c r="AB136" s="30">
        <v>9.50764772157601</v>
      </c>
      <c r="AC136" s="30">
        <v>0.164638973550014</v>
      </c>
      <c r="AD136" s="8" t="s">
        <v>2742</v>
      </c>
      <c r="AE136" s="157">
        <v>0.24327520736609501</v>
      </c>
      <c r="AF136" s="30">
        <v>5.9950463068700302</v>
      </c>
      <c r="AG136" s="30">
        <v>0.24327520736609501</v>
      </c>
      <c r="AH136" s="8" t="s">
        <v>2742</v>
      </c>
      <c r="AI136" s="157">
        <v>0.247838252707616</v>
      </c>
      <c r="AJ136" s="30">
        <v>-3.4507783580666702</v>
      </c>
      <c r="AK136" s="30">
        <v>0.247838252707616</v>
      </c>
      <c r="AL136" s="8" t="s">
        <v>2742</v>
      </c>
      <c r="AM136" s="157">
        <v>0.17514031271061101</v>
      </c>
      <c r="AN136" s="30">
        <v>-2.8890473755584876</v>
      </c>
      <c r="AO136" s="30">
        <v>0.17514031271061101</v>
      </c>
      <c r="AP136" s="8" t="s">
        <v>2742</v>
      </c>
      <c r="AQ136" s="157">
        <v>0.25074487956853803</v>
      </c>
      <c r="AR136" s="30">
        <v>-2.8199504744138602</v>
      </c>
      <c r="AS136" s="30">
        <v>0.25074487956853803</v>
      </c>
      <c r="AT136" s="8" t="s">
        <v>2742</v>
      </c>
      <c r="AU136" s="157">
        <v>0.229145834058156</v>
      </c>
      <c r="AV136" s="30">
        <v>3.1985646682901399</v>
      </c>
      <c r="AW136" s="30">
        <v>0.229145834058156</v>
      </c>
      <c r="AX136" s="8" t="s">
        <v>2742</v>
      </c>
      <c r="AY136" s="157">
        <v>4.7361176093360013</v>
      </c>
      <c r="AZ136" s="30"/>
      <c r="BA136" s="30"/>
      <c r="BB136" s="101"/>
      <c r="BC136" s="157">
        <v>0.77513439694890829</v>
      </c>
      <c r="BD136" s="30"/>
      <c r="BE136" s="30"/>
      <c r="BF136" s="277"/>
    </row>
    <row r="137" spans="1:58">
      <c r="A137" s="3"/>
      <c r="B137" s="4"/>
      <c r="C137" s="3"/>
      <c r="D137" s="206">
        <v>86.832573778181157</v>
      </c>
      <c r="E137" s="206">
        <v>1.7293696220738028</v>
      </c>
      <c r="F137" s="206" t="s">
        <v>558</v>
      </c>
      <c r="G137" s="3"/>
      <c r="H137" s="206">
        <v>10.485851058199955</v>
      </c>
      <c r="I137" s="206">
        <v>2.0971702116399911</v>
      </c>
      <c r="J137" s="206" t="s">
        <v>558</v>
      </c>
      <c r="K137" s="353"/>
      <c r="L137" s="344">
        <v>3.713347994663792</v>
      </c>
      <c r="M137" s="344">
        <v>5.3397960197770322</v>
      </c>
      <c r="N137" s="206" t="s">
        <v>1124</v>
      </c>
      <c r="O137" s="3"/>
      <c r="P137" s="206">
        <v>-84.5</v>
      </c>
      <c r="Q137" s="206">
        <v>0.84852813742384892</v>
      </c>
      <c r="R137" s="206" t="s">
        <v>558</v>
      </c>
      <c r="S137" s="3"/>
      <c r="T137" s="206" t="s">
        <v>2855</v>
      </c>
      <c r="U137" s="206" t="s">
        <v>2855</v>
      </c>
      <c r="V137" s="206" t="s">
        <v>558</v>
      </c>
      <c r="W137" s="3"/>
      <c r="X137" s="206" t="s">
        <v>2855</v>
      </c>
      <c r="Y137" s="206" t="s">
        <v>2855</v>
      </c>
      <c r="Z137" s="350" t="s">
        <v>558</v>
      </c>
      <c r="AA137" s="3"/>
      <c r="AB137" s="206">
        <v>9.5980644474268235</v>
      </c>
      <c r="AC137" s="206">
        <v>0.18111204260696584</v>
      </c>
      <c r="AD137" s="206" t="s">
        <v>558</v>
      </c>
      <c r="AE137" s="3"/>
      <c r="AF137" s="206">
        <v>5.7313546347831066</v>
      </c>
      <c r="AG137" s="206">
        <v>0.23630218299684957</v>
      </c>
      <c r="AH137" s="206" t="s">
        <v>558</v>
      </c>
      <c r="AI137" s="3"/>
      <c r="AJ137" s="206" t="s">
        <v>2855</v>
      </c>
      <c r="AK137" s="206" t="s">
        <v>2855</v>
      </c>
      <c r="AL137" s="206" t="s">
        <v>558</v>
      </c>
      <c r="AM137" s="3"/>
      <c r="AN137" s="206">
        <v>-2.8321231551578703</v>
      </c>
      <c r="AO137" s="206">
        <v>0.19585145013701558</v>
      </c>
      <c r="AP137" s="206" t="s">
        <v>558</v>
      </c>
      <c r="AQ137" s="3"/>
      <c r="AR137" s="206">
        <v>-2.8321231551578703</v>
      </c>
      <c r="AS137" s="206">
        <v>0.19585145013701558</v>
      </c>
      <c r="AT137" s="206" t="s">
        <v>558</v>
      </c>
      <c r="AU137" s="3"/>
      <c r="AV137" s="206">
        <v>3.105241939387922</v>
      </c>
      <c r="AW137" s="206">
        <v>0.62104838787758443</v>
      </c>
      <c r="AX137" s="206" t="s">
        <v>558</v>
      </c>
      <c r="AY137" s="3"/>
      <c r="AZ137" s="52"/>
      <c r="BA137" s="52"/>
      <c r="BB137" s="52"/>
      <c r="BC137" s="3"/>
      <c r="BF137" s="42"/>
    </row>
    <row r="138" spans="1:58">
      <c r="A138" s="3"/>
      <c r="B138" s="4"/>
      <c r="C138" s="3"/>
      <c r="D138" s="176">
        <v>91.920111646799995</v>
      </c>
      <c r="E138" s="176">
        <v>12.511154476134301</v>
      </c>
      <c r="F138" s="206" t="s">
        <v>1124</v>
      </c>
      <c r="G138" s="3"/>
      <c r="H138" s="176">
        <v>16.28788229527207</v>
      </c>
      <c r="I138" s="176">
        <v>10.335752604463911</v>
      </c>
      <c r="J138" s="206" t="s">
        <v>1124</v>
      </c>
      <c r="K138" s="353"/>
      <c r="L138" s="206"/>
      <c r="M138" s="206"/>
      <c r="N138" s="206"/>
      <c r="O138" s="3"/>
      <c r="P138" s="178">
        <v>-88.206763652136203</v>
      </c>
      <c r="Q138" s="178">
        <v>13.317633589726828</v>
      </c>
      <c r="R138" s="206" t="s">
        <v>1124</v>
      </c>
      <c r="S138" s="3"/>
      <c r="T138" s="178">
        <v>66.954663999999994</v>
      </c>
      <c r="U138" s="178">
        <v>14.464818655896</v>
      </c>
      <c r="V138" s="206" t="s">
        <v>1124</v>
      </c>
      <c r="W138" s="3"/>
      <c r="X138" s="178">
        <v>-23.674459999999993</v>
      </c>
      <c r="Y138" s="178">
        <v>9.7115747580889682</v>
      </c>
      <c r="Z138" s="350" t="s">
        <v>1124</v>
      </c>
      <c r="AA138" s="3"/>
      <c r="AB138" s="178">
        <v>9.7885222116984263</v>
      </c>
      <c r="AC138" s="178">
        <v>0.34062099592268186</v>
      </c>
      <c r="AD138" s="206" t="s">
        <v>1124</v>
      </c>
      <c r="AE138" s="3"/>
      <c r="AF138" s="178">
        <v>6.5433998799999999</v>
      </c>
      <c r="AG138" s="178">
        <v>0.8269483334345199</v>
      </c>
      <c r="AH138" s="206" t="s">
        <v>1124</v>
      </c>
      <c r="AI138" s="3"/>
      <c r="AJ138" s="178">
        <v>-3.2242527126542679</v>
      </c>
      <c r="AK138" s="178">
        <v>0.4074778335725337</v>
      </c>
      <c r="AL138" s="206" t="s">
        <v>1124</v>
      </c>
      <c r="AM138" s="3"/>
      <c r="AN138" s="178">
        <v>-3.0282575700000005</v>
      </c>
      <c r="AO138" s="178">
        <v>0.31124128478703006</v>
      </c>
      <c r="AP138" s="206" t="s">
        <v>1124</v>
      </c>
      <c r="AQ138" s="3"/>
      <c r="AR138" s="178">
        <v>-3.0282575700000005</v>
      </c>
      <c r="AS138" s="178">
        <v>0.31124128478703006</v>
      </c>
      <c r="AT138" s="206" t="s">
        <v>1124</v>
      </c>
      <c r="AU138" s="3"/>
      <c r="AV138" s="178">
        <v>3.2136779999999989</v>
      </c>
      <c r="AW138" s="178">
        <v>0.58081123861799977</v>
      </c>
      <c r="AX138" s="206" t="s">
        <v>1124</v>
      </c>
      <c r="AY138" s="3"/>
      <c r="AZ138" s="178"/>
      <c r="BA138" s="178"/>
      <c r="BB138" s="206"/>
      <c r="BC138" s="3"/>
      <c r="BD138" s="178"/>
      <c r="BE138" s="178"/>
      <c r="BF138" s="350"/>
    </row>
    <row r="139" spans="1:58">
      <c r="A139" s="3"/>
      <c r="B139" s="4" t="s">
        <v>20</v>
      </c>
      <c r="C139" s="87"/>
      <c r="D139" s="4"/>
      <c r="E139" s="4"/>
      <c r="F139" s="4"/>
      <c r="G139" s="3"/>
      <c r="H139" s="4"/>
      <c r="I139" s="4"/>
      <c r="J139" s="4"/>
      <c r="K139" s="3"/>
      <c r="L139" s="4"/>
      <c r="M139" s="4"/>
      <c r="N139" s="4"/>
      <c r="O139" s="115"/>
      <c r="P139" s="4"/>
      <c r="Q139" s="4"/>
      <c r="R139" s="4"/>
      <c r="S139" s="87"/>
      <c r="T139" s="4"/>
      <c r="U139" s="4"/>
      <c r="V139" s="4"/>
      <c r="W139" s="3"/>
      <c r="X139" s="4"/>
      <c r="Y139" s="4"/>
      <c r="Z139" s="122"/>
      <c r="AA139" s="3"/>
      <c r="AB139" s="9"/>
      <c r="AC139" s="9"/>
      <c r="AD139" s="4"/>
      <c r="AE139" s="3"/>
      <c r="AF139" s="9"/>
      <c r="AG139" s="9"/>
      <c r="AH139" s="4"/>
      <c r="AI139" s="3"/>
      <c r="AJ139" s="9"/>
      <c r="AK139" s="9"/>
      <c r="AL139" s="4"/>
      <c r="AM139" s="3"/>
      <c r="AN139" s="9"/>
      <c r="AO139" s="9"/>
      <c r="AP139" s="4"/>
      <c r="AQ139" s="3"/>
      <c r="AR139" s="9"/>
      <c r="AS139" s="9"/>
      <c r="AT139" s="4"/>
      <c r="AU139" s="3"/>
      <c r="AV139" s="9"/>
      <c r="AW139" s="9"/>
      <c r="AX139" s="4"/>
      <c r="AY139" s="3"/>
      <c r="AZ139" s="9"/>
      <c r="BA139" s="9"/>
      <c r="BB139" s="4"/>
      <c r="BC139" s="3"/>
      <c r="BD139" s="9"/>
      <c r="BE139" s="9"/>
      <c r="BF139" s="122"/>
    </row>
    <row r="140" spans="1:58">
      <c r="A140" s="3" t="s">
        <v>62</v>
      </c>
      <c r="B140" s="4" t="s">
        <v>63</v>
      </c>
      <c r="C140" s="157">
        <v>81.201862703831509</v>
      </c>
      <c r="D140" s="30" t="s">
        <v>2855</v>
      </c>
      <c r="E140" s="30" t="s">
        <v>2855</v>
      </c>
      <c r="F140" s="30" t="s">
        <v>2743</v>
      </c>
      <c r="G140" s="157">
        <v>26.0508121394661</v>
      </c>
      <c r="H140" s="30" t="s">
        <v>2855</v>
      </c>
      <c r="I140" s="30" t="s">
        <v>2855</v>
      </c>
      <c r="J140" s="30" t="s">
        <v>2743</v>
      </c>
      <c r="K140" s="157">
        <v>6.2280603189689057</v>
      </c>
      <c r="L140" s="113">
        <v>6.2280603189689057</v>
      </c>
      <c r="M140" s="30">
        <v>8.2429778271462233</v>
      </c>
      <c r="N140" s="355" t="s">
        <v>1498</v>
      </c>
      <c r="O140" s="157">
        <v>-72.582802384862603</v>
      </c>
      <c r="P140" s="30" t="s">
        <v>2855</v>
      </c>
      <c r="Q140" s="30" t="s">
        <v>2855</v>
      </c>
      <c r="R140" s="30" t="s">
        <v>2743</v>
      </c>
      <c r="S140" s="157">
        <v>52.764250259192302</v>
      </c>
      <c r="T140" s="30" t="s">
        <v>2855</v>
      </c>
      <c r="U140" s="30" t="s">
        <v>2855</v>
      </c>
      <c r="V140" s="30" t="s">
        <v>2743</v>
      </c>
      <c r="W140" s="157">
        <v>-19.817197355489402</v>
      </c>
      <c r="X140" s="30" t="s">
        <v>2855</v>
      </c>
      <c r="Y140" s="30" t="s">
        <v>2855</v>
      </c>
      <c r="Z140" s="300" t="s">
        <v>2743</v>
      </c>
      <c r="AA140" s="157">
        <v>8.3006436831342594</v>
      </c>
      <c r="AB140" s="30">
        <v>8.2872053006220696</v>
      </c>
      <c r="AC140" s="30">
        <v>0.12881341083718301</v>
      </c>
      <c r="AD140" s="30" t="s">
        <v>2743</v>
      </c>
      <c r="AE140" s="157">
        <v>5.92087034966569</v>
      </c>
      <c r="AF140" s="30">
        <v>5.8657233462021496</v>
      </c>
      <c r="AG140" s="30">
        <v>0.24153447364303601</v>
      </c>
      <c r="AH140" s="30" t="s">
        <v>2743</v>
      </c>
      <c r="AI140" s="157">
        <v>-2.4977196091854399</v>
      </c>
      <c r="AJ140" s="30">
        <v>-2.5655455254221602</v>
      </c>
      <c r="AK140" s="30">
        <v>0.14658407239190499</v>
      </c>
      <c r="AL140" s="30" t="s">
        <v>2743</v>
      </c>
      <c r="AM140" s="157">
        <v>-1.5659664078608366</v>
      </c>
      <c r="AN140" s="30">
        <v>-1.6153787471982868</v>
      </c>
      <c r="AO140" s="30">
        <v>0.16370366848036999</v>
      </c>
      <c r="AP140" s="30" t="s">
        <v>2743</v>
      </c>
      <c r="AQ140" s="157">
        <v>-2.5132457494987199</v>
      </c>
      <c r="AR140" s="30">
        <v>-2.5118838685209601</v>
      </c>
      <c r="AS140" s="30">
        <v>0.147794325842555</v>
      </c>
      <c r="AT140" s="30" t="s">
        <v>2743</v>
      </c>
      <c r="AU140" s="157">
        <v>3.3728296953827499</v>
      </c>
      <c r="AV140" s="30">
        <v>3.3154517208429302</v>
      </c>
      <c r="AW140" s="30">
        <v>0.22789567753109</v>
      </c>
      <c r="AX140" s="30" t="s">
        <v>2743</v>
      </c>
      <c r="AY140" s="157">
        <v>54.267815648747543</v>
      </c>
      <c r="AZ140" s="30">
        <v>54.267815648747543</v>
      </c>
      <c r="BA140" s="30">
        <v>2.9667593418172813</v>
      </c>
      <c r="BB140" s="30" t="s">
        <v>558</v>
      </c>
      <c r="BC140" s="157">
        <v>103.37</v>
      </c>
      <c r="BD140" s="30">
        <v>103.37</v>
      </c>
      <c r="BE140" s="30">
        <v>1.050357082139215</v>
      </c>
      <c r="BF140" s="300" t="s">
        <v>558</v>
      </c>
    </row>
    <row r="141" spans="1:58">
      <c r="A141" s="3"/>
      <c r="B141" s="171">
        <v>364.89600000000002</v>
      </c>
      <c r="C141" s="157">
        <v>6.1877232759238403</v>
      </c>
      <c r="D141" s="30">
        <v>81.201862703831509</v>
      </c>
      <c r="E141" s="30">
        <v>6.1877232759238403</v>
      </c>
      <c r="F141" s="8" t="s">
        <v>2742</v>
      </c>
      <c r="G141" s="157">
        <v>5.6748254806022196</v>
      </c>
      <c r="H141" s="30">
        <v>26.0508121394661</v>
      </c>
      <c r="I141" s="30">
        <v>5.6748254806022196</v>
      </c>
      <c r="J141" s="8" t="s">
        <v>2742</v>
      </c>
      <c r="K141" s="158">
        <v>8.2429778271462233</v>
      </c>
      <c r="L141" s="113">
        <v>6.233614783976698</v>
      </c>
      <c r="M141" s="113">
        <v>9.4547191171265528</v>
      </c>
      <c r="N141" s="13" t="s">
        <v>1499</v>
      </c>
      <c r="O141" s="157">
        <v>5.4459860557491897</v>
      </c>
      <c r="P141" s="30">
        <v>-72.582802384862603</v>
      </c>
      <c r="Q141" s="30">
        <v>5.4459860557491897</v>
      </c>
      <c r="R141" s="8" t="s">
        <v>2742</v>
      </c>
      <c r="S141" s="157">
        <v>6.8323478374794799</v>
      </c>
      <c r="T141" s="30">
        <v>52.764250259192302</v>
      </c>
      <c r="U141" s="30">
        <v>6.8323478374794799</v>
      </c>
      <c r="V141" s="8" t="s">
        <v>2742</v>
      </c>
      <c r="W141" s="157">
        <v>7.5622793751927802</v>
      </c>
      <c r="X141" s="30">
        <v>-19.817197355489402</v>
      </c>
      <c r="Y141" s="30">
        <v>7.5622793751927802</v>
      </c>
      <c r="Z141" s="498" t="s">
        <v>2742</v>
      </c>
      <c r="AA141" s="157">
        <v>0.144437001778639</v>
      </c>
      <c r="AB141" s="30">
        <v>8.3006436831342594</v>
      </c>
      <c r="AC141" s="30">
        <v>0.144437001778639</v>
      </c>
      <c r="AD141" s="8" t="s">
        <v>2742</v>
      </c>
      <c r="AE141" s="157">
        <v>0.25588246028810302</v>
      </c>
      <c r="AF141" s="30">
        <v>5.92087034966569</v>
      </c>
      <c r="AG141" s="30">
        <v>0.25588246028810302</v>
      </c>
      <c r="AH141" s="8" t="s">
        <v>2742</v>
      </c>
      <c r="AI141" s="157">
        <v>0.17965962814337599</v>
      </c>
      <c r="AJ141" s="30">
        <v>-2.4977196091854399</v>
      </c>
      <c r="AK141" s="30">
        <v>0.17965962814337599</v>
      </c>
      <c r="AL141" s="8" t="s">
        <v>2742</v>
      </c>
      <c r="AM141" s="157">
        <v>0.172197387523432</v>
      </c>
      <c r="AN141" s="30">
        <v>-1.5659664078608366</v>
      </c>
      <c r="AO141" s="30">
        <v>0.172197387523432</v>
      </c>
      <c r="AP141" s="8" t="s">
        <v>2742</v>
      </c>
      <c r="AQ141" s="157">
        <v>0.183165741650267</v>
      </c>
      <c r="AR141" s="30">
        <v>-2.5132457494987199</v>
      </c>
      <c r="AS141" s="30">
        <v>0.183165741650267</v>
      </c>
      <c r="AT141" s="8" t="s">
        <v>2742</v>
      </c>
      <c r="AU141" s="157">
        <v>0.233159422773034</v>
      </c>
      <c r="AV141" s="30">
        <v>3.3728296953827499</v>
      </c>
      <c r="AW141" s="30">
        <v>0.233159422773034</v>
      </c>
      <c r="AX141" s="8" t="s">
        <v>2742</v>
      </c>
      <c r="AY141" s="157">
        <v>2.9667593418172813</v>
      </c>
      <c r="AZ141" s="30"/>
      <c r="BA141" s="30"/>
      <c r="BB141" s="101"/>
      <c r="BC141" s="157">
        <v>1.050357082139215</v>
      </c>
      <c r="BD141" s="30"/>
      <c r="BE141" s="30"/>
      <c r="BF141" s="277"/>
    </row>
    <row r="142" spans="1:58">
      <c r="A142" s="3"/>
      <c r="B142" s="4"/>
      <c r="C142" s="3"/>
      <c r="D142" s="206">
        <v>77.347043836255963</v>
      </c>
      <c r="E142" s="206">
        <v>7.3953189102177799</v>
      </c>
      <c r="F142" s="206" t="s">
        <v>558</v>
      </c>
      <c r="G142" s="3"/>
      <c r="H142" s="206">
        <v>29.079368261186517</v>
      </c>
      <c r="I142" s="206">
        <v>6.5344819987476823</v>
      </c>
      <c r="J142" s="206" t="s">
        <v>558</v>
      </c>
      <c r="K142" s="353"/>
      <c r="L142" s="344">
        <v>4.0864175135843652</v>
      </c>
      <c r="M142" s="344">
        <v>5.8762701490789313</v>
      </c>
      <c r="N142" s="206" t="s">
        <v>1124</v>
      </c>
      <c r="O142" s="3"/>
      <c r="P142" s="206">
        <v>-73.2</v>
      </c>
      <c r="Q142" s="206">
        <v>4.637811732716516</v>
      </c>
      <c r="R142" s="206" t="s">
        <v>558</v>
      </c>
      <c r="S142" s="3"/>
      <c r="T142" s="206" t="s">
        <v>2855</v>
      </c>
      <c r="U142" s="206" t="s">
        <v>2855</v>
      </c>
      <c r="V142" s="206" t="s">
        <v>558</v>
      </c>
      <c r="W142" s="3"/>
      <c r="X142" s="206" t="s">
        <v>2855</v>
      </c>
      <c r="Y142" s="206" t="s">
        <v>2855</v>
      </c>
      <c r="Z142" s="350" t="s">
        <v>558</v>
      </c>
      <c r="AA142" s="3"/>
      <c r="AB142" s="206">
        <v>8.222192323207425</v>
      </c>
      <c r="AC142" s="206">
        <v>0.13232171787153463</v>
      </c>
      <c r="AD142" s="206" t="s">
        <v>558</v>
      </c>
      <c r="AE142" s="3"/>
      <c r="AF142" s="206">
        <v>7.1896000000000004</v>
      </c>
      <c r="AG142" s="206">
        <v>0.4403671534472236</v>
      </c>
      <c r="AH142" s="206" t="s">
        <v>558</v>
      </c>
      <c r="AI142" s="3"/>
      <c r="AJ142" s="206">
        <v>-2.7753503109531596</v>
      </c>
      <c r="AK142" s="206">
        <v>4.8532968131012003E-2</v>
      </c>
      <c r="AL142" s="206" t="s">
        <v>558</v>
      </c>
      <c r="AM142" s="3"/>
      <c r="AN142" s="206">
        <v>-1.4798096171291917</v>
      </c>
      <c r="AO142" s="206">
        <v>0.2105699012314845</v>
      </c>
      <c r="AP142" s="206" t="s">
        <v>558</v>
      </c>
      <c r="AQ142" s="3"/>
      <c r="AR142" s="206">
        <v>-1.4798096171291917</v>
      </c>
      <c r="AS142" s="206">
        <v>0.2105699012314845</v>
      </c>
      <c r="AT142" s="206" t="s">
        <v>558</v>
      </c>
      <c r="AU142" s="3"/>
      <c r="AV142" s="206" t="s">
        <v>2855</v>
      </c>
      <c r="AW142" s="206" t="s">
        <v>2855</v>
      </c>
      <c r="AX142" s="206" t="s">
        <v>558</v>
      </c>
      <c r="AY142" s="3"/>
      <c r="AZ142" s="52"/>
      <c r="BA142" s="52"/>
      <c r="BB142" s="52"/>
      <c r="BC142" s="3"/>
      <c r="BF142" s="42"/>
    </row>
    <row r="143" spans="1:58">
      <c r="A143" s="3"/>
      <c r="B143" s="4"/>
      <c r="C143" s="3"/>
      <c r="D143" s="176">
        <v>81.154323337360012</v>
      </c>
      <c r="E143" s="176">
        <v>11.045833795124734</v>
      </c>
      <c r="F143" s="206" t="s">
        <v>1124</v>
      </c>
      <c r="G143" s="3"/>
      <c r="H143" s="176">
        <v>9.9040810499279814</v>
      </c>
      <c r="I143" s="176">
        <v>6.2848029996096493</v>
      </c>
      <c r="J143" s="206" t="s">
        <v>1124</v>
      </c>
      <c r="K143" s="353"/>
      <c r="L143" s="206"/>
      <c r="M143" s="206"/>
      <c r="N143" s="206"/>
      <c r="O143" s="3"/>
      <c r="P143" s="178">
        <v>-77.067905823775646</v>
      </c>
      <c r="Q143" s="178">
        <v>11.635866557085295</v>
      </c>
      <c r="R143" s="206" t="s">
        <v>1124</v>
      </c>
      <c r="S143" s="3"/>
      <c r="T143" s="178">
        <v>63.624090199999991</v>
      </c>
      <c r="U143" s="178">
        <v>13.745284822717798</v>
      </c>
      <c r="V143" s="206" t="s">
        <v>1124</v>
      </c>
      <c r="W143" s="3"/>
      <c r="X143" s="178">
        <v>-17.663428</v>
      </c>
      <c r="Y143" s="178">
        <v>7.2457704000903069</v>
      </c>
      <c r="Z143" s="350" t="s">
        <v>1124</v>
      </c>
      <c r="AA143" s="3"/>
      <c r="AB143" s="178">
        <v>8.4146727158673915</v>
      </c>
      <c r="AC143" s="178">
        <v>0.2928137811667535</v>
      </c>
      <c r="AD143" s="206" t="s">
        <v>1124</v>
      </c>
      <c r="AE143" s="3"/>
      <c r="AF143" s="178">
        <v>5.5898063499999999</v>
      </c>
      <c r="AG143" s="178">
        <v>0.7064341367066499</v>
      </c>
      <c r="AH143" s="206" t="s">
        <v>1124</v>
      </c>
      <c r="AI143" s="3"/>
      <c r="AJ143" s="178">
        <v>-2.6739947767252037</v>
      </c>
      <c r="AK143" s="178">
        <v>0.3379367858877545</v>
      </c>
      <c r="AL143" s="206" t="s">
        <v>1124</v>
      </c>
      <c r="AM143" s="3"/>
      <c r="AN143" s="178">
        <v>-1.6803044100000006</v>
      </c>
      <c r="AO143" s="178">
        <v>0.17270000695539006</v>
      </c>
      <c r="AP143" s="206" t="s">
        <v>1124</v>
      </c>
      <c r="AQ143" s="3"/>
      <c r="AR143" s="178">
        <v>-1.6803044100000006</v>
      </c>
      <c r="AS143" s="178">
        <v>0.17270000695539006</v>
      </c>
      <c r="AT143" s="206" t="s">
        <v>1124</v>
      </c>
      <c r="AU143" s="3"/>
      <c r="AV143" s="178">
        <v>3.2225393999999987</v>
      </c>
      <c r="AW143" s="178">
        <v>0.58241276830139976</v>
      </c>
      <c r="AX143" s="206" t="s">
        <v>1124</v>
      </c>
      <c r="AY143" s="3"/>
      <c r="AZ143" s="178"/>
      <c r="BA143" s="178"/>
      <c r="BB143" s="206"/>
      <c r="BC143" s="3"/>
      <c r="BD143" s="178"/>
      <c r="BE143" s="178"/>
      <c r="BF143" s="350"/>
    </row>
    <row r="144" spans="1:58">
      <c r="A144" s="3"/>
      <c r="B144" s="4"/>
      <c r="C144" s="3"/>
      <c r="D144" s="30">
        <v>76.63294360781741</v>
      </c>
      <c r="E144" s="30">
        <v>6.9495812800138301</v>
      </c>
      <c r="F144" s="206" t="s">
        <v>2875</v>
      </c>
      <c r="G144" s="3"/>
      <c r="H144" s="30">
        <v>37.315702315905</v>
      </c>
      <c r="I144" s="30">
        <v>6.9495812800138301</v>
      </c>
      <c r="J144" s="206" t="s">
        <v>2875</v>
      </c>
      <c r="K144" s="353"/>
      <c r="L144" s="206"/>
      <c r="M144" s="206"/>
      <c r="N144" s="206"/>
      <c r="O144" s="3"/>
      <c r="P144" s="30">
        <v>-69.935992887534695</v>
      </c>
      <c r="Q144" s="30">
        <v>8.7064107666284194</v>
      </c>
      <c r="R144" s="206" t="s">
        <v>2875</v>
      </c>
      <c r="S144" s="3"/>
      <c r="T144" s="30">
        <v>39.314329927984097</v>
      </c>
      <c r="U144" s="30">
        <v>7.9585214922357004</v>
      </c>
      <c r="V144" s="206" t="s">
        <v>2875</v>
      </c>
      <c r="W144" s="3"/>
      <c r="X144" s="30">
        <v>-30.620649431546799</v>
      </c>
      <c r="Y144" s="30">
        <v>10.669172004736501</v>
      </c>
      <c r="Z144" s="206" t="s">
        <v>2875</v>
      </c>
      <c r="AA144" s="3"/>
      <c r="AB144" s="9"/>
      <c r="AC144" s="9"/>
      <c r="AD144" s="4"/>
      <c r="AE144" s="3"/>
      <c r="AF144" s="9"/>
      <c r="AG144" s="9"/>
      <c r="AH144" s="4"/>
      <c r="AI144" s="3"/>
      <c r="AJ144" s="9"/>
      <c r="AK144" s="9"/>
      <c r="AL144" s="4"/>
      <c r="AM144" s="3"/>
      <c r="AN144" s="9"/>
      <c r="AO144" s="9"/>
      <c r="AP144" s="4"/>
      <c r="AQ144" s="3"/>
      <c r="AR144" s="9"/>
      <c r="AS144" s="9"/>
      <c r="AT144" s="4"/>
      <c r="AU144" s="3"/>
      <c r="AV144" s="9"/>
      <c r="AW144" s="9"/>
      <c r="AX144" s="4"/>
      <c r="AY144" s="3"/>
      <c r="AZ144" s="9"/>
      <c r="BA144" s="9"/>
      <c r="BB144" s="4"/>
      <c r="BC144" s="3"/>
      <c r="BD144" s="9"/>
      <c r="BE144" s="9"/>
      <c r="BF144" s="122"/>
    </row>
    <row r="145" spans="1:58">
      <c r="A145" s="3"/>
      <c r="B145" s="4" t="s">
        <v>20</v>
      </c>
      <c r="C145" s="87"/>
      <c r="D145" s="4"/>
      <c r="E145" s="4"/>
      <c r="F145" s="4"/>
      <c r="G145" s="3"/>
      <c r="H145" s="4"/>
      <c r="I145" s="4"/>
      <c r="J145" s="4"/>
      <c r="K145" s="3"/>
      <c r="L145" s="4"/>
      <c r="M145" s="4"/>
      <c r="N145" s="4"/>
      <c r="O145" s="115"/>
      <c r="P145" s="4"/>
      <c r="Q145" s="4"/>
      <c r="R145" s="4"/>
      <c r="S145" s="87"/>
      <c r="T145" s="4"/>
      <c r="U145" s="4"/>
      <c r="V145" s="4"/>
      <c r="W145" s="3"/>
      <c r="X145" s="4"/>
      <c r="Y145" s="4"/>
      <c r="Z145" s="122"/>
      <c r="AB145" s="9"/>
      <c r="AC145" s="9"/>
      <c r="AD145" s="45"/>
      <c r="AF145" s="9"/>
      <c r="AG145" s="47"/>
      <c r="AH145" s="42"/>
      <c r="AI145" s="47"/>
      <c r="AJ145" s="47"/>
      <c r="AK145" s="47"/>
      <c r="AL145" s="275"/>
      <c r="AN145" s="16"/>
      <c r="AO145" s="47"/>
      <c r="AP145" s="45"/>
      <c r="AQ145" s="47"/>
      <c r="AR145" s="47"/>
      <c r="AS145" s="47"/>
      <c r="AT145" s="45"/>
      <c r="AU145" s="47"/>
      <c r="AV145" s="47"/>
      <c r="AW145" s="47"/>
      <c r="AX145" s="45"/>
      <c r="AY145" s="47"/>
      <c r="AZ145" s="47"/>
      <c r="BA145" s="47"/>
      <c r="BB145" s="484"/>
      <c r="BC145" s="47"/>
      <c r="BD145" s="47"/>
      <c r="BE145" s="47"/>
      <c r="BF145" s="45"/>
    </row>
    <row r="146" spans="1:58">
      <c r="A146" s="3" t="s">
        <v>64</v>
      </c>
      <c r="B146" s="4" t="s">
        <v>65</v>
      </c>
      <c r="C146" s="157">
        <v>79.643849802935009</v>
      </c>
      <c r="D146" s="30" t="s">
        <v>2855</v>
      </c>
      <c r="E146" s="30" t="s">
        <v>2855</v>
      </c>
      <c r="F146" s="30" t="s">
        <v>2743</v>
      </c>
      <c r="G146" s="157">
        <v>5.0012032057218798</v>
      </c>
      <c r="H146" s="30" t="s">
        <v>2855</v>
      </c>
      <c r="I146" s="30" t="s">
        <v>2855</v>
      </c>
      <c r="J146" s="30" t="s">
        <v>2743</v>
      </c>
      <c r="K146" s="157">
        <v>-0.15647049825899195</v>
      </c>
      <c r="L146" s="113">
        <v>-0.15647049825899195</v>
      </c>
      <c r="M146" s="30">
        <v>9.6179355521450525</v>
      </c>
      <c r="N146" s="355" t="s">
        <v>1498</v>
      </c>
      <c r="O146" s="157">
        <v>-77.409320301194001</v>
      </c>
      <c r="P146" s="30" t="s">
        <v>2855</v>
      </c>
      <c r="Q146" s="30" t="s">
        <v>2855</v>
      </c>
      <c r="R146" s="30" t="s">
        <v>2743</v>
      </c>
      <c r="S146" s="157">
        <v>72.251600094759993</v>
      </c>
      <c r="T146" s="30" t="s">
        <v>2855</v>
      </c>
      <c r="U146" s="30" t="s">
        <v>2855</v>
      </c>
      <c r="V146" s="30" t="s">
        <v>2743</v>
      </c>
      <c r="W146" s="157">
        <v>-5.1593042314563098</v>
      </c>
      <c r="X146" s="30" t="s">
        <v>2855</v>
      </c>
      <c r="Y146" s="30" t="s">
        <v>2855</v>
      </c>
      <c r="Z146" s="300" t="s">
        <v>2743</v>
      </c>
      <c r="AA146" s="157">
        <v>9.1962699882041399</v>
      </c>
      <c r="AB146" s="30">
        <v>9.1313571990716493</v>
      </c>
      <c r="AC146" s="30">
        <v>0.23269330529565899</v>
      </c>
      <c r="AD146" s="30" t="s">
        <v>2743</v>
      </c>
      <c r="AE146" s="157">
        <v>6.51030470922628</v>
      </c>
      <c r="AF146" s="30">
        <v>6.8533066959097804</v>
      </c>
      <c r="AG146" s="30">
        <v>0.56631358023989498</v>
      </c>
      <c r="AH146" s="30" t="s">
        <v>2743</v>
      </c>
      <c r="AI146" s="157">
        <v>-2.6926122273998101</v>
      </c>
      <c r="AJ146" s="30">
        <v>-2.27929754729742</v>
      </c>
      <c r="AK146" s="30">
        <v>0.5569292035465</v>
      </c>
      <c r="AL146" s="30" t="s">
        <v>2743</v>
      </c>
      <c r="AM146" s="157">
        <v>-2.3108903535987171</v>
      </c>
      <c r="AN146" s="30" t="s">
        <v>2855</v>
      </c>
      <c r="AO146" s="30" t="s">
        <v>2855</v>
      </c>
      <c r="AP146" s="30" t="s">
        <v>2743</v>
      </c>
      <c r="AQ146" s="157">
        <v>-3.0122800135814898</v>
      </c>
      <c r="AR146" s="30" t="s">
        <v>2855</v>
      </c>
      <c r="AS146" s="30" t="s">
        <v>2855</v>
      </c>
      <c r="AT146" s="30" t="s">
        <v>2743</v>
      </c>
      <c r="AU146" s="157">
        <v>3.4939549243389001</v>
      </c>
      <c r="AV146" s="30" t="s">
        <v>2855</v>
      </c>
      <c r="AW146" s="30" t="s">
        <v>2855</v>
      </c>
      <c r="AX146" s="30" t="s">
        <v>2743</v>
      </c>
      <c r="AY146" s="157" t="s">
        <v>2855</v>
      </c>
      <c r="AZ146" s="30" t="s">
        <v>2855</v>
      </c>
      <c r="BA146" s="30" t="s">
        <v>2855</v>
      </c>
      <c r="BB146" s="30" t="s">
        <v>558</v>
      </c>
      <c r="BC146" s="157">
        <v>126.90000000000002</v>
      </c>
      <c r="BD146" s="30">
        <v>126.90000000000002</v>
      </c>
      <c r="BE146" s="30">
        <v>0.49244289008983061</v>
      </c>
      <c r="BF146" s="300" t="s">
        <v>558</v>
      </c>
    </row>
    <row r="147" spans="1:58">
      <c r="A147" s="3"/>
      <c r="B147" s="171">
        <v>444.2</v>
      </c>
      <c r="C147" s="157">
        <v>6.5114530029774302</v>
      </c>
      <c r="D147" s="30">
        <v>79.643849802935009</v>
      </c>
      <c r="E147" s="30">
        <v>6.5114530029774302</v>
      </c>
      <c r="F147" s="8" t="s">
        <v>2742</v>
      </c>
      <c r="G147" s="157">
        <v>10.259862845713799</v>
      </c>
      <c r="H147" s="30">
        <v>5.0012032057218798</v>
      </c>
      <c r="I147" s="30">
        <v>10.259862845713799</v>
      </c>
      <c r="J147" s="8" t="s">
        <v>2742</v>
      </c>
      <c r="K147" s="158">
        <v>9.6179355521450525</v>
      </c>
      <c r="L147" s="113">
        <v>-0.15810102573442997</v>
      </c>
      <c r="M147" s="113">
        <v>14.5573912600134</v>
      </c>
      <c r="N147" s="13" t="s">
        <v>1499</v>
      </c>
      <c r="O147" s="157">
        <v>7.07853544705626</v>
      </c>
      <c r="P147" s="30">
        <v>-77.409320301194001</v>
      </c>
      <c r="Q147" s="30">
        <v>7.07853544705626</v>
      </c>
      <c r="R147" s="8" t="s">
        <v>2742</v>
      </c>
      <c r="S147" s="157">
        <v>9.8129412285562392</v>
      </c>
      <c r="T147" s="30">
        <v>72.251600094759993</v>
      </c>
      <c r="U147" s="30">
        <v>9.8129412285562392</v>
      </c>
      <c r="V147" s="8" t="s">
        <v>2742</v>
      </c>
      <c r="W147" s="157">
        <v>10.3272868985158</v>
      </c>
      <c r="X147" s="30">
        <v>-5.1593042314563098</v>
      </c>
      <c r="Y147" s="30">
        <v>10.3272868985158</v>
      </c>
      <c r="Z147" s="498" t="s">
        <v>2742</v>
      </c>
      <c r="AA147" s="157">
        <v>0.51537114920664595</v>
      </c>
      <c r="AB147" s="30">
        <v>9.1962699882041399</v>
      </c>
      <c r="AC147" s="30">
        <v>0.51537114920664595</v>
      </c>
      <c r="AD147" s="8" t="s">
        <v>2742</v>
      </c>
      <c r="AE147" s="157">
        <v>0.90639072015817801</v>
      </c>
      <c r="AF147" s="30">
        <v>6.51030470922628</v>
      </c>
      <c r="AG147" s="30">
        <v>0.90639072015817801</v>
      </c>
      <c r="AH147" s="8" t="s">
        <v>2742</v>
      </c>
      <c r="AI147" s="157">
        <v>0.97042198140262104</v>
      </c>
      <c r="AJ147" s="30">
        <v>-2.6926122273998101</v>
      </c>
      <c r="AK147" s="30">
        <v>0.97042198140262104</v>
      </c>
      <c r="AL147" s="8" t="s">
        <v>2742</v>
      </c>
      <c r="AM147" s="157">
        <v>0.35927907095476103</v>
      </c>
      <c r="AN147" s="30">
        <v>-2.3108903535987171</v>
      </c>
      <c r="AO147" s="30">
        <v>0.35927907095476103</v>
      </c>
      <c r="AP147" s="8" t="s">
        <v>2742</v>
      </c>
      <c r="AQ147" s="157">
        <v>1.0040493462743101</v>
      </c>
      <c r="AR147" s="30">
        <v>-3.0122800135814898</v>
      </c>
      <c r="AS147" s="30">
        <v>1.0040493462743101</v>
      </c>
      <c r="AT147" s="8" t="s">
        <v>2742</v>
      </c>
      <c r="AU147" s="157">
        <v>0.61373404519322605</v>
      </c>
      <c r="AV147" s="30">
        <v>3.4939549243389001</v>
      </c>
      <c r="AW147" s="30">
        <v>0.61373404519322605</v>
      </c>
      <c r="AX147" s="8" t="s">
        <v>2742</v>
      </c>
      <c r="AY147" s="157" t="s">
        <v>2855</v>
      </c>
      <c r="AZ147" s="30"/>
      <c r="BA147" s="30"/>
      <c r="BB147" s="101"/>
      <c r="BC147" s="157">
        <v>0.49244289008983061</v>
      </c>
      <c r="BD147" s="30"/>
      <c r="BE147" s="30"/>
      <c r="BF147" s="277"/>
    </row>
    <row r="148" spans="1:58">
      <c r="A148" s="3"/>
      <c r="B148" s="171"/>
      <c r="C148" s="3"/>
      <c r="D148" s="206">
        <v>80.667008962682672</v>
      </c>
      <c r="E148" s="206">
        <v>6.8829900832172575</v>
      </c>
      <c r="F148" s="206" t="s">
        <v>558</v>
      </c>
      <c r="G148" s="3"/>
      <c r="H148" s="206" t="s">
        <v>2855</v>
      </c>
      <c r="I148" s="206" t="s">
        <v>2855</v>
      </c>
      <c r="J148" s="206" t="s">
        <v>558</v>
      </c>
      <c r="K148" s="353"/>
      <c r="L148" s="344">
        <v>1.9411756868159955</v>
      </c>
      <c r="M148" s="344">
        <v>2.7914114758550914</v>
      </c>
      <c r="N148" s="206" t="s">
        <v>1124</v>
      </c>
      <c r="O148" s="3"/>
      <c r="P148" s="206">
        <v>-74.7</v>
      </c>
      <c r="Q148" s="206">
        <v>4.7328488583869364</v>
      </c>
      <c r="R148" s="206" t="s">
        <v>558</v>
      </c>
      <c r="S148" s="3"/>
      <c r="T148" s="206" t="s">
        <v>2855</v>
      </c>
      <c r="U148" s="206" t="s">
        <v>2855</v>
      </c>
      <c r="V148" s="206" t="s">
        <v>558</v>
      </c>
      <c r="W148" s="3"/>
      <c r="X148" s="206" t="s">
        <v>2855</v>
      </c>
      <c r="Y148" s="206" t="s">
        <v>2855</v>
      </c>
      <c r="Z148" s="206" t="s">
        <v>558</v>
      </c>
      <c r="AA148" s="3"/>
      <c r="AB148" s="206">
        <v>9.1223628792302236</v>
      </c>
      <c r="AC148" s="206">
        <v>0.23707468974979304</v>
      </c>
      <c r="AD148" s="206" t="s">
        <v>558</v>
      </c>
      <c r="AE148" s="3"/>
      <c r="AF148" s="206">
        <v>6.9924999999999997</v>
      </c>
      <c r="AG148" s="206">
        <v>0.63500000000000001</v>
      </c>
      <c r="AH148" s="206" t="s">
        <v>558</v>
      </c>
      <c r="AI148" s="3"/>
      <c r="AJ148" s="206" t="s">
        <v>2855</v>
      </c>
      <c r="AK148" s="206" t="s">
        <v>2855</v>
      </c>
      <c r="AL148" s="206" t="s">
        <v>558</v>
      </c>
      <c r="AM148" s="3"/>
      <c r="AN148" s="206">
        <v>-2.3516932036933884</v>
      </c>
      <c r="AO148" s="206">
        <v>0.13078312861872404</v>
      </c>
      <c r="AP148" s="206" t="s">
        <v>558</v>
      </c>
      <c r="AQ148" s="3"/>
      <c r="AR148" s="206">
        <v>-2.3516932036933884</v>
      </c>
      <c r="AS148" s="206">
        <v>0.13078312861872404</v>
      </c>
      <c r="AT148" s="206" t="s">
        <v>558</v>
      </c>
      <c r="AU148" s="3"/>
      <c r="AV148" s="206" t="s">
        <v>2855</v>
      </c>
      <c r="AW148" s="206" t="s">
        <v>2855</v>
      </c>
      <c r="AX148" s="206" t="s">
        <v>558</v>
      </c>
      <c r="AY148" s="3"/>
      <c r="AZ148" s="52"/>
      <c r="BA148" s="52"/>
      <c r="BB148" s="52"/>
      <c r="BC148" s="3"/>
      <c r="BF148" s="42"/>
    </row>
    <row r="149" spans="1:58">
      <c r="A149" s="3"/>
      <c r="B149" s="171"/>
      <c r="C149" s="3"/>
      <c r="D149" s="176">
        <v>103.39429998352</v>
      </c>
      <c r="E149" s="176">
        <v>14.072894776456925</v>
      </c>
      <c r="F149" s="206" t="s">
        <v>1124</v>
      </c>
      <c r="G149" s="3"/>
      <c r="H149" s="176">
        <v>0.27822774122417115</v>
      </c>
      <c r="I149" s="176">
        <v>0.17655414306539863</v>
      </c>
      <c r="J149" s="206" t="s">
        <v>1124</v>
      </c>
      <c r="K149" s="353"/>
      <c r="L149" s="206"/>
      <c r="M149" s="206"/>
      <c r="N149" s="206"/>
      <c r="O149" s="3"/>
      <c r="P149" s="178">
        <v>-101.453124296704</v>
      </c>
      <c r="Q149" s="178">
        <v>15.317595612564965</v>
      </c>
      <c r="R149" s="206" t="s">
        <v>1124</v>
      </c>
      <c r="S149" s="3"/>
      <c r="T149" s="178">
        <v>81.15639920000001</v>
      </c>
      <c r="U149" s="178">
        <v>17.532947326768802</v>
      </c>
      <c r="V149" s="206" t="s">
        <v>1124</v>
      </c>
      <c r="W149" s="3"/>
      <c r="X149" s="178">
        <v>-16.38782800000001</v>
      </c>
      <c r="Y149" s="178">
        <v>6.7225025088092298</v>
      </c>
      <c r="Z149" s="206" t="s">
        <v>1124</v>
      </c>
      <c r="AA149" s="3"/>
      <c r="AB149" s="178">
        <v>11.537472845964359</v>
      </c>
      <c r="AC149" s="178">
        <v>0.40148098009386779</v>
      </c>
      <c r="AD149" s="206" t="s">
        <v>1124</v>
      </c>
      <c r="AE149" s="3"/>
      <c r="AF149" s="178">
        <v>4.6100000000000003</v>
      </c>
      <c r="AG149" s="178">
        <v>0.58260719000000005</v>
      </c>
      <c r="AH149" s="206" t="s">
        <v>1124</v>
      </c>
      <c r="AI149" s="3"/>
      <c r="AJ149" s="178">
        <v>-2.5242420587327659</v>
      </c>
      <c r="AK149" s="178">
        <v>0.31901118714058818</v>
      </c>
      <c r="AL149" s="206" t="s">
        <v>1124</v>
      </c>
      <c r="AM149" s="3"/>
      <c r="AN149" s="178">
        <v>2</v>
      </c>
      <c r="AO149" s="178">
        <v>0.20555799999999999</v>
      </c>
      <c r="AP149" s="206" t="s">
        <v>1124</v>
      </c>
      <c r="AQ149" s="3"/>
      <c r="AR149" s="178">
        <v>2</v>
      </c>
      <c r="AS149" s="178">
        <v>0.20555799999999999</v>
      </c>
      <c r="AT149" s="206" t="s">
        <v>1124</v>
      </c>
      <c r="AU149" s="3"/>
      <c r="AV149" s="178">
        <v>2.7815664</v>
      </c>
      <c r="AW149" s="178">
        <v>0.50271527703840002</v>
      </c>
      <c r="AX149" s="206" t="s">
        <v>1124</v>
      </c>
      <c r="AY149" s="3"/>
      <c r="AZ149" s="178"/>
      <c r="BA149" s="178"/>
      <c r="BB149" s="206"/>
      <c r="BC149" s="3"/>
      <c r="BD149" s="178"/>
      <c r="BE149" s="178"/>
      <c r="BF149" s="350"/>
    </row>
    <row r="150" spans="1:58">
      <c r="A150" s="3"/>
      <c r="B150" s="4"/>
      <c r="C150" s="3"/>
      <c r="D150" s="30">
        <v>77.768115433286809</v>
      </c>
      <c r="E150" s="30">
        <v>6.4970354696563701</v>
      </c>
      <c r="F150" s="206" t="s">
        <v>2875</v>
      </c>
      <c r="G150" s="3"/>
      <c r="H150" s="30">
        <v>14.101296081685</v>
      </c>
      <c r="I150" s="30">
        <v>6.4970354696563701</v>
      </c>
      <c r="J150" s="206" t="s">
        <v>2875</v>
      </c>
      <c r="K150" s="353"/>
      <c r="L150" s="206"/>
      <c r="M150" s="206"/>
      <c r="N150" s="206"/>
      <c r="O150" s="3"/>
      <c r="P150" s="30">
        <v>-75.779597050444593</v>
      </c>
      <c r="Q150" s="30">
        <v>6.3637384472112499</v>
      </c>
      <c r="R150" s="206" t="s">
        <v>2875</v>
      </c>
      <c r="S150" s="3"/>
      <c r="T150" s="30">
        <v>63.664341265916804</v>
      </c>
      <c r="U150" s="30">
        <v>9.3720385812200604</v>
      </c>
      <c r="V150" s="206" t="s">
        <v>2875</v>
      </c>
      <c r="W150" s="3"/>
      <c r="X150" s="30">
        <v>-12.115836236739201</v>
      </c>
      <c r="Y150" s="30">
        <v>9.6149004759591907</v>
      </c>
      <c r="Z150" s="206" t="s">
        <v>2875</v>
      </c>
      <c r="AA150" s="3"/>
      <c r="AB150" s="9"/>
      <c r="AC150" s="9"/>
      <c r="AD150" s="4"/>
      <c r="AE150" s="3"/>
      <c r="AF150" s="9"/>
      <c r="AG150" s="9"/>
      <c r="AH150" s="4"/>
      <c r="AI150" s="3"/>
      <c r="AJ150" s="9"/>
      <c r="AK150" s="9"/>
      <c r="AL150" s="4"/>
      <c r="AM150" s="3"/>
      <c r="AN150" s="9"/>
      <c r="AO150" s="9"/>
      <c r="AP150" s="4"/>
      <c r="AQ150" s="3"/>
      <c r="AR150" s="9"/>
      <c r="AS150" s="9"/>
      <c r="AT150" s="4"/>
      <c r="AU150" s="3"/>
      <c r="AV150" s="9"/>
      <c r="AW150" s="9"/>
      <c r="AX150" s="4"/>
      <c r="AY150" s="3"/>
      <c r="AZ150" s="9"/>
      <c r="BA150" s="9"/>
      <c r="BB150" s="4"/>
      <c r="BC150" s="3"/>
      <c r="BD150" s="9"/>
      <c r="BE150" s="9"/>
      <c r="BF150" s="122"/>
    </row>
    <row r="151" spans="1:58">
      <c r="A151" s="3"/>
      <c r="B151" s="4" t="s">
        <v>20</v>
      </c>
      <c r="C151" s="3"/>
      <c r="D151" s="4"/>
      <c r="E151" s="4"/>
      <c r="F151" s="4"/>
      <c r="G151" s="3"/>
      <c r="H151" s="4"/>
      <c r="I151" s="4"/>
      <c r="J151" s="4"/>
      <c r="K151" s="3"/>
      <c r="L151" s="4"/>
      <c r="M151" s="4"/>
      <c r="N151" s="4"/>
      <c r="O151" s="3"/>
      <c r="P151" s="4"/>
      <c r="Q151" s="4"/>
      <c r="R151" s="4"/>
      <c r="S151" s="3"/>
      <c r="T151" s="4"/>
      <c r="U151" s="4"/>
      <c r="V151" s="4"/>
      <c r="W151" s="3"/>
      <c r="X151" s="4"/>
      <c r="Y151" s="4"/>
      <c r="Z151" s="4"/>
      <c r="AA151" s="79"/>
      <c r="AB151" s="9"/>
      <c r="AC151" s="9"/>
      <c r="AD151" s="45"/>
      <c r="AE151" s="9"/>
      <c r="AF151" s="9"/>
      <c r="AG151" s="9"/>
      <c r="AH151" s="45"/>
      <c r="AI151" s="47"/>
      <c r="AJ151" s="9"/>
      <c r="AK151" s="9"/>
      <c r="AL151" s="45"/>
      <c r="AM151" s="6"/>
      <c r="AN151" s="9"/>
      <c r="AO151" s="9"/>
      <c r="AP151" s="45"/>
      <c r="AQ151" s="47"/>
      <c r="AR151" s="9"/>
      <c r="AS151" s="9"/>
      <c r="AT151" s="45"/>
      <c r="AU151" s="47"/>
      <c r="AV151" s="9"/>
      <c r="AW151" s="9"/>
      <c r="AX151" s="45"/>
      <c r="AY151" s="47"/>
      <c r="AZ151" s="9"/>
      <c r="BA151" s="9"/>
      <c r="BB151" s="72"/>
      <c r="BC151" s="47"/>
      <c r="BD151" s="9"/>
      <c r="BE151" s="9"/>
      <c r="BF151" s="45"/>
    </row>
    <row r="152" spans="1:58">
      <c r="A152" s="511" t="s">
        <v>67</v>
      </c>
      <c r="B152" s="511"/>
      <c r="C152" s="511"/>
      <c r="D152" s="511"/>
      <c r="E152" s="511"/>
      <c r="F152" s="511"/>
      <c r="G152" s="511"/>
      <c r="H152" s="511"/>
      <c r="I152" s="511"/>
      <c r="J152" s="511"/>
      <c r="K152" s="511"/>
      <c r="L152" s="511"/>
      <c r="M152" s="511"/>
      <c r="N152" s="511"/>
      <c r="O152" s="511"/>
      <c r="P152" s="511"/>
      <c r="Q152" s="511"/>
      <c r="R152" s="511"/>
      <c r="S152" s="511"/>
      <c r="T152" s="511"/>
      <c r="U152" s="511"/>
      <c r="V152" s="511"/>
      <c r="W152" s="511"/>
      <c r="X152" s="511"/>
      <c r="Y152" s="511"/>
      <c r="Z152" s="511"/>
      <c r="AA152" s="511"/>
      <c r="AB152" s="511"/>
      <c r="AC152" s="511"/>
      <c r="AD152" s="511"/>
      <c r="AE152" s="511"/>
      <c r="AF152" s="511"/>
      <c r="AG152" s="511"/>
      <c r="AH152" s="511"/>
      <c r="AI152" s="511"/>
      <c r="AJ152" s="511"/>
      <c r="AK152" s="511"/>
      <c r="AL152" s="511"/>
      <c r="AM152" s="511"/>
      <c r="AN152" s="511"/>
      <c r="AO152" s="511"/>
      <c r="AP152" s="511"/>
      <c r="AQ152" s="511"/>
      <c r="AR152" s="511"/>
      <c r="AS152" s="511"/>
      <c r="AT152" s="511"/>
      <c r="AU152" s="511"/>
      <c r="AV152" s="511"/>
      <c r="AW152" s="511"/>
      <c r="AX152" s="511"/>
      <c r="AY152" s="511"/>
      <c r="AZ152" s="511"/>
      <c r="BA152" s="511"/>
      <c r="BB152" s="511"/>
      <c r="BC152" s="511"/>
      <c r="BD152" s="511"/>
      <c r="BE152" s="511"/>
      <c r="BF152" s="511"/>
    </row>
    <row r="153" spans="1:58">
      <c r="A153" s="3" t="s">
        <v>68</v>
      </c>
      <c r="B153" s="4" t="s">
        <v>69</v>
      </c>
      <c r="C153" s="157">
        <v>81.906459941883412</v>
      </c>
      <c r="D153" s="30" t="s">
        <v>2855</v>
      </c>
      <c r="E153" s="30" t="s">
        <v>2855</v>
      </c>
      <c r="F153" s="30" t="s">
        <v>2743</v>
      </c>
      <c r="G153" s="157">
        <v>-2.5333031616347799</v>
      </c>
      <c r="H153" s="30" t="s">
        <v>2855</v>
      </c>
      <c r="I153" s="30" t="s">
        <v>2855</v>
      </c>
      <c r="J153" s="30" t="s">
        <v>2743</v>
      </c>
      <c r="K153" s="157">
        <v>9.6212517958941159</v>
      </c>
      <c r="L153" s="113">
        <v>9.6212517958941159</v>
      </c>
      <c r="M153" s="30">
        <v>10.86970476287587</v>
      </c>
      <c r="N153" s="355" t="s">
        <v>1498</v>
      </c>
      <c r="O153" s="157">
        <v>-69.894208145989296</v>
      </c>
      <c r="P153" s="30" t="s">
        <v>2855</v>
      </c>
      <c r="Q153" s="30" t="s">
        <v>2855</v>
      </c>
      <c r="R153" s="30" t="s">
        <v>2743</v>
      </c>
      <c r="S153" s="157">
        <v>82.051606241554396</v>
      </c>
      <c r="T153" s="30" t="s">
        <v>2855</v>
      </c>
      <c r="U153" s="30" t="s">
        <v>2855</v>
      </c>
      <c r="V153" s="30" t="s">
        <v>2743</v>
      </c>
      <c r="W153" s="157">
        <v>12.1597829185863</v>
      </c>
      <c r="X153" s="30" t="s">
        <v>2855</v>
      </c>
      <c r="Y153" s="30" t="s">
        <v>2855</v>
      </c>
      <c r="Z153" s="300" t="s">
        <v>2743</v>
      </c>
      <c r="AA153" s="157">
        <v>7.8828285614971598</v>
      </c>
      <c r="AB153" s="30">
        <v>7.9057905803044397</v>
      </c>
      <c r="AC153" s="30">
        <v>6.1848287463309698E-2</v>
      </c>
      <c r="AD153" s="30" t="s">
        <v>2743</v>
      </c>
      <c r="AE153" s="157">
        <v>1.5629056996641399</v>
      </c>
      <c r="AF153" s="30">
        <v>1.6091425457272199</v>
      </c>
      <c r="AG153" s="30">
        <v>0.146448204018224</v>
      </c>
      <c r="AH153" s="30" t="s">
        <v>2743</v>
      </c>
      <c r="AI153" s="157">
        <v>-6.2877127546218397</v>
      </c>
      <c r="AJ153" s="30">
        <v>-6.2813789286561601</v>
      </c>
      <c r="AK153" s="30">
        <v>0.148846109812967</v>
      </c>
      <c r="AL153" s="30" t="s">
        <v>2743</v>
      </c>
      <c r="AM153" s="157">
        <v>-1.4706300599080064</v>
      </c>
      <c r="AN153" s="30">
        <v>-1.4533333978753766</v>
      </c>
      <c r="AO153" s="30">
        <v>0.14321943442156401</v>
      </c>
      <c r="AP153" s="30" t="s">
        <v>2743</v>
      </c>
      <c r="AQ153" s="157">
        <v>1.4234138291974701</v>
      </c>
      <c r="AR153" s="30">
        <v>1.4182572744484401</v>
      </c>
      <c r="AS153" s="30">
        <v>2.99384172252865E-2</v>
      </c>
      <c r="AT153" s="30" t="s">
        <v>2743</v>
      </c>
      <c r="AU153" s="157">
        <v>2.9932896816620098</v>
      </c>
      <c r="AV153" s="30" t="s">
        <v>2855</v>
      </c>
      <c r="AW153" s="30" t="s">
        <v>2855</v>
      </c>
      <c r="AX153" s="30" t="s">
        <v>2743</v>
      </c>
      <c r="AY153" s="157" t="s">
        <v>2855</v>
      </c>
      <c r="AZ153" s="30" t="s">
        <v>2855</v>
      </c>
      <c r="BA153" s="30" t="s">
        <v>2855</v>
      </c>
      <c r="BB153" s="30" t="s">
        <v>558</v>
      </c>
      <c r="BC153" s="157">
        <v>-45</v>
      </c>
      <c r="BD153" s="30">
        <v>-45</v>
      </c>
      <c r="BE153" s="30">
        <v>14.142135623730951</v>
      </c>
      <c r="BF153" s="300" t="s">
        <v>558</v>
      </c>
    </row>
    <row r="154" spans="1:58">
      <c r="A154" s="3"/>
      <c r="B154" s="171">
        <v>285.48200000000003</v>
      </c>
      <c r="C154" s="157">
        <v>2.8764929972881301</v>
      </c>
      <c r="D154" s="30">
        <v>81.906459941883412</v>
      </c>
      <c r="E154" s="30">
        <v>2.8764929972881301</v>
      </c>
      <c r="F154" s="8" t="s">
        <v>2742</v>
      </c>
      <c r="G154" s="157">
        <v>8.9112082031756206</v>
      </c>
      <c r="H154" s="30">
        <v>-2.5333031616347799</v>
      </c>
      <c r="I154" s="30">
        <v>8.9112082031756206</v>
      </c>
      <c r="J154" s="8" t="s">
        <v>2742</v>
      </c>
      <c r="K154" s="158">
        <v>10.86970476287587</v>
      </c>
      <c r="L154" s="113">
        <v>9.6264797569515199</v>
      </c>
      <c r="M154" s="113">
        <v>13.420031447903375</v>
      </c>
      <c r="N154" s="13" t="s">
        <v>1499</v>
      </c>
      <c r="O154" s="157">
        <v>10.482188209941601</v>
      </c>
      <c r="P154" s="30">
        <v>-69.894208145989296</v>
      </c>
      <c r="Q154" s="30">
        <v>10.482188209941601</v>
      </c>
      <c r="R154" s="8" t="s">
        <v>2742</v>
      </c>
      <c r="S154" s="157">
        <v>8.9457367208537395</v>
      </c>
      <c r="T154" s="30">
        <v>82.051606241554396</v>
      </c>
      <c r="U154" s="30">
        <v>8.9457367208537395</v>
      </c>
      <c r="V154" s="8" t="s">
        <v>2742</v>
      </c>
      <c r="W154" s="157">
        <v>10.034321722088199</v>
      </c>
      <c r="X154" s="30">
        <v>12.1597829185863</v>
      </c>
      <c r="Y154" s="30">
        <v>10.034321722088199</v>
      </c>
      <c r="Z154" s="498" t="s">
        <v>2742</v>
      </c>
      <c r="AA154" s="157">
        <v>0.100994612041733</v>
      </c>
      <c r="AB154" s="30">
        <v>7.8828285614971598</v>
      </c>
      <c r="AC154" s="30">
        <v>0.100994612041733</v>
      </c>
      <c r="AD154" s="8" t="s">
        <v>2742</v>
      </c>
      <c r="AE154" s="157">
        <v>0.15415370666419201</v>
      </c>
      <c r="AF154" s="30">
        <v>1.5629056996641399</v>
      </c>
      <c r="AG154" s="30">
        <v>0.15415370666419201</v>
      </c>
      <c r="AH154" s="8" t="s">
        <v>2742</v>
      </c>
      <c r="AI154" s="157">
        <v>0.18570470122850899</v>
      </c>
      <c r="AJ154" s="30">
        <v>-6.2877127546218397</v>
      </c>
      <c r="AK154" s="30">
        <v>0.18570470122850899</v>
      </c>
      <c r="AL154" s="8" t="s">
        <v>2742</v>
      </c>
      <c r="AM154" s="157">
        <v>0.147749289582637</v>
      </c>
      <c r="AN154" s="30">
        <v>-1.4706300599080064</v>
      </c>
      <c r="AO154" s="30">
        <v>0.147749289582637</v>
      </c>
      <c r="AP154" s="8" t="s">
        <v>2742</v>
      </c>
      <c r="AQ154" s="157">
        <v>0.101538434364516</v>
      </c>
      <c r="AR154" s="30">
        <v>1.4234138291974701</v>
      </c>
      <c r="AS154" s="30">
        <v>0.101538434364516</v>
      </c>
      <c r="AT154" s="8" t="s">
        <v>2742</v>
      </c>
      <c r="AU154" s="157">
        <v>0.16081638764863099</v>
      </c>
      <c r="AV154" s="30">
        <v>2.9932896816620098</v>
      </c>
      <c r="AW154" s="30">
        <v>0.16081638764863099</v>
      </c>
      <c r="AX154" s="8" t="s">
        <v>2742</v>
      </c>
      <c r="AY154" s="157" t="s">
        <v>2855</v>
      </c>
      <c r="AZ154" s="30"/>
      <c r="BA154" s="30"/>
      <c r="BB154" s="101"/>
      <c r="BC154" s="157">
        <v>14.142135623730951</v>
      </c>
      <c r="BD154" s="30"/>
      <c r="BE154" s="30"/>
      <c r="BF154" s="277"/>
    </row>
    <row r="155" spans="1:58">
      <c r="A155" s="3"/>
      <c r="B155" s="4"/>
      <c r="C155" s="3"/>
      <c r="D155" s="206">
        <v>81.233333333333334</v>
      </c>
      <c r="E155" s="206">
        <v>2.9091808698211468</v>
      </c>
      <c r="F155" s="206" t="s">
        <v>558</v>
      </c>
      <c r="G155" s="3"/>
      <c r="H155" s="206" t="s">
        <v>2855</v>
      </c>
      <c r="I155" s="206" t="s">
        <v>2855</v>
      </c>
      <c r="J155" s="206" t="s">
        <v>558</v>
      </c>
      <c r="K155" s="353"/>
      <c r="L155" s="344">
        <v>14.416645774624172</v>
      </c>
      <c r="M155" s="344">
        <v>20.73114284912139</v>
      </c>
      <c r="N155" s="206" t="s">
        <v>1124</v>
      </c>
      <c r="O155" s="3"/>
      <c r="P155" s="206">
        <v>-79.8</v>
      </c>
      <c r="Q155" s="206">
        <v>14.117011015083925</v>
      </c>
      <c r="R155" s="206" t="s">
        <v>558</v>
      </c>
      <c r="S155" s="3"/>
      <c r="T155" s="206" t="s">
        <v>2855</v>
      </c>
      <c r="U155" s="206" t="s">
        <v>2855</v>
      </c>
      <c r="V155" s="206" t="s">
        <v>558</v>
      </c>
      <c r="W155" s="3"/>
      <c r="X155" s="206" t="s">
        <v>2855</v>
      </c>
      <c r="Y155" s="206" t="s">
        <v>2855</v>
      </c>
      <c r="Z155" s="206" t="s">
        <v>558</v>
      </c>
      <c r="AA155" s="3"/>
      <c r="AB155" s="206">
        <v>7.914452287052451</v>
      </c>
      <c r="AC155" s="206">
        <v>6.3438854805062408E-2</v>
      </c>
      <c r="AD155" s="206" t="s">
        <v>558</v>
      </c>
      <c r="AE155" s="3"/>
      <c r="AF155" s="206">
        <v>1.5317788978175042</v>
      </c>
      <c r="AG155" s="206">
        <v>0.19072172315272956</v>
      </c>
      <c r="AH155" s="206" t="s">
        <v>558</v>
      </c>
      <c r="AI155" s="3"/>
      <c r="AJ155" s="206" t="s">
        <v>2855</v>
      </c>
      <c r="AK155" s="206" t="s">
        <v>2855</v>
      </c>
      <c r="AL155" s="206" t="s">
        <v>558</v>
      </c>
      <c r="AM155" s="3"/>
      <c r="AN155" s="206">
        <v>-1.3849533306583126</v>
      </c>
      <c r="AO155" s="206">
        <v>0.17815080358449792</v>
      </c>
      <c r="AP155" s="206" t="s">
        <v>558</v>
      </c>
      <c r="AQ155" s="3"/>
      <c r="AR155" s="206">
        <v>-1.3849533306583126</v>
      </c>
      <c r="AS155" s="206">
        <v>0.17815080358449792</v>
      </c>
      <c r="AT155" s="206" t="s">
        <v>558</v>
      </c>
      <c r="AU155" s="3"/>
      <c r="AV155" s="206" t="s">
        <v>2855</v>
      </c>
      <c r="AW155" s="206" t="s">
        <v>2855</v>
      </c>
      <c r="AX155" s="206" t="s">
        <v>558</v>
      </c>
      <c r="AY155" s="3"/>
      <c r="AZ155" s="52"/>
      <c r="BA155" s="52"/>
      <c r="BB155" s="52"/>
      <c r="BC155" s="3"/>
      <c r="BF155" s="42"/>
    </row>
    <row r="156" spans="1:58">
      <c r="A156" s="3"/>
      <c r="B156" s="4"/>
      <c r="C156" s="3"/>
      <c r="D156" s="176">
        <v>95.825385240160003</v>
      </c>
      <c r="E156" s="176">
        <v>20.449233035635384</v>
      </c>
      <c r="F156" s="206" t="s">
        <v>1124</v>
      </c>
      <c r="G156" s="3"/>
      <c r="H156" s="176">
        <v>8.5991821757841791</v>
      </c>
      <c r="I156" s="176">
        <v>12.062760772546531</v>
      </c>
      <c r="J156" s="206" t="s">
        <v>1124</v>
      </c>
      <c r="K156" s="353"/>
      <c r="L156" s="206"/>
      <c r="M156" s="206"/>
      <c r="N156" s="206"/>
      <c r="O156" s="3"/>
      <c r="P156" s="178">
        <v>-81.408739465535831</v>
      </c>
      <c r="Q156" s="178">
        <v>8.8781928998929409</v>
      </c>
      <c r="R156" s="206" t="s">
        <v>1124</v>
      </c>
      <c r="S156" s="3"/>
      <c r="T156" s="178">
        <v>88.651607799999994</v>
      </c>
      <c r="U156" s="178">
        <v>16.6194282626582</v>
      </c>
      <c r="V156" s="206" t="s">
        <v>1124</v>
      </c>
      <c r="W156" s="3"/>
      <c r="X156" s="178">
        <v>19.752828000000004</v>
      </c>
      <c r="Y156" s="178">
        <v>8.1028697510174723</v>
      </c>
      <c r="Z156" s="206" t="s">
        <v>1124</v>
      </c>
      <c r="AA156" s="3"/>
      <c r="AB156" s="178">
        <v>8.4139199999999992</v>
      </c>
      <c r="AC156" s="178">
        <v>0.55565527679999993</v>
      </c>
      <c r="AD156" s="206" t="s">
        <v>1124</v>
      </c>
      <c r="AE156" s="3"/>
      <c r="AF156" s="178">
        <v>1.52722</v>
      </c>
      <c r="AG156" s="178">
        <v>0.71162801285999999</v>
      </c>
      <c r="AH156" s="206" t="s">
        <v>1124</v>
      </c>
      <c r="AI156" s="3"/>
      <c r="AJ156" s="178">
        <v>-5.9826251278887241</v>
      </c>
      <c r="AK156" s="178">
        <v>1.6947161678524225</v>
      </c>
      <c r="AL156" s="206" t="s">
        <v>1124</v>
      </c>
      <c r="AM156" s="3"/>
      <c r="AN156" s="178">
        <v>-0.65757731917779372</v>
      </c>
      <c r="AO156" s="178">
        <v>0.14761624449562702</v>
      </c>
      <c r="AP156" s="206" t="s">
        <v>1124</v>
      </c>
      <c r="AQ156" s="3"/>
      <c r="AR156" s="178">
        <v>-0.65757731917779372</v>
      </c>
      <c r="AS156" s="178">
        <v>0.14761624449562702</v>
      </c>
      <c r="AT156" s="206" t="s">
        <v>1124</v>
      </c>
      <c r="AU156" s="3"/>
      <c r="AV156" s="178">
        <v>2.1740961999999993</v>
      </c>
      <c r="AW156" s="178">
        <v>0.39292658032219985</v>
      </c>
      <c r="AX156" s="206" t="s">
        <v>1124</v>
      </c>
      <c r="AY156" s="3"/>
      <c r="AZ156" s="178"/>
      <c r="BA156" s="178"/>
      <c r="BB156" s="206"/>
      <c r="BC156" s="3"/>
      <c r="BD156" s="178"/>
      <c r="BE156" s="178"/>
      <c r="BF156" s="350"/>
    </row>
    <row r="157" spans="1:58">
      <c r="A157" s="3"/>
      <c r="B157" s="4"/>
      <c r="C157" s="87"/>
      <c r="D157" s="119"/>
      <c r="E157" s="119"/>
      <c r="F157" s="4"/>
      <c r="G157" s="80"/>
      <c r="H157" s="119"/>
      <c r="I157" s="119"/>
      <c r="J157" s="4"/>
      <c r="K157" s="3"/>
      <c r="L157" s="4"/>
      <c r="M157" s="4"/>
      <c r="N157" s="4"/>
      <c r="O157" s="115"/>
      <c r="P157" s="119"/>
      <c r="Q157" s="119"/>
      <c r="R157" s="4"/>
      <c r="S157" s="80"/>
      <c r="T157" s="119"/>
      <c r="U157" s="119"/>
      <c r="V157" s="4"/>
      <c r="W157" s="80"/>
      <c r="X157" s="171"/>
      <c r="Y157" s="171"/>
      <c r="Z157" s="122"/>
      <c r="AA157" s="4"/>
      <c r="AB157" s="9"/>
      <c r="AC157" s="9"/>
      <c r="AD157" s="4"/>
      <c r="AE157" s="3"/>
      <c r="AF157" s="9"/>
      <c r="AG157" s="9"/>
      <c r="AH157" s="4"/>
      <c r="AI157" s="3"/>
      <c r="AJ157" s="9"/>
      <c r="AK157" s="9"/>
      <c r="AL157" s="4"/>
      <c r="AM157" s="3"/>
      <c r="AN157" s="9"/>
      <c r="AO157" s="9"/>
      <c r="AP157" s="4"/>
      <c r="AQ157" s="3"/>
      <c r="AR157" s="9"/>
      <c r="AS157" s="9"/>
      <c r="AT157" s="4"/>
      <c r="AU157" s="3"/>
      <c r="AV157" s="9"/>
      <c r="AW157" s="9"/>
      <c r="AX157" s="4"/>
      <c r="AY157" s="3"/>
      <c r="AZ157" s="9"/>
      <c r="BA157" s="9"/>
      <c r="BB157" s="4"/>
      <c r="BC157" s="3"/>
      <c r="BD157" s="9"/>
      <c r="BE157" s="9"/>
      <c r="BF157" s="122"/>
    </row>
    <row r="158" spans="1:58">
      <c r="A158" s="3"/>
      <c r="B158" s="4"/>
      <c r="C158" s="87"/>
      <c r="D158" s="119"/>
      <c r="E158" s="119"/>
      <c r="F158" s="4"/>
      <c r="G158" s="80"/>
      <c r="H158" s="119"/>
      <c r="I158" s="119"/>
      <c r="J158" s="4"/>
      <c r="K158" s="3"/>
      <c r="L158" s="4"/>
      <c r="M158" s="4"/>
      <c r="N158" s="4"/>
      <c r="O158" s="115"/>
      <c r="P158" s="119"/>
      <c r="Q158" s="119"/>
      <c r="R158" s="4"/>
      <c r="S158" s="80"/>
      <c r="W158" s="80"/>
      <c r="X158" s="171"/>
      <c r="Y158" s="171"/>
      <c r="Z158" s="122"/>
      <c r="AB158" s="9"/>
      <c r="AC158" s="9"/>
      <c r="AD158" s="45"/>
      <c r="AF158" s="9"/>
      <c r="AG158" s="47"/>
      <c r="AH158" s="42"/>
      <c r="AI158" s="47"/>
      <c r="AJ158" s="47"/>
      <c r="AK158" s="47"/>
      <c r="AL158" s="275"/>
      <c r="AN158" s="16"/>
      <c r="AO158" s="47"/>
      <c r="AP158" s="45"/>
      <c r="AQ158" s="47"/>
      <c r="AR158" s="47"/>
      <c r="AS158" s="47"/>
      <c r="AT158" s="45"/>
      <c r="AU158" s="47"/>
      <c r="AV158" s="47"/>
      <c r="AW158" s="47"/>
      <c r="AX158" s="45"/>
      <c r="AY158" s="47"/>
      <c r="AZ158" s="47"/>
      <c r="BA158" s="47"/>
      <c r="BB158" s="484"/>
      <c r="BC158" s="47"/>
      <c r="BD158" s="47"/>
      <c r="BE158" s="47"/>
      <c r="BF158" s="45"/>
    </row>
    <row r="159" spans="1:58">
      <c r="A159" s="3" t="s">
        <v>73</v>
      </c>
      <c r="B159" s="4" t="s">
        <v>74</v>
      </c>
      <c r="C159" s="157">
        <v>94.206958076038703</v>
      </c>
      <c r="D159" s="30" t="s">
        <v>2855</v>
      </c>
      <c r="E159" s="30" t="s">
        <v>2855</v>
      </c>
      <c r="F159" s="30" t="s">
        <v>2743</v>
      </c>
      <c r="G159" s="157">
        <v>-10.8551700954475</v>
      </c>
      <c r="H159" s="30" t="s">
        <v>2855</v>
      </c>
      <c r="I159" s="30" t="s">
        <v>2855</v>
      </c>
      <c r="J159" s="30" t="s">
        <v>2743</v>
      </c>
      <c r="K159" s="157">
        <v>6.4145661294114031</v>
      </c>
      <c r="L159" s="113">
        <v>6.4145661294114031</v>
      </c>
      <c r="M159" s="30">
        <v>15.327637164100107</v>
      </c>
      <c r="N159" s="355" t="s">
        <v>1498</v>
      </c>
      <c r="O159" s="157">
        <v>-85.401391946627299</v>
      </c>
      <c r="P159" s="30" t="s">
        <v>2855</v>
      </c>
      <c r="Q159" s="30" t="s">
        <v>2855</v>
      </c>
      <c r="R159" s="30" t="s">
        <v>2743</v>
      </c>
      <c r="S159" s="157">
        <v>102.671860825812</v>
      </c>
      <c r="T159" s="30" t="s">
        <v>2855</v>
      </c>
      <c r="U159" s="30" t="s">
        <v>2855</v>
      </c>
      <c r="V159" s="30" t="s">
        <v>2743</v>
      </c>
      <c r="W159" s="157">
        <v>17.270098432302099</v>
      </c>
      <c r="X159" s="30" t="s">
        <v>2855</v>
      </c>
      <c r="Y159" s="30" t="s">
        <v>2855</v>
      </c>
      <c r="Z159" s="300" t="s">
        <v>2743</v>
      </c>
      <c r="AA159" s="157">
        <v>8.5166623210247199</v>
      </c>
      <c r="AB159" s="30">
        <v>8.5801749796510496</v>
      </c>
      <c r="AC159" s="30">
        <v>0.630887135149378</v>
      </c>
      <c r="AD159" s="30" t="s">
        <v>2743</v>
      </c>
      <c r="AE159" s="157">
        <v>2.5154776628758202</v>
      </c>
      <c r="AF159" s="30">
        <v>2.5178867080554901</v>
      </c>
      <c r="AG159" s="30">
        <v>6.3201850238179702E-2</v>
      </c>
      <c r="AH159" s="30" t="s">
        <v>2743</v>
      </c>
      <c r="AI159" s="157">
        <v>-6.0035631249827199</v>
      </c>
      <c r="AJ159" s="30">
        <v>-6.0621936263139702</v>
      </c>
      <c r="AK159" s="30">
        <v>0.629688859785829</v>
      </c>
      <c r="AL159" s="30" t="s">
        <v>2743</v>
      </c>
      <c r="AM159" s="157">
        <v>-2.0472517940716259</v>
      </c>
      <c r="AN159" s="30">
        <v>-2.0996385184435975</v>
      </c>
      <c r="AO159" s="30">
        <v>0.62824140475556201</v>
      </c>
      <c r="AP159" s="30" t="s">
        <v>2743</v>
      </c>
      <c r="AQ159" s="157">
        <v>0.56310428731375195</v>
      </c>
      <c r="AR159" s="30">
        <v>0.56838223955262102</v>
      </c>
      <c r="AS159" s="30">
        <v>8.5484245751552695E-2</v>
      </c>
      <c r="AT159" s="30" t="s">
        <v>2743</v>
      </c>
      <c r="AU159" s="157">
        <v>3.0744586709506501</v>
      </c>
      <c r="AV159" s="30" t="s">
        <v>2855</v>
      </c>
      <c r="AW159" s="30" t="s">
        <v>2855</v>
      </c>
      <c r="AX159" s="30" t="s">
        <v>2743</v>
      </c>
      <c r="AY159" s="157" t="s">
        <v>2855</v>
      </c>
      <c r="AZ159" s="30" t="s">
        <v>2855</v>
      </c>
      <c r="BA159" s="30" t="s">
        <v>2855</v>
      </c>
      <c r="BB159" s="30" t="s">
        <v>558</v>
      </c>
      <c r="BC159" s="157">
        <v>-45.5</v>
      </c>
      <c r="BD159" s="30">
        <v>-45.5</v>
      </c>
      <c r="BE159" s="30">
        <v>7.7781745930520225</v>
      </c>
      <c r="BF159" s="300" t="s">
        <v>558</v>
      </c>
    </row>
    <row r="160" spans="1:58">
      <c r="A160" s="3"/>
      <c r="B160" s="171">
        <v>327.56299999999999</v>
      </c>
      <c r="C160" s="157">
        <v>8.6182408562904804</v>
      </c>
      <c r="D160" s="30">
        <v>94.206958076038703</v>
      </c>
      <c r="E160" s="30">
        <v>8.6182408562904804</v>
      </c>
      <c r="F160" s="8" t="s">
        <v>2742</v>
      </c>
      <c r="G160" s="157">
        <v>11.810041955870201</v>
      </c>
      <c r="H160" s="30">
        <v>-10.8551700954475</v>
      </c>
      <c r="I160" s="30">
        <v>11.810041955870201</v>
      </c>
      <c r="J160" s="8" t="s">
        <v>2742</v>
      </c>
      <c r="K160" s="158">
        <v>15.327637164100107</v>
      </c>
      <c r="L160" s="113">
        <v>6.4149283368545991</v>
      </c>
      <c r="M160" s="113">
        <v>17.328291696914729</v>
      </c>
      <c r="N160" s="13" t="s">
        <v>1499</v>
      </c>
      <c r="O160" s="157">
        <v>12.675266686633</v>
      </c>
      <c r="P160" s="30">
        <v>-85.401391946627299</v>
      </c>
      <c r="Q160" s="30">
        <v>12.675266686633</v>
      </c>
      <c r="R160" s="8" t="s">
        <v>2742</v>
      </c>
      <c r="S160" s="157">
        <v>11.670176361176599</v>
      </c>
      <c r="T160" s="30">
        <v>102.671860825812</v>
      </c>
      <c r="U160" s="30">
        <v>11.670176361176599</v>
      </c>
      <c r="V160" s="8" t="s">
        <v>2742</v>
      </c>
      <c r="W160" s="157">
        <v>12.6804022859667</v>
      </c>
      <c r="X160" s="30">
        <v>17.270098432302099</v>
      </c>
      <c r="Y160" s="30">
        <v>12.6804022859667</v>
      </c>
      <c r="Z160" s="498" t="s">
        <v>2742</v>
      </c>
      <c r="AA160" s="157">
        <v>0.59464319309579405</v>
      </c>
      <c r="AB160" s="30">
        <v>8.5166623210247199</v>
      </c>
      <c r="AC160" s="30">
        <v>0.59464319309579405</v>
      </c>
      <c r="AD160" s="8" t="s">
        <v>2742</v>
      </c>
      <c r="AE160" s="157">
        <v>7.0539902662865597E-2</v>
      </c>
      <c r="AF160" s="30">
        <v>2.5154776628758202</v>
      </c>
      <c r="AG160" s="30">
        <v>7.0539902662865597E-2</v>
      </c>
      <c r="AH160" s="8" t="s">
        <v>2742</v>
      </c>
      <c r="AI160" s="157">
        <v>0.59600780360151795</v>
      </c>
      <c r="AJ160" s="30">
        <v>-6.0035631249827199</v>
      </c>
      <c r="AK160" s="30">
        <v>0.59600780360151795</v>
      </c>
      <c r="AL160" s="8" t="s">
        <v>2742</v>
      </c>
      <c r="AM160" s="157">
        <v>0.58898231330236905</v>
      </c>
      <c r="AN160" s="30">
        <v>-2.0472517940716259</v>
      </c>
      <c r="AO160" s="30">
        <v>0.58898231330236905</v>
      </c>
      <c r="AP160" s="8" t="s">
        <v>2742</v>
      </c>
      <c r="AQ160" s="157">
        <v>8.3791721419677806E-2</v>
      </c>
      <c r="AR160" s="30">
        <v>0.56310428731375195</v>
      </c>
      <c r="AS160" s="30">
        <v>8.3791721419677806E-2</v>
      </c>
      <c r="AT160" s="8" t="s">
        <v>2742</v>
      </c>
      <c r="AU160" s="157">
        <v>0.13981634291290801</v>
      </c>
      <c r="AV160" s="30">
        <v>3.0744586709506501</v>
      </c>
      <c r="AW160" s="30">
        <v>0.13981634291290801</v>
      </c>
      <c r="AX160" s="8" t="s">
        <v>2742</v>
      </c>
      <c r="AY160" s="157" t="s">
        <v>2855</v>
      </c>
      <c r="AZ160" s="30"/>
      <c r="BA160" s="30"/>
      <c r="BB160" s="101"/>
      <c r="BC160" s="157">
        <v>7.7781745930520225</v>
      </c>
      <c r="BD160" s="30"/>
      <c r="BE160" s="30"/>
      <c r="BF160" s="277"/>
    </row>
    <row r="161" spans="1:58">
      <c r="A161" s="3"/>
      <c r="B161" s="4"/>
      <c r="C161" s="3"/>
      <c r="D161" s="206">
        <v>90.566666666666663</v>
      </c>
      <c r="E161" s="206">
        <v>9.2251467919666919</v>
      </c>
      <c r="F161" s="206" t="s">
        <v>558</v>
      </c>
      <c r="G161" s="3"/>
      <c r="H161" s="206" t="s">
        <v>2855</v>
      </c>
      <c r="I161" s="206" t="s">
        <v>2855</v>
      </c>
      <c r="J161" s="206" t="s">
        <v>558</v>
      </c>
      <c r="K161" s="353"/>
      <c r="L161" s="344">
        <v>10.523885889296238</v>
      </c>
      <c r="M161" s="344">
        <v>15.133352453097972</v>
      </c>
      <c r="N161" s="206" t="s">
        <v>1124</v>
      </c>
      <c r="O161" s="3"/>
      <c r="P161" s="206">
        <v>-90.3</v>
      </c>
      <c r="Q161" s="206">
        <v>15.703821191035079</v>
      </c>
      <c r="R161" s="206" t="s">
        <v>558</v>
      </c>
      <c r="S161" s="3"/>
      <c r="T161" s="206" t="s">
        <v>2855</v>
      </c>
      <c r="U161" s="206" t="s">
        <v>2855</v>
      </c>
      <c r="V161" s="206" t="s">
        <v>558</v>
      </c>
      <c r="W161" s="3"/>
      <c r="X161" s="206" t="s">
        <v>2855</v>
      </c>
      <c r="Y161" s="206" t="s">
        <v>2855</v>
      </c>
      <c r="Z161" s="350" t="s">
        <v>558</v>
      </c>
      <c r="AA161" s="4"/>
      <c r="AB161" s="206">
        <v>8.5999801895500738</v>
      </c>
      <c r="AC161" s="206">
        <v>0.93553903324940713</v>
      </c>
      <c r="AD161" s="206" t="s">
        <v>558</v>
      </c>
      <c r="AE161" s="3"/>
      <c r="AF161" s="206">
        <v>2.5179999999999998</v>
      </c>
      <c r="AG161" s="206">
        <v>6.3639610306789496E-2</v>
      </c>
      <c r="AH161" s="206" t="s">
        <v>558</v>
      </c>
      <c r="AI161" s="3"/>
      <c r="AJ161" s="206" t="s">
        <v>2855</v>
      </c>
      <c r="AK161" s="206" t="s">
        <v>2855</v>
      </c>
      <c r="AL161" s="206" t="s">
        <v>558</v>
      </c>
      <c r="AM161" s="3"/>
      <c r="AN161" s="206">
        <v>-2.0793529564966393</v>
      </c>
      <c r="AO161" s="206">
        <v>0.83649137759001246</v>
      </c>
      <c r="AP161" s="206" t="s">
        <v>558</v>
      </c>
      <c r="AQ161" s="3"/>
      <c r="AR161" s="206">
        <v>-2.0793529564966393</v>
      </c>
      <c r="AS161" s="206">
        <v>0.83649137759001246</v>
      </c>
      <c r="AT161" s="206" t="s">
        <v>558</v>
      </c>
      <c r="AU161" s="3"/>
      <c r="AV161" s="206" t="s">
        <v>2855</v>
      </c>
      <c r="AW161" s="206" t="s">
        <v>2855</v>
      </c>
      <c r="AX161" s="206" t="s">
        <v>558</v>
      </c>
      <c r="AY161" s="3"/>
      <c r="AZ161" s="52"/>
      <c r="BA161" s="52"/>
      <c r="BB161" s="52"/>
      <c r="BC161" s="3"/>
      <c r="BF161" s="42"/>
    </row>
    <row r="162" spans="1:58">
      <c r="A162" s="3"/>
      <c r="B162" s="4"/>
      <c r="C162" s="3"/>
      <c r="D162" s="176">
        <v>92.865520169839996</v>
      </c>
      <c r="E162" s="176">
        <v>19.817594869764026</v>
      </c>
      <c r="F162" s="206" t="s">
        <v>1124</v>
      </c>
      <c r="G162" s="3"/>
      <c r="H162" s="176">
        <v>-0.73212846989601132</v>
      </c>
      <c r="I162" s="176">
        <v>1.0270151750007268</v>
      </c>
      <c r="J162" s="206" t="s">
        <v>1124</v>
      </c>
      <c r="K162" s="353"/>
      <c r="L162" s="206"/>
      <c r="M162" s="206"/>
      <c r="N162" s="206"/>
      <c r="O162" s="3"/>
      <c r="P162" s="178">
        <v>-82.341634280543758</v>
      </c>
      <c r="Q162" s="178">
        <v>8.97993160973326</v>
      </c>
      <c r="R162" s="206" t="s">
        <v>1124</v>
      </c>
      <c r="S162" s="3"/>
      <c r="T162" s="178">
        <v>112.60832490000001</v>
      </c>
      <c r="U162" s="178">
        <v>21.110570060678103</v>
      </c>
      <c r="V162" s="206" t="s">
        <v>1124</v>
      </c>
      <c r="W162" s="3"/>
      <c r="X162" s="178">
        <v>22.089963999999991</v>
      </c>
      <c r="Y162" s="178">
        <v>9.0615936663177958</v>
      </c>
      <c r="Z162" s="350" t="s">
        <v>1124</v>
      </c>
      <c r="AA162" s="4"/>
      <c r="AB162" s="178">
        <v>8.8471499999999992</v>
      </c>
      <c r="AC162" s="178">
        <v>0.58426578600000001</v>
      </c>
      <c r="AD162" s="206" t="s">
        <v>1124</v>
      </c>
      <c r="AE162" s="3"/>
      <c r="AF162" s="178">
        <v>2.71882</v>
      </c>
      <c r="AG162" s="178">
        <v>1.2668695236600001</v>
      </c>
      <c r="AH162" s="206" t="s">
        <v>1124</v>
      </c>
      <c r="AI162" s="3"/>
      <c r="AJ162" s="178">
        <v>-5.613207895230822</v>
      </c>
      <c r="AK162" s="178">
        <v>1.5900702401057205</v>
      </c>
      <c r="AL162" s="206" t="s">
        <v>1124</v>
      </c>
      <c r="AM162" s="3"/>
      <c r="AN162" s="178">
        <v>-1.3251388592621884</v>
      </c>
      <c r="AO162" s="178">
        <v>0.29747379682147235</v>
      </c>
      <c r="AP162" s="206" t="s">
        <v>1124</v>
      </c>
      <c r="AQ162" s="3"/>
      <c r="AR162" s="178">
        <v>-1.3251388592621884</v>
      </c>
      <c r="AS162" s="178">
        <v>0.29747379682147235</v>
      </c>
      <c r="AT162" s="206" t="s">
        <v>1124</v>
      </c>
      <c r="AU162" s="3"/>
      <c r="AV162" s="178">
        <v>2.9175402999999984</v>
      </c>
      <c r="AW162" s="178">
        <v>0.52728997595929972</v>
      </c>
      <c r="AX162" s="206" t="s">
        <v>1124</v>
      </c>
      <c r="AY162" s="3"/>
      <c r="AZ162" s="178"/>
      <c r="BA162" s="178"/>
      <c r="BB162" s="206"/>
      <c r="BC162" s="3"/>
      <c r="BD162" s="178"/>
      <c r="BE162" s="178"/>
      <c r="BF162" s="350"/>
    </row>
    <row r="163" spans="1:58">
      <c r="A163" s="3"/>
      <c r="B163" s="4"/>
      <c r="C163" s="87"/>
      <c r="D163" s="119"/>
      <c r="E163" s="119"/>
      <c r="F163" s="4"/>
      <c r="G163" s="80"/>
      <c r="H163" s="119"/>
      <c r="I163" s="119"/>
      <c r="J163" s="4"/>
      <c r="K163" s="3"/>
      <c r="L163" s="4"/>
      <c r="M163" s="4"/>
      <c r="N163" s="4"/>
      <c r="O163" s="115"/>
      <c r="P163" s="119"/>
      <c r="Q163" s="119"/>
      <c r="R163" s="4"/>
      <c r="S163" s="80"/>
      <c r="T163" s="119"/>
      <c r="U163" s="119"/>
      <c r="V163" s="4"/>
      <c r="W163" s="80"/>
      <c r="X163" s="171"/>
      <c r="Y163" s="171"/>
      <c r="Z163" s="122"/>
      <c r="AA163" s="4"/>
      <c r="AB163" s="9"/>
      <c r="AC163" s="9"/>
      <c r="AD163" s="4"/>
      <c r="AE163" s="3"/>
      <c r="AF163" s="9"/>
      <c r="AG163" s="9"/>
      <c r="AH163" s="4"/>
      <c r="AI163" s="3"/>
      <c r="AJ163" s="9"/>
      <c r="AK163" s="9"/>
      <c r="AL163" s="4"/>
      <c r="AM163" s="3"/>
      <c r="AN163" s="9"/>
      <c r="AO163" s="9"/>
      <c r="AP163" s="4"/>
      <c r="AQ163" s="3"/>
      <c r="AR163" s="9"/>
      <c r="AS163" s="9"/>
      <c r="AT163" s="4"/>
      <c r="AU163" s="3"/>
      <c r="AV163" s="9"/>
      <c r="AW163" s="9"/>
      <c r="AX163" s="4"/>
      <c r="AY163" s="3"/>
      <c r="AZ163" s="9"/>
      <c r="BA163" s="9"/>
      <c r="BB163" s="4"/>
      <c r="BC163" s="3"/>
      <c r="BD163" s="9"/>
      <c r="BE163" s="9"/>
      <c r="BF163" s="122"/>
    </row>
    <row r="164" spans="1:58">
      <c r="A164" s="3"/>
      <c r="B164" s="4"/>
      <c r="C164" s="87"/>
      <c r="D164" s="119"/>
      <c r="E164" s="119"/>
      <c r="F164" s="4"/>
      <c r="G164" s="80"/>
      <c r="H164" s="119"/>
      <c r="I164" s="119"/>
      <c r="J164" s="4"/>
      <c r="K164" s="3"/>
      <c r="L164" s="4"/>
      <c r="M164" s="4"/>
      <c r="N164" s="4"/>
      <c r="O164" s="115"/>
      <c r="P164" s="119"/>
      <c r="Q164" s="119"/>
      <c r="R164" s="4"/>
      <c r="S164" s="80"/>
      <c r="W164" s="80"/>
      <c r="X164" s="171"/>
      <c r="Y164" s="171"/>
      <c r="Z164" s="122"/>
      <c r="AB164" s="9"/>
      <c r="AC164" s="9"/>
      <c r="AD164" s="45"/>
      <c r="AF164" s="9"/>
      <c r="AG164" s="47"/>
      <c r="AH164" s="42"/>
      <c r="AI164" s="47"/>
      <c r="AJ164" s="47"/>
      <c r="AK164" s="47"/>
      <c r="AL164" s="275"/>
      <c r="AN164" s="16"/>
      <c r="AO164" s="47"/>
      <c r="AP164" s="45"/>
      <c r="AQ164" s="47"/>
      <c r="AR164" s="47"/>
      <c r="AS164" s="47"/>
      <c r="AT164" s="45"/>
      <c r="AU164" s="47"/>
      <c r="AV164" s="47"/>
      <c r="AW164" s="47"/>
      <c r="AX164" s="45"/>
      <c r="AY164" s="47"/>
      <c r="AZ164" s="47"/>
      <c r="BA164" s="47"/>
      <c r="BB164" s="484"/>
      <c r="BC164" s="47"/>
      <c r="BD164" s="47"/>
      <c r="BE164" s="47"/>
      <c r="BF164" s="45"/>
    </row>
    <row r="165" spans="1:58">
      <c r="A165" s="3" t="s">
        <v>75</v>
      </c>
      <c r="B165" s="4" t="s">
        <v>76</v>
      </c>
      <c r="C165" s="157">
        <v>98.05383136971021</v>
      </c>
      <c r="D165" s="30" t="s">
        <v>2855</v>
      </c>
      <c r="E165" s="30" t="s">
        <v>2855</v>
      </c>
      <c r="F165" s="30" t="s">
        <v>2743</v>
      </c>
      <c r="G165" s="157">
        <v>-10.0827731178771</v>
      </c>
      <c r="H165" s="30" t="s">
        <v>2855</v>
      </c>
      <c r="I165" s="30" t="s">
        <v>2855</v>
      </c>
      <c r="J165" s="30" t="s">
        <v>2743</v>
      </c>
      <c r="K165" s="157">
        <v>3.1700684796476164</v>
      </c>
      <c r="L165" s="113">
        <v>3.1700684796476164</v>
      </c>
      <c r="M165" s="30">
        <v>7.5142573751701063</v>
      </c>
      <c r="N165" s="355" t="s">
        <v>1498</v>
      </c>
      <c r="O165" s="157">
        <v>-92.492762890062593</v>
      </c>
      <c r="P165" s="30" t="s">
        <v>2855</v>
      </c>
      <c r="Q165" s="30" t="s">
        <v>2855</v>
      </c>
      <c r="R165" s="30" t="s">
        <v>2743</v>
      </c>
      <c r="S165" s="157">
        <v>105.747859031112</v>
      </c>
      <c r="T165" s="30" t="s">
        <v>2855</v>
      </c>
      <c r="U165" s="30" t="s">
        <v>2855</v>
      </c>
      <c r="V165" s="30" t="s">
        <v>2743</v>
      </c>
      <c r="W165" s="157">
        <v>13.2554933966452</v>
      </c>
      <c r="X165" s="30" t="s">
        <v>2855</v>
      </c>
      <c r="Y165" s="30" t="s">
        <v>2855</v>
      </c>
      <c r="Z165" s="300" t="s">
        <v>2743</v>
      </c>
      <c r="AA165" s="157">
        <v>10.093967322444</v>
      </c>
      <c r="AB165" s="30">
        <v>10.0738437811724</v>
      </c>
      <c r="AC165" s="30">
        <v>0.32698262350201601</v>
      </c>
      <c r="AD165" s="30" t="s">
        <v>2743</v>
      </c>
      <c r="AE165" s="157">
        <v>3.6262531685994901</v>
      </c>
      <c r="AF165" s="30">
        <v>3.62115795939533</v>
      </c>
      <c r="AG165" s="30">
        <v>5.4555544515949003E-2</v>
      </c>
      <c r="AH165" s="30" t="s">
        <v>2743</v>
      </c>
      <c r="AI165" s="157">
        <v>-6.4494122441656696</v>
      </c>
      <c r="AJ165" s="30">
        <v>-6.4454052793557297</v>
      </c>
      <c r="AK165" s="30">
        <v>0.33775873169842302</v>
      </c>
      <c r="AL165" s="30" t="s">
        <v>2743</v>
      </c>
      <c r="AM165" s="157">
        <v>-4.4996287462221263</v>
      </c>
      <c r="AN165" s="30">
        <v>-4.5004426895835854</v>
      </c>
      <c r="AO165" s="30">
        <v>0.39254381862983301</v>
      </c>
      <c r="AP165" s="30" t="s">
        <v>2743</v>
      </c>
      <c r="AQ165" s="157">
        <v>-1.44481486238205</v>
      </c>
      <c r="AR165" s="30">
        <v>-1.45711001664303</v>
      </c>
      <c r="AS165" s="30">
        <v>0.23174019857467901</v>
      </c>
      <c r="AT165" s="30" t="s">
        <v>2743</v>
      </c>
      <c r="AU165" s="157">
        <v>2.1924729514346102</v>
      </c>
      <c r="AV165" s="30" t="s">
        <v>2855</v>
      </c>
      <c r="AW165" s="30" t="s">
        <v>2855</v>
      </c>
      <c r="AX165" s="30" t="s">
        <v>2743</v>
      </c>
      <c r="AY165" s="157" t="s">
        <v>2855</v>
      </c>
      <c r="AZ165" s="30" t="s">
        <v>2855</v>
      </c>
      <c r="BA165" s="30" t="s">
        <v>2855</v>
      </c>
      <c r="BB165" s="30" t="s">
        <v>558</v>
      </c>
      <c r="BC165" s="157">
        <v>27</v>
      </c>
      <c r="BD165" s="30">
        <v>27</v>
      </c>
      <c r="BE165" s="30">
        <v>8.1</v>
      </c>
      <c r="BF165" s="300" t="s">
        <v>558</v>
      </c>
    </row>
    <row r="166" spans="1:58">
      <c r="A166" s="3"/>
      <c r="B166" s="171">
        <v>430.88900000000001</v>
      </c>
      <c r="C166" s="157">
        <v>4.9433224729994603</v>
      </c>
      <c r="D166" s="30">
        <v>98.05383136971021</v>
      </c>
      <c r="E166" s="30">
        <v>4.9433224729994603</v>
      </c>
      <c r="F166" s="8" t="s">
        <v>2742</v>
      </c>
      <c r="G166" s="157">
        <v>12.756081411192</v>
      </c>
      <c r="H166" s="30">
        <v>-10.0827731178771</v>
      </c>
      <c r="I166" s="30">
        <v>12.756081411192</v>
      </c>
      <c r="J166" s="8" t="s">
        <v>2742</v>
      </c>
      <c r="K166" s="158">
        <v>7.5142573751701063</v>
      </c>
      <c r="L166" s="113">
        <v>3.1727202787681001</v>
      </c>
      <c r="M166" s="113">
        <v>18.136621572742484</v>
      </c>
      <c r="N166" s="13" t="s">
        <v>1499</v>
      </c>
      <c r="O166" s="157">
        <v>5.6592956123741098</v>
      </c>
      <c r="P166" s="30">
        <v>-92.492762890062593</v>
      </c>
      <c r="Q166" s="30">
        <v>5.6592956123741098</v>
      </c>
      <c r="R166" s="8" t="s">
        <v>2742</v>
      </c>
      <c r="S166" s="157">
        <v>12.487874798736501</v>
      </c>
      <c r="T166" s="30">
        <v>105.747859031112</v>
      </c>
      <c r="U166" s="30">
        <v>12.487874798736501</v>
      </c>
      <c r="V166" s="8" t="s">
        <v>2742</v>
      </c>
      <c r="W166" s="157">
        <v>12.8926114152219</v>
      </c>
      <c r="X166" s="30">
        <v>13.2554933966452</v>
      </c>
      <c r="Y166" s="30">
        <v>12.8926114152219</v>
      </c>
      <c r="Z166" s="498" t="s">
        <v>2742</v>
      </c>
      <c r="AA166" s="157">
        <v>0.32391951151009102</v>
      </c>
      <c r="AB166" s="30">
        <v>10.093967322444</v>
      </c>
      <c r="AC166" s="30">
        <v>0.32391951151009102</v>
      </c>
      <c r="AD166" s="8" t="s">
        <v>2742</v>
      </c>
      <c r="AE166" s="157">
        <v>7.8833235083997005E-2</v>
      </c>
      <c r="AF166" s="30">
        <v>3.6262531685994901</v>
      </c>
      <c r="AG166" s="30">
        <v>7.8833235083997005E-2</v>
      </c>
      <c r="AH166" s="8" t="s">
        <v>2742</v>
      </c>
      <c r="AI166" s="157">
        <v>0.36023153323002099</v>
      </c>
      <c r="AJ166" s="30">
        <v>-6.4494122441656696</v>
      </c>
      <c r="AK166" s="30">
        <v>0.36023153323002099</v>
      </c>
      <c r="AL166" s="8" t="s">
        <v>2742</v>
      </c>
      <c r="AM166" s="157">
        <v>0.38632749996993898</v>
      </c>
      <c r="AN166" s="30">
        <v>-4.4996287462221263</v>
      </c>
      <c r="AO166" s="30">
        <v>0.38632749996993898</v>
      </c>
      <c r="AP166" s="8" t="s">
        <v>2742</v>
      </c>
      <c r="AQ166" s="157">
        <v>0.22314661357790699</v>
      </c>
      <c r="AR166" s="30">
        <v>-1.44481486238205</v>
      </c>
      <c r="AS166" s="30">
        <v>0.22314661357790699</v>
      </c>
      <c r="AT166" s="8" t="s">
        <v>2742</v>
      </c>
      <c r="AU166" s="157">
        <v>0.24578664157781499</v>
      </c>
      <c r="AV166" s="30">
        <v>2.1924729514346102</v>
      </c>
      <c r="AW166" s="30">
        <v>0.24578664157781499</v>
      </c>
      <c r="AX166" s="8" t="s">
        <v>2742</v>
      </c>
      <c r="AY166" s="157" t="s">
        <v>2855</v>
      </c>
      <c r="AZ166" s="30"/>
      <c r="BA166" s="30"/>
      <c r="BB166" s="101"/>
      <c r="BC166" s="157">
        <v>8.1</v>
      </c>
      <c r="BD166" s="30"/>
      <c r="BE166" s="30"/>
      <c r="BF166" s="277"/>
    </row>
    <row r="167" spans="1:58">
      <c r="A167" s="3"/>
      <c r="B167" s="4"/>
      <c r="C167" s="3"/>
      <c r="D167" s="206">
        <v>97</v>
      </c>
      <c r="E167" s="206">
        <v>5.0239426748321856</v>
      </c>
      <c r="F167" s="206" t="s">
        <v>558</v>
      </c>
      <c r="G167" s="3"/>
      <c r="H167" s="206" t="s">
        <v>2855</v>
      </c>
      <c r="I167" s="206" t="s">
        <v>2855</v>
      </c>
      <c r="J167" s="206" t="s">
        <v>558</v>
      </c>
      <c r="K167" s="353"/>
      <c r="L167" s="344">
        <v>11.45452447393582</v>
      </c>
      <c r="M167" s="344">
        <v>16.471611139666155</v>
      </c>
      <c r="N167" s="206" t="s">
        <v>1124</v>
      </c>
      <c r="O167" s="3"/>
      <c r="P167" s="206">
        <v>-93.066666666666663</v>
      </c>
      <c r="Q167" s="206">
        <v>5.7500724633115148</v>
      </c>
      <c r="R167" s="206" t="s">
        <v>558</v>
      </c>
      <c r="S167" s="3"/>
      <c r="T167" s="206" t="s">
        <v>2855</v>
      </c>
      <c r="U167" s="206" t="s">
        <v>2855</v>
      </c>
      <c r="V167" s="206" t="s">
        <v>558</v>
      </c>
      <c r="W167" s="3"/>
      <c r="X167" s="206" t="s">
        <v>2855</v>
      </c>
      <c r="Y167" s="206" t="s">
        <v>2855</v>
      </c>
      <c r="Z167" s="350" t="s">
        <v>558</v>
      </c>
      <c r="AA167" s="4"/>
      <c r="AB167" s="206">
        <v>10.196734960730311</v>
      </c>
      <c r="AC167" s="206">
        <v>0.35717875532112214</v>
      </c>
      <c r="AD167" s="206" t="s">
        <v>558</v>
      </c>
      <c r="AE167" s="3"/>
      <c r="AF167" s="206">
        <v>3.6184013998198079</v>
      </c>
      <c r="AG167" s="206">
        <v>5.478325049151412E-2</v>
      </c>
      <c r="AH167" s="206" t="s">
        <v>558</v>
      </c>
      <c r="AI167" s="3"/>
      <c r="AJ167" s="206" t="s">
        <v>2855</v>
      </c>
      <c r="AK167" s="206" t="s">
        <v>2855</v>
      </c>
      <c r="AL167" s="206" t="s">
        <v>558</v>
      </c>
      <c r="AM167" s="3"/>
      <c r="AN167" s="206">
        <v>-3.8968901507926397</v>
      </c>
      <c r="AO167" s="206">
        <v>0.8017700738440946</v>
      </c>
      <c r="AP167" s="206" t="s">
        <v>558</v>
      </c>
      <c r="AQ167" s="3"/>
      <c r="AR167" s="206">
        <v>-3.8968901507926397</v>
      </c>
      <c r="AS167" s="206">
        <v>0.8017700738440946</v>
      </c>
      <c r="AT167" s="206" t="s">
        <v>558</v>
      </c>
      <c r="AU167" s="3"/>
      <c r="AV167" s="206" t="s">
        <v>2855</v>
      </c>
      <c r="AW167" s="206" t="s">
        <v>2855</v>
      </c>
      <c r="AX167" s="206" t="s">
        <v>558</v>
      </c>
      <c r="AY167" s="3"/>
      <c r="AZ167" s="52"/>
      <c r="BA167" s="52"/>
      <c r="BB167" s="52"/>
      <c r="BC167" s="3"/>
      <c r="BF167" s="42"/>
    </row>
    <row r="168" spans="1:58">
      <c r="A168" s="3"/>
      <c r="B168" s="4"/>
      <c r="C168" s="3"/>
      <c r="D168" s="176">
        <v>110.1490670284</v>
      </c>
      <c r="E168" s="176">
        <v>23.50592105292759</v>
      </c>
      <c r="F168" s="206" t="s">
        <v>1124</v>
      </c>
      <c r="G168" s="3"/>
      <c r="H168" s="176">
        <v>8.4122944185202044</v>
      </c>
      <c r="I168" s="176">
        <v>11.800598364411771</v>
      </c>
      <c r="J168" s="206" t="s">
        <v>1124</v>
      </c>
      <c r="K168" s="353"/>
      <c r="L168" s="206"/>
      <c r="M168" s="206"/>
      <c r="N168" s="206"/>
      <c r="O168" s="3"/>
      <c r="P168" s="178">
        <v>-98.694542554464178</v>
      </c>
      <c r="Q168" s="178">
        <v>10.763330727362201</v>
      </c>
      <c r="R168" s="206" t="s">
        <v>1124</v>
      </c>
      <c r="S168" s="3"/>
      <c r="T168" s="178">
        <v>117.4782165</v>
      </c>
      <c r="U168" s="178">
        <v>22.023523769038501</v>
      </c>
      <c r="V168" s="206" t="s">
        <v>1124</v>
      </c>
      <c r="W168" s="3"/>
      <c r="X168" s="178">
        <v>20.914440000000003</v>
      </c>
      <c r="Y168" s="178">
        <v>8.5793782660118261</v>
      </c>
      <c r="Z168" s="350" t="s">
        <v>1124</v>
      </c>
      <c r="AA168" s="4"/>
      <c r="AB168" s="178">
        <v>10.255100000000001</v>
      </c>
      <c r="AC168" s="178">
        <v>0.67724680400000004</v>
      </c>
      <c r="AD168" s="206" t="s">
        <v>1124</v>
      </c>
      <c r="AE168" s="3"/>
      <c r="AF168" s="178">
        <v>3.6442600000000001</v>
      </c>
      <c r="AG168" s="178">
        <v>1.6980903223800001</v>
      </c>
      <c r="AH168" s="206" t="s">
        <v>1124</v>
      </c>
      <c r="AI168" s="3"/>
      <c r="AJ168" s="178">
        <v>-6.9726409069821225</v>
      </c>
      <c r="AK168" s="178">
        <v>1.9751609076435468</v>
      </c>
      <c r="AL168" s="206" t="s">
        <v>1124</v>
      </c>
      <c r="AM168" s="3"/>
      <c r="AN168" s="178">
        <v>-4.4424927980943423</v>
      </c>
      <c r="AO168" s="178">
        <v>0.99727299578020834</v>
      </c>
      <c r="AP168" s="206" t="s">
        <v>1124</v>
      </c>
      <c r="AQ168" s="3"/>
      <c r="AR168" s="178">
        <v>-4.4424927980943423</v>
      </c>
      <c r="AS168" s="178">
        <v>0.99727299578020834</v>
      </c>
      <c r="AT168" s="206" t="s">
        <v>1124</v>
      </c>
      <c r="AU168" s="3"/>
      <c r="AV168" s="178">
        <v>2.4274862999999964</v>
      </c>
      <c r="AW168" s="178">
        <v>0.43872202648529934</v>
      </c>
      <c r="AX168" s="206" t="s">
        <v>1124</v>
      </c>
      <c r="AY168" s="3"/>
      <c r="AZ168" s="178"/>
      <c r="BA168" s="178"/>
      <c r="BB168" s="206"/>
      <c r="BC168" s="3"/>
      <c r="BD168" s="178"/>
      <c r="BE168" s="178"/>
      <c r="BF168" s="350"/>
    </row>
    <row r="169" spans="1:58">
      <c r="A169" s="3"/>
      <c r="B169" s="4"/>
      <c r="C169" s="87"/>
      <c r="D169" s="119"/>
      <c r="E169" s="119"/>
      <c r="F169" s="4"/>
      <c r="G169" s="80"/>
      <c r="H169" s="119"/>
      <c r="I169" s="119"/>
      <c r="J169" s="4"/>
      <c r="K169" s="3"/>
      <c r="L169" s="4"/>
      <c r="M169" s="4"/>
      <c r="N169" s="4"/>
      <c r="O169" s="115"/>
      <c r="P169" s="119"/>
      <c r="Q169" s="119"/>
      <c r="R169" s="4"/>
      <c r="S169" s="80"/>
      <c r="T169" s="119"/>
      <c r="U169" s="119"/>
      <c r="V169" s="4"/>
      <c r="W169" s="80"/>
      <c r="X169" s="171"/>
      <c r="Y169" s="171"/>
      <c r="Z169" s="122"/>
      <c r="AA169" s="4"/>
      <c r="AB169" s="9"/>
      <c r="AC169" s="9"/>
      <c r="AD169" s="4"/>
      <c r="AE169" s="3"/>
      <c r="AF169" s="9"/>
      <c r="AG169" s="9"/>
      <c r="AH169" s="4"/>
      <c r="AI169" s="3"/>
      <c r="AJ169" s="9"/>
      <c r="AK169" s="9"/>
      <c r="AL169" s="4"/>
      <c r="AM169" s="3"/>
      <c r="AN169" s="9"/>
      <c r="AO169" s="9"/>
      <c r="AP169" s="4"/>
      <c r="AQ169" s="3"/>
      <c r="AR169" s="9"/>
      <c r="AS169" s="9"/>
      <c r="AT169" s="4"/>
      <c r="AU169" s="3"/>
      <c r="AV169" s="9"/>
      <c r="AW169" s="9"/>
      <c r="AX169" s="4"/>
      <c r="AY169" s="3"/>
      <c r="AZ169" s="9"/>
      <c r="BA169" s="9"/>
      <c r="BB169" s="4"/>
      <c r="BC169" s="3"/>
      <c r="BD169" s="9"/>
      <c r="BE169" s="9"/>
      <c r="BF169" s="122"/>
    </row>
    <row r="170" spans="1:58">
      <c r="A170" s="3"/>
      <c r="B170" s="4" t="s">
        <v>20</v>
      </c>
      <c r="C170" s="87"/>
      <c r="D170" s="119"/>
      <c r="E170" s="119"/>
      <c r="F170" s="4"/>
      <c r="G170" s="80"/>
      <c r="H170" s="119"/>
      <c r="I170" s="119"/>
      <c r="J170" s="4"/>
      <c r="K170" s="3"/>
      <c r="L170" s="4"/>
      <c r="M170" s="4"/>
      <c r="N170" s="4"/>
      <c r="O170" s="115"/>
      <c r="P170" s="119"/>
      <c r="Q170" s="119"/>
      <c r="R170" s="4"/>
      <c r="S170" s="80"/>
      <c r="W170" s="80"/>
      <c r="X170" s="171"/>
      <c r="Y170" s="171"/>
      <c r="Z170" s="122"/>
      <c r="AB170" s="9"/>
      <c r="AC170" s="9"/>
      <c r="AD170" s="45"/>
      <c r="AF170" s="9"/>
      <c r="AG170" s="47"/>
      <c r="AH170" s="42"/>
      <c r="AI170" s="47"/>
      <c r="AJ170" s="47"/>
      <c r="AK170" s="47"/>
      <c r="AL170" s="275"/>
      <c r="AN170" s="16"/>
      <c r="AO170" s="47"/>
      <c r="AP170" s="45"/>
      <c r="AQ170" s="47"/>
      <c r="AR170" s="47"/>
      <c r="AS170" s="47"/>
      <c r="AT170" s="45"/>
      <c r="AU170" s="47"/>
      <c r="AV170" s="47"/>
      <c r="AW170" s="47"/>
      <c r="AX170" s="45"/>
      <c r="AY170" s="47"/>
      <c r="AZ170" s="47"/>
      <c r="BA170" s="47"/>
      <c r="BB170" s="484"/>
      <c r="BC170" s="47"/>
      <c r="BD170" s="47"/>
      <c r="BE170" s="47"/>
      <c r="BF170" s="45"/>
    </row>
    <row r="171" spans="1:58">
      <c r="A171" s="3" t="s">
        <v>77</v>
      </c>
      <c r="B171" s="4" t="s">
        <v>78</v>
      </c>
      <c r="C171" s="157">
        <v>96.525351286496502</v>
      </c>
      <c r="D171" s="30" t="s">
        <v>2855</v>
      </c>
      <c r="E171" s="30" t="s">
        <v>2855</v>
      </c>
      <c r="F171" s="30" t="s">
        <v>2743</v>
      </c>
      <c r="G171" s="157">
        <v>-0.47710166337975801</v>
      </c>
      <c r="H171" s="30" t="s">
        <v>2855</v>
      </c>
      <c r="I171" s="30" t="s">
        <v>2855</v>
      </c>
      <c r="J171" s="30" t="s">
        <v>2743</v>
      </c>
      <c r="K171" s="157">
        <v>-0.94612756979999268</v>
      </c>
      <c r="L171" s="113">
        <v>-0.94612756979999268</v>
      </c>
      <c r="M171" s="30">
        <v>10.038425921166825</v>
      </c>
      <c r="N171" s="355" t="s">
        <v>1498</v>
      </c>
      <c r="O171" s="157">
        <v>-95.080478856296494</v>
      </c>
      <c r="P171" s="30" t="s">
        <v>2855</v>
      </c>
      <c r="Q171" s="30" t="s">
        <v>2855</v>
      </c>
      <c r="R171" s="30" t="s">
        <v>2743</v>
      </c>
      <c r="S171" s="157">
        <v>94.612586759706105</v>
      </c>
      <c r="T171" s="30" t="s">
        <v>2855</v>
      </c>
      <c r="U171" s="30" t="s">
        <v>2855</v>
      </c>
      <c r="V171" s="30" t="s">
        <v>2743</v>
      </c>
      <c r="W171" s="157">
        <v>-0.46738765859546899</v>
      </c>
      <c r="X171" s="30" t="s">
        <v>2855</v>
      </c>
      <c r="Y171" s="30" t="s">
        <v>2855</v>
      </c>
      <c r="Z171" s="300" t="s">
        <v>2743</v>
      </c>
      <c r="AA171" s="157">
        <v>10.1437089723089</v>
      </c>
      <c r="AB171" s="30">
        <v>10.174972842180299</v>
      </c>
      <c r="AC171" s="30">
        <v>0.16515241938292599</v>
      </c>
      <c r="AD171" s="30" t="s">
        <v>2743</v>
      </c>
      <c r="AE171" s="157">
        <v>5.08948304776355</v>
      </c>
      <c r="AF171" s="30">
        <v>5.2820136868190604</v>
      </c>
      <c r="AG171" s="30">
        <v>0.45728375874571597</v>
      </c>
      <c r="AH171" s="30" t="s">
        <v>2743</v>
      </c>
      <c r="AI171" s="157">
        <v>-5.0352096385645098</v>
      </c>
      <c r="AJ171" s="30">
        <v>-4.8846942561357398</v>
      </c>
      <c r="AK171" s="30">
        <v>0.43039250066849999</v>
      </c>
      <c r="AL171" s="30" t="s">
        <v>2743</v>
      </c>
      <c r="AM171" s="157">
        <v>-3.972668896105477</v>
      </c>
      <c r="AN171" s="30">
        <v>-3.8238767135836165</v>
      </c>
      <c r="AO171" s="30">
        <v>0.39550731027818897</v>
      </c>
      <c r="AP171" s="30" t="s">
        <v>2743</v>
      </c>
      <c r="AQ171" s="157">
        <v>-2.3347669369443702</v>
      </c>
      <c r="AR171" s="30">
        <v>-2.3418135936095599</v>
      </c>
      <c r="AS171" s="30">
        <v>0.18529754637027901</v>
      </c>
      <c r="AT171" s="30" t="s">
        <v>2743</v>
      </c>
      <c r="AU171" s="157">
        <v>2.7620150476966598</v>
      </c>
      <c r="AV171" s="30" t="s">
        <v>2855</v>
      </c>
      <c r="AW171" s="30" t="s">
        <v>2855</v>
      </c>
      <c r="AX171" s="30" t="s">
        <v>2743</v>
      </c>
      <c r="AY171" s="157">
        <v>91.84</v>
      </c>
      <c r="AZ171" s="30">
        <v>91.84</v>
      </c>
      <c r="BA171" s="30">
        <v>7.2387944533560509</v>
      </c>
      <c r="BB171" s="30" t="s">
        <v>558</v>
      </c>
      <c r="BC171" s="157">
        <v>49.708333333333336</v>
      </c>
      <c r="BD171" s="30">
        <v>49.708333333333336</v>
      </c>
      <c r="BE171" s="30">
        <v>0.6003471218109292</v>
      </c>
      <c r="BF171" s="300" t="s">
        <v>558</v>
      </c>
    </row>
    <row r="172" spans="1:58">
      <c r="A172" s="3"/>
      <c r="B172" s="171">
        <v>326.28800000000001</v>
      </c>
      <c r="C172" s="157">
        <v>8.2494574387005706</v>
      </c>
      <c r="D172" s="30">
        <v>96.525351286496502</v>
      </c>
      <c r="E172" s="30">
        <v>8.2494574387005706</v>
      </c>
      <c r="F172" s="8" t="s">
        <v>2742</v>
      </c>
      <c r="G172" s="157">
        <v>14.627294627861801</v>
      </c>
      <c r="H172" s="30">
        <v>-0.47710166337975801</v>
      </c>
      <c r="I172" s="30">
        <v>14.627294627861801</v>
      </c>
      <c r="J172" s="8" t="s">
        <v>2742</v>
      </c>
      <c r="K172" s="158">
        <v>10.038425921166825</v>
      </c>
      <c r="L172" s="113">
        <v>-0.94448932197522706</v>
      </c>
      <c r="M172" s="113">
        <v>20.31303492488885</v>
      </c>
      <c r="N172" s="13" t="s">
        <v>1499</v>
      </c>
      <c r="O172" s="157">
        <v>5.7198292755834803</v>
      </c>
      <c r="P172" s="30">
        <v>-95.080478856296494</v>
      </c>
      <c r="Q172" s="30">
        <v>5.7198292755834803</v>
      </c>
      <c r="R172" s="8" t="s">
        <v>2742</v>
      </c>
      <c r="S172" s="157">
        <v>13.7807111557246</v>
      </c>
      <c r="T172" s="30">
        <v>94.612586759706105</v>
      </c>
      <c r="U172" s="30">
        <v>13.7807111557246</v>
      </c>
      <c r="V172" s="8" t="s">
        <v>2742</v>
      </c>
      <c r="W172" s="157">
        <v>14.094738015638301</v>
      </c>
      <c r="X172" s="30">
        <v>-0.46738765859546899</v>
      </c>
      <c r="Y172" s="30">
        <v>14.094738015638301</v>
      </c>
      <c r="Z172" s="498" t="s">
        <v>2742</v>
      </c>
      <c r="AA172" s="157">
        <v>0.18419213198604101</v>
      </c>
      <c r="AB172" s="30">
        <v>10.1437089723089</v>
      </c>
      <c r="AC172" s="30">
        <v>0.18419213198604101</v>
      </c>
      <c r="AD172" s="8" t="s">
        <v>2742</v>
      </c>
      <c r="AE172" s="157">
        <v>0.40475077460296499</v>
      </c>
      <c r="AF172" s="30">
        <v>5.08948304776355</v>
      </c>
      <c r="AG172" s="30">
        <v>0.40475077460296499</v>
      </c>
      <c r="AH172" s="8" t="s">
        <v>2742</v>
      </c>
      <c r="AI172" s="157">
        <v>0.39367003026625702</v>
      </c>
      <c r="AJ172" s="30">
        <v>-5.0352096385645098</v>
      </c>
      <c r="AK172" s="30">
        <v>0.39367003026625702</v>
      </c>
      <c r="AL172" s="8" t="s">
        <v>2742</v>
      </c>
      <c r="AM172" s="157">
        <v>0.35152626488980399</v>
      </c>
      <c r="AN172" s="30">
        <v>-3.972668896105477</v>
      </c>
      <c r="AO172" s="30">
        <v>0.35152626488980399</v>
      </c>
      <c r="AP172" s="8" t="s">
        <v>2742</v>
      </c>
      <c r="AQ172" s="157">
        <v>0.18478192595480999</v>
      </c>
      <c r="AR172" s="30">
        <v>-2.3347669369443702</v>
      </c>
      <c r="AS172" s="30">
        <v>0.18478192595480999</v>
      </c>
      <c r="AT172" s="8" t="s">
        <v>2742</v>
      </c>
      <c r="AU172" s="157">
        <v>0.37090964440107899</v>
      </c>
      <c r="AV172" s="30">
        <v>2.7620150476966598</v>
      </c>
      <c r="AW172" s="30">
        <v>0.37090964440107899</v>
      </c>
      <c r="AX172" s="8" t="s">
        <v>2742</v>
      </c>
      <c r="AY172" s="157">
        <v>7.2387944533560509</v>
      </c>
      <c r="AZ172" s="30"/>
      <c r="BA172" s="30"/>
      <c r="BB172" s="101"/>
      <c r="BC172" s="157">
        <v>0.6003471218109292</v>
      </c>
      <c r="BD172" s="30"/>
      <c r="BE172" s="30"/>
      <c r="BF172" s="277"/>
    </row>
    <row r="173" spans="1:58">
      <c r="A173" s="3"/>
      <c r="B173" s="4"/>
      <c r="C173" s="3"/>
      <c r="D173" s="206">
        <v>94.320000000000007</v>
      </c>
      <c r="E173" s="206">
        <v>8.6586373061816122</v>
      </c>
      <c r="F173" s="206" t="s">
        <v>558</v>
      </c>
      <c r="G173" s="3"/>
      <c r="H173" s="206" t="s">
        <v>2855</v>
      </c>
      <c r="I173" s="206" t="s">
        <v>2855</v>
      </c>
      <c r="J173" s="206" t="s">
        <v>558</v>
      </c>
      <c r="K173" s="353"/>
      <c r="L173" s="344">
        <v>7.2887838306799324</v>
      </c>
      <c r="M173" s="344">
        <v>10.481274295867275</v>
      </c>
      <c r="N173" s="206" t="s">
        <v>1124</v>
      </c>
      <c r="O173" s="3"/>
      <c r="P173" s="206">
        <v>-95.100000000000009</v>
      </c>
      <c r="Q173" s="206">
        <v>5.8077534382926403</v>
      </c>
      <c r="R173" s="206" t="s">
        <v>558</v>
      </c>
      <c r="S173" s="3"/>
      <c r="T173" s="206" t="s">
        <v>2855</v>
      </c>
      <c r="U173" s="206" t="s">
        <v>2855</v>
      </c>
      <c r="V173" s="206" t="s">
        <v>558</v>
      </c>
      <c r="W173" s="3"/>
      <c r="X173" s="206" t="s">
        <v>2855</v>
      </c>
      <c r="Y173" s="206" t="s">
        <v>2855</v>
      </c>
      <c r="Z173" s="350" t="s">
        <v>558</v>
      </c>
      <c r="AA173" s="4"/>
      <c r="AB173" s="206">
        <v>10.202624059176518</v>
      </c>
      <c r="AC173" s="206">
        <v>0.16599464740887165</v>
      </c>
      <c r="AD173" s="206" t="s">
        <v>558</v>
      </c>
      <c r="AE173" s="3"/>
      <c r="AF173" s="206">
        <v>4.2001060923858642</v>
      </c>
      <c r="AG173" s="206">
        <v>0.75778339429101471</v>
      </c>
      <c r="AH173" s="206" t="s">
        <v>558</v>
      </c>
      <c r="AI173" s="3"/>
      <c r="AJ173" s="206" t="s">
        <v>2855</v>
      </c>
      <c r="AK173" s="206" t="s">
        <v>2855</v>
      </c>
      <c r="AL173" s="206" t="s">
        <v>558</v>
      </c>
      <c r="AM173" s="3"/>
      <c r="AN173" s="206">
        <v>-3.6388660479834938</v>
      </c>
      <c r="AO173" s="206">
        <v>0.42628200846392272</v>
      </c>
      <c r="AP173" s="206" t="s">
        <v>558</v>
      </c>
      <c r="AQ173" s="3"/>
      <c r="AR173" s="206">
        <v>-3.6388660479834938</v>
      </c>
      <c r="AS173" s="206">
        <v>0.42628200846392272</v>
      </c>
      <c r="AT173" s="206" t="s">
        <v>558</v>
      </c>
      <c r="AU173" s="3"/>
      <c r="AV173" s="206" t="s">
        <v>2855</v>
      </c>
      <c r="AW173" s="206" t="s">
        <v>2855</v>
      </c>
      <c r="AX173" s="206" t="s">
        <v>558</v>
      </c>
      <c r="AY173" s="3"/>
      <c r="AZ173" s="52"/>
      <c r="BA173" s="52"/>
      <c r="BB173" s="52"/>
      <c r="BC173" s="3"/>
      <c r="BF173" s="42"/>
    </row>
    <row r="174" spans="1:58">
      <c r="A174" s="3"/>
      <c r="B174" s="4"/>
      <c r="C174" s="3"/>
      <c r="D174" s="176">
        <v>104.69210711992</v>
      </c>
      <c r="E174" s="176">
        <v>22.341400351498049</v>
      </c>
      <c r="F174" s="206" t="s">
        <v>1124</v>
      </c>
      <c r="G174" s="3"/>
      <c r="H174" s="176">
        <v>16.749474442736073</v>
      </c>
      <c r="I174" s="176">
        <v>23.495827758781306</v>
      </c>
      <c r="J174" s="206" t="s">
        <v>1124</v>
      </c>
      <c r="K174" s="353"/>
      <c r="L174" s="206"/>
      <c r="M174" s="206"/>
      <c r="N174" s="206"/>
      <c r="O174" s="3"/>
      <c r="P174" s="178">
        <v>-97.403323289240063</v>
      </c>
      <c r="Q174" s="178">
        <v>10.622514227954653</v>
      </c>
      <c r="R174" s="206" t="s">
        <v>1124</v>
      </c>
      <c r="S174" s="3"/>
      <c r="T174" s="178">
        <v>109.47182520000001</v>
      </c>
      <c r="U174" s="178">
        <v>20.522573598418802</v>
      </c>
      <c r="V174" s="206" t="s">
        <v>1124</v>
      </c>
      <c r="W174" s="3"/>
      <c r="X174" s="178">
        <v>2.4292000000000646E-2</v>
      </c>
      <c r="Y174" s="178">
        <v>9.9648977853561849E-3</v>
      </c>
      <c r="Z174" s="350" t="s">
        <v>1124</v>
      </c>
      <c r="AA174" s="4"/>
      <c r="AB174" s="178">
        <v>10.797700000000001</v>
      </c>
      <c r="AC174" s="178">
        <v>0.7130801080000001</v>
      </c>
      <c r="AD174" s="206" t="s">
        <v>1124</v>
      </c>
      <c r="AE174" s="3"/>
      <c r="AF174" s="178">
        <v>4.5887799999999999</v>
      </c>
      <c r="AG174" s="178">
        <v>2.1382016951399998</v>
      </c>
      <c r="AH174" s="206" t="s">
        <v>1124</v>
      </c>
      <c r="AI174" s="3"/>
      <c r="AJ174" s="178">
        <v>-5.7889397877108442</v>
      </c>
      <c r="AK174" s="178">
        <v>1.639850340484214</v>
      </c>
      <c r="AL174" s="206" t="s">
        <v>1124</v>
      </c>
      <c r="AM174" s="3"/>
      <c r="AN174" s="178">
        <v>-4.1630432629404499</v>
      </c>
      <c r="AO174" s="178">
        <v>0.93454076688118681</v>
      </c>
      <c r="AP174" s="206" t="s">
        <v>1124</v>
      </c>
      <c r="AQ174" s="3"/>
      <c r="AR174" s="178">
        <v>-4.1630432629404499</v>
      </c>
      <c r="AS174" s="178">
        <v>0.93454076688118681</v>
      </c>
      <c r="AT174" s="206" t="s">
        <v>1124</v>
      </c>
      <c r="AU174" s="3"/>
      <c r="AV174" s="178">
        <v>2.3427773999999992</v>
      </c>
      <c r="AW174" s="178">
        <v>0.42341250227939986</v>
      </c>
      <c r="AX174" s="206" t="s">
        <v>1124</v>
      </c>
      <c r="AY174" s="3"/>
      <c r="AZ174" s="178"/>
      <c r="BA174" s="178"/>
      <c r="BB174" s="206"/>
      <c r="BC174" s="3"/>
      <c r="BD174" s="178"/>
      <c r="BE174" s="178"/>
      <c r="BF174" s="350"/>
    </row>
    <row r="175" spans="1:58">
      <c r="A175" s="3"/>
      <c r="B175" s="4" t="s">
        <v>20</v>
      </c>
      <c r="C175" s="87"/>
      <c r="D175" s="119"/>
      <c r="E175" s="119"/>
      <c r="F175" s="4"/>
      <c r="G175" s="80"/>
      <c r="H175" s="119"/>
      <c r="I175" s="119"/>
      <c r="J175" s="4"/>
      <c r="K175" s="3"/>
      <c r="L175" s="4"/>
      <c r="M175" s="4"/>
      <c r="N175" s="4"/>
      <c r="O175" s="115"/>
      <c r="P175" s="119"/>
      <c r="Q175" s="119"/>
      <c r="R175" s="4"/>
      <c r="S175" s="80"/>
      <c r="W175" s="80"/>
      <c r="X175" s="171"/>
      <c r="Y175" s="171"/>
      <c r="Z175" s="122"/>
      <c r="AA175" s="4"/>
      <c r="AB175" s="9"/>
      <c r="AC175" s="9"/>
      <c r="AD175" s="4"/>
      <c r="AE175" s="3"/>
      <c r="AF175" s="9"/>
      <c r="AG175" s="9"/>
      <c r="AH175" s="4"/>
      <c r="AI175" s="3"/>
      <c r="AJ175" s="9"/>
      <c r="AK175" s="9"/>
      <c r="AL175" s="4"/>
      <c r="AM175" s="3"/>
      <c r="AN175" s="9"/>
      <c r="AO175" s="9"/>
      <c r="AP175" s="4"/>
      <c r="AQ175" s="3"/>
      <c r="AR175" s="9"/>
      <c r="AS175" s="9"/>
      <c r="AT175" s="4"/>
      <c r="AU175" s="3"/>
      <c r="AV175" s="9"/>
      <c r="AW175" s="9"/>
      <c r="AX175" s="4"/>
      <c r="AY175" s="3"/>
      <c r="AZ175" s="9"/>
      <c r="BA175" s="9"/>
      <c r="BB175" s="4"/>
      <c r="BC175" s="3"/>
      <c r="BD175" s="9"/>
      <c r="BE175" s="9"/>
      <c r="BF175" s="122"/>
    </row>
    <row r="176" spans="1:58">
      <c r="A176" s="3" t="s">
        <v>79</v>
      </c>
      <c r="B176" s="4" t="s">
        <v>80</v>
      </c>
      <c r="C176" s="157">
        <v>110.91192280221</v>
      </c>
      <c r="D176" s="30" t="s">
        <v>2855</v>
      </c>
      <c r="E176" s="30" t="s">
        <v>2855</v>
      </c>
      <c r="F176" s="30" t="s">
        <v>2743</v>
      </c>
      <c r="G176" s="157">
        <v>-4.8854562078283701</v>
      </c>
      <c r="H176" s="30" t="s">
        <v>2855</v>
      </c>
      <c r="I176" s="30" t="s">
        <v>2855</v>
      </c>
      <c r="J176" s="30" t="s">
        <v>2743</v>
      </c>
      <c r="K176" s="157">
        <v>4.976981565049007</v>
      </c>
      <c r="L176" s="113">
        <v>4.976981565049007</v>
      </c>
      <c r="M176" s="30">
        <v>14.878703959425877</v>
      </c>
      <c r="N176" s="355" t="s">
        <v>1498</v>
      </c>
      <c r="O176" s="157">
        <v>-103.54394123716099</v>
      </c>
      <c r="P176" s="30" t="s">
        <v>2855</v>
      </c>
      <c r="Q176" s="30" t="s">
        <v>2855</v>
      </c>
      <c r="R176" s="30" t="s">
        <v>2743</v>
      </c>
      <c r="S176" s="157">
        <v>113.408727079337</v>
      </c>
      <c r="T176" s="30" t="s">
        <v>2855</v>
      </c>
      <c r="U176" s="30" t="s">
        <v>2855</v>
      </c>
      <c r="V176" s="30" t="s">
        <v>2743</v>
      </c>
      <c r="W176" s="157">
        <v>9.8639646336734792</v>
      </c>
      <c r="X176" s="30" t="s">
        <v>2855</v>
      </c>
      <c r="Y176" s="30" t="s">
        <v>2855</v>
      </c>
      <c r="Z176" s="300" t="s">
        <v>2743</v>
      </c>
      <c r="AA176" s="157">
        <v>10.9922228421326</v>
      </c>
      <c r="AB176" s="30" t="s">
        <v>2855</v>
      </c>
      <c r="AC176" s="30" t="s">
        <v>2855</v>
      </c>
      <c r="AD176" s="30" t="s">
        <v>2743</v>
      </c>
      <c r="AE176" s="157">
        <v>5.3814708812584104</v>
      </c>
      <c r="AF176" s="30" t="s">
        <v>2855</v>
      </c>
      <c r="AG176" s="30" t="s">
        <v>2855</v>
      </c>
      <c r="AH176" s="30" t="s">
        <v>2743</v>
      </c>
      <c r="AI176" s="157">
        <v>-5.6043064580003499</v>
      </c>
      <c r="AJ176" s="30" t="s">
        <v>2855</v>
      </c>
      <c r="AK176" s="30" t="s">
        <v>2855</v>
      </c>
      <c r="AL176" s="30" t="s">
        <v>2743</v>
      </c>
      <c r="AM176" s="157">
        <v>-5.372274206395887</v>
      </c>
      <c r="AN176" s="30" t="s">
        <v>2855</v>
      </c>
      <c r="AO176" s="30" t="s">
        <v>2855</v>
      </c>
      <c r="AP176" s="30" t="s">
        <v>2743</v>
      </c>
      <c r="AQ176" s="157">
        <v>-3.16330382764369</v>
      </c>
      <c r="AR176" s="30" t="s">
        <v>2855</v>
      </c>
      <c r="AS176" s="30" t="s">
        <v>2855</v>
      </c>
      <c r="AT176" s="30" t="s">
        <v>2743</v>
      </c>
      <c r="AU176" s="157">
        <v>2.21802878925513</v>
      </c>
      <c r="AV176" s="30" t="s">
        <v>2855</v>
      </c>
      <c r="AW176" s="30" t="s">
        <v>2855</v>
      </c>
      <c r="AX176" s="30" t="s">
        <v>2743</v>
      </c>
      <c r="AY176" s="157" t="s">
        <v>2855</v>
      </c>
      <c r="AZ176" s="30" t="s">
        <v>2855</v>
      </c>
      <c r="BA176" s="30" t="s">
        <v>2855</v>
      </c>
      <c r="BB176" s="30" t="s">
        <v>558</v>
      </c>
      <c r="BC176" s="157">
        <v>25.5</v>
      </c>
      <c r="BD176" s="30">
        <v>25.5</v>
      </c>
      <c r="BE176" s="30">
        <v>1.1772257883074695</v>
      </c>
      <c r="BF176" s="300" t="s">
        <v>558</v>
      </c>
    </row>
    <row r="177" spans="1:58">
      <c r="A177" s="3"/>
      <c r="B177" s="171">
        <v>368.36900000000003</v>
      </c>
      <c r="C177" s="157">
        <v>7.7571973582389901</v>
      </c>
      <c r="D177" s="30">
        <v>110.91192280221</v>
      </c>
      <c r="E177" s="30">
        <v>7.7571973582389901</v>
      </c>
      <c r="F177" s="8" t="s">
        <v>2742</v>
      </c>
      <c r="G177" s="157">
        <v>16.9796939662887</v>
      </c>
      <c r="H177" s="30">
        <v>-4.8854562078283701</v>
      </c>
      <c r="I177" s="30">
        <v>16.9796939662887</v>
      </c>
      <c r="J177" s="8" t="s">
        <v>2742</v>
      </c>
      <c r="K177" s="158">
        <v>14.878703959425877</v>
      </c>
      <c r="L177" s="113">
        <v>4.9785084258451091</v>
      </c>
      <c r="M177" s="113">
        <v>24.694948099260795</v>
      </c>
      <c r="N177" s="13" t="s">
        <v>1499</v>
      </c>
      <c r="O177" s="157">
        <v>12.696523959634201</v>
      </c>
      <c r="P177" s="30">
        <v>-103.54394123716099</v>
      </c>
      <c r="Q177" s="30">
        <v>12.696523959634201</v>
      </c>
      <c r="R177" s="8" t="s">
        <v>2742</v>
      </c>
      <c r="S177" s="157">
        <v>16.504886501108601</v>
      </c>
      <c r="T177" s="30">
        <v>113.408727079337</v>
      </c>
      <c r="U177" s="30">
        <v>16.504886501108601</v>
      </c>
      <c r="V177" s="8" t="s">
        <v>2742</v>
      </c>
      <c r="W177" s="157">
        <v>17.9312702962273</v>
      </c>
      <c r="X177" s="30">
        <v>9.8639646336734792</v>
      </c>
      <c r="Y177" s="30">
        <v>17.9312702962273</v>
      </c>
      <c r="Z177" s="498" t="s">
        <v>2742</v>
      </c>
      <c r="AA177" s="157">
        <v>0.26598278387722901</v>
      </c>
      <c r="AB177" s="30">
        <v>10.9922228421326</v>
      </c>
      <c r="AC177" s="30">
        <v>0.26598278387722901</v>
      </c>
      <c r="AD177" s="8" t="s">
        <v>2742</v>
      </c>
      <c r="AE177" s="157">
        <v>1.2945070898078099</v>
      </c>
      <c r="AF177" s="30">
        <v>5.3814708812584104</v>
      </c>
      <c r="AG177" s="30">
        <v>1.2945070898078099</v>
      </c>
      <c r="AH177" s="8" t="s">
        <v>2742</v>
      </c>
      <c r="AI177" s="157">
        <v>1.2793774377442999</v>
      </c>
      <c r="AJ177" s="30">
        <v>-5.6043064580003499</v>
      </c>
      <c r="AK177" s="30">
        <v>1.2793774377442999</v>
      </c>
      <c r="AL177" s="8" t="s">
        <v>2742</v>
      </c>
      <c r="AM177" s="157">
        <v>0.40069570587471998</v>
      </c>
      <c r="AN177" s="30">
        <v>-5.372274206395887</v>
      </c>
      <c r="AO177" s="30">
        <v>0.40069570587471998</v>
      </c>
      <c r="AP177" s="8" t="s">
        <v>2742</v>
      </c>
      <c r="AQ177" s="157">
        <v>1.3112082217593699</v>
      </c>
      <c r="AR177" s="30">
        <v>-3.16330382764369</v>
      </c>
      <c r="AS177" s="30">
        <v>1.3112082217593699</v>
      </c>
      <c r="AT177" s="8" t="s">
        <v>2742</v>
      </c>
      <c r="AU177" s="157">
        <v>0.356604357930287</v>
      </c>
      <c r="AV177" s="30">
        <v>2.21802878925513</v>
      </c>
      <c r="AW177" s="30">
        <v>0.356604357930287</v>
      </c>
      <c r="AX177" s="8" t="s">
        <v>2742</v>
      </c>
      <c r="AY177" s="157" t="s">
        <v>2855</v>
      </c>
      <c r="AZ177" s="30"/>
      <c r="BA177" s="30"/>
      <c r="BB177" s="101"/>
      <c r="BC177" s="157">
        <v>1.1772257883074695</v>
      </c>
      <c r="BD177" s="30"/>
      <c r="BE177" s="30"/>
      <c r="BF177" s="277"/>
    </row>
    <row r="178" spans="1:58">
      <c r="A178" s="3"/>
      <c r="B178" s="4"/>
      <c r="C178" s="3"/>
      <c r="D178" s="206">
        <v>109.58571428571429</v>
      </c>
      <c r="E178" s="206">
        <v>7.9982140863713171</v>
      </c>
      <c r="F178" s="206" t="s">
        <v>558</v>
      </c>
      <c r="G178" s="3"/>
      <c r="H178" s="206" t="s">
        <v>2855</v>
      </c>
      <c r="I178" s="206" t="s">
        <v>2855</v>
      </c>
      <c r="J178" s="206" t="s">
        <v>558</v>
      </c>
      <c r="K178" s="353"/>
      <c r="L178" s="344">
        <v>6.7868184388082824</v>
      </c>
      <c r="M178" s="344">
        <v>9.7594478456035585</v>
      </c>
      <c r="N178" s="206" t="s">
        <v>1124</v>
      </c>
      <c r="O178" s="3"/>
      <c r="P178" s="206">
        <v>-102</v>
      </c>
      <c r="Q178" s="206">
        <v>6.4625245455885869</v>
      </c>
      <c r="R178" s="206" t="s">
        <v>558</v>
      </c>
      <c r="S178" s="3"/>
      <c r="T178" s="206" t="s">
        <v>2855</v>
      </c>
      <c r="U178" s="206" t="s">
        <v>2855</v>
      </c>
      <c r="V178" s="206" t="s">
        <v>558</v>
      </c>
      <c r="W178" s="3"/>
      <c r="X178" s="206" t="s">
        <v>2855</v>
      </c>
      <c r="Y178" s="206" t="s">
        <v>2855</v>
      </c>
      <c r="Z178" s="350" t="s">
        <v>558</v>
      </c>
      <c r="AA178" s="4"/>
      <c r="AB178" s="206">
        <v>11.064474887288533</v>
      </c>
      <c r="AC178" s="206">
        <v>0.28488608664306192</v>
      </c>
      <c r="AD178" s="206" t="s">
        <v>558</v>
      </c>
      <c r="AE178" s="3"/>
      <c r="AF178" s="206" t="s">
        <v>2855</v>
      </c>
      <c r="AG178" s="206" t="s">
        <v>2855</v>
      </c>
      <c r="AH178" s="206" t="s">
        <v>558</v>
      </c>
      <c r="AI178" s="3"/>
      <c r="AJ178" s="206" t="s">
        <v>2855</v>
      </c>
      <c r="AK178" s="206" t="s">
        <v>2855</v>
      </c>
      <c r="AL178" s="206" t="s">
        <v>558</v>
      </c>
      <c r="AM178" s="3"/>
      <c r="AN178" s="206">
        <v>-4.9827157586780739</v>
      </c>
      <c r="AO178" s="206">
        <v>0.66020783020185903</v>
      </c>
      <c r="AP178" s="206" t="s">
        <v>558</v>
      </c>
      <c r="AQ178" s="3"/>
      <c r="AR178" s="206">
        <v>-4.9827157586780739</v>
      </c>
      <c r="AS178" s="206">
        <v>0.66020783020185903</v>
      </c>
      <c r="AT178" s="206" t="s">
        <v>558</v>
      </c>
      <c r="AU178" s="3"/>
      <c r="AV178" s="206" t="s">
        <v>2855</v>
      </c>
      <c r="AW178" s="206" t="s">
        <v>2855</v>
      </c>
      <c r="AX178" s="206" t="s">
        <v>558</v>
      </c>
      <c r="AY178" s="3"/>
      <c r="AZ178" s="52"/>
      <c r="BA178" s="52"/>
      <c r="BB178" s="52"/>
      <c r="BC178" s="3"/>
      <c r="BF178" s="42"/>
    </row>
    <row r="179" spans="1:58">
      <c r="A179" s="3"/>
      <c r="B179" s="4"/>
      <c r="C179" s="3"/>
      <c r="D179" s="176">
        <v>115.93789127319999</v>
      </c>
      <c r="E179" s="176">
        <v>24.741261935592153</v>
      </c>
      <c r="F179" s="206" t="s">
        <v>1124</v>
      </c>
      <c r="G179" s="3"/>
      <c r="H179" s="176">
        <v>11.646784604791947</v>
      </c>
      <c r="I179" s="176">
        <v>16.337876507910046</v>
      </c>
      <c r="J179" s="206" t="s">
        <v>1124</v>
      </c>
      <c r="K179" s="353"/>
      <c r="L179" s="206"/>
      <c r="M179" s="206"/>
      <c r="N179" s="206"/>
      <c r="O179" s="3"/>
      <c r="P179" s="178">
        <v>-109.15107283439171</v>
      </c>
      <c r="Q179" s="178">
        <v>11.903688550100258</v>
      </c>
      <c r="R179" s="206" t="s">
        <v>1124</v>
      </c>
      <c r="S179" s="3"/>
      <c r="T179" s="178">
        <v>136.38984429999999</v>
      </c>
      <c r="U179" s="178">
        <v>25.5688677210767</v>
      </c>
      <c r="V179" s="206" t="s">
        <v>1124</v>
      </c>
      <c r="W179" s="3"/>
      <c r="X179" s="178">
        <v>3.1020880000000073</v>
      </c>
      <c r="Y179" s="178">
        <v>1.2725172831046947</v>
      </c>
      <c r="Z179" s="350" t="s">
        <v>1124</v>
      </c>
      <c r="AA179" s="4"/>
      <c r="AB179" s="178">
        <v>11.703099999999999</v>
      </c>
      <c r="AC179" s="178">
        <v>0.77287272399999996</v>
      </c>
      <c r="AD179" s="206" t="s">
        <v>1124</v>
      </c>
      <c r="AE179" s="3"/>
      <c r="AF179" s="178">
        <v>5.1369400000000001</v>
      </c>
      <c r="AG179" s="178">
        <v>2.39362397322</v>
      </c>
      <c r="AH179" s="206" t="s">
        <v>1124</v>
      </c>
      <c r="AI179" s="3"/>
      <c r="AJ179" s="178">
        <v>-5.6602455473135667</v>
      </c>
      <c r="AK179" s="178">
        <v>1.6033947369241559</v>
      </c>
      <c r="AL179" s="206" t="s">
        <v>1124</v>
      </c>
      <c r="AM179" s="3"/>
      <c r="AN179" s="178">
        <v>-5.6161846340195689</v>
      </c>
      <c r="AO179" s="178">
        <v>1.2607492075678828</v>
      </c>
      <c r="AP179" s="206" t="s">
        <v>1124</v>
      </c>
      <c r="AQ179" s="3"/>
      <c r="AR179" s="178">
        <v>-5.6161846340195689</v>
      </c>
      <c r="AS179" s="178">
        <v>1.2607492075678828</v>
      </c>
      <c r="AT179" s="206" t="s">
        <v>1124</v>
      </c>
      <c r="AU179" s="3"/>
      <c r="AV179" s="178">
        <v>2.0676830999999991</v>
      </c>
      <c r="AW179" s="178">
        <v>0.37369443434609984</v>
      </c>
      <c r="AX179" s="206" t="s">
        <v>1124</v>
      </c>
      <c r="AY179" s="3"/>
      <c r="AZ179" s="178"/>
      <c r="BA179" s="178"/>
      <c r="BB179" s="206"/>
      <c r="BC179" s="3"/>
      <c r="BD179" s="178"/>
      <c r="BE179" s="178"/>
      <c r="BF179" s="350"/>
    </row>
    <row r="180" spans="1:58">
      <c r="A180" s="3"/>
      <c r="B180" s="4"/>
      <c r="C180" s="87"/>
      <c r="D180" s="119"/>
      <c r="E180" s="119"/>
      <c r="F180" s="30"/>
      <c r="G180" s="80"/>
      <c r="H180" s="119"/>
      <c r="I180" s="119"/>
      <c r="J180" s="70"/>
      <c r="K180" s="83"/>
      <c r="L180" s="70"/>
      <c r="M180" s="70"/>
      <c r="N180" s="70"/>
      <c r="O180" s="213"/>
      <c r="P180" s="119"/>
      <c r="Q180" s="119"/>
      <c r="R180" s="70"/>
      <c r="S180" s="80"/>
      <c r="W180" s="80"/>
      <c r="X180" s="171"/>
      <c r="Y180" s="171"/>
      <c r="Z180" s="207"/>
      <c r="AA180" s="4"/>
      <c r="AB180" s="9"/>
      <c r="AC180" s="9"/>
      <c r="AD180" s="4"/>
      <c r="AE180" s="3"/>
      <c r="AF180" s="9"/>
      <c r="AG180" s="9"/>
      <c r="AH180" s="4"/>
      <c r="AI180" s="3"/>
      <c r="AJ180" s="9"/>
      <c r="AK180" s="9"/>
      <c r="AL180" s="4"/>
      <c r="AM180" s="3"/>
      <c r="AN180" s="9"/>
      <c r="AO180" s="9"/>
      <c r="AP180" s="4"/>
      <c r="AQ180" s="3"/>
      <c r="AR180" s="9"/>
      <c r="AS180" s="9"/>
      <c r="AT180" s="4"/>
      <c r="AU180" s="3"/>
      <c r="AV180" s="9"/>
      <c r="AW180" s="9"/>
      <c r="AX180" s="4"/>
      <c r="AY180" s="3"/>
      <c r="AZ180" s="9"/>
      <c r="BA180" s="9"/>
      <c r="BB180" s="4"/>
      <c r="BC180" s="3"/>
      <c r="BD180" s="9"/>
      <c r="BE180" s="9"/>
      <c r="BF180" s="122"/>
    </row>
    <row r="181" spans="1:58">
      <c r="A181" s="3" t="s">
        <v>81</v>
      </c>
      <c r="B181" s="4" t="s">
        <v>82</v>
      </c>
      <c r="C181" s="157">
        <v>97.092321709317105</v>
      </c>
      <c r="D181" s="30" t="s">
        <v>2855</v>
      </c>
      <c r="E181" s="30" t="s">
        <v>2855</v>
      </c>
      <c r="F181" s="30" t="s">
        <v>2743</v>
      </c>
      <c r="G181" s="157">
        <v>-12.190104357339299</v>
      </c>
      <c r="H181" s="30" t="s">
        <v>2855</v>
      </c>
      <c r="I181" s="30" t="s">
        <v>2855</v>
      </c>
      <c r="J181" s="30" t="s">
        <v>2743</v>
      </c>
      <c r="K181" s="157">
        <v>-4.5003100722873004</v>
      </c>
      <c r="L181" s="113">
        <v>-4.5003100722873004</v>
      </c>
      <c r="M181" s="30">
        <v>18.203681764679228</v>
      </c>
      <c r="N181" s="355" t="s">
        <v>1498</v>
      </c>
      <c r="O181" s="157">
        <v>-99.201631781604405</v>
      </c>
      <c r="P181" s="30" t="s">
        <v>2855</v>
      </c>
      <c r="Q181" s="30" t="s">
        <v>2855</v>
      </c>
      <c r="R181" s="30" t="s">
        <v>2743</v>
      </c>
      <c r="S181" s="157">
        <v>106.892627592979</v>
      </c>
      <c r="T181" s="30" t="s">
        <v>2855</v>
      </c>
      <c r="U181" s="30" t="s">
        <v>2855</v>
      </c>
      <c r="V181" s="30" t="s">
        <v>2743</v>
      </c>
      <c r="W181" s="157">
        <v>7.6908419429430204</v>
      </c>
      <c r="X181" s="30" t="s">
        <v>2855</v>
      </c>
      <c r="Y181" s="30" t="s">
        <v>2855</v>
      </c>
      <c r="Z181" s="300" t="s">
        <v>2743</v>
      </c>
      <c r="AA181" s="157">
        <v>10.510470503697899</v>
      </c>
      <c r="AB181" s="30" t="s">
        <v>2855</v>
      </c>
      <c r="AC181" s="30" t="s">
        <v>2855</v>
      </c>
      <c r="AD181" s="30" t="s">
        <v>2743</v>
      </c>
      <c r="AE181" s="157">
        <v>5.0341736306121199</v>
      </c>
      <c r="AF181" s="30" t="s">
        <v>2855</v>
      </c>
      <c r="AG181" s="30" t="s">
        <v>2855</v>
      </c>
      <c r="AH181" s="30" t="s">
        <v>2743</v>
      </c>
      <c r="AI181" s="157">
        <v>-5.4659037743424204</v>
      </c>
      <c r="AJ181" s="30" t="s">
        <v>2855</v>
      </c>
      <c r="AK181" s="30" t="s">
        <v>2855</v>
      </c>
      <c r="AL181" s="30" t="s">
        <v>2743</v>
      </c>
      <c r="AM181" s="157">
        <v>-4.1799675354444572</v>
      </c>
      <c r="AN181" s="30" t="s">
        <v>2855</v>
      </c>
      <c r="AO181" s="30" t="s">
        <v>2855</v>
      </c>
      <c r="AP181" s="30" t="s">
        <v>2743</v>
      </c>
      <c r="AQ181" s="157">
        <v>-2.1090519189126802</v>
      </c>
      <c r="AR181" s="30" t="s">
        <v>2855</v>
      </c>
      <c r="AS181" s="30" t="s">
        <v>2855</v>
      </c>
      <c r="AT181" s="30" t="s">
        <v>2743</v>
      </c>
      <c r="AU181" s="157">
        <v>2.9247099282012798</v>
      </c>
      <c r="AV181" s="30" t="s">
        <v>2855</v>
      </c>
      <c r="AW181" s="30" t="s">
        <v>2855</v>
      </c>
      <c r="AX181" s="30" t="s">
        <v>2743</v>
      </c>
      <c r="AY181" s="157" t="s">
        <v>2855</v>
      </c>
      <c r="AZ181" s="30" t="s">
        <v>2855</v>
      </c>
      <c r="BA181" s="30" t="s">
        <v>2855</v>
      </c>
      <c r="BB181" s="30" t="s">
        <v>558</v>
      </c>
      <c r="BC181" s="157">
        <v>-10.95</v>
      </c>
      <c r="BD181" s="30">
        <v>-10.95</v>
      </c>
      <c r="BE181" s="30">
        <v>0.50551460321438391</v>
      </c>
      <c r="BF181" s="300" t="s">
        <v>558</v>
      </c>
    </row>
    <row r="182" spans="1:58">
      <c r="A182" s="3"/>
      <c r="B182" s="171">
        <v>368.36900000000003</v>
      </c>
      <c r="C182" s="157">
        <v>7.1839535752281503</v>
      </c>
      <c r="D182" s="30">
        <v>97.092321709317105</v>
      </c>
      <c r="E182" s="30">
        <v>7.1839535752281503</v>
      </c>
      <c r="F182" s="8" t="s">
        <v>2742</v>
      </c>
      <c r="G182" s="157">
        <v>22.442395118278998</v>
      </c>
      <c r="H182" s="30">
        <v>-12.190104357339299</v>
      </c>
      <c r="I182" s="30">
        <v>22.442395118278998</v>
      </c>
      <c r="J182" s="8" t="s">
        <v>2742</v>
      </c>
      <c r="K182" s="158">
        <v>18.203681764679228</v>
      </c>
      <c r="L182" s="113">
        <v>-4.4992624143962789</v>
      </c>
      <c r="M182" s="113">
        <v>32.834493702072315</v>
      </c>
      <c r="N182" s="13" t="s">
        <v>1499</v>
      </c>
      <c r="O182" s="157">
        <v>16.726172330174101</v>
      </c>
      <c r="P182" s="30">
        <v>-99.201631781604405</v>
      </c>
      <c r="Q182" s="30">
        <v>16.726172330174101</v>
      </c>
      <c r="R182" s="8" t="s">
        <v>2742</v>
      </c>
      <c r="S182" s="157">
        <v>22.045282925919398</v>
      </c>
      <c r="T182" s="30">
        <v>106.892627592979</v>
      </c>
      <c r="U182" s="30">
        <v>22.045282925919398</v>
      </c>
      <c r="V182" s="8" t="s">
        <v>2742</v>
      </c>
      <c r="W182" s="157">
        <v>23.967538005111699</v>
      </c>
      <c r="X182" s="30">
        <v>7.6908419429430204</v>
      </c>
      <c r="Y182" s="30">
        <v>23.967538005111699</v>
      </c>
      <c r="Z182" s="498" t="s">
        <v>2742</v>
      </c>
      <c r="AA182" s="157">
        <v>0.37059506359593902</v>
      </c>
      <c r="AB182" s="30">
        <v>10.510470503697899</v>
      </c>
      <c r="AC182" s="30">
        <v>0.37059506359593902</v>
      </c>
      <c r="AD182" s="8" t="s">
        <v>2742</v>
      </c>
      <c r="AE182" s="157">
        <v>0.725407939300305</v>
      </c>
      <c r="AF182" s="30">
        <v>5.0341736306121199</v>
      </c>
      <c r="AG182" s="30">
        <v>0.725407939300305</v>
      </c>
      <c r="AH182" s="8" t="s">
        <v>2742</v>
      </c>
      <c r="AI182" s="157">
        <v>0.64856094233464001</v>
      </c>
      <c r="AJ182" s="30">
        <v>-5.4659037743424204</v>
      </c>
      <c r="AK182" s="30">
        <v>0.64856094233464001</v>
      </c>
      <c r="AL182" s="8" t="s">
        <v>2742</v>
      </c>
      <c r="AM182" s="157">
        <v>0.30727489819487702</v>
      </c>
      <c r="AN182" s="30">
        <v>-4.1799675354444572</v>
      </c>
      <c r="AO182" s="30">
        <v>0.30727489819487702</v>
      </c>
      <c r="AP182" s="8" t="s">
        <v>2742</v>
      </c>
      <c r="AQ182" s="157">
        <v>0.58951029438394797</v>
      </c>
      <c r="AR182" s="30">
        <v>-2.1090519189126802</v>
      </c>
      <c r="AS182" s="30">
        <v>0.58951029438394797</v>
      </c>
      <c r="AT182" s="8" t="s">
        <v>2742</v>
      </c>
      <c r="AU182" s="157">
        <v>0.442429807026333</v>
      </c>
      <c r="AV182" s="30">
        <v>2.9247099282012798</v>
      </c>
      <c r="AW182" s="30">
        <v>0.442429807026333</v>
      </c>
      <c r="AX182" s="8" t="s">
        <v>2742</v>
      </c>
      <c r="AY182" s="157" t="s">
        <v>2855</v>
      </c>
      <c r="AZ182" s="30"/>
      <c r="BA182" s="30"/>
      <c r="BB182" s="101"/>
      <c r="BC182" s="157">
        <v>0.50551460321438391</v>
      </c>
      <c r="BD182" s="30"/>
      <c r="BE182" s="30"/>
      <c r="BF182" s="277"/>
    </row>
    <row r="183" spans="1:58">
      <c r="A183" s="3"/>
      <c r="B183" s="4"/>
      <c r="C183" s="3"/>
      <c r="D183" s="206">
        <v>96.174999999999997</v>
      </c>
      <c r="E183" s="206">
        <v>7.2168783648703219</v>
      </c>
      <c r="F183" s="206" t="s">
        <v>558</v>
      </c>
      <c r="G183" s="3"/>
      <c r="H183" s="206" t="s">
        <v>2855</v>
      </c>
      <c r="I183" s="206" t="s">
        <v>2855</v>
      </c>
      <c r="J183" s="206" t="s">
        <v>558</v>
      </c>
      <c r="K183" s="353"/>
      <c r="L183" s="344">
        <v>6.4092891357116315</v>
      </c>
      <c r="M183" s="344">
        <v>9.2165605447306937</v>
      </c>
      <c r="N183" s="206" t="s">
        <v>1124</v>
      </c>
      <c r="O183" s="3"/>
      <c r="P183" s="206">
        <v>-97.9</v>
      </c>
      <c r="Q183" s="206">
        <v>6.2027564020894381</v>
      </c>
      <c r="R183" s="206" t="s">
        <v>558</v>
      </c>
      <c r="S183" s="3"/>
      <c r="T183" s="206" t="s">
        <v>2855</v>
      </c>
      <c r="U183" s="206" t="s">
        <v>2855</v>
      </c>
      <c r="V183" s="206" t="s">
        <v>558</v>
      </c>
      <c r="W183" s="3"/>
      <c r="X183" s="206" t="s">
        <v>2855</v>
      </c>
      <c r="Y183" s="206" t="s">
        <v>2855</v>
      </c>
      <c r="Z183" s="350" t="s">
        <v>558</v>
      </c>
      <c r="AA183" s="4"/>
      <c r="AB183" s="206">
        <v>10.720407474148484</v>
      </c>
      <c r="AC183" s="206">
        <v>0.27602710147933929</v>
      </c>
      <c r="AD183" s="206" t="s">
        <v>558</v>
      </c>
      <c r="AE183" s="3"/>
      <c r="AF183" s="206" t="s">
        <v>2855</v>
      </c>
      <c r="AG183" s="206" t="s">
        <v>2855</v>
      </c>
      <c r="AH183" s="206" t="s">
        <v>558</v>
      </c>
      <c r="AI183" s="3"/>
      <c r="AJ183" s="206" t="s">
        <v>2855</v>
      </c>
      <c r="AK183" s="206" t="s">
        <v>2855</v>
      </c>
      <c r="AL183" s="206" t="s">
        <v>558</v>
      </c>
      <c r="AM183" s="3"/>
      <c r="AN183" s="206">
        <v>-4.0295295311185804</v>
      </c>
      <c r="AO183" s="206">
        <v>0.33620127189764476</v>
      </c>
      <c r="AP183" s="206" t="s">
        <v>558</v>
      </c>
      <c r="AQ183" s="3"/>
      <c r="AR183" s="206">
        <v>-4.0295295311185804</v>
      </c>
      <c r="AS183" s="206">
        <v>0.33620127189764476</v>
      </c>
      <c r="AT183" s="206" t="s">
        <v>558</v>
      </c>
      <c r="AU183" s="3"/>
      <c r="AV183" s="206" t="s">
        <v>2855</v>
      </c>
      <c r="AW183" s="206" t="s">
        <v>2855</v>
      </c>
      <c r="AX183" s="206" t="s">
        <v>558</v>
      </c>
      <c r="AY183" s="3"/>
      <c r="AZ183" s="52"/>
      <c r="BA183" s="52"/>
      <c r="BB183" s="52"/>
      <c r="BC183" s="3"/>
      <c r="BF183" s="42"/>
    </row>
    <row r="184" spans="1:58">
      <c r="A184" s="3"/>
      <c r="B184" s="4"/>
      <c r="C184" s="3"/>
      <c r="D184" s="176">
        <v>110.11935983344</v>
      </c>
      <c r="E184" s="176">
        <v>23.499581507815929</v>
      </c>
      <c r="F184" s="206" t="s">
        <v>1124</v>
      </c>
      <c r="G184" s="3"/>
      <c r="H184" s="176">
        <v>11.919418940071921</v>
      </c>
      <c r="I184" s="176">
        <v>16.72032250075409</v>
      </c>
      <c r="J184" s="206" t="s">
        <v>1124</v>
      </c>
      <c r="K184" s="353"/>
      <c r="L184" s="206"/>
      <c r="M184" s="206"/>
      <c r="N184" s="206"/>
      <c r="O184" s="3"/>
      <c r="P184" s="178">
        <v>-103.71007069772837</v>
      </c>
      <c r="Q184" s="178">
        <v>11.310309180082163</v>
      </c>
      <c r="R184" s="206" t="s">
        <v>1124</v>
      </c>
      <c r="S184" s="3"/>
      <c r="T184" s="178">
        <v>136.38984429999999</v>
      </c>
      <c r="U184" s="178">
        <v>25.5688677210767</v>
      </c>
      <c r="V184" s="206" t="s">
        <v>1124</v>
      </c>
      <c r="W184" s="3"/>
      <c r="X184" s="178">
        <v>3.1020880000000073</v>
      </c>
      <c r="Y184" s="178">
        <v>1.2725172831046947</v>
      </c>
      <c r="Z184" s="350" t="s">
        <v>1124</v>
      </c>
      <c r="AA184" s="4"/>
      <c r="AB184" s="178">
        <v>11.703099999999999</v>
      </c>
      <c r="AC184" s="178">
        <v>0.77287272399999996</v>
      </c>
      <c r="AD184" s="206" t="s">
        <v>1124</v>
      </c>
      <c r="AE184" s="3"/>
      <c r="AF184" s="178">
        <v>5.1511899999999997</v>
      </c>
      <c r="AG184" s="178">
        <v>2.4002639459699999</v>
      </c>
      <c r="AH184" s="206" t="s">
        <v>1124</v>
      </c>
      <c r="AI184" s="3"/>
      <c r="AJ184" s="178">
        <v>-5.6602455473135667</v>
      </c>
      <c r="AK184" s="178">
        <v>1.6033947369241559</v>
      </c>
      <c r="AL184" s="206" t="s">
        <v>1124</v>
      </c>
      <c r="AM184" s="3"/>
      <c r="AN184" s="178">
        <v>-5.8664610916297821</v>
      </c>
      <c r="AO184" s="178">
        <v>1.3169325181545115</v>
      </c>
      <c r="AP184" s="206" t="s">
        <v>1124</v>
      </c>
      <c r="AQ184" s="3"/>
      <c r="AR184" s="178">
        <v>-5.8664610916297821</v>
      </c>
      <c r="AS184" s="178">
        <v>1.3169325181545115</v>
      </c>
      <c r="AT184" s="206" t="s">
        <v>1124</v>
      </c>
      <c r="AU184" s="3"/>
      <c r="AV184" s="178">
        <v>2.0676830999999991</v>
      </c>
      <c r="AW184" s="178">
        <v>0.37369443434609984</v>
      </c>
      <c r="AX184" s="206" t="s">
        <v>1124</v>
      </c>
      <c r="AY184" s="3"/>
      <c r="AZ184" s="178"/>
      <c r="BA184" s="178"/>
      <c r="BB184" s="206"/>
      <c r="BC184" s="3"/>
      <c r="BD184" s="178"/>
      <c r="BE184" s="178"/>
      <c r="BF184" s="350"/>
    </row>
    <row r="185" spans="1:58">
      <c r="A185" s="3"/>
      <c r="B185" s="4"/>
      <c r="C185" s="87"/>
      <c r="D185" s="119"/>
      <c r="E185" s="119"/>
      <c r="F185" s="30"/>
      <c r="G185" s="80"/>
      <c r="H185" s="119"/>
      <c r="I185" s="119"/>
      <c r="J185" s="70"/>
      <c r="K185" s="83"/>
      <c r="L185" s="70"/>
      <c r="M185" s="70"/>
      <c r="N185" s="70"/>
      <c r="O185" s="115"/>
      <c r="P185" s="119"/>
      <c r="Q185" s="119"/>
      <c r="R185" s="70"/>
      <c r="S185" s="80"/>
      <c r="W185" s="80"/>
      <c r="X185" s="171"/>
      <c r="Y185" s="171"/>
      <c r="Z185" s="207"/>
      <c r="AA185" s="4"/>
      <c r="AB185" s="9"/>
      <c r="AC185" s="9"/>
      <c r="AD185" s="4"/>
      <c r="AE185" s="3"/>
      <c r="AF185" s="9"/>
      <c r="AG185" s="9"/>
      <c r="AH185" s="4"/>
      <c r="AI185" s="3"/>
      <c r="AJ185" s="9"/>
      <c r="AK185" s="9"/>
      <c r="AL185" s="4"/>
      <c r="AM185" s="3"/>
      <c r="AN185" s="9"/>
      <c r="AO185" s="9"/>
      <c r="AP185" s="4"/>
      <c r="AQ185" s="3"/>
      <c r="AR185" s="9"/>
      <c r="AS185" s="9"/>
      <c r="AT185" s="4"/>
      <c r="AU185" s="3"/>
      <c r="AV185" s="9"/>
      <c r="AW185" s="9"/>
      <c r="AX185" s="4"/>
      <c r="AY185" s="3"/>
      <c r="AZ185" s="9"/>
      <c r="BA185" s="9"/>
      <c r="BB185" s="4"/>
      <c r="BC185" s="3"/>
      <c r="BD185" s="9"/>
      <c r="BE185" s="9"/>
      <c r="BF185" s="122"/>
    </row>
    <row r="186" spans="1:58">
      <c r="A186" s="3" t="s">
        <v>83</v>
      </c>
      <c r="B186" s="4" t="s">
        <v>84</v>
      </c>
      <c r="C186" s="157">
        <v>107.64307648671401</v>
      </c>
      <c r="D186" s="30" t="s">
        <v>2855</v>
      </c>
      <c r="E186" s="30" t="s">
        <v>2855</v>
      </c>
      <c r="F186" s="30" t="s">
        <v>2743</v>
      </c>
      <c r="G186" s="157">
        <v>-7.8054514424625898</v>
      </c>
      <c r="H186" s="30" t="s">
        <v>2855</v>
      </c>
      <c r="I186" s="30" t="s">
        <v>2855</v>
      </c>
      <c r="J186" s="30" t="s">
        <v>2743</v>
      </c>
      <c r="K186" s="157">
        <v>-5.2851275388997365E-2</v>
      </c>
      <c r="L186" s="113">
        <v>-5.2851275388997365E-2</v>
      </c>
      <c r="M186" s="30">
        <v>13.811791033021484</v>
      </c>
      <c r="N186" s="355" t="s">
        <v>1498</v>
      </c>
      <c r="O186" s="157">
        <v>-105.30492776210301</v>
      </c>
      <c r="P186" s="30" t="s">
        <v>2855</v>
      </c>
      <c r="Q186" s="30" t="s">
        <v>2855</v>
      </c>
      <c r="R186" s="30" t="s">
        <v>2743</v>
      </c>
      <c r="S186" s="157">
        <v>113.057867691854</v>
      </c>
      <c r="T186" s="30" t="s">
        <v>2855</v>
      </c>
      <c r="U186" s="30" t="s">
        <v>2855</v>
      </c>
      <c r="V186" s="30" t="s">
        <v>2743</v>
      </c>
      <c r="W186" s="157">
        <v>7.7533495524253704</v>
      </c>
      <c r="X186" s="30" t="s">
        <v>2855</v>
      </c>
      <c r="Y186" s="30" t="s">
        <v>2855</v>
      </c>
      <c r="Z186" s="300" t="s">
        <v>2743</v>
      </c>
      <c r="AA186" s="157">
        <v>11.1704965678588</v>
      </c>
      <c r="AB186" s="30" t="s">
        <v>2855</v>
      </c>
      <c r="AC186" s="30" t="s">
        <v>2855</v>
      </c>
      <c r="AD186" s="30" t="s">
        <v>2743</v>
      </c>
      <c r="AE186" s="157">
        <v>5.9746348845728203</v>
      </c>
      <c r="AF186" s="30" t="s">
        <v>2855</v>
      </c>
      <c r="AG186" s="30" t="s">
        <v>2855</v>
      </c>
      <c r="AH186" s="30" t="s">
        <v>2743</v>
      </c>
      <c r="AI186" s="157">
        <v>-5.1883703659471498</v>
      </c>
      <c r="AJ186" s="30" t="s">
        <v>2855</v>
      </c>
      <c r="AK186" s="30" t="s">
        <v>2855</v>
      </c>
      <c r="AL186" s="30" t="s">
        <v>2743</v>
      </c>
      <c r="AM186" s="157">
        <v>-5.2057728627350066</v>
      </c>
      <c r="AN186" s="30" t="s">
        <v>2855</v>
      </c>
      <c r="AO186" s="30" t="s">
        <v>2855</v>
      </c>
      <c r="AP186" s="30" t="s">
        <v>2743</v>
      </c>
      <c r="AQ186" s="157">
        <v>-3.4137933893553201</v>
      </c>
      <c r="AR186" s="30" t="s">
        <v>2855</v>
      </c>
      <c r="AS186" s="30" t="s">
        <v>2855</v>
      </c>
      <c r="AT186" s="30" t="s">
        <v>2743</v>
      </c>
      <c r="AU186" s="157">
        <v>2.5618336911401798</v>
      </c>
      <c r="AV186" s="30" t="s">
        <v>2855</v>
      </c>
      <c r="AW186" s="30" t="s">
        <v>2855</v>
      </c>
      <c r="AX186" s="30" t="s">
        <v>2743</v>
      </c>
      <c r="AY186" s="157" t="s">
        <v>2855</v>
      </c>
      <c r="AZ186" s="30" t="s">
        <v>2855</v>
      </c>
      <c r="BA186" s="30" t="s">
        <v>2855</v>
      </c>
      <c r="BB186" s="30" t="s">
        <v>558</v>
      </c>
      <c r="BC186" s="157">
        <v>76.875</v>
      </c>
      <c r="BD186" s="30">
        <v>76.875</v>
      </c>
      <c r="BE186" s="30">
        <v>0.62915286960589578</v>
      </c>
      <c r="BF186" s="300" t="s">
        <v>558</v>
      </c>
    </row>
    <row r="187" spans="1:58">
      <c r="A187" s="3"/>
      <c r="B187" s="171">
        <v>368.36900000000003</v>
      </c>
      <c r="C187" s="157">
        <v>4.0607392332593903</v>
      </c>
      <c r="D187" s="30">
        <v>107.64307648671401</v>
      </c>
      <c r="E187" s="30">
        <v>4.0607392332593903</v>
      </c>
      <c r="F187" s="8" t="s">
        <v>2742</v>
      </c>
      <c r="G187" s="157">
        <v>17.276016725628399</v>
      </c>
      <c r="H187" s="30">
        <v>-7.8054514424625898</v>
      </c>
      <c r="I187" s="30">
        <v>17.276016725628399</v>
      </c>
      <c r="J187" s="8" t="s">
        <v>2742</v>
      </c>
      <c r="K187" s="158">
        <v>13.811791033021484</v>
      </c>
      <c r="L187" s="113">
        <v>-5.2101890037219434E-2</v>
      </c>
      <c r="M187" s="113">
        <v>25.462565472962503</v>
      </c>
      <c r="N187" s="13" t="s">
        <v>1499</v>
      </c>
      <c r="O187" s="157">
        <v>13.201362369820799</v>
      </c>
      <c r="P187" s="30">
        <v>-105.30492776210301</v>
      </c>
      <c r="Q187" s="30">
        <v>13.201362369820799</v>
      </c>
      <c r="R187" s="8" t="s">
        <v>2742</v>
      </c>
      <c r="S187" s="157">
        <v>17.145896078044998</v>
      </c>
      <c r="T187" s="30">
        <v>113.057867691854</v>
      </c>
      <c r="U187" s="30">
        <v>17.145896078044998</v>
      </c>
      <c r="V187" s="8" t="s">
        <v>2742</v>
      </c>
      <c r="W187" s="157">
        <v>18.705119260798899</v>
      </c>
      <c r="X187" s="30">
        <v>7.7533495524253704</v>
      </c>
      <c r="Y187" s="30">
        <v>18.705119260798899</v>
      </c>
      <c r="Z187" s="498" t="s">
        <v>2742</v>
      </c>
      <c r="AA187" s="157">
        <v>0.33383528484358199</v>
      </c>
      <c r="AB187" s="30">
        <v>11.1704965678588</v>
      </c>
      <c r="AC187" s="30">
        <v>0.33383528484358199</v>
      </c>
      <c r="AD187" s="8" t="s">
        <v>2742</v>
      </c>
      <c r="AE187" s="157">
        <v>0.95599155862081797</v>
      </c>
      <c r="AF187" s="30">
        <v>5.9746348845728203</v>
      </c>
      <c r="AG187" s="30">
        <v>0.95599155862081797</v>
      </c>
      <c r="AH187" s="8" t="s">
        <v>2742</v>
      </c>
      <c r="AI187" s="157">
        <v>0.921804954070086</v>
      </c>
      <c r="AJ187" s="30">
        <v>-5.1883703659471498</v>
      </c>
      <c r="AK187" s="30">
        <v>0.921804954070086</v>
      </c>
      <c r="AL187" s="8" t="s">
        <v>2742</v>
      </c>
      <c r="AM187" s="157">
        <v>0.426474336845723</v>
      </c>
      <c r="AN187" s="30">
        <v>-5.2057728627350066</v>
      </c>
      <c r="AO187" s="30">
        <v>0.426474336845723</v>
      </c>
      <c r="AP187" s="8" t="s">
        <v>2742</v>
      </c>
      <c r="AQ187" s="157">
        <v>0.89268628033278596</v>
      </c>
      <c r="AR187" s="30">
        <v>-3.4137933893553201</v>
      </c>
      <c r="AS187" s="30">
        <v>0.89268628033278596</v>
      </c>
      <c r="AT187" s="8" t="s">
        <v>2742</v>
      </c>
      <c r="AU187" s="157">
        <v>0.47073837714737399</v>
      </c>
      <c r="AV187" s="30">
        <v>2.5618336911401798</v>
      </c>
      <c r="AW187" s="30">
        <v>0.47073837714737399</v>
      </c>
      <c r="AX187" s="8" t="s">
        <v>2742</v>
      </c>
      <c r="AY187" s="157" t="s">
        <v>2855</v>
      </c>
      <c r="AZ187" s="30"/>
      <c r="BA187" s="30"/>
      <c r="BB187" s="101"/>
      <c r="BC187" s="157">
        <v>0.62915286960589578</v>
      </c>
      <c r="BD187" s="30"/>
      <c r="BE187" s="30"/>
      <c r="BF187" s="277"/>
    </row>
    <row r="188" spans="1:58">
      <c r="A188" s="3"/>
      <c r="B188" s="4"/>
      <c r="C188" s="3"/>
      <c r="D188" s="206">
        <v>107.25</v>
      </c>
      <c r="E188" s="206">
        <v>4.1154181642533825</v>
      </c>
      <c r="F188" s="206" t="s">
        <v>558</v>
      </c>
      <c r="G188" s="3"/>
      <c r="H188" s="206" t="s">
        <v>2855</v>
      </c>
      <c r="I188" s="206" t="s">
        <v>2855</v>
      </c>
      <c r="J188" s="206" t="s">
        <v>558</v>
      </c>
      <c r="K188" s="353"/>
      <c r="L188" s="344">
        <v>7.1739603940400798</v>
      </c>
      <c r="M188" s="344">
        <v>10.316158144397578</v>
      </c>
      <c r="N188" s="206" t="s">
        <v>1124</v>
      </c>
      <c r="O188" s="3"/>
      <c r="P188" s="206">
        <v>-104</v>
      </c>
      <c r="Q188" s="206">
        <v>6.5892407131491479</v>
      </c>
      <c r="R188" s="206" t="s">
        <v>558</v>
      </c>
      <c r="S188" s="3"/>
      <c r="T188" s="206" t="s">
        <v>2855</v>
      </c>
      <c r="U188" s="206" t="s">
        <v>2855</v>
      </c>
      <c r="V188" s="206" t="s">
        <v>558</v>
      </c>
      <c r="W188" s="3"/>
      <c r="X188" s="206" t="s">
        <v>2855</v>
      </c>
      <c r="Y188" s="206" t="s">
        <v>2855</v>
      </c>
      <c r="Z188" s="350" t="s">
        <v>558</v>
      </c>
      <c r="AA188" s="4"/>
      <c r="AB188" s="206">
        <v>11.296948484835518</v>
      </c>
      <c r="AC188" s="206">
        <v>0.29087177454308882</v>
      </c>
      <c r="AD188" s="206" t="s">
        <v>558</v>
      </c>
      <c r="AE188" s="3"/>
      <c r="AF188" s="206" t="s">
        <v>2855</v>
      </c>
      <c r="AG188" s="206" t="s">
        <v>2855</v>
      </c>
      <c r="AH188" s="206" t="s">
        <v>558</v>
      </c>
      <c r="AI188" s="3"/>
      <c r="AJ188" s="206" t="s">
        <v>2855</v>
      </c>
      <c r="AK188" s="206" t="s">
        <v>2855</v>
      </c>
      <c r="AL188" s="206" t="s">
        <v>558</v>
      </c>
      <c r="AM188" s="3"/>
      <c r="AN188" s="206">
        <v>-4.8811502522142618</v>
      </c>
      <c r="AO188" s="206">
        <v>0.52309835760605849</v>
      </c>
      <c r="AP188" s="206" t="s">
        <v>558</v>
      </c>
      <c r="AQ188" s="3"/>
      <c r="AR188" s="206">
        <v>-4.8811502522142618</v>
      </c>
      <c r="AS188" s="206">
        <v>0.52309835760605849</v>
      </c>
      <c r="AT188" s="206" t="s">
        <v>558</v>
      </c>
      <c r="AU188" s="3"/>
      <c r="AV188" s="206" t="s">
        <v>2855</v>
      </c>
      <c r="AW188" s="206" t="s">
        <v>2855</v>
      </c>
      <c r="AX188" s="206" t="s">
        <v>558</v>
      </c>
      <c r="AY188" s="3"/>
      <c r="AZ188" s="52"/>
      <c r="BA188" s="52"/>
      <c r="BB188" s="52"/>
      <c r="BC188" s="3"/>
      <c r="BF188" s="42"/>
    </row>
    <row r="189" spans="1:58">
      <c r="A189" s="3"/>
      <c r="B189" s="4"/>
      <c r="C189" s="3"/>
      <c r="D189" s="176">
        <v>117.30446634072001</v>
      </c>
      <c r="E189" s="176">
        <v>25.032890421575992</v>
      </c>
      <c r="F189" s="206" t="s">
        <v>1124</v>
      </c>
      <c r="G189" s="3"/>
      <c r="H189" s="176">
        <v>10.954777397464071</v>
      </c>
      <c r="I189" s="176">
        <v>15.367142637614648</v>
      </c>
      <c r="J189" s="206" t="s">
        <v>1124</v>
      </c>
      <c r="K189" s="353"/>
      <c r="L189" s="206"/>
      <c r="M189" s="206"/>
      <c r="N189" s="206"/>
      <c r="O189" s="3"/>
      <c r="P189" s="178">
        <v>-110.13050594667993</v>
      </c>
      <c r="Q189" s="178">
        <v>12.010502587027073</v>
      </c>
      <c r="R189" s="206" t="s">
        <v>1124</v>
      </c>
      <c r="S189" s="3"/>
      <c r="T189" s="178">
        <v>136.38984429999999</v>
      </c>
      <c r="U189" s="178">
        <v>25.5688677210767</v>
      </c>
      <c r="V189" s="206" t="s">
        <v>1124</v>
      </c>
      <c r="W189" s="3"/>
      <c r="X189" s="178">
        <v>3.1020880000000073</v>
      </c>
      <c r="Y189" s="178">
        <v>1.2725172831046947</v>
      </c>
      <c r="Z189" s="350" t="s">
        <v>1124</v>
      </c>
      <c r="AA189" s="4"/>
      <c r="AB189" s="178">
        <v>11.703099999999999</v>
      </c>
      <c r="AC189" s="178">
        <v>0.77287272399999996</v>
      </c>
      <c r="AD189" s="206" t="s">
        <v>1124</v>
      </c>
      <c r="AE189" s="3"/>
      <c r="AF189" s="178">
        <v>5.1328800000000001</v>
      </c>
      <c r="AG189" s="178">
        <v>2.3917321634399999</v>
      </c>
      <c r="AH189" s="206" t="s">
        <v>1124</v>
      </c>
      <c r="AI189" s="3"/>
      <c r="AJ189" s="178">
        <v>-5.6602455473135667</v>
      </c>
      <c r="AK189" s="178">
        <v>1.6033947369241559</v>
      </c>
      <c r="AL189" s="206" t="s">
        <v>1124</v>
      </c>
      <c r="AM189" s="3"/>
      <c r="AN189" s="178">
        <v>-5.8096683018297082</v>
      </c>
      <c r="AO189" s="178">
        <v>1.304183388736242</v>
      </c>
      <c r="AP189" s="206" t="s">
        <v>1124</v>
      </c>
      <c r="AQ189" s="3"/>
      <c r="AR189" s="178">
        <v>-5.8096683018297082</v>
      </c>
      <c r="AS189" s="178">
        <v>1.304183388736242</v>
      </c>
      <c r="AT189" s="206" t="s">
        <v>1124</v>
      </c>
      <c r="AU189" s="3"/>
      <c r="AV189" s="178">
        <v>2.0676830999999991</v>
      </c>
      <c r="AW189" s="178">
        <v>0.37369443434609984</v>
      </c>
      <c r="AX189" s="206" t="s">
        <v>1124</v>
      </c>
      <c r="AY189" s="3"/>
      <c r="AZ189" s="178"/>
      <c r="BA189" s="178"/>
      <c r="BB189" s="206"/>
      <c r="BC189" s="3"/>
      <c r="BD189" s="178"/>
      <c r="BE189" s="178"/>
      <c r="BF189" s="350"/>
    </row>
    <row r="190" spans="1:58">
      <c r="A190" s="3"/>
      <c r="B190" s="4"/>
      <c r="C190" s="87"/>
      <c r="D190" s="119"/>
      <c r="E190" s="119"/>
      <c r="F190" s="30"/>
      <c r="G190" s="80"/>
      <c r="H190" s="119"/>
      <c r="I190" s="119"/>
      <c r="J190" s="70"/>
      <c r="K190" s="83"/>
      <c r="L190" s="70"/>
      <c r="M190" s="70"/>
      <c r="N190" s="70"/>
      <c r="O190" s="115"/>
      <c r="P190" s="119"/>
      <c r="Q190" s="119"/>
      <c r="R190" s="70"/>
      <c r="S190" s="80"/>
      <c r="T190" s="119"/>
      <c r="U190" s="119"/>
      <c r="V190" s="70"/>
      <c r="W190" s="80"/>
      <c r="X190" s="171"/>
      <c r="Y190" s="171"/>
      <c r="Z190" s="207"/>
      <c r="AA190" s="4"/>
      <c r="AB190" s="9"/>
      <c r="AC190" s="9"/>
      <c r="AD190" s="4"/>
      <c r="AE190" s="3"/>
      <c r="AF190" s="9"/>
      <c r="AG190" s="9"/>
      <c r="AH190" s="4"/>
      <c r="AI190" s="3"/>
      <c r="AJ190" s="9"/>
      <c r="AK190" s="9"/>
      <c r="AL190" s="4"/>
      <c r="AM190" s="3"/>
      <c r="AN190" s="9"/>
      <c r="AO190" s="9"/>
      <c r="AP190" s="4"/>
      <c r="AQ190" s="3"/>
      <c r="AR190" s="9"/>
      <c r="AS190" s="9"/>
      <c r="AT190" s="4"/>
      <c r="AU190" s="3"/>
      <c r="AV190" s="9"/>
      <c r="AW190" s="9"/>
      <c r="AX190" s="4"/>
      <c r="AY190" s="3"/>
      <c r="AZ190" s="9"/>
      <c r="BA190" s="9"/>
      <c r="BB190" s="4"/>
      <c r="BC190" s="3"/>
      <c r="BD190" s="9"/>
      <c r="BE190" s="9"/>
      <c r="BF190" s="122"/>
    </row>
    <row r="191" spans="1:58">
      <c r="A191" s="3" t="s">
        <v>85</v>
      </c>
      <c r="B191" s="4" t="s">
        <v>86</v>
      </c>
      <c r="C191" s="157">
        <v>106.59011494369601</v>
      </c>
      <c r="D191" s="30" t="s">
        <v>2855</v>
      </c>
      <c r="E191" s="30" t="s">
        <v>2855</v>
      </c>
      <c r="F191" s="30" t="s">
        <v>2743</v>
      </c>
      <c r="G191" s="157">
        <v>-36.8834297139908</v>
      </c>
      <c r="H191" s="30" t="s">
        <v>2855</v>
      </c>
      <c r="I191" s="30" t="s">
        <v>2855</v>
      </c>
      <c r="J191" s="30" t="s">
        <v>2743</v>
      </c>
      <c r="K191" s="157">
        <v>-4.518508762599005E-2</v>
      </c>
      <c r="L191" s="113">
        <v>-4.518508762599005E-2</v>
      </c>
      <c r="M191" s="30">
        <v>8.3347383562734851</v>
      </c>
      <c r="N191" s="355" t="s">
        <v>1498</v>
      </c>
      <c r="O191" s="157">
        <v>-104.244300031322</v>
      </c>
      <c r="P191" s="30" t="s">
        <v>2855</v>
      </c>
      <c r="Q191" s="30" t="s">
        <v>2855</v>
      </c>
      <c r="R191" s="30" t="s">
        <v>2743</v>
      </c>
      <c r="S191" s="157">
        <v>141.08284426786199</v>
      </c>
      <c r="T191" s="30" t="s">
        <v>2855</v>
      </c>
      <c r="U191" s="30" t="s">
        <v>2855</v>
      </c>
      <c r="V191" s="30" t="s">
        <v>2743</v>
      </c>
      <c r="W191" s="157">
        <v>36.836780390613903</v>
      </c>
      <c r="X191" s="30" t="s">
        <v>2855</v>
      </c>
      <c r="Y191" s="30" t="s">
        <v>2855</v>
      </c>
      <c r="Z191" s="300" t="s">
        <v>2743</v>
      </c>
      <c r="AA191" s="157">
        <v>11.34473230111</v>
      </c>
      <c r="AB191" s="30">
        <v>11.345714349797699</v>
      </c>
      <c r="AC191" s="30">
        <v>0.39650912214950801</v>
      </c>
      <c r="AD191" s="30" t="s">
        <v>2743</v>
      </c>
      <c r="AE191" s="157">
        <v>3.3588455809579898</v>
      </c>
      <c r="AF191" s="30">
        <v>3.4411867190317098</v>
      </c>
      <c r="AG191" s="30">
        <v>0.42058904801526797</v>
      </c>
      <c r="AH191" s="30" t="s">
        <v>2743</v>
      </c>
      <c r="AI191" s="157">
        <v>-8.0147843022765404</v>
      </c>
      <c r="AJ191" s="30">
        <v>-7.9540958716702699</v>
      </c>
      <c r="AK191" s="30">
        <v>0.33854239088528698</v>
      </c>
      <c r="AL191" s="30" t="s">
        <v>2743</v>
      </c>
      <c r="AM191" s="157">
        <v>-4.4485994688171475</v>
      </c>
      <c r="AN191" s="30">
        <v>-4.4347827489050067</v>
      </c>
      <c r="AO191" s="30">
        <v>0.24986863248044899</v>
      </c>
      <c r="AP191" s="30" t="s">
        <v>2743</v>
      </c>
      <c r="AQ191" s="157">
        <v>0.170117145424658</v>
      </c>
      <c r="AR191" s="30">
        <v>0.175269074750625</v>
      </c>
      <c r="AS191" s="30">
        <v>0.181206785478013</v>
      </c>
      <c r="AT191" s="30" t="s">
        <v>2743</v>
      </c>
      <c r="AU191" s="157">
        <v>3.5143051661131799</v>
      </c>
      <c r="AV191" s="30" t="s">
        <v>2855</v>
      </c>
      <c r="AW191" s="30" t="s">
        <v>2855</v>
      </c>
      <c r="AX191" s="30" t="s">
        <v>2743</v>
      </c>
      <c r="AY191" s="157" t="s">
        <v>2855</v>
      </c>
      <c r="AZ191" s="30" t="s">
        <v>2855</v>
      </c>
      <c r="BA191" s="30" t="s">
        <v>2855</v>
      </c>
      <c r="BB191" s="30" t="s">
        <v>558</v>
      </c>
      <c r="BC191" s="157">
        <v>-70</v>
      </c>
      <c r="BD191" s="30">
        <v>-70</v>
      </c>
      <c r="BE191" s="30">
        <v>3.2316002031969751</v>
      </c>
      <c r="BF191" s="300" t="s">
        <v>558</v>
      </c>
    </row>
    <row r="192" spans="1:58">
      <c r="A192" s="3"/>
      <c r="B192" s="171">
        <v>398.47699999999998</v>
      </c>
      <c r="C192" s="157">
        <v>3.9670191136742501</v>
      </c>
      <c r="D192" s="30">
        <v>106.59011494369601</v>
      </c>
      <c r="E192" s="30">
        <v>3.9670191136742501</v>
      </c>
      <c r="F192" s="8" t="s">
        <v>2742</v>
      </c>
      <c r="G192" s="157">
        <v>16.687331780978599</v>
      </c>
      <c r="H192" s="30">
        <v>-36.8834297139908</v>
      </c>
      <c r="I192" s="30">
        <v>16.687331780978599</v>
      </c>
      <c r="J192" s="8" t="s">
        <v>2742</v>
      </c>
      <c r="K192" s="158">
        <v>8.3347383562734851</v>
      </c>
      <c r="L192" s="113">
        <v>-4.66493233768972E-2</v>
      </c>
      <c r="M192" s="113">
        <v>23.411810843693633</v>
      </c>
      <c r="N192" s="13" t="s">
        <v>1499</v>
      </c>
      <c r="O192" s="157">
        <v>7.33011751742628</v>
      </c>
      <c r="P192" s="30">
        <v>-104.244300031322</v>
      </c>
      <c r="Q192" s="30">
        <v>7.33011751742628</v>
      </c>
      <c r="R192" s="8" t="s">
        <v>2742</v>
      </c>
      <c r="S192" s="157">
        <v>16.4416062067551</v>
      </c>
      <c r="T192" s="30">
        <v>141.08284426786199</v>
      </c>
      <c r="U192" s="30">
        <v>16.4416062067551</v>
      </c>
      <c r="V192" s="8" t="s">
        <v>2742</v>
      </c>
      <c r="W192" s="157">
        <v>16.420896595875401</v>
      </c>
      <c r="X192" s="30">
        <v>36.836780390613903</v>
      </c>
      <c r="Y192" s="30">
        <v>16.420896595875401</v>
      </c>
      <c r="Z192" s="498" t="s">
        <v>2742</v>
      </c>
      <c r="AA192" s="157">
        <v>0.36239246559122001</v>
      </c>
      <c r="AB192" s="30">
        <v>11.34473230111</v>
      </c>
      <c r="AC192" s="30">
        <v>0.36239246559122001</v>
      </c>
      <c r="AD192" s="8" t="s">
        <v>2742</v>
      </c>
      <c r="AE192" s="157">
        <v>0.37059414815657499</v>
      </c>
      <c r="AF192" s="30">
        <v>3.3588455809579898</v>
      </c>
      <c r="AG192" s="30">
        <v>0.37059414815657499</v>
      </c>
      <c r="AH192" s="8" t="s">
        <v>2742</v>
      </c>
      <c r="AI192" s="157">
        <v>0.31146176920521601</v>
      </c>
      <c r="AJ192" s="30">
        <v>-8.0147843022765404</v>
      </c>
      <c r="AK192" s="30">
        <v>0.31146176920521601</v>
      </c>
      <c r="AL192" s="8" t="s">
        <v>2742</v>
      </c>
      <c r="AM192" s="157">
        <v>0.24647375543402</v>
      </c>
      <c r="AN192" s="30">
        <v>-4.4485994688171475</v>
      </c>
      <c r="AO192" s="30">
        <v>0.24647375543402</v>
      </c>
      <c r="AP192" s="8" t="s">
        <v>2742</v>
      </c>
      <c r="AQ192" s="157">
        <v>0.18851461584253401</v>
      </c>
      <c r="AR192" s="30">
        <v>0.170117145424658</v>
      </c>
      <c r="AS192" s="30">
        <v>0.18851461584253401</v>
      </c>
      <c r="AT192" s="8" t="s">
        <v>2742</v>
      </c>
      <c r="AU192" s="157">
        <v>0.36154235056268202</v>
      </c>
      <c r="AV192" s="30">
        <v>3.5143051661131799</v>
      </c>
      <c r="AW192" s="30">
        <v>0.36154235056268202</v>
      </c>
      <c r="AX192" s="8" t="s">
        <v>2742</v>
      </c>
      <c r="AY192" s="157" t="s">
        <v>2855</v>
      </c>
      <c r="AZ192" s="30"/>
      <c r="BA192" s="30"/>
      <c r="BB192" s="101"/>
      <c r="BC192" s="157">
        <v>3.2316002031969751</v>
      </c>
      <c r="BD192" s="30"/>
      <c r="BE192" s="30"/>
      <c r="BF192" s="277"/>
    </row>
    <row r="193" spans="1:58">
      <c r="A193" s="3"/>
      <c r="B193" s="4"/>
      <c r="C193" s="3"/>
      <c r="D193" s="206">
        <v>106.39999999999999</v>
      </c>
      <c r="E193" s="206">
        <v>3.9564293666554136</v>
      </c>
      <c r="F193" s="206" t="s">
        <v>558</v>
      </c>
      <c r="G193" s="3"/>
      <c r="H193" s="206" t="s">
        <v>2855</v>
      </c>
      <c r="I193" s="206" t="s">
        <v>2855</v>
      </c>
      <c r="J193" s="206" t="s">
        <v>558</v>
      </c>
      <c r="K193" s="353"/>
      <c r="L193" s="344">
        <v>4.8328781671361156</v>
      </c>
      <c r="M193" s="344">
        <v>6.9496808912134531</v>
      </c>
      <c r="N193" s="206" t="s">
        <v>1124</v>
      </c>
      <c r="O193" s="3"/>
      <c r="P193" s="206">
        <v>-103.56666666666666</v>
      </c>
      <c r="Q193" s="206">
        <v>7.4875452141094492</v>
      </c>
      <c r="R193" s="206" t="s">
        <v>558</v>
      </c>
      <c r="S193" s="3"/>
      <c r="T193" s="206" t="s">
        <v>2855</v>
      </c>
      <c r="U193" s="206" t="s">
        <v>2855</v>
      </c>
      <c r="V193" s="206" t="s">
        <v>558</v>
      </c>
      <c r="W193" s="3"/>
      <c r="X193" s="206" t="s">
        <v>2855</v>
      </c>
      <c r="Y193" s="206" t="s">
        <v>2855</v>
      </c>
      <c r="Z193" s="350" t="s">
        <v>558</v>
      </c>
      <c r="AA193" s="4"/>
      <c r="AB193" s="206">
        <v>11.043333333333331</v>
      </c>
      <c r="AC193" s="206">
        <v>0.48335632129241141</v>
      </c>
      <c r="AD193" s="206" t="s">
        <v>558</v>
      </c>
      <c r="AE193" s="3"/>
      <c r="AF193" s="206">
        <v>3.8402500000000002</v>
      </c>
      <c r="AG193" s="206">
        <v>0.41137979208188291</v>
      </c>
      <c r="AH193" s="206" t="s">
        <v>558</v>
      </c>
      <c r="AI193" s="3"/>
      <c r="AJ193" s="206" t="s">
        <v>2855</v>
      </c>
      <c r="AK193" s="206" t="s">
        <v>2855</v>
      </c>
      <c r="AL193" s="206" t="s">
        <v>558</v>
      </c>
      <c r="AM193" s="3"/>
      <c r="AN193" s="206">
        <v>-4.5257014829074143</v>
      </c>
      <c r="AO193" s="206">
        <v>0.26343339067048643</v>
      </c>
      <c r="AP193" s="206" t="s">
        <v>558</v>
      </c>
      <c r="AQ193" s="3"/>
      <c r="AR193" s="206">
        <v>-4.5257014829074143</v>
      </c>
      <c r="AS193" s="206">
        <v>0.26343339067048643</v>
      </c>
      <c r="AT193" s="206" t="s">
        <v>558</v>
      </c>
      <c r="AU193" s="3"/>
      <c r="AV193" s="206" t="s">
        <v>2855</v>
      </c>
      <c r="AW193" s="206" t="s">
        <v>2855</v>
      </c>
      <c r="AX193" s="206" t="s">
        <v>558</v>
      </c>
      <c r="AY193" s="3"/>
      <c r="AZ193" s="52"/>
      <c r="BA193" s="52"/>
      <c r="BB193" s="52"/>
      <c r="BC193" s="3"/>
      <c r="BF193" s="42"/>
    </row>
    <row r="194" spans="1:58">
      <c r="A194" s="3"/>
      <c r="B194" s="4" t="s">
        <v>20</v>
      </c>
      <c r="C194" s="3"/>
      <c r="D194" s="176">
        <v>121.93324763224</v>
      </c>
      <c r="E194" s="176">
        <v>26.02067697796765</v>
      </c>
      <c r="F194" s="206" t="s">
        <v>1124</v>
      </c>
      <c r="G194" s="3"/>
      <c r="H194" s="176">
        <v>-25.078541008080165</v>
      </c>
      <c r="I194" s="176">
        <v>35.17967575531469</v>
      </c>
      <c r="J194" s="206" t="s">
        <v>1124</v>
      </c>
      <c r="K194" s="353"/>
      <c r="L194" s="206"/>
      <c r="M194" s="206"/>
      <c r="N194" s="206"/>
      <c r="O194" s="3"/>
      <c r="P194" s="178">
        <v>-117.10036946510388</v>
      </c>
      <c r="Q194" s="178">
        <v>12.770614992755835</v>
      </c>
      <c r="R194" s="206" t="s">
        <v>1124</v>
      </c>
      <c r="S194" s="3"/>
      <c r="T194" s="178">
        <v>161.93206889999999</v>
      </c>
      <c r="U194" s="178">
        <v>30.357243024614096</v>
      </c>
      <c r="V194" s="206" t="s">
        <v>1124</v>
      </c>
      <c r="W194" s="3"/>
      <c r="X194" s="178">
        <v>30.219663999999998</v>
      </c>
      <c r="Y194" s="178">
        <v>12.396503493652231</v>
      </c>
      <c r="Z194" s="350" t="s">
        <v>1124</v>
      </c>
      <c r="AA194" s="4"/>
      <c r="AB194" s="178">
        <v>11.726599999999999</v>
      </c>
      <c r="AC194" s="178">
        <v>0.77442466399999998</v>
      </c>
      <c r="AD194" s="206" t="s">
        <v>1124</v>
      </c>
      <c r="AE194" s="3"/>
      <c r="AF194" s="178">
        <v>3.6139899999999998</v>
      </c>
      <c r="AG194" s="178">
        <v>1.68398562237</v>
      </c>
      <c r="AH194" s="206" t="s">
        <v>1124</v>
      </c>
      <c r="AI194" s="3"/>
      <c r="AJ194" s="178">
        <v>-9.3114594635355044</v>
      </c>
      <c r="AK194" s="178">
        <v>2.6376850566140928</v>
      </c>
      <c r="AL194" s="206" t="s">
        <v>1124</v>
      </c>
      <c r="AM194" s="3"/>
      <c r="AN194" s="178">
        <v>-4.795880017344075</v>
      </c>
      <c r="AO194" s="178">
        <v>1.0766031256934847</v>
      </c>
      <c r="AP194" s="206" t="s">
        <v>1124</v>
      </c>
      <c r="AQ194" s="3"/>
      <c r="AR194" s="178">
        <v>-4.795880017344075</v>
      </c>
      <c r="AS194" s="178">
        <v>1.0766031256934847</v>
      </c>
      <c r="AT194" s="206" t="s">
        <v>1124</v>
      </c>
      <c r="AU194" s="3"/>
      <c r="AV194" s="178">
        <v>3.3537672999999995</v>
      </c>
      <c r="AW194" s="178">
        <v>0.60612971789629988</v>
      </c>
      <c r="AX194" s="206" t="s">
        <v>1124</v>
      </c>
      <c r="AY194" s="3"/>
      <c r="AZ194" s="178"/>
      <c r="BA194" s="178"/>
      <c r="BB194" s="206"/>
      <c r="BC194" s="3"/>
      <c r="BD194" s="178"/>
      <c r="BE194" s="178"/>
      <c r="BF194" s="350"/>
    </row>
    <row r="195" spans="1:58">
      <c r="A195" s="3"/>
      <c r="B195" s="4"/>
      <c r="C195" s="87"/>
      <c r="D195" s="119"/>
      <c r="E195" s="119"/>
      <c r="F195" s="4"/>
      <c r="G195" s="80"/>
      <c r="H195" s="119"/>
      <c r="I195" s="119"/>
      <c r="J195" s="4"/>
      <c r="K195" s="3"/>
      <c r="L195" s="4"/>
      <c r="M195" s="4"/>
      <c r="N195" s="4"/>
      <c r="O195" s="115"/>
      <c r="P195" s="119"/>
      <c r="Q195" s="119"/>
      <c r="R195" s="4"/>
      <c r="S195" s="80"/>
      <c r="W195" s="80"/>
      <c r="X195" s="171"/>
      <c r="Y195" s="171"/>
      <c r="Z195" s="122"/>
      <c r="AA195" s="4"/>
      <c r="AB195" s="9"/>
      <c r="AC195" s="9"/>
      <c r="AD195" s="4"/>
      <c r="AE195" s="3"/>
      <c r="AF195" s="9"/>
      <c r="AG195" s="9"/>
      <c r="AH195" s="4"/>
      <c r="AI195" s="3"/>
      <c r="AJ195" s="9"/>
      <c r="AK195" s="9"/>
      <c r="AL195" s="4"/>
      <c r="AM195" s="3"/>
      <c r="AN195" s="9"/>
      <c r="AO195" s="9"/>
      <c r="AP195" s="4"/>
      <c r="AQ195" s="3"/>
      <c r="AR195" s="9"/>
      <c r="AS195" s="9"/>
      <c r="AT195" s="4"/>
      <c r="AU195" s="3"/>
      <c r="AV195" s="9"/>
      <c r="AW195" s="9"/>
      <c r="AX195" s="4"/>
      <c r="AY195" s="3"/>
      <c r="AZ195" s="9"/>
      <c r="BA195" s="9"/>
      <c r="BB195" s="4"/>
      <c r="BC195" s="3"/>
      <c r="BD195" s="9"/>
      <c r="BE195" s="9"/>
      <c r="BF195" s="122"/>
    </row>
    <row r="196" spans="1:58">
      <c r="A196" s="3" t="s">
        <v>87</v>
      </c>
      <c r="B196" s="4" t="s">
        <v>88</v>
      </c>
      <c r="C196" s="157">
        <v>108.94020205764801</v>
      </c>
      <c r="D196" s="30" t="s">
        <v>2855</v>
      </c>
      <c r="E196" s="30" t="s">
        <v>2855</v>
      </c>
      <c r="F196" s="30" t="s">
        <v>2743</v>
      </c>
      <c r="G196" s="157">
        <v>-18.990522119774798</v>
      </c>
      <c r="H196" s="30" t="s">
        <v>2855</v>
      </c>
      <c r="I196" s="30" t="s">
        <v>2855</v>
      </c>
      <c r="J196" s="30" t="s">
        <v>2743</v>
      </c>
      <c r="K196" s="157">
        <v>0.63811741136500721</v>
      </c>
      <c r="L196" s="113">
        <v>0.63811741136500721</v>
      </c>
      <c r="M196" s="30">
        <v>6.2969464796139576</v>
      </c>
      <c r="N196" s="355" t="s">
        <v>1498</v>
      </c>
      <c r="O196" s="157">
        <v>-105.911084646283</v>
      </c>
      <c r="P196" s="30" t="s">
        <v>2855</v>
      </c>
      <c r="Q196" s="30" t="s">
        <v>2855</v>
      </c>
      <c r="R196" s="30" t="s">
        <v>2743</v>
      </c>
      <c r="S196" s="157">
        <v>125.539875471727</v>
      </c>
      <c r="T196" s="30" t="s">
        <v>2855</v>
      </c>
      <c r="U196" s="30" t="s">
        <v>2855</v>
      </c>
      <c r="V196" s="30" t="s">
        <v>2743</v>
      </c>
      <c r="W196" s="157">
        <v>19.6285432584794</v>
      </c>
      <c r="X196" s="30" t="s">
        <v>2855</v>
      </c>
      <c r="Y196" s="30" t="s">
        <v>2855</v>
      </c>
      <c r="Z196" s="300" t="s">
        <v>2743</v>
      </c>
      <c r="AA196" s="157">
        <v>11.0590439410028</v>
      </c>
      <c r="AB196" s="30">
        <v>11.1172941195801</v>
      </c>
      <c r="AC196" s="30">
        <v>0.54719618037393902</v>
      </c>
      <c r="AD196" s="30" t="s">
        <v>2743</v>
      </c>
      <c r="AE196" s="157">
        <v>4.7952697283301902</v>
      </c>
      <c r="AF196" s="30">
        <v>4.6431151945648503</v>
      </c>
      <c r="AG196" s="30">
        <v>0.66788198355171502</v>
      </c>
      <c r="AH196" s="30" t="s">
        <v>2743</v>
      </c>
      <c r="AI196" s="157">
        <v>-6.2493075093043799</v>
      </c>
      <c r="AJ196" s="30">
        <v>-6.4702952741204003</v>
      </c>
      <c r="AK196" s="30">
        <v>0.84725668935268705</v>
      </c>
      <c r="AL196" s="30" t="s">
        <v>2743</v>
      </c>
      <c r="AM196" s="157">
        <v>-4.6753114229205481</v>
      </c>
      <c r="AN196" s="30">
        <v>-4.6920584803570673</v>
      </c>
      <c r="AO196" s="30">
        <v>0.275684543149051</v>
      </c>
      <c r="AP196" s="30" t="s">
        <v>2743</v>
      </c>
      <c r="AQ196" s="157">
        <v>-1.8183989381308201</v>
      </c>
      <c r="AR196" s="30">
        <v>-1.6194061280754399</v>
      </c>
      <c r="AS196" s="30">
        <v>0.88662851633881001</v>
      </c>
      <c r="AT196" s="30" t="s">
        <v>2743</v>
      </c>
      <c r="AU196" s="157">
        <v>2.9836964584948098</v>
      </c>
      <c r="AV196" s="30" t="s">
        <v>2855</v>
      </c>
      <c r="AW196" s="30" t="s">
        <v>2855</v>
      </c>
      <c r="AX196" s="30" t="s">
        <v>2743</v>
      </c>
      <c r="AY196" s="157" t="s">
        <v>2855</v>
      </c>
      <c r="AZ196" s="30" t="s">
        <v>2855</v>
      </c>
      <c r="BA196" s="30" t="s">
        <v>2855</v>
      </c>
      <c r="BB196" s="30" t="s">
        <v>558</v>
      </c>
      <c r="BC196" s="157">
        <v>-72</v>
      </c>
      <c r="BD196" s="30">
        <v>-72</v>
      </c>
      <c r="BE196" s="30">
        <v>2.8284271247461903</v>
      </c>
      <c r="BF196" s="300" t="s">
        <v>558</v>
      </c>
    </row>
    <row r="197" spans="1:58">
      <c r="A197" s="3"/>
      <c r="B197" s="171">
        <v>434.642</v>
      </c>
      <c r="C197" s="157">
        <v>3.0116323968521801</v>
      </c>
      <c r="D197" s="30">
        <v>108.94020205764801</v>
      </c>
      <c r="E197" s="30">
        <v>3.0116323968521801</v>
      </c>
      <c r="F197" s="8" t="s">
        <v>2742</v>
      </c>
      <c r="G197" s="157">
        <v>17.544004299744799</v>
      </c>
      <c r="H197" s="30">
        <v>-18.990522119774798</v>
      </c>
      <c r="I197" s="30">
        <v>17.544004299744799</v>
      </c>
      <c r="J197" s="8" t="s">
        <v>2742</v>
      </c>
      <c r="K197" s="158">
        <v>6.2969464796139576</v>
      </c>
      <c r="L197" s="113">
        <v>0.63802113870460175</v>
      </c>
      <c r="M197" s="113">
        <v>24.971922864823057</v>
      </c>
      <c r="N197" s="13" t="s">
        <v>1499</v>
      </c>
      <c r="O197" s="157">
        <v>5.5300637675666096</v>
      </c>
      <c r="P197" s="30">
        <v>-105.911084646283</v>
      </c>
      <c r="Q197" s="30">
        <v>5.5300637675666096</v>
      </c>
      <c r="R197" s="8" t="s">
        <v>2742</v>
      </c>
      <c r="S197" s="157">
        <v>17.5066161429435</v>
      </c>
      <c r="T197" s="30">
        <v>125.539875471727</v>
      </c>
      <c r="U197" s="30">
        <v>17.5066161429435</v>
      </c>
      <c r="V197" s="8" t="s">
        <v>2742</v>
      </c>
      <c r="W197" s="157">
        <v>17.770898815119299</v>
      </c>
      <c r="X197" s="30">
        <v>19.6285432584794</v>
      </c>
      <c r="Y197" s="30">
        <v>17.770898815119299</v>
      </c>
      <c r="Z197" s="498" t="s">
        <v>2742</v>
      </c>
      <c r="AA197" s="157">
        <v>0.55019933226354401</v>
      </c>
      <c r="AB197" s="30">
        <v>11.0590439410028</v>
      </c>
      <c r="AC197" s="30">
        <v>0.55019933226354401</v>
      </c>
      <c r="AD197" s="8" t="s">
        <v>2742</v>
      </c>
      <c r="AE197" s="157">
        <v>0.65912645492498301</v>
      </c>
      <c r="AF197" s="30">
        <v>4.7952697283301902</v>
      </c>
      <c r="AG197" s="30">
        <v>0.65912645492498301</v>
      </c>
      <c r="AH197" s="8" t="s">
        <v>2742</v>
      </c>
      <c r="AI197" s="157">
        <v>0.83904501249982699</v>
      </c>
      <c r="AJ197" s="30">
        <v>-6.2493075093043799</v>
      </c>
      <c r="AK197" s="30">
        <v>0.83904501249982699</v>
      </c>
      <c r="AL197" s="8" t="s">
        <v>2742</v>
      </c>
      <c r="AM197" s="157">
        <v>0.272679987726759</v>
      </c>
      <c r="AN197" s="30">
        <v>-4.6753114229205481</v>
      </c>
      <c r="AO197" s="30">
        <v>0.272679987726759</v>
      </c>
      <c r="AP197" s="8" t="s">
        <v>2742</v>
      </c>
      <c r="AQ197" s="157">
        <v>0.86867806109357204</v>
      </c>
      <c r="AR197" s="30">
        <v>-1.8183989381308201</v>
      </c>
      <c r="AS197" s="30">
        <v>0.86867806109357204</v>
      </c>
      <c r="AT197" s="8" t="s">
        <v>2742</v>
      </c>
      <c r="AU197" s="157">
        <v>0.61313949865947304</v>
      </c>
      <c r="AV197" s="30">
        <v>2.9836964584948098</v>
      </c>
      <c r="AW197" s="30">
        <v>0.61313949865947304</v>
      </c>
      <c r="AX197" s="8" t="s">
        <v>2742</v>
      </c>
      <c r="AY197" s="157" t="s">
        <v>2855</v>
      </c>
      <c r="AZ197" s="30"/>
      <c r="BA197" s="30"/>
      <c r="BB197" s="101"/>
      <c r="BC197" s="157">
        <v>2.8284271247461903</v>
      </c>
      <c r="BD197" s="30"/>
      <c r="BE197" s="30"/>
      <c r="BF197" s="277"/>
    </row>
    <row r="198" spans="1:58">
      <c r="A198" s="3"/>
      <c r="B198" s="4"/>
      <c r="C198" s="3"/>
      <c r="D198" s="206">
        <v>108.8053199021883</v>
      </c>
      <c r="E198" s="206">
        <v>2.7599602935757312</v>
      </c>
      <c r="F198" s="206" t="s">
        <v>558</v>
      </c>
      <c r="G198" s="3"/>
      <c r="H198" s="206" t="s">
        <v>2855</v>
      </c>
      <c r="I198" s="206" t="s">
        <v>2855</v>
      </c>
      <c r="J198" s="206" t="s">
        <v>558</v>
      </c>
      <c r="K198" s="353"/>
      <c r="L198" s="344">
        <v>3.4477632265923148</v>
      </c>
      <c r="M198" s="344">
        <v>4.9578850086088266</v>
      </c>
      <c r="N198" s="206" t="s">
        <v>1124</v>
      </c>
      <c r="O198" s="3"/>
      <c r="P198" s="206">
        <v>-105.63333333333333</v>
      </c>
      <c r="Q198" s="206">
        <v>5.6109268396584868</v>
      </c>
      <c r="R198" s="206" t="s">
        <v>558</v>
      </c>
      <c r="S198" s="3"/>
      <c r="T198" s="206" t="s">
        <v>2855</v>
      </c>
      <c r="U198" s="206" t="s">
        <v>2855</v>
      </c>
      <c r="V198" s="206" t="s">
        <v>558</v>
      </c>
      <c r="W198" s="3"/>
      <c r="X198" s="206" t="s">
        <v>2855</v>
      </c>
      <c r="Y198" s="206" t="s">
        <v>2855</v>
      </c>
      <c r="Z198" s="350" t="s">
        <v>558</v>
      </c>
      <c r="AA198" s="4"/>
      <c r="AB198" s="206">
        <v>11.254058807284656</v>
      </c>
      <c r="AC198" s="206">
        <v>0.56090842337414826</v>
      </c>
      <c r="AD198" s="206" t="s">
        <v>558</v>
      </c>
      <c r="AE198" s="3"/>
      <c r="AF198" s="206">
        <v>4.4343891767766381</v>
      </c>
      <c r="AG198" s="206">
        <v>0.51039582393287042</v>
      </c>
      <c r="AH198" s="206" t="s">
        <v>558</v>
      </c>
      <c r="AI198" s="3"/>
      <c r="AJ198" s="206" t="s">
        <v>2855</v>
      </c>
      <c r="AK198" s="206" t="s">
        <v>2855</v>
      </c>
      <c r="AL198" s="206" t="s">
        <v>558</v>
      </c>
      <c r="AM198" s="3"/>
      <c r="AN198" s="206">
        <v>-4.6558136987291556</v>
      </c>
      <c r="AO198" s="206">
        <v>0.27719074419421286</v>
      </c>
      <c r="AP198" s="206" t="s">
        <v>558</v>
      </c>
      <c r="AQ198" s="3"/>
      <c r="AR198" s="206">
        <v>-4.6558136987291556</v>
      </c>
      <c r="AS198" s="206">
        <v>0.27719074419421286</v>
      </c>
      <c r="AT198" s="206" t="s">
        <v>558</v>
      </c>
      <c r="AU198" s="3"/>
      <c r="AV198" s="206" t="s">
        <v>2855</v>
      </c>
      <c r="AW198" s="206" t="s">
        <v>2855</v>
      </c>
      <c r="AX198" s="206" t="s">
        <v>558</v>
      </c>
      <c r="AY198" s="3"/>
      <c r="AZ198" s="52"/>
      <c r="BA198" s="52"/>
      <c r="BB198" s="52"/>
      <c r="BC198" s="3"/>
      <c r="BF198" s="42"/>
    </row>
    <row r="199" spans="1:58">
      <c r="A199" s="3"/>
      <c r="B199" s="4" t="s">
        <v>20</v>
      </c>
      <c r="C199" s="3"/>
      <c r="D199" s="176">
        <v>115.16421222688001</v>
      </c>
      <c r="E199" s="176">
        <v>24.576158053428422</v>
      </c>
      <c r="F199" s="206" t="s">
        <v>1124</v>
      </c>
      <c r="G199" s="3"/>
      <c r="H199" s="176">
        <v>-1.2870326288639831</v>
      </c>
      <c r="I199" s="176">
        <v>1.805423631117818</v>
      </c>
      <c r="J199" s="206" t="s">
        <v>1124</v>
      </c>
      <c r="K199" s="353"/>
      <c r="L199" s="206"/>
      <c r="M199" s="206"/>
      <c r="N199" s="206"/>
      <c r="O199" s="3"/>
      <c r="P199" s="178">
        <v>-111.7164490002877</v>
      </c>
      <c r="Q199" s="178">
        <v>12.183460778624376</v>
      </c>
      <c r="R199" s="206" t="s">
        <v>1124</v>
      </c>
      <c r="S199" s="3"/>
      <c r="T199" s="178">
        <v>152.94250580000002</v>
      </c>
      <c r="U199" s="178">
        <v>28.671978619820205</v>
      </c>
      <c r="V199" s="206" t="s">
        <v>1124</v>
      </c>
      <c r="W199" s="3"/>
      <c r="X199" s="178">
        <v>9.7376280000000062</v>
      </c>
      <c r="Y199" s="178">
        <v>3.9945030335838898</v>
      </c>
      <c r="Z199" s="350" t="s">
        <v>1124</v>
      </c>
      <c r="AA199" s="4"/>
      <c r="AB199" s="178">
        <v>11.6938</v>
      </c>
      <c r="AC199" s="178">
        <v>0.77225855199999993</v>
      </c>
      <c r="AD199" s="206" t="s">
        <v>1124</v>
      </c>
      <c r="AE199" s="3"/>
      <c r="AF199" s="178">
        <v>9.2030399999999997</v>
      </c>
      <c r="AG199" s="178">
        <v>4.2882761275199996</v>
      </c>
      <c r="AH199" s="206" t="s">
        <v>1124</v>
      </c>
      <c r="AI199" s="3"/>
      <c r="AJ199" s="178">
        <v>-2.4079210568011886</v>
      </c>
      <c r="AK199" s="178">
        <v>0.68209902152324309</v>
      </c>
      <c r="AL199" s="206" t="s">
        <v>1124</v>
      </c>
      <c r="AM199" s="3"/>
      <c r="AN199" s="178">
        <v>-6.1343039400839299</v>
      </c>
      <c r="AO199" s="178">
        <v>1.3770592199897409</v>
      </c>
      <c r="AP199" s="206" t="s">
        <v>1124</v>
      </c>
      <c r="AQ199" s="3"/>
      <c r="AR199" s="178">
        <v>-6.1343039400839299</v>
      </c>
      <c r="AS199" s="178">
        <v>1.3770592199897409</v>
      </c>
      <c r="AT199" s="206" t="s">
        <v>1124</v>
      </c>
      <c r="AU199" s="3"/>
      <c r="AV199" s="178">
        <v>4.8651235999999987</v>
      </c>
      <c r="AW199" s="178">
        <v>0.87927865335159983</v>
      </c>
      <c r="AX199" s="206" t="s">
        <v>1124</v>
      </c>
      <c r="AY199" s="3"/>
      <c r="AZ199" s="178"/>
      <c r="BA199" s="178"/>
      <c r="BB199" s="206"/>
      <c r="BC199" s="3"/>
      <c r="BD199" s="178"/>
      <c r="BE199" s="178"/>
      <c r="BF199" s="350"/>
    </row>
    <row r="200" spans="1:58">
      <c r="A200" s="3"/>
      <c r="B200" s="4"/>
      <c r="C200" s="87"/>
      <c r="D200" s="119"/>
      <c r="E200" s="119"/>
      <c r="F200" s="4"/>
      <c r="G200" s="80"/>
      <c r="H200" s="119"/>
      <c r="I200" s="119"/>
      <c r="J200" s="4"/>
      <c r="K200" s="3"/>
      <c r="L200" s="4"/>
      <c r="M200" s="4"/>
      <c r="N200" s="4"/>
      <c r="O200" s="115"/>
      <c r="P200" s="119"/>
      <c r="Q200" s="119"/>
      <c r="R200" s="4"/>
      <c r="S200" s="80"/>
      <c r="W200" s="80"/>
      <c r="X200" s="171"/>
      <c r="Y200" s="171"/>
      <c r="Z200" s="122"/>
      <c r="AA200" s="4"/>
      <c r="AB200" s="9"/>
      <c r="AC200" s="9"/>
      <c r="AD200" s="4"/>
      <c r="AE200" s="3"/>
      <c r="AF200" s="9"/>
      <c r="AG200" s="9"/>
      <c r="AH200" s="4"/>
      <c r="AI200" s="3"/>
      <c r="AJ200" s="9"/>
      <c r="AK200" s="9"/>
      <c r="AL200" s="4"/>
      <c r="AM200" s="3"/>
      <c r="AN200" s="9"/>
      <c r="AO200" s="9"/>
      <c r="AP200" s="4"/>
      <c r="AQ200" s="3"/>
      <c r="AR200" s="9"/>
      <c r="AS200" s="9"/>
      <c r="AT200" s="4"/>
      <c r="AU200" s="3"/>
      <c r="AV200" s="9"/>
      <c r="AW200" s="9"/>
      <c r="AX200" s="4"/>
      <c r="AY200" s="3"/>
      <c r="AZ200" s="9"/>
      <c r="BA200" s="9"/>
      <c r="BB200" s="4"/>
      <c r="BC200" s="3"/>
      <c r="BD200" s="9"/>
      <c r="BE200" s="9"/>
      <c r="BF200" s="122"/>
    </row>
    <row r="201" spans="1:58">
      <c r="A201" s="3" t="s">
        <v>89</v>
      </c>
      <c r="B201" s="4" t="s">
        <v>90</v>
      </c>
      <c r="C201" s="157">
        <v>140.00434609701898</v>
      </c>
      <c r="D201" s="30" t="s">
        <v>2855</v>
      </c>
      <c r="E201" s="30" t="s">
        <v>2855</v>
      </c>
      <c r="F201" s="30" t="s">
        <v>2743</v>
      </c>
      <c r="G201" s="157">
        <v>-8.4847140862309693</v>
      </c>
      <c r="H201" s="30" t="s">
        <v>2855</v>
      </c>
      <c r="I201" s="30" t="s">
        <v>2855</v>
      </c>
      <c r="J201" s="30" t="s">
        <v>2743</v>
      </c>
      <c r="K201" s="157">
        <v>-3.9322011012700191</v>
      </c>
      <c r="L201" s="113">
        <v>-3.9322011012700191</v>
      </c>
      <c r="M201" s="30">
        <v>28.522583087117631</v>
      </c>
      <c r="N201" s="355" t="s">
        <v>1498</v>
      </c>
      <c r="O201" s="157">
        <v>-141.545547198289</v>
      </c>
      <c r="P201" s="30" t="s">
        <v>2855</v>
      </c>
      <c r="Q201" s="30" t="s">
        <v>2855</v>
      </c>
      <c r="R201" s="30" t="s">
        <v>2743</v>
      </c>
      <c r="S201" s="157">
        <v>146.098112447809</v>
      </c>
      <c r="T201" s="30" t="s">
        <v>2855</v>
      </c>
      <c r="U201" s="30" t="s">
        <v>2855</v>
      </c>
      <c r="V201" s="30" t="s">
        <v>2743</v>
      </c>
      <c r="W201" s="157">
        <v>4.55344945150134</v>
      </c>
      <c r="X201" s="30" t="s">
        <v>2855</v>
      </c>
      <c r="Y201" s="30" t="s">
        <v>2855</v>
      </c>
      <c r="Z201" s="300" t="s">
        <v>2743</v>
      </c>
      <c r="AA201" s="157">
        <v>12.045189367444999</v>
      </c>
      <c r="AB201" s="30" t="s">
        <v>2855</v>
      </c>
      <c r="AC201" s="30" t="s">
        <v>2855</v>
      </c>
      <c r="AD201" s="30" t="s">
        <v>2743</v>
      </c>
      <c r="AE201" s="157">
        <v>7.6749350028019903</v>
      </c>
      <c r="AF201" s="30" t="s">
        <v>2855</v>
      </c>
      <c r="AG201" s="30" t="s">
        <v>2855</v>
      </c>
      <c r="AH201" s="30" t="s">
        <v>2743</v>
      </c>
      <c r="AI201" s="157">
        <v>-4.3754473851992399</v>
      </c>
      <c r="AJ201" s="30" t="s">
        <v>2855</v>
      </c>
      <c r="AK201" s="30" t="s">
        <v>2855</v>
      </c>
      <c r="AL201" s="30" t="s">
        <v>2743</v>
      </c>
      <c r="AM201" s="157">
        <v>-5.7286611582631366</v>
      </c>
      <c r="AN201" s="30" t="s">
        <v>2855</v>
      </c>
      <c r="AO201" s="30" t="s">
        <v>2855</v>
      </c>
      <c r="AP201" s="30" t="s">
        <v>2743</v>
      </c>
      <c r="AQ201" s="157">
        <v>-4.7483866571779902</v>
      </c>
      <c r="AR201" s="30" t="s">
        <v>2855</v>
      </c>
      <c r="AS201" s="30" t="s">
        <v>2855</v>
      </c>
      <c r="AT201" s="30" t="s">
        <v>2743</v>
      </c>
      <c r="AU201" s="157">
        <v>2.92558193157004</v>
      </c>
      <c r="AV201" s="30" t="s">
        <v>2855</v>
      </c>
      <c r="AW201" s="30" t="s">
        <v>2855</v>
      </c>
      <c r="AX201" s="30" t="s">
        <v>2743</v>
      </c>
      <c r="AY201" s="157" t="s">
        <v>2855</v>
      </c>
      <c r="AZ201" s="30" t="s">
        <v>2855</v>
      </c>
      <c r="BA201" s="30" t="s">
        <v>2855</v>
      </c>
      <c r="BB201" s="30" t="s">
        <v>558</v>
      </c>
      <c r="BC201" s="157">
        <v>99.75</v>
      </c>
      <c r="BD201" s="30">
        <v>99.75</v>
      </c>
      <c r="BE201" s="30">
        <v>0.35355339059327379</v>
      </c>
      <c r="BF201" s="300" t="s">
        <v>558</v>
      </c>
    </row>
    <row r="202" spans="1:58">
      <c r="A202" s="3"/>
      <c r="B202" s="171">
        <v>449.75934000000001</v>
      </c>
      <c r="C202" s="157">
        <v>14.7009975627518</v>
      </c>
      <c r="D202" s="30">
        <v>140.00434609701898</v>
      </c>
      <c r="E202" s="30">
        <v>14.7009975627518</v>
      </c>
      <c r="F202" s="8" t="s">
        <v>2742</v>
      </c>
      <c r="G202" s="157">
        <v>21.907950993609902</v>
      </c>
      <c r="H202" s="30">
        <v>-8.4847140862309693</v>
      </c>
      <c r="I202" s="30">
        <v>21.907950993609902</v>
      </c>
      <c r="J202" s="8" t="s">
        <v>2742</v>
      </c>
      <c r="K202" s="158">
        <v>28.522583087117631</v>
      </c>
      <c r="L202" s="113">
        <v>-3.9312646347296294</v>
      </c>
      <c r="M202" s="113">
        <v>32.905159619607353</v>
      </c>
      <c r="N202" s="13" t="s">
        <v>1499</v>
      </c>
      <c r="O202" s="157">
        <v>24.442144272168399</v>
      </c>
      <c r="P202" s="30">
        <v>-141.545547198289</v>
      </c>
      <c r="Q202" s="30">
        <v>24.442144272168399</v>
      </c>
      <c r="R202" s="8" t="s">
        <v>2742</v>
      </c>
      <c r="S202" s="157">
        <v>20.7941084075091</v>
      </c>
      <c r="T202" s="30">
        <v>146.098112447809</v>
      </c>
      <c r="U202" s="30">
        <v>20.7941084075091</v>
      </c>
      <c r="V202" s="8" t="s">
        <v>2742</v>
      </c>
      <c r="W202" s="157">
        <v>24.551806712611299</v>
      </c>
      <c r="X202" s="30">
        <v>4.55344945150134</v>
      </c>
      <c r="Y202" s="30">
        <v>24.551806712611299</v>
      </c>
      <c r="Z202" s="498" t="s">
        <v>2742</v>
      </c>
      <c r="AA202" s="157">
        <v>0.82640918581060396</v>
      </c>
      <c r="AB202" s="30">
        <v>12.045189367444999</v>
      </c>
      <c r="AC202" s="30">
        <v>0.82640918581060396</v>
      </c>
      <c r="AD202" s="8" t="s">
        <v>2742</v>
      </c>
      <c r="AE202" s="157">
        <v>1.4369452021323501</v>
      </c>
      <c r="AF202" s="30">
        <v>7.6749350028019903</v>
      </c>
      <c r="AG202" s="30">
        <v>1.4369452021323501</v>
      </c>
      <c r="AH202" s="8" t="s">
        <v>2742</v>
      </c>
      <c r="AI202" s="157">
        <v>1.21324491839174</v>
      </c>
      <c r="AJ202" s="30">
        <v>-4.3754473851992399</v>
      </c>
      <c r="AK202" s="30">
        <v>1.21324491839174</v>
      </c>
      <c r="AL202" s="8" t="s">
        <v>2742</v>
      </c>
      <c r="AM202" s="157">
        <v>0.78282850327659503</v>
      </c>
      <c r="AN202" s="30">
        <v>-5.7286611582631366</v>
      </c>
      <c r="AO202" s="30">
        <v>0.78282850327659503</v>
      </c>
      <c r="AP202" s="8" t="s">
        <v>2742</v>
      </c>
      <c r="AQ202" s="157">
        <v>1.4026242289864499</v>
      </c>
      <c r="AR202" s="30">
        <v>-4.7483866571779902</v>
      </c>
      <c r="AS202" s="30">
        <v>1.4026242289864499</v>
      </c>
      <c r="AT202" s="8" t="s">
        <v>2742</v>
      </c>
      <c r="AU202" s="157">
        <v>0.83576235309468405</v>
      </c>
      <c r="AV202" s="30">
        <v>2.92558193157004</v>
      </c>
      <c r="AW202" s="30">
        <v>0.83576235309468405</v>
      </c>
      <c r="AX202" s="8" t="s">
        <v>2742</v>
      </c>
      <c r="AY202" s="157" t="s">
        <v>2855</v>
      </c>
      <c r="AZ202" s="30"/>
      <c r="BA202" s="30"/>
      <c r="BB202" s="101"/>
      <c r="BC202" s="157">
        <v>0.35355339059327379</v>
      </c>
      <c r="BD202" s="30"/>
      <c r="BE202" s="30"/>
      <c r="BF202" s="277"/>
    </row>
    <row r="203" spans="1:58">
      <c r="A203" s="3"/>
      <c r="B203" s="171"/>
      <c r="C203" s="3"/>
      <c r="D203" s="206">
        <v>135</v>
      </c>
      <c r="E203" s="206">
        <v>9.6340614933147393</v>
      </c>
      <c r="F203" s="206" t="s">
        <v>558</v>
      </c>
      <c r="G203" s="3"/>
      <c r="H203" s="206" t="s">
        <v>2855</v>
      </c>
      <c r="I203" s="206" t="s">
        <v>2855</v>
      </c>
      <c r="J203" s="206" t="s">
        <v>558</v>
      </c>
      <c r="K203" s="353"/>
      <c r="L203" s="344">
        <v>7.1788619249362284</v>
      </c>
      <c r="M203" s="344">
        <v>10.323206547942755</v>
      </c>
      <c r="N203" s="206" t="s">
        <v>1124</v>
      </c>
      <c r="O203" s="3"/>
      <c r="P203" s="206" t="s">
        <v>2855</v>
      </c>
      <c r="Q203" s="206" t="s">
        <v>2855</v>
      </c>
      <c r="R203" s="206" t="s">
        <v>558</v>
      </c>
      <c r="S203" s="3"/>
      <c r="T203" s="206" t="s">
        <v>2855</v>
      </c>
      <c r="U203" s="206" t="s">
        <v>2855</v>
      </c>
      <c r="V203" s="206" t="s">
        <v>558</v>
      </c>
      <c r="W203" s="3"/>
      <c r="X203" s="206" t="s">
        <v>2855</v>
      </c>
      <c r="Y203" s="206" t="s">
        <v>2855</v>
      </c>
      <c r="Z203" s="350" t="s">
        <v>558</v>
      </c>
      <c r="AA203" s="4"/>
      <c r="AB203" s="206" t="s">
        <v>2855</v>
      </c>
      <c r="AC203" s="206" t="s">
        <v>2855</v>
      </c>
      <c r="AD203" s="206" t="s">
        <v>558</v>
      </c>
      <c r="AE203" s="3"/>
      <c r="AF203" s="206" t="s">
        <v>2855</v>
      </c>
      <c r="AG203" s="206" t="s">
        <v>2855</v>
      </c>
      <c r="AH203" s="206" t="s">
        <v>558</v>
      </c>
      <c r="AI203" s="3"/>
      <c r="AJ203" s="206" t="s">
        <v>2855</v>
      </c>
      <c r="AK203" s="206" t="s">
        <v>2855</v>
      </c>
      <c r="AL203" s="206" t="s">
        <v>558</v>
      </c>
      <c r="AM203" s="3"/>
      <c r="AN203" s="206">
        <v>-5.9337440369338292</v>
      </c>
      <c r="AO203" s="206">
        <v>0.94147379508925533</v>
      </c>
      <c r="AP203" s="206" t="s">
        <v>558</v>
      </c>
      <c r="AQ203" s="3"/>
      <c r="AR203" s="206">
        <v>-5.9337440369338292</v>
      </c>
      <c r="AS203" s="206">
        <v>0.94147379508925533</v>
      </c>
      <c r="AT203" s="206" t="s">
        <v>558</v>
      </c>
      <c r="AU203" s="3"/>
      <c r="AV203" s="206" t="s">
        <v>2855</v>
      </c>
      <c r="AW203" s="206" t="s">
        <v>2855</v>
      </c>
      <c r="AX203" s="206" t="s">
        <v>558</v>
      </c>
      <c r="AY203" s="3"/>
      <c r="AZ203" s="52"/>
      <c r="BA203" s="52"/>
      <c r="BB203" s="52"/>
      <c r="BC203" s="3"/>
      <c r="BF203" s="42"/>
    </row>
    <row r="204" spans="1:58">
      <c r="A204" s="3"/>
      <c r="B204" s="171"/>
      <c r="C204" s="3"/>
      <c r="D204" s="176">
        <v>145.89736243784</v>
      </c>
      <c r="E204" s="176">
        <v>31.134643041597496</v>
      </c>
      <c r="F204" s="206" t="s">
        <v>1124</v>
      </c>
      <c r="G204" s="3"/>
      <c r="H204" s="176">
        <v>11.415015016767995</v>
      </c>
      <c r="I204" s="176">
        <v>16.012754765221807</v>
      </c>
      <c r="J204" s="206" t="s">
        <v>1124</v>
      </c>
      <c r="K204" s="353"/>
      <c r="L204" s="206"/>
      <c r="M204" s="206"/>
      <c r="N204" s="206"/>
      <c r="O204" s="3"/>
      <c r="P204" s="178">
        <v>-138.71850051290377</v>
      </c>
      <c r="Q204" s="178">
        <v>15.128223510435747</v>
      </c>
      <c r="R204" s="206" t="s">
        <v>1124</v>
      </c>
      <c r="S204" s="3"/>
      <c r="T204" s="178">
        <v>168.94886359999998</v>
      </c>
      <c r="U204" s="178">
        <v>31.672674510228397</v>
      </c>
      <c r="V204" s="206" t="s">
        <v>1124</v>
      </c>
      <c r="W204" s="3"/>
      <c r="X204" s="178">
        <v>2.1688360000000042</v>
      </c>
      <c r="Y204" s="178">
        <v>0.88968504253253056</v>
      </c>
      <c r="Z204" s="350" t="s">
        <v>1124</v>
      </c>
      <c r="AA204" s="4"/>
      <c r="AB204" s="178">
        <v>11.6783</v>
      </c>
      <c r="AC204" s="178">
        <v>0.77123493200000004</v>
      </c>
      <c r="AD204" s="206" t="s">
        <v>1124</v>
      </c>
      <c r="AE204" s="3"/>
      <c r="AF204" s="178">
        <v>8.5659399999999994</v>
      </c>
      <c r="AG204" s="178">
        <v>3.9914111002199997</v>
      </c>
      <c r="AH204" s="206" t="s">
        <v>1124</v>
      </c>
      <c r="AI204" s="3"/>
      <c r="AJ204" s="178">
        <v>-4.5528853633970989</v>
      </c>
      <c r="AK204" s="178">
        <v>1.2897094955455863</v>
      </c>
      <c r="AL204" s="206" t="s">
        <v>1124</v>
      </c>
      <c r="AM204" s="3"/>
      <c r="AN204" s="178">
        <v>-8.9788107009300617</v>
      </c>
      <c r="AO204" s="178">
        <v>2.0156083201982846</v>
      </c>
      <c r="AP204" s="206" t="s">
        <v>1124</v>
      </c>
      <c r="AQ204" s="3"/>
      <c r="AR204" s="178">
        <v>-8.9788107009300617</v>
      </c>
      <c r="AS204" s="178">
        <v>2.0156083201982846</v>
      </c>
      <c r="AT204" s="206" t="s">
        <v>1124</v>
      </c>
      <c r="AU204" s="3"/>
      <c r="AV204" s="178">
        <v>3.2175101999999995</v>
      </c>
      <c r="AW204" s="178">
        <v>0.58150383595619992</v>
      </c>
      <c r="AX204" s="206" t="s">
        <v>1124</v>
      </c>
      <c r="AY204" s="3"/>
      <c r="AZ204" s="178"/>
      <c r="BA204" s="178"/>
      <c r="BB204" s="206"/>
      <c r="BC204" s="3"/>
      <c r="BD204" s="178"/>
      <c r="BE204" s="178"/>
      <c r="BF204" s="350"/>
    </row>
    <row r="205" spans="1:58">
      <c r="A205" s="3"/>
      <c r="B205" s="171"/>
      <c r="C205" s="87"/>
      <c r="D205" s="119"/>
      <c r="E205" s="119"/>
      <c r="F205" s="4"/>
      <c r="G205" s="80"/>
      <c r="H205" s="119"/>
      <c r="I205" s="119"/>
      <c r="J205" s="4"/>
      <c r="K205" s="3"/>
      <c r="L205" s="4"/>
      <c r="M205" s="4"/>
      <c r="N205" s="4"/>
      <c r="O205" s="115"/>
      <c r="P205" s="119"/>
      <c r="Q205" s="119"/>
      <c r="R205" s="4"/>
      <c r="S205" s="80"/>
      <c r="W205" s="80"/>
      <c r="X205" s="171"/>
      <c r="Y205" s="171"/>
      <c r="Z205" s="122"/>
      <c r="AA205" s="4"/>
      <c r="AB205" s="9"/>
      <c r="AC205" s="9"/>
      <c r="AD205" s="4"/>
      <c r="AE205" s="3"/>
      <c r="AF205" s="9"/>
      <c r="AG205" s="9"/>
      <c r="AH205" s="4"/>
      <c r="AI205" s="3"/>
      <c r="AJ205" s="9"/>
      <c r="AK205" s="9"/>
      <c r="AL205" s="4"/>
      <c r="AM205" s="3"/>
      <c r="AN205" s="9"/>
      <c r="AO205" s="9"/>
      <c r="AP205" s="4"/>
      <c r="AQ205" s="3"/>
      <c r="AR205" s="9"/>
      <c r="AS205" s="9"/>
      <c r="AT205" s="4"/>
      <c r="AU205" s="3"/>
      <c r="AV205" s="9"/>
      <c r="AW205" s="9"/>
      <c r="AX205" s="4"/>
      <c r="AY205" s="3"/>
      <c r="AZ205" s="9"/>
      <c r="BA205" s="9"/>
      <c r="BB205" s="4"/>
      <c r="BC205" s="3"/>
      <c r="BD205" s="9"/>
      <c r="BE205" s="9"/>
      <c r="BF205" s="122"/>
    </row>
    <row r="206" spans="1:58">
      <c r="A206" s="18" t="s">
        <v>91</v>
      </c>
      <c r="B206" s="19" t="s">
        <v>92</v>
      </c>
      <c r="C206" s="157">
        <v>112.14740594012501</v>
      </c>
      <c r="D206" s="30" t="s">
        <v>2855</v>
      </c>
      <c r="E206" s="30" t="s">
        <v>2855</v>
      </c>
      <c r="F206" s="30" t="s">
        <v>2743</v>
      </c>
      <c r="G206" s="157">
        <v>-11.6985128943824</v>
      </c>
      <c r="H206" s="30" t="s">
        <v>2855</v>
      </c>
      <c r="I206" s="30" t="s">
        <v>2855</v>
      </c>
      <c r="J206" s="30" t="s">
        <v>2743</v>
      </c>
      <c r="K206" s="157">
        <v>2.2266928570430107</v>
      </c>
      <c r="L206" s="113">
        <v>2.2266928570430107</v>
      </c>
      <c r="M206" s="30">
        <v>12.483433349412628</v>
      </c>
      <c r="N206" s="355" t="s">
        <v>1498</v>
      </c>
      <c r="O206" s="157">
        <v>-107.529713083082</v>
      </c>
      <c r="P206" s="30" t="s">
        <v>2855</v>
      </c>
      <c r="Q206" s="30" t="s">
        <v>2855</v>
      </c>
      <c r="R206" s="30" t="s">
        <v>2743</v>
      </c>
      <c r="S206" s="157">
        <v>121.454916791234</v>
      </c>
      <c r="T206" s="30" t="s">
        <v>2855</v>
      </c>
      <c r="U206" s="30" t="s">
        <v>2855</v>
      </c>
      <c r="V206" s="30" t="s">
        <v>2743</v>
      </c>
      <c r="W206" s="157">
        <v>13.9245827238245</v>
      </c>
      <c r="X206" s="30" t="s">
        <v>2855</v>
      </c>
      <c r="Y206" s="30" t="s">
        <v>2855</v>
      </c>
      <c r="Z206" s="300" t="s">
        <v>2743</v>
      </c>
      <c r="AA206" s="157">
        <v>11.5942567542637</v>
      </c>
      <c r="AB206" s="30" t="s">
        <v>2855</v>
      </c>
      <c r="AC206" s="30" t="s">
        <v>2855</v>
      </c>
      <c r="AD206" s="30" t="s">
        <v>2743</v>
      </c>
      <c r="AE206" s="157">
        <v>6.7569826384909302</v>
      </c>
      <c r="AF206" s="30" t="s">
        <v>2855</v>
      </c>
      <c r="AG206" s="30" t="s">
        <v>2855</v>
      </c>
      <c r="AH206" s="30" t="s">
        <v>2743</v>
      </c>
      <c r="AI206" s="157">
        <v>-4.8357669141547799</v>
      </c>
      <c r="AJ206" s="30" t="s">
        <v>2855</v>
      </c>
      <c r="AK206" s="30" t="s">
        <v>2855</v>
      </c>
      <c r="AL206" s="30" t="s">
        <v>2743</v>
      </c>
      <c r="AM206" s="157">
        <v>-5.2804714849656467</v>
      </c>
      <c r="AN206" s="30" t="s">
        <v>2855</v>
      </c>
      <c r="AO206" s="30" t="s">
        <v>2855</v>
      </c>
      <c r="AP206" s="30" t="s">
        <v>2743</v>
      </c>
      <c r="AQ206" s="157">
        <v>-3.83970578073715</v>
      </c>
      <c r="AR206" s="30" t="s">
        <v>2855</v>
      </c>
      <c r="AS206" s="30" t="s">
        <v>2855</v>
      </c>
      <c r="AT206" s="30" t="s">
        <v>2743</v>
      </c>
      <c r="AU206" s="157">
        <v>2.9169843967476199</v>
      </c>
      <c r="AV206" s="30" t="s">
        <v>2855</v>
      </c>
      <c r="AW206" s="30" t="s">
        <v>2855</v>
      </c>
      <c r="AX206" s="30" t="s">
        <v>2743</v>
      </c>
      <c r="AY206" s="157" t="s">
        <v>2855</v>
      </c>
      <c r="AZ206" s="30" t="s">
        <v>2855</v>
      </c>
      <c r="BA206" s="30" t="s">
        <v>2855</v>
      </c>
      <c r="BB206" s="30" t="s">
        <v>558</v>
      </c>
      <c r="BC206" s="157" t="s">
        <v>2855</v>
      </c>
      <c r="BD206" s="30" t="s">
        <v>2855</v>
      </c>
      <c r="BE206" s="30" t="s">
        <v>2855</v>
      </c>
      <c r="BF206" s="300" t="s">
        <v>558</v>
      </c>
    </row>
    <row r="207" spans="1:58">
      <c r="A207" s="18"/>
      <c r="B207" s="171">
        <v>452.53100000000001</v>
      </c>
      <c r="C207" s="157">
        <v>6.9269372525307604</v>
      </c>
      <c r="D207" s="30">
        <v>112.14740594012501</v>
      </c>
      <c r="E207" s="30">
        <v>6.9269372525307604</v>
      </c>
      <c r="F207" s="8" t="s">
        <v>2742</v>
      </c>
      <c r="G207" s="157">
        <v>25.0327593071015</v>
      </c>
      <c r="H207" s="30">
        <v>-11.6985128943824</v>
      </c>
      <c r="I207" s="30">
        <v>25.0327593071015</v>
      </c>
      <c r="J207" s="8" t="s">
        <v>2742</v>
      </c>
      <c r="K207" s="158">
        <v>12.483433349412628</v>
      </c>
      <c r="L207" s="113">
        <v>2.2260698294420997</v>
      </c>
      <c r="M207" s="113">
        <v>35.716442968310616</v>
      </c>
      <c r="N207" s="13" t="s">
        <v>1499</v>
      </c>
      <c r="O207" s="157">
        <v>10.3852611179849</v>
      </c>
      <c r="P207" s="30">
        <v>-107.529713083082</v>
      </c>
      <c r="Q207" s="30">
        <v>10.3852611179849</v>
      </c>
      <c r="R207" s="8" t="s">
        <v>2742</v>
      </c>
      <c r="S207" s="157">
        <v>24.807694232409101</v>
      </c>
      <c r="T207" s="30">
        <v>121.454916791234</v>
      </c>
      <c r="U207" s="30">
        <v>24.807694232409101</v>
      </c>
      <c r="V207" s="8" t="s">
        <v>2742</v>
      </c>
      <c r="W207" s="157">
        <v>25.475974167464301</v>
      </c>
      <c r="X207" s="30">
        <v>13.9245827238245</v>
      </c>
      <c r="Y207" s="30">
        <v>25.475974167464301</v>
      </c>
      <c r="Z207" s="498" t="s">
        <v>2742</v>
      </c>
      <c r="AA207" s="157">
        <v>0.232701551779462</v>
      </c>
      <c r="AB207" s="30">
        <v>11.5942567542637</v>
      </c>
      <c r="AC207" s="30">
        <v>0.232701551779462</v>
      </c>
      <c r="AD207" s="8" t="s">
        <v>2742</v>
      </c>
      <c r="AE207" s="157">
        <v>1.2796943022160401</v>
      </c>
      <c r="AF207" s="30">
        <v>6.7569826384909302</v>
      </c>
      <c r="AG207" s="30">
        <v>1.2796943022160401</v>
      </c>
      <c r="AH207" s="8" t="s">
        <v>2742</v>
      </c>
      <c r="AI207" s="157">
        <v>1.2576302759518301</v>
      </c>
      <c r="AJ207" s="30">
        <v>-4.8357669141547799</v>
      </c>
      <c r="AK207" s="30">
        <v>1.2576302759518301</v>
      </c>
      <c r="AL207" s="8" t="s">
        <v>2742</v>
      </c>
      <c r="AM207" s="157">
        <v>0.17884207752138501</v>
      </c>
      <c r="AN207" s="30">
        <v>-5.2804714849656467</v>
      </c>
      <c r="AO207" s="30">
        <v>0.17884207752138501</v>
      </c>
      <c r="AP207" s="8" t="s">
        <v>2742</v>
      </c>
      <c r="AQ207" s="157">
        <v>1.2701703579653301</v>
      </c>
      <c r="AR207" s="30">
        <v>-3.83970578073715</v>
      </c>
      <c r="AS207" s="30">
        <v>1.2701703579653301</v>
      </c>
      <c r="AT207" s="8" t="s">
        <v>2742</v>
      </c>
      <c r="AU207" s="157">
        <v>0.29859655046005401</v>
      </c>
      <c r="AV207" s="30">
        <v>2.9169843967476199</v>
      </c>
      <c r="AW207" s="30">
        <v>0.29859655046005401</v>
      </c>
      <c r="AX207" s="8" t="s">
        <v>2742</v>
      </c>
      <c r="AY207" s="157" t="s">
        <v>2855</v>
      </c>
      <c r="AZ207" s="30"/>
      <c r="BA207" s="30"/>
      <c r="BB207" s="101"/>
      <c r="BC207" s="157" t="s">
        <v>2855</v>
      </c>
      <c r="BD207" s="30"/>
      <c r="BE207" s="30"/>
      <c r="BF207" s="277"/>
    </row>
    <row r="208" spans="1:58">
      <c r="A208" s="18"/>
      <c r="B208" s="19" t="s">
        <v>20</v>
      </c>
      <c r="C208" s="3"/>
      <c r="D208" s="206">
        <v>111.56666666666666</v>
      </c>
      <c r="E208" s="206">
        <v>4.8850110883531626</v>
      </c>
      <c r="F208" s="206" t="s">
        <v>558</v>
      </c>
      <c r="G208" s="3"/>
      <c r="H208" s="206" t="s">
        <v>2855</v>
      </c>
      <c r="I208" s="206" t="s">
        <v>2855</v>
      </c>
      <c r="J208" s="206" t="s">
        <v>558</v>
      </c>
      <c r="K208" s="353"/>
      <c r="L208" s="344">
        <v>5.2379786369601931</v>
      </c>
      <c r="M208" s="344">
        <v>7.5322155417457868</v>
      </c>
      <c r="N208" s="206" t="s">
        <v>1124</v>
      </c>
      <c r="O208" s="3"/>
      <c r="P208" s="206">
        <v>-106.65</v>
      </c>
      <c r="Q208" s="206">
        <v>0.91923881554250975</v>
      </c>
      <c r="R208" s="206" t="s">
        <v>558</v>
      </c>
      <c r="S208" s="3"/>
      <c r="T208" s="206" t="s">
        <v>2855</v>
      </c>
      <c r="U208" s="206" t="s">
        <v>2855</v>
      </c>
      <c r="V208" s="206" t="s">
        <v>558</v>
      </c>
      <c r="W208" s="3"/>
      <c r="X208" s="206" t="s">
        <v>2855</v>
      </c>
      <c r="Y208" s="206" t="s">
        <v>2855</v>
      </c>
      <c r="Z208" s="350" t="s">
        <v>558</v>
      </c>
      <c r="AA208" s="4"/>
      <c r="AB208" s="206">
        <v>11.609699222331166</v>
      </c>
      <c r="AC208" s="206">
        <v>0.24084166946195062</v>
      </c>
      <c r="AD208" s="206" t="s">
        <v>558</v>
      </c>
      <c r="AE208" s="3"/>
      <c r="AF208" s="206" t="s">
        <v>2855</v>
      </c>
      <c r="AG208" s="206" t="s">
        <v>2855</v>
      </c>
      <c r="AH208" s="206" t="s">
        <v>558</v>
      </c>
      <c r="AI208" s="3"/>
      <c r="AJ208" s="206" t="s">
        <v>2855</v>
      </c>
      <c r="AK208" s="206" t="s">
        <v>2855</v>
      </c>
      <c r="AL208" s="206" t="s">
        <v>558</v>
      </c>
      <c r="AM208" s="3"/>
      <c r="AN208" s="206">
        <v>-5.2702642012958201</v>
      </c>
      <c r="AO208" s="206">
        <v>0.18378959287479971</v>
      </c>
      <c r="AP208" s="206" t="s">
        <v>558</v>
      </c>
      <c r="AQ208" s="3"/>
      <c r="AR208" s="206">
        <v>-5.2702642012958201</v>
      </c>
      <c r="AS208" s="206">
        <v>0.18378959287479971</v>
      </c>
      <c r="AT208" s="206" t="s">
        <v>558</v>
      </c>
      <c r="AU208" s="3"/>
      <c r="AV208" s="206" t="s">
        <v>2855</v>
      </c>
      <c r="AW208" s="206" t="s">
        <v>2855</v>
      </c>
      <c r="AX208" s="206" t="s">
        <v>558</v>
      </c>
      <c r="AY208" s="3"/>
      <c r="AZ208" s="52"/>
      <c r="BA208" s="52"/>
      <c r="BB208" s="52"/>
      <c r="BC208" s="3"/>
      <c r="BF208" s="42"/>
    </row>
    <row r="209" spans="1:58">
      <c r="A209" s="18"/>
      <c r="B209" s="19"/>
      <c r="C209" s="3"/>
      <c r="D209" s="176">
        <v>117.7731867648</v>
      </c>
      <c r="E209" s="176">
        <v>25.132915828795085</v>
      </c>
      <c r="F209" s="206" t="s">
        <v>1124</v>
      </c>
      <c r="G209" s="3"/>
      <c r="H209" s="176">
        <v>13.571716907400017</v>
      </c>
      <c r="I209" s="176">
        <v>19.038133043362595</v>
      </c>
      <c r="J209" s="206" t="s">
        <v>1124</v>
      </c>
      <c r="K209" s="353"/>
      <c r="L209" s="206"/>
      <c r="M209" s="206"/>
      <c r="N209" s="206"/>
      <c r="O209" s="3"/>
      <c r="P209" s="178">
        <v>-112.53520812783981</v>
      </c>
      <c r="Q209" s="178">
        <v>12.272752192797826</v>
      </c>
      <c r="R209" s="206" t="s">
        <v>1124</v>
      </c>
      <c r="S209" s="3"/>
      <c r="T209" s="178">
        <v>159.06712350000001</v>
      </c>
      <c r="U209" s="178">
        <v>29.820154575421501</v>
      </c>
      <c r="V209" s="206" t="s">
        <v>1124</v>
      </c>
      <c r="W209" s="3"/>
      <c r="X209" s="178">
        <v>0.71806000000001347</v>
      </c>
      <c r="Y209" s="178">
        <v>0.29455765287966429</v>
      </c>
      <c r="Z209" s="350" t="s">
        <v>1124</v>
      </c>
      <c r="AA209" s="4"/>
      <c r="AB209" s="178">
        <v>11.6806</v>
      </c>
      <c r="AC209" s="178">
        <v>0.77138682400000003</v>
      </c>
      <c r="AD209" s="206" t="s">
        <v>1124</v>
      </c>
      <c r="AE209" s="3"/>
      <c r="AF209" s="178">
        <v>6.0075900000000004</v>
      </c>
      <c r="AG209" s="178">
        <v>2.7993146591700002</v>
      </c>
      <c r="AH209" s="206" t="s">
        <v>1124</v>
      </c>
      <c r="AI209" s="3"/>
      <c r="AJ209" s="178">
        <v>-4.9214883845347419</v>
      </c>
      <c r="AK209" s="178">
        <v>1.3941247791523099</v>
      </c>
      <c r="AL209" s="206" t="s">
        <v>1124</v>
      </c>
      <c r="AM209" s="3"/>
      <c r="AN209" s="178">
        <v>-7.7055337738384067</v>
      </c>
      <c r="AO209" s="178">
        <v>1.7297767492201146</v>
      </c>
      <c r="AP209" s="206" t="s">
        <v>1124</v>
      </c>
      <c r="AQ209" s="3"/>
      <c r="AR209" s="178">
        <v>-7.7055337738384067</v>
      </c>
      <c r="AS209" s="178">
        <v>1.7297767492201146</v>
      </c>
      <c r="AT209" s="206" t="s">
        <v>1124</v>
      </c>
      <c r="AU209" s="3"/>
      <c r="AV209" s="178">
        <v>2.7322344999999979</v>
      </c>
      <c r="AW209" s="178">
        <v>0.49379947341949965</v>
      </c>
      <c r="AX209" s="206" t="s">
        <v>1124</v>
      </c>
      <c r="AY209" s="3"/>
      <c r="AZ209" s="178"/>
      <c r="BA209" s="178"/>
      <c r="BB209" s="206"/>
      <c r="BC209" s="3"/>
      <c r="BD209" s="178"/>
      <c r="BE209" s="178"/>
      <c r="BF209" s="350"/>
    </row>
    <row r="210" spans="1:58">
      <c r="A210" s="18"/>
      <c r="B210" s="19"/>
      <c r="C210" s="3"/>
      <c r="D210" s="176"/>
      <c r="E210" s="176"/>
      <c r="F210" s="206"/>
      <c r="G210" s="3"/>
      <c r="H210" s="176"/>
      <c r="I210" s="176"/>
      <c r="J210" s="206"/>
      <c r="K210" s="353"/>
      <c r="L210" s="206"/>
      <c r="M210" s="206"/>
      <c r="N210" s="206"/>
      <c r="O210" s="3"/>
      <c r="P210" s="178"/>
      <c r="Q210" s="178"/>
      <c r="R210" s="206"/>
      <c r="S210" s="3"/>
      <c r="T210" s="178"/>
      <c r="U210" s="178"/>
      <c r="V210" s="206"/>
      <c r="W210" s="3"/>
      <c r="X210" s="178"/>
      <c r="Y210" s="178"/>
      <c r="Z210" s="350"/>
      <c r="AA210" s="4"/>
      <c r="AB210" s="9"/>
      <c r="AC210" s="9"/>
      <c r="AD210" s="4"/>
      <c r="AE210" s="3"/>
      <c r="AF210" s="9"/>
      <c r="AG210" s="9"/>
      <c r="AH210" s="4"/>
      <c r="AI210" s="3"/>
      <c r="AJ210" s="9"/>
      <c r="AK210" s="9"/>
      <c r="AL210" s="4"/>
      <c r="AM210" s="3"/>
      <c r="AN210" s="9"/>
      <c r="AO210" s="9"/>
      <c r="AP210" s="4"/>
      <c r="AQ210" s="3"/>
      <c r="AR210" s="9"/>
      <c r="AS210" s="9"/>
      <c r="AT210" s="4"/>
      <c r="AU210" s="3"/>
      <c r="AV210" s="9"/>
      <c r="AW210" s="9"/>
      <c r="AX210" s="4"/>
      <c r="AY210" s="3"/>
      <c r="AZ210" s="9"/>
      <c r="BA210" s="9"/>
      <c r="BB210" s="4"/>
      <c r="BC210" s="3"/>
      <c r="BD210" s="9"/>
      <c r="BE210" s="9"/>
      <c r="BF210" s="122"/>
    </row>
    <row r="211" spans="1:58">
      <c r="A211" s="18" t="s">
        <v>410</v>
      </c>
      <c r="B211" s="19" t="s">
        <v>437</v>
      </c>
      <c r="C211" s="157">
        <v>101.09917995795681</v>
      </c>
      <c r="D211" s="30" t="s">
        <v>2855</v>
      </c>
      <c r="E211" s="30" t="s">
        <v>2855</v>
      </c>
      <c r="F211" s="30" t="s">
        <v>2743</v>
      </c>
      <c r="G211" s="157">
        <v>-11.088972618884799</v>
      </c>
      <c r="H211" s="30" t="s">
        <v>2855</v>
      </c>
      <c r="I211" s="30" t="s">
        <v>2855</v>
      </c>
      <c r="J211" s="30" t="s">
        <v>2743</v>
      </c>
      <c r="K211" s="157">
        <v>-1.1612803694072884</v>
      </c>
      <c r="L211" s="113">
        <v>-1.1612803694072884</v>
      </c>
      <c r="M211" s="30">
        <v>13.772313825074649</v>
      </c>
      <c r="N211" s="355" t="s">
        <v>1498</v>
      </c>
      <c r="O211" s="157">
        <v>-99.869460327364095</v>
      </c>
      <c r="P211" s="30" t="s">
        <v>2855</v>
      </c>
      <c r="Q211" s="30" t="s">
        <v>2855</v>
      </c>
      <c r="R211" s="30" t="s">
        <v>2743</v>
      </c>
      <c r="S211" s="157">
        <v>109.79831267151999</v>
      </c>
      <c r="T211" s="30" t="s">
        <v>2855</v>
      </c>
      <c r="U211" s="30" t="s">
        <v>2855</v>
      </c>
      <c r="V211" s="30" t="s">
        <v>2743</v>
      </c>
      <c r="W211" s="157">
        <v>9.9296335520808601</v>
      </c>
      <c r="X211" s="30" t="s">
        <v>2855</v>
      </c>
      <c r="Y211" s="30" t="s">
        <v>2855</v>
      </c>
      <c r="Z211" s="300" t="s">
        <v>2743</v>
      </c>
      <c r="AA211" s="157">
        <v>10.675287912546301</v>
      </c>
      <c r="AB211" s="30">
        <v>10.8777928181386</v>
      </c>
      <c r="AC211" s="30">
        <v>0.41462011102913299</v>
      </c>
      <c r="AD211" s="30" t="s">
        <v>2743</v>
      </c>
      <c r="AE211" s="157">
        <v>5.7949632675087601</v>
      </c>
      <c r="AF211" s="30">
        <v>5.8965870374884499</v>
      </c>
      <c r="AG211" s="30">
        <v>0.52055586009182098</v>
      </c>
      <c r="AH211" s="30" t="s">
        <v>2743</v>
      </c>
      <c r="AI211" s="157">
        <v>-4.8752904527172101</v>
      </c>
      <c r="AJ211" s="30">
        <v>-4.9828149501421599</v>
      </c>
      <c r="AK211" s="30">
        <v>0.56610321008711795</v>
      </c>
      <c r="AL211" s="30" t="s">
        <v>2743</v>
      </c>
      <c r="AM211" s="157">
        <v>-4.2828260702145764</v>
      </c>
      <c r="AN211" s="30">
        <v>-4.2358231467977365</v>
      </c>
      <c r="AO211" s="30">
        <v>0.21089140582881</v>
      </c>
      <c r="AP211" s="30" t="s">
        <v>2743</v>
      </c>
      <c r="AQ211" s="157">
        <v>-2.80358001679536</v>
      </c>
      <c r="AR211" s="30">
        <v>-2.64876176694351</v>
      </c>
      <c r="AS211" s="30">
        <v>0.56847099663099598</v>
      </c>
      <c r="AT211" s="30" t="s">
        <v>2743</v>
      </c>
      <c r="AU211" s="157">
        <v>2.9898267036797299</v>
      </c>
      <c r="AV211" s="30">
        <v>3.2477318930925798</v>
      </c>
      <c r="AW211" s="30">
        <v>0.45772270672412502</v>
      </c>
      <c r="AX211" s="30" t="s">
        <v>2743</v>
      </c>
      <c r="AY211" s="157" t="s">
        <v>2855</v>
      </c>
      <c r="AZ211" s="30" t="s">
        <v>2855</v>
      </c>
      <c r="BA211" s="30" t="s">
        <v>2855</v>
      </c>
      <c r="BB211" s="30" t="s">
        <v>558</v>
      </c>
      <c r="BC211" s="157">
        <v>-67</v>
      </c>
      <c r="BD211" s="30">
        <v>-67</v>
      </c>
      <c r="BE211" s="30">
        <v>18.384776310850235</v>
      </c>
      <c r="BF211" s="300" t="s">
        <v>558</v>
      </c>
    </row>
    <row r="212" spans="1:58">
      <c r="A212" s="18"/>
      <c r="B212" s="171">
        <v>362.40600000000001</v>
      </c>
      <c r="C212" s="157">
        <v>11.011637512480601</v>
      </c>
      <c r="D212" s="30">
        <v>101.09917995795681</v>
      </c>
      <c r="E212" s="30">
        <v>11.011637512480601</v>
      </c>
      <c r="F212" s="8" t="s">
        <v>2742</v>
      </c>
      <c r="G212" s="157">
        <v>21.100743869147799</v>
      </c>
      <c r="H212" s="30">
        <v>-11.088972618884799</v>
      </c>
      <c r="I212" s="30">
        <v>21.100743869147799</v>
      </c>
      <c r="J212" s="8" t="s">
        <v>2742</v>
      </c>
      <c r="K212" s="158">
        <v>13.772313825074649</v>
      </c>
      <c r="L212" s="113">
        <v>-1.1593390668039394</v>
      </c>
      <c r="M212" s="113">
        <v>29.496634988824312</v>
      </c>
      <c r="N212" s="13" t="s">
        <v>1499</v>
      </c>
      <c r="O212" s="157">
        <v>8.2716665424854003</v>
      </c>
      <c r="P212" s="30">
        <v>-99.869460327364095</v>
      </c>
      <c r="Q212" s="30">
        <v>8.2716665424854003</v>
      </c>
      <c r="R212" s="8" t="s">
        <v>2742</v>
      </c>
      <c r="S212" s="157">
        <v>20.097519383971299</v>
      </c>
      <c r="T212" s="30">
        <v>109.79831267151999</v>
      </c>
      <c r="U212" s="30">
        <v>20.097519383971299</v>
      </c>
      <c r="V212" s="8" t="s">
        <v>2742</v>
      </c>
      <c r="W212" s="157">
        <v>20.610921469758601</v>
      </c>
      <c r="X212" s="30">
        <v>9.9296335520808601</v>
      </c>
      <c r="Y212" s="30">
        <v>20.610921469758601</v>
      </c>
      <c r="Z212" s="498" t="s">
        <v>2742</v>
      </c>
      <c r="AA212" s="157">
        <v>0.33398383073736798</v>
      </c>
      <c r="AB212" s="30">
        <v>10.675287912546301</v>
      </c>
      <c r="AC212" s="30">
        <v>0.33398383073736798</v>
      </c>
      <c r="AD212" s="8" t="s">
        <v>2742</v>
      </c>
      <c r="AE212" s="157">
        <v>0.50968656807235801</v>
      </c>
      <c r="AF212" s="30">
        <v>5.7949632675087601</v>
      </c>
      <c r="AG212" s="30">
        <v>0.50968656807235801</v>
      </c>
      <c r="AH212" s="8" t="s">
        <v>2742</v>
      </c>
      <c r="AI212" s="157">
        <v>0.55497817625254997</v>
      </c>
      <c r="AJ212" s="30">
        <v>-4.8752904527172101</v>
      </c>
      <c r="AK212" s="30">
        <v>0.55497817625254997</v>
      </c>
      <c r="AL212" s="8" t="s">
        <v>2742</v>
      </c>
      <c r="AM212" s="157">
        <v>0.20418370655222601</v>
      </c>
      <c r="AN212" s="30">
        <v>-4.2828260702145764</v>
      </c>
      <c r="AO212" s="30">
        <v>0.20418370655222601</v>
      </c>
      <c r="AP212" s="8" t="s">
        <v>2742</v>
      </c>
      <c r="AQ212" s="157">
        <v>0.53853196545760296</v>
      </c>
      <c r="AR212" s="30">
        <v>-2.80358001679536</v>
      </c>
      <c r="AS212" s="30">
        <v>0.53853196545760296</v>
      </c>
      <c r="AT212" s="8" t="s">
        <v>2742</v>
      </c>
      <c r="AU212" s="157">
        <v>0.33486562510448598</v>
      </c>
      <c r="AV212" s="30">
        <v>2.9898267036797299</v>
      </c>
      <c r="AW212" s="30">
        <v>0.33486562510448598</v>
      </c>
      <c r="AX212" s="8" t="s">
        <v>2742</v>
      </c>
      <c r="AY212" s="157" t="s">
        <v>2855</v>
      </c>
      <c r="AZ212" s="30"/>
      <c r="BA212" s="30"/>
      <c r="BB212" s="101"/>
      <c r="BC212" s="157">
        <v>18.384776310850235</v>
      </c>
      <c r="BD212" s="30"/>
      <c r="BE212" s="30"/>
      <c r="BF212" s="277"/>
    </row>
    <row r="213" spans="1:58">
      <c r="A213" s="18"/>
      <c r="B213" s="19"/>
      <c r="C213" s="3"/>
      <c r="D213" s="206">
        <v>98.617666666666665</v>
      </c>
      <c r="E213" s="206">
        <v>11.372626624194313</v>
      </c>
      <c r="F213" s="206" t="s">
        <v>558</v>
      </c>
      <c r="G213" s="3"/>
      <c r="H213" s="206" t="s">
        <v>2855</v>
      </c>
      <c r="I213" s="206" t="s">
        <v>2855</v>
      </c>
      <c r="J213" s="206" t="s">
        <v>558</v>
      </c>
      <c r="K213" s="353"/>
      <c r="L213" s="344">
        <v>5.8272615858800378</v>
      </c>
      <c r="M213" s="344">
        <v>8.3796046767491603</v>
      </c>
      <c r="N213" s="206" t="s">
        <v>1124</v>
      </c>
      <c r="O213" s="3"/>
      <c r="P213" s="206">
        <v>-99.75</v>
      </c>
      <c r="Q213" s="206">
        <v>6.7175144212722016</v>
      </c>
      <c r="R213" s="206" t="s">
        <v>558</v>
      </c>
      <c r="S213" s="3"/>
      <c r="T213" s="206" t="s">
        <v>2855</v>
      </c>
      <c r="U213" s="206" t="s">
        <v>2855</v>
      </c>
      <c r="V213" s="206" t="s">
        <v>558</v>
      </c>
      <c r="W213" s="3"/>
      <c r="X213" s="206" t="s">
        <v>2855</v>
      </c>
      <c r="Y213" s="206" t="s">
        <v>2855</v>
      </c>
      <c r="Z213" s="350" t="s">
        <v>558</v>
      </c>
      <c r="AA213" s="4"/>
      <c r="AB213" s="206">
        <v>10.879999999999999</v>
      </c>
      <c r="AC213" s="206">
        <v>0.45254833995938959</v>
      </c>
      <c r="AD213" s="206" t="s">
        <v>558</v>
      </c>
      <c r="AE213" s="3"/>
      <c r="AF213" s="206">
        <v>5.8888935656628503</v>
      </c>
      <c r="AG213" s="206">
        <v>0.4666388278829241</v>
      </c>
      <c r="AH213" s="206" t="s">
        <v>558</v>
      </c>
      <c r="AI213" s="3"/>
      <c r="AJ213" s="206">
        <v>-5.5353437273052064</v>
      </c>
      <c r="AK213" s="206">
        <v>1.6606031181915619</v>
      </c>
      <c r="AL213" s="206" t="s">
        <v>558</v>
      </c>
      <c r="AM213" s="3"/>
      <c r="AN213" s="206">
        <v>-4.2249019599857434</v>
      </c>
      <c r="AO213" s="206">
        <v>0.21483584436789924</v>
      </c>
      <c r="AP213" s="206" t="s">
        <v>558</v>
      </c>
      <c r="AQ213" s="3"/>
      <c r="AR213" s="206">
        <v>-4.2249019599857434</v>
      </c>
      <c r="AS213" s="206">
        <v>0.21483584436789924</v>
      </c>
      <c r="AT213" s="206" t="s">
        <v>558</v>
      </c>
      <c r="AU213" s="3"/>
      <c r="AV213" s="206" t="s">
        <v>2855</v>
      </c>
      <c r="AW213" s="206" t="s">
        <v>2855</v>
      </c>
      <c r="AX213" s="206" t="s">
        <v>558</v>
      </c>
      <c r="AY213" s="3"/>
      <c r="AZ213" s="52"/>
      <c r="BA213" s="52"/>
      <c r="BB213" s="52"/>
      <c r="BC213" s="3"/>
      <c r="BF213" s="42"/>
    </row>
    <row r="214" spans="1:58">
      <c r="A214" s="18"/>
      <c r="B214" s="19"/>
      <c r="C214" s="3"/>
      <c r="D214" s="176">
        <v>108.02268705856</v>
      </c>
      <c r="E214" s="176">
        <v>23.052149440983762</v>
      </c>
      <c r="F214" s="206" t="s">
        <v>1124</v>
      </c>
      <c r="G214" s="3"/>
      <c r="H214" s="176">
        <v>12.004375829927909</v>
      </c>
      <c r="I214" s="176">
        <v>16.83949832670627</v>
      </c>
      <c r="J214" s="206" t="s">
        <v>1124</v>
      </c>
      <c r="K214" s="353"/>
      <c r="L214" s="206"/>
      <c r="M214" s="206"/>
      <c r="N214" s="206"/>
      <c r="O214" s="3"/>
      <c r="P214" s="178">
        <v>-102.19542547267996</v>
      </c>
      <c r="Q214" s="178">
        <v>11.145126515774058</v>
      </c>
      <c r="R214" s="206" t="s">
        <v>1124</v>
      </c>
      <c r="S214" s="3"/>
      <c r="T214" s="178">
        <v>135.47459039999998</v>
      </c>
      <c r="U214" s="178">
        <v>25.397285987697597</v>
      </c>
      <c r="V214" s="206" t="s">
        <v>1124</v>
      </c>
      <c r="W214" s="3"/>
      <c r="X214" s="178">
        <v>8.2935040000000111</v>
      </c>
      <c r="Y214" s="178">
        <v>3.402104381789913</v>
      </c>
      <c r="Z214" s="350" t="s">
        <v>1124</v>
      </c>
      <c r="AA214" s="4"/>
      <c r="AB214" s="178">
        <v>11.7254</v>
      </c>
      <c r="AC214" s="178">
        <v>0.77434541600000006</v>
      </c>
      <c r="AD214" s="206" t="s">
        <v>1124</v>
      </c>
      <c r="AE214" s="3"/>
      <c r="AF214" s="178">
        <v>5.7038000000000002</v>
      </c>
      <c r="AG214" s="178">
        <v>2.6577597594000002</v>
      </c>
      <c r="AH214" s="206" t="s">
        <v>1124</v>
      </c>
      <c r="AI214" s="3"/>
      <c r="AJ214" s="178">
        <v>-4.9945711123709158</v>
      </c>
      <c r="AK214" s="178">
        <v>1.4148271427146464</v>
      </c>
      <c r="AL214" s="206" t="s">
        <v>1124</v>
      </c>
      <c r="AM214" s="3"/>
      <c r="AN214" s="178">
        <v>-4.5686362358410131</v>
      </c>
      <c r="AO214" s="178">
        <v>1.0255903054027697</v>
      </c>
      <c r="AP214" s="206" t="s">
        <v>1124</v>
      </c>
      <c r="AQ214" s="3"/>
      <c r="AR214" s="178">
        <v>-4.5686362358410131</v>
      </c>
      <c r="AS214" s="178">
        <v>1.0255903054027697</v>
      </c>
      <c r="AT214" s="206" t="s">
        <v>1124</v>
      </c>
      <c r="AU214" s="3"/>
      <c r="AV214" s="178">
        <v>2.6897827999999979</v>
      </c>
      <c r="AW214" s="178">
        <v>0.48612713522679962</v>
      </c>
      <c r="AX214" s="206" t="s">
        <v>1124</v>
      </c>
      <c r="AY214" s="3"/>
      <c r="AZ214" s="178"/>
      <c r="BA214" s="178"/>
      <c r="BB214" s="206"/>
      <c r="BC214" s="3"/>
      <c r="BD214" s="178"/>
      <c r="BE214" s="178"/>
      <c r="BF214" s="350"/>
    </row>
    <row r="215" spans="1:58">
      <c r="A215" s="18"/>
      <c r="B215" s="19"/>
      <c r="C215" s="87"/>
      <c r="D215" s="119"/>
      <c r="E215" s="119"/>
      <c r="F215" s="19"/>
      <c r="G215" s="80"/>
      <c r="H215" s="119"/>
      <c r="I215" s="119"/>
      <c r="J215" s="19"/>
      <c r="K215" s="18"/>
      <c r="L215" s="19"/>
      <c r="M215" s="19"/>
      <c r="N215" s="19"/>
      <c r="O215" s="115"/>
      <c r="P215" s="119"/>
      <c r="Q215" s="119"/>
      <c r="R215" s="19"/>
      <c r="S215" s="187"/>
      <c r="W215" s="187"/>
      <c r="X215" s="318"/>
      <c r="Y215" s="318"/>
      <c r="Z215" s="207"/>
      <c r="AA215" s="4"/>
      <c r="AB215" s="9"/>
      <c r="AC215" s="9"/>
      <c r="AD215" s="4"/>
      <c r="AE215" s="3"/>
      <c r="AF215" s="9"/>
      <c r="AG215" s="9"/>
      <c r="AH215" s="4"/>
      <c r="AI215" s="3"/>
      <c r="AJ215" s="9"/>
      <c r="AK215" s="9"/>
      <c r="AL215" s="4"/>
      <c r="AM215" s="3"/>
      <c r="AN215" s="9"/>
      <c r="AO215" s="9"/>
      <c r="AP215" s="4"/>
      <c r="AQ215" s="3"/>
      <c r="AR215" s="9"/>
      <c r="AS215" s="9"/>
      <c r="AT215" s="4"/>
      <c r="AU215" s="3"/>
      <c r="AV215" s="9"/>
      <c r="AW215" s="9"/>
      <c r="AX215" s="4"/>
      <c r="AY215" s="3"/>
      <c r="AZ215" s="9"/>
      <c r="BA215" s="9"/>
      <c r="BB215" s="4"/>
      <c r="BC215" s="3"/>
      <c r="BD215" s="9"/>
      <c r="BE215" s="9"/>
      <c r="BF215" s="122"/>
    </row>
    <row r="216" spans="1:58">
      <c r="A216" s="3" t="s">
        <v>93</v>
      </c>
      <c r="B216" s="4" t="s">
        <v>94</v>
      </c>
      <c r="C216" s="157">
        <v>86.783866177396305</v>
      </c>
      <c r="D216" s="30" t="s">
        <v>2855</v>
      </c>
      <c r="E216" s="30" t="s">
        <v>2855</v>
      </c>
      <c r="F216" s="30" t="s">
        <v>2743</v>
      </c>
      <c r="G216" s="157">
        <v>-29.7448969420232</v>
      </c>
      <c r="H216" s="30" t="s">
        <v>2855</v>
      </c>
      <c r="I216" s="30" t="s">
        <v>2855</v>
      </c>
      <c r="J216" s="30" t="s">
        <v>2743</v>
      </c>
      <c r="K216" s="157">
        <v>-30.813498639546687</v>
      </c>
      <c r="L216" s="113">
        <v>-30.813498639546687</v>
      </c>
      <c r="M216" s="30">
        <v>44.383692197118904</v>
      </c>
      <c r="N216" s="355" t="s">
        <v>1498</v>
      </c>
      <c r="O216" s="157">
        <v>-115.20636481694299</v>
      </c>
      <c r="P216" s="30" t="s">
        <v>2855</v>
      </c>
      <c r="Q216" s="30" t="s">
        <v>2855</v>
      </c>
      <c r="R216" s="30" t="s">
        <v>2743</v>
      </c>
      <c r="S216" s="157">
        <v>114.138102837451</v>
      </c>
      <c r="T216" s="30" t="s">
        <v>2855</v>
      </c>
      <c r="U216" s="30" t="s">
        <v>2855</v>
      </c>
      <c r="V216" s="30" t="s">
        <v>2743</v>
      </c>
      <c r="W216" s="157">
        <v>-1.0687283041955999</v>
      </c>
      <c r="X216" s="30" t="s">
        <v>2855</v>
      </c>
      <c r="Y216" s="30" t="s">
        <v>2855</v>
      </c>
      <c r="Z216" s="300" t="s">
        <v>2743</v>
      </c>
      <c r="AA216" s="157">
        <v>11.3091414212968</v>
      </c>
      <c r="AB216" s="30" t="s">
        <v>2855</v>
      </c>
      <c r="AC216" s="30" t="s">
        <v>2855</v>
      </c>
      <c r="AD216" s="30" t="s">
        <v>2743</v>
      </c>
      <c r="AE216" s="157">
        <v>4.7197792024764098</v>
      </c>
      <c r="AF216" s="30" t="s">
        <v>2855</v>
      </c>
      <c r="AG216" s="30" t="s">
        <v>2855</v>
      </c>
      <c r="AH216" s="30" t="s">
        <v>2743</v>
      </c>
      <c r="AI216" s="157">
        <v>-6.5926844852259698</v>
      </c>
      <c r="AJ216" s="30" t="s">
        <v>2855</v>
      </c>
      <c r="AK216" s="30" t="s">
        <v>2855</v>
      </c>
      <c r="AL216" s="30" t="s">
        <v>2743</v>
      </c>
      <c r="AM216" s="157">
        <v>-5.3085909890578575</v>
      </c>
      <c r="AN216" s="30" t="s">
        <v>2855</v>
      </c>
      <c r="AO216" s="30" t="s">
        <v>2855</v>
      </c>
      <c r="AP216" s="30" t="s">
        <v>2743</v>
      </c>
      <c r="AQ216" s="157">
        <v>-2.1131324434926499</v>
      </c>
      <c r="AR216" s="30" t="s">
        <v>2855</v>
      </c>
      <c r="AS216" s="30" t="s">
        <v>2855</v>
      </c>
      <c r="AT216" s="30" t="s">
        <v>2743</v>
      </c>
      <c r="AU216" s="157">
        <v>2.60622503223119</v>
      </c>
      <c r="AV216" s="30" t="s">
        <v>2855</v>
      </c>
      <c r="AW216" s="30" t="s">
        <v>2855</v>
      </c>
      <c r="AX216" s="30" t="s">
        <v>2743</v>
      </c>
      <c r="AY216" s="157" t="s">
        <v>2855</v>
      </c>
      <c r="AZ216" s="30" t="s">
        <v>2855</v>
      </c>
      <c r="BA216" s="30" t="s">
        <v>2855</v>
      </c>
      <c r="BB216" s="30" t="s">
        <v>558</v>
      </c>
      <c r="BC216" s="157">
        <v>119.5</v>
      </c>
      <c r="BD216" s="30">
        <v>119.5</v>
      </c>
      <c r="BE216" s="30">
        <v>5.5168032040291219</v>
      </c>
      <c r="BF216" s="300" t="s">
        <v>558</v>
      </c>
    </row>
    <row r="217" spans="1:58">
      <c r="A217" s="3"/>
      <c r="B217" s="171">
        <v>697.61300000000006</v>
      </c>
      <c r="C217" s="157">
        <v>22.492597513250701</v>
      </c>
      <c r="D217" s="30">
        <v>86.783866177396305</v>
      </c>
      <c r="E217" s="30">
        <v>22.492597513250701</v>
      </c>
      <c r="F217" s="8" t="s">
        <v>2742</v>
      </c>
      <c r="G217" s="157">
        <v>33.541195480794897</v>
      </c>
      <c r="H217" s="30">
        <v>-29.7448969420232</v>
      </c>
      <c r="I217" s="30">
        <v>33.541195480794897</v>
      </c>
      <c r="J217" s="8" t="s">
        <v>2742</v>
      </c>
      <c r="K217" s="158">
        <v>44.383692197118904</v>
      </c>
      <c r="L217" s="113">
        <v>-30.813625246218798</v>
      </c>
      <c r="M217" s="113">
        <v>50.562262099790281</v>
      </c>
      <c r="N217" s="13" t="s">
        <v>1499</v>
      </c>
      <c r="O217" s="157">
        <v>38.262190085716497</v>
      </c>
      <c r="P217" s="30">
        <v>-115.20636481694299</v>
      </c>
      <c r="Q217" s="30">
        <v>38.262190085716497</v>
      </c>
      <c r="R217" s="8" t="s">
        <v>2742</v>
      </c>
      <c r="S217" s="157">
        <v>32.021030486461697</v>
      </c>
      <c r="T217" s="30">
        <v>114.138102837451</v>
      </c>
      <c r="U217" s="30">
        <v>32.021030486461697</v>
      </c>
      <c r="V217" s="8" t="s">
        <v>2742</v>
      </c>
      <c r="W217" s="157">
        <v>37.835572605247997</v>
      </c>
      <c r="X217" s="30">
        <v>-1.0687283041955999</v>
      </c>
      <c r="Y217" s="30">
        <v>37.835572605247997</v>
      </c>
      <c r="Z217" s="498" t="s">
        <v>2742</v>
      </c>
      <c r="AA217" s="157">
        <v>1.3782945112654601</v>
      </c>
      <c r="AB217" s="30">
        <v>11.3091414212968</v>
      </c>
      <c r="AC217" s="30">
        <v>1.3782945112654601</v>
      </c>
      <c r="AD217" s="8" t="s">
        <v>2742</v>
      </c>
      <c r="AE217" s="157">
        <v>0.69057665760228404</v>
      </c>
      <c r="AF217" s="30">
        <v>4.7197792024764098</v>
      </c>
      <c r="AG217" s="30">
        <v>0.69057665760228404</v>
      </c>
      <c r="AH217" s="8" t="s">
        <v>2742</v>
      </c>
      <c r="AI217" s="157">
        <v>1.2840936411518999</v>
      </c>
      <c r="AJ217" s="30">
        <v>-6.5926844852259698</v>
      </c>
      <c r="AK217" s="30">
        <v>1.2840936411518999</v>
      </c>
      <c r="AL217" s="8" t="s">
        <v>2742</v>
      </c>
      <c r="AM217" s="157">
        <v>1.2175092937138801</v>
      </c>
      <c r="AN217" s="30">
        <v>-5.3085909890578575</v>
      </c>
      <c r="AO217" s="30">
        <v>1.2175092937138801</v>
      </c>
      <c r="AP217" s="8" t="s">
        <v>2742</v>
      </c>
      <c r="AQ217" s="157">
        <v>0.68439043918535103</v>
      </c>
      <c r="AR217" s="30">
        <v>-2.1131324434926499</v>
      </c>
      <c r="AS217" s="30">
        <v>0.68439043918535103</v>
      </c>
      <c r="AT217" s="8" t="s">
        <v>2742</v>
      </c>
      <c r="AU217" s="157">
        <v>0.92895326664342004</v>
      </c>
      <c r="AV217" s="30">
        <v>2.60622503223119</v>
      </c>
      <c r="AW217" s="30">
        <v>0.92895326664342004</v>
      </c>
      <c r="AX217" s="8" t="s">
        <v>2742</v>
      </c>
      <c r="AY217" s="157" t="s">
        <v>2855</v>
      </c>
      <c r="AZ217" s="30"/>
      <c r="BA217" s="30"/>
      <c r="BB217" s="101"/>
      <c r="BC217" s="157">
        <v>5.5168032040291219</v>
      </c>
      <c r="BD217" s="30"/>
      <c r="BE217" s="30"/>
      <c r="BF217" s="277"/>
    </row>
    <row r="218" spans="1:58">
      <c r="A218" s="3"/>
      <c r="B218" s="171"/>
      <c r="C218" s="3"/>
      <c r="D218" s="206">
        <v>77.2</v>
      </c>
      <c r="E218" s="206">
        <v>5.5092559058066515</v>
      </c>
      <c r="F218" s="206" t="s">
        <v>558</v>
      </c>
      <c r="G218" s="3"/>
      <c r="H218" s="206" t="s">
        <v>2855</v>
      </c>
      <c r="I218" s="206" t="s">
        <v>2855</v>
      </c>
      <c r="J218" s="206" t="s">
        <v>558</v>
      </c>
      <c r="K218" s="353"/>
      <c r="L218" s="344">
        <v>13.007027706688376</v>
      </c>
      <c r="M218" s="344">
        <v>18.704111458746446</v>
      </c>
      <c r="N218" s="206" t="s">
        <v>1124</v>
      </c>
      <c r="O218" s="3"/>
      <c r="P218" s="206" t="s">
        <v>2855</v>
      </c>
      <c r="Q218" s="206" t="s">
        <v>2855</v>
      </c>
      <c r="R218" s="206" t="s">
        <v>558</v>
      </c>
      <c r="S218" s="3"/>
      <c r="T218" s="206" t="s">
        <v>2855</v>
      </c>
      <c r="U218" s="206" t="s">
        <v>2855</v>
      </c>
      <c r="V218" s="206" t="s">
        <v>558</v>
      </c>
      <c r="W218" s="3"/>
      <c r="X218" s="206" t="s">
        <v>2855</v>
      </c>
      <c r="Y218" s="206" t="s">
        <v>2855</v>
      </c>
      <c r="Z218" s="350" t="s">
        <v>558</v>
      </c>
      <c r="AA218" s="4"/>
      <c r="AB218" s="206" t="s">
        <v>2855</v>
      </c>
      <c r="AC218" s="206" t="s">
        <v>2855</v>
      </c>
      <c r="AD218" s="206" t="s">
        <v>558</v>
      </c>
      <c r="AE218" s="3"/>
      <c r="AF218" s="206">
        <v>4.7447500000000007</v>
      </c>
      <c r="AG218" s="206">
        <v>0.41719300090006356</v>
      </c>
      <c r="AH218" s="206" t="s">
        <v>558</v>
      </c>
      <c r="AI218" s="3"/>
      <c r="AJ218" s="206" t="s">
        <v>2855</v>
      </c>
      <c r="AK218" s="206" t="s">
        <v>2855</v>
      </c>
      <c r="AL218" s="206" t="s">
        <v>558</v>
      </c>
      <c r="AM218" s="3"/>
      <c r="AN218" s="206">
        <v>-4.3871611703129787</v>
      </c>
      <c r="AO218" s="206">
        <v>0.69608618959187496</v>
      </c>
      <c r="AP218" s="206" t="s">
        <v>558</v>
      </c>
      <c r="AQ218" s="3"/>
      <c r="AR218" s="206">
        <v>-4.3871611703129787</v>
      </c>
      <c r="AS218" s="206">
        <v>0.69608618959187496</v>
      </c>
      <c r="AT218" s="206" t="s">
        <v>558</v>
      </c>
      <c r="AU218" s="3"/>
      <c r="AV218" s="206" t="s">
        <v>2855</v>
      </c>
      <c r="AW218" s="206" t="s">
        <v>2855</v>
      </c>
      <c r="AX218" s="206" t="s">
        <v>558</v>
      </c>
      <c r="AY218" s="3"/>
      <c r="AZ218" s="52"/>
      <c r="BA218" s="52"/>
      <c r="BB218" s="52"/>
      <c r="BC218" s="3"/>
      <c r="BF218" s="42"/>
    </row>
    <row r="219" spans="1:58">
      <c r="A219" s="3"/>
      <c r="B219" s="171"/>
      <c r="C219" s="3"/>
      <c r="D219" s="176">
        <v>140.91485214648</v>
      </c>
      <c r="E219" s="176">
        <v>30.071370362910979</v>
      </c>
      <c r="F219" s="206" t="s">
        <v>1124</v>
      </c>
      <c r="G219" s="3"/>
      <c r="H219" s="176">
        <v>8.5225134635762458</v>
      </c>
      <c r="I219" s="176">
        <v>11.955211436435485</v>
      </c>
      <c r="J219" s="206" t="s">
        <v>1124</v>
      </c>
      <c r="K219" s="353"/>
      <c r="L219" s="206"/>
      <c r="M219" s="206"/>
      <c r="N219" s="206"/>
      <c r="O219" s="3"/>
      <c r="P219" s="178">
        <v>-127.90782443979163</v>
      </c>
      <c r="Q219" s="178">
        <v>13.949243609930356</v>
      </c>
      <c r="R219" s="206" t="s">
        <v>1124</v>
      </c>
      <c r="S219" s="3"/>
      <c r="T219" s="178">
        <v>139.24704929999999</v>
      </c>
      <c r="U219" s="178">
        <v>26.104505085221696</v>
      </c>
      <c r="V219" s="206" t="s">
        <v>1124</v>
      </c>
      <c r="W219" s="3"/>
      <c r="X219" s="178">
        <v>12.569867999999998</v>
      </c>
      <c r="Y219" s="178">
        <v>5.1563251191921706</v>
      </c>
      <c r="Z219" s="350" t="s">
        <v>1124</v>
      </c>
      <c r="AA219" s="4"/>
      <c r="AB219" s="178">
        <v>11.689500000000001</v>
      </c>
      <c r="AC219" s="178">
        <v>0.77197458000000008</v>
      </c>
      <c r="AD219" s="206" t="s">
        <v>1124</v>
      </c>
      <c r="AE219" s="3"/>
      <c r="AF219" s="178">
        <v>4.2579700000000003</v>
      </c>
      <c r="AG219" s="178">
        <v>1.9840564751100003</v>
      </c>
      <c r="AH219" s="206" t="s">
        <v>1124</v>
      </c>
      <c r="AI219" s="3"/>
      <c r="AJ219" s="178">
        <v>-9.8836998236453422</v>
      </c>
      <c r="AK219" s="178">
        <v>2.7997853001434869</v>
      </c>
      <c r="AL219" s="206" t="s">
        <v>1124</v>
      </c>
      <c r="AM219" s="3"/>
      <c r="AN219" s="178">
        <v>-7.6716203965612619</v>
      </c>
      <c r="AO219" s="178">
        <v>1.7221637047220548</v>
      </c>
      <c r="AP219" s="206" t="s">
        <v>1124</v>
      </c>
      <c r="AQ219" s="3"/>
      <c r="AR219" s="178">
        <v>-7.6716203965612619</v>
      </c>
      <c r="AS219" s="178">
        <v>1.7221637047220548</v>
      </c>
      <c r="AT219" s="206" t="s">
        <v>1124</v>
      </c>
      <c r="AU219" s="3"/>
      <c r="AV219" s="178">
        <v>1.7478950999999965</v>
      </c>
      <c r="AW219" s="178">
        <v>0.31589882931809937</v>
      </c>
      <c r="AX219" s="206" t="s">
        <v>1124</v>
      </c>
      <c r="AY219" s="3"/>
      <c r="AZ219" s="178"/>
      <c r="BA219" s="178"/>
      <c r="BB219" s="206"/>
      <c r="BC219" s="3"/>
      <c r="BD219" s="178"/>
      <c r="BE219" s="178"/>
      <c r="BF219" s="350"/>
    </row>
    <row r="220" spans="1:58">
      <c r="A220" s="3"/>
      <c r="B220" s="171"/>
      <c r="C220" s="157"/>
      <c r="D220" s="206"/>
      <c r="E220" s="206"/>
      <c r="F220" s="206"/>
      <c r="G220" s="157"/>
      <c r="H220" s="70"/>
      <c r="I220" s="70"/>
      <c r="J220" s="70"/>
      <c r="K220" s="83"/>
      <c r="L220" s="70"/>
      <c r="M220" s="70"/>
      <c r="N220" s="70"/>
      <c r="O220" s="191"/>
      <c r="P220" s="323"/>
      <c r="Q220" s="323"/>
      <c r="R220" s="180"/>
      <c r="S220" s="191"/>
      <c r="T220" s="323"/>
      <c r="U220" s="323"/>
      <c r="V220" s="180"/>
      <c r="W220" s="191"/>
      <c r="X220" s="318"/>
      <c r="Y220" s="318"/>
      <c r="Z220" s="485"/>
      <c r="AA220" s="4"/>
      <c r="AB220" s="9"/>
      <c r="AC220" s="9"/>
      <c r="AD220" s="4"/>
      <c r="AE220" s="3"/>
      <c r="AF220" s="9"/>
      <c r="AG220" s="9"/>
      <c r="AH220" s="4"/>
      <c r="AI220" s="3"/>
      <c r="AJ220" s="9"/>
      <c r="AK220" s="9"/>
      <c r="AL220" s="4"/>
      <c r="AM220" s="3"/>
      <c r="AN220" s="9"/>
      <c r="AO220" s="9"/>
      <c r="AP220" s="4"/>
      <c r="AQ220" s="3"/>
      <c r="AR220" s="9"/>
      <c r="AS220" s="9"/>
      <c r="AT220" s="4"/>
      <c r="AU220" s="3"/>
      <c r="AV220" s="9"/>
      <c r="AW220" s="9"/>
      <c r="AX220" s="4"/>
      <c r="AY220" s="3"/>
      <c r="AZ220" s="9"/>
      <c r="BA220" s="9"/>
      <c r="BB220" s="4"/>
      <c r="BC220" s="3"/>
      <c r="BD220" s="9"/>
      <c r="BE220" s="9"/>
      <c r="BF220" s="122"/>
    </row>
    <row r="221" spans="1:58">
      <c r="A221" s="511" t="s">
        <v>95</v>
      </c>
      <c r="B221" s="511"/>
      <c r="C221" s="511"/>
      <c r="D221" s="511"/>
      <c r="E221" s="511"/>
      <c r="F221" s="511"/>
      <c r="G221" s="511"/>
      <c r="H221" s="511"/>
      <c r="I221" s="511"/>
      <c r="J221" s="511"/>
      <c r="K221" s="511"/>
      <c r="L221" s="511"/>
      <c r="M221" s="511"/>
      <c r="N221" s="511"/>
      <c r="O221" s="511"/>
      <c r="P221" s="511"/>
      <c r="Q221" s="511"/>
      <c r="R221" s="511"/>
      <c r="S221" s="511"/>
      <c r="T221" s="511"/>
      <c r="U221" s="511"/>
      <c r="V221" s="511"/>
      <c r="W221" s="511"/>
      <c r="X221" s="511"/>
      <c r="Y221" s="511"/>
      <c r="Z221" s="511"/>
      <c r="AA221" s="511"/>
      <c r="AB221" s="511"/>
      <c r="AC221" s="511"/>
      <c r="AD221" s="511"/>
      <c r="AE221" s="511"/>
      <c r="AF221" s="511"/>
      <c r="AG221" s="511"/>
      <c r="AH221" s="511"/>
      <c r="AI221" s="511"/>
      <c r="AJ221" s="511"/>
      <c r="AK221" s="511"/>
      <c r="AL221" s="511"/>
      <c r="AM221" s="511"/>
      <c r="AN221" s="511"/>
      <c r="AO221" s="511"/>
      <c r="AP221" s="511"/>
      <c r="AQ221" s="511"/>
      <c r="AR221" s="511"/>
      <c r="AS221" s="511"/>
      <c r="AT221" s="511"/>
      <c r="AU221" s="511"/>
      <c r="AV221" s="511"/>
      <c r="AW221" s="511"/>
      <c r="AX221" s="511"/>
      <c r="AY221" s="511"/>
      <c r="AZ221" s="511"/>
      <c r="BA221" s="511"/>
      <c r="BB221" s="511"/>
      <c r="BC221" s="511"/>
      <c r="BD221" s="511"/>
      <c r="BE221" s="511"/>
      <c r="BF221" s="511"/>
    </row>
    <row r="222" spans="1:58">
      <c r="A222" s="3" t="s">
        <v>96</v>
      </c>
      <c r="B222" s="4" t="s">
        <v>97</v>
      </c>
      <c r="C222" s="157">
        <v>104.250788885164</v>
      </c>
      <c r="D222" s="30">
        <v>109.59625026920101</v>
      </c>
      <c r="E222" s="30">
        <v>3.44198600693987</v>
      </c>
      <c r="F222" s="30" t="s">
        <v>2743</v>
      </c>
      <c r="G222" s="157">
        <v>26.877748609542099</v>
      </c>
      <c r="H222" s="30">
        <v>31.189429869798101</v>
      </c>
      <c r="I222" s="30">
        <v>4.8816260659282902</v>
      </c>
      <c r="J222" s="30" t="s">
        <v>2743</v>
      </c>
      <c r="K222" s="157">
        <v>0.76159969105800052</v>
      </c>
      <c r="L222" s="113">
        <v>0.76159969105800052</v>
      </c>
      <c r="M222" s="30">
        <v>7.0308141380497959</v>
      </c>
      <c r="N222" s="355" t="s">
        <v>1498</v>
      </c>
      <c r="O222" s="157">
        <v>-101.098189194106</v>
      </c>
      <c r="P222" s="30">
        <v>-100.576228033267</v>
      </c>
      <c r="Q222" s="30">
        <v>2.50935020949853</v>
      </c>
      <c r="R222" s="30" t="s">
        <v>2743</v>
      </c>
      <c r="S222" s="157">
        <v>74.984016674398902</v>
      </c>
      <c r="T222" s="30">
        <v>76.015553242165595</v>
      </c>
      <c r="U222" s="30">
        <v>5.1517787550707101</v>
      </c>
      <c r="V222" s="30" t="s">
        <v>2743</v>
      </c>
      <c r="W222" s="157">
        <v>-26.111697558132299</v>
      </c>
      <c r="X222" s="30">
        <v>-24.557895780660299</v>
      </c>
      <c r="Y222" s="30">
        <v>4.5081918490033202</v>
      </c>
      <c r="Z222" s="300" t="s">
        <v>2743</v>
      </c>
      <c r="AA222" s="157">
        <v>10.9824770608836</v>
      </c>
      <c r="AB222" s="30">
        <v>11.158291296955699</v>
      </c>
      <c r="AC222" s="30">
        <v>0.28996406859929202</v>
      </c>
      <c r="AD222" s="30" t="s">
        <v>2743</v>
      </c>
      <c r="AE222" s="157">
        <v>6.6743140127291696</v>
      </c>
      <c r="AF222" s="30">
        <v>6.5934919273530301</v>
      </c>
      <c r="AG222" s="30">
        <v>0.26331996170267602</v>
      </c>
      <c r="AH222" s="30" t="s">
        <v>2743</v>
      </c>
      <c r="AI222" s="157">
        <v>-4.3017838779277504</v>
      </c>
      <c r="AJ222" s="30">
        <v>-4.5843579127799696</v>
      </c>
      <c r="AK222" s="30">
        <v>0.15216073133830199</v>
      </c>
      <c r="AL222" s="30" t="s">
        <v>2743</v>
      </c>
      <c r="AM222" s="157">
        <v>-5.0868342769749857</v>
      </c>
      <c r="AN222" s="30">
        <v>-5.2965917320958882</v>
      </c>
      <c r="AO222" s="30">
        <v>0.26751872631611301</v>
      </c>
      <c r="AP222" s="30" t="s">
        <v>2743</v>
      </c>
      <c r="AQ222" s="157">
        <v>-4.1817975274846999</v>
      </c>
      <c r="AR222" s="30">
        <v>-4.1222177203073196</v>
      </c>
      <c r="AS222" s="30">
        <v>0.230745041242298</v>
      </c>
      <c r="AT222" s="30" t="s">
        <v>2743</v>
      </c>
      <c r="AU222" s="157">
        <v>2.49093603240537</v>
      </c>
      <c r="AV222" s="30">
        <v>2.4642014736580502</v>
      </c>
      <c r="AW222" s="30">
        <v>0.293703495272429</v>
      </c>
      <c r="AX222" s="30" t="s">
        <v>2743</v>
      </c>
      <c r="AY222" s="157">
        <v>36.703691924967444</v>
      </c>
      <c r="AZ222" s="30">
        <v>36.703691924967444</v>
      </c>
      <c r="BA222" s="30">
        <v>2.8061861822140384</v>
      </c>
      <c r="BB222" s="30" t="s">
        <v>558</v>
      </c>
      <c r="BC222" s="157">
        <v>177.33333333333334</v>
      </c>
      <c r="BD222" s="30">
        <v>177.33333333333334</v>
      </c>
      <c r="BE222" s="30">
        <v>1.5275252316519465</v>
      </c>
      <c r="BF222" s="300" t="s">
        <v>558</v>
      </c>
    </row>
    <row r="223" spans="1:58">
      <c r="A223" s="3"/>
      <c r="B223" s="171">
        <v>252.316</v>
      </c>
      <c r="C223" s="157">
        <v>6.5563958959388398</v>
      </c>
      <c r="D223" s="30">
        <v>104.250788885164</v>
      </c>
      <c r="E223" s="30">
        <v>6.5563958959388398</v>
      </c>
      <c r="F223" s="8" t="s">
        <v>2742</v>
      </c>
      <c r="G223" s="157">
        <v>6.7109045693102596</v>
      </c>
      <c r="H223" s="30">
        <v>26.877748609542099</v>
      </c>
      <c r="I223" s="30">
        <v>6.7109045693102596</v>
      </c>
      <c r="J223" s="8" t="s">
        <v>2742</v>
      </c>
      <c r="K223" s="158">
        <v>7.0308141380497959</v>
      </c>
      <c r="L223" s="113">
        <v>0.76605105140980001</v>
      </c>
      <c r="M223" s="113">
        <v>8.0724912401841937</v>
      </c>
      <c r="N223" s="13" t="s">
        <v>1499</v>
      </c>
      <c r="O223" s="157">
        <v>2.5389013961785198</v>
      </c>
      <c r="P223" s="30">
        <v>-101.098189194106</v>
      </c>
      <c r="Q223" s="30">
        <v>2.5389013961785198</v>
      </c>
      <c r="R223" s="8" t="s">
        <v>2742</v>
      </c>
      <c r="S223" s="157">
        <v>4.8955351021134801</v>
      </c>
      <c r="T223" s="30">
        <v>74.984016674398902</v>
      </c>
      <c r="U223" s="30">
        <v>4.8955351021134801</v>
      </c>
      <c r="V223" s="8" t="s">
        <v>2742</v>
      </c>
      <c r="W223" s="157">
        <v>4.4865214458933798</v>
      </c>
      <c r="X223" s="30">
        <v>-26.111697558132299</v>
      </c>
      <c r="Y223" s="30">
        <v>4.4865214458933798</v>
      </c>
      <c r="Z223" s="498" t="s">
        <v>2742</v>
      </c>
      <c r="AA223" s="157">
        <v>0.36287344491380302</v>
      </c>
      <c r="AB223" s="30">
        <v>10.9824770608836</v>
      </c>
      <c r="AC223" s="30">
        <v>0.36287344491380302</v>
      </c>
      <c r="AD223" s="8" t="s">
        <v>2742</v>
      </c>
      <c r="AE223" s="157">
        <v>0.28491792191347098</v>
      </c>
      <c r="AF223" s="30">
        <v>6.6743140127291696</v>
      </c>
      <c r="AG223" s="30">
        <v>0.28491792191347098</v>
      </c>
      <c r="AH223" s="8" t="s">
        <v>2742</v>
      </c>
      <c r="AI223" s="157">
        <v>0.39698118997182102</v>
      </c>
      <c r="AJ223" s="30">
        <v>-4.3017838779277504</v>
      </c>
      <c r="AK223" s="30">
        <v>0.39698118997182102</v>
      </c>
      <c r="AL223" s="8" t="s">
        <v>2742</v>
      </c>
      <c r="AM223" s="157">
        <v>0.37381597885757401</v>
      </c>
      <c r="AN223" s="30">
        <v>-5.0868342769749857</v>
      </c>
      <c r="AO223" s="30">
        <v>0.37381597885757401</v>
      </c>
      <c r="AP223" s="8" t="s">
        <v>2742</v>
      </c>
      <c r="AQ223" s="157">
        <v>0.24371064012994101</v>
      </c>
      <c r="AR223" s="30">
        <v>-4.1817975274846999</v>
      </c>
      <c r="AS223" s="30">
        <v>0.24371064012994101</v>
      </c>
      <c r="AT223" s="8" t="s">
        <v>2742</v>
      </c>
      <c r="AU223" s="157">
        <v>0.293382445371906</v>
      </c>
      <c r="AV223" s="30">
        <v>2.49093603240537</v>
      </c>
      <c r="AW223" s="30">
        <v>0.293382445371906</v>
      </c>
      <c r="AX223" s="8" t="s">
        <v>2742</v>
      </c>
      <c r="AY223" s="157">
        <v>2.8061861822140384</v>
      </c>
      <c r="AZ223" s="30"/>
      <c r="BA223" s="30"/>
      <c r="BB223" s="101"/>
      <c r="BC223" s="157">
        <v>1.5275252316519465</v>
      </c>
      <c r="BD223" s="30"/>
      <c r="BE223" s="30"/>
      <c r="BF223" s="277"/>
    </row>
    <row r="224" spans="1:58">
      <c r="A224" s="3"/>
      <c r="B224" s="4"/>
      <c r="C224" s="3"/>
      <c r="D224" s="206">
        <v>102.97044542908371</v>
      </c>
      <c r="E224" s="206">
        <v>8.2645317733743067</v>
      </c>
      <c r="F224" s="206" t="s">
        <v>558</v>
      </c>
      <c r="G224" s="3"/>
      <c r="H224" s="206">
        <v>28.535700146660066</v>
      </c>
      <c r="I224" s="206">
        <v>9.3194645443453155</v>
      </c>
      <c r="J224" s="206" t="s">
        <v>558</v>
      </c>
      <c r="K224" s="353"/>
      <c r="L224" s="344">
        <v>4.35653215620016</v>
      </c>
      <c r="M224" s="344">
        <v>6.2646951217978986</v>
      </c>
      <c r="N224" s="206" t="s">
        <v>1124</v>
      </c>
      <c r="O224" s="3"/>
      <c r="P224" s="206">
        <v>-101.25</v>
      </c>
      <c r="Q224" s="206">
        <v>2.616295090390218</v>
      </c>
      <c r="R224" s="206" t="s">
        <v>558</v>
      </c>
      <c r="S224" s="3"/>
      <c r="T224" s="206" t="s">
        <v>2855</v>
      </c>
      <c r="U224" s="206" t="s">
        <v>2855</v>
      </c>
      <c r="V224" s="206" t="s">
        <v>558</v>
      </c>
      <c r="W224" s="3"/>
      <c r="X224" s="206">
        <v>-25.4</v>
      </c>
      <c r="Y224" s="206">
        <v>5.08</v>
      </c>
      <c r="Z224" s="350" t="s">
        <v>558</v>
      </c>
      <c r="AA224" s="4"/>
      <c r="AB224" s="206">
        <v>11.228588497286774</v>
      </c>
      <c r="AC224" s="206">
        <v>0.46868664186349301</v>
      </c>
      <c r="AD224" s="206" t="s">
        <v>558</v>
      </c>
      <c r="AE224" s="3"/>
      <c r="AF224" s="206">
        <v>6.6979582608116885</v>
      </c>
      <c r="AG224" s="206">
        <v>0.2700030284701323</v>
      </c>
      <c r="AH224" s="206" t="s">
        <v>558</v>
      </c>
      <c r="AI224" s="3"/>
      <c r="AJ224" s="206">
        <v>-4.5228787452803374</v>
      </c>
      <c r="AK224" s="206">
        <v>0.90457574905606752</v>
      </c>
      <c r="AL224" s="206" t="s">
        <v>558</v>
      </c>
      <c r="AM224" s="3"/>
      <c r="AN224" s="206">
        <v>-4.6349999999999998</v>
      </c>
      <c r="AO224" s="206">
        <v>0.57275649276110319</v>
      </c>
      <c r="AP224" s="206" t="s">
        <v>558</v>
      </c>
      <c r="AQ224" s="3"/>
      <c r="AR224" s="206">
        <v>-4.6349999999999998</v>
      </c>
      <c r="AS224" s="206">
        <v>0.57275649276110319</v>
      </c>
      <c r="AT224" s="206" t="s">
        <v>558</v>
      </c>
      <c r="AU224" s="3"/>
      <c r="AV224" s="206">
        <v>2.2353977200130184</v>
      </c>
      <c r="AW224" s="206">
        <v>0.44707954400260369</v>
      </c>
      <c r="AX224" s="206" t="s">
        <v>558</v>
      </c>
      <c r="AY224" s="3"/>
      <c r="AZ224" s="52"/>
      <c r="BA224" s="52"/>
      <c r="BB224" s="52"/>
      <c r="BC224" s="3"/>
      <c r="BF224" s="42"/>
    </row>
    <row r="225" spans="1:58">
      <c r="A225" s="3"/>
      <c r="B225" s="4"/>
      <c r="C225" s="3"/>
      <c r="D225" s="176">
        <v>94.065444509040006</v>
      </c>
      <c r="E225" s="176">
        <v>17.000541851563309</v>
      </c>
      <c r="F225" s="206" t="s">
        <v>1124</v>
      </c>
      <c r="G225" s="3"/>
      <c r="H225" s="176">
        <v>25.035906325104079</v>
      </c>
      <c r="I225" s="176">
        <v>35.119868674729496</v>
      </c>
      <c r="J225" s="206" t="s">
        <v>1124</v>
      </c>
      <c r="K225" s="353"/>
      <c r="L225" s="206"/>
      <c r="M225" s="206"/>
      <c r="N225" s="206"/>
      <c r="O225" s="3"/>
      <c r="P225" s="178">
        <v>-89.708912352839846</v>
      </c>
      <c r="Q225" s="178">
        <v>17.120497377977721</v>
      </c>
      <c r="R225" s="206" t="s">
        <v>1124</v>
      </c>
      <c r="S225" s="3"/>
      <c r="T225" s="178">
        <v>73.989164799999998</v>
      </c>
      <c r="U225" s="178">
        <v>13.8706747358912</v>
      </c>
      <c r="V225" s="206" t="s">
        <v>1124</v>
      </c>
      <c r="W225" s="3"/>
      <c r="X225" s="178">
        <v>-32.722792000000005</v>
      </c>
      <c r="Y225" s="178">
        <v>13.423319509775336</v>
      </c>
      <c r="Z225" s="350" t="s">
        <v>1124</v>
      </c>
      <c r="AA225" s="4"/>
      <c r="AB225" s="178">
        <v>10.287642610354304</v>
      </c>
      <c r="AC225" s="178">
        <v>0.952095604481765</v>
      </c>
      <c r="AD225" s="206" t="s">
        <v>1124</v>
      </c>
      <c r="AE225" s="3"/>
      <c r="AF225" s="178">
        <v>6.12852</v>
      </c>
      <c r="AG225" s="178">
        <v>1.14032145936</v>
      </c>
      <c r="AH225" s="206" t="s">
        <v>1124</v>
      </c>
      <c r="AI225" s="3"/>
      <c r="AJ225" s="178">
        <v>-4.4799016767325135</v>
      </c>
      <c r="AK225" s="178">
        <v>1.4837389554321319</v>
      </c>
      <c r="AL225" s="206" t="s">
        <v>1124</v>
      </c>
      <c r="AM225" s="3"/>
      <c r="AN225" s="178">
        <v>-3.5584980500000003</v>
      </c>
      <c r="AO225" s="178">
        <v>1.0451344357830501</v>
      </c>
      <c r="AP225" s="206" t="s">
        <v>1124</v>
      </c>
      <c r="AQ225" s="3"/>
      <c r="AR225" s="178">
        <v>-3.5584980500000003</v>
      </c>
      <c r="AS225" s="178">
        <v>1.0451344357830501</v>
      </c>
      <c r="AT225" s="206" t="s">
        <v>1124</v>
      </c>
      <c r="AU225" s="3"/>
      <c r="AV225" s="178">
        <v>1.5543775999999996</v>
      </c>
      <c r="AW225" s="178">
        <v>0.28092421802559991</v>
      </c>
      <c r="AX225" s="206" t="s">
        <v>1124</v>
      </c>
      <c r="AY225" s="3"/>
      <c r="AZ225" s="178"/>
      <c r="BA225" s="178"/>
      <c r="BB225" s="206"/>
      <c r="BC225" s="3"/>
      <c r="BD225" s="178"/>
      <c r="BE225" s="178"/>
      <c r="BF225" s="350"/>
    </row>
    <row r="226" spans="1:58">
      <c r="A226" s="3"/>
      <c r="B226" s="4"/>
      <c r="C226" s="3"/>
      <c r="D226" s="30">
        <v>100.282639862153</v>
      </c>
      <c r="E226" s="30">
        <v>8.4428003312342295</v>
      </c>
      <c r="F226" s="206" t="s">
        <v>2875</v>
      </c>
      <c r="G226" s="3"/>
      <c r="H226" s="30">
        <v>41.459797937907098</v>
      </c>
      <c r="I226" s="30">
        <v>8.4428003312342295</v>
      </c>
      <c r="J226" s="206" t="s">
        <v>2875</v>
      </c>
      <c r="K226" s="353"/>
      <c r="L226" s="206"/>
      <c r="M226" s="206"/>
      <c r="N226" s="206"/>
      <c r="O226" s="3"/>
      <c r="P226" s="30">
        <v>-97.864489153143495</v>
      </c>
      <c r="Q226" s="30">
        <v>4.6252861883355099</v>
      </c>
      <c r="R226" s="206" t="s">
        <v>2875</v>
      </c>
      <c r="S226" s="3"/>
      <c r="T226" s="30">
        <v>58.822907298554398</v>
      </c>
      <c r="U226" s="30">
        <v>7.37483543384913</v>
      </c>
      <c r="V226" s="206" t="s">
        <v>2875</v>
      </c>
      <c r="W226" s="3"/>
      <c r="X226" s="30">
        <v>-39.035233419049703</v>
      </c>
      <c r="Y226" s="30">
        <v>7.4019756552069396</v>
      </c>
      <c r="Z226" s="350" t="s">
        <v>2875</v>
      </c>
      <c r="AA226" s="4"/>
      <c r="AB226" s="9"/>
      <c r="AC226" s="9"/>
      <c r="AD226" s="4"/>
      <c r="AE226" s="3"/>
      <c r="AF226" s="9"/>
      <c r="AG226" s="9"/>
      <c r="AH226" s="4"/>
      <c r="AI226" s="3"/>
      <c r="AJ226" s="9"/>
      <c r="AK226" s="9"/>
      <c r="AL226" s="4"/>
      <c r="AM226" s="3"/>
      <c r="AN226" s="9"/>
      <c r="AO226" s="9"/>
      <c r="AP226" s="4"/>
      <c r="AQ226" s="3"/>
      <c r="AR226" s="9"/>
      <c r="AS226" s="9"/>
      <c r="AT226" s="4"/>
      <c r="AU226" s="3"/>
      <c r="AV226" s="9"/>
      <c r="AW226" s="9"/>
      <c r="AX226" s="4"/>
      <c r="AY226" s="3"/>
      <c r="AZ226" s="9"/>
      <c r="BA226" s="9"/>
      <c r="BB226" s="4"/>
      <c r="BC226" s="3"/>
      <c r="BD226" s="9"/>
      <c r="BE226" s="9"/>
      <c r="BF226" s="122"/>
    </row>
    <row r="227" spans="1:58">
      <c r="A227" s="3"/>
      <c r="B227" s="4" t="s">
        <v>20</v>
      </c>
      <c r="C227" s="3"/>
      <c r="D227" s="4"/>
      <c r="E227" s="4"/>
      <c r="F227" s="4"/>
      <c r="G227" s="3"/>
      <c r="H227" s="4"/>
      <c r="I227" s="4"/>
      <c r="J227" s="4"/>
      <c r="K227" s="3"/>
      <c r="L227" s="4"/>
      <c r="M227" s="4"/>
      <c r="N227" s="4"/>
      <c r="O227" s="3"/>
      <c r="P227" s="4"/>
      <c r="Q227" s="4"/>
      <c r="R227" s="4"/>
      <c r="S227" s="3"/>
      <c r="T227" s="4"/>
      <c r="U227" s="4"/>
      <c r="V227" s="4"/>
      <c r="W227" s="3"/>
      <c r="X227" s="4"/>
      <c r="Y227" s="4"/>
      <c r="Z227" s="122"/>
      <c r="AA227" s="8"/>
      <c r="AB227" s="8"/>
      <c r="AC227" s="8"/>
      <c r="AD227" s="45"/>
      <c r="AE227" s="8"/>
      <c r="AF227" s="8"/>
      <c r="AG227" s="45"/>
      <c r="AH227" s="47"/>
      <c r="AI227" s="47"/>
      <c r="AJ227" s="47"/>
      <c r="AK227" s="45"/>
      <c r="AO227" s="84"/>
      <c r="AP227" s="47"/>
      <c r="AQ227" s="228"/>
      <c r="AR227" s="45"/>
      <c r="AS227" s="84"/>
      <c r="AT227" s="47"/>
      <c r="AU227" s="47"/>
      <c r="AV227" s="45"/>
      <c r="AW227" s="47"/>
      <c r="AX227" s="47"/>
      <c r="AY227" s="47"/>
      <c r="AZ227" s="47"/>
      <c r="BA227" s="84"/>
      <c r="BB227" s="121"/>
      <c r="BC227" s="47"/>
      <c r="BD227" s="45"/>
      <c r="BE227" s="47"/>
      <c r="BF227" s="47"/>
    </row>
    <row r="228" spans="1:58">
      <c r="A228" s="3" t="s">
        <v>99</v>
      </c>
      <c r="B228" s="4" t="s">
        <v>100</v>
      </c>
      <c r="C228" s="157">
        <v>104.94405364692001</v>
      </c>
      <c r="D228" s="30" t="s">
        <v>2855</v>
      </c>
      <c r="E228" s="30" t="s">
        <v>2855</v>
      </c>
      <c r="F228" s="30" t="s">
        <v>2743</v>
      </c>
      <c r="G228" s="157">
        <v>35.032936595267302</v>
      </c>
      <c r="H228" s="30" t="s">
        <v>2855</v>
      </c>
      <c r="I228" s="30" t="s">
        <v>2855</v>
      </c>
      <c r="J228" s="30" t="s">
        <v>2743</v>
      </c>
      <c r="K228" s="157">
        <v>2.436340687660012</v>
      </c>
      <c r="L228" s="113">
        <v>2.436340687660012</v>
      </c>
      <c r="M228" s="30">
        <v>7.6413445124962891</v>
      </c>
      <c r="N228" s="355" t="s">
        <v>1498</v>
      </c>
      <c r="O228" s="157">
        <v>-100.11671295926</v>
      </c>
      <c r="P228" s="30" t="s">
        <v>2855</v>
      </c>
      <c r="Q228" s="30" t="s">
        <v>2855</v>
      </c>
      <c r="R228" s="30" t="s">
        <v>2743</v>
      </c>
      <c r="S228" s="157">
        <v>67.520022226747201</v>
      </c>
      <c r="T228" s="30" t="s">
        <v>2855</v>
      </c>
      <c r="U228" s="30" t="s">
        <v>2855</v>
      </c>
      <c r="V228" s="30" t="s">
        <v>2743</v>
      </c>
      <c r="W228" s="157">
        <v>-32.596646863804303</v>
      </c>
      <c r="X228" s="30" t="s">
        <v>2855</v>
      </c>
      <c r="Y228" s="30" t="s">
        <v>2855</v>
      </c>
      <c r="Z228" s="300" t="s">
        <v>2743</v>
      </c>
      <c r="AA228" s="157">
        <v>10.835670012389301</v>
      </c>
      <c r="AB228" s="30">
        <v>10.954865877071301</v>
      </c>
      <c r="AC228" s="30">
        <v>0.35348754033941499</v>
      </c>
      <c r="AD228" s="30" t="s">
        <v>2743</v>
      </c>
      <c r="AE228" s="157">
        <v>6.10560523192059</v>
      </c>
      <c r="AF228" s="30">
        <v>6.2580215066390199</v>
      </c>
      <c r="AG228" s="30">
        <v>0.38099782112639102</v>
      </c>
      <c r="AH228" s="30" t="s">
        <v>2743</v>
      </c>
      <c r="AI228" s="157">
        <v>-4.7151877639543098</v>
      </c>
      <c r="AJ228" s="30">
        <v>-4.6836099695889599</v>
      </c>
      <c r="AK228" s="30">
        <v>0.36343689226768999</v>
      </c>
      <c r="AL228" s="30" t="s">
        <v>2743</v>
      </c>
      <c r="AM228" s="157">
        <v>-4.8420250143402761</v>
      </c>
      <c r="AN228" s="30">
        <v>-4.768258268831878</v>
      </c>
      <c r="AO228" s="30">
        <v>0.30802906865425</v>
      </c>
      <c r="AP228" s="30" t="s">
        <v>2743</v>
      </c>
      <c r="AQ228" s="157">
        <v>-3.51965660059737</v>
      </c>
      <c r="AR228" s="30">
        <v>-3.4781359561504801</v>
      </c>
      <c r="AS228" s="30">
        <v>0.23696355577533801</v>
      </c>
      <c r="AT228" s="30" t="s">
        <v>2743</v>
      </c>
      <c r="AU228" s="157">
        <v>2.58664475936608</v>
      </c>
      <c r="AV228" s="30">
        <v>2.7860983344580701</v>
      </c>
      <c r="AW228" s="30">
        <v>0.39122757506389999</v>
      </c>
      <c r="AX228" s="30" t="s">
        <v>2743</v>
      </c>
      <c r="AY228" s="157" t="s">
        <v>2855</v>
      </c>
      <c r="AZ228" s="30" t="s">
        <v>2855</v>
      </c>
      <c r="BA228" s="30" t="s">
        <v>2855</v>
      </c>
      <c r="BB228" s="30" t="s">
        <v>558</v>
      </c>
      <c r="BC228" s="157">
        <v>216.61666666666667</v>
      </c>
      <c r="BD228" s="30">
        <v>216.61666666666667</v>
      </c>
      <c r="BE228" s="30">
        <v>0.53928965624545278</v>
      </c>
      <c r="BF228" s="300" t="s">
        <v>558</v>
      </c>
    </row>
    <row r="229" spans="1:58">
      <c r="A229" s="3"/>
      <c r="B229" s="171">
        <v>252.316</v>
      </c>
      <c r="C229" s="157">
        <v>7.3665420491969096</v>
      </c>
      <c r="D229" s="30">
        <v>104.94405364692001</v>
      </c>
      <c r="E229" s="30">
        <v>7.3665420491969096</v>
      </c>
      <c r="F229" s="8" t="s">
        <v>2742</v>
      </c>
      <c r="G229" s="157">
        <v>11.567129425850901</v>
      </c>
      <c r="H229" s="30">
        <v>35.032936595267302</v>
      </c>
      <c r="I229" s="30">
        <v>11.567129425850901</v>
      </c>
      <c r="J229" s="8" t="s">
        <v>2742</v>
      </c>
      <c r="K229" s="158">
        <v>7.6413445124962891</v>
      </c>
      <c r="L229" s="113">
        <v>2.436289731462999</v>
      </c>
      <c r="M229" s="113">
        <v>14.89692396764805</v>
      </c>
      <c r="N229" s="13" t="s">
        <v>1499</v>
      </c>
      <c r="O229" s="157">
        <v>2.0308136783247601</v>
      </c>
      <c r="P229" s="30">
        <v>-100.11671295926</v>
      </c>
      <c r="Q229" s="30">
        <v>2.0308136783247601</v>
      </c>
      <c r="R229" s="8" t="s">
        <v>2742</v>
      </c>
      <c r="S229" s="157">
        <v>9.3491287021255793</v>
      </c>
      <c r="T229" s="30">
        <v>67.520022226747201</v>
      </c>
      <c r="U229" s="30">
        <v>9.3491287021255793</v>
      </c>
      <c r="V229" s="8" t="s">
        <v>2742</v>
      </c>
      <c r="W229" s="157">
        <v>9.3872179341645801</v>
      </c>
      <c r="X229" s="30">
        <v>-32.596646863804303</v>
      </c>
      <c r="Y229" s="30">
        <v>9.3872179341645801</v>
      </c>
      <c r="Z229" s="498" t="s">
        <v>2742</v>
      </c>
      <c r="AA229" s="157">
        <v>0.33574980159168899</v>
      </c>
      <c r="AB229" s="30">
        <v>10.835670012389301</v>
      </c>
      <c r="AC229" s="30">
        <v>0.33574980159168899</v>
      </c>
      <c r="AD229" s="8" t="s">
        <v>2742</v>
      </c>
      <c r="AE229" s="157">
        <v>0.34676340724890697</v>
      </c>
      <c r="AF229" s="30">
        <v>6.10560523192059</v>
      </c>
      <c r="AG229" s="30">
        <v>0.34676340724890697</v>
      </c>
      <c r="AH229" s="8" t="s">
        <v>2742</v>
      </c>
      <c r="AI229" s="157">
        <v>0.36252810686910802</v>
      </c>
      <c r="AJ229" s="30">
        <v>-4.7151877639543098</v>
      </c>
      <c r="AK229" s="30">
        <v>0.36252810686910802</v>
      </c>
      <c r="AL229" s="8" t="s">
        <v>2742</v>
      </c>
      <c r="AM229" s="157">
        <v>0.30450023799958498</v>
      </c>
      <c r="AN229" s="30">
        <v>-4.8420250143402761</v>
      </c>
      <c r="AO229" s="30">
        <v>0.30450023799958498</v>
      </c>
      <c r="AP229" s="8" t="s">
        <v>2742</v>
      </c>
      <c r="AQ229" s="157">
        <v>0.23904509674744301</v>
      </c>
      <c r="AR229" s="30">
        <v>-3.51965660059737</v>
      </c>
      <c r="AS229" s="30">
        <v>0.23904509674744301</v>
      </c>
      <c r="AT229" s="8" t="s">
        <v>2742</v>
      </c>
      <c r="AU229" s="157">
        <v>0.343564765494899</v>
      </c>
      <c r="AV229" s="30">
        <v>2.58664475936608</v>
      </c>
      <c r="AW229" s="30">
        <v>0.343564765494899</v>
      </c>
      <c r="AX229" s="8" t="s">
        <v>2742</v>
      </c>
      <c r="AY229" s="157" t="s">
        <v>2855</v>
      </c>
      <c r="AZ229" s="30"/>
      <c r="BA229" s="30"/>
      <c r="BB229" s="101"/>
      <c r="BC229" s="157">
        <v>0.53928965624545278</v>
      </c>
      <c r="BD229" s="30"/>
      <c r="BE229" s="30"/>
      <c r="BF229" s="277"/>
    </row>
    <row r="230" spans="1:58">
      <c r="A230" s="3"/>
      <c r="B230" s="171"/>
      <c r="C230" s="3"/>
      <c r="D230" s="206">
        <v>105.49559435946666</v>
      </c>
      <c r="E230" s="206">
        <v>7.5751191460147407</v>
      </c>
      <c r="F230" s="206" t="s">
        <v>558</v>
      </c>
      <c r="G230" s="3"/>
      <c r="H230" s="206" t="s">
        <v>2855</v>
      </c>
      <c r="I230" s="206" t="s">
        <v>2855</v>
      </c>
      <c r="J230" s="206" t="s">
        <v>558</v>
      </c>
      <c r="K230" s="353"/>
      <c r="L230" s="344">
        <v>4.2101512426480525</v>
      </c>
      <c r="M230" s="344">
        <v>6.0541993049016325</v>
      </c>
      <c r="N230" s="206" t="s">
        <v>1124</v>
      </c>
      <c r="O230" s="3"/>
      <c r="P230" s="206">
        <v>-100.05</v>
      </c>
      <c r="Q230" s="206">
        <v>2.0506096654409918</v>
      </c>
      <c r="R230" s="206" t="s">
        <v>558</v>
      </c>
      <c r="S230" s="3"/>
      <c r="T230" s="206" t="s">
        <v>2855</v>
      </c>
      <c r="U230" s="206" t="s">
        <v>2855</v>
      </c>
      <c r="V230" s="206" t="s">
        <v>558</v>
      </c>
      <c r="W230" s="3"/>
      <c r="X230" s="206" t="s">
        <v>2855</v>
      </c>
      <c r="Y230" s="206" t="s">
        <v>2855</v>
      </c>
      <c r="Z230" s="350" t="s">
        <v>558</v>
      </c>
      <c r="AA230" s="4"/>
      <c r="AB230" s="206">
        <v>11.073997910243794</v>
      </c>
      <c r="AC230" s="206">
        <v>0.41861016982400551</v>
      </c>
      <c r="AD230" s="206" t="s">
        <v>558</v>
      </c>
      <c r="AE230" s="3"/>
      <c r="AF230" s="206">
        <v>6.0947500000000012</v>
      </c>
      <c r="AG230" s="206">
        <v>0.36062445840513968</v>
      </c>
      <c r="AH230" s="206" t="s">
        <v>558</v>
      </c>
      <c r="AI230" s="3"/>
      <c r="AJ230" s="206" t="s">
        <v>2855</v>
      </c>
      <c r="AK230" s="206" t="s">
        <v>2855</v>
      </c>
      <c r="AL230" s="206" t="s">
        <v>558</v>
      </c>
      <c r="AM230" s="3"/>
      <c r="AN230" s="206">
        <v>-4.6904457173535388</v>
      </c>
      <c r="AO230" s="206">
        <v>0.35274120168317763</v>
      </c>
      <c r="AP230" s="206" t="s">
        <v>558</v>
      </c>
      <c r="AQ230" s="3"/>
      <c r="AR230" s="206">
        <v>-4.6904457173535388</v>
      </c>
      <c r="AS230" s="206">
        <v>0.35274120168317763</v>
      </c>
      <c r="AT230" s="206" t="s">
        <v>558</v>
      </c>
      <c r="AU230" s="3"/>
      <c r="AV230" s="206" t="s">
        <v>2855</v>
      </c>
      <c r="AW230" s="206" t="s">
        <v>2855</v>
      </c>
      <c r="AX230" s="206" t="s">
        <v>558</v>
      </c>
      <c r="AY230" s="3"/>
      <c r="AZ230" s="52"/>
      <c r="BA230" s="52"/>
      <c r="BB230" s="52"/>
      <c r="BC230" s="3"/>
      <c r="BF230" s="42"/>
    </row>
    <row r="231" spans="1:58">
      <c r="A231" s="3"/>
      <c r="B231" s="4"/>
      <c r="C231" s="3"/>
      <c r="D231" s="176">
        <v>93.282659488800007</v>
      </c>
      <c r="E231" s="176">
        <v>16.859068332070315</v>
      </c>
      <c r="F231" s="206" t="s">
        <v>1124</v>
      </c>
      <c r="G231" s="3"/>
      <c r="H231" s="176">
        <v>24.695982056704011</v>
      </c>
      <c r="I231" s="176">
        <v>34.643029709503253</v>
      </c>
      <c r="J231" s="350" t="s">
        <v>1124</v>
      </c>
      <c r="K231" s="206"/>
      <c r="L231" s="206"/>
      <c r="M231" s="206"/>
      <c r="N231" s="206"/>
      <c r="O231" s="3"/>
      <c r="P231" s="178">
        <v>-89.072508246151955</v>
      </c>
      <c r="Q231" s="178">
        <v>16.999042836236868</v>
      </c>
      <c r="R231" s="206" t="s">
        <v>1124</v>
      </c>
      <c r="S231" s="3"/>
      <c r="T231" s="178">
        <v>68.0877488</v>
      </c>
      <c r="U231" s="178">
        <v>12.764342179787199</v>
      </c>
      <c r="V231" s="206" t="s">
        <v>1124</v>
      </c>
      <c r="W231" s="3"/>
      <c r="X231" s="178">
        <v>-35.839772000000004</v>
      </c>
      <c r="Y231" s="178">
        <v>14.701945687076449</v>
      </c>
      <c r="Z231" s="350" t="s">
        <v>1124</v>
      </c>
      <c r="AA231" s="4"/>
      <c r="AB231" s="178">
        <v>10.211022562034907</v>
      </c>
      <c r="AC231" s="178">
        <v>0.94500461055992568</v>
      </c>
      <c r="AD231" s="206" t="s">
        <v>1124</v>
      </c>
      <c r="AE231" s="3"/>
      <c r="AF231" s="178">
        <v>6.1246099999999997</v>
      </c>
      <c r="AG231" s="178">
        <v>1.13959393348</v>
      </c>
      <c r="AH231" s="206" t="s">
        <v>1124</v>
      </c>
      <c r="AI231" s="3"/>
      <c r="AJ231" s="178">
        <v>-4.4799016767325135</v>
      </c>
      <c r="AK231" s="178">
        <v>1.4837389554321319</v>
      </c>
      <c r="AL231" s="206" t="s">
        <v>1124</v>
      </c>
      <c r="AM231" s="3"/>
      <c r="AN231" s="178">
        <v>-3.4633076500000008</v>
      </c>
      <c r="AO231" s="178">
        <v>1.0171769201126502</v>
      </c>
      <c r="AP231" s="206" t="s">
        <v>1124</v>
      </c>
      <c r="AQ231" s="3"/>
      <c r="AR231" s="178">
        <v>-3.4633076500000008</v>
      </c>
      <c r="AS231" s="178">
        <v>1.0171769201126502</v>
      </c>
      <c r="AT231" s="206" t="s">
        <v>1124</v>
      </c>
      <c r="AU231" s="3"/>
      <c r="AV231" s="178">
        <v>1.9273476</v>
      </c>
      <c r="AW231" s="178">
        <v>0.34833145909560004</v>
      </c>
      <c r="AX231" s="206" t="s">
        <v>1124</v>
      </c>
      <c r="AY231" s="3"/>
      <c r="AZ231" s="178"/>
      <c r="BA231" s="178"/>
      <c r="BB231" s="206"/>
      <c r="BC231" s="3"/>
      <c r="BD231" s="178"/>
      <c r="BE231" s="178"/>
      <c r="BF231" s="350"/>
    </row>
    <row r="232" spans="1:58" s="365" customFormat="1">
      <c r="A232" s="324"/>
      <c r="B232" s="358"/>
      <c r="C232" s="324"/>
      <c r="D232" s="206">
        <v>100.43654859935401</v>
      </c>
      <c r="E232" s="206">
        <v>9.1568497984898105</v>
      </c>
      <c r="F232" s="206" t="s">
        <v>2875</v>
      </c>
      <c r="G232" s="324"/>
      <c r="H232" s="206">
        <v>42.577675955808999</v>
      </c>
      <c r="I232" s="206">
        <v>9.1568497984898105</v>
      </c>
      <c r="J232" s="206" t="s">
        <v>2875</v>
      </c>
      <c r="K232" s="353"/>
      <c r="L232" s="206"/>
      <c r="M232" s="206"/>
      <c r="N232" s="206"/>
      <c r="O232" s="324"/>
      <c r="P232" s="206">
        <v>-100.66904528994699</v>
      </c>
      <c r="Q232" s="206">
        <v>7.6943747628838697</v>
      </c>
      <c r="R232" s="206" t="s">
        <v>2875</v>
      </c>
      <c r="S232" s="324"/>
      <c r="T232" s="206">
        <v>57.856998598941303</v>
      </c>
      <c r="U232" s="206">
        <v>10.579263229768101</v>
      </c>
      <c r="V232" s="206" t="s">
        <v>2875</v>
      </c>
      <c r="W232" s="324"/>
      <c r="X232" s="206">
        <v>-42.811144391558798</v>
      </c>
      <c r="Y232" s="206">
        <v>12.2201443660603</v>
      </c>
      <c r="Z232" s="350" t="s">
        <v>2875</v>
      </c>
      <c r="AA232" s="4"/>
      <c r="AB232" s="9"/>
      <c r="AC232" s="9"/>
      <c r="AD232" s="4"/>
      <c r="AE232" s="3"/>
      <c r="AF232" s="9"/>
      <c r="AG232" s="9"/>
      <c r="AH232" s="4"/>
      <c r="AI232" s="3"/>
      <c r="AJ232" s="9"/>
      <c r="AK232" s="9"/>
      <c r="AL232" s="4"/>
      <c r="AM232" s="3"/>
      <c r="AN232" s="9"/>
      <c r="AO232" s="9"/>
      <c r="AP232" s="4"/>
      <c r="AQ232" s="3"/>
      <c r="AR232" s="9"/>
      <c r="AS232" s="9"/>
      <c r="AT232" s="4"/>
      <c r="AU232" s="3"/>
      <c r="AV232" s="9"/>
      <c r="AW232" s="9"/>
      <c r="AX232" s="4"/>
      <c r="AY232" s="3"/>
      <c r="AZ232" s="9"/>
      <c r="BA232" s="9"/>
      <c r="BB232" s="4"/>
      <c r="BC232" s="3"/>
      <c r="BD232" s="9"/>
      <c r="BE232" s="9"/>
      <c r="BF232" s="122"/>
    </row>
    <row r="233" spans="1:58">
      <c r="A233" s="511" t="s">
        <v>102</v>
      </c>
      <c r="B233" s="511"/>
      <c r="C233" s="511"/>
      <c r="D233" s="511"/>
      <c r="E233" s="511"/>
      <c r="F233" s="511"/>
      <c r="G233" s="511"/>
      <c r="H233" s="511"/>
      <c r="I233" s="511"/>
      <c r="J233" s="511"/>
      <c r="K233" s="511"/>
      <c r="L233" s="511"/>
      <c r="M233" s="511"/>
      <c r="N233" s="511"/>
      <c r="O233" s="511"/>
      <c r="P233" s="511"/>
      <c r="Q233" s="511"/>
      <c r="R233" s="511"/>
      <c r="S233" s="511"/>
      <c r="T233" s="511"/>
      <c r="U233" s="511"/>
      <c r="V233" s="511"/>
      <c r="W233" s="511"/>
      <c r="X233" s="511"/>
      <c r="Y233" s="511"/>
      <c r="Z233" s="511"/>
      <c r="AA233" s="511"/>
      <c r="AB233" s="511"/>
      <c r="AC233" s="511"/>
      <c r="AD233" s="511"/>
      <c r="AE233" s="511"/>
      <c r="AF233" s="511"/>
      <c r="AG233" s="511"/>
      <c r="AH233" s="511"/>
      <c r="AI233" s="511"/>
      <c r="AJ233" s="511"/>
      <c r="AK233" s="511"/>
      <c r="AL233" s="511"/>
      <c r="AM233" s="511"/>
      <c r="AN233" s="511"/>
      <c r="AO233" s="511"/>
      <c r="AP233" s="511"/>
      <c r="AQ233" s="511"/>
      <c r="AR233" s="511"/>
      <c r="AS233" s="511"/>
      <c r="AT233" s="511"/>
      <c r="AU233" s="511"/>
      <c r="AV233" s="511"/>
      <c r="AW233" s="511"/>
      <c r="AX233" s="511"/>
      <c r="AY233" s="511"/>
      <c r="AZ233" s="511"/>
      <c r="BA233" s="511"/>
      <c r="BB233" s="511"/>
      <c r="BC233" s="511"/>
      <c r="BD233" s="511"/>
      <c r="BE233" s="511"/>
      <c r="BF233" s="511"/>
    </row>
    <row r="234" spans="1:58">
      <c r="A234" s="3" t="s">
        <v>103</v>
      </c>
      <c r="B234" s="4" t="s">
        <v>104</v>
      </c>
      <c r="C234" s="157">
        <v>92.360236522455608</v>
      </c>
      <c r="D234" s="30">
        <v>92.690510444879109</v>
      </c>
      <c r="E234" s="30">
        <v>3.73415169271644</v>
      </c>
      <c r="F234" s="30" t="s">
        <v>2743</v>
      </c>
      <c r="G234" s="157">
        <v>15.619608492136701</v>
      </c>
      <c r="H234" s="30">
        <v>15.5663366117431</v>
      </c>
      <c r="I234" s="30">
        <v>2.7838308143241002</v>
      </c>
      <c r="J234" s="30" t="s">
        <v>2743</v>
      </c>
      <c r="K234" s="157">
        <v>-4.8496968521183934</v>
      </c>
      <c r="L234" s="113">
        <v>-4.8496968521183934</v>
      </c>
      <c r="M234" s="30">
        <v>5.2814884427228579</v>
      </c>
      <c r="N234" s="355" t="s">
        <v>1498</v>
      </c>
      <c r="O234" s="157">
        <v>-94.818933374574002</v>
      </c>
      <c r="P234" s="30">
        <v>-95.016902518647996</v>
      </c>
      <c r="Q234" s="30">
        <v>3.8940582028536199</v>
      </c>
      <c r="R234" s="30" t="s">
        <v>2743</v>
      </c>
      <c r="S234" s="157">
        <v>74.346348184471694</v>
      </c>
      <c r="T234" s="30">
        <v>74.729042693059398</v>
      </c>
      <c r="U234" s="30">
        <v>4.1010827694873102</v>
      </c>
      <c r="V234" s="30" t="s">
        <v>2743</v>
      </c>
      <c r="W234" s="157">
        <v>-20.474121631690299</v>
      </c>
      <c r="X234" s="30">
        <v>-20.2915181060146</v>
      </c>
      <c r="Y234" s="30">
        <v>3.71938564772696</v>
      </c>
      <c r="Z234" s="300" t="s">
        <v>2743</v>
      </c>
      <c r="AA234" s="157">
        <v>10.404622585676201</v>
      </c>
      <c r="AB234" s="30">
        <v>10.4326758615915</v>
      </c>
      <c r="AC234" s="30">
        <v>0.131791562308328</v>
      </c>
      <c r="AD234" s="30" t="s">
        <v>2743</v>
      </c>
      <c r="AE234" s="157">
        <v>7.2518563764238504</v>
      </c>
      <c r="AF234" s="30">
        <v>7.3779764790471898</v>
      </c>
      <c r="AG234" s="30">
        <v>0.25122003700369799</v>
      </c>
      <c r="AH234" s="30" t="s">
        <v>2743</v>
      </c>
      <c r="AI234" s="157">
        <v>-3.1498811592713101</v>
      </c>
      <c r="AJ234" s="30">
        <v>-3.0557508073728799</v>
      </c>
      <c r="AK234" s="30">
        <v>0.216246239624068</v>
      </c>
      <c r="AL234" s="30" t="s">
        <v>2743</v>
      </c>
      <c r="AM234" s="157">
        <v>-3.8135232127191978</v>
      </c>
      <c r="AN234" s="30">
        <v>-3.7246426725163766</v>
      </c>
      <c r="AO234" s="30">
        <v>0.18679595582219199</v>
      </c>
      <c r="AP234" s="30" t="s">
        <v>2743</v>
      </c>
      <c r="AQ234" s="157">
        <v>-4.0666884680466699</v>
      </c>
      <c r="AR234" s="30">
        <v>-4.0669629921098398</v>
      </c>
      <c r="AS234" s="30">
        <v>7.1236134120281597E-2</v>
      </c>
      <c r="AT234" s="30" t="s">
        <v>2743</v>
      </c>
      <c r="AU234" s="157">
        <v>3.18163894326426</v>
      </c>
      <c r="AV234" s="30">
        <v>3.3124485069668901</v>
      </c>
      <c r="AW234" s="30">
        <v>0.23418896486854199</v>
      </c>
      <c r="AX234" s="30" t="s">
        <v>2743</v>
      </c>
      <c r="AY234" s="157">
        <v>48.472961613897454</v>
      </c>
      <c r="AZ234" s="30">
        <v>48.472961613897454</v>
      </c>
      <c r="BA234" s="30">
        <v>3.820620706319922</v>
      </c>
      <c r="BB234" s="30" t="s">
        <v>558</v>
      </c>
      <c r="BC234" s="157">
        <v>83.875</v>
      </c>
      <c r="BD234" s="30">
        <v>83.875</v>
      </c>
      <c r="BE234" s="30">
        <v>0.17677669529663689</v>
      </c>
      <c r="BF234" s="300" t="s">
        <v>558</v>
      </c>
    </row>
    <row r="235" spans="1:58">
      <c r="A235" s="3"/>
      <c r="B235" s="171">
        <v>485.79500000000002</v>
      </c>
      <c r="C235" s="157">
        <v>3.67673939734664</v>
      </c>
      <c r="D235" s="30">
        <v>92.360236522455608</v>
      </c>
      <c r="E235" s="30">
        <v>3.67673939734664</v>
      </c>
      <c r="F235" s="8" t="s">
        <v>2742</v>
      </c>
      <c r="G235" s="157">
        <v>2.74758723470931</v>
      </c>
      <c r="H235" s="30">
        <v>15.619608492136701</v>
      </c>
      <c r="I235" s="30">
        <v>2.74758723470931</v>
      </c>
      <c r="J235" s="8" t="s">
        <v>2742</v>
      </c>
      <c r="K235" s="158">
        <v>5.2814884427228579</v>
      </c>
      <c r="L235" s="113">
        <v>-4.8545131395535979</v>
      </c>
      <c r="M235" s="113">
        <v>4.570217344220171</v>
      </c>
      <c r="N235" s="13" t="s">
        <v>1499</v>
      </c>
      <c r="O235" s="157">
        <v>3.7915310330543499</v>
      </c>
      <c r="P235" s="30">
        <v>-94.818933374574002</v>
      </c>
      <c r="Q235" s="30">
        <v>3.7915310330543499</v>
      </c>
      <c r="R235" s="8" t="s">
        <v>2742</v>
      </c>
      <c r="S235" s="157">
        <v>3.8901406219524302</v>
      </c>
      <c r="T235" s="30">
        <v>74.346348184471694</v>
      </c>
      <c r="U235" s="30">
        <v>3.8901406219524302</v>
      </c>
      <c r="V235" s="8" t="s">
        <v>2742</v>
      </c>
      <c r="W235" s="157">
        <v>3.6520748843737199</v>
      </c>
      <c r="X235" s="30">
        <v>-20.474121631690299</v>
      </c>
      <c r="Y235" s="30">
        <v>3.6520748843737199</v>
      </c>
      <c r="Z235" s="498" t="s">
        <v>2742</v>
      </c>
      <c r="AA235" s="157">
        <v>0.12838268579723899</v>
      </c>
      <c r="AB235" s="30">
        <v>10.404622585676201</v>
      </c>
      <c r="AC235" s="30">
        <v>0.12838268579723899</v>
      </c>
      <c r="AD235" s="8" t="s">
        <v>2742</v>
      </c>
      <c r="AE235" s="157">
        <v>0.22569556822123699</v>
      </c>
      <c r="AF235" s="30">
        <v>7.2518563764238504</v>
      </c>
      <c r="AG235" s="30">
        <v>0.22569556822123699</v>
      </c>
      <c r="AH235" s="8" t="s">
        <v>2742</v>
      </c>
      <c r="AI235" s="157">
        <v>0.190801957762436</v>
      </c>
      <c r="AJ235" s="30">
        <v>-3.1498811592713101</v>
      </c>
      <c r="AK235" s="30">
        <v>0.190801957762436</v>
      </c>
      <c r="AL235" s="8" t="s">
        <v>2742</v>
      </c>
      <c r="AM235" s="157">
        <v>0.166364924731812</v>
      </c>
      <c r="AN235" s="30">
        <v>-3.8135232127191978</v>
      </c>
      <c r="AO235" s="30">
        <v>0.166364924731812</v>
      </c>
      <c r="AP235" s="8" t="s">
        <v>2742</v>
      </c>
      <c r="AQ235" s="157">
        <v>7.0158086195568403E-2</v>
      </c>
      <c r="AR235" s="30">
        <v>-4.0666884680466699</v>
      </c>
      <c r="AS235" s="30">
        <v>7.0158086195568403E-2</v>
      </c>
      <c r="AT235" s="8" t="s">
        <v>2742</v>
      </c>
      <c r="AU235" s="157">
        <v>0.20577552701323701</v>
      </c>
      <c r="AV235" s="30">
        <v>3.18163894326426</v>
      </c>
      <c r="AW235" s="30">
        <v>0.20577552701323701</v>
      </c>
      <c r="AX235" s="8" t="s">
        <v>2742</v>
      </c>
      <c r="AY235" s="157">
        <v>3.820620706319922</v>
      </c>
      <c r="AZ235" s="30"/>
      <c r="BA235" s="30"/>
      <c r="BB235" s="101"/>
      <c r="BC235" s="157">
        <v>0.17677669529663689</v>
      </c>
      <c r="BD235" s="30"/>
      <c r="BE235" s="30"/>
      <c r="BF235" s="277"/>
    </row>
    <row r="236" spans="1:58">
      <c r="A236" s="3"/>
      <c r="C236" s="3"/>
      <c r="D236" s="206">
        <v>94.14</v>
      </c>
      <c r="E236" s="206">
        <v>4.4506179346243595</v>
      </c>
      <c r="F236" s="206" t="s">
        <v>558</v>
      </c>
      <c r="G236" s="3"/>
      <c r="H236" s="206">
        <v>14.9</v>
      </c>
      <c r="I236" s="206">
        <v>2.9800000000000004</v>
      </c>
      <c r="J236" s="206" t="s">
        <v>558</v>
      </c>
      <c r="K236" s="353"/>
      <c r="L236" s="344">
        <v>4.2967974015840014</v>
      </c>
      <c r="M236" s="344">
        <v>6.1787965188659637</v>
      </c>
      <c r="N236" s="206" t="s">
        <v>1124</v>
      </c>
      <c r="O236" s="3"/>
      <c r="P236" s="206">
        <v>-93.4</v>
      </c>
      <c r="Q236" s="206">
        <v>4.6669047558312196</v>
      </c>
      <c r="R236" s="206" t="s">
        <v>558</v>
      </c>
      <c r="S236" s="3"/>
      <c r="T236" s="206" t="s">
        <v>2855</v>
      </c>
      <c r="U236" s="206" t="s">
        <v>2855</v>
      </c>
      <c r="V236" s="206" t="s">
        <v>558</v>
      </c>
      <c r="W236" s="3"/>
      <c r="X236" s="206">
        <v>-21.7</v>
      </c>
      <c r="Y236" s="206">
        <v>4.34</v>
      </c>
      <c r="Z236" s="350" t="s">
        <v>558</v>
      </c>
      <c r="AA236" s="4"/>
      <c r="AB236" s="206">
        <v>10.434999999999999</v>
      </c>
      <c r="AC236" s="206">
        <v>0.13435028842544369</v>
      </c>
      <c r="AD236" s="206" t="s">
        <v>558</v>
      </c>
      <c r="AE236" s="3"/>
      <c r="AF236" s="206">
        <v>7.353625000000001</v>
      </c>
      <c r="AG236" s="206">
        <v>0.39969780251251513</v>
      </c>
      <c r="AH236" s="206" t="s">
        <v>558</v>
      </c>
      <c r="AI236" s="3"/>
      <c r="AJ236" s="206" t="s">
        <v>2855</v>
      </c>
      <c r="AK236" s="206" t="s">
        <v>2855</v>
      </c>
      <c r="AL236" s="206" t="s">
        <v>558</v>
      </c>
      <c r="AM236" s="3"/>
      <c r="AN236" s="206">
        <v>-3.7075139892385729</v>
      </c>
      <c r="AO236" s="206">
        <v>0.19995588786711851</v>
      </c>
      <c r="AP236" s="206" t="s">
        <v>558</v>
      </c>
      <c r="AQ236" s="3"/>
      <c r="AR236" s="206">
        <v>-3.7075139892385729</v>
      </c>
      <c r="AS236" s="206">
        <v>0.19995588786711851</v>
      </c>
      <c r="AT236" s="206" t="s">
        <v>558</v>
      </c>
      <c r="AU236" s="3"/>
      <c r="AV236" s="206" t="s">
        <v>2855</v>
      </c>
      <c r="AW236" s="206" t="s">
        <v>2855</v>
      </c>
      <c r="AX236" s="206" t="s">
        <v>558</v>
      </c>
      <c r="AY236" s="3"/>
      <c r="AZ236" s="52"/>
      <c r="BA236" s="52"/>
      <c r="BB236" s="52"/>
      <c r="BC236" s="3"/>
      <c r="BF236" s="42"/>
    </row>
    <row r="237" spans="1:58">
      <c r="A237" s="3"/>
      <c r="B237" s="4" t="s">
        <v>20</v>
      </c>
      <c r="C237" s="3"/>
      <c r="D237" s="176">
        <v>101.43600698368002</v>
      </c>
      <c r="E237" s="176">
        <v>11.461457301099973</v>
      </c>
      <c r="F237" s="206" t="s">
        <v>1124</v>
      </c>
      <c r="G237" s="3"/>
      <c r="H237" s="176">
        <v>15.716826603447913</v>
      </c>
      <c r="I237" s="176">
        <v>22.047250022784663</v>
      </c>
      <c r="J237" s="206" t="s">
        <v>1124</v>
      </c>
      <c r="K237" s="353"/>
      <c r="L237" s="206"/>
      <c r="M237" s="206"/>
      <c r="N237" s="206"/>
      <c r="O237" s="3"/>
      <c r="P237" s="178">
        <v>-97.139209582096015</v>
      </c>
      <c r="Q237" s="178">
        <v>16.564760853196507</v>
      </c>
      <c r="R237" s="206" t="s">
        <v>1124</v>
      </c>
      <c r="S237" s="3"/>
      <c r="T237" s="178">
        <v>70.758807699999991</v>
      </c>
      <c r="U237" s="178">
        <v>13.265082920711299</v>
      </c>
      <c r="V237" s="206" t="s">
        <v>1124</v>
      </c>
      <c r="W237" s="3"/>
      <c r="X237" s="178">
        <v>-27.635148000000004</v>
      </c>
      <c r="Y237" s="178">
        <v>11.33630104985934</v>
      </c>
      <c r="Z237" s="350" t="s">
        <v>1124</v>
      </c>
      <c r="AA237" s="4"/>
      <c r="AB237" s="178">
        <v>10.572900000000001</v>
      </c>
      <c r="AC237" s="178">
        <v>0.28054132860000003</v>
      </c>
      <c r="AD237" s="206" t="s">
        <v>1124</v>
      </c>
      <c r="AE237" s="3"/>
      <c r="AF237" s="178">
        <v>7.16</v>
      </c>
      <c r="AG237" s="178">
        <v>0.50640532000000005</v>
      </c>
      <c r="AH237" s="206" t="s">
        <v>1124</v>
      </c>
      <c r="AI237" s="3"/>
      <c r="AJ237" s="178">
        <v>-3.3186978724594232</v>
      </c>
      <c r="AK237" s="178">
        <v>0.38418905920526514</v>
      </c>
      <c r="AL237" s="206" t="s">
        <v>1124</v>
      </c>
      <c r="AM237" s="3"/>
      <c r="AN237" s="178">
        <v>-3.9963469999999992</v>
      </c>
      <c r="AO237" s="178">
        <v>0.46919511588199991</v>
      </c>
      <c r="AP237" s="206" t="s">
        <v>1124</v>
      </c>
      <c r="AQ237" s="3"/>
      <c r="AR237" s="178">
        <v>-3.9963469999999992</v>
      </c>
      <c r="AS237" s="178">
        <v>0.46919511588199991</v>
      </c>
      <c r="AT237" s="206" t="s">
        <v>1124</v>
      </c>
      <c r="AU237" s="3"/>
      <c r="AV237" s="178">
        <v>2.6982638999999988</v>
      </c>
      <c r="AW237" s="178">
        <v>0.48765993291089982</v>
      </c>
      <c r="AX237" s="206" t="s">
        <v>1124</v>
      </c>
      <c r="AY237" s="3"/>
      <c r="AZ237" s="178"/>
      <c r="BA237" s="178"/>
      <c r="BB237" s="206"/>
      <c r="BC237" s="3"/>
      <c r="BD237" s="178"/>
      <c r="BE237" s="178"/>
      <c r="BF237" s="350"/>
    </row>
    <row r="238" spans="1:58">
      <c r="A238" s="3"/>
      <c r="B238" s="4"/>
      <c r="C238" s="3"/>
      <c r="D238" s="30" t="s">
        <v>2855</v>
      </c>
      <c r="E238" s="30" t="s">
        <v>2855</v>
      </c>
      <c r="F238" s="206" t="s">
        <v>2875</v>
      </c>
      <c r="G238" s="3"/>
      <c r="H238" s="30" t="s">
        <v>2855</v>
      </c>
      <c r="I238" s="30" t="s">
        <v>2855</v>
      </c>
      <c r="J238" s="206" t="s">
        <v>2875</v>
      </c>
      <c r="K238" s="353"/>
      <c r="L238" s="206"/>
      <c r="M238" s="206"/>
      <c r="N238" s="206"/>
      <c r="O238" s="3"/>
      <c r="P238" s="30" t="s">
        <v>2855</v>
      </c>
      <c r="Q238" s="30" t="s">
        <v>2855</v>
      </c>
      <c r="R238" s="206" t="s">
        <v>2875</v>
      </c>
      <c r="S238" s="3"/>
      <c r="T238" s="30" t="s">
        <v>2855</v>
      </c>
      <c r="U238" s="30" t="s">
        <v>2855</v>
      </c>
      <c r="V238" s="206" t="s">
        <v>2875</v>
      </c>
      <c r="W238" s="3"/>
      <c r="X238" s="30" t="s">
        <v>2855</v>
      </c>
      <c r="Y238" s="30" t="s">
        <v>2855</v>
      </c>
      <c r="Z238" s="350" t="s">
        <v>2875</v>
      </c>
      <c r="AA238" s="4"/>
      <c r="AB238" s="9"/>
      <c r="AC238" s="9"/>
      <c r="AD238" s="4"/>
      <c r="AE238" s="3"/>
      <c r="AF238" s="9"/>
      <c r="AG238" s="9"/>
      <c r="AH238" s="4"/>
      <c r="AI238" s="3"/>
      <c r="AJ238" s="9"/>
      <c r="AK238" s="9"/>
      <c r="AL238" s="4"/>
      <c r="AM238" s="3"/>
      <c r="AN238" s="9"/>
      <c r="AO238" s="9"/>
      <c r="AP238" s="4"/>
      <c r="AQ238" s="3"/>
      <c r="AR238" s="9"/>
      <c r="AS238" s="9"/>
      <c r="AT238" s="4"/>
      <c r="AU238" s="3"/>
      <c r="AV238" s="9"/>
      <c r="AW238" s="9"/>
      <c r="AX238" s="4"/>
      <c r="AY238" s="3"/>
      <c r="AZ238" s="9"/>
      <c r="BA238" s="9"/>
      <c r="BB238" s="4"/>
      <c r="BC238" s="3"/>
      <c r="BD238" s="9"/>
      <c r="BE238" s="9"/>
      <c r="BF238" s="122"/>
    </row>
    <row r="239" spans="1:58" s="365" customFormat="1">
      <c r="A239" s="324"/>
      <c r="B239" s="358"/>
      <c r="C239" s="324"/>
      <c r="D239" s="206">
        <v>92.144705647819308</v>
      </c>
      <c r="E239" s="206">
        <v>3.90775161865758</v>
      </c>
      <c r="F239" s="206" t="s">
        <v>2874</v>
      </c>
      <c r="G239" s="324"/>
      <c r="H239" s="206">
        <v>16.5611970665597</v>
      </c>
      <c r="I239" s="206">
        <v>4.59924629184491</v>
      </c>
      <c r="J239" s="206" t="s">
        <v>2874</v>
      </c>
      <c r="K239" s="353"/>
      <c r="L239" s="206"/>
      <c r="M239" s="206"/>
      <c r="N239" s="206"/>
      <c r="O239" s="324"/>
      <c r="P239" s="206">
        <v>-94.683656972033006</v>
      </c>
      <c r="Q239" s="206">
        <v>3.5143969583788599</v>
      </c>
      <c r="R239" s="206" t="s">
        <v>2874</v>
      </c>
      <c r="S239" s="324"/>
      <c r="T239" s="206">
        <v>73.1904552558685</v>
      </c>
      <c r="U239" s="206">
        <v>4.8063938731556703</v>
      </c>
      <c r="V239" s="206" t="s">
        <v>2874</v>
      </c>
      <c r="W239" s="324"/>
      <c r="X239" s="206">
        <v>-21.4918191379892</v>
      </c>
      <c r="Y239" s="206">
        <v>4.6247342155738096</v>
      </c>
      <c r="Z239" s="350" t="s">
        <v>2874</v>
      </c>
      <c r="AA239" s="363"/>
      <c r="AB239" s="177"/>
      <c r="AC239" s="177"/>
      <c r="AD239" s="155"/>
      <c r="AE239" s="362"/>
      <c r="AF239" s="202"/>
      <c r="AG239" s="176"/>
      <c r="AH239" s="362"/>
      <c r="AI239" s="175"/>
      <c r="AJ239" s="154"/>
      <c r="AK239" s="155"/>
      <c r="AL239" s="363"/>
      <c r="AM239" s="183"/>
      <c r="AN239" s="185"/>
      <c r="AO239" s="362"/>
      <c r="AP239" s="154"/>
      <c r="AQ239" s="198"/>
      <c r="AR239" s="176"/>
      <c r="AS239" s="364"/>
      <c r="AT239" s="175"/>
      <c r="AU239" s="175"/>
      <c r="AV239" s="155"/>
      <c r="AW239" s="175"/>
      <c r="AX239" s="153"/>
      <c r="AY239" s="153"/>
      <c r="AZ239" s="175"/>
      <c r="BA239" s="175"/>
      <c r="BB239" s="153"/>
      <c r="BC239" s="153"/>
      <c r="BD239" s="155"/>
      <c r="BE239" s="175"/>
      <c r="BF239" s="175"/>
    </row>
    <row r="240" spans="1:58">
      <c r="A240" s="3"/>
      <c r="B240" s="4"/>
      <c r="C240" s="87"/>
      <c r="D240" s="234"/>
      <c r="E240" s="234"/>
      <c r="F240" s="30"/>
      <c r="G240" s="29"/>
      <c r="H240" s="30"/>
      <c r="I240" s="30"/>
      <c r="J240" s="30"/>
      <c r="K240" s="29"/>
      <c r="L240" s="30"/>
      <c r="M240" s="30"/>
      <c r="N240" s="30"/>
      <c r="O240" s="115"/>
      <c r="P240" s="30"/>
      <c r="Q240" s="30"/>
      <c r="R240" s="30"/>
      <c r="S240" s="29"/>
      <c r="T240" s="30"/>
      <c r="U240" s="30"/>
      <c r="V240" s="30"/>
      <c r="W240" s="29"/>
      <c r="X240" s="172"/>
      <c r="Y240" s="172"/>
      <c r="Z240" s="300"/>
      <c r="AB240" s="9"/>
      <c r="AC240" s="9"/>
      <c r="AD240" s="45"/>
      <c r="AE240" s="9"/>
      <c r="AF240" s="273"/>
      <c r="AG240" s="155"/>
      <c r="AH240" s="47"/>
      <c r="AI240" s="261"/>
      <c r="AJ240" s="175"/>
      <c r="AK240" s="155"/>
      <c r="AM240" s="16"/>
      <c r="AN240" s="275"/>
      <c r="AO240" s="47"/>
      <c r="AP240" s="47"/>
      <c r="AQ240" s="47"/>
      <c r="AR240" s="45"/>
      <c r="AS240" s="84"/>
      <c r="AT240" s="47"/>
      <c r="AU240" s="47"/>
      <c r="AV240" s="45"/>
      <c r="AW240" s="47"/>
      <c r="AX240" s="47"/>
      <c r="AY240" s="47"/>
      <c r="AZ240" s="47"/>
      <c r="BA240" s="84"/>
      <c r="BB240" s="121"/>
      <c r="BC240" s="47"/>
      <c r="BD240" s="45"/>
      <c r="BE240" s="47"/>
      <c r="BF240" s="47"/>
    </row>
    <row r="241" spans="1:58">
      <c r="A241" s="3" t="s">
        <v>108</v>
      </c>
      <c r="B241" s="4" t="s">
        <v>109</v>
      </c>
      <c r="C241" s="157">
        <v>96.745084242733</v>
      </c>
      <c r="D241" s="30" t="s">
        <v>2855</v>
      </c>
      <c r="E241" s="30" t="s">
        <v>2855</v>
      </c>
      <c r="F241" s="30" t="s">
        <v>2743</v>
      </c>
      <c r="G241" s="157">
        <v>24.285834906936699</v>
      </c>
      <c r="H241" s="30" t="s">
        <v>2855</v>
      </c>
      <c r="I241" s="30" t="s">
        <v>2855</v>
      </c>
      <c r="J241" s="30" t="s">
        <v>2743</v>
      </c>
      <c r="K241" s="157">
        <v>-8.4784341685059932</v>
      </c>
      <c r="L241" s="113">
        <v>-8.4784341685059932</v>
      </c>
      <c r="M241" s="30">
        <v>6.7855581856298421</v>
      </c>
      <c r="N241" s="355" t="s">
        <v>1498</v>
      </c>
      <c r="O241" s="157">
        <v>-102.83251841123899</v>
      </c>
      <c r="P241" s="30" t="s">
        <v>2855</v>
      </c>
      <c r="Q241" s="30" t="s">
        <v>2855</v>
      </c>
      <c r="R241" s="30" t="s">
        <v>2743</v>
      </c>
      <c r="S241" s="157">
        <v>70.068137611450993</v>
      </c>
      <c r="T241" s="30" t="s">
        <v>2855</v>
      </c>
      <c r="U241" s="30" t="s">
        <v>2855</v>
      </c>
      <c r="V241" s="30" t="s">
        <v>2743</v>
      </c>
      <c r="W241" s="157">
        <v>-32.762607161096298</v>
      </c>
      <c r="X241" s="30" t="s">
        <v>2855</v>
      </c>
      <c r="Y241" s="30" t="s">
        <v>2855</v>
      </c>
      <c r="Z241" s="300" t="s">
        <v>2743</v>
      </c>
      <c r="AA241" s="157">
        <v>10.653612349543501</v>
      </c>
      <c r="AB241" s="30" t="s">
        <v>2855</v>
      </c>
      <c r="AC241" s="30" t="s">
        <v>2855</v>
      </c>
      <c r="AD241" s="30" t="s">
        <v>2743</v>
      </c>
      <c r="AE241" s="157">
        <v>7.29692395552423</v>
      </c>
      <c r="AF241" s="30" t="s">
        <v>2855</v>
      </c>
      <c r="AG241" s="30" t="s">
        <v>2855</v>
      </c>
      <c r="AH241" s="30" t="s">
        <v>2743</v>
      </c>
      <c r="AI241" s="157">
        <v>-3.3608055451909502</v>
      </c>
      <c r="AJ241" s="30" t="s">
        <v>2855</v>
      </c>
      <c r="AK241" s="30" t="s">
        <v>2855</v>
      </c>
      <c r="AL241" s="30" t="s">
        <v>2743</v>
      </c>
      <c r="AM241" s="157">
        <v>-3.8072279488306875</v>
      </c>
      <c r="AN241" s="30" t="s">
        <v>2855</v>
      </c>
      <c r="AO241" s="30" t="s">
        <v>2855</v>
      </c>
      <c r="AP241" s="30" t="s">
        <v>2743</v>
      </c>
      <c r="AQ241" s="157">
        <v>-3.84104913227339</v>
      </c>
      <c r="AR241" s="30" t="s">
        <v>2855</v>
      </c>
      <c r="AS241" s="30" t="s">
        <v>2855</v>
      </c>
      <c r="AT241" s="30" t="s">
        <v>2743</v>
      </c>
      <c r="AU241" s="157">
        <v>3.4519481148068598</v>
      </c>
      <c r="AV241" s="30" t="s">
        <v>2855</v>
      </c>
      <c r="AW241" s="30" t="s">
        <v>2855</v>
      </c>
      <c r="AX241" s="30" t="s">
        <v>2743</v>
      </c>
      <c r="AY241" s="157" t="s">
        <v>2855</v>
      </c>
      <c r="AZ241" s="30" t="s">
        <v>2855</v>
      </c>
      <c r="BA241" s="30" t="s">
        <v>2855</v>
      </c>
      <c r="BB241" s="30" t="s">
        <v>558</v>
      </c>
      <c r="BC241" s="157">
        <v>106</v>
      </c>
      <c r="BD241" s="30">
        <v>106</v>
      </c>
      <c r="BE241" s="30">
        <v>4.8935660219839905</v>
      </c>
      <c r="BF241" s="300" t="s">
        <v>558</v>
      </c>
    </row>
    <row r="242" spans="1:58">
      <c r="A242" s="3"/>
      <c r="B242" s="171">
        <v>485.79500000000002</v>
      </c>
      <c r="C242" s="157">
        <v>2.9732634091474002</v>
      </c>
      <c r="D242" s="30">
        <v>96.745084242733</v>
      </c>
      <c r="E242" s="30">
        <v>2.9732634091474002</v>
      </c>
      <c r="F242" s="8" t="s">
        <v>2742</v>
      </c>
      <c r="G242" s="157">
        <v>9.2176720334822306</v>
      </c>
      <c r="H242" s="30">
        <v>24.285834906936699</v>
      </c>
      <c r="I242" s="30">
        <v>9.2176720334822306</v>
      </c>
      <c r="J242" s="8" t="s">
        <v>2742</v>
      </c>
      <c r="K242" s="158">
        <v>6.7855581856298421</v>
      </c>
      <c r="L242" s="113">
        <v>-8.4767722541595987</v>
      </c>
      <c r="M242" s="113">
        <v>13.030438896482513</v>
      </c>
      <c r="N242" s="13" t="s">
        <v>1499</v>
      </c>
      <c r="O242" s="157">
        <v>6.0994675661399604</v>
      </c>
      <c r="P242" s="30">
        <v>-102.83251841123899</v>
      </c>
      <c r="Q242" s="30">
        <v>6.0994675661399604</v>
      </c>
      <c r="R242" s="8" t="s">
        <v>2742</v>
      </c>
      <c r="S242" s="157">
        <v>8.8408910362531206</v>
      </c>
      <c r="T242" s="30">
        <v>70.068137611450993</v>
      </c>
      <c r="U242" s="30">
        <v>8.8408910362531206</v>
      </c>
      <c r="V242" s="8" t="s">
        <v>2742</v>
      </c>
      <c r="W242" s="157">
        <v>9.2101498423274304</v>
      </c>
      <c r="X242" s="30">
        <v>-32.762607161096298</v>
      </c>
      <c r="Y242" s="30">
        <v>9.2101498423274304</v>
      </c>
      <c r="Z242" s="498" t="s">
        <v>2742</v>
      </c>
      <c r="AA242" s="157">
        <v>0.33859672366201898</v>
      </c>
      <c r="AB242" s="30">
        <v>10.653612349543501</v>
      </c>
      <c r="AC242" s="30">
        <v>0.33859672366201898</v>
      </c>
      <c r="AD242" s="8" t="s">
        <v>2742</v>
      </c>
      <c r="AE242" s="157">
        <v>0.66132421926086304</v>
      </c>
      <c r="AF242" s="30">
        <v>7.29692395552423</v>
      </c>
      <c r="AG242" s="30">
        <v>0.66132421926086304</v>
      </c>
      <c r="AH242" s="8" t="s">
        <v>2742</v>
      </c>
      <c r="AI242" s="157">
        <v>0.60712758115786403</v>
      </c>
      <c r="AJ242" s="30">
        <v>-3.3608055451909502</v>
      </c>
      <c r="AK242" s="30">
        <v>0.60712758115786403</v>
      </c>
      <c r="AL242" s="8" t="s">
        <v>2742</v>
      </c>
      <c r="AM242" s="157">
        <v>0.22594716665657999</v>
      </c>
      <c r="AN242" s="30">
        <v>-3.8072279488306875</v>
      </c>
      <c r="AO242" s="30">
        <v>0.22594716665657999</v>
      </c>
      <c r="AP242" s="8" t="s">
        <v>2742</v>
      </c>
      <c r="AQ242" s="157">
        <v>0.58346377606204103</v>
      </c>
      <c r="AR242" s="30">
        <v>-3.84104913227339</v>
      </c>
      <c r="AS242" s="30">
        <v>0.58346377606204103</v>
      </c>
      <c r="AT242" s="8" t="s">
        <v>2742</v>
      </c>
      <c r="AU242" s="157">
        <v>0.40337796269479897</v>
      </c>
      <c r="AV242" s="30">
        <v>3.4519481148068598</v>
      </c>
      <c r="AW242" s="30">
        <v>0.40337796269479897</v>
      </c>
      <c r="AX242" s="8" t="s">
        <v>2742</v>
      </c>
      <c r="AY242" s="157" t="s">
        <v>2855</v>
      </c>
      <c r="AZ242" s="30"/>
      <c r="BA242" s="30"/>
      <c r="BB242" s="101"/>
      <c r="BC242" s="157">
        <v>4.8935660219839905</v>
      </c>
      <c r="BD242" s="30"/>
      <c r="BE242" s="30"/>
      <c r="BF242" s="277"/>
    </row>
    <row r="243" spans="1:58">
      <c r="A243" s="3"/>
      <c r="C243" s="3"/>
      <c r="D243" s="206">
        <v>96.833333333333329</v>
      </c>
      <c r="E243" s="206">
        <v>2.9704096238285618</v>
      </c>
      <c r="F243" s="206" t="s">
        <v>558</v>
      </c>
      <c r="G243" s="3"/>
      <c r="H243" s="206" t="s">
        <v>2855</v>
      </c>
      <c r="I243" s="206" t="s">
        <v>2855</v>
      </c>
      <c r="J243" s="206" t="s">
        <v>558</v>
      </c>
      <c r="K243" s="353"/>
      <c r="L243" s="344">
        <v>4.6010027029921474</v>
      </c>
      <c r="M243" s="344">
        <v>6.6162438736489255</v>
      </c>
      <c r="N243" s="206" t="s">
        <v>1124</v>
      </c>
      <c r="O243" s="3"/>
      <c r="P243" s="206">
        <v>-103</v>
      </c>
      <c r="Q243" s="206">
        <v>6.5258826293688674</v>
      </c>
      <c r="R243" s="206" t="s">
        <v>558</v>
      </c>
      <c r="S243" s="3"/>
      <c r="T243" s="206" t="s">
        <v>2855</v>
      </c>
      <c r="U243" s="206" t="s">
        <v>2855</v>
      </c>
      <c r="V243" s="206" t="s">
        <v>558</v>
      </c>
      <c r="W243" s="3"/>
      <c r="X243" s="206" t="s">
        <v>2855</v>
      </c>
      <c r="Y243" s="206" t="s">
        <v>2855</v>
      </c>
      <c r="Z243" s="350" t="s">
        <v>558</v>
      </c>
      <c r="AA243" s="4"/>
      <c r="AB243" s="206">
        <v>10.655000000000001</v>
      </c>
      <c r="AC243" s="206">
        <v>0.23334523779156074</v>
      </c>
      <c r="AD243" s="206" t="s">
        <v>558</v>
      </c>
      <c r="AE243" s="3"/>
      <c r="AF243" s="206" t="s">
        <v>2855</v>
      </c>
      <c r="AG243" s="206" t="s">
        <v>2855</v>
      </c>
      <c r="AH243" s="206" t="s">
        <v>558</v>
      </c>
      <c r="AI243" s="3"/>
      <c r="AJ243" s="206" t="s">
        <v>2855</v>
      </c>
      <c r="AK243" s="206" t="s">
        <v>2855</v>
      </c>
      <c r="AL243" s="206" t="s">
        <v>558</v>
      </c>
      <c r="AM243" s="3"/>
      <c r="AN243" s="206">
        <v>-3.8064674031393619</v>
      </c>
      <c r="AO243" s="206">
        <v>0.15897540206098351</v>
      </c>
      <c r="AP243" s="206" t="s">
        <v>558</v>
      </c>
      <c r="AQ243" s="3"/>
      <c r="AR243" s="206">
        <v>-3.8064674031393619</v>
      </c>
      <c r="AS243" s="206">
        <v>0.15897540206098351</v>
      </c>
      <c r="AT243" s="206" t="s">
        <v>558</v>
      </c>
      <c r="AU243" s="3"/>
      <c r="AV243" s="206" t="s">
        <v>2855</v>
      </c>
      <c r="AW243" s="206" t="s">
        <v>2855</v>
      </c>
      <c r="AX243" s="206" t="s">
        <v>558</v>
      </c>
      <c r="AY243" s="3"/>
      <c r="AZ243" s="52"/>
      <c r="BA243" s="52"/>
      <c r="BB243" s="52"/>
      <c r="BC243" s="3"/>
      <c r="BF243" s="42"/>
    </row>
    <row r="244" spans="1:58">
      <c r="A244" s="3"/>
      <c r="B244" s="4" t="s">
        <v>20</v>
      </c>
      <c r="C244" s="3"/>
      <c r="D244" s="176">
        <v>102.18169871008001</v>
      </c>
      <c r="E244" s="176">
        <v>11.54571450064936</v>
      </c>
      <c r="F244" s="206" t="s">
        <v>1124</v>
      </c>
      <c r="G244" s="3"/>
      <c r="H244" s="176">
        <v>16.357400538928019</v>
      </c>
      <c r="I244" s="176">
        <v>22.945834327997446</v>
      </c>
      <c r="J244" s="206" t="s">
        <v>1124</v>
      </c>
      <c r="K244" s="353"/>
      <c r="L244" s="206"/>
      <c r="M244" s="206"/>
      <c r="N244" s="206"/>
      <c r="O244" s="3"/>
      <c r="P244" s="178">
        <v>-97.580696007087866</v>
      </c>
      <c r="Q244" s="178">
        <v>16.640045767304667</v>
      </c>
      <c r="R244" s="206" t="s">
        <v>1124</v>
      </c>
      <c r="S244" s="3"/>
      <c r="T244" s="178">
        <v>67.159043699999984</v>
      </c>
      <c r="U244" s="178">
        <v>12.590238763395297</v>
      </c>
      <c r="V244" s="206" t="s">
        <v>1124</v>
      </c>
      <c r="W244" s="3"/>
      <c r="X244" s="178">
        <v>-32.069367999999997</v>
      </c>
      <c r="Y244" s="178">
        <v>13.155276393914209</v>
      </c>
      <c r="Z244" s="350" t="s">
        <v>1124</v>
      </c>
      <c r="AA244" s="4"/>
      <c r="AB244" s="178">
        <v>10.572900000000001</v>
      </c>
      <c r="AC244" s="178">
        <v>0.28054132860000003</v>
      </c>
      <c r="AD244" s="206" t="s">
        <v>1124</v>
      </c>
      <c r="AE244" s="3"/>
      <c r="AF244" s="178">
        <v>7.24</v>
      </c>
      <c r="AG244" s="178">
        <v>0.51206348000000002</v>
      </c>
      <c r="AH244" s="206" t="s">
        <v>1124</v>
      </c>
      <c r="AI244" s="3"/>
      <c r="AJ244" s="178">
        <v>-3.4597463826083863</v>
      </c>
      <c r="AK244" s="178">
        <v>0.40051753998265988</v>
      </c>
      <c r="AL244" s="206" t="s">
        <v>1124</v>
      </c>
      <c r="AM244" s="3"/>
      <c r="AN244" s="178">
        <v>-4.9634469999999995</v>
      </c>
      <c r="AO244" s="178">
        <v>0.5827384584819999</v>
      </c>
      <c r="AP244" s="206" t="s">
        <v>1124</v>
      </c>
      <c r="AQ244" s="3"/>
      <c r="AR244" s="178">
        <v>-4.9634469999999995</v>
      </c>
      <c r="AS244" s="178">
        <v>0.5827384584819999</v>
      </c>
      <c r="AT244" s="206" t="s">
        <v>1124</v>
      </c>
      <c r="AU244" s="3"/>
      <c r="AV244" s="178">
        <v>2.4449938999999983</v>
      </c>
      <c r="AW244" s="178">
        <v>0.44188619254089967</v>
      </c>
      <c r="AX244" s="206" t="s">
        <v>1124</v>
      </c>
      <c r="AY244" s="3"/>
      <c r="AZ244" s="178"/>
      <c r="BA244" s="178"/>
      <c r="BB244" s="206"/>
      <c r="BC244" s="3"/>
      <c r="BD244" s="178"/>
      <c r="BE244" s="178"/>
      <c r="BF244" s="350"/>
    </row>
    <row r="245" spans="1:58">
      <c r="A245" s="3"/>
      <c r="B245" s="4"/>
      <c r="C245" s="87"/>
      <c r="D245" s="234"/>
      <c r="E245" s="234"/>
      <c r="F245" s="30"/>
      <c r="G245" s="29"/>
      <c r="H245" s="30"/>
      <c r="I245" s="30"/>
      <c r="J245" s="30"/>
      <c r="K245" s="29"/>
      <c r="L245" s="30"/>
      <c r="M245" s="30"/>
      <c r="N245" s="30"/>
      <c r="O245" s="115"/>
      <c r="P245" s="30"/>
      <c r="Q245" s="30"/>
      <c r="R245" s="30"/>
      <c r="S245" s="29"/>
      <c r="T245" s="30"/>
      <c r="U245" s="30"/>
      <c r="V245" s="30"/>
      <c r="W245" s="29"/>
      <c r="X245" s="172"/>
      <c r="Y245" s="172"/>
      <c r="Z245" s="300"/>
      <c r="AA245" s="4"/>
      <c r="AB245" s="9"/>
      <c r="AC245" s="9"/>
      <c r="AD245" s="4"/>
      <c r="AE245" s="3"/>
      <c r="AF245" s="9"/>
      <c r="AG245" s="9"/>
      <c r="AH245" s="4"/>
      <c r="AI245" s="3"/>
      <c r="AJ245" s="9"/>
      <c r="AK245" s="9"/>
      <c r="AL245" s="4"/>
      <c r="AM245" s="3"/>
      <c r="AN245" s="9"/>
      <c r="AO245" s="9"/>
      <c r="AP245" s="4"/>
      <c r="AQ245" s="3"/>
      <c r="AR245" s="9"/>
      <c r="AS245" s="9"/>
      <c r="AT245" s="4"/>
      <c r="AU245" s="3"/>
      <c r="AV245" s="9"/>
      <c r="AW245" s="9"/>
      <c r="AX245" s="4"/>
      <c r="AY245" s="3"/>
      <c r="AZ245" s="9"/>
      <c r="BA245" s="9"/>
      <c r="BB245" s="4"/>
      <c r="BC245" s="3"/>
      <c r="BD245" s="9"/>
      <c r="BE245" s="9"/>
      <c r="BF245" s="122"/>
    </row>
    <row r="246" spans="1:58">
      <c r="A246" s="3" t="s">
        <v>110</v>
      </c>
      <c r="B246" s="4" t="s">
        <v>111</v>
      </c>
      <c r="C246" s="157">
        <v>98.83777546109711</v>
      </c>
      <c r="D246" s="30" t="s">
        <v>2855</v>
      </c>
      <c r="E246" s="30" t="s">
        <v>2855</v>
      </c>
      <c r="F246" s="30" t="s">
        <v>2743</v>
      </c>
      <c r="G246" s="157">
        <v>27.125841366049801</v>
      </c>
      <c r="H246" s="30" t="s">
        <v>2855</v>
      </c>
      <c r="I246" s="30" t="s">
        <v>2855</v>
      </c>
      <c r="J246" s="30" t="s">
        <v>2743</v>
      </c>
      <c r="K246" s="157">
        <v>-2.6181324915558921</v>
      </c>
      <c r="L246" s="113">
        <v>-2.6181324915558921</v>
      </c>
      <c r="M246" s="30">
        <v>9.0232483534580936</v>
      </c>
      <c r="N246" s="355" t="s">
        <v>1498</v>
      </c>
      <c r="O246" s="157">
        <v>-99.064907952653002</v>
      </c>
      <c r="P246" s="30" t="s">
        <v>2855</v>
      </c>
      <c r="Q246" s="30" t="s">
        <v>2855</v>
      </c>
      <c r="R246" s="30" t="s">
        <v>2743</v>
      </c>
      <c r="S246" s="157">
        <v>69.320649487011394</v>
      </c>
      <c r="T246" s="30" t="s">
        <v>2855</v>
      </c>
      <c r="U246" s="30" t="s">
        <v>2855</v>
      </c>
      <c r="V246" s="30" t="s">
        <v>2743</v>
      </c>
      <c r="W246" s="157">
        <v>-29.745401180199</v>
      </c>
      <c r="X246" s="30" t="s">
        <v>2855</v>
      </c>
      <c r="Y246" s="30" t="s">
        <v>2855</v>
      </c>
      <c r="Z246" s="300" t="s">
        <v>2743</v>
      </c>
      <c r="AA246" s="157">
        <v>10.4166123903406</v>
      </c>
      <c r="AB246" s="30" t="s">
        <v>2855</v>
      </c>
      <c r="AC246" s="30" t="s">
        <v>2855</v>
      </c>
      <c r="AD246" s="30" t="s">
        <v>2743</v>
      </c>
      <c r="AE246" s="157">
        <v>7.1848115619030999</v>
      </c>
      <c r="AF246" s="30" t="s">
        <v>2855</v>
      </c>
      <c r="AG246" s="30" t="s">
        <v>2855</v>
      </c>
      <c r="AH246" s="30" t="s">
        <v>2743</v>
      </c>
      <c r="AI246" s="157">
        <v>-3.23753123813708</v>
      </c>
      <c r="AJ246" s="30" t="s">
        <v>2855</v>
      </c>
      <c r="AK246" s="30" t="s">
        <v>2855</v>
      </c>
      <c r="AL246" s="30" t="s">
        <v>2743</v>
      </c>
      <c r="AM246" s="157">
        <v>-3.7778540968785665</v>
      </c>
      <c r="AN246" s="30" t="s">
        <v>2855</v>
      </c>
      <c r="AO246" s="30" t="s">
        <v>2855</v>
      </c>
      <c r="AP246" s="30" t="s">
        <v>2743</v>
      </c>
      <c r="AQ246" s="157">
        <v>-3.9361683873742699</v>
      </c>
      <c r="AR246" s="30" t="s">
        <v>2855</v>
      </c>
      <c r="AS246" s="30" t="s">
        <v>2855</v>
      </c>
      <c r="AT246" s="30" t="s">
        <v>2743</v>
      </c>
      <c r="AU246" s="157">
        <v>3.2453470852557702</v>
      </c>
      <c r="AV246" s="30" t="s">
        <v>2855</v>
      </c>
      <c r="AW246" s="30" t="s">
        <v>2855</v>
      </c>
      <c r="AX246" s="30" t="s">
        <v>2743</v>
      </c>
      <c r="AY246" s="157" t="s">
        <v>2855</v>
      </c>
      <c r="AZ246" s="30" t="s">
        <v>2855</v>
      </c>
      <c r="BA246" s="30" t="s">
        <v>2855</v>
      </c>
      <c r="BB246" s="30" t="s">
        <v>558</v>
      </c>
      <c r="BC246" s="157" t="s">
        <v>2855</v>
      </c>
      <c r="BD246" s="30" t="s">
        <v>2855</v>
      </c>
      <c r="BE246" s="30" t="s">
        <v>2855</v>
      </c>
      <c r="BF246" s="300" t="s">
        <v>558</v>
      </c>
    </row>
    <row r="247" spans="1:58">
      <c r="A247" s="3"/>
      <c r="B247" s="171">
        <v>485.79500000000002</v>
      </c>
      <c r="C247" s="157">
        <v>6.8552921831304401</v>
      </c>
      <c r="D247" s="30">
        <v>98.83777546109711</v>
      </c>
      <c r="E247" s="30">
        <v>6.8552921831304401</v>
      </c>
      <c r="F247" s="8" t="s">
        <v>2742</v>
      </c>
      <c r="G247" s="157">
        <v>10.3792080648631</v>
      </c>
      <c r="H247" s="30">
        <v>27.125841366049801</v>
      </c>
      <c r="I247" s="30">
        <v>10.3792080648631</v>
      </c>
      <c r="J247" s="8" t="s">
        <v>2742</v>
      </c>
      <c r="K247" s="158">
        <v>9.0232483534580936</v>
      </c>
      <c r="L247" s="113">
        <v>-2.6195598141491985</v>
      </c>
      <c r="M247" s="113">
        <v>13.946057882990811</v>
      </c>
      <c r="N247" s="13" t="s">
        <v>1499</v>
      </c>
      <c r="O247" s="157">
        <v>5.86719523555292</v>
      </c>
      <c r="P247" s="30">
        <v>-99.064907952653002</v>
      </c>
      <c r="Q247" s="30">
        <v>5.86719523555292</v>
      </c>
      <c r="R247" s="8" t="s">
        <v>2742</v>
      </c>
      <c r="S247" s="157">
        <v>8.9396419599335406</v>
      </c>
      <c r="T247" s="30">
        <v>69.320649487011394</v>
      </c>
      <c r="U247" s="30">
        <v>8.9396419599335406</v>
      </c>
      <c r="V247" s="8" t="s">
        <v>2742</v>
      </c>
      <c r="W247" s="157">
        <v>9.3147501534936996</v>
      </c>
      <c r="X247" s="30">
        <v>-29.745401180199</v>
      </c>
      <c r="Y247" s="30">
        <v>9.3147501534936996</v>
      </c>
      <c r="Z247" s="498" t="s">
        <v>2742</v>
      </c>
      <c r="AA247" s="157">
        <v>0.73479135100987503</v>
      </c>
      <c r="AB247" s="30">
        <v>10.4166123903406</v>
      </c>
      <c r="AC247" s="30">
        <v>0.73479135100987503</v>
      </c>
      <c r="AD247" s="8" t="s">
        <v>2742</v>
      </c>
      <c r="AE247" s="157">
        <v>1.09157270546381</v>
      </c>
      <c r="AF247" s="30">
        <v>7.1848115619030999</v>
      </c>
      <c r="AG247" s="30">
        <v>1.09157270546381</v>
      </c>
      <c r="AH247" s="8" t="s">
        <v>2742</v>
      </c>
      <c r="AI247" s="157">
        <v>1.0468016611302899</v>
      </c>
      <c r="AJ247" s="30">
        <v>-3.23753123813708</v>
      </c>
      <c r="AK247" s="30">
        <v>1.0468016611302899</v>
      </c>
      <c r="AL247" s="8" t="s">
        <v>2742</v>
      </c>
      <c r="AM247" s="157">
        <v>0.72709930404293899</v>
      </c>
      <c r="AN247" s="30">
        <v>-3.7778540968785665</v>
      </c>
      <c r="AO247" s="30">
        <v>0.72709930404293899</v>
      </c>
      <c r="AP247" s="8" t="s">
        <v>2742</v>
      </c>
      <c r="AQ247" s="157">
        <v>1.08523963314698</v>
      </c>
      <c r="AR247" s="30">
        <v>-3.9361683873742699</v>
      </c>
      <c r="AS247" s="30">
        <v>1.08523963314698</v>
      </c>
      <c r="AT247" s="8" t="s">
        <v>2742</v>
      </c>
      <c r="AU247" s="157">
        <v>0.90316967786757096</v>
      </c>
      <c r="AV247" s="30">
        <v>3.2453470852557702</v>
      </c>
      <c r="AW247" s="30">
        <v>0.90316967786757096</v>
      </c>
      <c r="AX247" s="8" t="s">
        <v>2742</v>
      </c>
      <c r="AY247" s="157" t="s">
        <v>2855</v>
      </c>
      <c r="AZ247" s="30"/>
      <c r="BA247" s="30"/>
      <c r="BB247" s="101"/>
      <c r="BC247" s="157" t="s">
        <v>2855</v>
      </c>
      <c r="BD247" s="30"/>
      <c r="BE247" s="30"/>
      <c r="BF247" s="277"/>
    </row>
    <row r="248" spans="1:58">
      <c r="A248" s="3"/>
      <c r="B248" s="171"/>
      <c r="C248" s="3"/>
      <c r="D248" s="206">
        <v>100</v>
      </c>
      <c r="E248" s="206">
        <v>7.136341846899807</v>
      </c>
      <c r="F248" s="206" t="s">
        <v>558</v>
      </c>
      <c r="G248" s="3"/>
      <c r="H248" s="206" t="s">
        <v>2855</v>
      </c>
      <c r="I248" s="206" t="s">
        <v>2855</v>
      </c>
      <c r="J248" s="206" t="s">
        <v>558</v>
      </c>
      <c r="K248" s="353"/>
      <c r="L248" s="344">
        <v>4.7805045747598029</v>
      </c>
      <c r="M248" s="344">
        <v>6.8743676427610199</v>
      </c>
      <c r="N248" s="206" t="s">
        <v>1124</v>
      </c>
      <c r="O248" s="3"/>
      <c r="P248" s="206">
        <v>-98.4</v>
      </c>
      <c r="Q248" s="206">
        <v>6.2344354439795788</v>
      </c>
      <c r="R248" s="206" t="s">
        <v>558</v>
      </c>
      <c r="S248" s="3"/>
      <c r="T248" s="206" t="s">
        <v>2855</v>
      </c>
      <c r="U248" s="206" t="s">
        <v>2855</v>
      </c>
      <c r="V248" s="206" t="s">
        <v>558</v>
      </c>
      <c r="W248" s="3"/>
      <c r="X248" s="206" t="s">
        <v>2855</v>
      </c>
      <c r="Y248" s="206" t="s">
        <v>2855</v>
      </c>
      <c r="Z248" s="350" t="s">
        <v>558</v>
      </c>
      <c r="AA248" s="4"/>
      <c r="AB248" s="206">
        <v>10.361775178295694</v>
      </c>
      <c r="AC248" s="206">
        <v>0.26679310236504827</v>
      </c>
      <c r="AD248" s="206" t="s">
        <v>558</v>
      </c>
      <c r="AE248" s="3"/>
      <c r="AF248" s="206" t="s">
        <v>2855</v>
      </c>
      <c r="AG248" s="206" t="s">
        <v>2855</v>
      </c>
      <c r="AH248" s="206" t="s">
        <v>558</v>
      </c>
      <c r="AI248" s="3"/>
      <c r="AJ248" s="206" t="s">
        <v>2855</v>
      </c>
      <c r="AK248" s="206" t="s">
        <v>2855</v>
      </c>
      <c r="AL248" s="206" t="s">
        <v>558</v>
      </c>
      <c r="AM248" s="3"/>
      <c r="AN248" s="206">
        <v>-3.7529626300087369</v>
      </c>
      <c r="AO248" s="206">
        <v>0.59546147392098581</v>
      </c>
      <c r="AP248" s="206" t="s">
        <v>558</v>
      </c>
      <c r="AQ248" s="3"/>
      <c r="AR248" s="206">
        <v>-3.7529626300087369</v>
      </c>
      <c r="AS248" s="206">
        <v>0.59546147392098581</v>
      </c>
      <c r="AT248" s="206" t="s">
        <v>558</v>
      </c>
      <c r="AU248" s="3"/>
      <c r="AV248" s="206" t="s">
        <v>2855</v>
      </c>
      <c r="AW248" s="206" t="s">
        <v>2855</v>
      </c>
      <c r="AX248" s="206" t="s">
        <v>558</v>
      </c>
      <c r="AY248" s="3"/>
      <c r="AZ248" s="52"/>
      <c r="BA248" s="52"/>
      <c r="BB248" s="52"/>
      <c r="BC248" s="3"/>
      <c r="BF248" s="42"/>
    </row>
    <row r="249" spans="1:58">
      <c r="A249" s="3"/>
      <c r="B249" s="171"/>
      <c r="C249" s="3"/>
      <c r="D249" s="176">
        <v>99.130845865360016</v>
      </c>
      <c r="E249" s="176">
        <v>11.200992536018758</v>
      </c>
      <c r="F249" s="206" t="s">
        <v>1124</v>
      </c>
      <c r="G249" s="3"/>
      <c r="H249" s="176">
        <v>15.360580442263995</v>
      </c>
      <c r="I249" s="176">
        <v>21.547515032799087</v>
      </c>
      <c r="J249" s="206" t="s">
        <v>1124</v>
      </c>
      <c r="K249" s="353"/>
      <c r="L249" s="206"/>
      <c r="M249" s="206"/>
      <c r="N249" s="206"/>
      <c r="O249" s="3"/>
      <c r="P249" s="178">
        <v>-94.350341290600213</v>
      </c>
      <c r="Q249" s="178">
        <v>16.089186298920893</v>
      </c>
      <c r="R249" s="206" t="s">
        <v>1124</v>
      </c>
      <c r="S249" s="3"/>
      <c r="T249" s="178">
        <v>67.783638699999997</v>
      </c>
      <c r="U249" s="178">
        <v>12.7073309634503</v>
      </c>
      <c r="V249" s="206" t="s">
        <v>1124</v>
      </c>
      <c r="W249" s="3"/>
      <c r="X249" s="178">
        <v>-32.865367999999989</v>
      </c>
      <c r="Y249" s="178">
        <v>13.481806059530182</v>
      </c>
      <c r="Z249" s="350" t="s">
        <v>1124</v>
      </c>
      <c r="AA249" s="4"/>
      <c r="AB249" s="178">
        <v>10.1791</v>
      </c>
      <c r="AC249" s="178">
        <v>0.27009223939999999</v>
      </c>
      <c r="AD249" s="206" t="s">
        <v>1124</v>
      </c>
      <c r="AE249" s="3"/>
      <c r="AF249" s="178">
        <v>7.25</v>
      </c>
      <c r="AG249" s="178">
        <v>0.51277074999999994</v>
      </c>
      <c r="AH249" s="206" t="s">
        <v>1124</v>
      </c>
      <c r="AI249" s="3"/>
      <c r="AJ249" s="178">
        <v>-3.608914998841187</v>
      </c>
      <c r="AK249" s="178">
        <v>0.41778604484085002</v>
      </c>
      <c r="AL249" s="206" t="s">
        <v>1124</v>
      </c>
      <c r="AM249" s="3"/>
      <c r="AN249" s="178">
        <v>-4.9155469999999992</v>
      </c>
      <c r="AO249" s="178">
        <v>0.57711471108199985</v>
      </c>
      <c r="AP249" s="206" t="s">
        <v>1124</v>
      </c>
      <c r="AQ249" s="3"/>
      <c r="AR249" s="178">
        <v>-4.9155469999999992</v>
      </c>
      <c r="AS249" s="178">
        <v>0.57711471108199985</v>
      </c>
      <c r="AT249" s="206" t="s">
        <v>1124</v>
      </c>
      <c r="AU249" s="3"/>
      <c r="AV249" s="178">
        <v>2.4542238999999997</v>
      </c>
      <c r="AW249" s="178">
        <v>0.44355433967089997</v>
      </c>
      <c r="AX249" s="206" t="s">
        <v>1124</v>
      </c>
      <c r="AY249" s="3"/>
      <c r="AZ249" s="178"/>
      <c r="BA249" s="178"/>
      <c r="BB249" s="206"/>
      <c r="BC249" s="3"/>
      <c r="BD249" s="178"/>
      <c r="BE249" s="178"/>
      <c r="BF249" s="350"/>
    </row>
    <row r="250" spans="1:58">
      <c r="A250" s="3"/>
      <c r="B250" s="171"/>
      <c r="C250" s="87"/>
      <c r="D250" s="234"/>
      <c r="E250" s="234"/>
      <c r="F250" s="30"/>
      <c r="G250" s="29"/>
      <c r="H250" s="30"/>
      <c r="I250" s="30"/>
      <c r="J250" s="30"/>
      <c r="K250" s="29"/>
      <c r="L250" s="30"/>
      <c r="M250" s="30"/>
      <c r="N250" s="30"/>
      <c r="O250" s="3"/>
      <c r="P250" s="4"/>
      <c r="Q250" s="4"/>
      <c r="R250" s="4"/>
      <c r="S250" s="29"/>
      <c r="T250" s="30"/>
      <c r="U250" s="30"/>
      <c r="V250" s="30"/>
      <c r="W250" s="29"/>
      <c r="X250" s="172"/>
      <c r="Y250" s="172"/>
      <c r="Z250" s="300"/>
      <c r="AA250" s="4"/>
      <c r="AB250" s="9"/>
      <c r="AC250" s="9"/>
      <c r="AD250" s="4"/>
      <c r="AE250" s="3"/>
      <c r="AF250" s="9"/>
      <c r="AG250" s="9"/>
      <c r="AH250" s="4"/>
      <c r="AI250" s="3"/>
      <c r="AJ250" s="9"/>
      <c r="AK250" s="9"/>
      <c r="AL250" s="4"/>
      <c r="AM250" s="3"/>
      <c r="AN250" s="9"/>
      <c r="AO250" s="9"/>
      <c r="AP250" s="4"/>
      <c r="AQ250" s="3"/>
      <c r="AR250" s="9"/>
      <c r="AS250" s="9"/>
      <c r="AT250" s="4"/>
      <c r="AU250" s="3"/>
      <c r="AV250" s="9"/>
      <c r="AW250" s="9"/>
      <c r="AX250" s="4"/>
      <c r="AY250" s="3"/>
      <c r="AZ250" s="9"/>
      <c r="BA250" s="9"/>
      <c r="BB250" s="4"/>
      <c r="BC250" s="3"/>
      <c r="BD250" s="9"/>
      <c r="BE250" s="9"/>
      <c r="BF250" s="122"/>
    </row>
    <row r="251" spans="1:58">
      <c r="A251" s="3" t="s">
        <v>112</v>
      </c>
      <c r="B251" s="4" t="s">
        <v>113</v>
      </c>
      <c r="C251" s="157">
        <v>110.265561231776</v>
      </c>
      <c r="D251" s="30" t="s">
        <v>2855</v>
      </c>
      <c r="E251" s="30" t="s">
        <v>2855</v>
      </c>
      <c r="F251" s="30" t="s">
        <v>2743</v>
      </c>
      <c r="G251" s="157">
        <v>20.670053204734501</v>
      </c>
      <c r="H251" s="30" t="s">
        <v>2855</v>
      </c>
      <c r="I251" s="30" t="s">
        <v>2855</v>
      </c>
      <c r="J251" s="30" t="s">
        <v>2743</v>
      </c>
      <c r="K251" s="157">
        <v>-12.192588175664989</v>
      </c>
      <c r="L251" s="113">
        <v>-12.192588175664989</v>
      </c>
      <c r="M251" s="30">
        <v>14.947578484841124</v>
      </c>
      <c r="N251" s="355" t="s">
        <v>1498</v>
      </c>
      <c r="O251" s="157">
        <v>-120.06714940744099</v>
      </c>
      <c r="P251" s="30" t="s">
        <v>2855</v>
      </c>
      <c r="Q251" s="30" t="s">
        <v>2855</v>
      </c>
      <c r="R251" s="30" t="s">
        <v>2743</v>
      </c>
      <c r="S251" s="157">
        <v>87.202469604169195</v>
      </c>
      <c r="T251" s="30" t="s">
        <v>2855</v>
      </c>
      <c r="U251" s="30" t="s">
        <v>2855</v>
      </c>
      <c r="V251" s="30" t="s">
        <v>2743</v>
      </c>
      <c r="W251" s="157">
        <v>-32.862614187262601</v>
      </c>
      <c r="X251" s="30" t="s">
        <v>2855</v>
      </c>
      <c r="Y251" s="30" t="s">
        <v>2855</v>
      </c>
      <c r="Z251" s="300" t="s">
        <v>2743</v>
      </c>
      <c r="AA251" s="157">
        <v>11.371978377222</v>
      </c>
      <c r="AB251" s="30">
        <v>11.4770074582891</v>
      </c>
      <c r="AC251" s="30">
        <v>0.29496723191776603</v>
      </c>
      <c r="AD251" s="30" t="s">
        <v>2743</v>
      </c>
      <c r="AE251" s="157">
        <v>7.54704028976027</v>
      </c>
      <c r="AF251" s="30">
        <v>7.6343324691762904</v>
      </c>
      <c r="AG251" s="30">
        <v>0.33055852258419</v>
      </c>
      <c r="AH251" s="30" t="s">
        <v>2743</v>
      </c>
      <c r="AI251" s="157">
        <v>-3.83462569484987</v>
      </c>
      <c r="AJ251" s="30">
        <v>-3.85809539750062</v>
      </c>
      <c r="AK251" s="30">
        <v>0.245236847436825</v>
      </c>
      <c r="AL251" s="30" t="s">
        <v>2743</v>
      </c>
      <c r="AM251" s="157">
        <v>-4.422310371647777</v>
      </c>
      <c r="AN251" s="30">
        <v>-4.4124928647235064</v>
      </c>
      <c r="AO251" s="30">
        <v>0.122301497633464</v>
      </c>
      <c r="AP251" s="30" t="s">
        <v>2743</v>
      </c>
      <c r="AQ251" s="157">
        <v>-3.9808534739077102</v>
      </c>
      <c r="AR251" s="30">
        <v>-3.9493277485548202</v>
      </c>
      <c r="AS251" s="30">
        <v>0.20092256718465801</v>
      </c>
      <c r="AT251" s="30" t="s">
        <v>2743</v>
      </c>
      <c r="AU251" s="157">
        <v>3.55510381627239</v>
      </c>
      <c r="AV251" s="30">
        <v>3.6773034679942298</v>
      </c>
      <c r="AW251" s="30">
        <v>0.312232698526481</v>
      </c>
      <c r="AX251" s="30" t="s">
        <v>2743</v>
      </c>
      <c r="AY251" s="157" t="s">
        <v>2855</v>
      </c>
      <c r="AZ251" s="30" t="s">
        <v>2855</v>
      </c>
      <c r="BA251" s="30" t="s">
        <v>2855</v>
      </c>
      <c r="BB251" s="30" t="s">
        <v>558</v>
      </c>
      <c r="BC251" s="157">
        <v>99</v>
      </c>
      <c r="BD251" s="30">
        <v>99</v>
      </c>
      <c r="BE251" s="30">
        <v>2.1213203435596424</v>
      </c>
      <c r="BF251" s="300" t="s">
        <v>558</v>
      </c>
    </row>
    <row r="252" spans="1:58">
      <c r="A252" s="3"/>
      <c r="B252" s="171">
        <v>564.69100000000003</v>
      </c>
      <c r="C252" s="157">
        <v>13.1677880977422</v>
      </c>
      <c r="D252" s="30">
        <v>110.265561231776</v>
      </c>
      <c r="E252" s="30">
        <v>13.1677880977422</v>
      </c>
      <c r="F252" s="8" t="s">
        <v>2742</v>
      </c>
      <c r="G252" s="157">
        <v>14.232262349526</v>
      </c>
      <c r="H252" s="30">
        <v>20.670053204734501</v>
      </c>
      <c r="I252" s="30">
        <v>14.232262349526</v>
      </c>
      <c r="J252" s="8" t="s">
        <v>2742</v>
      </c>
      <c r="K252" s="158">
        <v>14.947578484841124</v>
      </c>
      <c r="L252" s="113">
        <v>-12.1925609825281</v>
      </c>
      <c r="M252" s="113">
        <v>16.954221016786054</v>
      </c>
      <c r="N252" s="13" t="s">
        <v>1499</v>
      </c>
      <c r="O252" s="157">
        <v>7.0738574465028696</v>
      </c>
      <c r="P252" s="30">
        <v>-120.06714940744099</v>
      </c>
      <c r="Q252" s="30">
        <v>7.0738574465028696</v>
      </c>
      <c r="R252" s="8" t="s">
        <v>2742</v>
      </c>
      <c r="S252" s="157">
        <v>9.4522492650654399</v>
      </c>
      <c r="T252" s="30">
        <v>87.202469604169195</v>
      </c>
      <c r="U252" s="30">
        <v>9.4522492650654399</v>
      </c>
      <c r="V252" s="8" t="s">
        <v>2742</v>
      </c>
      <c r="W252" s="157">
        <v>9.2134856976225095</v>
      </c>
      <c r="X252" s="30">
        <v>-32.862614187262601</v>
      </c>
      <c r="Y252" s="30">
        <v>9.2134856976225095</v>
      </c>
      <c r="Z252" s="498" t="s">
        <v>2742</v>
      </c>
      <c r="AA252" s="157">
        <v>0.28448299652870201</v>
      </c>
      <c r="AB252" s="30">
        <v>11.371978377222</v>
      </c>
      <c r="AC252" s="30">
        <v>0.28448299652870201</v>
      </c>
      <c r="AD252" s="8" t="s">
        <v>2742</v>
      </c>
      <c r="AE252" s="157">
        <v>0.31857920585134603</v>
      </c>
      <c r="AF252" s="30">
        <v>7.54704028976027</v>
      </c>
      <c r="AG252" s="30">
        <v>0.31857920585134603</v>
      </c>
      <c r="AH252" s="8" t="s">
        <v>2742</v>
      </c>
      <c r="AI252" s="157">
        <v>0.248212274400232</v>
      </c>
      <c r="AJ252" s="30">
        <v>-3.83462569484987</v>
      </c>
      <c r="AK252" s="30">
        <v>0.248212274400232</v>
      </c>
      <c r="AL252" s="8" t="s">
        <v>2742</v>
      </c>
      <c r="AM252" s="157">
        <v>0.139920148871859</v>
      </c>
      <c r="AN252" s="30">
        <v>-4.422310371647777</v>
      </c>
      <c r="AO252" s="30">
        <v>0.139920148871859</v>
      </c>
      <c r="AP252" s="8" t="s">
        <v>2742</v>
      </c>
      <c r="AQ252" s="157">
        <v>0.200155036259486</v>
      </c>
      <c r="AR252" s="30">
        <v>-3.9808534739077102</v>
      </c>
      <c r="AS252" s="30">
        <v>0.200155036259486</v>
      </c>
      <c r="AT252" s="8" t="s">
        <v>2742</v>
      </c>
      <c r="AU252" s="157">
        <v>0.29695818284262698</v>
      </c>
      <c r="AV252" s="30">
        <v>3.55510381627239</v>
      </c>
      <c r="AW252" s="30">
        <v>0.29695818284262698</v>
      </c>
      <c r="AX252" s="8" t="s">
        <v>2742</v>
      </c>
      <c r="AY252" s="157" t="s">
        <v>2855</v>
      </c>
      <c r="AZ252" s="30"/>
      <c r="BA252" s="30"/>
      <c r="BB252" s="101"/>
      <c r="BC252" s="157">
        <v>2.1213203435596424</v>
      </c>
      <c r="BD252" s="30"/>
      <c r="BE252" s="30"/>
      <c r="BF252" s="277"/>
    </row>
    <row r="253" spans="1:58">
      <c r="A253" s="3"/>
      <c r="C253" s="3"/>
      <c r="D253" s="206">
        <v>113</v>
      </c>
      <c r="E253" s="206">
        <v>15.556349186104045</v>
      </c>
      <c r="F253" s="206" t="s">
        <v>558</v>
      </c>
      <c r="G253" s="3"/>
      <c r="H253" s="206" t="s">
        <v>2855</v>
      </c>
      <c r="I253" s="206" t="s">
        <v>2855</v>
      </c>
      <c r="J253" s="206" t="s">
        <v>558</v>
      </c>
      <c r="K253" s="353"/>
      <c r="L253" s="344">
        <v>4.4621379019357761</v>
      </c>
      <c r="M253" s="344">
        <v>6.4165562297670391</v>
      </c>
      <c r="N253" s="206" t="s">
        <v>1124</v>
      </c>
      <c r="O253" s="3"/>
      <c r="P253" s="206">
        <v>-122</v>
      </c>
      <c r="Q253" s="206">
        <v>7.7296862211941928</v>
      </c>
      <c r="R253" s="206" t="s">
        <v>558</v>
      </c>
      <c r="S253" s="3"/>
      <c r="T253" s="206" t="s">
        <v>2855</v>
      </c>
      <c r="U253" s="206" t="s">
        <v>2855</v>
      </c>
      <c r="V253" s="206" t="s">
        <v>558</v>
      </c>
      <c r="W253" s="3"/>
      <c r="X253" s="206" t="s">
        <v>2855</v>
      </c>
      <c r="Y253" s="206" t="s">
        <v>2855</v>
      </c>
      <c r="Z253" s="350" t="s">
        <v>558</v>
      </c>
      <c r="AA253" s="4"/>
      <c r="AB253" s="206">
        <v>11.375613387532628</v>
      </c>
      <c r="AC253" s="206">
        <v>0.34734978374903991</v>
      </c>
      <c r="AD253" s="206" t="s">
        <v>558</v>
      </c>
      <c r="AE253" s="3"/>
      <c r="AF253" s="206">
        <v>7.8430000000000017</v>
      </c>
      <c r="AG253" s="206">
        <v>0.36769552621700502</v>
      </c>
      <c r="AH253" s="206" t="s">
        <v>558</v>
      </c>
      <c r="AI253" s="3"/>
      <c r="AJ253" s="206" t="s">
        <v>2855</v>
      </c>
      <c r="AK253" s="206" t="s">
        <v>2855</v>
      </c>
      <c r="AL253" s="206" t="s">
        <v>558</v>
      </c>
      <c r="AM253" s="3"/>
      <c r="AN253" s="206">
        <v>-4.4248091794189603</v>
      </c>
      <c r="AO253" s="206">
        <v>0.1257038377706223</v>
      </c>
      <c r="AP253" s="206" t="s">
        <v>558</v>
      </c>
      <c r="AQ253" s="3"/>
      <c r="AR253" s="206">
        <v>-4.4248091794189603</v>
      </c>
      <c r="AS253" s="206">
        <v>0.1257038377706223</v>
      </c>
      <c r="AT253" s="206" t="s">
        <v>558</v>
      </c>
      <c r="AU253" s="3"/>
      <c r="AV253" s="206" t="s">
        <v>2855</v>
      </c>
      <c r="AW253" s="206" t="s">
        <v>2855</v>
      </c>
      <c r="AX253" s="206" t="s">
        <v>558</v>
      </c>
      <c r="AY253" s="3"/>
      <c r="AZ253" s="52"/>
      <c r="BA253" s="52"/>
      <c r="BB253" s="52"/>
      <c r="BC253" s="3"/>
      <c r="BF253" s="42"/>
    </row>
    <row r="254" spans="1:58">
      <c r="A254" s="3"/>
      <c r="B254" s="4"/>
      <c r="C254" s="3"/>
      <c r="D254" s="176">
        <v>107.62747934712002</v>
      </c>
      <c r="E254" s="176">
        <v>12.161044146389784</v>
      </c>
      <c r="F254" s="206" t="s">
        <v>1124</v>
      </c>
      <c r="G254" s="3"/>
      <c r="H254" s="176">
        <v>15.645735560719942</v>
      </c>
      <c r="I254" s="176">
        <v>21.94752492986672</v>
      </c>
      <c r="J254" s="206" t="s">
        <v>1124</v>
      </c>
      <c r="K254" s="353"/>
      <c r="L254" s="206"/>
      <c r="M254" s="206"/>
      <c r="N254" s="206"/>
      <c r="O254" s="3"/>
      <c r="P254" s="178">
        <v>-103.16534144518424</v>
      </c>
      <c r="Q254" s="178">
        <v>17.592373015281488</v>
      </c>
      <c r="R254" s="206" t="s">
        <v>1124</v>
      </c>
      <c r="S254" s="3"/>
      <c r="T254" s="178">
        <v>77.959482699999995</v>
      </c>
      <c r="U254" s="178">
        <v>14.614986262286299</v>
      </c>
      <c r="V254" s="206" t="s">
        <v>1124</v>
      </c>
      <c r="W254" s="3"/>
      <c r="X254" s="178">
        <v>-28.546148000000013</v>
      </c>
      <c r="Y254" s="178">
        <v>11.71000522746758</v>
      </c>
      <c r="Z254" s="350" t="s">
        <v>1124</v>
      </c>
      <c r="AA254" s="4"/>
      <c r="AB254" s="178">
        <v>11.540100000000001</v>
      </c>
      <c r="AC254" s="178">
        <v>0.3062050134</v>
      </c>
      <c r="AD254" s="206" t="s">
        <v>1124</v>
      </c>
      <c r="AE254" s="3"/>
      <c r="AF254" s="178">
        <v>7.97</v>
      </c>
      <c r="AG254" s="178">
        <v>0.56369418999999998</v>
      </c>
      <c r="AH254" s="206" t="s">
        <v>1124</v>
      </c>
      <c r="AI254" s="3"/>
      <c r="AJ254" s="178">
        <v>-3.7507921573657663</v>
      </c>
      <c r="AK254" s="178">
        <v>0.43421045409744796</v>
      </c>
      <c r="AL254" s="206" t="s">
        <v>1124</v>
      </c>
      <c r="AM254" s="3"/>
      <c r="AN254" s="178">
        <v>-4.8837969999999986</v>
      </c>
      <c r="AO254" s="178">
        <v>0.57338707058199978</v>
      </c>
      <c r="AP254" s="206" t="s">
        <v>1124</v>
      </c>
      <c r="AQ254" s="3"/>
      <c r="AR254" s="178">
        <v>-4.8837969999999986</v>
      </c>
      <c r="AS254" s="178">
        <v>0.57338707058199978</v>
      </c>
      <c r="AT254" s="206" t="s">
        <v>1124</v>
      </c>
      <c r="AU254" s="3"/>
      <c r="AV254" s="178">
        <v>2.6197388999999971</v>
      </c>
      <c r="AW254" s="178">
        <v>0.47346803113589947</v>
      </c>
      <c r="AX254" s="206" t="s">
        <v>1124</v>
      </c>
      <c r="AY254" s="3"/>
      <c r="AZ254" s="178"/>
      <c r="BA254" s="178"/>
      <c r="BB254" s="206"/>
      <c r="BC254" s="3"/>
      <c r="BD254" s="178"/>
      <c r="BE254" s="178"/>
      <c r="BF254" s="350"/>
    </row>
    <row r="255" spans="1:58">
      <c r="A255" s="3"/>
      <c r="B255" s="4"/>
      <c r="C255" s="3"/>
      <c r="D255" s="30">
        <v>103.75647565236901</v>
      </c>
      <c r="E255" s="30">
        <v>13.264722073217801</v>
      </c>
      <c r="F255" s="206" t="s">
        <v>2875</v>
      </c>
      <c r="G255" s="3"/>
      <c r="H255" s="30">
        <v>34.364625975297997</v>
      </c>
      <c r="I255" s="30">
        <v>13.264722073217801</v>
      </c>
      <c r="J255" s="206" t="s">
        <v>2875</v>
      </c>
      <c r="K255" s="353"/>
      <c r="L255" s="206"/>
      <c r="M255" s="206"/>
      <c r="N255" s="206"/>
      <c r="O255" s="3"/>
      <c r="P255" s="30">
        <v>-111.09441006367</v>
      </c>
      <c r="Q255" s="30">
        <v>11.1021843563547</v>
      </c>
      <c r="R255" s="206" t="s">
        <v>2875</v>
      </c>
      <c r="S255" s="3"/>
      <c r="T255" s="30">
        <v>69.388402256144303</v>
      </c>
      <c r="U255" s="30">
        <v>12.477938645390299</v>
      </c>
      <c r="V255" s="206" t="s">
        <v>2875</v>
      </c>
      <c r="W255" s="3"/>
      <c r="X255" s="30">
        <v>-41.706577789699701</v>
      </c>
      <c r="Y255" s="30">
        <v>15.2179505312108</v>
      </c>
      <c r="Z255" s="350" t="s">
        <v>2875</v>
      </c>
      <c r="AA255" s="4"/>
      <c r="AB255" s="9"/>
      <c r="AC255" s="9"/>
      <c r="AD255" s="4"/>
      <c r="AE255" s="3"/>
      <c r="AF255" s="9"/>
      <c r="AG255" s="9"/>
      <c r="AH255" s="4"/>
      <c r="AI255" s="3"/>
      <c r="AJ255" s="9"/>
      <c r="AK255" s="9"/>
      <c r="AL255" s="4"/>
      <c r="AM255" s="3"/>
      <c r="AN255" s="9"/>
      <c r="AO255" s="9"/>
      <c r="AP255" s="4"/>
      <c r="AQ255" s="3"/>
      <c r="AR255" s="9"/>
      <c r="AS255" s="9"/>
      <c r="AT255" s="4"/>
      <c r="AU255" s="3"/>
      <c r="AV255" s="9"/>
      <c r="AW255" s="9"/>
      <c r="AX255" s="4"/>
      <c r="AY255" s="3"/>
      <c r="AZ255" s="9"/>
      <c r="BA255" s="9"/>
      <c r="BB255" s="4"/>
      <c r="BC255" s="3"/>
      <c r="BD255" s="9"/>
      <c r="BE255" s="9"/>
      <c r="BF255" s="122"/>
    </row>
    <row r="256" spans="1:58">
      <c r="A256" s="91"/>
      <c r="B256" s="25"/>
      <c r="C256" s="87"/>
      <c r="D256" s="235"/>
      <c r="E256" s="235"/>
      <c r="F256" s="94"/>
      <c r="G256" s="93"/>
      <c r="H256" s="94"/>
      <c r="I256" s="94"/>
      <c r="J256" s="94"/>
      <c r="K256" s="93"/>
      <c r="L256" s="94"/>
      <c r="M256" s="94"/>
      <c r="N256" s="94"/>
      <c r="O256" s="115"/>
      <c r="P256" s="94"/>
      <c r="Q256" s="94"/>
      <c r="R256" s="94"/>
      <c r="S256" s="93"/>
      <c r="T256" s="94"/>
      <c r="U256" s="94"/>
      <c r="V256" s="94"/>
      <c r="W256" s="93"/>
      <c r="X256" s="172"/>
      <c r="Y256" s="172"/>
      <c r="Z256" s="487"/>
      <c r="AD256" s="45"/>
      <c r="AE256" s="1"/>
      <c r="AF256" s="1"/>
      <c r="AG256" s="275"/>
      <c r="AH256" s="47"/>
      <c r="AI256" s="47"/>
      <c r="AJ256" s="47"/>
      <c r="AK256" s="45"/>
      <c r="AM256" s="133"/>
      <c r="AN256" s="98"/>
      <c r="AO256" s="84"/>
      <c r="AP256" s="47"/>
      <c r="AQ256" s="47"/>
      <c r="AR256" s="220"/>
      <c r="AS256" s="219"/>
      <c r="AT256" s="47"/>
      <c r="AU256" s="47"/>
      <c r="AV256" s="45"/>
      <c r="AW256" s="47"/>
      <c r="AX256" s="47"/>
      <c r="AY256" s="47"/>
      <c r="AZ256" s="47"/>
      <c r="BA256" s="84"/>
      <c r="BB256" s="121"/>
      <c r="BC256" s="47"/>
      <c r="BD256" s="45"/>
      <c r="BE256" s="47"/>
      <c r="BF256" s="47"/>
    </row>
    <row r="257" spans="1:58">
      <c r="A257" s="3" t="s">
        <v>115</v>
      </c>
      <c r="B257" s="4" t="s">
        <v>116</v>
      </c>
      <c r="C257" s="157">
        <v>95.078806714233011</v>
      </c>
      <c r="D257" s="30" t="s">
        <v>2855</v>
      </c>
      <c r="E257" s="30" t="s">
        <v>2855</v>
      </c>
      <c r="F257" s="30" t="s">
        <v>2743</v>
      </c>
      <c r="G257" s="157">
        <v>5.3302024442912197</v>
      </c>
      <c r="H257" s="30" t="s">
        <v>2855</v>
      </c>
      <c r="I257" s="30" t="s">
        <v>2855</v>
      </c>
      <c r="J257" s="30" t="s">
        <v>2743</v>
      </c>
      <c r="K257" s="157">
        <v>-19.906828325493983</v>
      </c>
      <c r="L257" s="113">
        <v>-19.906828325493983</v>
      </c>
      <c r="M257" s="30">
        <v>15.275740615765221</v>
      </c>
      <c r="N257" s="355" t="s">
        <v>1498</v>
      </c>
      <c r="O257" s="157">
        <v>-112.594635039727</v>
      </c>
      <c r="P257" s="30" t="s">
        <v>2855</v>
      </c>
      <c r="Q257" s="30" t="s">
        <v>2855</v>
      </c>
      <c r="R257" s="30" t="s">
        <v>2743</v>
      </c>
      <c r="S257" s="157">
        <v>87.354438621510397</v>
      </c>
      <c r="T257" s="30" t="s">
        <v>2855</v>
      </c>
      <c r="U257" s="30" t="s">
        <v>2855</v>
      </c>
      <c r="V257" s="30" t="s">
        <v>2743</v>
      </c>
      <c r="W257" s="157">
        <v>-25.2408735210076</v>
      </c>
      <c r="X257" s="30" t="s">
        <v>2855</v>
      </c>
      <c r="Y257" s="30" t="s">
        <v>2855</v>
      </c>
      <c r="Z257" s="300" t="s">
        <v>2743</v>
      </c>
      <c r="AA257" s="157">
        <v>11.210520199134301</v>
      </c>
      <c r="AB257" s="30">
        <v>11.229339145106501</v>
      </c>
      <c r="AC257" s="30">
        <v>0.16127241319635299</v>
      </c>
      <c r="AD257" s="30" t="s">
        <v>2743</v>
      </c>
      <c r="AE257" s="157">
        <v>7.7000566676636497</v>
      </c>
      <c r="AF257" s="30">
        <v>7.7968420022276099</v>
      </c>
      <c r="AG257" s="30">
        <v>0.32576505052598598</v>
      </c>
      <c r="AH257" s="30" t="s">
        <v>2743</v>
      </c>
      <c r="AI257" s="157">
        <v>-3.5319776614984302</v>
      </c>
      <c r="AJ257" s="30">
        <v>-3.45258377034081</v>
      </c>
      <c r="AK257" s="30">
        <v>0.322333713973259</v>
      </c>
      <c r="AL257" s="30" t="s">
        <v>2743</v>
      </c>
      <c r="AM257" s="157">
        <v>-4.4764912138579671</v>
      </c>
      <c r="AN257" s="30">
        <v>-4.3970794426572555</v>
      </c>
      <c r="AO257" s="30">
        <v>0.25168935624512301</v>
      </c>
      <c r="AP257" s="30" t="s">
        <v>2743</v>
      </c>
      <c r="AQ257" s="157">
        <v>-4.3432215353298904</v>
      </c>
      <c r="AR257" s="30">
        <v>-4.3395999524589497</v>
      </c>
      <c r="AS257" s="30">
        <v>0.26217779546026698</v>
      </c>
      <c r="AT257" s="30" t="s">
        <v>2743</v>
      </c>
      <c r="AU257" s="157">
        <v>3.3428501823262202</v>
      </c>
      <c r="AV257" s="30">
        <v>3.4481490254151699</v>
      </c>
      <c r="AW257" s="30">
        <v>0.29147548277282997</v>
      </c>
      <c r="AX257" s="30" t="s">
        <v>2743</v>
      </c>
      <c r="AY257" s="157">
        <v>77.464788732394354</v>
      </c>
      <c r="AZ257" s="30">
        <v>77.464788732394354</v>
      </c>
      <c r="BA257" s="30">
        <v>6.1057456773350891</v>
      </c>
      <c r="BB257" s="30" t="s">
        <v>558</v>
      </c>
      <c r="BC257" s="157">
        <v>86.283333333333346</v>
      </c>
      <c r="BD257" s="30">
        <v>86.283333333333346</v>
      </c>
      <c r="BE257" s="30">
        <v>7.5306872196367154</v>
      </c>
      <c r="BF257" s="300" t="s">
        <v>558</v>
      </c>
    </row>
    <row r="258" spans="1:58">
      <c r="A258" s="3"/>
      <c r="B258" s="171">
        <v>564.69100000000003</v>
      </c>
      <c r="C258" s="157">
        <v>7.7200235353773801</v>
      </c>
      <c r="D258" s="30">
        <v>95.078806714233011</v>
      </c>
      <c r="E258" s="30">
        <v>7.7200235353773801</v>
      </c>
      <c r="F258" s="8" t="s">
        <v>2742</v>
      </c>
      <c r="G258" s="157">
        <v>5.4919223822076102</v>
      </c>
      <c r="H258" s="30">
        <v>5.3302024442912197</v>
      </c>
      <c r="I258" s="30">
        <v>5.4919223822076102</v>
      </c>
      <c r="J258" s="8" t="s">
        <v>2742</v>
      </c>
      <c r="K258" s="158">
        <v>15.275740615765221</v>
      </c>
      <c r="L258" s="113">
        <v>-19.91067107671638</v>
      </c>
      <c r="M258" s="113">
        <v>12.376598890388376</v>
      </c>
      <c r="N258" s="13" t="s">
        <v>1499</v>
      </c>
      <c r="O258" s="157">
        <v>13.181406904172199</v>
      </c>
      <c r="P258" s="30">
        <v>-112.594635039727</v>
      </c>
      <c r="Q258" s="30">
        <v>13.181406904172199</v>
      </c>
      <c r="R258" s="8" t="s">
        <v>2742</v>
      </c>
      <c r="S258" s="157">
        <v>8.3994961738209994</v>
      </c>
      <c r="T258" s="30">
        <v>87.354438621510397</v>
      </c>
      <c r="U258" s="30">
        <v>8.3994961738209994</v>
      </c>
      <c r="V258" s="8" t="s">
        <v>2742</v>
      </c>
      <c r="W258" s="157">
        <v>11.0913925474383</v>
      </c>
      <c r="X258" s="30">
        <v>-25.2408735210076</v>
      </c>
      <c r="Y258" s="30">
        <v>11.0913925474383</v>
      </c>
      <c r="Z258" s="498" t="s">
        <v>2742</v>
      </c>
      <c r="AA258" s="157">
        <v>0.15870641472172201</v>
      </c>
      <c r="AB258" s="30">
        <v>11.210520199134301</v>
      </c>
      <c r="AC258" s="30">
        <v>0.15870641472172201</v>
      </c>
      <c r="AD258" s="8" t="s">
        <v>2742</v>
      </c>
      <c r="AE258" s="157">
        <v>0.317120714066288</v>
      </c>
      <c r="AF258" s="30">
        <v>7.7000566676636497</v>
      </c>
      <c r="AG258" s="30">
        <v>0.317120714066288</v>
      </c>
      <c r="AH258" s="8" t="s">
        <v>2742</v>
      </c>
      <c r="AI258" s="157">
        <v>0.31356666210254502</v>
      </c>
      <c r="AJ258" s="30">
        <v>-3.5319776614984302</v>
      </c>
      <c r="AK258" s="30">
        <v>0.31356666210254502</v>
      </c>
      <c r="AL258" s="8" t="s">
        <v>2742</v>
      </c>
      <c r="AM258" s="157">
        <v>0.24307055527278701</v>
      </c>
      <c r="AN258" s="30">
        <v>-4.4764912138579671</v>
      </c>
      <c r="AO258" s="30">
        <v>0.24307055527278701</v>
      </c>
      <c r="AP258" s="8" t="s">
        <v>2742</v>
      </c>
      <c r="AQ258" s="157">
        <v>0.25835071847219798</v>
      </c>
      <c r="AR258" s="30">
        <v>-4.3432215353298904</v>
      </c>
      <c r="AS258" s="30">
        <v>0.25835071847219798</v>
      </c>
      <c r="AT258" s="8" t="s">
        <v>2742</v>
      </c>
      <c r="AU258" s="157">
        <v>0.27569716125232602</v>
      </c>
      <c r="AV258" s="30">
        <v>3.3428501823262202</v>
      </c>
      <c r="AW258" s="30">
        <v>0.27569716125232602</v>
      </c>
      <c r="AX258" s="8" t="s">
        <v>2742</v>
      </c>
      <c r="AY258" s="157">
        <v>6.1057456773350891</v>
      </c>
      <c r="AZ258" s="30"/>
      <c r="BA258" s="30"/>
      <c r="BB258" s="101"/>
      <c r="BC258" s="157">
        <v>7.5306872196367154</v>
      </c>
      <c r="BD258" s="30"/>
      <c r="BE258" s="30"/>
      <c r="BF258" s="277"/>
    </row>
    <row r="259" spans="1:58">
      <c r="A259" s="3"/>
      <c r="B259" s="171"/>
      <c r="C259" s="3"/>
      <c r="D259" s="206">
        <v>100.15</v>
      </c>
      <c r="E259" s="206">
        <v>9.0053687690547495</v>
      </c>
      <c r="F259" s="206" t="s">
        <v>558</v>
      </c>
      <c r="G259" s="3"/>
      <c r="H259" s="206">
        <v>3.1000000000000014</v>
      </c>
      <c r="I259" s="206">
        <v>0.62000000000000033</v>
      </c>
      <c r="J259" s="206" t="s">
        <v>558</v>
      </c>
      <c r="K259" s="353"/>
      <c r="L259" s="344">
        <v>4.8293702345921474</v>
      </c>
      <c r="M259" s="344">
        <v>6.9446364827004761</v>
      </c>
      <c r="N259" s="206" t="s">
        <v>1124</v>
      </c>
      <c r="O259" s="3"/>
      <c r="P259" s="206">
        <v>-91.1</v>
      </c>
      <c r="Q259" s="206">
        <v>27.33</v>
      </c>
      <c r="R259" s="206" t="s">
        <v>558</v>
      </c>
      <c r="S259" s="3"/>
      <c r="T259" s="206" t="s">
        <v>2855</v>
      </c>
      <c r="U259" s="206" t="s">
        <v>2855</v>
      </c>
      <c r="V259" s="206" t="s">
        <v>558</v>
      </c>
      <c r="W259" s="3"/>
      <c r="X259" s="206" t="s">
        <v>2855</v>
      </c>
      <c r="Y259" s="206" t="s">
        <v>2855</v>
      </c>
      <c r="Z259" s="350" t="s">
        <v>558</v>
      </c>
      <c r="AA259" s="4"/>
      <c r="AB259" s="206">
        <v>11.200000000000001</v>
      </c>
      <c r="AC259" s="206">
        <v>0.1652271164185832</v>
      </c>
      <c r="AD259" s="206" t="s">
        <v>558</v>
      </c>
      <c r="AE259" s="3"/>
      <c r="AF259" s="206">
        <v>8.0635000000000012</v>
      </c>
      <c r="AG259" s="206">
        <v>0.36828431046317112</v>
      </c>
      <c r="AH259" s="206" t="s">
        <v>558</v>
      </c>
      <c r="AI259" s="3"/>
      <c r="AJ259" s="206" t="s">
        <v>2855</v>
      </c>
      <c r="AK259" s="206" t="s">
        <v>2855</v>
      </c>
      <c r="AL259" s="206" t="s">
        <v>558</v>
      </c>
      <c r="AM259" s="3"/>
      <c r="AN259" s="206">
        <v>-4.4678337478400705</v>
      </c>
      <c r="AO259" s="206">
        <v>0.28281797910706313</v>
      </c>
      <c r="AP259" s="206" t="s">
        <v>558</v>
      </c>
      <c r="AQ259" s="3"/>
      <c r="AR259" s="206">
        <v>-4.4678337478400705</v>
      </c>
      <c r="AS259" s="206">
        <v>0.28281797910706313</v>
      </c>
      <c r="AT259" s="206" t="s">
        <v>558</v>
      </c>
      <c r="AU259" s="3"/>
      <c r="AV259" s="206" t="s">
        <v>2855</v>
      </c>
      <c r="AW259" s="206" t="s">
        <v>2855</v>
      </c>
      <c r="AX259" s="206" t="s">
        <v>558</v>
      </c>
      <c r="AY259" s="3"/>
      <c r="AZ259" s="52"/>
      <c r="BA259" s="52"/>
      <c r="BB259" s="52"/>
      <c r="BC259" s="3"/>
      <c r="BF259" s="42"/>
    </row>
    <row r="260" spans="1:58">
      <c r="A260" s="3"/>
      <c r="B260" s="171"/>
      <c r="C260" s="3"/>
      <c r="D260" s="176">
        <v>110.46741185656001</v>
      </c>
      <c r="E260" s="176">
        <v>12.481933800496428</v>
      </c>
      <c r="F260" s="206" t="s">
        <v>1124</v>
      </c>
      <c r="G260" s="3"/>
      <c r="H260" s="176">
        <v>15.517719239880037</v>
      </c>
      <c r="I260" s="176">
        <v>21.767946195318917</v>
      </c>
      <c r="J260" s="206" t="s">
        <v>1124</v>
      </c>
      <c r="K260" s="353"/>
      <c r="L260" s="206"/>
      <c r="M260" s="206"/>
      <c r="N260" s="206"/>
      <c r="O260" s="3"/>
      <c r="P260" s="178">
        <v>-105.63804162196786</v>
      </c>
      <c r="Q260" s="178">
        <v>18.014032685627694</v>
      </c>
      <c r="R260" s="206" t="s">
        <v>1124</v>
      </c>
      <c r="S260" s="3"/>
      <c r="T260" s="178">
        <v>79.564132699999988</v>
      </c>
      <c r="U260" s="178">
        <v>14.915808393136297</v>
      </c>
      <c r="V260" s="206" t="s">
        <v>1124</v>
      </c>
      <c r="W260" s="3"/>
      <c r="X260" s="178">
        <v>-29.258548000000015</v>
      </c>
      <c r="Y260" s="178">
        <v>12.002241073930925</v>
      </c>
      <c r="Z260" s="350" t="s">
        <v>1124</v>
      </c>
      <c r="AA260" s="4"/>
      <c r="AB260" s="178">
        <v>11.547800000000001</v>
      </c>
      <c r="AC260" s="178">
        <v>0.30640932519999997</v>
      </c>
      <c r="AD260" s="206" t="s">
        <v>1124</v>
      </c>
      <c r="AE260" s="3"/>
      <c r="AF260" s="178">
        <v>7.95</v>
      </c>
      <c r="AG260" s="178">
        <v>0.56227965000000002</v>
      </c>
      <c r="AH260" s="206" t="s">
        <v>1124</v>
      </c>
      <c r="AI260" s="3"/>
      <c r="AJ260" s="178">
        <v>-3.8501767895016785</v>
      </c>
      <c r="AK260" s="178">
        <v>0.44571571603666182</v>
      </c>
      <c r="AL260" s="206" t="s">
        <v>1124</v>
      </c>
      <c r="AM260" s="3"/>
      <c r="AN260" s="178">
        <v>-4.9300969999999991</v>
      </c>
      <c r="AO260" s="178">
        <v>0.57882296838199987</v>
      </c>
      <c r="AP260" s="206" t="s">
        <v>1124</v>
      </c>
      <c r="AQ260" s="3"/>
      <c r="AR260" s="178">
        <v>-4.9300969999999991</v>
      </c>
      <c r="AS260" s="178">
        <v>0.57882296838199987</v>
      </c>
      <c r="AT260" s="206" t="s">
        <v>1124</v>
      </c>
      <c r="AU260" s="3"/>
      <c r="AV260" s="178">
        <v>2.5778088999999973</v>
      </c>
      <c r="AW260" s="178">
        <v>0.46588998030589951</v>
      </c>
      <c r="AX260" s="206" t="s">
        <v>1124</v>
      </c>
      <c r="AY260" s="3"/>
      <c r="AZ260" s="178"/>
      <c r="BA260" s="178"/>
      <c r="BB260" s="206"/>
      <c r="BC260" s="3"/>
      <c r="BD260" s="178"/>
      <c r="BE260" s="178"/>
      <c r="BF260" s="350"/>
    </row>
    <row r="261" spans="1:58">
      <c r="A261" s="3"/>
      <c r="B261" s="4"/>
      <c r="C261" s="3"/>
      <c r="D261" s="30">
        <v>101.6513872452696</v>
      </c>
      <c r="E261" s="30">
        <v>3.13468817883569</v>
      </c>
      <c r="F261" s="206" t="s">
        <v>2875</v>
      </c>
      <c r="G261" s="3"/>
      <c r="H261" s="30">
        <v>9.2573729014200001</v>
      </c>
      <c r="I261" s="30">
        <v>3.13468817883569</v>
      </c>
      <c r="J261" s="206" t="s">
        <v>2875</v>
      </c>
      <c r="K261" s="353"/>
      <c r="L261" s="206"/>
      <c r="M261" s="206"/>
      <c r="N261" s="206"/>
      <c r="O261" s="3"/>
      <c r="P261" s="30">
        <v>-92.743150926220807</v>
      </c>
      <c r="Q261" s="30">
        <v>6.4959286774773597</v>
      </c>
      <c r="R261" s="206" t="s">
        <v>2875</v>
      </c>
      <c r="S261" s="3"/>
      <c r="T261" s="30">
        <v>92.389792272458806</v>
      </c>
      <c r="U261" s="30">
        <v>6.7603486173059597</v>
      </c>
      <c r="V261" s="206" t="s">
        <v>2875</v>
      </c>
      <c r="W261" s="3"/>
      <c r="X261" s="30">
        <v>-0.353447106803988</v>
      </c>
      <c r="Y261" s="30">
        <v>9.1269930904070904</v>
      </c>
      <c r="Z261" s="350" t="s">
        <v>2875</v>
      </c>
      <c r="AA261" s="4"/>
      <c r="AB261" s="9"/>
      <c r="AC261" s="9"/>
      <c r="AD261" s="4"/>
      <c r="AE261" s="3"/>
      <c r="AF261" s="9"/>
      <c r="AG261" s="9"/>
      <c r="AH261" s="4"/>
      <c r="AI261" s="3"/>
      <c r="AJ261" s="9"/>
      <c r="AK261" s="9"/>
      <c r="AL261" s="4"/>
      <c r="AM261" s="3"/>
      <c r="AN261" s="9"/>
      <c r="AO261" s="9"/>
      <c r="AP261" s="4"/>
      <c r="AQ261" s="3"/>
      <c r="AR261" s="9"/>
      <c r="AS261" s="9"/>
      <c r="AT261" s="4"/>
      <c r="AU261" s="3"/>
      <c r="AV261" s="9"/>
      <c r="AW261" s="9"/>
      <c r="AX261" s="4"/>
      <c r="AY261" s="3"/>
      <c r="AZ261" s="9"/>
      <c r="BA261" s="9"/>
      <c r="BB261" s="4"/>
      <c r="BC261" s="3"/>
      <c r="BD261" s="9"/>
      <c r="BE261" s="9"/>
      <c r="BF261" s="122"/>
    </row>
    <row r="262" spans="1:58">
      <c r="A262" s="511" t="s">
        <v>117</v>
      </c>
      <c r="B262" s="511"/>
      <c r="C262" s="511"/>
      <c r="D262" s="511"/>
      <c r="E262" s="511"/>
      <c r="F262" s="511"/>
      <c r="G262" s="511"/>
      <c r="H262" s="511"/>
      <c r="I262" s="511"/>
      <c r="J262" s="511"/>
      <c r="K262" s="511"/>
      <c r="L262" s="511"/>
      <c r="M262" s="511"/>
      <c r="N262" s="511"/>
      <c r="O262" s="511"/>
      <c r="P262" s="511"/>
      <c r="Q262" s="511"/>
      <c r="R262" s="511"/>
      <c r="S262" s="511"/>
      <c r="T262" s="511"/>
      <c r="U262" s="511"/>
      <c r="V262" s="511"/>
      <c r="W262" s="511"/>
      <c r="X262" s="511"/>
      <c r="Y262" s="511"/>
      <c r="Z262" s="511"/>
      <c r="AA262" s="511"/>
      <c r="AB262" s="511"/>
      <c r="AC262" s="511"/>
      <c r="AD262" s="511"/>
      <c r="AE262" s="511"/>
      <c r="AF262" s="511"/>
      <c r="AG262" s="511"/>
      <c r="AH262" s="511"/>
      <c r="AI262" s="511"/>
      <c r="AJ262" s="511"/>
      <c r="AK262" s="511"/>
      <c r="AL262" s="511"/>
      <c r="AM262" s="511"/>
      <c r="AN262" s="511"/>
      <c r="AO262" s="511"/>
      <c r="AP262" s="511"/>
      <c r="AQ262" s="511"/>
      <c r="AR262" s="511"/>
      <c r="AS262" s="511"/>
      <c r="AT262" s="511"/>
      <c r="AU262" s="511"/>
      <c r="AV262" s="511"/>
      <c r="AW262" s="511"/>
      <c r="AX262" s="511"/>
      <c r="AY262" s="511"/>
      <c r="AZ262" s="511"/>
      <c r="BA262" s="511"/>
      <c r="BB262" s="511"/>
      <c r="BC262" s="511"/>
      <c r="BD262" s="511"/>
      <c r="BE262" s="511"/>
      <c r="BF262" s="511"/>
    </row>
    <row r="263" spans="1:58">
      <c r="A263" s="20" t="s">
        <v>118</v>
      </c>
      <c r="B263" s="21" t="s">
        <v>119</v>
      </c>
      <c r="C263" s="157">
        <v>74.54227018723391</v>
      </c>
      <c r="D263" s="30" t="s">
        <v>2855</v>
      </c>
      <c r="E263" s="30" t="s">
        <v>2855</v>
      </c>
      <c r="F263" s="30" t="s">
        <v>2743</v>
      </c>
      <c r="G263" s="157">
        <v>33.2977330774061</v>
      </c>
      <c r="H263" s="30" t="s">
        <v>2855</v>
      </c>
      <c r="I263" s="30" t="s">
        <v>2855</v>
      </c>
      <c r="J263" s="30" t="s">
        <v>2743</v>
      </c>
      <c r="K263" s="157">
        <v>12.617957460749613</v>
      </c>
      <c r="L263" s="113">
        <v>12.617957460749613</v>
      </c>
      <c r="M263" s="30">
        <v>6.8101963461447799</v>
      </c>
      <c r="N263" s="355" t="s">
        <v>1498</v>
      </c>
      <c r="O263" s="157">
        <v>-59.533312726484297</v>
      </c>
      <c r="P263" s="30" t="s">
        <v>2855</v>
      </c>
      <c r="Q263" s="30" t="s">
        <v>2855</v>
      </c>
      <c r="R263" s="30" t="s">
        <v>2743</v>
      </c>
      <c r="S263" s="157">
        <v>38.857509926811701</v>
      </c>
      <c r="T263" s="30" t="s">
        <v>2855</v>
      </c>
      <c r="U263" s="30" t="s">
        <v>2855</v>
      </c>
      <c r="V263" s="30" t="s">
        <v>2743</v>
      </c>
      <c r="W263" s="157">
        <v>-20.675881652071201</v>
      </c>
      <c r="X263" s="30" t="s">
        <v>2855</v>
      </c>
      <c r="Y263" s="30" t="s">
        <v>2855</v>
      </c>
      <c r="Z263" s="300" t="s">
        <v>2743</v>
      </c>
      <c r="AA263" s="157">
        <v>7.5282375807369197</v>
      </c>
      <c r="AB263" s="30">
        <v>7.5312231925094002</v>
      </c>
      <c r="AC263" s="30">
        <v>0.178185744178184</v>
      </c>
      <c r="AD263" s="30" t="s">
        <v>2743</v>
      </c>
      <c r="AE263" s="157">
        <v>5.5546974422833797</v>
      </c>
      <c r="AF263" s="30">
        <v>5.5594526817582599</v>
      </c>
      <c r="AG263" s="30">
        <v>0.234633448995993</v>
      </c>
      <c r="AH263" s="30" t="s">
        <v>2743</v>
      </c>
      <c r="AI263" s="157">
        <v>-1.95613136733332</v>
      </c>
      <c r="AJ263" s="30">
        <v>-1.9544754553985999</v>
      </c>
      <c r="AK263" s="30">
        <v>0.139565876638023</v>
      </c>
      <c r="AL263" s="30" t="s">
        <v>2743</v>
      </c>
      <c r="AM263" s="157">
        <v>-1.1540233135026061</v>
      </c>
      <c r="AN263" s="30">
        <v>-1.1512862311512864</v>
      </c>
      <c r="AO263" s="30">
        <v>0.128626140935619</v>
      </c>
      <c r="AP263" s="30" t="s">
        <v>2743</v>
      </c>
      <c r="AQ263" s="157">
        <v>-2.57792999767367</v>
      </c>
      <c r="AR263" s="30">
        <v>-2.5765397579095701</v>
      </c>
      <c r="AS263" s="30">
        <v>0.17308760562029199</v>
      </c>
      <c r="AT263" s="30" t="s">
        <v>2743</v>
      </c>
      <c r="AU263" s="157">
        <v>2.9777101582362402</v>
      </c>
      <c r="AV263" s="30">
        <v>2.9843281068832601</v>
      </c>
      <c r="AW263" s="30">
        <v>0.228802693496791</v>
      </c>
      <c r="AX263" s="30" t="s">
        <v>2743</v>
      </c>
      <c r="AY263" s="157" t="s">
        <v>2855</v>
      </c>
      <c r="AZ263" s="30" t="s">
        <v>2855</v>
      </c>
      <c r="BA263" s="30" t="s">
        <v>2855</v>
      </c>
      <c r="BB263" s="30" t="s">
        <v>558</v>
      </c>
      <c r="BC263" s="157">
        <v>91</v>
      </c>
      <c r="BD263" s="30">
        <v>91</v>
      </c>
      <c r="BE263" s="30">
        <v>4.2010802641560678</v>
      </c>
      <c r="BF263" s="300" t="s">
        <v>558</v>
      </c>
    </row>
    <row r="264" spans="1:58">
      <c r="A264" s="20"/>
      <c r="B264" s="171">
        <v>257.53800000000001</v>
      </c>
      <c r="C264" s="157">
        <v>3.16183298586615</v>
      </c>
      <c r="D264" s="30">
        <v>74.54227018723391</v>
      </c>
      <c r="E264" s="30">
        <v>3.16183298586615</v>
      </c>
      <c r="F264" s="8" t="s">
        <v>2742</v>
      </c>
      <c r="G264" s="157">
        <v>6.3924393364521901</v>
      </c>
      <c r="H264" s="30">
        <v>33.2977330774061</v>
      </c>
      <c r="I264" s="30">
        <v>6.3924393364521901</v>
      </c>
      <c r="J264" s="8" t="s">
        <v>2742</v>
      </c>
      <c r="K264" s="158">
        <v>6.8101963461447799</v>
      </c>
      <c r="L264" s="113">
        <v>12.621851425334899</v>
      </c>
      <c r="M264" s="113">
        <v>10.136123572895816</v>
      </c>
      <c r="N264" s="13" t="s">
        <v>1499</v>
      </c>
      <c r="O264" s="157">
        <v>6.0317150498454799</v>
      </c>
      <c r="P264" s="30">
        <v>-59.533312726484297</v>
      </c>
      <c r="Q264" s="30">
        <v>6.0317150498454799</v>
      </c>
      <c r="R264" s="8" t="s">
        <v>2742</v>
      </c>
      <c r="S264" s="157">
        <v>6.5933104179773601</v>
      </c>
      <c r="T264" s="30">
        <v>38.857509926811701</v>
      </c>
      <c r="U264" s="30">
        <v>6.5933104179773601</v>
      </c>
      <c r="V264" s="8" t="s">
        <v>2742</v>
      </c>
      <c r="W264" s="157">
        <v>7.8662392802909897</v>
      </c>
      <c r="X264" s="30">
        <v>-20.675881652071201</v>
      </c>
      <c r="Y264" s="30">
        <v>7.8662392802909897</v>
      </c>
      <c r="Z264" s="498" t="s">
        <v>2742</v>
      </c>
      <c r="AA264" s="157">
        <v>0.16986643240225099</v>
      </c>
      <c r="AB264" s="30">
        <v>7.5282375807369197</v>
      </c>
      <c r="AC264" s="30">
        <v>0.16986643240225099</v>
      </c>
      <c r="AD264" s="8" t="s">
        <v>2742</v>
      </c>
      <c r="AE264" s="157">
        <v>0.22645594757467599</v>
      </c>
      <c r="AF264" s="30">
        <v>5.5546974422833797</v>
      </c>
      <c r="AG264" s="30">
        <v>0.22645594757467599</v>
      </c>
      <c r="AH264" s="8" t="s">
        <v>2742</v>
      </c>
      <c r="AI264" s="157">
        <v>0.14117341542529999</v>
      </c>
      <c r="AJ264" s="30">
        <v>-1.95613136733332</v>
      </c>
      <c r="AK264" s="30">
        <v>0.14117341542529999</v>
      </c>
      <c r="AL264" s="8" t="s">
        <v>2742</v>
      </c>
      <c r="AM264" s="157">
        <v>0.12579204715749501</v>
      </c>
      <c r="AN264" s="30">
        <v>-1.1540233135026061</v>
      </c>
      <c r="AO264" s="30">
        <v>0.12579204715749501</v>
      </c>
      <c r="AP264" s="8" t="s">
        <v>2742</v>
      </c>
      <c r="AQ264" s="157">
        <v>0.170756190715766</v>
      </c>
      <c r="AR264" s="30">
        <v>-2.57792999767367</v>
      </c>
      <c r="AS264" s="30">
        <v>0.170756190715766</v>
      </c>
      <c r="AT264" s="8" t="s">
        <v>2742</v>
      </c>
      <c r="AU264" s="157">
        <v>0.209523626788719</v>
      </c>
      <c r="AV264" s="30">
        <v>2.9777101582362402</v>
      </c>
      <c r="AW264" s="30">
        <v>0.209523626788719</v>
      </c>
      <c r="AX264" s="8" t="s">
        <v>2742</v>
      </c>
      <c r="AY264" s="157" t="s">
        <v>2855</v>
      </c>
      <c r="AZ264" s="30"/>
      <c r="BA264" s="30"/>
      <c r="BB264" s="101"/>
      <c r="BC264" s="157">
        <v>4.2010802641560678</v>
      </c>
      <c r="BD264" s="30"/>
      <c r="BE264" s="30"/>
      <c r="BF264" s="277"/>
    </row>
    <row r="265" spans="1:58">
      <c r="A265" s="20"/>
      <c r="B265" s="171"/>
      <c r="C265" s="3"/>
      <c r="D265" s="206">
        <v>73.524218355999992</v>
      </c>
      <c r="E265" s="206">
        <v>0.10717142872373359</v>
      </c>
      <c r="F265" s="206" t="s">
        <v>558</v>
      </c>
      <c r="G265" s="3"/>
      <c r="H265" s="206">
        <v>39</v>
      </c>
      <c r="I265" s="206">
        <v>7.8000000000000007</v>
      </c>
      <c r="J265" s="206" t="s">
        <v>558</v>
      </c>
      <c r="K265" s="353"/>
      <c r="L265" s="344">
        <v>3.431115592671901</v>
      </c>
      <c r="M265" s="344">
        <v>4.9339457038427028</v>
      </c>
      <c r="N265" s="206" t="s">
        <v>1124</v>
      </c>
      <c r="O265" s="3"/>
      <c r="P265" s="206">
        <v>-61.2</v>
      </c>
      <c r="Q265" s="206">
        <v>3.8775147273531525</v>
      </c>
      <c r="R265" s="206" t="s">
        <v>558</v>
      </c>
      <c r="S265" s="3"/>
      <c r="T265" s="206" t="s">
        <v>2855</v>
      </c>
      <c r="U265" s="206" t="s">
        <v>2855</v>
      </c>
      <c r="V265" s="206" t="s">
        <v>558</v>
      </c>
      <c r="W265" s="3"/>
      <c r="X265" s="206" t="s">
        <v>2855</v>
      </c>
      <c r="Y265" s="206" t="s">
        <v>2855</v>
      </c>
      <c r="Z265" s="350" t="s">
        <v>558</v>
      </c>
      <c r="AA265" s="4"/>
      <c r="AB265" s="206">
        <v>7.5390552184404918</v>
      </c>
      <c r="AC265" s="206">
        <v>0.19411422232382147</v>
      </c>
      <c r="AD265" s="206" t="s">
        <v>558</v>
      </c>
      <c r="AE265" s="3"/>
      <c r="AF265" s="206">
        <v>5.5209999999999999</v>
      </c>
      <c r="AG265" s="206">
        <v>0.3111269837220812</v>
      </c>
      <c r="AH265" s="206" t="s">
        <v>558</v>
      </c>
      <c r="AI265" s="3"/>
      <c r="AJ265" s="206">
        <v>-1.9124978394296193</v>
      </c>
      <c r="AK265" s="206">
        <v>0.16164821075426294</v>
      </c>
      <c r="AL265" s="206" t="s">
        <v>558</v>
      </c>
      <c r="AM265" s="3"/>
      <c r="AN265" s="206">
        <v>-1.1806733242754686</v>
      </c>
      <c r="AO265" s="206">
        <v>0.14119223273996104</v>
      </c>
      <c r="AP265" s="206" t="s">
        <v>558</v>
      </c>
      <c r="AQ265" s="3"/>
      <c r="AR265" s="206">
        <v>-1.1806733242754686</v>
      </c>
      <c r="AS265" s="206">
        <v>0.14119223273996104</v>
      </c>
      <c r="AT265" s="206" t="s">
        <v>558</v>
      </c>
      <c r="AU265" s="3"/>
      <c r="AV265" s="206" t="s">
        <v>2855</v>
      </c>
      <c r="AW265" s="206" t="s">
        <v>2855</v>
      </c>
      <c r="AX265" s="206" t="s">
        <v>558</v>
      </c>
      <c r="AY265" s="3"/>
      <c r="AZ265" s="52"/>
      <c r="BA265" s="52"/>
      <c r="BB265" s="52"/>
      <c r="BC265" s="3"/>
      <c r="BF265" s="42"/>
    </row>
    <row r="266" spans="1:58">
      <c r="A266" s="20"/>
      <c r="B266" s="171"/>
      <c r="C266" s="3"/>
      <c r="D266" s="176">
        <v>72.207279828880004</v>
      </c>
      <c r="E266" s="176">
        <v>4.8638101619935288</v>
      </c>
      <c r="F266" s="206" t="s">
        <v>1124</v>
      </c>
      <c r="G266" s="3"/>
      <c r="H266" s="176">
        <v>14.152538109616003</v>
      </c>
      <c r="I266" s="176">
        <v>8.6593153575972082</v>
      </c>
      <c r="J266" s="206" t="s">
        <v>1124</v>
      </c>
      <c r="K266" s="353"/>
      <c r="L266" s="206"/>
      <c r="M266" s="206"/>
      <c r="N266" s="206"/>
      <c r="O266" s="3"/>
      <c r="P266" s="178">
        <v>-68.776164236208103</v>
      </c>
      <c r="Q266" s="178">
        <v>6.2746557917619734</v>
      </c>
      <c r="R266" s="206" t="s">
        <v>1124</v>
      </c>
      <c r="S266" s="3"/>
      <c r="T266" s="178">
        <v>51.928700200000002</v>
      </c>
      <c r="U266" s="178">
        <v>15.522059705482199</v>
      </c>
      <c r="V266" s="206" t="s">
        <v>1124</v>
      </c>
      <c r="W266" s="3"/>
      <c r="X266" s="178">
        <v>-13.497807999999997</v>
      </c>
      <c r="Y266" s="178">
        <v>5.5369783075234391</v>
      </c>
      <c r="Z266" s="350" t="s">
        <v>1124</v>
      </c>
      <c r="AA266" s="4"/>
      <c r="AB266" s="178">
        <v>7.4760481374496131</v>
      </c>
      <c r="AC266" s="178">
        <v>0.20663049447096984</v>
      </c>
      <c r="AD266" s="206" t="s">
        <v>1124</v>
      </c>
      <c r="AE266" s="3"/>
      <c r="AF266" s="178">
        <v>5.5865600000000004</v>
      </c>
      <c r="AG266" s="178">
        <v>0.39512062912000001</v>
      </c>
      <c r="AH266" s="206" t="s">
        <v>1124</v>
      </c>
      <c r="AI266" s="3"/>
      <c r="AJ266" s="178">
        <v>-2.4051255499999997</v>
      </c>
      <c r="AK266" s="178">
        <v>0.53496005045874995</v>
      </c>
      <c r="AL266" s="206" t="s">
        <v>1124</v>
      </c>
      <c r="AM266" s="3"/>
      <c r="AN266" s="178">
        <v>-1.2095669058744722</v>
      </c>
      <c r="AO266" s="178">
        <v>0.18791105709522274</v>
      </c>
      <c r="AP266" s="206" t="s">
        <v>1124</v>
      </c>
      <c r="AQ266" s="3"/>
      <c r="AR266" s="178">
        <v>-1.2095669058744722</v>
      </c>
      <c r="AS266" s="178">
        <v>0.18791105709522274</v>
      </c>
      <c r="AT266" s="206" t="s">
        <v>1124</v>
      </c>
      <c r="AU266" s="3"/>
      <c r="AV266" s="178">
        <v>2.9278073999999989</v>
      </c>
      <c r="AW266" s="178">
        <v>0.52914555920939976</v>
      </c>
      <c r="AX266" s="206" t="s">
        <v>1124</v>
      </c>
      <c r="AY266" s="3"/>
      <c r="AZ266" s="178"/>
      <c r="BA266" s="178"/>
      <c r="BB266" s="206"/>
      <c r="BC266" s="3"/>
      <c r="BD266" s="178"/>
      <c r="BE266" s="178"/>
      <c r="BF266" s="350"/>
    </row>
    <row r="267" spans="1:58">
      <c r="A267" s="20"/>
      <c r="B267" s="171"/>
      <c r="C267" s="87"/>
      <c r="D267" s="21"/>
      <c r="E267" s="21"/>
      <c r="F267" s="21"/>
      <c r="G267" s="20"/>
      <c r="H267" s="21"/>
      <c r="I267" s="21"/>
      <c r="J267" s="21"/>
      <c r="K267" s="20"/>
      <c r="L267" s="21"/>
      <c r="M267" s="21"/>
      <c r="N267" s="21"/>
      <c r="O267" s="3"/>
      <c r="P267" s="4"/>
      <c r="Q267" s="4"/>
      <c r="R267" s="4"/>
      <c r="S267" s="20"/>
      <c r="T267" s="21"/>
      <c r="U267" s="21"/>
      <c r="V267" s="21"/>
      <c r="W267" s="20"/>
      <c r="X267" s="21"/>
      <c r="Y267" s="21"/>
      <c r="Z267" s="313"/>
      <c r="AA267" s="4"/>
      <c r="AB267" s="9"/>
      <c r="AC267" s="9"/>
      <c r="AD267" s="4"/>
      <c r="AE267" s="3"/>
      <c r="AF267" s="9"/>
      <c r="AG267" s="9"/>
      <c r="AH267" s="4"/>
      <c r="AI267" s="3"/>
      <c r="AJ267" s="9"/>
      <c r="AK267" s="9"/>
      <c r="AL267" s="4"/>
      <c r="AM267" s="3"/>
      <c r="AN267" s="9"/>
      <c r="AO267" s="9"/>
      <c r="AP267" s="4"/>
      <c r="AQ267" s="3"/>
      <c r="AR267" s="9"/>
      <c r="AS267" s="9"/>
      <c r="AT267" s="4"/>
      <c r="AU267" s="3"/>
      <c r="AV267" s="9"/>
      <c r="AW267" s="9"/>
      <c r="AX267" s="4"/>
      <c r="AY267" s="3"/>
      <c r="AZ267" s="9"/>
      <c r="BA267" s="9"/>
      <c r="BB267" s="4"/>
      <c r="BC267" s="3"/>
      <c r="BD267" s="9"/>
      <c r="BE267" s="9"/>
      <c r="BF267" s="122"/>
    </row>
    <row r="268" spans="1:58">
      <c r="A268" s="20" t="s">
        <v>120</v>
      </c>
      <c r="B268" s="21" t="s">
        <v>121</v>
      </c>
      <c r="C268" s="157">
        <v>79.658064885208802</v>
      </c>
      <c r="D268" s="30" t="s">
        <v>2855</v>
      </c>
      <c r="E268" s="30" t="s">
        <v>2855</v>
      </c>
      <c r="F268" s="30" t="s">
        <v>2743</v>
      </c>
      <c r="G268" s="157">
        <v>21.9018567135825</v>
      </c>
      <c r="H268" s="30" t="s">
        <v>2855</v>
      </c>
      <c r="I268" s="30" t="s">
        <v>2855</v>
      </c>
      <c r="J268" s="30" t="s">
        <v>2743</v>
      </c>
      <c r="K268" s="157">
        <v>6.2869760246508033</v>
      </c>
      <c r="L268" s="113">
        <v>6.2869760246508033</v>
      </c>
      <c r="M268" s="30">
        <v>5.1752168805071799</v>
      </c>
      <c r="N268" s="355" t="s">
        <v>1498</v>
      </c>
      <c r="O268" s="157">
        <v>-70.980088860557998</v>
      </c>
      <c r="P268" s="30" t="s">
        <v>2855</v>
      </c>
      <c r="Q268" s="30" t="s">
        <v>2855</v>
      </c>
      <c r="R268" s="30" t="s">
        <v>2743</v>
      </c>
      <c r="S268" s="157">
        <v>55.361724550472097</v>
      </c>
      <c r="T268" s="30" t="s">
        <v>2855</v>
      </c>
      <c r="U268" s="30" t="s">
        <v>2855</v>
      </c>
      <c r="V268" s="30" t="s">
        <v>2743</v>
      </c>
      <c r="W268" s="157">
        <v>-15.6220472126061</v>
      </c>
      <c r="X268" s="30" t="s">
        <v>2855</v>
      </c>
      <c r="Y268" s="30" t="s">
        <v>2855</v>
      </c>
      <c r="Z268" s="300" t="s">
        <v>2743</v>
      </c>
      <c r="AA268" s="157">
        <v>7.9699114338175496</v>
      </c>
      <c r="AB268" s="30">
        <v>7.9960732992122603</v>
      </c>
      <c r="AC268" s="30">
        <v>0.203459205234642</v>
      </c>
      <c r="AD268" s="30" t="s">
        <v>2743</v>
      </c>
      <c r="AE268" s="157">
        <v>6.0089549297799696</v>
      </c>
      <c r="AF268" s="30">
        <v>5.93798619901313</v>
      </c>
      <c r="AG268" s="30">
        <v>0.27694632283748499</v>
      </c>
      <c r="AH268" s="30" t="s">
        <v>2743</v>
      </c>
      <c r="AI268" s="157">
        <v>-1.9617011906930399</v>
      </c>
      <c r="AJ268" s="30">
        <v>-2.0731100818167199</v>
      </c>
      <c r="AK268" s="30">
        <v>0.101922162844231</v>
      </c>
      <c r="AL268" s="30" t="s">
        <v>2743</v>
      </c>
      <c r="AM268" s="157">
        <v>-1.461039607966967</v>
      </c>
      <c r="AN268" s="30">
        <v>-1.4635500139621964</v>
      </c>
      <c r="AO268" s="30">
        <v>0.1215226847863</v>
      </c>
      <c r="AP268" s="30" t="s">
        <v>2743</v>
      </c>
      <c r="AQ268" s="157">
        <v>-2.89969323457909</v>
      </c>
      <c r="AR268" s="30">
        <v>-2.7973857219979701</v>
      </c>
      <c r="AS268" s="30">
        <v>0.170056957317302</v>
      </c>
      <c r="AT268" s="30" t="s">
        <v>2743</v>
      </c>
      <c r="AU268" s="157">
        <v>3.1091265826987802</v>
      </c>
      <c r="AV268" s="30">
        <v>3.1392223992538102</v>
      </c>
      <c r="AW268" s="30">
        <v>0.25550103532607099</v>
      </c>
      <c r="AX268" s="30" t="s">
        <v>2743</v>
      </c>
      <c r="AY268" s="157" t="s">
        <v>2855</v>
      </c>
      <c r="AZ268" s="30" t="s">
        <v>2855</v>
      </c>
      <c r="BA268" s="30" t="s">
        <v>2855</v>
      </c>
      <c r="BB268" s="30" t="s">
        <v>558</v>
      </c>
      <c r="BC268" s="157">
        <v>57.75</v>
      </c>
      <c r="BD268" s="30">
        <v>57.75</v>
      </c>
      <c r="BE268" s="30">
        <v>0.35355339059327379</v>
      </c>
      <c r="BF268" s="300" t="s">
        <v>558</v>
      </c>
    </row>
    <row r="269" spans="1:58">
      <c r="A269" s="20"/>
      <c r="B269" s="171">
        <v>257.53800000000001</v>
      </c>
      <c r="C269" s="157">
        <v>3.0854644487462801</v>
      </c>
      <c r="D269" s="30">
        <v>79.658064885208802</v>
      </c>
      <c r="E269" s="30">
        <v>3.0854644487462801</v>
      </c>
      <c r="F269" s="8" t="s">
        <v>2742</v>
      </c>
      <c r="G269" s="157">
        <v>6.2886405151248397</v>
      </c>
      <c r="H269" s="30">
        <v>21.9018567135825</v>
      </c>
      <c r="I269" s="30">
        <v>6.2886405151248397</v>
      </c>
      <c r="J269" s="8" t="s">
        <v>2742</v>
      </c>
      <c r="K269" s="158">
        <v>5.1752168805071799</v>
      </c>
      <c r="L269" s="113">
        <v>6.2798095009764001</v>
      </c>
      <c r="M269" s="113">
        <v>8.6646917882099022</v>
      </c>
      <c r="N269" s="13" t="s">
        <v>1499</v>
      </c>
      <c r="O269" s="157">
        <v>4.1548500449245198</v>
      </c>
      <c r="P269" s="30">
        <v>-70.980088860557998</v>
      </c>
      <c r="Q269" s="30">
        <v>4.1548500449245198</v>
      </c>
      <c r="R269" s="8" t="s">
        <v>2742</v>
      </c>
      <c r="S269" s="157">
        <v>6.1033796707143999</v>
      </c>
      <c r="T269" s="30">
        <v>55.361724550472097</v>
      </c>
      <c r="U269" s="30">
        <v>6.1033796707143999</v>
      </c>
      <c r="V269" s="8" t="s">
        <v>2742</v>
      </c>
      <c r="W269" s="157">
        <v>5.9606949474203503</v>
      </c>
      <c r="X269" s="30">
        <v>-15.6220472126061</v>
      </c>
      <c r="Y269" s="30">
        <v>5.9606949474203503</v>
      </c>
      <c r="Z269" s="498" t="s">
        <v>2742</v>
      </c>
      <c r="AA269" s="157">
        <v>0.19234963557721901</v>
      </c>
      <c r="AB269" s="30">
        <v>7.9699114338175496</v>
      </c>
      <c r="AC269" s="30">
        <v>0.19234963557721901</v>
      </c>
      <c r="AD269" s="8" t="s">
        <v>2742</v>
      </c>
      <c r="AE269" s="157">
        <v>0.357572951576202</v>
      </c>
      <c r="AF269" s="30">
        <v>6.0089549297799696</v>
      </c>
      <c r="AG269" s="30">
        <v>0.357572951576202</v>
      </c>
      <c r="AH269" s="8" t="s">
        <v>2742</v>
      </c>
      <c r="AI269" s="157">
        <v>0.28691236068189302</v>
      </c>
      <c r="AJ269" s="30">
        <v>-1.9617011906930399</v>
      </c>
      <c r="AK269" s="30">
        <v>0.28691236068189302</v>
      </c>
      <c r="AL269" s="8" t="s">
        <v>2742</v>
      </c>
      <c r="AM269" s="157">
        <v>0.122511410493835</v>
      </c>
      <c r="AN269" s="30">
        <v>-1.461039607966967</v>
      </c>
      <c r="AO269" s="30">
        <v>0.122511410493835</v>
      </c>
      <c r="AP269" s="8" t="s">
        <v>2742</v>
      </c>
      <c r="AQ269" s="157">
        <v>0.28067728273391601</v>
      </c>
      <c r="AR269" s="30">
        <v>-2.89969323457909</v>
      </c>
      <c r="AS269" s="30">
        <v>0.28067728273391601</v>
      </c>
      <c r="AT269" s="8" t="s">
        <v>2742</v>
      </c>
      <c r="AU269" s="157">
        <v>0.232009329095544</v>
      </c>
      <c r="AV269" s="30">
        <v>3.1091265826987802</v>
      </c>
      <c r="AW269" s="30">
        <v>0.232009329095544</v>
      </c>
      <c r="AX269" s="8" t="s">
        <v>2742</v>
      </c>
      <c r="AY269" s="157" t="s">
        <v>2855</v>
      </c>
      <c r="AZ269" s="30"/>
      <c r="BA269" s="30"/>
      <c r="BB269" s="101"/>
      <c r="BC269" s="157">
        <v>0.35355339059327379</v>
      </c>
      <c r="BD269" s="30"/>
      <c r="BE269" s="30"/>
      <c r="BF269" s="277"/>
    </row>
    <row r="270" spans="1:58">
      <c r="A270" s="20"/>
      <c r="B270" s="171"/>
      <c r="C270" s="3"/>
      <c r="D270" s="206">
        <v>80.262301825000009</v>
      </c>
      <c r="E270" s="206">
        <v>3.164583107582521</v>
      </c>
      <c r="F270" s="206" t="s">
        <v>558</v>
      </c>
      <c r="G270" s="3"/>
      <c r="H270" s="206" t="s">
        <v>2855</v>
      </c>
      <c r="I270" s="206" t="s">
        <v>2855</v>
      </c>
      <c r="J270" s="206" t="s">
        <v>558</v>
      </c>
      <c r="K270" s="353"/>
      <c r="L270" s="344">
        <v>3.2927695071998926</v>
      </c>
      <c r="M270" s="344">
        <v>4.7350039731951146</v>
      </c>
      <c r="N270" s="206" t="s">
        <v>1124</v>
      </c>
      <c r="O270" s="3"/>
      <c r="P270" s="206">
        <v>-70.099999999999994</v>
      </c>
      <c r="Q270" s="206">
        <v>4.441401672997646</v>
      </c>
      <c r="R270" s="206" t="s">
        <v>558</v>
      </c>
      <c r="S270" s="3"/>
      <c r="T270" s="206" t="s">
        <v>2855</v>
      </c>
      <c r="U270" s="206" t="s">
        <v>2855</v>
      </c>
      <c r="V270" s="206" t="s">
        <v>558</v>
      </c>
      <c r="W270" s="3"/>
      <c r="X270" s="206" t="s">
        <v>2855</v>
      </c>
      <c r="Y270" s="206" t="s">
        <v>2855</v>
      </c>
      <c r="Z270" s="350" t="s">
        <v>558</v>
      </c>
      <c r="AA270" s="4"/>
      <c r="AB270" s="206">
        <v>7.993297276476711</v>
      </c>
      <c r="AC270" s="206">
        <v>0.20580996420229952</v>
      </c>
      <c r="AD270" s="206" t="s">
        <v>558</v>
      </c>
      <c r="AE270" s="3"/>
      <c r="AF270" s="206">
        <v>6.1285000000000007</v>
      </c>
      <c r="AG270" s="206">
        <v>1.1420000000000001</v>
      </c>
      <c r="AH270" s="206" t="s">
        <v>558</v>
      </c>
      <c r="AI270" s="3"/>
      <c r="AJ270" s="206">
        <v>-2.087498225774242</v>
      </c>
      <c r="AK270" s="206">
        <v>0.41749964515484844</v>
      </c>
      <c r="AL270" s="206" t="s">
        <v>558</v>
      </c>
      <c r="AM270" s="3"/>
      <c r="AN270" s="206">
        <v>-1.4403667064642687</v>
      </c>
      <c r="AO270" s="206">
        <v>0.12779782186875707</v>
      </c>
      <c r="AP270" s="206" t="s">
        <v>558</v>
      </c>
      <c r="AQ270" s="3"/>
      <c r="AR270" s="206">
        <v>-1.4403667064642687</v>
      </c>
      <c r="AS270" s="206">
        <v>0.12779782186875707</v>
      </c>
      <c r="AT270" s="206" t="s">
        <v>558</v>
      </c>
      <c r="AU270" s="3"/>
      <c r="AV270" s="206" t="s">
        <v>2855</v>
      </c>
      <c r="AW270" s="206" t="s">
        <v>2855</v>
      </c>
      <c r="AX270" s="206" t="s">
        <v>558</v>
      </c>
      <c r="AY270" s="3"/>
      <c r="AZ270" s="52"/>
      <c r="BA270" s="52"/>
      <c r="BB270" s="52"/>
      <c r="BC270" s="3"/>
      <c r="BF270" s="42"/>
    </row>
    <row r="271" spans="1:58">
      <c r="A271" s="20"/>
      <c r="B271" s="171"/>
      <c r="C271" s="3"/>
      <c r="D271" s="176">
        <v>76.598929154800004</v>
      </c>
      <c r="E271" s="176">
        <v>5.1596272689381735</v>
      </c>
      <c r="F271" s="206" t="s">
        <v>1124</v>
      </c>
      <c r="G271" s="3"/>
      <c r="H271" s="176">
        <v>16.093591803544058</v>
      </c>
      <c r="I271" s="176">
        <v>9.8469607065492522</v>
      </c>
      <c r="J271" s="206" t="s">
        <v>1124</v>
      </c>
      <c r="K271" s="353"/>
      <c r="L271" s="206"/>
      <c r="M271" s="206"/>
      <c r="N271" s="206"/>
      <c r="O271" s="3"/>
      <c r="P271" s="178">
        <v>-73.306159647600111</v>
      </c>
      <c r="Q271" s="178">
        <v>6.6879408631295005</v>
      </c>
      <c r="R271" s="206" t="s">
        <v>1124</v>
      </c>
      <c r="S271" s="3"/>
      <c r="T271" s="178">
        <v>51.739082200000006</v>
      </c>
      <c r="U271" s="178">
        <v>15.465380799484201</v>
      </c>
      <c r="V271" s="206" t="s">
        <v>1124</v>
      </c>
      <c r="W271" s="3"/>
      <c r="X271" s="178">
        <v>-18.204648000000006</v>
      </c>
      <c r="Y271" s="178">
        <v>7.4677859599203078</v>
      </c>
      <c r="Z271" s="350" t="s">
        <v>1124</v>
      </c>
      <c r="AA271" s="4"/>
      <c r="AB271" s="178">
        <v>7.9337609800895894</v>
      </c>
      <c r="AC271" s="178">
        <v>0.21928121972869616</v>
      </c>
      <c r="AD271" s="206" t="s">
        <v>1124</v>
      </c>
      <c r="AE271" s="3"/>
      <c r="AF271" s="178">
        <v>5.6198499999999996</v>
      </c>
      <c r="AG271" s="178">
        <v>0.39747513094999998</v>
      </c>
      <c r="AH271" s="206" t="s">
        <v>1124</v>
      </c>
      <c r="AI271" s="3"/>
      <c r="AJ271" s="178">
        <v>-2.2077182799999999</v>
      </c>
      <c r="AK271" s="178">
        <v>0.49105173842900002</v>
      </c>
      <c r="AL271" s="206" t="s">
        <v>1124</v>
      </c>
      <c r="AM271" s="3"/>
      <c r="AN271" s="178">
        <v>-1.3247927617960389</v>
      </c>
      <c r="AO271" s="178">
        <v>0.20581185471606181</v>
      </c>
      <c r="AP271" s="206" t="s">
        <v>1124</v>
      </c>
      <c r="AQ271" s="3"/>
      <c r="AR271" s="178">
        <v>-1.3247927617960389</v>
      </c>
      <c r="AS271" s="178">
        <v>0.20581185471606181</v>
      </c>
      <c r="AT271" s="206" t="s">
        <v>1124</v>
      </c>
      <c r="AU271" s="3"/>
      <c r="AV271" s="178">
        <v>2.9341074000000003</v>
      </c>
      <c r="AW271" s="178">
        <v>0.53028416450940008</v>
      </c>
      <c r="AX271" s="206" t="s">
        <v>1124</v>
      </c>
      <c r="AY271" s="3"/>
      <c r="AZ271" s="178"/>
      <c r="BA271" s="178"/>
      <c r="BB271" s="206"/>
      <c r="BC271" s="3"/>
      <c r="BD271" s="178"/>
      <c r="BE271" s="178"/>
      <c r="BF271" s="350"/>
    </row>
    <row r="272" spans="1:58">
      <c r="A272" s="20"/>
      <c r="B272" s="171"/>
      <c r="C272" s="87"/>
      <c r="D272" s="21"/>
      <c r="E272" s="21"/>
      <c r="F272" s="21"/>
      <c r="G272" s="20"/>
      <c r="H272" s="21"/>
      <c r="I272" s="21"/>
      <c r="J272" s="21"/>
      <c r="K272" s="20"/>
      <c r="L272" s="21"/>
      <c r="M272" s="21"/>
      <c r="N272" s="21"/>
      <c r="O272" s="3"/>
      <c r="P272" s="4"/>
      <c r="Q272" s="4"/>
      <c r="R272" s="4"/>
      <c r="S272" s="20"/>
      <c r="T272" s="21"/>
      <c r="U272" s="21"/>
      <c r="V272" s="21"/>
      <c r="W272" s="20"/>
      <c r="X272" s="21"/>
      <c r="Y272" s="21"/>
      <c r="Z272" s="313"/>
      <c r="AA272" s="4"/>
      <c r="AB272" s="9"/>
      <c r="AC272" s="9"/>
      <c r="AD272" s="4"/>
      <c r="AE272" s="3"/>
      <c r="AF272" s="9"/>
      <c r="AG272" s="9"/>
      <c r="AH272" s="4"/>
      <c r="AI272" s="3"/>
      <c r="AJ272" s="9"/>
      <c r="AK272" s="9"/>
      <c r="AL272" s="4"/>
      <c r="AM272" s="3"/>
      <c r="AN272" s="9"/>
      <c r="AO272" s="9"/>
      <c r="AP272" s="4"/>
      <c r="AQ272" s="3"/>
      <c r="AR272" s="9"/>
      <c r="AS272" s="9"/>
      <c r="AT272" s="4"/>
      <c r="AU272" s="3"/>
      <c r="AV272" s="9"/>
      <c r="AW272" s="9"/>
      <c r="AX272" s="4"/>
      <c r="AY272" s="3"/>
      <c r="AZ272" s="9"/>
      <c r="BA272" s="9"/>
      <c r="BB272" s="4"/>
      <c r="BC272" s="3"/>
      <c r="BD272" s="9"/>
      <c r="BE272" s="9"/>
      <c r="BF272" s="122"/>
    </row>
    <row r="273" spans="1:58">
      <c r="A273" s="20" t="s">
        <v>122</v>
      </c>
      <c r="B273" s="21" t="s">
        <v>123</v>
      </c>
      <c r="C273" s="157">
        <v>79.397861201378802</v>
      </c>
      <c r="D273" s="30" t="s">
        <v>2855</v>
      </c>
      <c r="E273" s="30" t="s">
        <v>2855</v>
      </c>
      <c r="F273" s="30" t="s">
        <v>2743</v>
      </c>
      <c r="G273" s="157">
        <v>28.711165554719202</v>
      </c>
      <c r="H273" s="30" t="s">
        <v>2855</v>
      </c>
      <c r="I273" s="30" t="s">
        <v>2855</v>
      </c>
      <c r="J273" s="30" t="s">
        <v>2743</v>
      </c>
      <c r="K273" s="157">
        <v>1.9984045998797964</v>
      </c>
      <c r="L273" s="113">
        <v>1.9984045998797964</v>
      </c>
      <c r="M273" s="30">
        <v>6.6209719693303848</v>
      </c>
      <c r="N273" s="355" t="s">
        <v>1498</v>
      </c>
      <c r="O273" s="157">
        <v>-75.008456601499006</v>
      </c>
      <c r="P273" s="30" t="s">
        <v>2855</v>
      </c>
      <c r="Q273" s="30" t="s">
        <v>2855</v>
      </c>
      <c r="R273" s="30" t="s">
        <v>2743</v>
      </c>
      <c r="S273" s="157">
        <v>48.298530719676897</v>
      </c>
      <c r="T273" s="30" t="s">
        <v>2855</v>
      </c>
      <c r="U273" s="30" t="s">
        <v>2855</v>
      </c>
      <c r="V273" s="30" t="s">
        <v>2743</v>
      </c>
      <c r="W273" s="157">
        <v>-26.708648668801299</v>
      </c>
      <c r="X273" s="30" t="s">
        <v>2855</v>
      </c>
      <c r="Y273" s="30" t="s">
        <v>2855</v>
      </c>
      <c r="Z273" s="300" t="s">
        <v>2743</v>
      </c>
      <c r="AA273" s="157">
        <v>8.9782320146915993</v>
      </c>
      <c r="AB273" s="30">
        <v>9.0396528061400705</v>
      </c>
      <c r="AC273" s="30">
        <v>0.35361126356012501</v>
      </c>
      <c r="AD273" s="30" t="s">
        <v>2743</v>
      </c>
      <c r="AE273" s="157">
        <v>6.9505622048125399</v>
      </c>
      <c r="AF273" s="30">
        <v>6.85734092088701</v>
      </c>
      <c r="AG273" s="30">
        <v>0.477750253531462</v>
      </c>
      <c r="AH273" s="30" t="s">
        <v>2743</v>
      </c>
      <c r="AI273" s="157">
        <v>-2.0413914073686898</v>
      </c>
      <c r="AJ273" s="30">
        <v>-2.2065521011600602</v>
      </c>
      <c r="AK273" s="30">
        <v>0.30046075165281999</v>
      </c>
      <c r="AL273" s="30" t="s">
        <v>2743</v>
      </c>
      <c r="AM273" s="157">
        <v>-2.511707071016986</v>
      </c>
      <c r="AN273" s="30">
        <v>-2.5158520866292768</v>
      </c>
      <c r="AO273" s="30">
        <v>0.15224068605734001</v>
      </c>
      <c r="AP273" s="30" t="s">
        <v>2743</v>
      </c>
      <c r="AQ273" s="157">
        <v>-3.8816139665295699</v>
      </c>
      <c r="AR273" s="30">
        <v>-3.7259106988106998</v>
      </c>
      <c r="AS273" s="30">
        <v>0.32025302873575001</v>
      </c>
      <c r="AT273" s="30" t="s">
        <v>2743</v>
      </c>
      <c r="AU273" s="157">
        <v>3.0683625724352099</v>
      </c>
      <c r="AV273" s="30">
        <v>3.1305711774625502</v>
      </c>
      <c r="AW273" s="30">
        <v>0.395325106794507</v>
      </c>
      <c r="AX273" s="30" t="s">
        <v>2743</v>
      </c>
      <c r="AY273" s="157" t="s">
        <v>2855</v>
      </c>
      <c r="AZ273" s="30" t="s">
        <v>2855</v>
      </c>
      <c r="BA273" s="30" t="s">
        <v>2855</v>
      </c>
      <c r="BB273" s="30" t="s">
        <v>558</v>
      </c>
      <c r="BC273" s="157">
        <v>76</v>
      </c>
      <c r="BD273" s="30">
        <v>76</v>
      </c>
      <c r="BE273" s="30">
        <v>3.5085945063281443</v>
      </c>
      <c r="BF273" s="300" t="s">
        <v>558</v>
      </c>
    </row>
    <row r="274" spans="1:58">
      <c r="A274" s="20"/>
      <c r="B274" s="171">
        <v>326.42200000000003</v>
      </c>
      <c r="C274" s="157">
        <v>4.8968461362981701</v>
      </c>
      <c r="D274" s="30">
        <v>79.397861201378802</v>
      </c>
      <c r="E274" s="30">
        <v>4.8968461362981701</v>
      </c>
      <c r="F274" s="8" t="s">
        <v>2742</v>
      </c>
      <c r="G274" s="157">
        <v>5.4343836749733603</v>
      </c>
      <c r="H274" s="30">
        <v>28.711165554719202</v>
      </c>
      <c r="I274" s="30">
        <v>5.4343836749733603</v>
      </c>
      <c r="J274" s="8" t="s">
        <v>2742</v>
      </c>
      <c r="K274" s="158">
        <v>6.6209719693303848</v>
      </c>
      <c r="L274" s="113">
        <v>2.0025168859179026</v>
      </c>
      <c r="M274" s="113">
        <v>8.4323280696145826</v>
      </c>
      <c r="N274" s="13" t="s">
        <v>1499</v>
      </c>
      <c r="O274" s="157">
        <v>4.4562504121829098</v>
      </c>
      <c r="P274" s="30">
        <v>-75.008456601499006</v>
      </c>
      <c r="Q274" s="30">
        <v>4.4562504121829098</v>
      </c>
      <c r="R274" s="8" t="s">
        <v>2742</v>
      </c>
      <c r="S274" s="157">
        <v>6.1162838065573997</v>
      </c>
      <c r="T274" s="30">
        <v>48.298530719676897</v>
      </c>
      <c r="U274" s="30">
        <v>6.1162838065573997</v>
      </c>
      <c r="V274" s="8" t="s">
        <v>2742</v>
      </c>
      <c r="W274" s="157">
        <v>6.4476065905724296</v>
      </c>
      <c r="X274" s="30">
        <v>-26.708648668801299</v>
      </c>
      <c r="Y274" s="30">
        <v>6.4476065905724296</v>
      </c>
      <c r="Z274" s="498" t="s">
        <v>2742</v>
      </c>
      <c r="AA274" s="157">
        <v>0.321848731422749</v>
      </c>
      <c r="AB274" s="30">
        <v>8.9782320146915993</v>
      </c>
      <c r="AC274" s="30">
        <v>0.321848731422749</v>
      </c>
      <c r="AD274" s="8" t="s">
        <v>2742</v>
      </c>
      <c r="AE274" s="157">
        <v>0.49060130224853299</v>
      </c>
      <c r="AF274" s="30">
        <v>6.9505622048125399</v>
      </c>
      <c r="AG274" s="30">
        <v>0.49060130224853299</v>
      </c>
      <c r="AH274" s="8" t="s">
        <v>2742</v>
      </c>
      <c r="AI274" s="157">
        <v>0.37213475700024801</v>
      </c>
      <c r="AJ274" s="30">
        <v>-2.0413914073686898</v>
      </c>
      <c r="AK274" s="30">
        <v>0.37213475700024801</v>
      </c>
      <c r="AL274" s="8" t="s">
        <v>2742</v>
      </c>
      <c r="AM274" s="157">
        <v>0.14933180699270801</v>
      </c>
      <c r="AN274" s="30">
        <v>-2.511707071016986</v>
      </c>
      <c r="AO274" s="30">
        <v>0.14933180699270801</v>
      </c>
      <c r="AP274" s="8" t="s">
        <v>2742</v>
      </c>
      <c r="AQ274" s="157">
        <v>0.37464836077470598</v>
      </c>
      <c r="AR274" s="30">
        <v>-3.8816139665295699</v>
      </c>
      <c r="AS274" s="30">
        <v>0.37464836077470598</v>
      </c>
      <c r="AT274" s="8" t="s">
        <v>2742</v>
      </c>
      <c r="AU274" s="157">
        <v>0.34840664258557602</v>
      </c>
      <c r="AV274" s="30">
        <v>3.0683625724352099</v>
      </c>
      <c r="AW274" s="30">
        <v>0.34840664258557602</v>
      </c>
      <c r="AX274" s="8" t="s">
        <v>2742</v>
      </c>
      <c r="AY274" s="157" t="s">
        <v>2855</v>
      </c>
      <c r="AZ274" s="30"/>
      <c r="BA274" s="30"/>
      <c r="BB274" s="101"/>
      <c r="BC274" s="157">
        <v>3.5085945063281443</v>
      </c>
      <c r="BD274" s="30"/>
      <c r="BE274" s="30"/>
      <c r="BF274" s="277"/>
    </row>
    <row r="275" spans="1:58">
      <c r="A275" s="20"/>
      <c r="B275" s="171"/>
      <c r="C275" s="3"/>
      <c r="D275" s="206">
        <v>77.099999999999994</v>
      </c>
      <c r="E275" s="206">
        <v>5.5021195639597513</v>
      </c>
      <c r="F275" s="206" t="s">
        <v>558</v>
      </c>
      <c r="G275" s="3"/>
      <c r="H275" s="206">
        <v>31.8</v>
      </c>
      <c r="I275" s="206">
        <v>6.36</v>
      </c>
      <c r="J275" s="206" t="s">
        <v>558</v>
      </c>
      <c r="K275" s="353"/>
      <c r="L275" s="344">
        <v>2.8348884338479081</v>
      </c>
      <c r="M275" s="344">
        <v>4.0765707919986047</v>
      </c>
      <c r="N275" s="206" t="s">
        <v>1124</v>
      </c>
      <c r="O275" s="3"/>
      <c r="P275" s="206">
        <v>-76.099999999999994</v>
      </c>
      <c r="Q275" s="206">
        <v>4.8215501756793282</v>
      </c>
      <c r="R275" s="206" t="s">
        <v>558</v>
      </c>
      <c r="S275" s="3"/>
      <c r="T275" s="206" t="s">
        <v>2855</v>
      </c>
      <c r="U275" s="206" t="s">
        <v>2855</v>
      </c>
      <c r="V275" s="206" t="s">
        <v>558</v>
      </c>
      <c r="W275" s="3"/>
      <c r="X275" s="206" t="s">
        <v>2855</v>
      </c>
      <c r="Y275" s="206" t="s">
        <v>2855</v>
      </c>
      <c r="Z275" s="350" t="s">
        <v>558</v>
      </c>
      <c r="AA275" s="4"/>
      <c r="AB275" s="206">
        <v>9.0261907024857795</v>
      </c>
      <c r="AC275" s="206">
        <v>0.23240471624002404</v>
      </c>
      <c r="AD275" s="206" t="s">
        <v>558</v>
      </c>
      <c r="AE275" s="3"/>
      <c r="AF275" s="206">
        <v>7.0633750000000006</v>
      </c>
      <c r="AG275" s="206">
        <v>1.2805</v>
      </c>
      <c r="AH275" s="206" t="s">
        <v>558</v>
      </c>
      <c r="AI275" s="3"/>
      <c r="AJ275" s="206">
        <v>-2.5192965017072471</v>
      </c>
      <c r="AK275" s="206">
        <v>0.50385930034144943</v>
      </c>
      <c r="AL275" s="206" t="s">
        <v>558</v>
      </c>
      <c r="AM275" s="3"/>
      <c r="AN275" s="206">
        <v>-2.4598699455590731</v>
      </c>
      <c r="AO275" s="206">
        <v>0.15642979300815249</v>
      </c>
      <c r="AP275" s="206" t="s">
        <v>558</v>
      </c>
      <c r="AQ275" s="3"/>
      <c r="AR275" s="206">
        <v>-2.4598699455590731</v>
      </c>
      <c r="AS275" s="206">
        <v>0.15642979300815249</v>
      </c>
      <c r="AT275" s="206" t="s">
        <v>558</v>
      </c>
      <c r="AU275" s="3"/>
      <c r="AV275" s="206" t="s">
        <v>2855</v>
      </c>
      <c r="AW275" s="206" t="s">
        <v>2855</v>
      </c>
      <c r="AX275" s="206" t="s">
        <v>558</v>
      </c>
      <c r="AY275" s="3"/>
      <c r="AZ275" s="52"/>
      <c r="BA275" s="52"/>
      <c r="BB275" s="52"/>
      <c r="BC275" s="3"/>
      <c r="BF275" s="42"/>
    </row>
    <row r="276" spans="1:58">
      <c r="A276" s="20"/>
      <c r="B276" s="171"/>
      <c r="C276" s="3"/>
      <c r="D276" s="176">
        <v>84.83594539472</v>
      </c>
      <c r="E276" s="176">
        <v>5.7144644458429443</v>
      </c>
      <c r="F276" s="206" t="s">
        <v>1124</v>
      </c>
      <c r="G276" s="3"/>
      <c r="H276" s="176">
        <v>13.659852122648019</v>
      </c>
      <c r="I276" s="176">
        <v>8.3578624803549264</v>
      </c>
      <c r="J276" s="206" t="s">
        <v>1124</v>
      </c>
      <c r="K276" s="353"/>
      <c r="L276" s="206"/>
      <c r="M276" s="206"/>
      <c r="N276" s="206"/>
      <c r="O276" s="3"/>
      <c r="P276" s="178">
        <v>-82.001056960872091</v>
      </c>
      <c r="Q276" s="178">
        <v>7.4812024297112432</v>
      </c>
      <c r="R276" s="206" t="s">
        <v>1124</v>
      </c>
      <c r="S276" s="3"/>
      <c r="T276" s="178">
        <v>56.590070599999997</v>
      </c>
      <c r="U276" s="178">
        <v>16.915394593116599</v>
      </c>
      <c r="V276" s="206" t="s">
        <v>1124</v>
      </c>
      <c r="W276" s="3"/>
      <c r="X276" s="178">
        <v>-22.709944000000011</v>
      </c>
      <c r="Y276" s="178">
        <v>9.3159176136652828</v>
      </c>
      <c r="Z276" s="350" t="s">
        <v>1124</v>
      </c>
      <c r="AA276" s="4"/>
      <c r="AB276" s="178">
        <v>8.8936872058818839</v>
      </c>
      <c r="AC276" s="178">
        <v>0.2458126206833694</v>
      </c>
      <c r="AD276" s="206" t="s">
        <v>1124</v>
      </c>
      <c r="AE276" s="3"/>
      <c r="AF276" s="178">
        <v>6.6498200000000001</v>
      </c>
      <c r="AG276" s="178">
        <v>0.47032181913999999</v>
      </c>
      <c r="AH276" s="206" t="s">
        <v>1124</v>
      </c>
      <c r="AI276" s="3"/>
      <c r="AJ276" s="178">
        <v>-2.37173254</v>
      </c>
      <c r="AK276" s="178">
        <v>0.52753261020950004</v>
      </c>
      <c r="AL276" s="206" t="s">
        <v>1124</v>
      </c>
      <c r="AM276" s="3"/>
      <c r="AN276" s="178">
        <v>-2.7210547997344965</v>
      </c>
      <c r="AO276" s="178">
        <v>0.42272674735795296</v>
      </c>
      <c r="AP276" s="206" t="s">
        <v>1124</v>
      </c>
      <c r="AQ276" s="3"/>
      <c r="AR276" s="178">
        <v>-2.7210547997344965</v>
      </c>
      <c r="AS276" s="178">
        <v>0.42272674735795296</v>
      </c>
      <c r="AT276" s="206" t="s">
        <v>1124</v>
      </c>
      <c r="AU276" s="3"/>
      <c r="AV276" s="178">
        <v>2.8537641999999988</v>
      </c>
      <c r="AW276" s="178">
        <v>0.51576365763019982</v>
      </c>
      <c r="AX276" s="206" t="s">
        <v>1124</v>
      </c>
      <c r="AY276" s="3"/>
      <c r="AZ276" s="178"/>
      <c r="BA276" s="178"/>
      <c r="BB276" s="206"/>
      <c r="BC276" s="3"/>
      <c r="BD276" s="178"/>
      <c r="BE276" s="178"/>
      <c r="BF276" s="350"/>
    </row>
    <row r="277" spans="1:58">
      <c r="A277" s="20"/>
      <c r="B277" s="171"/>
      <c r="C277" s="87"/>
      <c r="D277" s="21"/>
      <c r="E277" s="21"/>
      <c r="F277" s="21"/>
      <c r="G277" s="20"/>
      <c r="H277" s="21"/>
      <c r="I277" s="21"/>
      <c r="J277" s="21"/>
      <c r="K277" s="20"/>
      <c r="L277" s="21"/>
      <c r="M277" s="21"/>
      <c r="N277" s="21"/>
      <c r="O277" s="3"/>
      <c r="P277" s="4"/>
      <c r="Q277" s="4"/>
      <c r="R277" s="4"/>
      <c r="S277" s="20"/>
      <c r="T277" s="21"/>
      <c r="U277" s="21"/>
      <c r="V277" s="21"/>
      <c r="W277" s="20"/>
      <c r="X277" s="21"/>
      <c r="Y277" s="21"/>
      <c r="Z277" s="313"/>
      <c r="AA277" s="4"/>
      <c r="AB277" s="9"/>
      <c r="AC277" s="9"/>
      <c r="AD277" s="4"/>
      <c r="AE277" s="3"/>
      <c r="AF277" s="9"/>
      <c r="AG277" s="9"/>
      <c r="AH277" s="4"/>
      <c r="AI277" s="3"/>
      <c r="AJ277" s="9"/>
      <c r="AK277" s="9"/>
      <c r="AL277" s="4"/>
      <c r="AM277" s="3"/>
      <c r="AN277" s="9"/>
      <c r="AO277" s="9"/>
      <c r="AP277" s="4"/>
      <c r="AQ277" s="3"/>
      <c r="AR277" s="9"/>
      <c r="AS277" s="9"/>
      <c r="AT277" s="4"/>
      <c r="AU277" s="3"/>
      <c r="AV277" s="9"/>
      <c r="AW277" s="9"/>
      <c r="AX277" s="4"/>
      <c r="AY277" s="3"/>
      <c r="AZ277" s="9"/>
      <c r="BA277" s="9"/>
      <c r="BB277" s="4"/>
      <c r="BC277" s="3"/>
      <c r="BD277" s="9"/>
      <c r="BE277" s="9"/>
      <c r="BF277" s="122"/>
    </row>
    <row r="278" spans="1:58">
      <c r="A278" s="20" t="s">
        <v>125</v>
      </c>
      <c r="B278" s="21" t="s">
        <v>126</v>
      </c>
      <c r="C278" s="157">
        <v>77.306608299240509</v>
      </c>
      <c r="D278" s="30" t="s">
        <v>2855</v>
      </c>
      <c r="E278" s="30" t="s">
        <v>2855</v>
      </c>
      <c r="F278" s="30" t="s">
        <v>2743</v>
      </c>
      <c r="G278" s="157">
        <v>25.576170998887701</v>
      </c>
      <c r="H278" s="30" t="s">
        <v>2855</v>
      </c>
      <c r="I278" s="30" t="s">
        <v>2855</v>
      </c>
      <c r="J278" s="30" t="s">
        <v>2743</v>
      </c>
      <c r="K278" s="157">
        <v>7.3876492407463044</v>
      </c>
      <c r="L278" s="113">
        <v>7.3876492407463044</v>
      </c>
      <c r="M278" s="30">
        <v>8.9366854009310757</v>
      </c>
      <c r="N278" s="355" t="s">
        <v>1498</v>
      </c>
      <c r="O278" s="157">
        <v>-67.527959058494204</v>
      </c>
      <c r="P278" s="30" t="s">
        <v>2855</v>
      </c>
      <c r="Q278" s="30" t="s">
        <v>2855</v>
      </c>
      <c r="R278" s="30" t="s">
        <v>2743</v>
      </c>
      <c r="S278" s="157">
        <v>49.339216760547899</v>
      </c>
      <c r="T278" s="30" t="s">
        <v>2855</v>
      </c>
      <c r="U278" s="30" t="s">
        <v>2855</v>
      </c>
      <c r="V278" s="30" t="s">
        <v>2743</v>
      </c>
      <c r="W278" s="157">
        <v>-18.191383817460402</v>
      </c>
      <c r="X278" s="30" t="s">
        <v>2855</v>
      </c>
      <c r="Y278" s="30" t="s">
        <v>2855</v>
      </c>
      <c r="Z278" s="300" t="s">
        <v>2743</v>
      </c>
      <c r="AA278" s="157">
        <v>7.6089359228609901</v>
      </c>
      <c r="AB278" s="30">
        <v>7.6372793348737202</v>
      </c>
      <c r="AC278" s="30">
        <v>0.119013712749721</v>
      </c>
      <c r="AD278" s="30" t="s">
        <v>2743</v>
      </c>
      <c r="AE278" s="157">
        <v>5.6339152750325399</v>
      </c>
      <c r="AF278" s="30">
        <v>5.6031282204435602</v>
      </c>
      <c r="AG278" s="30">
        <v>0.11847493005626</v>
      </c>
      <c r="AH278" s="30" t="s">
        <v>2743</v>
      </c>
      <c r="AI278" s="157">
        <v>-1.94597017326981</v>
      </c>
      <c r="AJ278" s="30">
        <v>-1.9806768223903199</v>
      </c>
      <c r="AK278" s="30">
        <v>0.21138477626558499</v>
      </c>
      <c r="AL278" s="30" t="s">
        <v>2743</v>
      </c>
      <c r="AM278" s="157">
        <v>-1.2679197684375161</v>
      </c>
      <c r="AN278" s="30">
        <v>-1.2556007719222271</v>
      </c>
      <c r="AO278" s="30">
        <v>0.162715204069344</v>
      </c>
      <c r="AP278" s="30" t="s">
        <v>2743</v>
      </c>
      <c r="AQ278" s="157">
        <v>-2.7235984886812101</v>
      </c>
      <c r="AR278" s="30">
        <v>-2.67047545100497</v>
      </c>
      <c r="AS278" s="30">
        <v>0.232707115535919</v>
      </c>
      <c r="AT278" s="30" t="s">
        <v>2743</v>
      </c>
      <c r="AU278" s="157">
        <v>2.9286314518708201</v>
      </c>
      <c r="AV278" s="30">
        <v>2.9601296229993701</v>
      </c>
      <c r="AW278" s="30">
        <v>0.208631173503082</v>
      </c>
      <c r="AX278" s="30" t="s">
        <v>2743</v>
      </c>
      <c r="AY278" s="157" t="s">
        <v>2855</v>
      </c>
      <c r="AZ278" s="30" t="s">
        <v>2855</v>
      </c>
      <c r="BA278" s="30" t="s">
        <v>2855</v>
      </c>
      <c r="BB278" s="30" t="s">
        <v>558</v>
      </c>
      <c r="BC278" s="157">
        <v>29.083333333333332</v>
      </c>
      <c r="BD278" s="30">
        <v>29.083333333333332</v>
      </c>
      <c r="BE278" s="30">
        <v>0.38188130791298669</v>
      </c>
      <c r="BF278" s="300" t="s">
        <v>558</v>
      </c>
    </row>
    <row r="279" spans="1:58">
      <c r="A279" s="20"/>
      <c r="B279" s="171">
        <v>360.86399999999998</v>
      </c>
      <c r="C279" s="157">
        <v>3.0069395580040199</v>
      </c>
      <c r="D279" s="30">
        <v>77.306608299240509</v>
      </c>
      <c r="E279" s="30">
        <v>3.0069395580040199</v>
      </c>
      <c r="F279" s="8" t="s">
        <v>2742</v>
      </c>
      <c r="G279" s="157">
        <v>11.016013505560499</v>
      </c>
      <c r="H279" s="30">
        <v>25.576170998887701</v>
      </c>
      <c r="I279" s="30">
        <v>11.016013505560499</v>
      </c>
      <c r="J279" s="8" t="s">
        <v>2742</v>
      </c>
      <c r="K279" s="158">
        <v>8.9366854009310757</v>
      </c>
      <c r="L279" s="113">
        <v>7.3847871814272992</v>
      </c>
      <c r="M279" s="113">
        <v>16.19664407600267</v>
      </c>
      <c r="N279" s="13" t="s">
        <v>1499</v>
      </c>
      <c r="O279" s="157">
        <v>8.4156200276465203</v>
      </c>
      <c r="P279" s="30">
        <v>-67.527959058494204</v>
      </c>
      <c r="Q279" s="30">
        <v>8.4156200276465203</v>
      </c>
      <c r="R279" s="8" t="s">
        <v>2742</v>
      </c>
      <c r="S279" s="157">
        <v>10.9008285168309</v>
      </c>
      <c r="T279" s="30">
        <v>49.339216760547899</v>
      </c>
      <c r="U279" s="30">
        <v>10.9008285168309</v>
      </c>
      <c r="V279" s="8" t="s">
        <v>2742</v>
      </c>
      <c r="W279" s="157">
        <v>11.873446246563001</v>
      </c>
      <c r="X279" s="30">
        <v>-18.191383817460402</v>
      </c>
      <c r="Y279" s="30">
        <v>11.873446246563001</v>
      </c>
      <c r="Z279" s="498" t="s">
        <v>2742</v>
      </c>
      <c r="AA279" s="157">
        <v>0.177489087163298</v>
      </c>
      <c r="AB279" s="30">
        <v>7.6089359228609901</v>
      </c>
      <c r="AC279" s="30">
        <v>0.177489087163298</v>
      </c>
      <c r="AD279" s="8" t="s">
        <v>2742</v>
      </c>
      <c r="AE279" s="157">
        <v>0.17978172927611499</v>
      </c>
      <c r="AF279" s="30">
        <v>5.6339152750325399</v>
      </c>
      <c r="AG279" s="30">
        <v>0.17978172927611499</v>
      </c>
      <c r="AH279" s="8" t="s">
        <v>2742</v>
      </c>
      <c r="AI279" s="157">
        <v>0.25997199871347199</v>
      </c>
      <c r="AJ279" s="30">
        <v>-1.94597017326981</v>
      </c>
      <c r="AK279" s="30">
        <v>0.25997199871347199</v>
      </c>
      <c r="AL279" s="8" t="s">
        <v>2742</v>
      </c>
      <c r="AM279" s="157">
        <v>0.178772518916367</v>
      </c>
      <c r="AN279" s="30">
        <v>-1.2679197684375161</v>
      </c>
      <c r="AO279" s="30">
        <v>0.178772518916367</v>
      </c>
      <c r="AP279" s="8" t="s">
        <v>2742</v>
      </c>
      <c r="AQ279" s="157">
        <v>0.26406587330765802</v>
      </c>
      <c r="AR279" s="30">
        <v>-2.7235984886812101</v>
      </c>
      <c r="AS279" s="30">
        <v>0.26406587330765802</v>
      </c>
      <c r="AT279" s="8" t="s">
        <v>2742</v>
      </c>
      <c r="AU279" s="157">
        <v>0.236531822103871</v>
      </c>
      <c r="AV279" s="30">
        <v>2.9286314518708201</v>
      </c>
      <c r="AW279" s="30">
        <v>0.236531822103871</v>
      </c>
      <c r="AX279" s="8" t="s">
        <v>2742</v>
      </c>
      <c r="AY279" s="157" t="s">
        <v>2855</v>
      </c>
      <c r="AZ279" s="30"/>
      <c r="BA279" s="30"/>
      <c r="BB279" s="101"/>
      <c r="BC279" s="157">
        <v>0.38188130791298669</v>
      </c>
      <c r="BD279" s="30"/>
      <c r="BE279" s="30"/>
      <c r="BF279" s="277"/>
    </row>
    <row r="280" spans="1:58">
      <c r="A280" s="20"/>
      <c r="B280" s="171"/>
      <c r="C280" s="3"/>
      <c r="D280" s="206">
        <v>77.521050303999999</v>
      </c>
      <c r="E280" s="206">
        <v>3.0417753598014903</v>
      </c>
      <c r="F280" s="206" t="s">
        <v>558</v>
      </c>
      <c r="G280" s="3"/>
      <c r="H280" s="206" t="s">
        <v>2855</v>
      </c>
      <c r="I280" s="206" t="s">
        <v>2855</v>
      </c>
      <c r="J280" s="206" t="s">
        <v>558</v>
      </c>
      <c r="K280" s="353"/>
      <c r="L280" s="344">
        <v>3.6011771303441691</v>
      </c>
      <c r="M280" s="344">
        <v>5.1784942684492252</v>
      </c>
      <c r="N280" s="206" t="s">
        <v>1124</v>
      </c>
      <c r="O280" s="3"/>
      <c r="P280" s="206">
        <v>-63.8</v>
      </c>
      <c r="Q280" s="206">
        <v>4.042245745181881</v>
      </c>
      <c r="R280" s="206" t="s">
        <v>558</v>
      </c>
      <c r="S280" s="3"/>
      <c r="T280" s="206" t="s">
        <v>2855</v>
      </c>
      <c r="U280" s="206" t="s">
        <v>2855</v>
      </c>
      <c r="V280" s="206" t="s">
        <v>558</v>
      </c>
      <c r="W280" s="3"/>
      <c r="X280" s="206" t="s">
        <v>2855</v>
      </c>
      <c r="Y280" s="206" t="s">
        <v>2855</v>
      </c>
      <c r="Z280" s="350" t="s">
        <v>558</v>
      </c>
      <c r="AA280" s="4"/>
      <c r="AB280" s="206">
        <v>7.6828040702811879</v>
      </c>
      <c r="AC280" s="206">
        <v>2.1784930946130668E-2</v>
      </c>
      <c r="AD280" s="206" t="s">
        <v>558</v>
      </c>
      <c r="AE280" s="3"/>
      <c r="AF280" s="206">
        <v>5.5564375000000004</v>
      </c>
      <c r="AG280" s="206">
        <v>1.9445436482629957E-2</v>
      </c>
      <c r="AH280" s="206" t="s">
        <v>558</v>
      </c>
      <c r="AI280" s="3"/>
      <c r="AJ280" s="206" t="s">
        <v>2855</v>
      </c>
      <c r="AK280" s="206" t="s">
        <v>2855</v>
      </c>
      <c r="AL280" s="206" t="s">
        <v>558</v>
      </c>
      <c r="AM280" s="3"/>
      <c r="AN280" s="206">
        <v>-1.1641242474646873</v>
      </c>
      <c r="AO280" s="206">
        <v>0.17316928979703319</v>
      </c>
      <c r="AP280" s="206" t="s">
        <v>558</v>
      </c>
      <c r="AQ280" s="3"/>
      <c r="AR280" s="206">
        <v>-1.1641242474646873</v>
      </c>
      <c r="AS280" s="206">
        <v>0.17316928979703319</v>
      </c>
      <c r="AT280" s="206" t="s">
        <v>558</v>
      </c>
      <c r="AU280" s="3"/>
      <c r="AV280" s="206" t="s">
        <v>2855</v>
      </c>
      <c r="AW280" s="206" t="s">
        <v>2855</v>
      </c>
      <c r="AX280" s="206" t="s">
        <v>558</v>
      </c>
      <c r="AY280" s="3"/>
      <c r="AZ280" s="52"/>
      <c r="BA280" s="52"/>
      <c r="BB280" s="52"/>
      <c r="BC280" s="3"/>
      <c r="BF280" s="42"/>
    </row>
    <row r="281" spans="1:58">
      <c r="A281" s="20"/>
      <c r="B281" s="171"/>
      <c r="C281" s="3"/>
      <c r="D281" s="176">
        <v>74.077507954880005</v>
      </c>
      <c r="E281" s="176">
        <v>4.9897868583327627</v>
      </c>
      <c r="F281" s="206" t="s">
        <v>1124</v>
      </c>
      <c r="G281" s="3"/>
      <c r="H281" s="176">
        <v>17.427305216247994</v>
      </c>
      <c r="I281" s="176">
        <v>10.663001260392631</v>
      </c>
      <c r="J281" s="206" t="s">
        <v>1124</v>
      </c>
      <c r="K281" s="353"/>
      <c r="L281" s="206"/>
      <c r="M281" s="206"/>
      <c r="N281" s="206"/>
      <c r="O281" s="3"/>
      <c r="P281" s="178">
        <v>-70.476330824535836</v>
      </c>
      <c r="Q281" s="178">
        <v>6.4297670901148773</v>
      </c>
      <c r="R281" s="206" t="s">
        <v>1124</v>
      </c>
      <c r="S281" s="3"/>
      <c r="T281" s="178">
        <v>57.033388800000004</v>
      </c>
      <c r="U281" s="178">
        <v>17.047907279596799</v>
      </c>
      <c r="V281" s="206" t="s">
        <v>1124</v>
      </c>
      <c r="W281" s="3"/>
      <c r="X281" s="178">
        <v>-33.734671999999989</v>
      </c>
      <c r="Y281" s="178">
        <v>13.838405989729468</v>
      </c>
      <c r="Z281" s="350" t="s">
        <v>1124</v>
      </c>
      <c r="AA281" s="4"/>
      <c r="AB281" s="178">
        <v>7.6757755441306408</v>
      </c>
      <c r="AC281" s="178">
        <v>0.21215076026422677</v>
      </c>
      <c r="AD281" s="206" t="s">
        <v>1124</v>
      </c>
      <c r="AE281" s="3"/>
      <c r="AF281" s="178">
        <v>5.1927300000000001</v>
      </c>
      <c r="AG281" s="178">
        <v>0.36726621470999998</v>
      </c>
      <c r="AH281" s="206" t="s">
        <v>1124</v>
      </c>
      <c r="AI281" s="3"/>
      <c r="AJ281" s="178">
        <v>-2.4469041999999996</v>
      </c>
      <c r="AK281" s="178">
        <v>0.54425266668499994</v>
      </c>
      <c r="AL281" s="206" t="s">
        <v>1124</v>
      </c>
      <c r="AM281" s="3"/>
      <c r="AN281" s="178">
        <v>-0.86041386665546948</v>
      </c>
      <c r="AO281" s="178">
        <v>0.13366873584039379</v>
      </c>
      <c r="AP281" s="206" t="s">
        <v>1124</v>
      </c>
      <c r="AQ281" s="3"/>
      <c r="AR281" s="178">
        <v>-0.86041386665546948</v>
      </c>
      <c r="AS281" s="178">
        <v>0.13366873584039379</v>
      </c>
      <c r="AT281" s="206" t="s">
        <v>1124</v>
      </c>
      <c r="AU281" s="3"/>
      <c r="AV281" s="178">
        <v>2.9694425999999989</v>
      </c>
      <c r="AW281" s="178">
        <v>0.53667033054059976</v>
      </c>
      <c r="AX281" s="206" t="s">
        <v>1124</v>
      </c>
      <c r="AY281" s="3"/>
      <c r="AZ281" s="178"/>
      <c r="BA281" s="178"/>
      <c r="BB281" s="206"/>
      <c r="BC281" s="3"/>
      <c r="BD281" s="178"/>
      <c r="BE281" s="178"/>
      <c r="BF281" s="350"/>
    </row>
    <row r="282" spans="1:58">
      <c r="A282" s="20"/>
      <c r="B282" s="171"/>
      <c r="C282" s="87"/>
      <c r="D282" s="21"/>
      <c r="E282" s="21"/>
      <c r="F282" s="21"/>
      <c r="G282" s="20"/>
      <c r="H282" s="21"/>
      <c r="I282" s="21"/>
      <c r="J282" s="21"/>
      <c r="K282" s="20"/>
      <c r="L282" s="21"/>
      <c r="M282" s="21"/>
      <c r="N282" s="21"/>
      <c r="O282" s="3"/>
      <c r="P282" s="4"/>
      <c r="Q282" s="4"/>
      <c r="R282" s="4"/>
      <c r="S282" s="20"/>
      <c r="T282" s="21"/>
      <c r="U282" s="21"/>
      <c r="V282" s="21"/>
      <c r="W282" s="20"/>
      <c r="X282" s="21"/>
      <c r="Y282" s="21"/>
      <c r="Z282" s="313"/>
      <c r="AA282" s="4"/>
      <c r="AB282" s="9"/>
      <c r="AC282" s="9"/>
      <c r="AD282" s="4"/>
      <c r="AE282" s="3"/>
      <c r="AF282" s="9"/>
      <c r="AG282" s="9"/>
      <c r="AH282" s="4"/>
      <c r="AI282" s="3"/>
      <c r="AJ282" s="9"/>
      <c r="AK282" s="9"/>
      <c r="AL282" s="4"/>
      <c r="AM282" s="3"/>
      <c r="AN282" s="9"/>
      <c r="AO282" s="9"/>
      <c r="AP282" s="4"/>
      <c r="AQ282" s="3"/>
      <c r="AR282" s="9"/>
      <c r="AS282" s="9"/>
      <c r="AT282" s="4"/>
      <c r="AU282" s="3"/>
      <c r="AV282" s="9"/>
      <c r="AW282" s="9"/>
      <c r="AX282" s="4"/>
      <c r="AY282" s="3"/>
      <c r="AZ282" s="9"/>
      <c r="BA282" s="9"/>
      <c r="BB282" s="4"/>
      <c r="BC282" s="3"/>
      <c r="BD282" s="9"/>
      <c r="BE282" s="9"/>
      <c r="BF282" s="122"/>
    </row>
    <row r="283" spans="1:58">
      <c r="A283" s="3" t="s">
        <v>127</v>
      </c>
      <c r="B283" s="4" t="s">
        <v>128</v>
      </c>
      <c r="C283" s="157">
        <v>85.072838962864907</v>
      </c>
      <c r="D283" s="30" t="s">
        <v>2855</v>
      </c>
      <c r="E283" s="30" t="s">
        <v>2855</v>
      </c>
      <c r="F283" s="30" t="s">
        <v>2743</v>
      </c>
      <c r="G283" s="157">
        <v>17.298462326776299</v>
      </c>
      <c r="H283" s="30" t="s">
        <v>2855</v>
      </c>
      <c r="I283" s="30" t="s">
        <v>2855</v>
      </c>
      <c r="J283" s="30" t="s">
        <v>2743</v>
      </c>
      <c r="K283" s="157">
        <v>-1.5831584223381956</v>
      </c>
      <c r="L283" s="113">
        <v>-1.5831584223381956</v>
      </c>
      <c r="M283" s="30">
        <v>5.1564998328423037</v>
      </c>
      <c r="N283" s="355" t="s">
        <v>1498</v>
      </c>
      <c r="O283" s="157">
        <v>-84.264997385203102</v>
      </c>
      <c r="P283" s="30" t="s">
        <v>2855</v>
      </c>
      <c r="Q283" s="30" t="s">
        <v>2855</v>
      </c>
      <c r="R283" s="30" t="s">
        <v>2743</v>
      </c>
      <c r="S283" s="157">
        <v>65.380502203186495</v>
      </c>
      <c r="T283" s="30" t="s">
        <v>2855</v>
      </c>
      <c r="U283" s="30" t="s">
        <v>2855</v>
      </c>
      <c r="V283" s="30" t="s">
        <v>2743</v>
      </c>
      <c r="W283" s="157">
        <v>-18.886632228454001</v>
      </c>
      <c r="X283" s="30" t="s">
        <v>2855</v>
      </c>
      <c r="Y283" s="30" t="s">
        <v>2855</v>
      </c>
      <c r="Z283" s="300" t="s">
        <v>2743</v>
      </c>
      <c r="AA283" s="157">
        <v>9.5809186891679907</v>
      </c>
      <c r="AB283" s="30">
        <v>9.5900401283700294</v>
      </c>
      <c r="AC283" s="30">
        <v>0.169323691459382</v>
      </c>
      <c r="AD283" s="30" t="s">
        <v>2743</v>
      </c>
      <c r="AE283" s="157">
        <v>7.3366435087086099</v>
      </c>
      <c r="AF283" s="30">
        <v>7.3415921349844897</v>
      </c>
      <c r="AG283" s="30">
        <v>0.18828605723535799</v>
      </c>
      <c r="AH283" s="30" t="s">
        <v>2743</v>
      </c>
      <c r="AI283" s="157">
        <v>-2.3005795931069102</v>
      </c>
      <c r="AJ283" s="30">
        <v>-2.3051068368079801</v>
      </c>
      <c r="AK283" s="30">
        <v>0.211094979781872</v>
      </c>
      <c r="AL283" s="30" t="s">
        <v>2743</v>
      </c>
      <c r="AM283" s="157">
        <v>-3.1630404307093074</v>
      </c>
      <c r="AN283" s="30">
        <v>-3.1464443638259363</v>
      </c>
      <c r="AO283" s="30">
        <v>0.22860117861465501</v>
      </c>
      <c r="AP283" s="30" t="s">
        <v>2743</v>
      </c>
      <c r="AQ283" s="157">
        <v>-4.2872849139899802</v>
      </c>
      <c r="AR283" s="30">
        <v>-4.2654307562015603</v>
      </c>
      <c r="AS283" s="30">
        <v>0.29106255218890298</v>
      </c>
      <c r="AT283" s="30" t="s">
        <v>2743</v>
      </c>
      <c r="AU283" s="157">
        <v>3.0351424388069099</v>
      </c>
      <c r="AV283" s="30">
        <v>3.0630609482315299</v>
      </c>
      <c r="AW283" s="30">
        <v>0.28434225777224997</v>
      </c>
      <c r="AX283" s="30" t="s">
        <v>2743</v>
      </c>
      <c r="AY283" s="157" t="s">
        <v>2855</v>
      </c>
      <c r="AZ283" s="30" t="s">
        <v>2855</v>
      </c>
      <c r="BA283" s="30" t="s">
        <v>2855</v>
      </c>
      <c r="BB283" s="30" t="s">
        <v>558</v>
      </c>
      <c r="BC283" s="157">
        <v>136</v>
      </c>
      <c r="BD283" s="30">
        <v>136</v>
      </c>
      <c r="BE283" s="30">
        <v>6.2785375376398376</v>
      </c>
      <c r="BF283" s="300" t="s">
        <v>558</v>
      </c>
    </row>
    <row r="284" spans="1:58">
      <c r="A284" s="3"/>
      <c r="B284" s="171">
        <v>360.86399999999998</v>
      </c>
      <c r="C284" s="157">
        <v>1.96527101000579</v>
      </c>
      <c r="D284" s="30">
        <v>85.072838962864907</v>
      </c>
      <c r="E284" s="30">
        <v>1.96527101000579</v>
      </c>
      <c r="F284" s="8" t="s">
        <v>2742</v>
      </c>
      <c r="G284" s="157">
        <v>6.0888557545849302</v>
      </c>
      <c r="H284" s="30">
        <v>17.298462326776299</v>
      </c>
      <c r="I284" s="30">
        <v>6.0888557545849302</v>
      </c>
      <c r="J284" s="8" t="s">
        <v>2742</v>
      </c>
      <c r="K284" s="158">
        <v>5.1564998328423037</v>
      </c>
      <c r="L284" s="113">
        <v>-1.588169901677702</v>
      </c>
      <c r="M284" s="113">
        <v>8.9210530147556355</v>
      </c>
      <c r="N284" s="13" t="s">
        <v>1499</v>
      </c>
      <c r="O284" s="157">
        <v>4.7673053587255696</v>
      </c>
      <c r="P284" s="30">
        <v>-84.264997385203102</v>
      </c>
      <c r="Q284" s="30">
        <v>4.7673053587255696</v>
      </c>
      <c r="R284" s="8" t="s">
        <v>2742</v>
      </c>
      <c r="S284" s="157">
        <v>6.0850278101046502</v>
      </c>
      <c r="T284" s="30">
        <v>65.380502203186495</v>
      </c>
      <c r="U284" s="30">
        <v>6.0850278101046502</v>
      </c>
      <c r="V284" s="8" t="s">
        <v>2742</v>
      </c>
      <c r="W284" s="157">
        <v>6.5200477369370997</v>
      </c>
      <c r="X284" s="30">
        <v>-18.886632228454001</v>
      </c>
      <c r="Y284" s="30">
        <v>6.5200477369370997</v>
      </c>
      <c r="Z284" s="498" t="s">
        <v>2742</v>
      </c>
      <c r="AA284" s="157">
        <v>0.166015197085951</v>
      </c>
      <c r="AB284" s="30">
        <v>9.5809186891679907</v>
      </c>
      <c r="AC284" s="30">
        <v>0.166015197085951</v>
      </c>
      <c r="AD284" s="8" t="s">
        <v>2742</v>
      </c>
      <c r="AE284" s="157">
        <v>0.187440545804479</v>
      </c>
      <c r="AF284" s="30">
        <v>7.3366435087086099</v>
      </c>
      <c r="AG284" s="30">
        <v>0.187440545804479</v>
      </c>
      <c r="AH284" s="8" t="s">
        <v>2742</v>
      </c>
      <c r="AI284" s="157">
        <v>0.210511776383764</v>
      </c>
      <c r="AJ284" s="30">
        <v>-2.3005795931069102</v>
      </c>
      <c r="AK284" s="30">
        <v>0.210511776383764</v>
      </c>
      <c r="AL284" s="8" t="s">
        <v>2742</v>
      </c>
      <c r="AM284" s="157">
        <v>0.219979452441523</v>
      </c>
      <c r="AN284" s="30">
        <v>-3.1630404307093074</v>
      </c>
      <c r="AO284" s="30">
        <v>0.219979452441523</v>
      </c>
      <c r="AP284" s="8" t="s">
        <v>2742</v>
      </c>
      <c r="AQ284" s="157">
        <v>0.28067715307793301</v>
      </c>
      <c r="AR284" s="30">
        <v>-4.2872849139899802</v>
      </c>
      <c r="AS284" s="30">
        <v>0.28067715307793301</v>
      </c>
      <c r="AT284" s="8" t="s">
        <v>2742</v>
      </c>
      <c r="AU284" s="157">
        <v>0.26663864815996402</v>
      </c>
      <c r="AV284" s="30">
        <v>3.0351424388069099</v>
      </c>
      <c r="AW284" s="30">
        <v>0.26663864815996402</v>
      </c>
      <c r="AX284" s="8" t="s">
        <v>2742</v>
      </c>
      <c r="AY284" s="157" t="s">
        <v>2855</v>
      </c>
      <c r="AZ284" s="30"/>
      <c r="BA284" s="30"/>
      <c r="BB284" s="101"/>
      <c r="BC284" s="157">
        <v>6.2785375376398376</v>
      </c>
      <c r="BD284" s="30"/>
      <c r="BE284" s="30"/>
      <c r="BF284" s="277"/>
    </row>
    <row r="285" spans="1:58">
      <c r="A285" s="3"/>
      <c r="B285" s="171"/>
      <c r="C285" s="3"/>
      <c r="D285" s="206">
        <v>85.341688061999989</v>
      </c>
      <c r="E285" s="206">
        <v>1.7560120975171565</v>
      </c>
      <c r="F285" s="206" t="s">
        <v>558</v>
      </c>
      <c r="G285" s="3"/>
      <c r="H285" s="206" t="s">
        <v>2855</v>
      </c>
      <c r="I285" s="206" t="s">
        <v>2855</v>
      </c>
      <c r="J285" s="206" t="s">
        <v>558</v>
      </c>
      <c r="K285" s="353"/>
      <c r="L285" s="344">
        <v>3.375780711535981</v>
      </c>
      <c r="M285" s="344">
        <v>4.8543741208752484</v>
      </c>
      <c r="N285" s="206" t="s">
        <v>1124</v>
      </c>
      <c r="O285" s="3"/>
      <c r="P285" s="206">
        <v>-83</v>
      </c>
      <c r="Q285" s="206">
        <v>5.2587209537632624</v>
      </c>
      <c r="R285" s="206" t="s">
        <v>558</v>
      </c>
      <c r="S285" s="3"/>
      <c r="T285" s="206" t="s">
        <v>2855</v>
      </c>
      <c r="U285" s="206" t="s">
        <v>2855</v>
      </c>
      <c r="V285" s="206" t="s">
        <v>558</v>
      </c>
      <c r="W285" s="3"/>
      <c r="X285" s="206" t="s">
        <v>2855</v>
      </c>
      <c r="Y285" s="206" t="s">
        <v>2855</v>
      </c>
      <c r="Z285" s="350" t="s">
        <v>558</v>
      </c>
      <c r="AA285" s="4"/>
      <c r="AB285" s="206">
        <v>9.5354454649199933</v>
      </c>
      <c r="AC285" s="206">
        <v>6.0454967129327825E-2</v>
      </c>
      <c r="AD285" s="206" t="s">
        <v>558</v>
      </c>
      <c r="AE285" s="3"/>
      <c r="AF285" s="206">
        <v>7.4177499999999998</v>
      </c>
      <c r="AG285" s="206">
        <v>0.16263455967290624</v>
      </c>
      <c r="AH285" s="206" t="s">
        <v>558</v>
      </c>
      <c r="AI285" s="3"/>
      <c r="AJ285" s="206">
        <v>-2.5888519995337749</v>
      </c>
      <c r="AK285" s="206">
        <v>0.29502137502894887</v>
      </c>
      <c r="AL285" s="206" t="s">
        <v>558</v>
      </c>
      <c r="AM285" s="3"/>
      <c r="AN285" s="206">
        <v>-3.0450153498164276</v>
      </c>
      <c r="AO285" s="206">
        <v>0.24220774330514885</v>
      </c>
      <c r="AP285" s="206" t="s">
        <v>558</v>
      </c>
      <c r="AQ285" s="3"/>
      <c r="AR285" s="206">
        <v>-3.0450153498164276</v>
      </c>
      <c r="AS285" s="206">
        <v>0.24220774330514885</v>
      </c>
      <c r="AT285" s="206" t="s">
        <v>558</v>
      </c>
      <c r="AU285" s="3"/>
      <c r="AV285" s="206" t="s">
        <v>2855</v>
      </c>
      <c r="AW285" s="206" t="s">
        <v>2855</v>
      </c>
      <c r="AX285" s="206" t="s">
        <v>558</v>
      </c>
      <c r="AY285" s="3"/>
      <c r="AZ285" s="52"/>
      <c r="BA285" s="52"/>
      <c r="BB285" s="52"/>
      <c r="BC285" s="3"/>
      <c r="BF285" s="42"/>
    </row>
    <row r="286" spans="1:58">
      <c r="A286" s="3"/>
      <c r="B286" s="171"/>
      <c r="C286" s="3"/>
      <c r="D286" s="176">
        <v>88.922766429999996</v>
      </c>
      <c r="E286" s="176">
        <v>5.9897486239583699</v>
      </c>
      <c r="F286" s="206" t="s">
        <v>1124</v>
      </c>
      <c r="G286" s="3"/>
      <c r="H286" s="176">
        <v>12.778028014968001</v>
      </c>
      <c r="I286" s="176">
        <v>7.8183131091262608</v>
      </c>
      <c r="J286" s="206" t="s">
        <v>1124</v>
      </c>
      <c r="K286" s="353"/>
      <c r="L286" s="206"/>
      <c r="M286" s="206"/>
      <c r="N286" s="206"/>
      <c r="O286" s="3"/>
      <c r="P286" s="178">
        <v>-85.546985718464015</v>
      </c>
      <c r="Q286" s="178">
        <v>7.8047081480526268</v>
      </c>
      <c r="R286" s="206" t="s">
        <v>1124</v>
      </c>
      <c r="S286" s="3"/>
      <c r="T286" s="178">
        <v>58.2108378</v>
      </c>
      <c r="U286" s="178">
        <v>17.399859737635801</v>
      </c>
      <c r="V286" s="206" t="s">
        <v>1124</v>
      </c>
      <c r="W286" s="3"/>
      <c r="X286" s="178">
        <v>-23.136451999999995</v>
      </c>
      <c r="Y286" s="178">
        <v>9.4908768028895718</v>
      </c>
      <c r="Z286" s="350" t="s">
        <v>1124</v>
      </c>
      <c r="AA286" s="4"/>
      <c r="AB286" s="178">
        <v>9.3682502183595577</v>
      </c>
      <c r="AC286" s="178">
        <v>0.25892906778523983</v>
      </c>
      <c r="AD286" s="206" t="s">
        <v>1124</v>
      </c>
      <c r="AE286" s="3"/>
      <c r="AF286" s="178">
        <v>7.2935400000000001</v>
      </c>
      <c r="AG286" s="178">
        <v>0.51585020358</v>
      </c>
      <c r="AH286" s="206" t="s">
        <v>1124</v>
      </c>
      <c r="AI286" s="3"/>
      <c r="AJ286" s="178">
        <v>-2.7410652999999998</v>
      </c>
      <c r="AK286" s="178">
        <v>0.60968144935250002</v>
      </c>
      <c r="AL286" s="206" t="s">
        <v>1124</v>
      </c>
      <c r="AM286" s="3"/>
      <c r="AN286" s="178">
        <v>-3.5844181745737766</v>
      </c>
      <c r="AO286" s="178">
        <v>0.55685370109273447</v>
      </c>
      <c r="AP286" s="206" t="s">
        <v>1124</v>
      </c>
      <c r="AQ286" s="3"/>
      <c r="AR286" s="178">
        <v>-3.5844181745737766</v>
      </c>
      <c r="AS286" s="178">
        <v>0.55685370109273447</v>
      </c>
      <c r="AT286" s="206" t="s">
        <v>1124</v>
      </c>
      <c r="AU286" s="3"/>
      <c r="AV286" s="178">
        <v>2.8283425999999992</v>
      </c>
      <c r="AW286" s="178">
        <v>0.51116918644059983</v>
      </c>
      <c r="AX286" s="206" t="s">
        <v>1124</v>
      </c>
      <c r="AY286" s="3"/>
      <c r="AZ286" s="178"/>
      <c r="BA286" s="178"/>
      <c r="BB286" s="206"/>
      <c r="BC286" s="3"/>
      <c r="BD286" s="178"/>
      <c r="BE286" s="178"/>
      <c r="BF286" s="350"/>
    </row>
    <row r="287" spans="1:58">
      <c r="A287" s="3"/>
      <c r="B287" s="4" t="s">
        <v>20</v>
      </c>
      <c r="C287" s="87"/>
      <c r="D287" s="4"/>
      <c r="E287" s="4"/>
      <c r="F287" s="4"/>
      <c r="G287" s="3"/>
      <c r="H287" s="4"/>
      <c r="I287" s="4"/>
      <c r="J287" s="4"/>
      <c r="K287" s="3"/>
      <c r="L287" s="4"/>
      <c r="M287" s="4"/>
      <c r="N287" s="4"/>
      <c r="O287" s="3"/>
      <c r="P287" s="4"/>
      <c r="Q287" s="4"/>
      <c r="R287" s="4"/>
      <c r="S287" s="3"/>
      <c r="T287" s="4"/>
      <c r="U287" s="4"/>
      <c r="V287" s="4"/>
      <c r="W287" s="3"/>
      <c r="X287" s="4"/>
      <c r="Y287" s="4"/>
      <c r="Z287" s="122"/>
      <c r="AA287" s="4"/>
      <c r="AB287" s="9"/>
      <c r="AC287" s="9"/>
      <c r="AD287" s="4"/>
      <c r="AE287" s="3"/>
      <c r="AF287" s="9"/>
      <c r="AG287" s="9"/>
      <c r="AH287" s="4"/>
      <c r="AI287" s="3"/>
      <c r="AJ287" s="9"/>
      <c r="AK287" s="9"/>
      <c r="AL287" s="4"/>
      <c r="AM287" s="3"/>
      <c r="AN287" s="9"/>
      <c r="AO287" s="9"/>
      <c r="AP287" s="4"/>
      <c r="AQ287" s="3"/>
      <c r="AR287" s="9"/>
      <c r="AS287" s="9"/>
      <c r="AT287" s="4"/>
      <c r="AU287" s="3"/>
      <c r="AV287" s="9"/>
      <c r="AW287" s="9"/>
      <c r="AX287" s="4"/>
      <c r="AY287" s="3"/>
      <c r="AZ287" s="9"/>
      <c r="BA287" s="9"/>
      <c r="BB287" s="4"/>
      <c r="BC287" s="3"/>
      <c r="BD287" s="9"/>
      <c r="BE287" s="9"/>
      <c r="BF287" s="122"/>
    </row>
    <row r="288" spans="1:58">
      <c r="A288" s="3" t="s">
        <v>129</v>
      </c>
      <c r="B288" s="22" t="s">
        <v>130</v>
      </c>
      <c r="C288" s="157">
        <v>86.7703987562832</v>
      </c>
      <c r="D288" s="30" t="s">
        <v>2855</v>
      </c>
      <c r="E288" s="30" t="s">
        <v>2855</v>
      </c>
      <c r="F288" s="30" t="s">
        <v>2743</v>
      </c>
      <c r="G288" s="157">
        <v>30.0964691322554</v>
      </c>
      <c r="H288" s="30" t="s">
        <v>2855</v>
      </c>
      <c r="I288" s="30" t="s">
        <v>2855</v>
      </c>
      <c r="J288" s="30" t="s">
        <v>2743</v>
      </c>
      <c r="K288" s="157">
        <v>8.4688815248218017</v>
      </c>
      <c r="L288" s="113">
        <v>8.4688815248218017</v>
      </c>
      <c r="M288" s="30">
        <v>6.7683748456978723</v>
      </c>
      <c r="N288" s="355" t="s">
        <v>1498</v>
      </c>
      <c r="O288" s="157">
        <v>-75.910517231461398</v>
      </c>
      <c r="P288" s="30" t="s">
        <v>2855</v>
      </c>
      <c r="Q288" s="30" t="s">
        <v>2855</v>
      </c>
      <c r="R288" s="30" t="s">
        <v>2743</v>
      </c>
      <c r="S288" s="157">
        <v>54.285758124111098</v>
      </c>
      <c r="T288" s="30" t="s">
        <v>2855</v>
      </c>
      <c r="U288" s="30" t="s">
        <v>2855</v>
      </c>
      <c r="V288" s="30" t="s">
        <v>2743</v>
      </c>
      <c r="W288" s="157">
        <v>-21.622507041588399</v>
      </c>
      <c r="X288" s="30" t="s">
        <v>2855</v>
      </c>
      <c r="Y288" s="30" t="s">
        <v>2855</v>
      </c>
      <c r="Z288" s="300" t="s">
        <v>2743</v>
      </c>
      <c r="AA288" s="157">
        <v>8.3632439840253792</v>
      </c>
      <c r="AB288" s="30">
        <v>8.37749051832186</v>
      </c>
      <c r="AC288" s="30">
        <v>0.10542011275693999</v>
      </c>
      <c r="AD288" s="30" t="s">
        <v>2743</v>
      </c>
      <c r="AE288" s="157">
        <v>6.6002415500002902</v>
      </c>
      <c r="AF288" s="30">
        <v>6.4881435041127702</v>
      </c>
      <c r="AG288" s="30">
        <v>0.21994196216765799</v>
      </c>
      <c r="AH288" s="30" t="s">
        <v>2743</v>
      </c>
      <c r="AI288" s="157">
        <v>-1.7612915907056199</v>
      </c>
      <c r="AJ288" s="30">
        <v>-1.92500246383926</v>
      </c>
      <c r="AK288" s="30">
        <v>0.17198356463258099</v>
      </c>
      <c r="AL288" s="30" t="s">
        <v>2743</v>
      </c>
      <c r="AM288" s="157">
        <v>-1.8593996671483171</v>
      </c>
      <c r="AN288" s="30">
        <v>-1.8617002869054169</v>
      </c>
      <c r="AO288" s="30">
        <v>7.0610700722547201E-2</v>
      </c>
      <c r="AP288" s="30" t="s">
        <v>2743</v>
      </c>
      <c r="AQ288" s="157">
        <v>-3.5099981552036001</v>
      </c>
      <c r="AR288" s="30">
        <v>-3.3678447920846302</v>
      </c>
      <c r="AS288" s="30">
        <v>0.18147117400831</v>
      </c>
      <c r="AT288" s="30" t="s">
        <v>2743</v>
      </c>
      <c r="AU288" s="157">
        <v>3.0967912423679902</v>
      </c>
      <c r="AV288" s="30">
        <v>3.1208918272366799</v>
      </c>
      <c r="AW288" s="30">
        <v>0.15467859676045201</v>
      </c>
      <c r="AX288" s="30" t="s">
        <v>2743</v>
      </c>
      <c r="AY288" s="157">
        <v>60</v>
      </c>
      <c r="AZ288" s="30">
        <v>60</v>
      </c>
      <c r="BA288" s="30">
        <v>4.7291775609904514</v>
      </c>
      <c r="BB288" s="30" t="s">
        <v>558</v>
      </c>
      <c r="BC288" s="157">
        <v>42.916666666666664</v>
      </c>
      <c r="BD288" s="30">
        <v>42.916666666666664</v>
      </c>
      <c r="BE288" s="30">
        <v>2.4537386440559095</v>
      </c>
      <c r="BF288" s="300" t="s">
        <v>558</v>
      </c>
    </row>
    <row r="289" spans="1:58">
      <c r="A289" s="3"/>
      <c r="B289" s="171">
        <v>360.86399999999998</v>
      </c>
      <c r="C289" s="157">
        <v>5.1175602104848297</v>
      </c>
      <c r="D289" s="30">
        <v>86.7703987562832</v>
      </c>
      <c r="E289" s="30">
        <v>5.1175602104848297</v>
      </c>
      <c r="F289" s="8" t="s">
        <v>2742</v>
      </c>
      <c r="G289" s="157">
        <v>5.3382513075904097</v>
      </c>
      <c r="H289" s="30">
        <v>30.0964691322554</v>
      </c>
      <c r="I289" s="30">
        <v>5.3382513075904097</v>
      </c>
      <c r="J289" s="8" t="s">
        <v>2742</v>
      </c>
      <c r="K289" s="158">
        <v>6.7683748456978723</v>
      </c>
      <c r="L289" s="113">
        <v>8.4739620906670012</v>
      </c>
      <c r="M289" s="113">
        <v>7.9657522391662248</v>
      </c>
      <c r="N289" s="13" t="s">
        <v>1499</v>
      </c>
      <c r="O289" s="157">
        <v>4.4296134756813901</v>
      </c>
      <c r="P289" s="30">
        <v>-75.910517231461398</v>
      </c>
      <c r="Q289" s="30">
        <v>4.4296134756813901</v>
      </c>
      <c r="R289" s="8" t="s">
        <v>2742</v>
      </c>
      <c r="S289" s="157">
        <v>5.8739881872610002</v>
      </c>
      <c r="T289" s="30">
        <v>54.285758124111098</v>
      </c>
      <c r="U289" s="30">
        <v>5.8739881872610002</v>
      </c>
      <c r="V289" s="8" t="s">
        <v>2742</v>
      </c>
      <c r="W289" s="157">
        <v>5.9123837589242303</v>
      </c>
      <c r="X289" s="30">
        <v>-21.622507041588399</v>
      </c>
      <c r="Y289" s="30">
        <v>5.9123837589242303</v>
      </c>
      <c r="Z289" s="498" t="s">
        <v>2742</v>
      </c>
      <c r="AA289" s="157">
        <v>0.102958490758915</v>
      </c>
      <c r="AB289" s="30">
        <v>8.3632439840253792</v>
      </c>
      <c r="AC289" s="30">
        <v>0.102958490758915</v>
      </c>
      <c r="AD289" s="8" t="s">
        <v>2742</v>
      </c>
      <c r="AE289" s="157">
        <v>0.246988759644899</v>
      </c>
      <c r="AF289" s="30">
        <v>6.6002415500002902</v>
      </c>
      <c r="AG289" s="30">
        <v>0.246988759644899</v>
      </c>
      <c r="AH289" s="8" t="s">
        <v>2742</v>
      </c>
      <c r="AI289" s="157">
        <v>0.23303446857850199</v>
      </c>
      <c r="AJ289" s="30">
        <v>-1.7612915907056199</v>
      </c>
      <c r="AK289" s="30">
        <v>0.23303446857850199</v>
      </c>
      <c r="AL289" s="8" t="s">
        <v>2742</v>
      </c>
      <c r="AM289" s="157">
        <v>7.1369848731009905E-2</v>
      </c>
      <c r="AN289" s="30">
        <v>-1.8593996671483171</v>
      </c>
      <c r="AO289" s="30">
        <v>7.1369848731009905E-2</v>
      </c>
      <c r="AP289" s="8" t="s">
        <v>2742</v>
      </c>
      <c r="AQ289" s="157">
        <v>0.22392064350653601</v>
      </c>
      <c r="AR289" s="30">
        <v>-3.5099981552036001</v>
      </c>
      <c r="AS289" s="30">
        <v>0.22392064350653601</v>
      </c>
      <c r="AT289" s="8" t="s">
        <v>2742</v>
      </c>
      <c r="AU289" s="157">
        <v>0.14815491427003399</v>
      </c>
      <c r="AV289" s="30">
        <v>3.0967912423679902</v>
      </c>
      <c r="AW289" s="30">
        <v>0.14815491427003399</v>
      </c>
      <c r="AX289" s="8" t="s">
        <v>2742</v>
      </c>
      <c r="AY289" s="157">
        <v>4.7291775609904514</v>
      </c>
      <c r="AZ289" s="30"/>
      <c r="BA289" s="30"/>
      <c r="BB289" s="101"/>
      <c r="BC289" s="157">
        <v>2.4537386440559095</v>
      </c>
      <c r="BD289" s="30"/>
      <c r="BE289" s="30"/>
      <c r="BF289" s="277"/>
    </row>
    <row r="290" spans="1:58">
      <c r="A290" s="3"/>
      <c r="B290" s="4" t="s">
        <v>20</v>
      </c>
      <c r="C290" s="3"/>
      <c r="D290" s="206">
        <v>85.186631759000008</v>
      </c>
      <c r="E290" s="206">
        <v>5.9586025096942681</v>
      </c>
      <c r="F290" s="206" t="s">
        <v>558</v>
      </c>
      <c r="G290" s="3"/>
      <c r="H290" s="206">
        <v>32</v>
      </c>
      <c r="I290" s="206">
        <v>6.4</v>
      </c>
      <c r="J290" s="206" t="s">
        <v>558</v>
      </c>
      <c r="K290" s="353"/>
      <c r="L290" s="344">
        <v>2.9175220740240775</v>
      </c>
      <c r="M290" s="344">
        <v>4.1953980022537394</v>
      </c>
      <c r="N290" s="206" t="s">
        <v>1124</v>
      </c>
      <c r="O290" s="3"/>
      <c r="P290" s="206">
        <v>-77</v>
      </c>
      <c r="Q290" s="206">
        <v>4.8785724510815802</v>
      </c>
      <c r="R290" s="206" t="s">
        <v>558</v>
      </c>
      <c r="S290" s="3"/>
      <c r="T290" s="206" t="s">
        <v>2855</v>
      </c>
      <c r="U290" s="206" t="s">
        <v>2855</v>
      </c>
      <c r="V290" s="206" t="s">
        <v>558</v>
      </c>
      <c r="W290" s="3"/>
      <c r="X290" s="206" t="s">
        <v>2855</v>
      </c>
      <c r="Y290" s="206" t="s">
        <v>2855</v>
      </c>
      <c r="Z290" s="350" t="s">
        <v>558</v>
      </c>
      <c r="AA290" s="4"/>
      <c r="AB290" s="206">
        <v>8.3783125260505589</v>
      </c>
      <c r="AC290" s="206">
        <v>6.3856714674023748E-2</v>
      </c>
      <c r="AD290" s="206" t="s">
        <v>558</v>
      </c>
      <c r="AE290" s="3"/>
      <c r="AF290" s="206">
        <v>6.4806249999999999</v>
      </c>
      <c r="AG290" s="206">
        <v>0.30598542993635075</v>
      </c>
      <c r="AH290" s="206" t="s">
        <v>558</v>
      </c>
      <c r="AI290" s="3"/>
      <c r="AJ290" s="206">
        <v>-2.1097746204853944</v>
      </c>
      <c r="AK290" s="206">
        <v>0.42195492409707891</v>
      </c>
      <c r="AL290" s="206" t="s">
        <v>558</v>
      </c>
      <c r="AM290" s="3"/>
      <c r="AN290" s="206">
        <v>-1.8415366630123795</v>
      </c>
      <c r="AO290" s="206">
        <v>3.7003294481798843E-2</v>
      </c>
      <c r="AP290" s="206" t="s">
        <v>558</v>
      </c>
      <c r="AQ290" s="3"/>
      <c r="AR290" s="206">
        <v>-1.8415366630123795</v>
      </c>
      <c r="AS290" s="206">
        <v>3.7003294481798843E-2</v>
      </c>
      <c r="AT290" s="206" t="s">
        <v>558</v>
      </c>
      <c r="AU290" s="3"/>
      <c r="AV290" s="206" t="s">
        <v>2855</v>
      </c>
      <c r="AW290" s="206" t="s">
        <v>2855</v>
      </c>
      <c r="AX290" s="206" t="s">
        <v>558</v>
      </c>
      <c r="AY290" s="3"/>
      <c r="AZ290" s="52"/>
      <c r="BA290" s="52"/>
      <c r="BB290" s="52"/>
      <c r="BC290" s="3"/>
      <c r="BF290" s="42"/>
    </row>
    <row r="291" spans="1:58">
      <c r="A291" s="3"/>
      <c r="B291" s="4"/>
      <c r="C291" s="3"/>
      <c r="D291" s="176">
        <v>79.362671442640007</v>
      </c>
      <c r="E291" s="176">
        <v>5.3457901857047885</v>
      </c>
      <c r="F291" s="206" t="s">
        <v>1124</v>
      </c>
      <c r="G291" s="3"/>
      <c r="H291" s="176">
        <v>15.196514421784059</v>
      </c>
      <c r="I291" s="176">
        <v>9.2980785280551057</v>
      </c>
      <c r="J291" s="206" t="s">
        <v>1124</v>
      </c>
      <c r="K291" s="353"/>
      <c r="L291" s="206"/>
      <c r="M291" s="206"/>
      <c r="N291" s="206"/>
      <c r="O291" s="3"/>
      <c r="P291" s="178">
        <v>-76.44514936861593</v>
      </c>
      <c r="Q291" s="178">
        <v>6.9743203123469364</v>
      </c>
      <c r="R291" s="206" t="s">
        <v>1124</v>
      </c>
      <c r="S291" s="3"/>
      <c r="T291" s="178">
        <v>54.406700399999998</v>
      </c>
      <c r="U291" s="178">
        <v>16.262761223264398</v>
      </c>
      <c r="V291" s="206" t="s">
        <v>1124</v>
      </c>
      <c r="W291" s="3"/>
      <c r="X291" s="178">
        <v>-18.97117600000001</v>
      </c>
      <c r="Y291" s="178">
        <v>7.7822258236455406</v>
      </c>
      <c r="Z291" s="350" t="s">
        <v>1124</v>
      </c>
      <c r="AA291" s="4"/>
      <c r="AB291" s="178">
        <v>8.2707328628674404</v>
      </c>
      <c r="AC291" s="178">
        <v>0.22859478559679319</v>
      </c>
      <c r="AD291" s="206" t="s">
        <v>1124</v>
      </c>
      <c r="AE291" s="3"/>
      <c r="AF291" s="178">
        <v>6.2374499999999999</v>
      </c>
      <c r="AG291" s="178">
        <v>0.44115612614999999</v>
      </c>
      <c r="AH291" s="206" t="s">
        <v>1124</v>
      </c>
      <c r="AI291" s="3"/>
      <c r="AJ291" s="178">
        <v>-2.2874867699999997</v>
      </c>
      <c r="AK291" s="178">
        <v>0.50879424481725</v>
      </c>
      <c r="AL291" s="206" t="s">
        <v>1124</v>
      </c>
      <c r="AM291" s="3"/>
      <c r="AN291" s="178">
        <v>-2.3166644296424117</v>
      </c>
      <c r="AO291" s="178">
        <v>0.35990308580266722</v>
      </c>
      <c r="AP291" s="206" t="s">
        <v>1124</v>
      </c>
      <c r="AQ291" s="3"/>
      <c r="AR291" s="178">
        <v>-2.3166644296424117</v>
      </c>
      <c r="AS291" s="178">
        <v>0.35990308580266722</v>
      </c>
      <c r="AT291" s="206" t="s">
        <v>1124</v>
      </c>
      <c r="AU291" s="3"/>
      <c r="AV291" s="178">
        <v>2.8884657999999988</v>
      </c>
      <c r="AW291" s="178">
        <v>0.52203531249979973</v>
      </c>
      <c r="AX291" s="206" t="s">
        <v>1124</v>
      </c>
      <c r="AY291" s="3"/>
      <c r="AZ291" s="178"/>
      <c r="BA291" s="178"/>
      <c r="BB291" s="206"/>
      <c r="BC291" s="3"/>
      <c r="BD291" s="178"/>
      <c r="BE291" s="178"/>
      <c r="BF291" s="350"/>
    </row>
    <row r="292" spans="1:58">
      <c r="A292" s="3"/>
      <c r="B292" s="4"/>
      <c r="C292" s="87"/>
      <c r="D292" s="4"/>
      <c r="E292" s="4"/>
      <c r="F292" s="4"/>
      <c r="G292" s="3"/>
      <c r="H292" s="4"/>
      <c r="I292" s="4"/>
      <c r="J292" s="4"/>
      <c r="K292" s="3"/>
      <c r="L292" s="4"/>
      <c r="M292" s="4"/>
      <c r="N292" s="4"/>
      <c r="O292" s="115"/>
      <c r="P292" s="4"/>
      <c r="Q292" s="4"/>
      <c r="R292" s="4"/>
      <c r="S292" s="3"/>
      <c r="T292" s="4"/>
      <c r="U292" s="4"/>
      <c r="V292" s="4"/>
      <c r="W292" s="3"/>
      <c r="X292" s="4"/>
      <c r="Y292" s="4"/>
      <c r="Z292" s="122"/>
      <c r="AA292" s="4"/>
      <c r="AB292" s="9"/>
      <c r="AC292" s="9"/>
      <c r="AD292" s="4"/>
      <c r="AE292" s="3"/>
      <c r="AF292" s="9"/>
      <c r="AG292" s="9"/>
      <c r="AH292" s="4"/>
      <c r="AI292" s="3"/>
      <c r="AJ292" s="9"/>
      <c r="AK292" s="9"/>
      <c r="AL292" s="4"/>
      <c r="AM292" s="3"/>
      <c r="AN292" s="9"/>
      <c r="AO292" s="9"/>
      <c r="AP292" s="4"/>
      <c r="AQ292" s="3"/>
      <c r="AR292" s="9"/>
      <c r="AS292" s="9"/>
      <c r="AT292" s="4"/>
      <c r="AU292" s="3"/>
      <c r="AV292" s="9"/>
      <c r="AW292" s="9"/>
      <c r="AX292" s="4"/>
      <c r="AY292" s="3"/>
      <c r="AZ292" s="9"/>
      <c r="BA292" s="9"/>
      <c r="BB292" s="4"/>
      <c r="BC292" s="3"/>
      <c r="BD292" s="9"/>
      <c r="BE292" s="9"/>
      <c r="BF292" s="122"/>
    </row>
    <row r="293" spans="1:58">
      <c r="A293" s="3" t="s">
        <v>131</v>
      </c>
      <c r="B293" s="4" t="s">
        <v>132</v>
      </c>
      <c r="C293" s="157">
        <v>90.450908865043104</v>
      </c>
      <c r="D293" s="30" t="s">
        <v>2855</v>
      </c>
      <c r="E293" s="30" t="s">
        <v>2855</v>
      </c>
      <c r="F293" s="30" t="s">
        <v>2743</v>
      </c>
      <c r="G293" s="157">
        <v>22.9848908959715</v>
      </c>
      <c r="H293" s="30" t="s">
        <v>2855</v>
      </c>
      <c r="I293" s="30" t="s">
        <v>2855</v>
      </c>
      <c r="J293" s="30" t="s">
        <v>2743</v>
      </c>
      <c r="K293" s="157">
        <v>3.6879472832748998</v>
      </c>
      <c r="L293" s="113">
        <v>3.6879472832748998</v>
      </c>
      <c r="M293" s="30">
        <v>8.3147545273819414</v>
      </c>
      <c r="N293" s="355" t="s">
        <v>1498</v>
      </c>
      <c r="O293" s="157">
        <v>-84.371961581768204</v>
      </c>
      <c r="P293" s="30" t="s">
        <v>2855</v>
      </c>
      <c r="Q293" s="30" t="s">
        <v>2855</v>
      </c>
      <c r="R293" s="30" t="s">
        <v>2743</v>
      </c>
      <c r="S293" s="157">
        <v>65.071831123871604</v>
      </c>
      <c r="T293" s="30" t="s">
        <v>2855</v>
      </c>
      <c r="U293" s="30" t="s">
        <v>2855</v>
      </c>
      <c r="V293" s="30" t="s">
        <v>2743</v>
      </c>
      <c r="W293" s="157">
        <v>-19.302492695466</v>
      </c>
      <c r="X293" s="30" t="s">
        <v>2855</v>
      </c>
      <c r="Y293" s="30" t="s">
        <v>2855</v>
      </c>
      <c r="Z293" s="300" t="s">
        <v>2743</v>
      </c>
      <c r="AA293" s="157">
        <v>10.3230887293465</v>
      </c>
      <c r="AB293" s="30" t="s">
        <v>2855</v>
      </c>
      <c r="AC293" s="30" t="s">
        <v>2855</v>
      </c>
      <c r="AD293" s="30" t="s">
        <v>2743</v>
      </c>
      <c r="AE293" s="157">
        <v>7.8904821303027699</v>
      </c>
      <c r="AF293" s="30" t="s">
        <v>2855</v>
      </c>
      <c r="AG293" s="30" t="s">
        <v>2855</v>
      </c>
      <c r="AH293" s="30" t="s">
        <v>2743</v>
      </c>
      <c r="AI293" s="157">
        <v>-2.4725293092890999</v>
      </c>
      <c r="AJ293" s="30">
        <v>-3.0162559187556801</v>
      </c>
      <c r="AK293" s="30">
        <v>0.35916375761826003</v>
      </c>
      <c r="AL293" s="30" t="s">
        <v>2743</v>
      </c>
      <c r="AM293" s="157">
        <v>-3.8263702596999165</v>
      </c>
      <c r="AN293" s="30">
        <v>-4.0136471223565868</v>
      </c>
      <c r="AO293" s="30">
        <v>0.44728918575521198</v>
      </c>
      <c r="AP293" s="30" t="s">
        <v>2743</v>
      </c>
      <c r="AQ293" s="157">
        <v>-4.7649526787497596</v>
      </c>
      <c r="AR293" s="30">
        <v>-4.4005304785058099</v>
      </c>
      <c r="AS293" s="30">
        <v>0.45636645371912699</v>
      </c>
      <c r="AT293" s="30" t="s">
        <v>2743</v>
      </c>
      <c r="AU293" s="157">
        <v>3.1124184238922399</v>
      </c>
      <c r="AV293" s="30" t="s">
        <v>2855</v>
      </c>
      <c r="AW293" s="30" t="s">
        <v>2855</v>
      </c>
      <c r="AX293" s="30" t="s">
        <v>2743</v>
      </c>
      <c r="AY293" s="157" t="s">
        <v>2855</v>
      </c>
      <c r="AZ293" s="30" t="s">
        <v>2855</v>
      </c>
      <c r="BA293" s="30" t="s">
        <v>2855</v>
      </c>
      <c r="BB293" s="30" t="s">
        <v>558</v>
      </c>
      <c r="BC293" s="157">
        <v>204.5</v>
      </c>
      <c r="BD293" s="30">
        <v>204.5</v>
      </c>
      <c r="BE293" s="30">
        <v>9.4408891650540205</v>
      </c>
      <c r="BF293" s="300" t="s">
        <v>558</v>
      </c>
    </row>
    <row r="294" spans="1:58">
      <c r="A294" s="3"/>
      <c r="B294" s="171">
        <v>395.30599999999998</v>
      </c>
      <c r="C294" s="157">
        <v>6.1386938458276603</v>
      </c>
      <c r="D294" s="30">
        <v>90.450908865043104</v>
      </c>
      <c r="E294" s="30">
        <v>6.1386938458276603</v>
      </c>
      <c r="F294" s="8" t="s">
        <v>2742</v>
      </c>
      <c r="G294" s="157">
        <v>8.8078889223685799</v>
      </c>
      <c r="H294" s="30">
        <v>22.9848908959715</v>
      </c>
      <c r="I294" s="30">
        <v>8.8078889223685799</v>
      </c>
      <c r="J294" s="8" t="s">
        <v>2742</v>
      </c>
      <c r="K294" s="158">
        <v>8.3147545273819414</v>
      </c>
      <c r="L294" s="113">
        <v>3.6823982005054994</v>
      </c>
      <c r="M294" s="113">
        <v>12.344729983840283</v>
      </c>
      <c r="N294" s="13" t="s">
        <v>1499</v>
      </c>
      <c r="O294" s="157">
        <v>5.6081708887850503</v>
      </c>
      <c r="P294" s="30">
        <v>-84.371961581768204</v>
      </c>
      <c r="Q294" s="30">
        <v>5.6081708887850503</v>
      </c>
      <c r="R294" s="8" t="s">
        <v>2742</v>
      </c>
      <c r="S294" s="157">
        <v>8.4769464968771402</v>
      </c>
      <c r="T294" s="30">
        <v>65.071831123871604</v>
      </c>
      <c r="U294" s="30">
        <v>8.4769464968771402</v>
      </c>
      <c r="V294" s="8" t="s">
        <v>2742</v>
      </c>
      <c r="W294" s="157">
        <v>8.6494769266784104</v>
      </c>
      <c r="X294" s="30">
        <v>-19.302492695466</v>
      </c>
      <c r="Y294" s="30">
        <v>8.6494769266784104</v>
      </c>
      <c r="Z294" s="498" t="s">
        <v>2742</v>
      </c>
      <c r="AA294" s="157">
        <v>0.218220681401429</v>
      </c>
      <c r="AB294" s="30">
        <v>10.3230887293465</v>
      </c>
      <c r="AC294" s="30">
        <v>0.218220681401429</v>
      </c>
      <c r="AD294" s="8" t="s">
        <v>2742</v>
      </c>
      <c r="AE294" s="157">
        <v>0.46995641092282697</v>
      </c>
      <c r="AF294" s="30">
        <v>7.8904821303027699</v>
      </c>
      <c r="AG294" s="30">
        <v>0.46995641092282697</v>
      </c>
      <c r="AH294" s="8" t="s">
        <v>2742</v>
      </c>
      <c r="AI294" s="157">
        <v>0.44430710706788501</v>
      </c>
      <c r="AJ294" s="30">
        <v>-2.4725293092890999</v>
      </c>
      <c r="AK294" s="30">
        <v>0.44430710706788501</v>
      </c>
      <c r="AL294" s="8" t="s">
        <v>2742</v>
      </c>
      <c r="AM294" s="157">
        <v>0.41724072536297802</v>
      </c>
      <c r="AN294" s="30">
        <v>-3.8263702596999165</v>
      </c>
      <c r="AO294" s="30">
        <v>0.41724072536297802</v>
      </c>
      <c r="AP294" s="8" t="s">
        <v>2742</v>
      </c>
      <c r="AQ294" s="157">
        <v>0.46485529073918103</v>
      </c>
      <c r="AR294" s="30">
        <v>-4.7649526787497596</v>
      </c>
      <c r="AS294" s="30">
        <v>0.46485529073918103</v>
      </c>
      <c r="AT294" s="8" t="s">
        <v>2742</v>
      </c>
      <c r="AU294" s="157">
        <v>0.44380893671246302</v>
      </c>
      <c r="AV294" s="30">
        <v>3.1124184238922399</v>
      </c>
      <c r="AW294" s="30">
        <v>0.44380893671246302</v>
      </c>
      <c r="AX294" s="8" t="s">
        <v>2742</v>
      </c>
      <c r="AY294" s="157" t="s">
        <v>2855</v>
      </c>
      <c r="AZ294" s="30"/>
      <c r="BA294" s="30"/>
      <c r="BB294" s="101"/>
      <c r="BC294" s="157">
        <v>9.4408891650540205</v>
      </c>
      <c r="BD294" s="30"/>
      <c r="BE294" s="30"/>
      <c r="BF294" s="277"/>
    </row>
    <row r="295" spans="1:58">
      <c r="A295" s="3"/>
      <c r="B295" s="171"/>
      <c r="C295" s="3"/>
      <c r="D295" s="206">
        <v>93.6</v>
      </c>
      <c r="E295" s="206">
        <v>6.6796159686982195</v>
      </c>
      <c r="F295" s="206" t="s">
        <v>558</v>
      </c>
      <c r="G295" s="3"/>
      <c r="H295" s="206" t="s">
        <v>2855</v>
      </c>
      <c r="I295" s="206" t="s">
        <v>2855</v>
      </c>
      <c r="J295" s="206" t="s">
        <v>558</v>
      </c>
      <c r="K295" s="353"/>
      <c r="L295" s="344">
        <v>4.1899954586160675</v>
      </c>
      <c r="M295" s="344">
        <v>6.025215278760224</v>
      </c>
      <c r="N295" s="206" t="s">
        <v>1124</v>
      </c>
      <c r="O295" s="3"/>
      <c r="P295" s="206">
        <v>-82.3</v>
      </c>
      <c r="Q295" s="206">
        <v>5.2143702951170656</v>
      </c>
      <c r="R295" s="206" t="s">
        <v>558</v>
      </c>
      <c r="S295" s="3"/>
      <c r="T295" s="206" t="s">
        <v>2855</v>
      </c>
      <c r="U295" s="206" t="s">
        <v>2855</v>
      </c>
      <c r="V295" s="206" t="s">
        <v>558</v>
      </c>
      <c r="W295" s="3"/>
      <c r="X295" s="206" t="s">
        <v>2855</v>
      </c>
      <c r="Y295" s="206" t="s">
        <v>2855</v>
      </c>
      <c r="Z295" s="350" t="s">
        <v>558</v>
      </c>
      <c r="AA295" s="4"/>
      <c r="AB295" s="206">
        <v>10.270436050858564</v>
      </c>
      <c r="AC295" s="206">
        <v>0.10951371931483565</v>
      </c>
      <c r="AD295" s="206" t="s">
        <v>558</v>
      </c>
      <c r="AE295" s="3"/>
      <c r="AF295" s="206" t="s">
        <v>2855</v>
      </c>
      <c r="AG295" s="206" t="s">
        <v>2855</v>
      </c>
      <c r="AH295" s="206" t="s">
        <v>558</v>
      </c>
      <c r="AI295" s="3"/>
      <c r="AJ295" s="206">
        <v>-3.2424001857599851</v>
      </c>
      <c r="AK295" s="206">
        <v>0.64848003715199709</v>
      </c>
      <c r="AL295" s="206" t="s">
        <v>558</v>
      </c>
      <c r="AM295" s="3"/>
      <c r="AN295" s="206">
        <v>-3.5667759081346233</v>
      </c>
      <c r="AO295" s="206">
        <v>0.56592027387140831</v>
      </c>
      <c r="AP295" s="206" t="s">
        <v>558</v>
      </c>
      <c r="AQ295" s="3"/>
      <c r="AR295" s="206">
        <v>-3.5667759081346233</v>
      </c>
      <c r="AS295" s="206">
        <v>0.56592027387140831</v>
      </c>
      <c r="AT295" s="206" t="s">
        <v>558</v>
      </c>
      <c r="AU295" s="3"/>
      <c r="AV295" s="206" t="s">
        <v>2855</v>
      </c>
      <c r="AW295" s="206" t="s">
        <v>2855</v>
      </c>
      <c r="AX295" s="206" t="s">
        <v>558</v>
      </c>
      <c r="AY295" s="3"/>
      <c r="AZ295" s="52"/>
      <c r="BA295" s="52"/>
      <c r="BB295" s="52"/>
      <c r="BC295" s="3"/>
      <c r="BF295" s="42"/>
    </row>
    <row r="296" spans="1:58">
      <c r="A296" s="3"/>
      <c r="B296" s="171"/>
      <c r="C296" s="3"/>
      <c r="D296" s="176">
        <v>94.930413163520015</v>
      </c>
      <c r="E296" s="176">
        <v>6.3944177002815445</v>
      </c>
      <c r="F296" s="206" t="s">
        <v>1124</v>
      </c>
      <c r="G296" s="3"/>
      <c r="H296" s="176">
        <v>12.597595609048</v>
      </c>
      <c r="I296" s="176">
        <v>7.7079144589696726</v>
      </c>
      <c r="J296" s="206" t="s">
        <v>1124</v>
      </c>
      <c r="K296" s="353"/>
      <c r="L296" s="206"/>
      <c r="M296" s="206"/>
      <c r="N296" s="206"/>
      <c r="O296" s="3"/>
      <c r="P296" s="178">
        <v>-90.740417704903948</v>
      </c>
      <c r="Q296" s="178">
        <v>8.2785205284715015</v>
      </c>
      <c r="R296" s="206" t="s">
        <v>1124</v>
      </c>
      <c r="S296" s="3"/>
      <c r="T296" s="178">
        <v>60.488209000000005</v>
      </c>
      <c r="U296" s="178">
        <v>18.080591040399</v>
      </c>
      <c r="V296" s="206" t="s">
        <v>1124</v>
      </c>
      <c r="W296" s="3"/>
      <c r="X296" s="178">
        <v>-27.428640000000012</v>
      </c>
      <c r="Y296" s="178">
        <v>11.251588753141977</v>
      </c>
      <c r="Z296" s="350" t="s">
        <v>1124</v>
      </c>
      <c r="AA296" s="4"/>
      <c r="AB296" s="178">
        <v>9.9911135083395219</v>
      </c>
      <c r="AC296" s="178">
        <v>0.27614438625699606</v>
      </c>
      <c r="AD296" s="206" t="s">
        <v>1124</v>
      </c>
      <c r="AE296" s="3"/>
      <c r="AF296" s="178">
        <v>7.8893899999999997</v>
      </c>
      <c r="AG296" s="178">
        <v>0.55799288653000001</v>
      </c>
      <c r="AH296" s="206" t="s">
        <v>1124</v>
      </c>
      <c r="AI296" s="3"/>
      <c r="AJ296" s="178">
        <v>-2.9551184799999999</v>
      </c>
      <c r="AK296" s="178">
        <v>0.65729222791399999</v>
      </c>
      <c r="AL296" s="206" t="s">
        <v>1124</v>
      </c>
      <c r="AM296" s="3"/>
      <c r="AN296" s="178">
        <v>-4.0190299920206343</v>
      </c>
      <c r="AO296" s="178">
        <v>0.62437238538037354</v>
      </c>
      <c r="AP296" s="206" t="s">
        <v>1124</v>
      </c>
      <c r="AQ296" s="3"/>
      <c r="AR296" s="178">
        <v>-4.0190299920206343</v>
      </c>
      <c r="AS296" s="178">
        <v>0.62437238538037354</v>
      </c>
      <c r="AT296" s="206" t="s">
        <v>1124</v>
      </c>
      <c r="AU296" s="3"/>
      <c r="AV296" s="178">
        <v>2.793641</v>
      </c>
      <c r="AW296" s="178">
        <v>0.50489753157100004</v>
      </c>
      <c r="AX296" s="206" t="s">
        <v>1124</v>
      </c>
      <c r="AY296" s="3"/>
      <c r="AZ296" s="178"/>
      <c r="BA296" s="178"/>
      <c r="BB296" s="206"/>
      <c r="BC296" s="3"/>
      <c r="BD296" s="178"/>
      <c r="BE296" s="178"/>
      <c r="BF296" s="350"/>
    </row>
    <row r="297" spans="1:58">
      <c r="A297" s="3"/>
      <c r="B297" s="171"/>
      <c r="C297" s="87"/>
      <c r="D297" s="4"/>
      <c r="E297" s="4"/>
      <c r="F297" s="4"/>
      <c r="G297" s="3"/>
      <c r="H297" s="4"/>
      <c r="I297" s="4"/>
      <c r="J297" s="4"/>
      <c r="K297" s="3"/>
      <c r="L297" s="4"/>
      <c r="M297" s="4"/>
      <c r="N297" s="4"/>
      <c r="O297" s="3"/>
      <c r="P297" s="4"/>
      <c r="Q297" s="4"/>
      <c r="R297" s="4"/>
      <c r="S297" s="3"/>
      <c r="T297" s="4"/>
      <c r="U297" s="4"/>
      <c r="V297" s="4"/>
      <c r="W297" s="3"/>
      <c r="X297" s="4"/>
      <c r="Y297" s="4"/>
      <c r="Z297" s="122"/>
      <c r="AA297" s="4"/>
      <c r="AB297" s="9"/>
      <c r="AC297" s="9"/>
      <c r="AD297" s="4"/>
      <c r="AE297" s="3"/>
      <c r="AF297" s="9"/>
      <c r="AG297" s="9"/>
      <c r="AH297" s="4"/>
      <c r="AI297" s="3"/>
      <c r="AJ297" s="9"/>
      <c r="AK297" s="9"/>
      <c r="AL297" s="4"/>
      <c r="AM297" s="3"/>
      <c r="AN297" s="9"/>
      <c r="AO297" s="9"/>
      <c r="AP297" s="4"/>
      <c r="AQ297" s="3"/>
      <c r="AR297" s="9"/>
      <c r="AS297" s="9"/>
      <c r="AT297" s="4"/>
      <c r="AU297" s="3"/>
      <c r="AV297" s="9"/>
      <c r="AW297" s="9"/>
      <c r="AX297" s="4"/>
      <c r="AY297" s="3"/>
      <c r="AZ297" s="9"/>
      <c r="BA297" s="9"/>
      <c r="BB297" s="4"/>
      <c r="BC297" s="3"/>
      <c r="BD297" s="9"/>
      <c r="BE297" s="9"/>
      <c r="BF297" s="122"/>
    </row>
    <row r="298" spans="1:58">
      <c r="A298" s="3" t="s">
        <v>133</v>
      </c>
      <c r="B298" s="4" t="s">
        <v>134</v>
      </c>
      <c r="C298" s="157">
        <v>87.889230061775109</v>
      </c>
      <c r="D298" s="30" t="s">
        <v>2855</v>
      </c>
      <c r="E298" s="30" t="s">
        <v>2855</v>
      </c>
      <c r="F298" s="30" t="s">
        <v>2743</v>
      </c>
      <c r="G298" s="157">
        <v>17.226705376347901</v>
      </c>
      <c r="H298" s="30" t="s">
        <v>2855</v>
      </c>
      <c r="I298" s="30" t="s">
        <v>2855</v>
      </c>
      <c r="J298" s="30" t="s">
        <v>2743</v>
      </c>
      <c r="K298" s="157">
        <v>-3.109695192919796</v>
      </c>
      <c r="L298" s="113">
        <v>-3.109695192919796</v>
      </c>
      <c r="M298" s="30">
        <v>5.6550910162103039</v>
      </c>
      <c r="N298" s="355" t="s">
        <v>1498</v>
      </c>
      <c r="O298" s="157">
        <v>-88.607925254694905</v>
      </c>
      <c r="P298" s="30" t="s">
        <v>2855</v>
      </c>
      <c r="Q298" s="30" t="s">
        <v>2855</v>
      </c>
      <c r="R298" s="30" t="s">
        <v>2743</v>
      </c>
      <c r="S298" s="157">
        <v>68.269706488647401</v>
      </c>
      <c r="T298" s="30" t="s">
        <v>2855</v>
      </c>
      <c r="U298" s="30" t="s">
        <v>2855</v>
      </c>
      <c r="V298" s="30" t="s">
        <v>2743</v>
      </c>
      <c r="W298" s="157">
        <v>-20.341405881645802</v>
      </c>
      <c r="X298" s="30" t="s">
        <v>2855</v>
      </c>
      <c r="Y298" s="30" t="s">
        <v>2855</v>
      </c>
      <c r="Z298" s="300" t="s">
        <v>2743</v>
      </c>
      <c r="AA298" s="157">
        <v>9.7859204710754799</v>
      </c>
      <c r="AB298" s="30">
        <v>9.74232208960915</v>
      </c>
      <c r="AC298" s="30">
        <v>0.137097472262623</v>
      </c>
      <c r="AD298" s="30" t="s">
        <v>2743</v>
      </c>
      <c r="AE298" s="157">
        <v>7.5205455037994096</v>
      </c>
      <c r="AF298" s="30">
        <v>7.5055279998437099</v>
      </c>
      <c r="AG298" s="30">
        <v>0.164018312333882</v>
      </c>
      <c r="AH298" s="30" t="s">
        <v>2743</v>
      </c>
      <c r="AI298" s="157">
        <v>-2.2050027855910899</v>
      </c>
      <c r="AJ298" s="30">
        <v>-2.1946949425349298</v>
      </c>
      <c r="AK298" s="30">
        <v>0.17558259591651099</v>
      </c>
      <c r="AL298" s="30" t="s">
        <v>2743</v>
      </c>
      <c r="AM298" s="157">
        <v>-3.250098221250457</v>
      </c>
      <c r="AN298" s="30">
        <v>-3.2521517924972363</v>
      </c>
      <c r="AO298" s="30">
        <v>9.7291405267211806E-2</v>
      </c>
      <c r="AP298" s="30" t="s">
        <v>2743</v>
      </c>
      <c r="AQ298" s="157">
        <v>-4.4417891303432899</v>
      </c>
      <c r="AR298" s="30">
        <v>-4.4548613365675402</v>
      </c>
      <c r="AS298" s="30">
        <v>0.167184403171175</v>
      </c>
      <c r="AT298" s="30" t="s">
        <v>2743</v>
      </c>
      <c r="AU298" s="157">
        <v>3.1046162340041401</v>
      </c>
      <c r="AV298" s="30">
        <v>3.0734443727469598</v>
      </c>
      <c r="AW298" s="30">
        <v>0.171986012403188</v>
      </c>
      <c r="AX298" s="30" t="s">
        <v>2743</v>
      </c>
      <c r="AY298" s="157" t="s">
        <v>2855</v>
      </c>
      <c r="AZ298" s="30" t="s">
        <v>2855</v>
      </c>
      <c r="BA298" s="30" t="s">
        <v>2855</v>
      </c>
      <c r="BB298" s="30" t="s">
        <v>558</v>
      </c>
      <c r="BC298" s="157">
        <v>102.5</v>
      </c>
      <c r="BD298" s="30">
        <v>102.5</v>
      </c>
      <c r="BE298" s="30">
        <v>4.7319860118241417</v>
      </c>
      <c r="BF298" s="300" t="s">
        <v>558</v>
      </c>
    </row>
    <row r="299" spans="1:58">
      <c r="A299" s="3"/>
      <c r="B299" s="171">
        <v>395.30599999999998</v>
      </c>
      <c r="C299" s="157">
        <v>2.3351023277977698</v>
      </c>
      <c r="D299" s="30">
        <v>87.889230061775109</v>
      </c>
      <c r="E299" s="30">
        <v>2.3351023277977698</v>
      </c>
      <c r="F299" s="8" t="s">
        <v>2742</v>
      </c>
      <c r="G299" s="157">
        <v>6.7635136146242498</v>
      </c>
      <c r="H299" s="30">
        <v>17.226705376347901</v>
      </c>
      <c r="I299" s="30">
        <v>6.7635136146242498</v>
      </c>
      <c r="J299" s="8" t="s">
        <v>2742</v>
      </c>
      <c r="K299" s="158">
        <v>5.6550910162103039</v>
      </c>
      <c r="L299" s="113">
        <v>-3.1147005052979004</v>
      </c>
      <c r="M299" s="113">
        <v>9.8075056643428997</v>
      </c>
      <c r="N299" s="13" t="s">
        <v>1499</v>
      </c>
      <c r="O299" s="157">
        <v>5.1504709998538898</v>
      </c>
      <c r="P299" s="30">
        <v>-88.607925254694905</v>
      </c>
      <c r="Q299" s="30">
        <v>5.1504709998538898</v>
      </c>
      <c r="R299" s="8" t="s">
        <v>2742</v>
      </c>
      <c r="S299" s="157">
        <v>6.7648600772139904</v>
      </c>
      <c r="T299" s="30">
        <v>68.269706488647401</v>
      </c>
      <c r="U299" s="30">
        <v>6.7648600772139904</v>
      </c>
      <c r="V299" s="8" t="s">
        <v>2742</v>
      </c>
      <c r="W299" s="157">
        <v>7.1022567498584896</v>
      </c>
      <c r="X299" s="30">
        <v>-20.341405881645802</v>
      </c>
      <c r="Y299" s="30">
        <v>7.1022567498584896</v>
      </c>
      <c r="Z299" s="498" t="s">
        <v>2742</v>
      </c>
      <c r="AA299" s="157">
        <v>6.3483597609158296E-2</v>
      </c>
      <c r="AB299" s="30">
        <v>9.7859204710754799</v>
      </c>
      <c r="AC299" s="30">
        <v>6.3483597609158296E-2</v>
      </c>
      <c r="AD299" s="8" t="s">
        <v>2742</v>
      </c>
      <c r="AE299" s="157">
        <v>0.15832653813422701</v>
      </c>
      <c r="AF299" s="30">
        <v>7.5205455037994096</v>
      </c>
      <c r="AG299" s="30">
        <v>0.15832653813422701</v>
      </c>
      <c r="AH299" s="8" t="s">
        <v>2742</v>
      </c>
      <c r="AI299" s="157">
        <v>0.18236171370433599</v>
      </c>
      <c r="AJ299" s="30">
        <v>-2.2050027855910899</v>
      </c>
      <c r="AK299" s="30">
        <v>0.18236171370433599</v>
      </c>
      <c r="AL299" s="8" t="s">
        <v>2742</v>
      </c>
      <c r="AM299" s="157">
        <v>7.8996552511387902E-2</v>
      </c>
      <c r="AN299" s="30">
        <v>-3.250098221250457</v>
      </c>
      <c r="AO299" s="30">
        <v>7.8996552511387902E-2</v>
      </c>
      <c r="AP299" s="8" t="s">
        <v>2742</v>
      </c>
      <c r="AQ299" s="157">
        <v>0.16550034259010901</v>
      </c>
      <c r="AR299" s="30">
        <v>-4.4417891303432899</v>
      </c>
      <c r="AS299" s="30">
        <v>0.16550034259010901</v>
      </c>
      <c r="AT299" s="8" t="s">
        <v>2742</v>
      </c>
      <c r="AU299" s="157">
        <v>0.126250274018638</v>
      </c>
      <c r="AV299" s="30">
        <v>3.1046162340041401</v>
      </c>
      <c r="AW299" s="30">
        <v>0.126250274018638</v>
      </c>
      <c r="AX299" s="8" t="s">
        <v>2742</v>
      </c>
      <c r="AY299" s="157" t="s">
        <v>2855</v>
      </c>
      <c r="AZ299" s="30"/>
      <c r="BA299" s="30"/>
      <c r="BB299" s="101"/>
      <c r="BC299" s="157">
        <v>4.7319860118241417</v>
      </c>
      <c r="BD299" s="30"/>
      <c r="BE299" s="30"/>
      <c r="BF299" s="277"/>
    </row>
    <row r="300" spans="1:58">
      <c r="A300" s="3"/>
      <c r="B300" s="171"/>
      <c r="C300" s="3"/>
      <c r="D300" s="206">
        <v>88.187381608999999</v>
      </c>
      <c r="E300" s="206">
        <v>0.72495188087407936</v>
      </c>
      <c r="F300" s="206" t="s">
        <v>558</v>
      </c>
      <c r="G300" s="3"/>
      <c r="H300" s="206" t="s">
        <v>2855</v>
      </c>
      <c r="I300" s="206" t="s">
        <v>2855</v>
      </c>
      <c r="J300" s="206" t="s">
        <v>558</v>
      </c>
      <c r="K300" s="353"/>
      <c r="L300" s="344">
        <v>2.9918111487838956</v>
      </c>
      <c r="M300" s="344">
        <v>4.3022257238369175</v>
      </c>
      <c r="N300" s="206" t="s">
        <v>1124</v>
      </c>
      <c r="O300" s="3"/>
      <c r="P300" s="206">
        <v>-87.5</v>
      </c>
      <c r="Q300" s="206">
        <v>5.5438323307745234</v>
      </c>
      <c r="R300" s="206" t="s">
        <v>558</v>
      </c>
      <c r="S300" s="3"/>
      <c r="T300" s="206" t="s">
        <v>2855</v>
      </c>
      <c r="U300" s="206" t="s">
        <v>2855</v>
      </c>
      <c r="V300" s="206" t="s">
        <v>558</v>
      </c>
      <c r="W300" s="3"/>
      <c r="X300" s="206" t="s">
        <v>2855</v>
      </c>
      <c r="Y300" s="206" t="s">
        <v>2855</v>
      </c>
      <c r="Z300" s="350" t="s">
        <v>558</v>
      </c>
      <c r="AA300" s="4"/>
      <c r="AB300" s="206">
        <v>9.80286139538212</v>
      </c>
      <c r="AC300" s="206">
        <v>7.0888148300808597E-3</v>
      </c>
      <c r="AD300" s="206" t="s">
        <v>558</v>
      </c>
      <c r="AE300" s="3"/>
      <c r="AF300" s="206">
        <v>7.4042499999999993</v>
      </c>
      <c r="AG300" s="206">
        <v>0.14849242404917495</v>
      </c>
      <c r="AH300" s="206" t="s">
        <v>558</v>
      </c>
      <c r="AI300" s="3"/>
      <c r="AJ300" s="206">
        <v>-2.2302775143706985</v>
      </c>
      <c r="AK300" s="206">
        <v>0.44605550287413975</v>
      </c>
      <c r="AL300" s="206" t="s">
        <v>558</v>
      </c>
      <c r="AM300" s="3"/>
      <c r="AN300" s="206">
        <v>-3.2215368249492431</v>
      </c>
      <c r="AO300" s="206">
        <v>8.1858281942174385E-2</v>
      </c>
      <c r="AP300" s="206" t="s">
        <v>558</v>
      </c>
      <c r="AQ300" s="3"/>
      <c r="AR300" s="206">
        <v>-3.2215368249492431</v>
      </c>
      <c r="AS300" s="206">
        <v>8.1858281942174385E-2</v>
      </c>
      <c r="AT300" s="206" t="s">
        <v>558</v>
      </c>
      <c r="AU300" s="3"/>
      <c r="AV300" s="206" t="s">
        <v>2855</v>
      </c>
      <c r="AW300" s="206" t="s">
        <v>2855</v>
      </c>
      <c r="AX300" s="206" t="s">
        <v>558</v>
      </c>
      <c r="AY300" s="3"/>
      <c r="AZ300" s="52"/>
      <c r="BA300" s="52"/>
      <c r="BB300" s="52"/>
      <c r="BC300" s="3"/>
      <c r="BF300" s="42"/>
    </row>
    <row r="301" spans="1:58">
      <c r="A301" s="3"/>
      <c r="B301" s="171"/>
      <c r="C301" s="3"/>
      <c r="D301" s="176">
        <v>91.134331970399998</v>
      </c>
      <c r="E301" s="176">
        <v>6.1387174671941738</v>
      </c>
      <c r="F301" s="206" t="s">
        <v>1124</v>
      </c>
      <c r="G301" s="3"/>
      <c r="H301" s="176">
        <v>11.734174130824016</v>
      </c>
      <c r="I301" s="176">
        <v>7.1796248469894586</v>
      </c>
      <c r="J301" s="206" t="s">
        <v>1124</v>
      </c>
      <c r="K301" s="353"/>
      <c r="L301" s="206"/>
      <c r="M301" s="206"/>
      <c r="N301" s="206"/>
      <c r="O301" s="3"/>
      <c r="P301" s="178">
        <v>-88.142520821616102</v>
      </c>
      <c r="Q301" s="178">
        <v>8.0415066021185009</v>
      </c>
      <c r="R301" s="206" t="s">
        <v>1124</v>
      </c>
      <c r="S301" s="3"/>
      <c r="T301" s="178">
        <v>59.783903000000002</v>
      </c>
      <c r="U301" s="178">
        <v>17.870066229633</v>
      </c>
      <c r="V301" s="206" t="s">
        <v>1124</v>
      </c>
      <c r="W301" s="3"/>
      <c r="X301" s="178">
        <v>-23.282120000000003</v>
      </c>
      <c r="Y301" s="178">
        <v>9.5506317316972993</v>
      </c>
      <c r="Z301" s="350" t="s">
        <v>1124</v>
      </c>
      <c r="AA301" s="4"/>
      <c r="AB301" s="178">
        <v>9.6352878439699214</v>
      </c>
      <c r="AC301" s="178">
        <v>0.26630972071948467</v>
      </c>
      <c r="AD301" s="206" t="s">
        <v>1124</v>
      </c>
      <c r="AE301" s="3"/>
      <c r="AF301" s="178">
        <v>7.6351599999999999</v>
      </c>
      <c r="AG301" s="178">
        <v>0.54001196131999996</v>
      </c>
      <c r="AH301" s="206" t="s">
        <v>1124</v>
      </c>
      <c r="AI301" s="3"/>
      <c r="AJ301" s="178">
        <v>-2.5978923299999996</v>
      </c>
      <c r="AK301" s="178">
        <v>0.57783620150024995</v>
      </c>
      <c r="AL301" s="206" t="s">
        <v>1124</v>
      </c>
      <c r="AM301" s="3"/>
      <c r="AN301" s="178">
        <v>-3.8500628087177553</v>
      </c>
      <c r="AO301" s="178">
        <v>0.59812265758553818</v>
      </c>
      <c r="AP301" s="206" t="s">
        <v>1124</v>
      </c>
      <c r="AQ301" s="3"/>
      <c r="AR301" s="178">
        <v>-3.8500628087177553</v>
      </c>
      <c r="AS301" s="178">
        <v>0.59812265758553818</v>
      </c>
      <c r="AT301" s="206" t="s">
        <v>1124</v>
      </c>
      <c r="AU301" s="3"/>
      <c r="AV301" s="178">
        <v>2.793641</v>
      </c>
      <c r="AW301" s="178">
        <v>0.50489753157100004</v>
      </c>
      <c r="AX301" s="206" t="s">
        <v>1124</v>
      </c>
      <c r="AY301" s="3"/>
      <c r="AZ301" s="178"/>
      <c r="BA301" s="178"/>
      <c r="BB301" s="206"/>
      <c r="BC301" s="3"/>
      <c r="BD301" s="178"/>
      <c r="BE301" s="178"/>
      <c r="BF301" s="350"/>
    </row>
    <row r="302" spans="1:58">
      <c r="A302" s="3"/>
      <c r="B302" s="4"/>
      <c r="C302" s="87"/>
      <c r="D302" s="4"/>
      <c r="E302" s="4"/>
      <c r="F302" s="4"/>
      <c r="G302" s="3"/>
      <c r="H302" s="4"/>
      <c r="I302" s="4"/>
      <c r="J302" s="4"/>
      <c r="K302" s="3"/>
      <c r="L302" s="4"/>
      <c r="M302" s="4"/>
      <c r="N302" s="4"/>
      <c r="O302" s="3"/>
      <c r="P302" s="4"/>
      <c r="Q302" s="4"/>
      <c r="R302" s="4"/>
      <c r="S302" s="3"/>
      <c r="T302" s="4"/>
      <c r="U302" s="4"/>
      <c r="V302" s="4"/>
      <c r="W302" s="3"/>
      <c r="X302" s="4"/>
      <c r="Y302" s="4"/>
      <c r="Z302" s="122"/>
      <c r="AA302" s="4"/>
      <c r="AB302" s="9"/>
      <c r="AC302" s="9"/>
      <c r="AD302" s="4"/>
      <c r="AE302" s="3"/>
      <c r="AF302" s="9"/>
      <c r="AG302" s="9"/>
      <c r="AH302" s="4"/>
      <c r="AI302" s="3"/>
      <c r="AJ302" s="9"/>
      <c r="AK302" s="9"/>
      <c r="AL302" s="4"/>
      <c r="AM302" s="3"/>
      <c r="AN302" s="9"/>
      <c r="AO302" s="9"/>
      <c r="AP302" s="4"/>
      <c r="AQ302" s="3"/>
      <c r="AR302" s="9"/>
      <c r="AS302" s="9"/>
      <c r="AT302" s="4"/>
      <c r="AU302" s="3"/>
      <c r="AV302" s="9"/>
      <c r="AW302" s="9"/>
      <c r="AX302" s="4"/>
      <c r="AY302" s="3"/>
      <c r="AZ302" s="9"/>
      <c r="BA302" s="9"/>
      <c r="BB302" s="4"/>
      <c r="BC302" s="3"/>
      <c r="BD302" s="9"/>
      <c r="BE302" s="9"/>
      <c r="BF302" s="122"/>
    </row>
    <row r="303" spans="1:58">
      <c r="A303" s="3" t="s">
        <v>135</v>
      </c>
      <c r="B303" s="4" t="s">
        <v>136</v>
      </c>
      <c r="C303" s="157">
        <v>104.35194859130601</v>
      </c>
      <c r="D303" s="30">
        <v>104.297578455329</v>
      </c>
      <c r="E303" s="30">
        <v>1.3497454498771599</v>
      </c>
      <c r="F303" s="30" t="s">
        <v>2743</v>
      </c>
      <c r="G303" s="157">
        <v>30.904759201741701</v>
      </c>
      <c r="H303" s="30">
        <v>30.456303082706601</v>
      </c>
      <c r="I303" s="30">
        <v>5.4982115572282302</v>
      </c>
      <c r="J303" s="30" t="s">
        <v>2743</v>
      </c>
      <c r="K303" s="157">
        <v>3.8930251277952177</v>
      </c>
      <c r="L303" s="113">
        <v>3.8930251277952177</v>
      </c>
      <c r="M303" s="30">
        <v>5.4622685802346576</v>
      </c>
      <c r="N303" s="355" t="s">
        <v>1498</v>
      </c>
      <c r="O303" s="157">
        <v>-98.067923463510795</v>
      </c>
      <c r="P303" s="30">
        <v>-98.200663650811805</v>
      </c>
      <c r="Q303" s="30">
        <v>5.3466787890001299</v>
      </c>
      <c r="R303" s="30" t="s">
        <v>2743</v>
      </c>
      <c r="S303" s="157">
        <v>71.063071803450796</v>
      </c>
      <c r="T303" s="30">
        <v>71.455328701351704</v>
      </c>
      <c r="U303" s="30">
        <v>5.5142072346471398</v>
      </c>
      <c r="V303" s="30" t="s">
        <v>2743</v>
      </c>
      <c r="W303" s="157">
        <v>-26.999151874097699</v>
      </c>
      <c r="X303" s="30">
        <v>-26.740255461112401</v>
      </c>
      <c r="Y303" s="30">
        <v>4.3309969182820396</v>
      </c>
      <c r="Z303" s="300" t="s">
        <v>2743</v>
      </c>
      <c r="AA303" s="157">
        <v>11.4874451448574</v>
      </c>
      <c r="AB303" s="30">
        <v>11.4869414702714</v>
      </c>
      <c r="AC303" s="30">
        <v>0.24887099590720901</v>
      </c>
      <c r="AD303" s="30" t="s">
        <v>2743</v>
      </c>
      <c r="AE303" s="157">
        <v>9.0660052906848794</v>
      </c>
      <c r="AF303" s="30">
        <v>9.0841483038328708</v>
      </c>
      <c r="AG303" s="30">
        <v>0.27906315400010301</v>
      </c>
      <c r="AH303" s="30" t="s">
        <v>2743</v>
      </c>
      <c r="AI303" s="157">
        <v>-2.4469397838585198</v>
      </c>
      <c r="AJ303" s="30">
        <v>-2.4245941314146502</v>
      </c>
      <c r="AK303" s="30">
        <v>0.34941363806539</v>
      </c>
      <c r="AL303" s="30" t="s">
        <v>2743</v>
      </c>
      <c r="AM303" s="157">
        <v>-5.0569619174495966</v>
      </c>
      <c r="AN303" s="30">
        <v>-5.0386334457761475</v>
      </c>
      <c r="AO303" s="30">
        <v>0.32365832371881997</v>
      </c>
      <c r="AP303" s="30" t="s">
        <v>2743</v>
      </c>
      <c r="AQ303" s="157">
        <v>-6.00568086313364</v>
      </c>
      <c r="AR303" s="30">
        <v>-6.0084037623008397</v>
      </c>
      <c r="AS303" s="30">
        <v>0.211888090817027</v>
      </c>
      <c r="AT303" s="30" t="s">
        <v>2743</v>
      </c>
      <c r="AU303" s="157">
        <v>3.0333195837152598</v>
      </c>
      <c r="AV303" s="30">
        <v>3.0498304751247001</v>
      </c>
      <c r="AW303" s="30">
        <v>0.298834553988097</v>
      </c>
      <c r="AX303" s="30" t="s">
        <v>2743</v>
      </c>
      <c r="AY303" s="157">
        <v>55.188213787105745</v>
      </c>
      <c r="AZ303" s="30">
        <v>55.188213787105745</v>
      </c>
      <c r="BA303" s="30">
        <v>9.8727770120457699</v>
      </c>
      <c r="BB303" s="30" t="s">
        <v>558</v>
      </c>
      <c r="BC303" s="157">
        <v>308.39285714285717</v>
      </c>
      <c r="BD303" s="30">
        <v>308.39285714285717</v>
      </c>
      <c r="BE303" s="30">
        <v>5.139425111448797</v>
      </c>
      <c r="BF303" s="300" t="s">
        <v>558</v>
      </c>
    </row>
    <row r="304" spans="1:58">
      <c r="A304" s="3"/>
      <c r="B304" s="171">
        <v>498.63200000000001</v>
      </c>
      <c r="C304" s="157">
        <v>1.5829749301037701</v>
      </c>
      <c r="D304" s="30">
        <v>104.35194859130601</v>
      </c>
      <c r="E304" s="30">
        <v>1.5829749301037701</v>
      </c>
      <c r="F304" s="8" t="s">
        <v>2742</v>
      </c>
      <c r="G304" s="157">
        <v>5.3826113083040497</v>
      </c>
      <c r="H304" s="30">
        <v>30.904759201741701</v>
      </c>
      <c r="I304" s="30">
        <v>5.3826113083040497</v>
      </c>
      <c r="J304" s="8" t="s">
        <v>2742</v>
      </c>
      <c r="K304" s="158">
        <v>5.4622685802346576</v>
      </c>
      <c r="L304" s="113">
        <v>3.9056073276440024</v>
      </c>
      <c r="M304" s="113">
        <v>6.8933880930183946</v>
      </c>
      <c r="N304" s="13" t="s">
        <v>1499</v>
      </c>
      <c r="O304" s="157">
        <v>5.2278646131361999</v>
      </c>
      <c r="P304" s="30">
        <v>-98.067923463510795</v>
      </c>
      <c r="Q304" s="30">
        <v>5.2278646131361999</v>
      </c>
      <c r="R304" s="8" t="s">
        <v>2742</v>
      </c>
      <c r="S304" s="157">
        <v>5.3857251777649804</v>
      </c>
      <c r="T304" s="30">
        <v>71.063071803450796</v>
      </c>
      <c r="U304" s="30">
        <v>5.3857251777649804</v>
      </c>
      <c r="V304" s="8" t="s">
        <v>2742</v>
      </c>
      <c r="W304" s="157">
        <v>4.3065409442713003</v>
      </c>
      <c r="X304" s="30">
        <v>-26.999151874097699</v>
      </c>
      <c r="Y304" s="30">
        <v>4.3065409442713003</v>
      </c>
      <c r="Z304" s="498" t="s">
        <v>2742</v>
      </c>
      <c r="AA304" s="157">
        <v>0.286472353816769</v>
      </c>
      <c r="AB304" s="30">
        <v>11.4874451448574</v>
      </c>
      <c r="AC304" s="30">
        <v>0.286472353816769</v>
      </c>
      <c r="AD304" s="8" t="s">
        <v>2742</v>
      </c>
      <c r="AE304" s="157">
        <v>0.28330827513554901</v>
      </c>
      <c r="AF304" s="30">
        <v>9.0660052906848794</v>
      </c>
      <c r="AG304" s="30">
        <v>0.28330827513554901</v>
      </c>
      <c r="AH304" s="8" t="s">
        <v>2742</v>
      </c>
      <c r="AI304" s="157">
        <v>0.35440849797155599</v>
      </c>
      <c r="AJ304" s="30">
        <v>-2.4469397838585198</v>
      </c>
      <c r="AK304" s="30">
        <v>0.35440849797155599</v>
      </c>
      <c r="AL304" s="8" t="s">
        <v>2742</v>
      </c>
      <c r="AM304" s="157">
        <v>0.33139337975063199</v>
      </c>
      <c r="AN304" s="30">
        <v>-5.0569619174495966</v>
      </c>
      <c r="AO304" s="30">
        <v>0.33139337975063199</v>
      </c>
      <c r="AP304" s="8" t="s">
        <v>2742</v>
      </c>
      <c r="AQ304" s="157">
        <v>0.20980752909672901</v>
      </c>
      <c r="AR304" s="30">
        <v>-6.00568086313364</v>
      </c>
      <c r="AS304" s="30">
        <v>0.20980752909672901</v>
      </c>
      <c r="AT304" s="8" t="s">
        <v>2742</v>
      </c>
      <c r="AU304" s="157">
        <v>0.30544812883790501</v>
      </c>
      <c r="AV304" s="30">
        <v>3.0333195837152598</v>
      </c>
      <c r="AW304" s="30">
        <v>0.30544812883790501</v>
      </c>
      <c r="AX304" s="8" t="s">
        <v>2742</v>
      </c>
      <c r="AY304" s="157">
        <v>9.8727770120457699</v>
      </c>
      <c r="AZ304" s="30"/>
      <c r="BA304" s="30"/>
      <c r="BB304" s="101"/>
      <c r="BC304" s="157">
        <v>5.139425111448797</v>
      </c>
      <c r="BD304" s="30"/>
      <c r="BE304" s="30"/>
      <c r="BF304" s="277"/>
    </row>
    <row r="305" spans="1:58">
      <c r="A305" s="3"/>
      <c r="B305" s="171"/>
      <c r="C305" s="3"/>
      <c r="D305" s="206">
        <v>104.05587005119456</v>
      </c>
      <c r="E305" s="206">
        <v>0.65273974807507618</v>
      </c>
      <c r="F305" s="206" t="s">
        <v>558</v>
      </c>
      <c r="G305" s="3"/>
      <c r="H305" s="206">
        <v>37.809999999999995</v>
      </c>
      <c r="I305" s="206">
        <v>7.5619999999999994</v>
      </c>
      <c r="J305" s="206" t="s">
        <v>558</v>
      </c>
      <c r="K305" s="353"/>
      <c r="L305" s="344">
        <v>5.8868070856240564</v>
      </c>
      <c r="M305" s="344">
        <v>8.4652311310932351</v>
      </c>
      <c r="N305" s="206" t="s">
        <v>1124</v>
      </c>
      <c r="O305" s="3"/>
      <c r="P305" s="206">
        <v>-104</v>
      </c>
      <c r="Q305" s="206">
        <v>6.5892407131491479</v>
      </c>
      <c r="R305" s="206" t="s">
        <v>558</v>
      </c>
      <c r="S305" s="3"/>
      <c r="T305" s="206" t="s">
        <v>2855</v>
      </c>
      <c r="U305" s="206" t="s">
        <v>2855</v>
      </c>
      <c r="V305" s="206" t="s">
        <v>558</v>
      </c>
      <c r="W305" s="3"/>
      <c r="X305" s="206">
        <v>-23.8</v>
      </c>
      <c r="Y305" s="206">
        <v>4.7600000000000007</v>
      </c>
      <c r="Z305" s="350" t="s">
        <v>558</v>
      </c>
      <c r="AA305" s="4"/>
      <c r="AB305" s="206">
        <v>11.525637381635953</v>
      </c>
      <c r="AC305" s="206">
        <v>0.19984160559524264</v>
      </c>
      <c r="AD305" s="206" t="s">
        <v>558</v>
      </c>
      <c r="AE305" s="3"/>
      <c r="AF305" s="206">
        <v>9.4112595636213303</v>
      </c>
      <c r="AG305" s="206">
        <v>0.25421187957856911</v>
      </c>
      <c r="AH305" s="206" t="s">
        <v>558</v>
      </c>
      <c r="AI305" s="3"/>
      <c r="AJ305" s="206" t="s">
        <v>2855</v>
      </c>
      <c r="AK305" s="206" t="s">
        <v>2855</v>
      </c>
      <c r="AL305" s="206" t="s">
        <v>558</v>
      </c>
      <c r="AM305" s="3"/>
      <c r="AN305" s="206">
        <v>-4.9397366133846008</v>
      </c>
      <c r="AO305" s="206">
        <v>0.45466857646634756</v>
      </c>
      <c r="AP305" s="206" t="s">
        <v>558</v>
      </c>
      <c r="AQ305" s="3"/>
      <c r="AR305" s="206">
        <v>-4.9397366133846008</v>
      </c>
      <c r="AS305" s="206">
        <v>0.45466857646634756</v>
      </c>
      <c r="AT305" s="206" t="s">
        <v>558</v>
      </c>
      <c r="AU305" s="3"/>
      <c r="AV305" s="206">
        <v>1.533336835519298</v>
      </c>
      <c r="AW305" s="206">
        <v>0.68025804777806742</v>
      </c>
      <c r="AX305" s="206" t="s">
        <v>558</v>
      </c>
      <c r="AY305" s="3"/>
      <c r="AZ305" s="52"/>
      <c r="BA305" s="52"/>
      <c r="BB305" s="52"/>
      <c r="BC305" s="3"/>
      <c r="BF305" s="42"/>
    </row>
    <row r="306" spans="1:58">
      <c r="A306" s="3"/>
      <c r="B306" s="171"/>
      <c r="C306" s="3"/>
      <c r="D306" s="176">
        <v>108.10795856848002</v>
      </c>
      <c r="E306" s="176">
        <v>7.2820439812142457</v>
      </c>
      <c r="F306" s="206" t="s">
        <v>1124</v>
      </c>
      <c r="G306" s="3"/>
      <c r="H306" s="176">
        <v>14.248691061304086</v>
      </c>
      <c r="I306" s="176">
        <v>8.7181471180052732</v>
      </c>
      <c r="J306" s="206" t="s">
        <v>1124</v>
      </c>
      <c r="K306" s="353"/>
      <c r="L306" s="206"/>
      <c r="M306" s="206"/>
      <c r="N306" s="206"/>
      <c r="O306" s="3"/>
      <c r="P306" s="178">
        <v>-102.22115148285596</v>
      </c>
      <c r="Q306" s="178">
        <v>9.3259423132353962</v>
      </c>
      <c r="R306" s="206" t="s">
        <v>1124</v>
      </c>
      <c r="S306" s="3"/>
      <c r="T306" s="178">
        <v>65.77873559999999</v>
      </c>
      <c r="U306" s="178">
        <v>19.661987636931595</v>
      </c>
      <c r="V306" s="206" t="s">
        <v>1124</v>
      </c>
      <c r="W306" s="3"/>
      <c r="X306" s="178">
        <v>-34.130763999999999</v>
      </c>
      <c r="Y306" s="178">
        <v>14.000888135851536</v>
      </c>
      <c r="Z306" s="350" t="s">
        <v>1124</v>
      </c>
      <c r="AA306" s="4"/>
      <c r="AB306" s="178">
        <v>11.239799310382352</v>
      </c>
      <c r="AC306" s="178">
        <v>0.31065681313965782</v>
      </c>
      <c r="AD306" s="206" t="s">
        <v>1124</v>
      </c>
      <c r="AE306" s="3"/>
      <c r="AF306" s="178">
        <v>8.3227200000000003</v>
      </c>
      <c r="AG306" s="178">
        <v>0.58864101743999997</v>
      </c>
      <c r="AH306" s="206" t="s">
        <v>1124</v>
      </c>
      <c r="AI306" s="3"/>
      <c r="AJ306" s="178">
        <v>-2.7664286699999998</v>
      </c>
      <c r="AK306" s="178">
        <v>0.61532289692474995</v>
      </c>
      <c r="AL306" s="206" t="s">
        <v>1124</v>
      </c>
      <c r="AM306" s="3"/>
      <c r="AN306" s="178">
        <v>-4.9454611399476276</v>
      </c>
      <c r="AO306" s="178">
        <v>0.76829716993542374</v>
      </c>
      <c r="AP306" s="206" t="s">
        <v>1124</v>
      </c>
      <c r="AQ306" s="3"/>
      <c r="AR306" s="178">
        <v>-4.9454611399476276</v>
      </c>
      <c r="AS306" s="178">
        <v>0.76829716993542374</v>
      </c>
      <c r="AT306" s="206" t="s">
        <v>1124</v>
      </c>
      <c r="AU306" s="3"/>
      <c r="AV306" s="178">
        <v>2.7179462000000001</v>
      </c>
      <c r="AW306" s="178">
        <v>0.49121713467220002</v>
      </c>
      <c r="AX306" s="206" t="s">
        <v>1124</v>
      </c>
      <c r="AY306" s="3"/>
      <c r="AZ306" s="178"/>
      <c r="BA306" s="178"/>
      <c r="BB306" s="206"/>
      <c r="BC306" s="3"/>
      <c r="BD306" s="178"/>
      <c r="BE306" s="178"/>
      <c r="BF306" s="350"/>
    </row>
    <row r="307" spans="1:58">
      <c r="A307" s="3"/>
      <c r="B307" s="171"/>
      <c r="C307" s="157"/>
      <c r="D307" s="206"/>
      <c r="E307" s="206"/>
      <c r="F307" s="206"/>
      <c r="G307" s="157"/>
      <c r="H307" s="70"/>
      <c r="I307" s="70"/>
      <c r="J307" s="70"/>
      <c r="K307" s="83"/>
      <c r="L307" s="70"/>
      <c r="M307" s="70"/>
      <c r="N307" s="70"/>
      <c r="O307" s="191"/>
      <c r="P307" s="323"/>
      <c r="Q307" s="323"/>
      <c r="R307" s="180"/>
      <c r="S307" s="191"/>
      <c r="T307" s="318"/>
      <c r="U307" s="318"/>
      <c r="V307" s="70"/>
      <c r="W307" s="191"/>
      <c r="X307" s="318"/>
      <c r="Y307" s="318"/>
      <c r="Z307" s="207"/>
      <c r="AA307" s="4"/>
      <c r="AB307" s="9"/>
      <c r="AC307" s="9"/>
      <c r="AD307" s="4"/>
      <c r="AE307" s="3"/>
      <c r="AF307" s="9"/>
      <c r="AG307" s="9"/>
      <c r="AH307" s="4"/>
      <c r="AI307" s="3"/>
      <c r="AJ307" s="9"/>
      <c r="AK307" s="9"/>
      <c r="AL307" s="4"/>
      <c r="AM307" s="3"/>
      <c r="AN307" s="9"/>
      <c r="AO307" s="9"/>
      <c r="AP307" s="4"/>
      <c r="AQ307" s="3"/>
      <c r="AR307" s="9"/>
      <c r="AS307" s="9"/>
      <c r="AT307" s="4"/>
      <c r="AU307" s="3"/>
      <c r="AV307" s="9"/>
      <c r="AW307" s="9"/>
      <c r="AX307" s="4"/>
      <c r="AY307" s="3"/>
      <c r="AZ307" s="9"/>
      <c r="BA307" s="9"/>
      <c r="BB307" s="4"/>
      <c r="BC307" s="3"/>
      <c r="BD307" s="9"/>
      <c r="BE307" s="9"/>
      <c r="BF307" s="122"/>
    </row>
    <row r="308" spans="1:58" customFormat="1">
      <c r="A308" s="539" t="s">
        <v>2028</v>
      </c>
      <c r="B308" s="539"/>
      <c r="C308" s="539"/>
      <c r="D308" s="539"/>
      <c r="E308" s="539"/>
      <c r="F308" s="539"/>
      <c r="G308" s="539"/>
      <c r="H308" s="539"/>
      <c r="I308" s="539"/>
      <c r="J308" s="539"/>
      <c r="K308" s="539"/>
      <c r="L308" s="539"/>
      <c r="M308" s="539"/>
      <c r="N308" s="539"/>
      <c r="O308" s="539"/>
      <c r="P308" s="539"/>
      <c r="Q308" s="539"/>
      <c r="R308" s="539"/>
      <c r="S308" s="539"/>
      <c r="T308" s="539"/>
      <c r="U308" s="539"/>
      <c r="V308" s="539"/>
      <c r="W308" s="539"/>
      <c r="X308" s="539"/>
      <c r="Y308" s="539"/>
      <c r="Z308" s="539"/>
      <c r="AA308" s="539"/>
      <c r="AB308" s="539"/>
      <c r="AC308" s="539"/>
      <c r="AD308" s="539"/>
      <c r="AE308" s="539"/>
      <c r="AF308" s="539"/>
      <c r="AG308" s="539"/>
      <c r="AH308" s="539"/>
      <c r="AI308" s="539"/>
      <c r="AJ308" s="539"/>
      <c r="AK308" s="539"/>
      <c r="AL308" s="539"/>
      <c r="AM308" s="539"/>
      <c r="AN308" s="539"/>
      <c r="AO308" s="539"/>
      <c r="AP308" s="539"/>
      <c r="AQ308" s="539"/>
      <c r="AR308" s="539"/>
      <c r="AS308" s="539"/>
      <c r="AT308" s="539"/>
      <c r="AU308" s="539"/>
      <c r="AV308" s="539"/>
      <c r="AW308" s="539"/>
      <c r="AX308" s="539"/>
      <c r="AY308" s="539"/>
      <c r="AZ308" s="539"/>
      <c r="BA308" s="539"/>
      <c r="BB308" s="539"/>
      <c r="BC308" s="539"/>
      <c r="BD308" s="539"/>
      <c r="BE308" s="539"/>
      <c r="BF308" s="539"/>
    </row>
    <row r="309" spans="1:58" customFormat="1">
      <c r="A309" s="391" t="s">
        <v>2027</v>
      </c>
      <c r="B309" s="396" t="s">
        <v>2026</v>
      </c>
      <c r="C309" s="157">
        <v>77.206948972881605</v>
      </c>
      <c r="D309" s="30" t="s">
        <v>2855</v>
      </c>
      <c r="E309" s="30" t="s">
        <v>2855</v>
      </c>
      <c r="F309" s="30" t="s">
        <v>2743</v>
      </c>
      <c r="G309" s="157">
        <v>1.34042710688445</v>
      </c>
      <c r="H309" s="30" t="s">
        <v>2855</v>
      </c>
      <c r="I309" s="30" t="s">
        <v>2855</v>
      </c>
      <c r="J309" s="30" t="s">
        <v>2743</v>
      </c>
      <c r="K309" s="157">
        <v>18.90354982171781</v>
      </c>
      <c r="L309" s="113">
        <v>18.90354982171781</v>
      </c>
      <c r="M309" s="30">
        <v>3.4302245076246511</v>
      </c>
      <c r="N309" s="355" t="s">
        <v>1498</v>
      </c>
      <c r="O309" s="157">
        <v>-55.912399151163797</v>
      </c>
      <c r="P309" s="30" t="s">
        <v>2855</v>
      </c>
      <c r="Q309" s="30" t="s">
        <v>2855</v>
      </c>
      <c r="R309" s="30" t="s">
        <v>2743</v>
      </c>
      <c r="S309" s="157">
        <v>73.472722416577895</v>
      </c>
      <c r="T309" s="30" t="s">
        <v>2855</v>
      </c>
      <c r="U309" s="30" t="s">
        <v>2855</v>
      </c>
      <c r="V309" s="30" t="s">
        <v>2743</v>
      </c>
      <c r="W309" s="157">
        <v>17.557730902434599</v>
      </c>
      <c r="X309" s="30" t="s">
        <v>2855</v>
      </c>
      <c r="Y309" s="30" t="s">
        <v>2855</v>
      </c>
      <c r="Z309" s="300" t="s">
        <v>2743</v>
      </c>
      <c r="AA309" s="157">
        <v>6.87632284579486</v>
      </c>
      <c r="AB309" s="30">
        <v>6.8262577519167804</v>
      </c>
      <c r="AC309" s="30">
        <v>0.15116610412781101</v>
      </c>
      <c r="AD309" s="30" t="s">
        <v>2743</v>
      </c>
      <c r="AE309" s="157">
        <v>1.5175300215526899</v>
      </c>
      <c r="AF309" s="30">
        <v>1.5369525482391999</v>
      </c>
      <c r="AG309" s="30">
        <v>0.100521737489047</v>
      </c>
      <c r="AH309" s="30" t="s">
        <v>2743</v>
      </c>
      <c r="AI309" s="157">
        <v>-5.3039201917633596</v>
      </c>
      <c r="AJ309" s="30">
        <v>-5.1516771987091499</v>
      </c>
      <c r="AK309" s="30">
        <v>0.13088234594777901</v>
      </c>
      <c r="AL309" s="30" t="s">
        <v>2743</v>
      </c>
      <c r="AM309" s="157">
        <v>-0.60241546280412639</v>
      </c>
      <c r="AN309" s="30">
        <v>-0.54385918136298628</v>
      </c>
      <c r="AO309" s="30">
        <v>8.6250130383250703E-2</v>
      </c>
      <c r="AP309" s="30" t="s">
        <v>2743</v>
      </c>
      <c r="AQ309" s="157">
        <v>1.31269922704998</v>
      </c>
      <c r="AR309" s="30">
        <v>1.28163087270434</v>
      </c>
      <c r="AS309" s="30">
        <v>7.4101391385195198E-2</v>
      </c>
      <c r="AT309" s="30" t="s">
        <v>2743</v>
      </c>
      <c r="AU309" s="157">
        <v>2.8470660005389901</v>
      </c>
      <c r="AV309" s="30">
        <v>2.8533968567456101</v>
      </c>
      <c r="AW309" s="30">
        <v>0.140313928496516</v>
      </c>
      <c r="AX309" s="30" t="s">
        <v>2743</v>
      </c>
      <c r="AY309" s="157">
        <v>61.8</v>
      </c>
      <c r="AZ309" s="30">
        <v>61.8</v>
      </c>
      <c r="BA309" s="30">
        <v>4.8710528878201647</v>
      </c>
      <c r="BB309" s="30" t="s">
        <v>558</v>
      </c>
      <c r="BC309" s="157">
        <v>5.4119999999999999</v>
      </c>
      <c r="BD309" s="30">
        <v>5.4119999999999999</v>
      </c>
      <c r="BE309" s="30">
        <v>0.23177575369309009</v>
      </c>
      <c r="BF309" s="300" t="s">
        <v>558</v>
      </c>
    </row>
    <row r="310" spans="1:58" customFormat="1">
      <c r="A310" s="391" t="s">
        <v>2024</v>
      </c>
      <c r="B310" s="396">
        <v>194.18</v>
      </c>
      <c r="C310" s="157">
        <v>0.96209054198154198</v>
      </c>
      <c r="D310" s="30">
        <v>77.206948972881605</v>
      </c>
      <c r="E310" s="30">
        <v>0.96209054198154198</v>
      </c>
      <c r="F310" s="8" t="s">
        <v>2742</v>
      </c>
      <c r="G310" s="157">
        <v>5.0619367557730097</v>
      </c>
      <c r="H310" s="30">
        <v>1.34042710688445</v>
      </c>
      <c r="I310" s="30">
        <v>5.0619367557730097</v>
      </c>
      <c r="J310" s="8" t="s">
        <v>2742</v>
      </c>
      <c r="K310" s="158">
        <v>3.4302245076246511</v>
      </c>
      <c r="L310" s="113">
        <v>18.898158009319051</v>
      </c>
      <c r="M310" s="113">
        <v>7.2090075573360579</v>
      </c>
      <c r="N310" s="13" t="s">
        <v>1499</v>
      </c>
      <c r="O310" s="157">
        <v>3.2925403508140101</v>
      </c>
      <c r="P310" s="30">
        <v>-55.912399151163797</v>
      </c>
      <c r="Q310" s="30">
        <v>3.2925403508140101</v>
      </c>
      <c r="R310" s="8" t="s">
        <v>2742</v>
      </c>
      <c r="S310" s="157">
        <v>5.0568377081331102</v>
      </c>
      <c r="T310" s="30">
        <v>73.472722416577895</v>
      </c>
      <c r="U310" s="30">
        <v>5.0568377081331102</v>
      </c>
      <c r="V310" s="8" t="s">
        <v>2742</v>
      </c>
      <c r="W310" s="157">
        <v>5.1328925804347998</v>
      </c>
      <c r="X310" s="30">
        <v>17.557730902434599</v>
      </c>
      <c r="Y310" s="30">
        <v>5.1328925804347998</v>
      </c>
      <c r="Z310" s="498" t="s">
        <v>2742</v>
      </c>
      <c r="AA310" s="157">
        <v>0.13496173365939401</v>
      </c>
      <c r="AB310" s="30">
        <v>6.87632284579486</v>
      </c>
      <c r="AC310" s="30">
        <v>0.13496173365939401</v>
      </c>
      <c r="AD310" s="8" t="s">
        <v>2742</v>
      </c>
      <c r="AE310" s="157">
        <v>9.7678886595933101E-2</v>
      </c>
      <c r="AF310" s="30">
        <v>1.5175300215526899</v>
      </c>
      <c r="AG310" s="30">
        <v>9.7678886595933101E-2</v>
      </c>
      <c r="AH310" s="8" t="s">
        <v>2742</v>
      </c>
      <c r="AI310" s="157">
        <v>0.14489308475686499</v>
      </c>
      <c r="AJ310" s="30">
        <v>-5.3039201917633596</v>
      </c>
      <c r="AK310" s="30">
        <v>0.14489308475686499</v>
      </c>
      <c r="AL310" s="8" t="s">
        <v>2742</v>
      </c>
      <c r="AM310" s="157">
        <v>8.8887717118221604E-2</v>
      </c>
      <c r="AN310" s="30">
        <v>-0.60241546280412639</v>
      </c>
      <c r="AO310" s="30">
        <v>8.8887717118221604E-2</v>
      </c>
      <c r="AP310" s="8" t="s">
        <v>2742</v>
      </c>
      <c r="AQ310" s="157">
        <v>7.4919100924324203E-2</v>
      </c>
      <c r="AR310" s="30">
        <v>1.31269922704998</v>
      </c>
      <c r="AS310" s="30">
        <v>7.4919100924324203E-2</v>
      </c>
      <c r="AT310" s="8" t="s">
        <v>2742</v>
      </c>
      <c r="AU310" s="157">
        <v>0.127081628157104</v>
      </c>
      <c r="AV310" s="30">
        <v>2.8470660005389901</v>
      </c>
      <c r="AW310" s="30">
        <v>0.127081628157104</v>
      </c>
      <c r="AX310" s="8" t="s">
        <v>2742</v>
      </c>
      <c r="AY310" s="157">
        <v>4.8710528878201647</v>
      </c>
      <c r="AZ310" s="30"/>
      <c r="BA310" s="30"/>
      <c r="BB310" s="101"/>
      <c r="BC310" s="157">
        <v>0.23177575369309009</v>
      </c>
      <c r="BD310" s="30"/>
      <c r="BE310" s="30"/>
      <c r="BF310" s="277"/>
    </row>
    <row r="311" spans="1:58" customFormat="1">
      <c r="A311" s="391"/>
      <c r="B311" s="396"/>
      <c r="C311" s="3"/>
      <c r="D311" s="206">
        <v>77.251485714285693</v>
      </c>
      <c r="E311" s="206">
        <v>0.96533834384387507</v>
      </c>
      <c r="F311" s="206" t="s">
        <v>558</v>
      </c>
      <c r="G311" s="3"/>
      <c r="H311" s="206" t="s">
        <v>2855</v>
      </c>
      <c r="I311" s="206" t="s">
        <v>2855</v>
      </c>
      <c r="J311" s="206" t="s">
        <v>558</v>
      </c>
      <c r="K311" s="353"/>
      <c r="L311" s="344">
        <v>8.5500000000000043</v>
      </c>
      <c r="M311" s="344">
        <v>12.294903691951795</v>
      </c>
      <c r="N311" s="206" t="s">
        <v>1124</v>
      </c>
      <c r="O311" s="3"/>
      <c r="P311" s="206">
        <v>-54.963853999999998</v>
      </c>
      <c r="Q311" s="206">
        <v>3.4824044666190925</v>
      </c>
      <c r="R311" s="206" t="s">
        <v>558</v>
      </c>
      <c r="S311" s="3"/>
      <c r="T311" s="206" t="s">
        <v>2855</v>
      </c>
      <c r="U311" s="206" t="s">
        <v>2855</v>
      </c>
      <c r="V311" s="206" t="s">
        <v>558</v>
      </c>
      <c r="W311" s="3"/>
      <c r="X311" s="206" t="s">
        <v>2855</v>
      </c>
      <c r="Y311" s="206" t="s">
        <v>2855</v>
      </c>
      <c r="Z311" s="350" t="s">
        <v>558</v>
      </c>
      <c r="AA311" s="4"/>
      <c r="AB311" s="206">
        <v>7</v>
      </c>
      <c r="AC311" s="206">
        <v>0.18023472661974055</v>
      </c>
      <c r="AD311" s="206" t="s">
        <v>558</v>
      </c>
      <c r="AE311" s="3"/>
      <c r="AF311" s="206">
        <v>1.4940213059370522</v>
      </c>
      <c r="AG311" s="206">
        <v>0.10675059659978832</v>
      </c>
      <c r="AH311" s="206" t="s">
        <v>558</v>
      </c>
      <c r="AI311" s="3"/>
      <c r="AJ311" s="206">
        <v>-4.7471469690201067</v>
      </c>
      <c r="AK311" s="206">
        <v>0.94942939380402136</v>
      </c>
      <c r="AL311" s="206" t="s">
        <v>558</v>
      </c>
      <c r="AM311" s="3"/>
      <c r="AN311" s="206">
        <v>-0.5737975003434046</v>
      </c>
      <c r="AO311" s="206">
        <v>9.5464368197886035E-2</v>
      </c>
      <c r="AP311" s="206" t="s">
        <v>558</v>
      </c>
      <c r="AQ311" s="3"/>
      <c r="AR311" s="206">
        <v>-0.5737975003434046</v>
      </c>
      <c r="AS311" s="206">
        <v>9.5464368197886035E-2</v>
      </c>
      <c r="AT311" s="206" t="s">
        <v>558</v>
      </c>
      <c r="AU311" s="3"/>
      <c r="AV311" s="206" t="s">
        <v>2855</v>
      </c>
      <c r="AW311" s="206" t="s">
        <v>2855</v>
      </c>
      <c r="AX311" s="206" t="s">
        <v>558</v>
      </c>
      <c r="AY311" s="3"/>
      <c r="AZ311" s="52"/>
      <c r="BA311" s="52"/>
      <c r="BB311" s="52"/>
      <c r="BC311" s="3"/>
      <c r="BD311" s="40"/>
      <c r="BE311" s="40"/>
      <c r="BF311" s="42"/>
    </row>
    <row r="312" spans="1:58" customFormat="1">
      <c r="A312" s="391"/>
      <c r="B312" s="396"/>
      <c r="C312" s="3"/>
      <c r="D312" s="176">
        <v>69.34</v>
      </c>
      <c r="E312" s="176">
        <v>7.2844443600000002</v>
      </c>
      <c r="F312" s="206" t="s">
        <v>1124</v>
      </c>
      <c r="G312" s="3"/>
      <c r="H312" s="176">
        <v>-1.3400000000000034</v>
      </c>
      <c r="I312" s="176">
        <v>1.8797252000000046</v>
      </c>
      <c r="J312" s="206" t="s">
        <v>1124</v>
      </c>
      <c r="K312" s="353"/>
      <c r="L312" s="206"/>
      <c r="M312" s="206"/>
      <c r="N312" s="206"/>
      <c r="O312" s="3"/>
      <c r="P312" s="178">
        <v>-60.79</v>
      </c>
      <c r="Q312" s="178">
        <v>11.601467549999999</v>
      </c>
      <c r="R312" s="206" t="s">
        <v>1124</v>
      </c>
      <c r="S312" s="3"/>
      <c r="T312" s="178">
        <v>79.281399399999998</v>
      </c>
      <c r="U312" s="178">
        <v>14.862804664118599</v>
      </c>
      <c r="V312" s="206" t="s">
        <v>1124</v>
      </c>
      <c r="W312" s="3"/>
      <c r="X312" s="178">
        <v>13.732444000000006</v>
      </c>
      <c r="Y312" s="178">
        <v>5.6332290796609685</v>
      </c>
      <c r="Z312" s="350" t="s">
        <v>1124</v>
      </c>
      <c r="AA312" s="4"/>
      <c r="AB312" s="178">
        <v>6.694</v>
      </c>
      <c r="AC312" s="178">
        <v>0.45409418399999996</v>
      </c>
      <c r="AD312" s="206" t="s">
        <v>1124</v>
      </c>
      <c r="AE312" s="3"/>
      <c r="AF312" s="178">
        <v>1.71</v>
      </c>
      <c r="AG312" s="178">
        <v>0.14554151999999998</v>
      </c>
      <c r="AH312" s="206" t="s">
        <v>1124</v>
      </c>
      <c r="AI312" s="3"/>
      <c r="AJ312" s="178">
        <v>-5.22</v>
      </c>
      <c r="AK312" s="178">
        <v>1.05409548</v>
      </c>
      <c r="AL312" s="206" t="s">
        <v>1124</v>
      </c>
      <c r="AM312" s="3"/>
      <c r="AN312" s="178">
        <v>-0.39999819567249156</v>
      </c>
      <c r="AO312" s="178">
        <v>6.1903720762274801E-2</v>
      </c>
      <c r="AP312" s="206" t="s">
        <v>1124</v>
      </c>
      <c r="AQ312" s="3"/>
      <c r="AR312" s="178">
        <v>-0.39999819567249156</v>
      </c>
      <c r="AS312" s="178">
        <v>6.1903720762274801E-2</v>
      </c>
      <c r="AT312" s="206" t="s">
        <v>1124</v>
      </c>
      <c r="AU312" s="3"/>
      <c r="AV312" s="178">
        <v>2.4956207999999984</v>
      </c>
      <c r="AW312" s="178">
        <v>0.4510360428047997</v>
      </c>
      <c r="AX312" s="206" t="s">
        <v>1124</v>
      </c>
      <c r="AY312" s="3"/>
      <c r="AZ312" s="178"/>
      <c r="BA312" s="178"/>
      <c r="BB312" s="206"/>
      <c r="BC312" s="3"/>
      <c r="BD312" s="178"/>
      <c r="BE312" s="178"/>
      <c r="BF312" s="350"/>
    </row>
    <row r="313" spans="1:58" customFormat="1">
      <c r="A313" s="391"/>
      <c r="B313" s="396"/>
      <c r="C313" s="87"/>
      <c r="D313" s="119"/>
      <c r="E313" s="119"/>
      <c r="F313" s="4"/>
      <c r="G313" s="80"/>
      <c r="H313" s="119"/>
      <c r="I313" s="119"/>
      <c r="J313" s="4"/>
      <c r="K313" s="3"/>
      <c r="L313" s="4"/>
      <c r="M313" s="4"/>
      <c r="N313" s="4"/>
      <c r="O313" s="115"/>
      <c r="P313" s="119"/>
      <c r="Q313" s="119"/>
      <c r="R313" s="4"/>
      <c r="S313" s="80"/>
      <c r="T313" s="1"/>
      <c r="U313" s="1"/>
      <c r="V313" s="13"/>
      <c r="W313" s="80"/>
      <c r="X313" s="171"/>
      <c r="Y313" s="171"/>
      <c r="Z313" s="122"/>
      <c r="AA313" s="4"/>
      <c r="AB313" s="9"/>
      <c r="AC313" s="9"/>
      <c r="AD313" s="4"/>
      <c r="AE313" s="3"/>
      <c r="AF313" s="9"/>
      <c r="AG313" s="9"/>
      <c r="AH313" s="4"/>
      <c r="AI313" s="3"/>
      <c r="AJ313" s="9"/>
      <c r="AK313" s="9"/>
      <c r="AL313" s="4"/>
      <c r="AM313" s="3"/>
      <c r="AN313" s="9"/>
      <c r="AO313" s="9"/>
      <c r="AP313" s="4"/>
      <c r="AQ313" s="3"/>
      <c r="AR313" s="9"/>
      <c r="AS313" s="9"/>
      <c r="AT313" s="4"/>
      <c r="AU313" s="3"/>
      <c r="AV313" s="9"/>
      <c r="AW313" s="9"/>
      <c r="AX313" s="4"/>
      <c r="AY313" s="3"/>
      <c r="AZ313" s="9"/>
      <c r="BA313" s="9"/>
      <c r="BB313" s="4"/>
      <c r="BC313" s="3"/>
      <c r="BD313" s="9"/>
      <c r="BE313" s="9"/>
      <c r="BF313" s="122"/>
    </row>
    <row r="314" spans="1:58" customFormat="1">
      <c r="A314" s="391" t="s">
        <v>2011</v>
      </c>
      <c r="B314" s="396" t="s">
        <v>2010</v>
      </c>
      <c r="C314" s="157">
        <v>83.242273206685908</v>
      </c>
      <c r="D314" s="30" t="s">
        <v>2855</v>
      </c>
      <c r="E314" s="30" t="s">
        <v>2855</v>
      </c>
      <c r="F314" s="30" t="s">
        <v>2743</v>
      </c>
      <c r="G314" s="157">
        <v>-0.614624524573821</v>
      </c>
      <c r="H314" s="30" t="s">
        <v>2855</v>
      </c>
      <c r="I314" s="30" t="s">
        <v>2855</v>
      </c>
      <c r="J314" s="30" t="s">
        <v>2743</v>
      </c>
      <c r="K314" s="157">
        <v>19.682471367684613</v>
      </c>
      <c r="L314" s="113">
        <v>19.682471367684613</v>
      </c>
      <c r="M314" s="30">
        <v>5.1685914807794457</v>
      </c>
      <c r="N314" s="355" t="s">
        <v>1498</v>
      </c>
      <c r="O314" s="157">
        <v>-61.168801839001297</v>
      </c>
      <c r="P314" s="30" t="s">
        <v>2855</v>
      </c>
      <c r="Q314" s="30" t="s">
        <v>2855</v>
      </c>
      <c r="R314" s="30" t="s">
        <v>2743</v>
      </c>
      <c r="S314" s="157">
        <v>81.462751707859695</v>
      </c>
      <c r="T314" s="30" t="s">
        <v>2855</v>
      </c>
      <c r="U314" s="30" t="s">
        <v>2855</v>
      </c>
      <c r="V314" s="30" t="s">
        <v>2743</v>
      </c>
      <c r="W314" s="157">
        <v>20.2917765141964</v>
      </c>
      <c r="X314" s="30" t="s">
        <v>2855</v>
      </c>
      <c r="Y314" s="30" t="s">
        <v>2855</v>
      </c>
      <c r="Z314" s="300" t="s">
        <v>2743</v>
      </c>
      <c r="AA314" s="157">
        <v>7.3995830767533901</v>
      </c>
      <c r="AB314" s="30">
        <v>7.4144769580640002</v>
      </c>
      <c r="AC314" s="30">
        <v>0.176899656150004</v>
      </c>
      <c r="AD314" s="30" t="s">
        <v>2743</v>
      </c>
      <c r="AE314" s="157">
        <v>2.36907014889935</v>
      </c>
      <c r="AF314" s="30">
        <v>2.4982399586588899</v>
      </c>
      <c r="AG314" s="30">
        <v>0.23942016608906799</v>
      </c>
      <c r="AH314" s="30" t="s">
        <v>2743</v>
      </c>
      <c r="AI314" s="157">
        <v>-4.9988816034779404</v>
      </c>
      <c r="AJ314" s="30">
        <v>-4.86261105973397</v>
      </c>
      <c r="AK314" s="30">
        <v>0.16518234754729899</v>
      </c>
      <c r="AL314" s="30" t="s">
        <v>2743</v>
      </c>
      <c r="AM314" s="157">
        <v>-0.95793410116627686</v>
      </c>
      <c r="AN314" s="30">
        <v>-0.84219572744209648</v>
      </c>
      <c r="AO314" s="30">
        <v>0.16201260527324801</v>
      </c>
      <c r="AP314" s="30" t="s">
        <v>2743</v>
      </c>
      <c r="AQ314" s="157">
        <v>0.64960593048681103</v>
      </c>
      <c r="AR314" s="30">
        <v>0.64668882338857403</v>
      </c>
      <c r="AS314" s="30">
        <v>4.8672230834514801E-2</v>
      </c>
      <c r="AT314" s="30" t="s">
        <v>2743</v>
      </c>
      <c r="AU314" s="157">
        <v>3.0278708369557799</v>
      </c>
      <c r="AV314" s="30">
        <v>3.1616775235458499</v>
      </c>
      <c r="AW314" s="30">
        <v>0.23380632923209199</v>
      </c>
      <c r="AX314" s="30" t="s">
        <v>2743</v>
      </c>
      <c r="AY314" s="157">
        <v>66.64</v>
      </c>
      <c r="AZ314" s="30">
        <v>66.64</v>
      </c>
      <c r="BA314" s="30">
        <v>5.2525398777400616</v>
      </c>
      <c r="BB314" s="30" t="s">
        <v>558</v>
      </c>
      <c r="BC314" s="157">
        <v>-50.183333333333337</v>
      </c>
      <c r="BD314" s="30">
        <v>-50.183333333333337</v>
      </c>
      <c r="BE314" s="30">
        <v>10.907871775312827</v>
      </c>
      <c r="BF314" s="300" t="s">
        <v>558</v>
      </c>
    </row>
    <row r="315" spans="1:58" customFormat="1">
      <c r="A315" s="391" t="s">
        <v>2009</v>
      </c>
      <c r="B315" s="396">
        <v>222.24</v>
      </c>
      <c r="C315" s="157">
        <v>1.972148798446</v>
      </c>
      <c r="D315" s="30">
        <v>83.242273206685908</v>
      </c>
      <c r="E315" s="30">
        <v>1.972148798446</v>
      </c>
      <c r="F315" s="8" t="s">
        <v>2742</v>
      </c>
      <c r="G315" s="157">
        <v>6.9490226032151199</v>
      </c>
      <c r="H315" s="30">
        <v>-0.614624524573821</v>
      </c>
      <c r="I315" s="30">
        <v>6.9490226032151199</v>
      </c>
      <c r="J315" s="8" t="s">
        <v>2742</v>
      </c>
      <c r="K315" s="158">
        <v>5.1685914807794457</v>
      </c>
      <c r="L315" s="113">
        <v>19.67715198962258</v>
      </c>
      <c r="M315" s="113">
        <v>9.9499869427521794</v>
      </c>
      <c r="N315" s="13" t="s">
        <v>1499</v>
      </c>
      <c r="O315" s="157">
        <v>4.7775482218365797</v>
      </c>
      <c r="P315" s="30">
        <v>-61.168801839001297</v>
      </c>
      <c r="Q315" s="30">
        <v>4.7775482218365797</v>
      </c>
      <c r="R315" s="8" t="s">
        <v>2742</v>
      </c>
      <c r="S315" s="157">
        <v>6.9092283536314101</v>
      </c>
      <c r="T315" s="30">
        <v>81.462751707859695</v>
      </c>
      <c r="U315" s="30">
        <v>6.9092283536314101</v>
      </c>
      <c r="V315" s="8" t="s">
        <v>2742</v>
      </c>
      <c r="W315" s="157">
        <v>7.1213288802683596</v>
      </c>
      <c r="X315" s="30">
        <v>20.2917765141964</v>
      </c>
      <c r="Y315" s="30">
        <v>7.1213288802683596</v>
      </c>
      <c r="Z315" s="498" t="s">
        <v>2742</v>
      </c>
      <c r="AA315" s="157">
        <v>0.17458065868283701</v>
      </c>
      <c r="AB315" s="30">
        <v>7.3995830767533901</v>
      </c>
      <c r="AC315" s="30">
        <v>0.17458065868283701</v>
      </c>
      <c r="AD315" s="8" t="s">
        <v>2742</v>
      </c>
      <c r="AE315" s="157">
        <v>0.23534060587392799</v>
      </c>
      <c r="AF315" s="30">
        <v>2.36907014889935</v>
      </c>
      <c r="AG315" s="30">
        <v>0.23534060587392799</v>
      </c>
      <c r="AH315" s="8" t="s">
        <v>2742</v>
      </c>
      <c r="AI315" s="157">
        <v>0.21860369131931101</v>
      </c>
      <c r="AJ315" s="30">
        <v>-4.9988816034779404</v>
      </c>
      <c r="AK315" s="30">
        <v>0.21860369131931101</v>
      </c>
      <c r="AL315" s="8" t="s">
        <v>2742</v>
      </c>
      <c r="AM315" s="157">
        <v>0.19400399327231799</v>
      </c>
      <c r="AN315" s="30">
        <v>-0.95793410116627686</v>
      </c>
      <c r="AO315" s="30">
        <v>0.19400399327231799</v>
      </c>
      <c r="AP315" s="8" t="s">
        <v>2742</v>
      </c>
      <c r="AQ315" s="157">
        <v>4.9253167920606002E-2</v>
      </c>
      <c r="AR315" s="30">
        <v>0.64960593048681103</v>
      </c>
      <c r="AS315" s="30">
        <v>4.9253167920606002E-2</v>
      </c>
      <c r="AT315" s="8" t="s">
        <v>2742</v>
      </c>
      <c r="AU315" s="157">
        <v>0.225162354911599</v>
      </c>
      <c r="AV315" s="30">
        <v>3.0278708369557799</v>
      </c>
      <c r="AW315" s="30">
        <v>0.225162354911599</v>
      </c>
      <c r="AX315" s="8" t="s">
        <v>2742</v>
      </c>
      <c r="AY315" s="157">
        <v>5.2525398777400616</v>
      </c>
      <c r="AZ315" s="30"/>
      <c r="BA315" s="30"/>
      <c r="BB315" s="101"/>
      <c r="BC315" s="157">
        <v>10.907871775312827</v>
      </c>
      <c r="BD315" s="30"/>
      <c r="BE315" s="30"/>
      <c r="BF315" s="277"/>
    </row>
    <row r="316" spans="1:58" customFormat="1">
      <c r="A316" s="391"/>
      <c r="B316" s="396"/>
      <c r="C316" s="3"/>
      <c r="D316" s="206">
        <v>83.510311011427788</v>
      </c>
      <c r="E316" s="206">
        <v>2.0167132760553788</v>
      </c>
      <c r="F316" s="206" t="s">
        <v>558</v>
      </c>
      <c r="G316" s="3"/>
      <c r="H316" s="206" t="s">
        <v>2855</v>
      </c>
      <c r="I316" s="206" t="s">
        <v>2855</v>
      </c>
      <c r="J316" s="206" t="s">
        <v>558</v>
      </c>
      <c r="K316" s="353"/>
      <c r="L316" s="344">
        <v>7.289999999999992</v>
      </c>
      <c r="M316" s="344">
        <v>10.483023147874672</v>
      </c>
      <c r="N316" s="206" t="s">
        <v>1124</v>
      </c>
      <c r="O316" s="3"/>
      <c r="P316" s="206">
        <v>-59.087598</v>
      </c>
      <c r="Q316" s="206">
        <v>3.7436769844595208</v>
      </c>
      <c r="R316" s="206" t="s">
        <v>558</v>
      </c>
      <c r="S316" s="3"/>
      <c r="T316" s="206" t="s">
        <v>2855</v>
      </c>
      <c r="U316" s="206" t="s">
        <v>2855</v>
      </c>
      <c r="V316" s="206" t="s">
        <v>558</v>
      </c>
      <c r="W316" s="3"/>
      <c r="X316" s="206" t="s">
        <v>2855</v>
      </c>
      <c r="Y316" s="206" t="s">
        <v>2855</v>
      </c>
      <c r="Z316" s="350" t="s">
        <v>558</v>
      </c>
      <c r="AA316" s="4"/>
      <c r="AB316" s="206">
        <v>7.48</v>
      </c>
      <c r="AC316" s="206">
        <v>0.19259367930223703</v>
      </c>
      <c r="AD316" s="206" t="s">
        <v>558</v>
      </c>
      <c r="AE316" s="3"/>
      <c r="AF316" s="206">
        <v>2.192034364660989</v>
      </c>
      <c r="AG316" s="206">
        <v>0.41659773461009664</v>
      </c>
      <c r="AH316" s="206" t="s">
        <v>558</v>
      </c>
      <c r="AI316" s="3"/>
      <c r="AJ316" s="206">
        <v>-4.7375489102695703</v>
      </c>
      <c r="AK316" s="206">
        <v>0.94750978205391412</v>
      </c>
      <c r="AL316" s="206" t="s">
        <v>558</v>
      </c>
      <c r="AM316" s="3"/>
      <c r="AN316" s="206">
        <v>-0.86296934379017121</v>
      </c>
      <c r="AO316" s="206">
        <v>0.22717615065451793</v>
      </c>
      <c r="AP316" s="206" t="s">
        <v>558</v>
      </c>
      <c r="AQ316" s="3"/>
      <c r="AR316" s="206">
        <v>-0.86296934379017121</v>
      </c>
      <c r="AS316" s="206">
        <v>0.22717615065451793</v>
      </c>
      <c r="AT316" s="206" t="s">
        <v>558</v>
      </c>
      <c r="AU316" s="3"/>
      <c r="AV316" s="206" t="s">
        <v>2855</v>
      </c>
      <c r="AW316" s="206" t="s">
        <v>2855</v>
      </c>
      <c r="AX316" s="206" t="s">
        <v>558</v>
      </c>
      <c r="AY316" s="3"/>
      <c r="AZ316" s="52"/>
      <c r="BA316" s="52"/>
      <c r="BB316" s="52"/>
      <c r="BC316" s="3"/>
      <c r="BD316" s="40"/>
      <c r="BE316" s="40"/>
      <c r="BF316" s="42"/>
    </row>
    <row r="317" spans="1:58" customFormat="1">
      <c r="A317" s="391"/>
      <c r="B317" s="396"/>
      <c r="C317" s="3"/>
      <c r="D317" s="176">
        <v>76.569999999999993</v>
      </c>
      <c r="E317" s="176">
        <v>8.0439847799999988</v>
      </c>
      <c r="F317" s="206" t="s">
        <v>1124</v>
      </c>
      <c r="G317" s="3"/>
      <c r="H317" s="176">
        <v>-7.0300000000000011</v>
      </c>
      <c r="I317" s="176">
        <v>9.8615434000000004</v>
      </c>
      <c r="J317" s="206" t="s">
        <v>1124</v>
      </c>
      <c r="K317" s="353"/>
      <c r="L317" s="206"/>
      <c r="M317" s="206"/>
      <c r="N317" s="206"/>
      <c r="O317" s="3"/>
      <c r="P317" s="178">
        <v>-69.28</v>
      </c>
      <c r="Q317" s="178">
        <v>13.2217416</v>
      </c>
      <c r="R317" s="206" t="s">
        <v>1124</v>
      </c>
      <c r="S317" s="3"/>
      <c r="T317" s="178">
        <v>86.346859800000004</v>
      </c>
      <c r="U317" s="178">
        <v>16.187359459846199</v>
      </c>
      <c r="V317" s="206" t="s">
        <v>1124</v>
      </c>
      <c r="W317" s="3"/>
      <c r="X317" s="178">
        <v>11.982088000000003</v>
      </c>
      <c r="Y317" s="178">
        <v>4.9152100352025263</v>
      </c>
      <c r="Z317" s="350" t="s">
        <v>1124</v>
      </c>
      <c r="AA317" s="4"/>
      <c r="AB317" s="178">
        <v>7.5049999999999999</v>
      </c>
      <c r="AC317" s="178">
        <v>0.50910917999999994</v>
      </c>
      <c r="AD317" s="206" t="s">
        <v>1124</v>
      </c>
      <c r="AE317" s="3"/>
      <c r="AF317" s="178">
        <v>2.59</v>
      </c>
      <c r="AG317" s="178">
        <v>0.22044007999999998</v>
      </c>
      <c r="AH317" s="206" t="s">
        <v>1124</v>
      </c>
      <c r="AI317" s="3"/>
      <c r="AJ317" s="178">
        <v>-5.26</v>
      </c>
      <c r="AK317" s="178">
        <v>1.0621728399999999</v>
      </c>
      <c r="AL317" s="206" t="s">
        <v>1124</v>
      </c>
      <c r="AM317" s="3"/>
      <c r="AN317" s="178">
        <v>-0.56710395199844876</v>
      </c>
      <c r="AO317" s="178">
        <v>8.7765007611279935E-2</v>
      </c>
      <c r="AP317" s="206" t="s">
        <v>1124</v>
      </c>
      <c r="AQ317" s="3"/>
      <c r="AR317" s="178">
        <v>-0.56710395199844876</v>
      </c>
      <c r="AS317" s="178">
        <v>8.7765007611279935E-2</v>
      </c>
      <c r="AT317" s="206" t="s">
        <v>1124</v>
      </c>
      <c r="AU317" s="3"/>
      <c r="AV317" s="178">
        <v>2.7502045999999996</v>
      </c>
      <c r="AW317" s="178">
        <v>0.49704722756259995</v>
      </c>
      <c r="AX317" s="206" t="s">
        <v>1124</v>
      </c>
      <c r="AY317" s="3"/>
      <c r="AZ317" s="178"/>
      <c r="BA317" s="178"/>
      <c r="BB317" s="206"/>
      <c r="BC317" s="3"/>
      <c r="BD317" s="178"/>
      <c r="BE317" s="178"/>
      <c r="BF317" s="350"/>
    </row>
    <row r="318" spans="1:58" customFormat="1">
      <c r="A318" s="391"/>
      <c r="B318" s="396"/>
      <c r="C318" s="87"/>
      <c r="D318" s="119"/>
      <c r="E318" s="119"/>
      <c r="F318" s="30"/>
      <c r="G318" s="80"/>
      <c r="H318" s="119"/>
      <c r="I318" s="119"/>
      <c r="J318" s="70"/>
      <c r="K318" s="83"/>
      <c r="L318" s="70"/>
      <c r="M318" s="70"/>
      <c r="N318" s="70"/>
      <c r="O318" s="213"/>
      <c r="P318" s="119"/>
      <c r="Q318" s="119"/>
      <c r="R318" s="70"/>
      <c r="S318" s="80"/>
      <c r="T318" s="1"/>
      <c r="U318" s="1"/>
      <c r="V318" s="13"/>
      <c r="W318" s="80"/>
      <c r="X318" s="171"/>
      <c r="Y318" s="171"/>
      <c r="Z318" s="207"/>
      <c r="AA318" s="4"/>
      <c r="AB318" s="9"/>
      <c r="AC318" s="9"/>
      <c r="AD318" s="4"/>
      <c r="AE318" s="3"/>
      <c r="AF318" s="9"/>
      <c r="AG318" s="9"/>
      <c r="AH318" s="4"/>
      <c r="AI318" s="3"/>
      <c r="AJ318" s="9"/>
      <c r="AK318" s="9"/>
      <c r="AL318" s="4"/>
      <c r="AM318" s="3"/>
      <c r="AN318" s="9"/>
      <c r="AO318" s="9"/>
      <c r="AP318" s="4"/>
      <c r="AQ318" s="3"/>
      <c r="AR318" s="9"/>
      <c r="AS318" s="9"/>
      <c r="AT318" s="4"/>
      <c r="AU318" s="3"/>
      <c r="AV318" s="9"/>
      <c r="AW318" s="9"/>
      <c r="AX318" s="4"/>
      <c r="AY318" s="3"/>
      <c r="AZ318" s="9"/>
      <c r="BA318" s="9"/>
      <c r="BB318" s="4"/>
      <c r="BC318" s="3"/>
      <c r="BD318" s="9"/>
      <c r="BE318" s="9"/>
      <c r="BF318" s="122"/>
    </row>
    <row r="319" spans="1:58" customFormat="1">
      <c r="A319" s="391" t="s">
        <v>1997</v>
      </c>
      <c r="B319" s="396" t="s">
        <v>1996</v>
      </c>
      <c r="C319" s="157">
        <v>88.17445003690861</v>
      </c>
      <c r="D319" s="30" t="s">
        <v>2855</v>
      </c>
      <c r="E319" s="30" t="s">
        <v>2855</v>
      </c>
      <c r="F319" s="30" t="s">
        <v>2743</v>
      </c>
      <c r="G319" s="157">
        <v>-4.7713999873455499</v>
      </c>
      <c r="H319" s="30" t="s">
        <v>2855</v>
      </c>
      <c r="I319" s="30" t="s">
        <v>2855</v>
      </c>
      <c r="J319" s="30" t="s">
        <v>2743</v>
      </c>
      <c r="K319" s="157">
        <v>6.3068062750071103</v>
      </c>
      <c r="L319" s="113">
        <v>6.3068062750071103</v>
      </c>
      <c r="M319" s="30">
        <v>10.455354243048552</v>
      </c>
      <c r="N319" s="355" t="s">
        <v>1498</v>
      </c>
      <c r="O319" s="157">
        <v>-79.476643761901499</v>
      </c>
      <c r="P319" s="30" t="s">
        <v>2855</v>
      </c>
      <c r="Q319" s="30" t="s">
        <v>2855</v>
      </c>
      <c r="R319" s="30" t="s">
        <v>2743</v>
      </c>
      <c r="S319" s="157">
        <v>90.554518312974096</v>
      </c>
      <c r="T319" s="30" t="s">
        <v>2855</v>
      </c>
      <c r="U319" s="30" t="s">
        <v>2855</v>
      </c>
      <c r="V319" s="30" t="s">
        <v>2743</v>
      </c>
      <c r="W319" s="157">
        <v>11.075918222763899</v>
      </c>
      <c r="X319" s="30" t="s">
        <v>2855</v>
      </c>
      <c r="Y319" s="30" t="s">
        <v>2855</v>
      </c>
      <c r="Z319" s="300" t="s">
        <v>2743</v>
      </c>
      <c r="AA319" s="157">
        <v>8.2069534707008103</v>
      </c>
      <c r="AB319" s="30" t="s">
        <v>2855</v>
      </c>
      <c r="AC319" s="30" t="s">
        <v>2855</v>
      </c>
      <c r="AD319" s="30" t="s">
        <v>2743</v>
      </c>
      <c r="AE319" s="157">
        <v>3.5013347768196001</v>
      </c>
      <c r="AF319" s="30" t="s">
        <v>2855</v>
      </c>
      <c r="AG319" s="30" t="s">
        <v>2855</v>
      </c>
      <c r="AH319" s="30" t="s">
        <v>2743</v>
      </c>
      <c r="AI319" s="157">
        <v>-4.7206108946470602</v>
      </c>
      <c r="AJ319" s="30" t="s">
        <v>2855</v>
      </c>
      <c r="AK319" s="30" t="s">
        <v>2855</v>
      </c>
      <c r="AL319" s="30" t="s">
        <v>2743</v>
      </c>
      <c r="AM319" s="157">
        <v>-1.7222060555082661</v>
      </c>
      <c r="AN319" s="30" t="s">
        <v>2855</v>
      </c>
      <c r="AO319" s="30" t="s">
        <v>2855</v>
      </c>
      <c r="AP319" s="30" t="s">
        <v>2743</v>
      </c>
      <c r="AQ319" s="157">
        <v>-0.39684223798173701</v>
      </c>
      <c r="AR319" s="30" t="s">
        <v>2855</v>
      </c>
      <c r="AS319" s="30" t="s">
        <v>2855</v>
      </c>
      <c r="AT319" s="30" t="s">
        <v>2743</v>
      </c>
      <c r="AU319" s="157">
        <v>3.0955175170727398</v>
      </c>
      <c r="AV319" s="30" t="s">
        <v>2855</v>
      </c>
      <c r="AW319" s="30" t="s">
        <v>2855</v>
      </c>
      <c r="AX319" s="30" t="s">
        <v>2743</v>
      </c>
      <c r="AY319" s="157" t="s">
        <v>2855</v>
      </c>
      <c r="AZ319" s="30" t="s">
        <v>2855</v>
      </c>
      <c r="BA319" s="30" t="s">
        <v>2855</v>
      </c>
      <c r="BB319" s="30" t="s">
        <v>558</v>
      </c>
      <c r="BC319" s="157">
        <v>-31</v>
      </c>
      <c r="BD319" s="30">
        <v>-31</v>
      </c>
      <c r="BE319" s="30">
        <v>1.4311372328443748</v>
      </c>
      <c r="BF319" s="300" t="s">
        <v>558</v>
      </c>
    </row>
    <row r="320" spans="1:58" customFormat="1">
      <c r="A320" s="391" t="s">
        <v>1995</v>
      </c>
      <c r="B320" s="396">
        <v>250.29</v>
      </c>
      <c r="C320" s="157">
        <v>5.7853339933094903</v>
      </c>
      <c r="D320" s="30">
        <v>88.17445003690861</v>
      </c>
      <c r="E320" s="30">
        <v>5.7853339933094903</v>
      </c>
      <c r="F320" s="8" t="s">
        <v>2742</v>
      </c>
      <c r="G320" s="157">
        <v>6.7323581378408104</v>
      </c>
      <c r="H320" s="30">
        <v>-4.7713999873455499</v>
      </c>
      <c r="I320" s="30">
        <v>6.7323581378408104</v>
      </c>
      <c r="J320" s="8" t="s">
        <v>2742</v>
      </c>
      <c r="K320" s="158">
        <v>10.455354243048552</v>
      </c>
      <c r="L320" s="113">
        <v>6.3045182354183495</v>
      </c>
      <c r="M320" s="113">
        <v>9.0749519806481</v>
      </c>
      <c r="N320" s="13" t="s">
        <v>1499</v>
      </c>
      <c r="O320" s="157">
        <v>8.7088657661885591</v>
      </c>
      <c r="P320" s="30">
        <v>-79.476643761901499</v>
      </c>
      <c r="Q320" s="30">
        <v>8.7088657661885591</v>
      </c>
      <c r="R320" s="8" t="s">
        <v>2742</v>
      </c>
      <c r="S320" s="157">
        <v>7.6534016214508904</v>
      </c>
      <c r="T320" s="30">
        <v>90.554518312974096</v>
      </c>
      <c r="U320" s="30">
        <v>7.6534016214508904</v>
      </c>
      <c r="V320" s="8" t="s">
        <v>2742</v>
      </c>
      <c r="W320" s="157">
        <v>6.0852368363866898</v>
      </c>
      <c r="X320" s="30">
        <v>11.075918222763899</v>
      </c>
      <c r="Y320" s="30">
        <v>6.0852368363866898</v>
      </c>
      <c r="Z320" s="498" t="s">
        <v>2742</v>
      </c>
      <c r="AA320" s="157">
        <v>0.35349880708082698</v>
      </c>
      <c r="AB320" s="30">
        <v>8.2069534707008103</v>
      </c>
      <c r="AC320" s="30">
        <v>0.35349880708082698</v>
      </c>
      <c r="AD320" s="8" t="s">
        <v>2742</v>
      </c>
      <c r="AE320" s="157">
        <v>0.32403011543594501</v>
      </c>
      <c r="AF320" s="30">
        <v>3.5013347768196001</v>
      </c>
      <c r="AG320" s="30">
        <v>0.32403011543594501</v>
      </c>
      <c r="AH320" s="8" t="s">
        <v>2742</v>
      </c>
      <c r="AI320" s="157">
        <v>0.287940606178331</v>
      </c>
      <c r="AJ320" s="30">
        <v>-4.7206108946470602</v>
      </c>
      <c r="AK320" s="30">
        <v>0.287940606178331</v>
      </c>
      <c r="AL320" s="8" t="s">
        <v>2742</v>
      </c>
      <c r="AM320" s="157">
        <v>0.250839992971504</v>
      </c>
      <c r="AN320" s="30">
        <v>-1.7222060555082661</v>
      </c>
      <c r="AO320" s="30">
        <v>0.250839992971504</v>
      </c>
      <c r="AP320" s="8" t="s">
        <v>2742</v>
      </c>
      <c r="AQ320" s="157">
        <v>0.12776156706786801</v>
      </c>
      <c r="AR320" s="30">
        <v>-0.39684223798173701</v>
      </c>
      <c r="AS320" s="30">
        <v>0.12776156706786801</v>
      </c>
      <c r="AT320" s="8" t="s">
        <v>2742</v>
      </c>
      <c r="AU320" s="157">
        <v>0.31831428173609499</v>
      </c>
      <c r="AV320" s="30">
        <v>3.0955175170727398</v>
      </c>
      <c r="AW320" s="30">
        <v>0.31831428173609499</v>
      </c>
      <c r="AX320" s="8" t="s">
        <v>2742</v>
      </c>
      <c r="AY320" s="157" t="s">
        <v>2855</v>
      </c>
      <c r="AZ320" s="30"/>
      <c r="BA320" s="30"/>
      <c r="BB320" s="101"/>
      <c r="BC320" s="157">
        <v>1.4311372328443748</v>
      </c>
      <c r="BD320" s="30"/>
      <c r="BE320" s="30"/>
      <c r="BF320" s="277"/>
    </row>
    <row r="321" spans="1:58" customFormat="1">
      <c r="A321" s="391"/>
      <c r="B321" s="396"/>
      <c r="C321" s="3"/>
      <c r="D321" s="206">
        <v>88.7</v>
      </c>
      <c r="E321" s="206">
        <v>6.3299352182001298</v>
      </c>
      <c r="F321" s="206" t="s">
        <v>558</v>
      </c>
      <c r="G321" s="3"/>
      <c r="H321" s="206" t="s">
        <v>2855</v>
      </c>
      <c r="I321" s="206" t="s">
        <v>2855</v>
      </c>
      <c r="J321" s="206" t="s">
        <v>558</v>
      </c>
      <c r="K321" s="353"/>
      <c r="L321" s="344">
        <v>6.6300000000000097</v>
      </c>
      <c r="M321" s="344">
        <v>9.5339428628819274</v>
      </c>
      <c r="N321" s="206" t="s">
        <v>1124</v>
      </c>
      <c r="O321" s="3"/>
      <c r="P321" s="206" t="s">
        <v>2855</v>
      </c>
      <c r="Q321" s="206" t="s">
        <v>2855</v>
      </c>
      <c r="R321" s="206" t="s">
        <v>558</v>
      </c>
      <c r="S321" s="3"/>
      <c r="T321" s="206" t="s">
        <v>2855</v>
      </c>
      <c r="U321" s="206" t="s">
        <v>2855</v>
      </c>
      <c r="V321" s="206" t="s">
        <v>558</v>
      </c>
      <c r="W321" s="3"/>
      <c r="X321" s="206" t="s">
        <v>2855</v>
      </c>
      <c r="Y321" s="206" t="s">
        <v>2855</v>
      </c>
      <c r="Z321" s="350" t="s">
        <v>558</v>
      </c>
      <c r="AA321" s="4"/>
      <c r="AB321" s="206" t="s">
        <v>2855</v>
      </c>
      <c r="AC321" s="206" t="s">
        <v>2855</v>
      </c>
      <c r="AD321" s="206" t="s">
        <v>558</v>
      </c>
      <c r="AE321" s="3"/>
      <c r="AF321" s="206">
        <v>3.7340326049913961</v>
      </c>
      <c r="AG321" s="206">
        <v>0.48041586212717508</v>
      </c>
      <c r="AH321" s="206" t="s">
        <v>558</v>
      </c>
      <c r="AI321" s="3"/>
      <c r="AJ321" s="206" t="s">
        <v>2855</v>
      </c>
      <c r="AK321" s="206" t="s">
        <v>2855</v>
      </c>
      <c r="AL321" s="206" t="s">
        <v>558</v>
      </c>
      <c r="AM321" s="3"/>
      <c r="AN321" s="206">
        <v>-1.7569619513137056</v>
      </c>
      <c r="AO321" s="206">
        <v>0.27876727169807036</v>
      </c>
      <c r="AP321" s="206" t="s">
        <v>558</v>
      </c>
      <c r="AQ321" s="3"/>
      <c r="AR321" s="206">
        <v>-1.7569619513137056</v>
      </c>
      <c r="AS321" s="206">
        <v>0.27876727169807036</v>
      </c>
      <c r="AT321" s="206" t="s">
        <v>558</v>
      </c>
      <c r="AU321" s="3"/>
      <c r="AV321" s="206" t="s">
        <v>2855</v>
      </c>
      <c r="AW321" s="206" t="s">
        <v>2855</v>
      </c>
      <c r="AX321" s="206" t="s">
        <v>558</v>
      </c>
      <c r="AY321" s="3"/>
      <c r="AZ321" s="52"/>
      <c r="BA321" s="52"/>
      <c r="BB321" s="52"/>
      <c r="BC321" s="3"/>
      <c r="BD321" s="40"/>
      <c r="BE321" s="40"/>
      <c r="BF321" s="42"/>
    </row>
    <row r="322" spans="1:58" customFormat="1">
      <c r="A322" s="391"/>
      <c r="B322" s="396"/>
      <c r="C322" s="3"/>
      <c r="D322" s="176">
        <v>81.180000000000007</v>
      </c>
      <c r="E322" s="176">
        <v>8.528283720000001</v>
      </c>
      <c r="F322" s="206" t="s">
        <v>1124</v>
      </c>
      <c r="G322" s="3"/>
      <c r="H322" s="176">
        <v>-5.6399999999999864</v>
      </c>
      <c r="I322" s="176">
        <v>7.9116791999999805</v>
      </c>
      <c r="J322" s="206" t="s">
        <v>1124</v>
      </c>
      <c r="K322" s="353"/>
      <c r="L322" s="206"/>
      <c r="M322" s="206"/>
      <c r="N322" s="206"/>
      <c r="O322" s="3"/>
      <c r="P322" s="178">
        <v>-74.55</v>
      </c>
      <c r="Q322" s="178">
        <v>14.227494749999998</v>
      </c>
      <c r="R322" s="206" t="s">
        <v>1124</v>
      </c>
      <c r="S322" s="3"/>
      <c r="T322" s="178">
        <v>94.4325142</v>
      </c>
      <c r="U322" s="178">
        <v>17.7031690045598</v>
      </c>
      <c r="V322" s="206" t="s">
        <v>1124</v>
      </c>
      <c r="W322" s="3"/>
      <c r="X322" s="178">
        <v>10.048651999999995</v>
      </c>
      <c r="Y322" s="178">
        <v>4.1220891676524074</v>
      </c>
      <c r="Z322" s="350" t="s">
        <v>1124</v>
      </c>
      <c r="AA322" s="4"/>
      <c r="AB322" s="178">
        <v>8.0530000000000008</v>
      </c>
      <c r="AC322" s="178">
        <v>0.54628330800000002</v>
      </c>
      <c r="AD322" s="206" t="s">
        <v>1124</v>
      </c>
      <c r="AE322" s="3"/>
      <c r="AF322" s="178">
        <v>3.65</v>
      </c>
      <c r="AG322" s="178">
        <v>0.31065879999999996</v>
      </c>
      <c r="AH322" s="206" t="s">
        <v>1124</v>
      </c>
      <c r="AI322" s="3"/>
      <c r="AJ322" s="178">
        <v>-4.8</v>
      </c>
      <c r="AK322" s="178">
        <v>0.96928320000000001</v>
      </c>
      <c r="AL322" s="206" t="s">
        <v>1124</v>
      </c>
      <c r="AM322" s="3"/>
      <c r="AN322" s="178">
        <v>-1.8220197365082198</v>
      </c>
      <c r="AO322" s="178">
        <v>0.2819757744220121</v>
      </c>
      <c r="AP322" s="206" t="s">
        <v>1124</v>
      </c>
      <c r="AQ322" s="3"/>
      <c r="AR322" s="178">
        <v>-1.8220197365082198</v>
      </c>
      <c r="AS322" s="178">
        <v>0.2819757744220121</v>
      </c>
      <c r="AT322" s="206" t="s">
        <v>1124</v>
      </c>
      <c r="AU322" s="3"/>
      <c r="AV322" s="178">
        <v>2.9567283999999998</v>
      </c>
      <c r="AW322" s="178">
        <v>0.53437248046039998</v>
      </c>
      <c r="AX322" s="206" t="s">
        <v>1124</v>
      </c>
      <c r="AY322" s="3"/>
      <c r="AZ322" s="178"/>
      <c r="BA322" s="178"/>
      <c r="BB322" s="206"/>
      <c r="BC322" s="3"/>
      <c r="BD322" s="178"/>
      <c r="BE322" s="178"/>
      <c r="BF322" s="350"/>
    </row>
    <row r="323" spans="1:58" customFormat="1">
      <c r="A323" s="391"/>
      <c r="B323" s="396"/>
      <c r="C323" s="87"/>
      <c r="D323" s="119"/>
      <c r="E323" s="119"/>
      <c r="F323" s="30"/>
      <c r="G323" s="80"/>
      <c r="H323" s="119"/>
      <c r="I323" s="119"/>
      <c r="J323" s="70"/>
      <c r="K323" s="83"/>
      <c r="L323" s="70"/>
      <c r="M323" s="70"/>
      <c r="N323" s="70"/>
      <c r="O323" s="115"/>
      <c r="P323" s="119"/>
      <c r="Q323" s="119"/>
      <c r="R323" s="70"/>
      <c r="S323" s="80"/>
      <c r="T323" s="1"/>
      <c r="U323" s="1"/>
      <c r="V323" s="13"/>
      <c r="W323" s="80"/>
      <c r="X323" s="171"/>
      <c r="Y323" s="171"/>
      <c r="Z323" s="207"/>
      <c r="AA323" s="4"/>
      <c r="AB323" s="9"/>
      <c r="AC323" s="9"/>
      <c r="AD323" s="4"/>
      <c r="AE323" s="3"/>
      <c r="AF323" s="9"/>
      <c r="AG323" s="9"/>
      <c r="AH323" s="4"/>
      <c r="AI323" s="3"/>
      <c r="AJ323" s="9"/>
      <c r="AK323" s="9"/>
      <c r="AL323" s="4"/>
      <c r="AM323" s="3"/>
      <c r="AN323" s="9"/>
      <c r="AO323" s="9"/>
      <c r="AP323" s="4"/>
      <c r="AQ323" s="3"/>
      <c r="AR323" s="9"/>
      <c r="AS323" s="9"/>
      <c r="AT323" s="4"/>
      <c r="AU323" s="3"/>
      <c r="AV323" s="9"/>
      <c r="AW323" s="9"/>
      <c r="AX323" s="4"/>
      <c r="AY323" s="3"/>
      <c r="AZ323" s="9"/>
      <c r="BA323" s="9"/>
      <c r="BB323" s="4"/>
      <c r="BC323" s="3"/>
      <c r="BD323" s="9"/>
      <c r="BE323" s="9"/>
      <c r="BF323" s="122"/>
    </row>
    <row r="324" spans="1:58" customFormat="1">
      <c r="A324" s="391" t="s">
        <v>1992</v>
      </c>
      <c r="B324" s="396" t="s">
        <v>1991</v>
      </c>
      <c r="C324" s="157">
        <v>84.6634098408135</v>
      </c>
      <c r="D324" s="30" t="s">
        <v>2855</v>
      </c>
      <c r="E324" s="30" t="s">
        <v>2855</v>
      </c>
      <c r="F324" s="30" t="s">
        <v>2743</v>
      </c>
      <c r="G324" s="157">
        <v>-1.66791781177271</v>
      </c>
      <c r="H324" s="30" t="s">
        <v>2855</v>
      </c>
      <c r="I324" s="30" t="s">
        <v>2855</v>
      </c>
      <c r="J324" s="30" t="s">
        <v>2743</v>
      </c>
      <c r="K324" s="157">
        <v>5.4705069207684058</v>
      </c>
      <c r="L324" s="113">
        <v>5.4705069207684058</v>
      </c>
      <c r="M324" s="30">
        <v>17.356085214694264</v>
      </c>
      <c r="N324" s="355" t="s">
        <v>1498</v>
      </c>
      <c r="O324" s="157">
        <v>-76.801902920045094</v>
      </c>
      <c r="P324" s="30" t="s">
        <v>2855</v>
      </c>
      <c r="Q324" s="30" t="s">
        <v>2855</v>
      </c>
      <c r="R324" s="30" t="s">
        <v>2743</v>
      </c>
      <c r="S324" s="157">
        <v>83.942864359661897</v>
      </c>
      <c r="T324" s="30" t="s">
        <v>2855</v>
      </c>
      <c r="U324" s="30" t="s">
        <v>2855</v>
      </c>
      <c r="V324" s="30" t="s">
        <v>2743</v>
      </c>
      <c r="W324" s="157">
        <v>7.1402910298581999</v>
      </c>
      <c r="X324" s="30" t="s">
        <v>2855</v>
      </c>
      <c r="Y324" s="30" t="s">
        <v>2855</v>
      </c>
      <c r="Z324" s="300" t="s">
        <v>2743</v>
      </c>
      <c r="AA324" s="157">
        <v>8.3120748776338598</v>
      </c>
      <c r="AB324" s="30" t="s">
        <v>2855</v>
      </c>
      <c r="AC324" s="30" t="s">
        <v>2855</v>
      </c>
      <c r="AD324" s="30" t="s">
        <v>2743</v>
      </c>
      <c r="AE324" s="157">
        <v>4.1926014322627898</v>
      </c>
      <c r="AF324" s="30" t="s">
        <v>2855</v>
      </c>
      <c r="AG324" s="30" t="s">
        <v>2855</v>
      </c>
      <c r="AH324" s="30" t="s">
        <v>2743</v>
      </c>
      <c r="AI324" s="157">
        <v>-4.1054358104129696</v>
      </c>
      <c r="AJ324" s="30" t="s">
        <v>2855</v>
      </c>
      <c r="AK324" s="30" t="s">
        <v>2855</v>
      </c>
      <c r="AL324" s="30" t="s">
        <v>2743</v>
      </c>
      <c r="AM324" s="157">
        <v>-2.0402008617476266</v>
      </c>
      <c r="AN324" s="30" t="s">
        <v>2855</v>
      </c>
      <c r="AO324" s="30" t="s">
        <v>2855</v>
      </c>
      <c r="AP324" s="30" t="s">
        <v>2743</v>
      </c>
      <c r="AQ324" s="157">
        <v>-1.3301771581330999</v>
      </c>
      <c r="AR324" s="30" t="s">
        <v>2855</v>
      </c>
      <c r="AS324" s="30" t="s">
        <v>2855</v>
      </c>
      <c r="AT324" s="30" t="s">
        <v>2743</v>
      </c>
      <c r="AU324" s="157">
        <v>2.87498596097599</v>
      </c>
      <c r="AV324" s="30" t="s">
        <v>2855</v>
      </c>
      <c r="AW324" s="30" t="s">
        <v>2855</v>
      </c>
      <c r="AX324" s="30" t="s">
        <v>2743</v>
      </c>
      <c r="AY324" s="157" t="s">
        <v>2855</v>
      </c>
      <c r="AZ324" s="30" t="s">
        <v>2855</v>
      </c>
      <c r="BA324" s="30" t="s">
        <v>2855</v>
      </c>
      <c r="BB324" s="30" t="s">
        <v>558</v>
      </c>
      <c r="BC324" s="157">
        <v>-54.6</v>
      </c>
      <c r="BD324" s="30">
        <v>-54.6</v>
      </c>
      <c r="BE324" s="30">
        <v>11.3929802949009</v>
      </c>
      <c r="BF324" s="300" t="s">
        <v>558</v>
      </c>
    </row>
    <row r="325" spans="1:58" customFormat="1">
      <c r="A325" s="391" t="s">
        <v>1989</v>
      </c>
      <c r="B325" s="396">
        <v>278.33999999999997</v>
      </c>
      <c r="C325" s="157">
        <v>9.6373903816586601</v>
      </c>
      <c r="D325" s="30">
        <v>84.6634098408135</v>
      </c>
      <c r="E325" s="30">
        <v>9.6373903816586601</v>
      </c>
      <c r="F325" s="8" t="s">
        <v>2742</v>
      </c>
      <c r="G325" s="157">
        <v>8.4375205715082497</v>
      </c>
      <c r="H325" s="30">
        <v>-1.66791781177271</v>
      </c>
      <c r="I325" s="30">
        <v>8.4375205715082497</v>
      </c>
      <c r="J325" s="8" t="s">
        <v>2742</v>
      </c>
      <c r="K325" s="158">
        <v>17.356085214694264</v>
      </c>
      <c r="L325" s="113">
        <v>5.4723732180854903</v>
      </c>
      <c r="M325" s="113">
        <v>16.810753373282839</v>
      </c>
      <c r="N325" s="13" t="s">
        <v>1499</v>
      </c>
      <c r="O325" s="157">
        <v>14.4344865032062</v>
      </c>
      <c r="P325" s="30">
        <v>-76.801902920045094</v>
      </c>
      <c r="Q325" s="30">
        <v>14.4344865032062</v>
      </c>
      <c r="R325" s="8" t="s">
        <v>2742</v>
      </c>
      <c r="S325" s="157">
        <v>10.710000524445199</v>
      </c>
      <c r="T325" s="30">
        <v>83.942864359661897</v>
      </c>
      <c r="U325" s="30">
        <v>10.710000524445199</v>
      </c>
      <c r="V325" s="8" t="s">
        <v>2742</v>
      </c>
      <c r="W325" s="157">
        <v>14.539933823188999</v>
      </c>
      <c r="X325" s="30">
        <v>7.1402910298581999</v>
      </c>
      <c r="Y325" s="30">
        <v>14.539933823188999</v>
      </c>
      <c r="Z325" s="498" t="s">
        <v>2742</v>
      </c>
      <c r="AA325" s="157">
        <v>0.33012622580217499</v>
      </c>
      <c r="AB325" s="30">
        <v>8.3120748776338598</v>
      </c>
      <c r="AC325" s="30">
        <v>0.33012622580217499</v>
      </c>
      <c r="AD325" s="8" t="s">
        <v>2742</v>
      </c>
      <c r="AE325" s="157">
        <v>0.18631803243009801</v>
      </c>
      <c r="AF325" s="30">
        <v>4.1926014322627898</v>
      </c>
      <c r="AG325" s="30">
        <v>0.18631803243009801</v>
      </c>
      <c r="AH325" s="8" t="s">
        <v>2742</v>
      </c>
      <c r="AI325" s="157">
        <v>0.315059219109876</v>
      </c>
      <c r="AJ325" s="30">
        <v>-4.1054358104129696</v>
      </c>
      <c r="AK325" s="30">
        <v>0.315059219109876</v>
      </c>
      <c r="AL325" s="8" t="s">
        <v>2742</v>
      </c>
      <c r="AM325" s="157">
        <v>0.27375422194576099</v>
      </c>
      <c r="AN325" s="30">
        <v>-2.0402008617476266</v>
      </c>
      <c r="AO325" s="30">
        <v>0.27375422194576099</v>
      </c>
      <c r="AP325" s="8" t="s">
        <v>2742</v>
      </c>
      <c r="AQ325" s="157">
        <v>0.19016649308936201</v>
      </c>
      <c r="AR325" s="30">
        <v>-1.3301771581330999</v>
      </c>
      <c r="AS325" s="30">
        <v>0.19016649308936201</v>
      </c>
      <c r="AT325" s="8" t="s">
        <v>2742</v>
      </c>
      <c r="AU325" s="157">
        <v>0.25023751232208502</v>
      </c>
      <c r="AV325" s="30">
        <v>2.87498596097599</v>
      </c>
      <c r="AW325" s="30">
        <v>0.25023751232208502</v>
      </c>
      <c r="AX325" s="8" t="s">
        <v>2742</v>
      </c>
      <c r="AY325" s="157" t="s">
        <v>2855</v>
      </c>
      <c r="AZ325" s="30"/>
      <c r="BA325" s="30"/>
      <c r="BB325" s="101"/>
      <c r="BC325" s="157">
        <v>11.3929802949009</v>
      </c>
      <c r="BD325" s="30"/>
      <c r="BE325" s="30"/>
      <c r="BF325" s="277"/>
    </row>
    <row r="326" spans="1:58" customFormat="1">
      <c r="A326" s="391"/>
      <c r="B326" s="396"/>
      <c r="C326" s="3"/>
      <c r="D326" s="206">
        <v>77.779285878211255</v>
      </c>
      <c r="E326" s="206">
        <v>11.289652223038836</v>
      </c>
      <c r="F326" s="206" t="s">
        <v>558</v>
      </c>
      <c r="G326" s="3"/>
      <c r="H326" s="206">
        <v>3.1389999999999998</v>
      </c>
      <c r="I326" s="206">
        <v>0.62780000000000002</v>
      </c>
      <c r="J326" s="206" t="s">
        <v>558</v>
      </c>
      <c r="K326" s="353"/>
      <c r="L326" s="344">
        <v>5.9300000000000068</v>
      </c>
      <c r="M326" s="344">
        <v>8.527342560616864</v>
      </c>
      <c r="N326" s="206" t="s">
        <v>1124</v>
      </c>
      <c r="O326" s="3"/>
      <c r="P326" s="206" t="s">
        <v>2855</v>
      </c>
      <c r="Q326" s="206" t="s">
        <v>2855</v>
      </c>
      <c r="R326" s="206" t="s">
        <v>558</v>
      </c>
      <c r="S326" s="3"/>
      <c r="T326" s="206" t="s">
        <v>2855</v>
      </c>
      <c r="U326" s="206" t="s">
        <v>2855</v>
      </c>
      <c r="V326" s="206" t="s">
        <v>558</v>
      </c>
      <c r="W326" s="3"/>
      <c r="X326" s="206" t="s">
        <v>2855</v>
      </c>
      <c r="Y326" s="206" t="s">
        <v>2855</v>
      </c>
      <c r="Z326" s="350" t="s">
        <v>558</v>
      </c>
      <c r="AA326" s="4"/>
      <c r="AB326" s="206" t="s">
        <v>2855</v>
      </c>
      <c r="AC326" s="206" t="s">
        <v>2855</v>
      </c>
      <c r="AD326" s="206" t="s">
        <v>558</v>
      </c>
      <c r="AE326" s="3"/>
      <c r="AF326" s="206">
        <v>4.1381525459528596</v>
      </c>
      <c r="AG326" s="206">
        <v>0.14754694795495324</v>
      </c>
      <c r="AH326" s="206" t="s">
        <v>558</v>
      </c>
      <c r="AI326" s="3"/>
      <c r="AJ326" s="206" t="s">
        <v>2855</v>
      </c>
      <c r="AK326" s="206" t="s">
        <v>2855</v>
      </c>
      <c r="AL326" s="206" t="s">
        <v>558</v>
      </c>
      <c r="AM326" s="3"/>
      <c r="AN326" s="206">
        <v>-2</v>
      </c>
      <c r="AO326" s="206">
        <v>0.31732875204227629</v>
      </c>
      <c r="AP326" s="206" t="s">
        <v>558</v>
      </c>
      <c r="AQ326" s="3"/>
      <c r="AR326" s="206">
        <v>-2</v>
      </c>
      <c r="AS326" s="206">
        <v>0.31732875204227629</v>
      </c>
      <c r="AT326" s="206" t="s">
        <v>558</v>
      </c>
      <c r="AU326" s="3"/>
      <c r="AV326" s="206" t="s">
        <v>2855</v>
      </c>
      <c r="AW326" s="206" t="s">
        <v>2855</v>
      </c>
      <c r="AX326" s="206" t="s">
        <v>558</v>
      </c>
      <c r="AY326" s="3"/>
      <c r="AZ326" s="52"/>
      <c r="BA326" s="52"/>
      <c r="BB326" s="52"/>
      <c r="BC326" s="3"/>
      <c r="BD326" s="40"/>
      <c r="BE326" s="40"/>
      <c r="BF326" s="42"/>
    </row>
    <row r="327" spans="1:58" customFormat="1">
      <c r="A327" s="391"/>
      <c r="B327" s="396"/>
      <c r="C327" s="3"/>
      <c r="D327" s="176">
        <v>85.59</v>
      </c>
      <c r="E327" s="176">
        <v>8.9915718600000005</v>
      </c>
      <c r="F327" s="206" t="s">
        <v>1124</v>
      </c>
      <c r="G327" s="3"/>
      <c r="H327" s="176">
        <v>-7.0499999999999972</v>
      </c>
      <c r="I327" s="176">
        <v>9.8895989999999951</v>
      </c>
      <c r="J327" s="206" t="s">
        <v>1124</v>
      </c>
      <c r="K327" s="353"/>
      <c r="L327" s="206"/>
      <c r="M327" s="206"/>
      <c r="N327" s="206"/>
      <c r="O327" s="3"/>
      <c r="P327" s="178">
        <v>-79.66</v>
      </c>
      <c r="Q327" s="178">
        <v>15.202712699999998</v>
      </c>
      <c r="R327" s="206" t="s">
        <v>1124</v>
      </c>
      <c r="S327" s="3"/>
      <c r="T327" s="178">
        <v>100.65146460000001</v>
      </c>
      <c r="U327" s="178">
        <v>18.869029417097401</v>
      </c>
      <c r="V327" s="206" t="s">
        <v>1124</v>
      </c>
      <c r="W327" s="3"/>
      <c r="X327" s="178">
        <v>10.309695999999986</v>
      </c>
      <c r="Y327" s="178">
        <v>4.229172848595943</v>
      </c>
      <c r="Z327" s="350" t="s">
        <v>1124</v>
      </c>
      <c r="AA327" s="4"/>
      <c r="AB327" s="178">
        <v>8.4120000000000008</v>
      </c>
      <c r="AC327" s="178">
        <v>0.57063643200000003</v>
      </c>
      <c r="AD327" s="206" t="s">
        <v>1124</v>
      </c>
      <c r="AE327" s="3"/>
      <c r="AF327" s="178">
        <v>4.6399999999999997</v>
      </c>
      <c r="AG327" s="178">
        <v>0.39491967999999994</v>
      </c>
      <c r="AH327" s="206" t="s">
        <v>1124</v>
      </c>
      <c r="AI327" s="3"/>
      <c r="AJ327" s="178">
        <v>-4.2</v>
      </c>
      <c r="AK327" s="178">
        <v>0.84812280000000007</v>
      </c>
      <c r="AL327" s="206" t="s">
        <v>1124</v>
      </c>
      <c r="AM327" s="3"/>
      <c r="AN327" s="178">
        <v>-2.3081188943770345</v>
      </c>
      <c r="AO327" s="178">
        <v>0.35720448009378991</v>
      </c>
      <c r="AP327" s="206" t="s">
        <v>1124</v>
      </c>
      <c r="AQ327" s="3"/>
      <c r="AR327" s="178">
        <v>-2.3081188943770345</v>
      </c>
      <c r="AS327" s="178">
        <v>0.35720448009378991</v>
      </c>
      <c r="AT327" s="206" t="s">
        <v>1124</v>
      </c>
      <c r="AU327" s="3"/>
      <c r="AV327" s="178">
        <v>3.2624221999999987</v>
      </c>
      <c r="AW327" s="178">
        <v>0.58962082662819981</v>
      </c>
      <c r="AX327" s="206" t="s">
        <v>1124</v>
      </c>
      <c r="AY327" s="3"/>
      <c r="AZ327" s="178"/>
      <c r="BA327" s="178"/>
      <c r="BB327" s="206"/>
      <c r="BC327" s="3"/>
      <c r="BD327" s="178"/>
      <c r="BE327" s="178"/>
      <c r="BF327" s="350"/>
    </row>
    <row r="328" spans="1:58" customFormat="1">
      <c r="A328" s="391"/>
      <c r="B328" s="396"/>
      <c r="C328" s="87"/>
      <c r="D328" s="119"/>
      <c r="E328" s="119"/>
      <c r="F328" s="30"/>
      <c r="G328" s="80"/>
      <c r="H328" s="119"/>
      <c r="I328" s="119"/>
      <c r="J328" s="70"/>
      <c r="K328" s="83"/>
      <c r="L328" s="70"/>
      <c r="M328" s="70"/>
      <c r="N328" s="70"/>
      <c r="O328" s="115"/>
      <c r="P328" s="119"/>
      <c r="Q328" s="119"/>
      <c r="R328" s="70"/>
      <c r="S328" s="80"/>
      <c r="T328" s="119"/>
      <c r="U328" s="119"/>
      <c r="V328" s="70"/>
      <c r="W328" s="80"/>
      <c r="X328" s="171"/>
      <c r="Y328" s="171"/>
      <c r="Z328" s="207"/>
      <c r="AA328" s="4"/>
      <c r="AB328" s="9"/>
      <c r="AC328" s="9"/>
      <c r="AD328" s="4"/>
      <c r="AE328" s="3"/>
      <c r="AF328" s="9"/>
      <c r="AG328" s="9"/>
      <c r="AH328" s="4"/>
      <c r="AI328" s="3"/>
      <c r="AJ328" s="9"/>
      <c r="AK328" s="9"/>
      <c r="AL328" s="4"/>
      <c r="AM328" s="3"/>
      <c r="AN328" s="9"/>
      <c r="AO328" s="9"/>
      <c r="AP328" s="4"/>
      <c r="AQ328" s="3"/>
      <c r="AR328" s="9"/>
      <c r="AS328" s="9"/>
      <c r="AT328" s="4"/>
      <c r="AU328" s="3"/>
      <c r="AV328" s="9"/>
      <c r="AW328" s="9"/>
      <c r="AX328" s="4"/>
      <c r="AY328" s="3"/>
      <c r="AZ328" s="9"/>
      <c r="BA328" s="9"/>
      <c r="BB328" s="4"/>
      <c r="BC328" s="3"/>
      <c r="BD328" s="9"/>
      <c r="BE328" s="9"/>
      <c r="BF328" s="122"/>
    </row>
    <row r="329" spans="1:58" customFormat="1">
      <c r="A329" s="391" t="s">
        <v>1982</v>
      </c>
      <c r="B329" s="396" t="s">
        <v>1981</v>
      </c>
      <c r="C329" s="157">
        <v>94.225523630793703</v>
      </c>
      <c r="D329" s="30" t="s">
        <v>2855</v>
      </c>
      <c r="E329" s="30" t="s">
        <v>2855</v>
      </c>
      <c r="F329" s="30" t="s">
        <v>2743</v>
      </c>
      <c r="G329" s="157">
        <v>0.22922880692502001</v>
      </c>
      <c r="H329" s="30" t="s">
        <v>2855</v>
      </c>
      <c r="I329" s="30" t="s">
        <v>2855</v>
      </c>
      <c r="J329" s="30" t="s">
        <v>2743</v>
      </c>
      <c r="K329" s="157">
        <v>20.082020274322609</v>
      </c>
      <c r="L329" s="113">
        <v>20.082020274322609</v>
      </c>
      <c r="M329" s="30">
        <v>7.0605949417450127</v>
      </c>
      <c r="N329" s="355" t="s">
        <v>1498</v>
      </c>
      <c r="O329" s="157">
        <v>-71.752503356471095</v>
      </c>
      <c r="P329" s="30" t="s">
        <v>2855</v>
      </c>
      <c r="Q329" s="30" t="s">
        <v>2855</v>
      </c>
      <c r="R329" s="30" t="s">
        <v>2743</v>
      </c>
      <c r="S329" s="157">
        <v>91.605139038553304</v>
      </c>
      <c r="T329" s="30" t="s">
        <v>2855</v>
      </c>
      <c r="U329" s="30" t="s">
        <v>2855</v>
      </c>
      <c r="V329" s="30" t="s">
        <v>2743</v>
      </c>
      <c r="W329" s="157">
        <v>19.850707956104898</v>
      </c>
      <c r="X329" s="30" t="s">
        <v>2855</v>
      </c>
      <c r="Y329" s="30" t="s">
        <v>2855</v>
      </c>
      <c r="Z329" s="300" t="s">
        <v>2743</v>
      </c>
      <c r="AA329" s="157">
        <v>8.6963719846715897</v>
      </c>
      <c r="AB329" s="30">
        <v>8.6643181815885999</v>
      </c>
      <c r="AC329" s="30">
        <v>0.19725902531945599</v>
      </c>
      <c r="AD329" s="30" t="s">
        <v>2743</v>
      </c>
      <c r="AE329" s="157">
        <v>4.3968611265264004</v>
      </c>
      <c r="AF329" s="30">
        <v>4.3973672445373904</v>
      </c>
      <c r="AG329" s="30">
        <v>0.23009018100822601</v>
      </c>
      <c r="AH329" s="30" t="s">
        <v>2743</v>
      </c>
      <c r="AI329" s="157">
        <v>-4.3047166540004103</v>
      </c>
      <c r="AJ329" s="30">
        <v>-4.2455214461181701</v>
      </c>
      <c r="AK329" s="30">
        <v>0.132253407626332</v>
      </c>
      <c r="AL329" s="30" t="s">
        <v>2743</v>
      </c>
      <c r="AM329" s="157">
        <v>-2.3144240692037861</v>
      </c>
      <c r="AN329" s="30">
        <v>-2.2875400046378269</v>
      </c>
      <c r="AO329" s="30">
        <v>0.113493646941823</v>
      </c>
      <c r="AP329" s="30" t="s">
        <v>2743</v>
      </c>
      <c r="AQ329" s="157">
        <v>-1.4014086516527999</v>
      </c>
      <c r="AR329" s="30">
        <v>-1.4126302012126399</v>
      </c>
      <c r="AS329" s="30">
        <v>6.6384619320620397E-2</v>
      </c>
      <c r="AT329" s="30" t="s">
        <v>2743</v>
      </c>
      <c r="AU329" s="157">
        <v>2.9945549142316601</v>
      </c>
      <c r="AV329" s="30">
        <v>2.9837003439591299</v>
      </c>
      <c r="AW329" s="30">
        <v>0.22451188558111199</v>
      </c>
      <c r="AX329" s="30" t="s">
        <v>2743</v>
      </c>
      <c r="AY329" s="157" t="s">
        <v>2855</v>
      </c>
      <c r="AZ329" s="30" t="s">
        <v>2855</v>
      </c>
      <c r="BA329" s="30" t="s">
        <v>2855</v>
      </c>
      <c r="BB329" s="30" t="s">
        <v>558</v>
      </c>
      <c r="BC329" s="157">
        <v>-35</v>
      </c>
      <c r="BD329" s="30">
        <v>-35</v>
      </c>
      <c r="BE329" s="30" t="s">
        <v>2855</v>
      </c>
      <c r="BF329" s="300" t="s">
        <v>558</v>
      </c>
    </row>
    <row r="330" spans="1:58" customFormat="1">
      <c r="A330" s="391" t="s">
        <v>1980</v>
      </c>
      <c r="B330" s="396">
        <v>278.33999999999997</v>
      </c>
      <c r="C330" s="157">
        <v>2.6741148992628401</v>
      </c>
      <c r="D330" s="30">
        <v>94.225523630793703</v>
      </c>
      <c r="E330" s="30">
        <v>2.6741148992628401</v>
      </c>
      <c r="F330" s="8" t="s">
        <v>2742</v>
      </c>
      <c r="G330" s="157">
        <v>6.2995482849042199</v>
      </c>
      <c r="H330" s="30">
        <v>0.22922880692502001</v>
      </c>
      <c r="I330" s="30">
        <v>6.2995482849042199</v>
      </c>
      <c r="J330" s="8" t="s">
        <v>2742</v>
      </c>
      <c r="K330" s="158">
        <v>7.0605949417450127</v>
      </c>
      <c r="L330" s="113">
        <v>20.079936763029917</v>
      </c>
      <c r="M330" s="113">
        <v>10.419859121512031</v>
      </c>
      <c r="N330" s="13" t="s">
        <v>1499</v>
      </c>
      <c r="O330" s="157">
        <v>6.5346086674670696</v>
      </c>
      <c r="P330" s="30">
        <v>-71.752503356471095</v>
      </c>
      <c r="Q330" s="30">
        <v>6.5346086674670696</v>
      </c>
      <c r="R330" s="8" t="s">
        <v>2742</v>
      </c>
      <c r="S330" s="157">
        <v>6.5789180148843096</v>
      </c>
      <c r="T330" s="30">
        <v>91.605139038553304</v>
      </c>
      <c r="U330" s="30">
        <v>6.5789180148843096</v>
      </c>
      <c r="V330" s="8" t="s">
        <v>2742</v>
      </c>
      <c r="W330" s="157">
        <v>8.2999491274535995</v>
      </c>
      <c r="X330" s="30">
        <v>19.850707956104898</v>
      </c>
      <c r="Y330" s="30">
        <v>8.2999491274535995</v>
      </c>
      <c r="Z330" s="498" t="s">
        <v>2742</v>
      </c>
      <c r="AA330" s="157">
        <v>0.19142273840311699</v>
      </c>
      <c r="AB330" s="30">
        <v>8.6963719846715897</v>
      </c>
      <c r="AC330" s="30">
        <v>0.19142273840311699</v>
      </c>
      <c r="AD330" s="8" t="s">
        <v>2742</v>
      </c>
      <c r="AE330" s="157">
        <v>0.22460183958987301</v>
      </c>
      <c r="AF330" s="30">
        <v>4.3968611265264004</v>
      </c>
      <c r="AG330" s="30">
        <v>0.22460183958987301</v>
      </c>
      <c r="AH330" s="8" t="s">
        <v>2742</v>
      </c>
      <c r="AI330" s="157">
        <v>0.167059907214439</v>
      </c>
      <c r="AJ330" s="30">
        <v>-4.3047166540004103</v>
      </c>
      <c r="AK330" s="30">
        <v>0.167059907214439</v>
      </c>
      <c r="AL330" s="8" t="s">
        <v>2742</v>
      </c>
      <c r="AM330" s="157">
        <v>0.12554101399235301</v>
      </c>
      <c r="AN330" s="30">
        <v>-2.3144240692037861</v>
      </c>
      <c r="AO330" s="30">
        <v>0.12554101399235301</v>
      </c>
      <c r="AP330" s="8" t="s">
        <v>2742</v>
      </c>
      <c r="AQ330" s="157">
        <v>6.7645662783455504E-2</v>
      </c>
      <c r="AR330" s="30">
        <v>-1.4014086516527999</v>
      </c>
      <c r="AS330" s="30">
        <v>6.7645662783455504E-2</v>
      </c>
      <c r="AT330" s="8" t="s">
        <v>2742</v>
      </c>
      <c r="AU330" s="157">
        <v>0.21312980404690099</v>
      </c>
      <c r="AV330" s="30">
        <v>2.9945549142316601</v>
      </c>
      <c r="AW330" s="30">
        <v>0.21312980404690099</v>
      </c>
      <c r="AX330" s="8" t="s">
        <v>2742</v>
      </c>
      <c r="AY330" s="157" t="s">
        <v>2855</v>
      </c>
      <c r="AZ330" s="30"/>
      <c r="BA330" s="30"/>
      <c r="BB330" s="101"/>
      <c r="BC330" s="157" t="s">
        <v>2855</v>
      </c>
      <c r="BD330" s="30"/>
      <c r="BE330" s="30"/>
      <c r="BF330" s="277"/>
    </row>
    <row r="331" spans="1:58" customFormat="1">
      <c r="A331" s="391"/>
      <c r="B331" s="396"/>
      <c r="C331" s="3"/>
      <c r="D331" s="206">
        <v>94.398029513874349</v>
      </c>
      <c r="E331" s="206">
        <v>2.7191972778775324</v>
      </c>
      <c r="F331" s="206" t="s">
        <v>558</v>
      </c>
      <c r="G331" s="3"/>
      <c r="H331" s="206">
        <v>-1.081</v>
      </c>
      <c r="I331" s="206">
        <v>0.2162</v>
      </c>
      <c r="J331" s="206" t="s">
        <v>558</v>
      </c>
      <c r="K331" s="353"/>
      <c r="L331" s="344">
        <v>6.0300000000000011</v>
      </c>
      <c r="M331" s="344">
        <v>8.6711426037975787</v>
      </c>
      <c r="N331" s="206" t="s">
        <v>1124</v>
      </c>
      <c r="O331" s="3"/>
      <c r="P331" s="206">
        <v>-69.222363999999999</v>
      </c>
      <c r="Q331" s="206">
        <v>4.3857963377810565</v>
      </c>
      <c r="R331" s="206" t="s">
        <v>558</v>
      </c>
      <c r="S331" s="3"/>
      <c r="T331" s="206" t="s">
        <v>2855</v>
      </c>
      <c r="U331" s="206" t="s">
        <v>2855</v>
      </c>
      <c r="V331" s="206" t="s">
        <v>558</v>
      </c>
      <c r="W331" s="3"/>
      <c r="X331" s="206" t="s">
        <v>2855</v>
      </c>
      <c r="Y331" s="206" t="s">
        <v>2855</v>
      </c>
      <c r="Z331" s="350" t="s">
        <v>558</v>
      </c>
      <c r="AA331" s="4"/>
      <c r="AB331" s="206">
        <v>8.66</v>
      </c>
      <c r="AC331" s="206">
        <v>0.22297610464670758</v>
      </c>
      <c r="AD331" s="206" t="s">
        <v>558</v>
      </c>
      <c r="AE331" s="3"/>
      <c r="AF331" s="206">
        <v>4.4170446903804619</v>
      </c>
      <c r="AG331" s="206">
        <v>0.28331014372467622</v>
      </c>
      <c r="AH331" s="206" t="s">
        <v>558</v>
      </c>
      <c r="AI331" s="3"/>
      <c r="AJ331" s="206">
        <v>-4.1308496465690387</v>
      </c>
      <c r="AK331" s="206">
        <v>0.82616992931380784</v>
      </c>
      <c r="AL331" s="206" t="s">
        <v>558</v>
      </c>
      <c r="AM331" s="3"/>
      <c r="AN331" s="206">
        <v>-2.3350542131060088</v>
      </c>
      <c r="AO331" s="206">
        <v>0.13346437472296552</v>
      </c>
      <c r="AP331" s="206" t="s">
        <v>558</v>
      </c>
      <c r="AQ331" s="3"/>
      <c r="AR331" s="206">
        <v>-2.3350542131060088</v>
      </c>
      <c r="AS331" s="206">
        <v>0.13346437472296552</v>
      </c>
      <c r="AT331" s="206" t="s">
        <v>558</v>
      </c>
      <c r="AU331" s="3"/>
      <c r="AV331" s="206" t="s">
        <v>2855</v>
      </c>
      <c r="AW331" s="206" t="s">
        <v>2855</v>
      </c>
      <c r="AX331" s="206" t="s">
        <v>558</v>
      </c>
      <c r="AY331" s="3"/>
      <c r="AZ331" s="52"/>
      <c r="BA331" s="52"/>
      <c r="BB331" s="52"/>
      <c r="BC331" s="3"/>
      <c r="BD331" s="40"/>
      <c r="BE331" s="40"/>
      <c r="BF331" s="42"/>
    </row>
    <row r="332" spans="1:58" customFormat="1">
      <c r="A332" s="391"/>
      <c r="B332" s="396"/>
      <c r="C332" s="3"/>
      <c r="D332" s="176">
        <v>88.62</v>
      </c>
      <c r="E332" s="176">
        <v>9.3098854800000002</v>
      </c>
      <c r="F332" s="206" t="s">
        <v>1124</v>
      </c>
      <c r="G332" s="3"/>
      <c r="H332" s="176">
        <v>-3.7599999999999909</v>
      </c>
      <c r="I332" s="176">
        <v>5.2744527999999873</v>
      </c>
      <c r="J332" s="206" t="s">
        <v>1124</v>
      </c>
      <c r="K332" s="353"/>
      <c r="L332" s="206"/>
      <c r="M332" s="206"/>
      <c r="N332" s="206"/>
      <c r="O332" s="3"/>
      <c r="P332" s="178">
        <v>-82.59</v>
      </c>
      <c r="Q332" s="178">
        <v>15.76188855</v>
      </c>
      <c r="R332" s="206" t="s">
        <v>1124</v>
      </c>
      <c r="S332" s="3"/>
      <c r="T332" s="178">
        <v>100.7339346</v>
      </c>
      <c r="U332" s="178">
        <v>18.884489985527399</v>
      </c>
      <c r="V332" s="206" t="s">
        <v>1124</v>
      </c>
      <c r="W332" s="3"/>
      <c r="X332" s="178">
        <v>9.8848959999999888</v>
      </c>
      <c r="Y332" s="178">
        <v>4.0549143034280206</v>
      </c>
      <c r="Z332" s="350" t="s">
        <v>1124</v>
      </c>
      <c r="AA332" s="4"/>
      <c r="AB332" s="178">
        <v>8.6310000000000002</v>
      </c>
      <c r="AC332" s="178">
        <v>0.58549251599999996</v>
      </c>
      <c r="AD332" s="206" t="s">
        <v>1124</v>
      </c>
      <c r="AE332" s="3"/>
      <c r="AF332" s="178">
        <v>4.82</v>
      </c>
      <c r="AG332" s="178">
        <v>0.41023983999999997</v>
      </c>
      <c r="AH332" s="206" t="s">
        <v>1124</v>
      </c>
      <c r="AI332" s="3"/>
      <c r="AJ332" s="178">
        <v>-4.3899999999999997</v>
      </c>
      <c r="AK332" s="178">
        <v>0.88649025999999997</v>
      </c>
      <c r="AL332" s="206" t="s">
        <v>1124</v>
      </c>
      <c r="AM332" s="3"/>
      <c r="AN332" s="178">
        <v>-2.4896563617750562</v>
      </c>
      <c r="AO332" s="178">
        <v>0.38529921854830773</v>
      </c>
      <c r="AP332" s="206" t="s">
        <v>1124</v>
      </c>
      <c r="AQ332" s="3"/>
      <c r="AR332" s="178">
        <v>-2.4896563617750562</v>
      </c>
      <c r="AS332" s="178">
        <v>0.38529921854830773</v>
      </c>
      <c r="AT332" s="206" t="s">
        <v>1124</v>
      </c>
      <c r="AU332" s="3"/>
      <c r="AV332" s="178">
        <v>3.2098221999999987</v>
      </c>
      <c r="AW332" s="178">
        <v>0.58011437602819982</v>
      </c>
      <c r="AX332" s="206" t="s">
        <v>1124</v>
      </c>
      <c r="AY332" s="3"/>
      <c r="AZ332" s="178"/>
      <c r="BA332" s="178"/>
      <c r="BB332" s="206"/>
      <c r="BC332" s="3"/>
      <c r="BD332" s="178"/>
      <c r="BE332" s="178"/>
      <c r="BF332" s="350"/>
    </row>
    <row r="333" spans="1:58" customFormat="1">
      <c r="A333" s="391"/>
      <c r="B333" s="396"/>
      <c r="C333" s="87"/>
      <c r="D333" s="119"/>
      <c r="E333" s="119"/>
      <c r="F333" s="4"/>
      <c r="G333" s="80"/>
      <c r="H333" s="119"/>
      <c r="I333" s="119"/>
      <c r="J333" s="4"/>
      <c r="K333" s="3"/>
      <c r="L333" s="4"/>
      <c r="M333" s="4"/>
      <c r="N333" s="4"/>
      <c r="O333" s="115"/>
      <c r="P333" s="119"/>
      <c r="Q333" s="119"/>
      <c r="R333" s="4"/>
      <c r="S333" s="80"/>
      <c r="T333" s="1"/>
      <c r="U333" s="1"/>
      <c r="V333" s="13"/>
      <c r="W333" s="80"/>
      <c r="X333" s="171"/>
      <c r="Y333" s="171"/>
      <c r="Z333" s="122"/>
      <c r="AA333" s="4"/>
      <c r="AB333" s="9"/>
      <c r="AC333" s="9"/>
      <c r="AD333" s="4"/>
      <c r="AE333" s="3"/>
      <c r="AF333" s="9"/>
      <c r="AG333" s="9"/>
      <c r="AH333" s="4"/>
      <c r="AI333" s="3"/>
      <c r="AJ333" s="9"/>
      <c r="AK333" s="9"/>
      <c r="AL333" s="4"/>
      <c r="AM333" s="3"/>
      <c r="AN333" s="9"/>
      <c r="AO333" s="9"/>
      <c r="AP333" s="4"/>
      <c r="AQ333" s="3"/>
      <c r="AR333" s="9"/>
      <c r="AS333" s="9"/>
      <c r="AT333" s="4"/>
      <c r="AU333" s="3"/>
      <c r="AV333" s="9"/>
      <c r="AW333" s="9"/>
      <c r="AX333" s="4"/>
      <c r="AY333" s="3"/>
      <c r="AZ333" s="9"/>
      <c r="BA333" s="9"/>
      <c r="BB333" s="4"/>
      <c r="BC333" s="3"/>
      <c r="BD333" s="9"/>
      <c r="BE333" s="9"/>
      <c r="BF333" s="122"/>
    </row>
    <row r="334" spans="1:58" customFormat="1">
      <c r="A334" s="391" t="s">
        <v>1972</v>
      </c>
      <c r="B334" s="396" t="s">
        <v>1971</v>
      </c>
      <c r="C334" s="157">
        <v>98.131615701655505</v>
      </c>
      <c r="D334" s="30" t="s">
        <v>2855</v>
      </c>
      <c r="E334" s="30" t="s">
        <v>2855</v>
      </c>
      <c r="F334" s="30" t="s">
        <v>2743</v>
      </c>
      <c r="G334" s="157">
        <v>-0.58162875102753497</v>
      </c>
      <c r="H334" s="30" t="s">
        <v>2855</v>
      </c>
      <c r="I334" s="30" t="s">
        <v>2855</v>
      </c>
      <c r="J334" s="30" t="s">
        <v>2743</v>
      </c>
      <c r="K334" s="157">
        <v>16.534972911152401</v>
      </c>
      <c r="L334" s="113">
        <v>16.534972911152401</v>
      </c>
      <c r="M334" s="30">
        <v>14.800077186370871</v>
      </c>
      <c r="N334" s="355" t="s">
        <v>1498</v>
      </c>
      <c r="O334" s="157">
        <v>-79.205642790503106</v>
      </c>
      <c r="P334" s="30" t="s">
        <v>2855</v>
      </c>
      <c r="Q334" s="30" t="s">
        <v>2855</v>
      </c>
      <c r="R334" s="30" t="s">
        <v>2743</v>
      </c>
      <c r="S334" s="157">
        <v>96.323371133495996</v>
      </c>
      <c r="T334" s="30" t="s">
        <v>2855</v>
      </c>
      <c r="U334" s="30" t="s">
        <v>2855</v>
      </c>
      <c r="V334" s="30" t="s">
        <v>2743</v>
      </c>
      <c r="W334" s="157">
        <v>17.1168975549854</v>
      </c>
      <c r="X334" s="30" t="s">
        <v>2855</v>
      </c>
      <c r="Y334" s="30" t="s">
        <v>2855</v>
      </c>
      <c r="Z334" s="300" t="s">
        <v>2743</v>
      </c>
      <c r="AA334" s="157">
        <v>9.6355193937235502</v>
      </c>
      <c r="AB334" s="30">
        <v>9.6171126212532894</v>
      </c>
      <c r="AC334" s="30">
        <v>0.241323283535677</v>
      </c>
      <c r="AD334" s="30" t="s">
        <v>2743</v>
      </c>
      <c r="AE334" s="157">
        <v>4.7044034574569498</v>
      </c>
      <c r="AF334" s="30">
        <v>4.7512566306427901</v>
      </c>
      <c r="AG334" s="30">
        <v>0.43604001245345497</v>
      </c>
      <c r="AH334" s="30" t="s">
        <v>2743</v>
      </c>
      <c r="AI334" s="157">
        <v>-4.9314092843250901</v>
      </c>
      <c r="AJ334" s="30">
        <v>-4.8606135067830998</v>
      </c>
      <c r="AK334" s="30">
        <v>0.44397695105590002</v>
      </c>
      <c r="AL334" s="30" t="s">
        <v>2743</v>
      </c>
      <c r="AM334" s="157">
        <v>-3.6347653176388959</v>
      </c>
      <c r="AN334" s="30">
        <v>-3.6068777435618062</v>
      </c>
      <c r="AO334" s="30">
        <v>0.43301992274365603</v>
      </c>
      <c r="AP334" s="30" t="s">
        <v>2743</v>
      </c>
      <c r="AQ334" s="157">
        <v>-2.1030874319420501</v>
      </c>
      <c r="AR334" s="30">
        <v>-2.1455069182144699</v>
      </c>
      <c r="AS334" s="30">
        <v>0.28440598898620001</v>
      </c>
      <c r="AT334" s="30" t="s">
        <v>2743</v>
      </c>
      <c r="AU334" s="157">
        <v>2.6055510043601799</v>
      </c>
      <c r="AV334" s="30" t="s">
        <v>2855</v>
      </c>
      <c r="AW334" s="30" t="s">
        <v>2855</v>
      </c>
      <c r="AX334" s="30" t="s">
        <v>2743</v>
      </c>
      <c r="AY334" s="157" t="s">
        <v>2855</v>
      </c>
      <c r="AZ334" s="30" t="s">
        <v>2855</v>
      </c>
      <c r="BA334" s="30" t="s">
        <v>2855</v>
      </c>
      <c r="BB334" s="30" t="s">
        <v>558</v>
      </c>
      <c r="BC334" s="157">
        <v>-35</v>
      </c>
      <c r="BD334" s="30">
        <v>-35</v>
      </c>
      <c r="BE334" s="30" t="s">
        <v>2855</v>
      </c>
      <c r="BF334" s="300" t="s">
        <v>558</v>
      </c>
    </row>
    <row r="335" spans="1:58" customFormat="1">
      <c r="A335" s="391" t="s">
        <v>1969</v>
      </c>
      <c r="B335" s="396">
        <v>312.39999999999998</v>
      </c>
      <c r="C335" s="157">
        <v>11.052105721430801</v>
      </c>
      <c r="D335" s="30">
        <v>98.131615701655505</v>
      </c>
      <c r="E335" s="30">
        <v>11.052105721430801</v>
      </c>
      <c r="F335" s="8" t="s">
        <v>2742</v>
      </c>
      <c r="G335" s="157">
        <v>14.659705784058801</v>
      </c>
      <c r="H335" s="30">
        <v>-0.58162875102753497</v>
      </c>
      <c r="I335" s="30">
        <v>14.659705784058801</v>
      </c>
      <c r="J335" s="8" t="s">
        <v>2742</v>
      </c>
      <c r="K335" s="158">
        <v>14.800077186370871</v>
      </c>
      <c r="L335" s="113">
        <v>16.535268803957866</v>
      </c>
      <c r="M335" s="113">
        <v>20.609849694823509</v>
      </c>
      <c r="N335" s="13" t="s">
        <v>1499</v>
      </c>
      <c r="O335" s="157">
        <v>9.8434365871301299</v>
      </c>
      <c r="P335" s="30">
        <v>-79.205642790503106</v>
      </c>
      <c r="Q335" s="30">
        <v>9.8434365871301299</v>
      </c>
      <c r="R335" s="8" t="s">
        <v>2742</v>
      </c>
      <c r="S335" s="157">
        <v>13.3929909283546</v>
      </c>
      <c r="T335" s="30">
        <v>96.323371133495996</v>
      </c>
      <c r="U335" s="30">
        <v>13.3929909283546</v>
      </c>
      <c r="V335" s="8" t="s">
        <v>2742</v>
      </c>
      <c r="W335" s="157">
        <v>14.486508577571399</v>
      </c>
      <c r="X335" s="30">
        <v>17.1168975549854</v>
      </c>
      <c r="Y335" s="30">
        <v>14.486508577571399</v>
      </c>
      <c r="Z335" s="498" t="s">
        <v>2742</v>
      </c>
      <c r="AA335" s="157">
        <v>0.31254623151265098</v>
      </c>
      <c r="AB335" s="30">
        <v>9.6355193937235502</v>
      </c>
      <c r="AC335" s="30">
        <v>0.31254623151265098</v>
      </c>
      <c r="AD335" s="8" t="s">
        <v>2742</v>
      </c>
      <c r="AE335" s="157">
        <v>0.39290699933495199</v>
      </c>
      <c r="AF335" s="30">
        <v>4.7044034574569498</v>
      </c>
      <c r="AG335" s="30">
        <v>0.39290699933495199</v>
      </c>
      <c r="AH335" s="8" t="s">
        <v>2742</v>
      </c>
      <c r="AI335" s="157">
        <v>0.42321327705843598</v>
      </c>
      <c r="AJ335" s="30">
        <v>-4.9314092843250901</v>
      </c>
      <c r="AK335" s="30">
        <v>0.42321327705843598</v>
      </c>
      <c r="AL335" s="8" t="s">
        <v>2742</v>
      </c>
      <c r="AM335" s="157">
        <v>0.39004429704239002</v>
      </c>
      <c r="AN335" s="30">
        <v>-3.6347653176388959</v>
      </c>
      <c r="AO335" s="30">
        <v>0.39004429704239002</v>
      </c>
      <c r="AP335" s="8" t="s">
        <v>2742</v>
      </c>
      <c r="AQ335" s="157">
        <v>0.27336267669073899</v>
      </c>
      <c r="AR335" s="30">
        <v>-2.1030874319420501</v>
      </c>
      <c r="AS335" s="30">
        <v>0.27336267669073899</v>
      </c>
      <c r="AT335" s="8" t="s">
        <v>2742</v>
      </c>
      <c r="AU335" s="157">
        <v>0.38282447837406203</v>
      </c>
      <c r="AV335" s="30">
        <v>2.6055510043601799</v>
      </c>
      <c r="AW335" s="30">
        <v>0.38282447837406203</v>
      </c>
      <c r="AX335" s="8" t="s">
        <v>2742</v>
      </c>
      <c r="AY335" s="157" t="s">
        <v>2855</v>
      </c>
      <c r="AZ335" s="30"/>
      <c r="BA335" s="30"/>
      <c r="BB335" s="101"/>
      <c r="BC335" s="157" t="s">
        <v>2855</v>
      </c>
      <c r="BD335" s="30"/>
      <c r="BE335" s="30"/>
      <c r="BF335" s="277"/>
    </row>
    <row r="336" spans="1:58" customFormat="1">
      <c r="A336" s="391"/>
      <c r="B336" s="396"/>
      <c r="C336" s="3"/>
      <c r="D336" s="206">
        <v>96.432000000000002</v>
      </c>
      <c r="E336" s="206">
        <v>12.116981802412674</v>
      </c>
      <c r="F336" s="206" t="s">
        <v>558</v>
      </c>
      <c r="G336" s="3"/>
      <c r="H336" s="206" t="s">
        <v>2855</v>
      </c>
      <c r="I336" s="206" t="s">
        <v>2855</v>
      </c>
      <c r="J336" s="206" t="s">
        <v>558</v>
      </c>
      <c r="K336" s="353"/>
      <c r="L336" s="344">
        <v>7.75</v>
      </c>
      <c r="M336" s="344">
        <v>11.144503346506008</v>
      </c>
      <c r="N336" s="206" t="s">
        <v>1124</v>
      </c>
      <c r="O336" s="3"/>
      <c r="P336" s="206">
        <v>-76.272636000000006</v>
      </c>
      <c r="Q336" s="206">
        <v>4.832488061830821</v>
      </c>
      <c r="R336" s="206" t="s">
        <v>558</v>
      </c>
      <c r="S336" s="3"/>
      <c r="T336" s="206" t="s">
        <v>2855</v>
      </c>
      <c r="U336" s="206" t="s">
        <v>2855</v>
      </c>
      <c r="V336" s="206" t="s">
        <v>558</v>
      </c>
      <c r="W336" s="3"/>
      <c r="X336" s="206" t="s">
        <v>2855</v>
      </c>
      <c r="Y336" s="206" t="s">
        <v>2855</v>
      </c>
      <c r="Z336" s="350" t="s">
        <v>558</v>
      </c>
      <c r="AA336" s="4"/>
      <c r="AB336" s="206">
        <v>9.66</v>
      </c>
      <c r="AC336" s="206">
        <v>0.24872392273524194</v>
      </c>
      <c r="AD336" s="206" t="s">
        <v>558</v>
      </c>
      <c r="AE336" s="3"/>
      <c r="AF336" s="206">
        <v>4.5472004260302974</v>
      </c>
      <c r="AG336" s="206">
        <v>0.4185329646809503</v>
      </c>
      <c r="AH336" s="206" t="s">
        <v>558</v>
      </c>
      <c r="AI336" s="3"/>
      <c r="AJ336" s="206" t="s">
        <v>2855</v>
      </c>
      <c r="AK336" s="206" t="s">
        <v>2855</v>
      </c>
      <c r="AL336" s="206" t="s">
        <v>558</v>
      </c>
      <c r="AM336" s="3"/>
      <c r="AN336" s="206">
        <v>-3.4028429570900025</v>
      </c>
      <c r="AO336" s="206">
        <v>0.56113384528000032</v>
      </c>
      <c r="AP336" s="206" t="s">
        <v>558</v>
      </c>
      <c r="AQ336" s="3"/>
      <c r="AR336" s="206">
        <v>-3.4028429570900025</v>
      </c>
      <c r="AS336" s="206">
        <v>0.56113384528000032</v>
      </c>
      <c r="AT336" s="206" t="s">
        <v>558</v>
      </c>
      <c r="AU336" s="3"/>
      <c r="AV336" s="206" t="s">
        <v>2855</v>
      </c>
      <c r="AW336" s="206" t="s">
        <v>2855</v>
      </c>
      <c r="AX336" s="206" t="s">
        <v>558</v>
      </c>
      <c r="AY336" s="3"/>
      <c r="AZ336" s="52"/>
      <c r="BA336" s="52"/>
      <c r="BB336" s="52"/>
      <c r="BC336" s="3"/>
      <c r="BD336" s="40"/>
      <c r="BE336" s="40"/>
      <c r="BF336" s="42"/>
    </row>
    <row r="337" spans="1:58" customFormat="1">
      <c r="A337" s="391"/>
      <c r="B337" s="396"/>
      <c r="C337" s="3"/>
      <c r="D337" s="176">
        <v>102.72</v>
      </c>
      <c r="E337" s="176">
        <v>10.791146879999999</v>
      </c>
      <c r="F337" s="206" t="s">
        <v>1124</v>
      </c>
      <c r="G337" s="3"/>
      <c r="H337" s="176">
        <v>4.5799999999999983</v>
      </c>
      <c r="I337" s="176">
        <v>6.4247323999999972</v>
      </c>
      <c r="J337" s="206" t="s">
        <v>1124</v>
      </c>
      <c r="K337" s="353"/>
      <c r="L337" s="206"/>
      <c r="M337" s="206"/>
      <c r="N337" s="206"/>
      <c r="O337" s="3"/>
      <c r="P337" s="178">
        <v>-94.97</v>
      </c>
      <c r="Q337" s="178">
        <v>18.124549649999999</v>
      </c>
      <c r="R337" s="206" t="s">
        <v>1124</v>
      </c>
      <c r="S337" s="3"/>
      <c r="T337" s="178">
        <v>114.1820809</v>
      </c>
      <c r="U337" s="178">
        <v>21.4056005242421</v>
      </c>
      <c r="V337" s="206" t="s">
        <v>1124</v>
      </c>
      <c r="W337" s="3"/>
      <c r="X337" s="178">
        <v>5.5415839999999914</v>
      </c>
      <c r="Y337" s="178">
        <v>2.2732306162096045</v>
      </c>
      <c r="Z337" s="350" t="s">
        <v>1124</v>
      </c>
      <c r="AA337" s="4"/>
      <c r="AB337" s="178">
        <v>9.0180000000000007</v>
      </c>
      <c r="AC337" s="178">
        <v>0.61174504799999996</v>
      </c>
      <c r="AD337" s="206" t="s">
        <v>1124</v>
      </c>
      <c r="AE337" s="3"/>
      <c r="AF337" s="178">
        <v>5.21</v>
      </c>
      <c r="AG337" s="178">
        <v>0.44343351999999997</v>
      </c>
      <c r="AH337" s="206" t="s">
        <v>1124</v>
      </c>
      <c r="AI337" s="3"/>
      <c r="AJ337" s="178">
        <v>-5.64</v>
      </c>
      <c r="AK337" s="178">
        <v>1.1389077599999999</v>
      </c>
      <c r="AL337" s="206" t="s">
        <v>1124</v>
      </c>
      <c r="AM337" s="3"/>
      <c r="AN337" s="178">
        <v>-3.2243808451937057</v>
      </c>
      <c r="AO337" s="178">
        <v>0.49900517960217794</v>
      </c>
      <c r="AP337" s="206" t="s">
        <v>1124</v>
      </c>
      <c r="AQ337" s="3"/>
      <c r="AR337" s="178">
        <v>-3.2243808451937057</v>
      </c>
      <c r="AS337" s="178">
        <v>0.49900517960217794</v>
      </c>
      <c r="AT337" s="206" t="s">
        <v>1124</v>
      </c>
      <c r="AU337" s="3"/>
      <c r="AV337" s="178">
        <v>2.7457662999999988</v>
      </c>
      <c r="AW337" s="178">
        <v>0.4962450891652998</v>
      </c>
      <c r="AX337" s="206" t="s">
        <v>1124</v>
      </c>
      <c r="AY337" s="3"/>
      <c r="AZ337" s="178"/>
      <c r="BA337" s="178"/>
      <c r="BB337" s="206"/>
      <c r="BC337" s="3"/>
      <c r="BD337" s="178"/>
      <c r="BE337" s="178"/>
      <c r="BF337" s="350"/>
    </row>
    <row r="338" spans="1:58" customFormat="1">
      <c r="A338" s="391"/>
      <c r="B338" s="396"/>
      <c r="C338" s="87"/>
      <c r="D338" s="119"/>
      <c r="E338" s="119"/>
      <c r="F338" s="4"/>
      <c r="G338" s="80"/>
      <c r="H338" s="119"/>
      <c r="I338" s="119"/>
      <c r="J338" s="4"/>
      <c r="K338" s="3"/>
      <c r="L338" s="4"/>
      <c r="M338" s="4"/>
      <c r="N338" s="4"/>
      <c r="O338" s="115"/>
      <c r="P338" s="119"/>
      <c r="Q338" s="119"/>
      <c r="R338" s="4"/>
      <c r="S338" s="80"/>
      <c r="T338" s="1"/>
      <c r="U338" s="1"/>
      <c r="V338" s="13"/>
      <c r="W338" s="80"/>
      <c r="X338" s="171"/>
      <c r="Y338" s="171"/>
      <c r="Z338" s="122"/>
      <c r="AA338" s="4"/>
      <c r="AB338" s="9"/>
      <c r="AC338" s="9"/>
      <c r="AD338" s="4"/>
      <c r="AE338" s="3"/>
      <c r="AF338" s="9"/>
      <c r="AG338" s="9"/>
      <c r="AH338" s="4"/>
      <c r="AI338" s="3"/>
      <c r="AJ338" s="9"/>
      <c r="AK338" s="9"/>
      <c r="AL338" s="4"/>
      <c r="AM338" s="3"/>
      <c r="AN338" s="9"/>
      <c r="AO338" s="9"/>
      <c r="AP338" s="4"/>
      <c r="AQ338" s="3"/>
      <c r="AR338" s="9"/>
      <c r="AS338" s="9"/>
      <c r="AT338" s="4"/>
      <c r="AU338" s="3"/>
      <c r="AV338" s="9"/>
      <c r="AW338" s="9"/>
      <c r="AX338" s="4"/>
      <c r="AY338" s="3"/>
      <c r="AZ338" s="9"/>
      <c r="BA338" s="9"/>
      <c r="BB338" s="4"/>
      <c r="BC338" s="3"/>
      <c r="BD338" s="9"/>
      <c r="BE338" s="9"/>
      <c r="BF338" s="122"/>
    </row>
    <row r="339" spans="1:58" customFormat="1">
      <c r="A339" s="397" t="s">
        <v>1963</v>
      </c>
      <c r="B339" s="396" t="s">
        <v>1962</v>
      </c>
      <c r="C339" s="157">
        <v>140.59768183855198</v>
      </c>
      <c r="D339" s="30" t="s">
        <v>2855</v>
      </c>
      <c r="E339" s="30" t="s">
        <v>2855</v>
      </c>
      <c r="F339" s="30" t="s">
        <v>2743</v>
      </c>
      <c r="G339" s="157">
        <v>14.581357560574199</v>
      </c>
      <c r="H339" s="30" t="s">
        <v>2855</v>
      </c>
      <c r="I339" s="30" t="s">
        <v>2855</v>
      </c>
      <c r="J339" s="30" t="s">
        <v>2743</v>
      </c>
      <c r="K339" s="157">
        <v>-6.1531166259870336</v>
      </c>
      <c r="L339" s="113">
        <v>-6.1531166259870336</v>
      </c>
      <c r="M339" s="30">
        <v>20.490732375597503</v>
      </c>
      <c r="N339" s="355" t="s">
        <v>1498</v>
      </c>
      <c r="O339" s="157">
        <v>-144.35979846453901</v>
      </c>
      <c r="P339" s="30" t="s">
        <v>2855</v>
      </c>
      <c r="Q339" s="30" t="s">
        <v>2855</v>
      </c>
      <c r="R339" s="30" t="s">
        <v>2743</v>
      </c>
      <c r="S339" s="157">
        <v>123.625375573642</v>
      </c>
      <c r="T339" s="30" t="s">
        <v>2855</v>
      </c>
      <c r="U339" s="30" t="s">
        <v>2855</v>
      </c>
      <c r="V339" s="30" t="s">
        <v>2743</v>
      </c>
      <c r="W339" s="157">
        <v>-20.734591847416599</v>
      </c>
      <c r="X339" s="30" t="s">
        <v>2855</v>
      </c>
      <c r="Y339" s="30" t="s">
        <v>2855</v>
      </c>
      <c r="Z339" s="300" t="s">
        <v>2743</v>
      </c>
      <c r="AA339" s="157">
        <v>15.7328302109107</v>
      </c>
      <c r="AB339" s="30" t="s">
        <v>2855</v>
      </c>
      <c r="AC339" s="30" t="s">
        <v>2855</v>
      </c>
      <c r="AD339" s="30" t="s">
        <v>2743</v>
      </c>
      <c r="AE339" s="157">
        <v>12.4169232499677</v>
      </c>
      <c r="AF339" s="30" t="s">
        <v>2855</v>
      </c>
      <c r="AG339" s="30" t="s">
        <v>2855</v>
      </c>
      <c r="AH339" s="30" t="s">
        <v>2743</v>
      </c>
      <c r="AI339" s="157">
        <v>-3.30923536884481</v>
      </c>
      <c r="AJ339" s="30" t="s">
        <v>2855</v>
      </c>
      <c r="AK339" s="30" t="s">
        <v>2855</v>
      </c>
      <c r="AL339" s="30" t="s">
        <v>2743</v>
      </c>
      <c r="AM339" s="157">
        <v>-7.4726870826841463</v>
      </c>
      <c r="AN339" s="30" t="s">
        <v>2855</v>
      </c>
      <c r="AO339" s="30" t="s">
        <v>2855</v>
      </c>
      <c r="AP339" s="30" t="s">
        <v>2743</v>
      </c>
      <c r="AQ339" s="157">
        <v>-7.5569596436366799</v>
      </c>
      <c r="AR339" s="30" t="s">
        <v>2855</v>
      </c>
      <c r="AS339" s="30" t="s">
        <v>2855</v>
      </c>
      <c r="AT339" s="30" t="s">
        <v>2743</v>
      </c>
      <c r="AU339" s="157">
        <v>4.8619223837502599</v>
      </c>
      <c r="AV339" s="30" t="s">
        <v>2855</v>
      </c>
      <c r="AW339" s="30" t="s">
        <v>2855</v>
      </c>
      <c r="AX339" s="30" t="s">
        <v>2743</v>
      </c>
      <c r="AY339" s="157" t="s">
        <v>2855</v>
      </c>
      <c r="AZ339" s="30" t="s">
        <v>2855</v>
      </c>
      <c r="BA339" s="30" t="s">
        <v>2855</v>
      </c>
      <c r="BB339" s="30" t="s">
        <v>558</v>
      </c>
      <c r="BC339" s="157">
        <v>-27</v>
      </c>
      <c r="BD339" s="30">
        <v>-27</v>
      </c>
      <c r="BE339" s="30">
        <v>1.2464743640902618</v>
      </c>
      <c r="BF339" s="300" t="s">
        <v>558</v>
      </c>
    </row>
    <row r="340" spans="1:58" customFormat="1">
      <c r="A340" s="391" t="s">
        <v>1959</v>
      </c>
      <c r="B340" s="396">
        <v>706.1</v>
      </c>
      <c r="C340" s="157">
        <v>12.965997834732001</v>
      </c>
      <c r="D340" s="30">
        <v>140.59768183855198</v>
      </c>
      <c r="E340" s="30">
        <v>12.965997834732001</v>
      </c>
      <c r="F340" s="8" t="s">
        <v>2742</v>
      </c>
      <c r="G340" s="157">
        <v>14.5780515459047</v>
      </c>
      <c r="H340" s="30">
        <v>14.581357560574199</v>
      </c>
      <c r="I340" s="30">
        <v>14.5780515459047</v>
      </c>
      <c r="J340" s="8" t="s">
        <v>2742</v>
      </c>
      <c r="K340" s="158">
        <v>20.490732375597503</v>
      </c>
      <c r="L340" s="113">
        <v>-6.1532342868423999</v>
      </c>
      <c r="M340" s="113">
        <v>17.980244231892666</v>
      </c>
      <c r="N340" s="13" t="s">
        <v>1499</v>
      </c>
      <c r="O340" s="157">
        <v>15.866726613832</v>
      </c>
      <c r="P340" s="30">
        <v>-144.35979846453901</v>
      </c>
      <c r="Q340" s="30">
        <v>15.866726613832</v>
      </c>
      <c r="R340" s="8" t="s">
        <v>2742</v>
      </c>
      <c r="S340" s="157">
        <v>14.318907894726699</v>
      </c>
      <c r="T340" s="30">
        <v>123.625375573642</v>
      </c>
      <c r="U340" s="30">
        <v>14.318907894726699</v>
      </c>
      <c r="V340" s="8" t="s">
        <v>2742</v>
      </c>
      <c r="W340" s="157">
        <v>10.5247135715636</v>
      </c>
      <c r="X340" s="30">
        <v>-20.734591847416599</v>
      </c>
      <c r="Y340" s="30">
        <v>10.5247135715636</v>
      </c>
      <c r="Z340" s="498" t="s">
        <v>2742</v>
      </c>
      <c r="AA340" s="157">
        <v>1.09714460883711</v>
      </c>
      <c r="AB340" s="30">
        <v>15.7328302109107</v>
      </c>
      <c r="AC340" s="30">
        <v>1.09714460883711</v>
      </c>
      <c r="AD340" s="8" t="s">
        <v>2742</v>
      </c>
      <c r="AE340" s="157">
        <v>0.82669558049874603</v>
      </c>
      <c r="AF340" s="30">
        <v>12.4169232499677</v>
      </c>
      <c r="AG340" s="30">
        <v>0.82669558049874603</v>
      </c>
      <c r="AH340" s="8" t="s">
        <v>2742</v>
      </c>
      <c r="AI340" s="157">
        <v>1.11834061759792</v>
      </c>
      <c r="AJ340" s="30">
        <v>-3.30923536884481</v>
      </c>
      <c r="AK340" s="30">
        <v>1.11834061759792</v>
      </c>
      <c r="AL340" s="8" t="s">
        <v>2742</v>
      </c>
      <c r="AM340" s="157">
        <v>1.2060737720952099</v>
      </c>
      <c r="AN340" s="30">
        <v>-7.4726870826841463</v>
      </c>
      <c r="AO340" s="30">
        <v>1.2060737720952099</v>
      </c>
      <c r="AP340" s="8" t="s">
        <v>2742</v>
      </c>
      <c r="AQ340" s="157">
        <v>1.23292530922736</v>
      </c>
      <c r="AR340" s="30">
        <v>-7.5569596436366799</v>
      </c>
      <c r="AS340" s="30">
        <v>1.23292530922736</v>
      </c>
      <c r="AT340" s="8" t="s">
        <v>2742</v>
      </c>
      <c r="AU340" s="157">
        <v>1.17608640702849</v>
      </c>
      <c r="AV340" s="30">
        <v>4.8619223837502599</v>
      </c>
      <c r="AW340" s="30">
        <v>1.17608640702849</v>
      </c>
      <c r="AX340" s="8" t="s">
        <v>2742</v>
      </c>
      <c r="AY340" s="157" t="s">
        <v>2855</v>
      </c>
      <c r="AZ340" s="30"/>
      <c r="BA340" s="30"/>
      <c r="BB340" s="101"/>
      <c r="BC340" s="157">
        <v>1.2464743640902618</v>
      </c>
      <c r="BD340" s="30"/>
      <c r="BE340" s="30"/>
      <c r="BF340" s="277"/>
    </row>
    <row r="341" spans="1:58" customFormat="1">
      <c r="A341" s="391"/>
      <c r="B341" s="396"/>
      <c r="C341" s="3"/>
      <c r="D341" s="206" t="s">
        <v>2855</v>
      </c>
      <c r="E341" s="206" t="s">
        <v>2855</v>
      </c>
      <c r="F341" s="206" t="s">
        <v>558</v>
      </c>
      <c r="G341" s="3"/>
      <c r="H341" s="206" t="s">
        <v>2855</v>
      </c>
      <c r="I341" s="206" t="s">
        <v>2855</v>
      </c>
      <c r="J341" s="206" t="s">
        <v>558</v>
      </c>
      <c r="K341" s="353"/>
      <c r="L341" s="344">
        <v>6.5999999999999943</v>
      </c>
      <c r="M341" s="344">
        <v>9.4908028499276895</v>
      </c>
      <c r="N341" s="206" t="s">
        <v>1124</v>
      </c>
      <c r="O341" s="3"/>
      <c r="P341" s="206" t="s">
        <v>2855</v>
      </c>
      <c r="Q341" s="206" t="s">
        <v>2855</v>
      </c>
      <c r="R341" s="206" t="s">
        <v>558</v>
      </c>
      <c r="S341" s="3"/>
      <c r="T341" s="206" t="s">
        <v>2855</v>
      </c>
      <c r="U341" s="206" t="s">
        <v>2855</v>
      </c>
      <c r="V341" s="206" t="s">
        <v>558</v>
      </c>
      <c r="W341" s="3"/>
      <c r="X341" s="206" t="s">
        <v>2855</v>
      </c>
      <c r="Y341" s="206" t="s">
        <v>2855</v>
      </c>
      <c r="Z341" s="350" t="s">
        <v>558</v>
      </c>
      <c r="AA341" s="4"/>
      <c r="AB341" s="206" t="s">
        <v>2855</v>
      </c>
      <c r="AC341" s="206" t="s">
        <v>2855</v>
      </c>
      <c r="AD341" s="206" t="s">
        <v>558</v>
      </c>
      <c r="AE341" s="3"/>
      <c r="AF341" s="206">
        <v>12.19</v>
      </c>
      <c r="AG341" s="206">
        <v>0.69146320276503692</v>
      </c>
      <c r="AH341" s="206" t="s">
        <v>558</v>
      </c>
      <c r="AI341" s="3"/>
      <c r="AJ341" s="206" t="s">
        <v>2855</v>
      </c>
      <c r="AK341" s="206" t="s">
        <v>2855</v>
      </c>
      <c r="AL341" s="206" t="s">
        <v>558</v>
      </c>
      <c r="AM341" s="3"/>
      <c r="AN341" s="206" t="s">
        <v>2855</v>
      </c>
      <c r="AO341" s="206" t="s">
        <v>2855</v>
      </c>
      <c r="AP341" s="206" t="s">
        <v>558</v>
      </c>
      <c r="AQ341" s="3"/>
      <c r="AR341" s="206" t="s">
        <v>2855</v>
      </c>
      <c r="AS341" s="206" t="s">
        <v>2855</v>
      </c>
      <c r="AT341" s="206" t="s">
        <v>558</v>
      </c>
      <c r="AU341" s="3"/>
      <c r="AV341" s="206" t="s">
        <v>2855</v>
      </c>
      <c r="AW341" s="206" t="s">
        <v>2855</v>
      </c>
      <c r="AX341" s="206" t="s">
        <v>558</v>
      </c>
      <c r="AY341" s="3"/>
      <c r="AZ341" s="52"/>
      <c r="BA341" s="52"/>
      <c r="BB341" s="52"/>
      <c r="BC341" s="3"/>
      <c r="BD341" s="40"/>
      <c r="BE341" s="40"/>
      <c r="BF341" s="42"/>
    </row>
    <row r="342" spans="1:58" customFormat="1">
      <c r="A342" s="391"/>
      <c r="B342" s="396"/>
      <c r="C342" s="3"/>
      <c r="D342" s="176">
        <v>141.63999999999999</v>
      </c>
      <c r="E342" s="176">
        <v>14.879848559999997</v>
      </c>
      <c r="F342" s="206" t="s">
        <v>1124</v>
      </c>
      <c r="G342" s="3"/>
      <c r="H342" s="176">
        <v>12.97999999999999</v>
      </c>
      <c r="I342" s="176">
        <v>18.208084399999983</v>
      </c>
      <c r="J342" s="206" t="s">
        <v>1124</v>
      </c>
      <c r="K342" s="353"/>
      <c r="L342" s="206"/>
      <c r="M342" s="206"/>
      <c r="N342" s="206"/>
      <c r="O342" s="3"/>
      <c r="P342" s="178">
        <v>-135.04</v>
      </c>
      <c r="Q342" s="178">
        <v>25.771708799999995</v>
      </c>
      <c r="R342" s="206" t="s">
        <v>1124</v>
      </c>
      <c r="S342" s="3"/>
      <c r="T342" s="178">
        <v>129.42021819999999</v>
      </c>
      <c r="U342" s="178">
        <v>24.2622788857358</v>
      </c>
      <c r="V342" s="206" t="s">
        <v>1124</v>
      </c>
      <c r="W342" s="3"/>
      <c r="X342" s="178">
        <v>-22.272568000000003</v>
      </c>
      <c r="Y342" s="178">
        <v>9.1365002279511423</v>
      </c>
      <c r="Z342" s="350" t="s">
        <v>1124</v>
      </c>
      <c r="AA342" s="4"/>
      <c r="AB342" s="178">
        <v>16.864000000000001</v>
      </c>
      <c r="AC342" s="178">
        <v>1.143986304</v>
      </c>
      <c r="AD342" s="206" t="s">
        <v>1124</v>
      </c>
      <c r="AE342" s="3"/>
      <c r="AF342" s="178">
        <v>11.38</v>
      </c>
      <c r="AG342" s="178">
        <v>0.96857455999999997</v>
      </c>
      <c r="AH342" s="206" t="s">
        <v>1124</v>
      </c>
      <c r="AI342" s="3"/>
      <c r="AJ342" s="178">
        <v>-3.12</v>
      </c>
      <c r="AK342" s="178">
        <v>0.63003408000000005</v>
      </c>
      <c r="AL342" s="206" t="s">
        <v>1124</v>
      </c>
      <c r="AM342" s="3"/>
      <c r="AN342" s="178">
        <v>-6.5403690608624325</v>
      </c>
      <c r="AO342" s="178">
        <v>1.0121875158590701</v>
      </c>
      <c r="AP342" s="206" t="s">
        <v>1124</v>
      </c>
      <c r="AQ342" s="3"/>
      <c r="AR342" s="178">
        <v>-6.5403690608624325</v>
      </c>
      <c r="AS342" s="178">
        <v>1.0121875158590701</v>
      </c>
      <c r="AT342" s="206" t="s">
        <v>1124</v>
      </c>
      <c r="AU342" s="3"/>
      <c r="AV342" s="178">
        <v>4.4496473999999981</v>
      </c>
      <c r="AW342" s="178">
        <v>0.80418922424939965</v>
      </c>
      <c r="AX342" s="206" t="s">
        <v>1124</v>
      </c>
      <c r="AY342" s="3"/>
      <c r="AZ342" s="178"/>
      <c r="BA342" s="178"/>
      <c r="BB342" s="206"/>
      <c r="BC342" s="3"/>
      <c r="BD342" s="178"/>
      <c r="BE342" s="178"/>
      <c r="BF342" s="350"/>
    </row>
    <row r="343" spans="1:58" customFormat="1">
      <c r="A343" s="391"/>
      <c r="B343" s="396"/>
      <c r="C343" s="87"/>
      <c r="D343" s="119"/>
      <c r="E343" s="119"/>
      <c r="F343" s="4"/>
      <c r="G343" s="80"/>
      <c r="H343" s="119"/>
      <c r="I343" s="119"/>
      <c r="J343" s="4"/>
      <c r="K343" s="3"/>
      <c r="L343" s="4"/>
      <c r="M343" s="4"/>
      <c r="N343" s="4"/>
      <c r="O343" s="115"/>
      <c r="P343" s="119"/>
      <c r="Q343" s="119"/>
      <c r="R343" s="4"/>
      <c r="S343" s="80"/>
      <c r="T343" s="1"/>
      <c r="U343" s="1"/>
      <c r="V343" s="13"/>
      <c r="W343" s="80"/>
      <c r="X343" s="171"/>
      <c r="Y343" s="171"/>
      <c r="Z343" s="122"/>
      <c r="AA343" s="4"/>
      <c r="AB343" s="9"/>
      <c r="AC343" s="9"/>
      <c r="AD343" s="4"/>
      <c r="AE343" s="3"/>
      <c r="AF343" s="9"/>
      <c r="AG343" s="9"/>
      <c r="AH343" s="4"/>
      <c r="AI343" s="3"/>
      <c r="AJ343" s="9"/>
      <c r="AK343" s="9"/>
      <c r="AL343" s="4"/>
      <c r="AM343" s="3"/>
      <c r="AN343" s="9"/>
      <c r="AO343" s="9"/>
      <c r="AP343" s="4"/>
      <c r="AQ343" s="3"/>
      <c r="AR343" s="9"/>
      <c r="AS343" s="9"/>
      <c r="AT343" s="4"/>
      <c r="AU343" s="3"/>
      <c r="AV343" s="9"/>
      <c r="AW343" s="9"/>
      <c r="AX343" s="4"/>
      <c r="AY343" s="3"/>
      <c r="AZ343" s="9"/>
      <c r="BA343" s="9"/>
      <c r="BB343" s="4"/>
      <c r="BC343" s="3"/>
      <c r="BD343" s="9"/>
      <c r="BE343" s="9"/>
      <c r="BF343" s="122"/>
    </row>
    <row r="344" spans="1:58" customFormat="1">
      <c r="A344" s="391" t="s">
        <v>1958</v>
      </c>
      <c r="B344" s="396" t="s">
        <v>1957</v>
      </c>
      <c r="C344" s="157">
        <v>112.280330319738</v>
      </c>
      <c r="D344" s="30" t="s">
        <v>2855</v>
      </c>
      <c r="E344" s="30" t="s">
        <v>2855</v>
      </c>
      <c r="F344" s="30" t="s">
        <v>2743</v>
      </c>
      <c r="G344" s="157">
        <v>-0.39307553601034201</v>
      </c>
      <c r="H344" s="30" t="s">
        <v>2855</v>
      </c>
      <c r="I344" s="30" t="s">
        <v>2855</v>
      </c>
      <c r="J344" s="30" t="s">
        <v>2743</v>
      </c>
      <c r="K344" s="157">
        <v>20.303999409533795</v>
      </c>
      <c r="L344" s="113">
        <v>20.303999409533795</v>
      </c>
      <c r="M344" s="30">
        <v>13.439782726672499</v>
      </c>
      <c r="N344" s="355" t="s">
        <v>1498</v>
      </c>
      <c r="O344" s="157">
        <v>-89.585330910204206</v>
      </c>
      <c r="P344" s="30" t="s">
        <v>2855</v>
      </c>
      <c r="Q344" s="30" t="s">
        <v>2855</v>
      </c>
      <c r="R344" s="30" t="s">
        <v>2743</v>
      </c>
      <c r="S344" s="157">
        <v>110.282920645332</v>
      </c>
      <c r="T344" s="30" t="s">
        <v>2855</v>
      </c>
      <c r="U344" s="30" t="s">
        <v>2855</v>
      </c>
      <c r="V344" s="30" t="s">
        <v>2743</v>
      </c>
      <c r="W344" s="157">
        <v>20.696227596751601</v>
      </c>
      <c r="X344" s="30" t="s">
        <v>2855</v>
      </c>
      <c r="Y344" s="30" t="s">
        <v>2855</v>
      </c>
      <c r="Z344" s="300" t="s">
        <v>2743</v>
      </c>
      <c r="AA344" s="157">
        <v>11.404406316193</v>
      </c>
      <c r="AB344" s="30">
        <v>11.593983749482399</v>
      </c>
      <c r="AC344" s="30">
        <v>0.52427524418256599</v>
      </c>
      <c r="AD344" s="30" t="s">
        <v>2743</v>
      </c>
      <c r="AE344" s="157">
        <v>8.0921093354258904</v>
      </c>
      <c r="AF344" s="30">
        <v>8.1322663308961296</v>
      </c>
      <c r="AG344" s="30">
        <v>0.42742394385932098</v>
      </c>
      <c r="AH344" s="30" t="s">
        <v>2743</v>
      </c>
      <c r="AI344" s="157">
        <v>-3.36242406800883</v>
      </c>
      <c r="AJ344" s="30">
        <v>-3.4804525784287601</v>
      </c>
      <c r="AK344" s="30">
        <v>0.52068054724199797</v>
      </c>
      <c r="AL344" s="30" t="s">
        <v>2743</v>
      </c>
      <c r="AM344" s="157">
        <v>-4.1791722454027864</v>
      </c>
      <c r="AN344" s="30">
        <v>-4.2562705565587979</v>
      </c>
      <c r="AO344" s="30">
        <v>0.37277339959370398</v>
      </c>
      <c r="AP344" s="30" t="s">
        <v>2743</v>
      </c>
      <c r="AQ344" s="157">
        <v>-4.2100541142918804</v>
      </c>
      <c r="AR344" s="30">
        <v>-4.1514411283640502</v>
      </c>
      <c r="AS344" s="30">
        <v>0.45951702099512998</v>
      </c>
      <c r="AT344" s="30" t="s">
        <v>2743</v>
      </c>
      <c r="AU344" s="157">
        <v>3.8575980646650101</v>
      </c>
      <c r="AV344" s="30" t="s">
        <v>2855</v>
      </c>
      <c r="AW344" s="30" t="s">
        <v>2855</v>
      </c>
      <c r="AX344" s="30" t="s">
        <v>2743</v>
      </c>
      <c r="AY344" s="157" t="s">
        <v>2855</v>
      </c>
      <c r="AZ344" s="30" t="s">
        <v>2855</v>
      </c>
      <c r="BA344" s="30" t="s">
        <v>2855</v>
      </c>
      <c r="BB344" s="30" t="s">
        <v>558</v>
      </c>
      <c r="BC344" s="157">
        <v>-53</v>
      </c>
      <c r="BD344" s="30">
        <v>-53</v>
      </c>
      <c r="BE344" s="30">
        <v>2.7386127875258306</v>
      </c>
      <c r="BF344" s="300" t="s">
        <v>558</v>
      </c>
    </row>
    <row r="345" spans="1:58" customFormat="1">
      <c r="A345" s="391" t="s">
        <v>1956</v>
      </c>
      <c r="B345" s="396">
        <v>390.6</v>
      </c>
      <c r="C345" s="157">
        <v>4.4165560732872402</v>
      </c>
      <c r="D345" s="30">
        <v>112.280330319738</v>
      </c>
      <c r="E345" s="30">
        <v>4.4165560732872402</v>
      </c>
      <c r="F345" s="8" t="s">
        <v>2742</v>
      </c>
      <c r="G345" s="157">
        <v>16.436941092814099</v>
      </c>
      <c r="H345" s="30">
        <v>-0.39307553601034201</v>
      </c>
      <c r="I345" s="30">
        <v>16.436941092814099</v>
      </c>
      <c r="J345" s="8" t="s">
        <v>2742</v>
      </c>
      <c r="K345" s="158">
        <v>13.439782726672499</v>
      </c>
      <c r="L345" s="113">
        <v>20.303152060741258</v>
      </c>
      <c r="M345" s="113">
        <v>24.212087801037953</v>
      </c>
      <c r="N345" s="13" t="s">
        <v>1499</v>
      </c>
      <c r="O345" s="157">
        <v>12.6933759178429</v>
      </c>
      <c r="P345" s="30">
        <v>-89.585330910204206</v>
      </c>
      <c r="Q345" s="30">
        <v>12.6933759178429</v>
      </c>
      <c r="R345" s="8" t="s">
        <v>2742</v>
      </c>
      <c r="S345" s="157">
        <v>16.3076327295393</v>
      </c>
      <c r="T345" s="30">
        <v>110.282920645332</v>
      </c>
      <c r="U345" s="30">
        <v>16.3076327295393</v>
      </c>
      <c r="V345" s="8" t="s">
        <v>2742</v>
      </c>
      <c r="W345" s="157">
        <v>17.7778559786193</v>
      </c>
      <c r="X345" s="30">
        <v>20.696227596751601</v>
      </c>
      <c r="Y345" s="30">
        <v>17.7778559786193</v>
      </c>
      <c r="Z345" s="498" t="s">
        <v>2742</v>
      </c>
      <c r="AA345" s="157">
        <v>0.44134086106958098</v>
      </c>
      <c r="AB345" s="30">
        <v>11.404406316193</v>
      </c>
      <c r="AC345" s="30">
        <v>0.44134086106958098</v>
      </c>
      <c r="AD345" s="8" t="s">
        <v>2742</v>
      </c>
      <c r="AE345" s="157">
        <v>0.40543274809833402</v>
      </c>
      <c r="AF345" s="30">
        <v>8.0921093354258904</v>
      </c>
      <c r="AG345" s="30">
        <v>0.40543274809833402</v>
      </c>
      <c r="AH345" s="8" t="s">
        <v>2742</v>
      </c>
      <c r="AI345" s="157">
        <v>0.46649833995448098</v>
      </c>
      <c r="AJ345" s="30">
        <v>-3.36242406800883</v>
      </c>
      <c r="AK345" s="30">
        <v>0.46649833995448098</v>
      </c>
      <c r="AL345" s="8" t="s">
        <v>2742</v>
      </c>
      <c r="AM345" s="157">
        <v>0.35716169400831099</v>
      </c>
      <c r="AN345" s="30">
        <v>-4.1791722454027864</v>
      </c>
      <c r="AO345" s="30">
        <v>0.35716169400831099</v>
      </c>
      <c r="AP345" s="8" t="s">
        <v>2742</v>
      </c>
      <c r="AQ345" s="157">
        <v>0.42292285994242201</v>
      </c>
      <c r="AR345" s="30">
        <v>-4.2100541142918804</v>
      </c>
      <c r="AS345" s="30">
        <v>0.42292285994242201</v>
      </c>
      <c r="AT345" s="8" t="s">
        <v>2742</v>
      </c>
      <c r="AU345" s="157">
        <v>0.46173778684304201</v>
      </c>
      <c r="AV345" s="30">
        <v>3.8575980646650101</v>
      </c>
      <c r="AW345" s="30">
        <v>0.46173778684304201</v>
      </c>
      <c r="AX345" s="8" t="s">
        <v>2742</v>
      </c>
      <c r="AY345" s="157" t="s">
        <v>2855</v>
      </c>
      <c r="AZ345" s="30"/>
      <c r="BA345" s="30"/>
      <c r="BB345" s="101"/>
      <c r="BC345" s="157">
        <v>2.7386127875258306</v>
      </c>
      <c r="BD345" s="30"/>
      <c r="BE345" s="30"/>
      <c r="BF345" s="277"/>
    </row>
    <row r="346" spans="1:58" customFormat="1">
      <c r="A346" s="391"/>
      <c r="B346" s="396"/>
      <c r="C346" s="3"/>
      <c r="D346" s="206">
        <v>112.20803244366759</v>
      </c>
      <c r="E346" s="206">
        <v>4.4625575442630749</v>
      </c>
      <c r="F346" s="206" t="s">
        <v>558</v>
      </c>
      <c r="G346" s="3"/>
      <c r="H346" s="206" t="s">
        <v>2855</v>
      </c>
      <c r="I346" s="206" t="s">
        <v>2855</v>
      </c>
      <c r="J346" s="206" t="s">
        <v>558</v>
      </c>
      <c r="K346" s="353"/>
      <c r="L346" s="344">
        <v>5.4299999999999926</v>
      </c>
      <c r="M346" s="344">
        <v>7.808342344713231</v>
      </c>
      <c r="N346" s="206" t="s">
        <v>1124</v>
      </c>
      <c r="O346" s="3"/>
      <c r="P346" s="206">
        <v>-85.235128000000003</v>
      </c>
      <c r="Q346" s="206">
        <v>5.4003343808469122</v>
      </c>
      <c r="R346" s="206" t="s">
        <v>558</v>
      </c>
      <c r="S346" s="3"/>
      <c r="T346" s="206" t="s">
        <v>2855</v>
      </c>
      <c r="U346" s="206" t="s">
        <v>2855</v>
      </c>
      <c r="V346" s="206" t="s">
        <v>558</v>
      </c>
      <c r="W346" s="3"/>
      <c r="X346" s="206" t="s">
        <v>2855</v>
      </c>
      <c r="Y346" s="206" t="s">
        <v>2855</v>
      </c>
      <c r="Z346" s="350" t="s">
        <v>558</v>
      </c>
      <c r="AA346" s="4"/>
      <c r="AB346" s="206">
        <v>10.48</v>
      </c>
      <c r="AC346" s="206">
        <v>0.26983713356784012</v>
      </c>
      <c r="AD346" s="206" t="s">
        <v>558</v>
      </c>
      <c r="AE346" s="3"/>
      <c r="AF346" s="206">
        <v>8.6747928571428581</v>
      </c>
      <c r="AG346" s="206">
        <v>0.35617946252389365</v>
      </c>
      <c r="AH346" s="206" t="s">
        <v>558</v>
      </c>
      <c r="AI346" s="3"/>
      <c r="AJ346" s="206" t="s">
        <v>2855</v>
      </c>
      <c r="AK346" s="206" t="s">
        <v>2855</v>
      </c>
      <c r="AL346" s="206" t="s">
        <v>558</v>
      </c>
      <c r="AM346" s="3"/>
      <c r="AN346" s="206">
        <v>-4.6359639287313668</v>
      </c>
      <c r="AO346" s="206">
        <v>0.40136383442810358</v>
      </c>
      <c r="AP346" s="206" t="s">
        <v>558</v>
      </c>
      <c r="AQ346" s="3"/>
      <c r="AR346" s="206">
        <v>-4.6359639287313668</v>
      </c>
      <c r="AS346" s="206">
        <v>0.40136383442810358</v>
      </c>
      <c r="AT346" s="206" t="s">
        <v>558</v>
      </c>
      <c r="AU346" s="3"/>
      <c r="AV346" s="206" t="s">
        <v>2855</v>
      </c>
      <c r="AW346" s="206" t="s">
        <v>2855</v>
      </c>
      <c r="AX346" s="206" t="s">
        <v>558</v>
      </c>
      <c r="AY346" s="3"/>
      <c r="AZ346" s="52"/>
      <c r="BA346" s="52"/>
      <c r="BB346" s="52"/>
      <c r="BC346" s="3"/>
      <c r="BD346" s="40"/>
      <c r="BE346" s="40"/>
      <c r="BF346" s="42"/>
    </row>
    <row r="347" spans="1:58" customFormat="1">
      <c r="A347" s="391"/>
      <c r="B347" s="396"/>
      <c r="C347" s="3"/>
      <c r="D347" s="176">
        <v>112.58</v>
      </c>
      <c r="E347" s="176">
        <v>11.82697932</v>
      </c>
      <c r="F347" s="206" t="s">
        <v>1124</v>
      </c>
      <c r="G347" s="3"/>
      <c r="H347" s="176">
        <v>0.45000000000000284</v>
      </c>
      <c r="I347" s="176">
        <v>0.631251000000004</v>
      </c>
      <c r="J347" s="206" t="s">
        <v>1124</v>
      </c>
      <c r="K347" s="353"/>
      <c r="L347" s="206"/>
      <c r="M347" s="206"/>
      <c r="N347" s="206"/>
      <c r="O347" s="3"/>
      <c r="P347" s="178">
        <v>-107.15</v>
      </c>
      <c r="Q347" s="178">
        <v>20.449041749999999</v>
      </c>
      <c r="R347" s="206" t="s">
        <v>1124</v>
      </c>
      <c r="S347" s="3"/>
      <c r="T347" s="178">
        <v>128.53927819999998</v>
      </c>
      <c r="U347" s="178">
        <v>24.097129944875796</v>
      </c>
      <c r="V347" s="206" t="s">
        <v>1124</v>
      </c>
      <c r="W347" s="3"/>
      <c r="X347" s="178">
        <v>2.6493320000000207</v>
      </c>
      <c r="Y347" s="178">
        <v>1.0867908191780329</v>
      </c>
      <c r="Z347" s="350" t="s">
        <v>1124</v>
      </c>
      <c r="AA347" s="4"/>
      <c r="AB347" s="178">
        <v>12.557</v>
      </c>
      <c r="AC347" s="178">
        <v>0.8518166519999999</v>
      </c>
      <c r="AD347" s="206" t="s">
        <v>1124</v>
      </c>
      <c r="AE347" s="3"/>
      <c r="AF347" s="178">
        <v>8.43</v>
      </c>
      <c r="AG347" s="178">
        <v>0.71749415999999988</v>
      </c>
      <c r="AH347" s="206" t="s">
        <v>1124</v>
      </c>
      <c r="AI347" s="3"/>
      <c r="AJ347" s="178">
        <v>-3.28</v>
      </c>
      <c r="AK347" s="178">
        <v>0.66234351999999996</v>
      </c>
      <c r="AL347" s="206" t="s">
        <v>1124</v>
      </c>
      <c r="AM347" s="3"/>
      <c r="AN347" s="178">
        <v>-4.5286923891535924</v>
      </c>
      <c r="AO347" s="178">
        <v>0.70086043414540999</v>
      </c>
      <c r="AP347" s="206" t="s">
        <v>1124</v>
      </c>
      <c r="AQ347" s="3"/>
      <c r="AR347" s="178">
        <v>-4.5286923891535924</v>
      </c>
      <c r="AS347" s="178">
        <v>0.70086043414540999</v>
      </c>
      <c r="AT347" s="206" t="s">
        <v>1124</v>
      </c>
      <c r="AU347" s="3"/>
      <c r="AV347" s="178">
        <v>4.1874873999999984</v>
      </c>
      <c r="AW347" s="178">
        <v>0.75680878528939977</v>
      </c>
      <c r="AX347" s="206" t="s">
        <v>1124</v>
      </c>
      <c r="AY347" s="3"/>
      <c r="AZ347" s="178"/>
      <c r="BA347" s="178"/>
      <c r="BB347" s="206"/>
      <c r="BC347" s="3"/>
      <c r="BD347" s="178"/>
      <c r="BE347" s="178"/>
      <c r="BF347" s="350"/>
    </row>
    <row r="348" spans="1:58" customFormat="1">
      <c r="A348" s="391"/>
      <c r="B348" s="396"/>
      <c r="C348" s="3"/>
      <c r="D348" s="176"/>
      <c r="E348" s="176"/>
      <c r="F348" s="206"/>
      <c r="G348" s="3"/>
      <c r="H348" s="176"/>
      <c r="I348" s="176"/>
      <c r="J348" s="206"/>
      <c r="K348" s="353"/>
      <c r="L348" s="206"/>
      <c r="M348" s="206"/>
      <c r="N348" s="206"/>
      <c r="O348" s="3"/>
      <c r="P348" s="178"/>
      <c r="Q348" s="178"/>
      <c r="R348" s="206"/>
      <c r="S348" s="3"/>
      <c r="T348" s="178"/>
      <c r="U348" s="178"/>
      <c r="V348" s="206"/>
      <c r="W348" s="3"/>
      <c r="X348" s="178"/>
      <c r="Y348" s="178"/>
      <c r="Z348" s="350"/>
      <c r="AA348" s="4"/>
      <c r="AB348" s="9"/>
      <c r="AC348" s="9"/>
      <c r="AD348" s="4"/>
      <c r="AE348" s="3"/>
      <c r="AF348" s="9"/>
      <c r="AG348" s="9"/>
      <c r="AH348" s="4"/>
      <c r="AI348" s="3"/>
      <c r="AJ348" s="9"/>
      <c r="AK348" s="9"/>
      <c r="AL348" s="4"/>
      <c r="AM348" s="3"/>
      <c r="AN348" s="9"/>
      <c r="AO348" s="9"/>
      <c r="AP348" s="4"/>
      <c r="AQ348" s="3"/>
      <c r="AR348" s="9"/>
      <c r="AS348" s="9"/>
      <c r="AT348" s="4"/>
      <c r="AU348" s="3"/>
      <c r="AV348" s="9"/>
      <c r="AW348" s="9"/>
      <c r="AX348" s="4"/>
      <c r="AY348" s="3"/>
      <c r="AZ348" s="9"/>
      <c r="BA348" s="9"/>
      <c r="BB348" s="4"/>
      <c r="BC348" s="3"/>
      <c r="BD348" s="9"/>
      <c r="BE348" s="9"/>
      <c r="BF348" s="122"/>
    </row>
    <row r="349" spans="1:58" customFormat="1">
      <c r="A349" s="391" t="s">
        <v>1946</v>
      </c>
      <c r="B349" s="396" t="s">
        <v>1945</v>
      </c>
      <c r="C349" s="157">
        <v>117.673272310182</v>
      </c>
      <c r="D349" s="30" t="s">
        <v>2855</v>
      </c>
      <c r="E349" s="30" t="s">
        <v>2855</v>
      </c>
      <c r="F349" s="30" t="s">
        <v>2743</v>
      </c>
      <c r="G349" s="157">
        <v>3.40642187444872</v>
      </c>
      <c r="H349" s="30" t="s">
        <v>2855</v>
      </c>
      <c r="I349" s="30" t="s">
        <v>2855</v>
      </c>
      <c r="J349" s="30" t="s">
        <v>2743</v>
      </c>
      <c r="K349" s="157">
        <v>18.832937922196102</v>
      </c>
      <c r="L349" s="113">
        <v>18.832937922196102</v>
      </c>
      <c r="M349" s="30">
        <v>14.218099060766679</v>
      </c>
      <c r="N349" s="355" t="s">
        <v>1498</v>
      </c>
      <c r="O349" s="157">
        <v>-96.4493343879859</v>
      </c>
      <c r="P349" s="30" t="s">
        <v>2855</v>
      </c>
      <c r="Q349" s="30" t="s">
        <v>2855</v>
      </c>
      <c r="R349" s="30" t="s">
        <v>2743</v>
      </c>
      <c r="S349" s="157">
        <v>111.876290253245</v>
      </c>
      <c r="T349" s="30" t="s">
        <v>2855</v>
      </c>
      <c r="U349" s="30" t="s">
        <v>2855</v>
      </c>
      <c r="V349" s="30" t="s">
        <v>2743</v>
      </c>
      <c r="W349" s="157">
        <v>15.4271783622793</v>
      </c>
      <c r="X349" s="30" t="s">
        <v>2855</v>
      </c>
      <c r="Y349" s="30" t="s">
        <v>2855</v>
      </c>
      <c r="Z349" s="300" t="s">
        <v>2743</v>
      </c>
      <c r="AA349" s="157">
        <v>11.8632152038768</v>
      </c>
      <c r="AB349" s="30">
        <v>11.3510116171667</v>
      </c>
      <c r="AC349" s="30">
        <v>0.31325072684351202</v>
      </c>
      <c r="AD349" s="30" t="s">
        <v>2743</v>
      </c>
      <c r="AE349" s="157">
        <v>9.3587832930063897</v>
      </c>
      <c r="AF349" s="30">
        <v>9.3789119697452499</v>
      </c>
      <c r="AG349" s="30">
        <v>8.3657093458794296E-2</v>
      </c>
      <c r="AH349" s="30" t="s">
        <v>2743</v>
      </c>
      <c r="AI349" s="157">
        <v>-2.55265412001545</v>
      </c>
      <c r="AJ349" s="30">
        <v>-1.9842809350622901</v>
      </c>
      <c r="AK349" s="30">
        <v>0.33073369421100701</v>
      </c>
      <c r="AL349" s="30" t="s">
        <v>2743</v>
      </c>
      <c r="AM349" s="157">
        <v>-5.1765828413088375</v>
      </c>
      <c r="AN349" s="30">
        <v>-5.1733463215311275</v>
      </c>
      <c r="AO349" s="30">
        <v>0.209435016297952</v>
      </c>
      <c r="AP349" s="30" t="s">
        <v>2743</v>
      </c>
      <c r="AQ349" s="157">
        <v>-6.0273449749692203</v>
      </c>
      <c r="AR349" s="30">
        <v>-6.5713605965614104</v>
      </c>
      <c r="AS349" s="30">
        <v>0.37968469839896601</v>
      </c>
      <c r="AT349" s="30" t="s">
        <v>2743</v>
      </c>
      <c r="AU349" s="157">
        <v>3.3155285605376998</v>
      </c>
      <c r="AV349" s="30" t="s">
        <v>2855</v>
      </c>
      <c r="AW349" s="30" t="s">
        <v>2855</v>
      </c>
      <c r="AX349" s="30" t="s">
        <v>2743</v>
      </c>
      <c r="AY349" s="157" t="s">
        <v>2855</v>
      </c>
      <c r="AZ349" s="30" t="s">
        <v>2855</v>
      </c>
      <c r="BA349" s="30" t="s">
        <v>2855</v>
      </c>
      <c r="BB349" s="30" t="s">
        <v>558</v>
      </c>
      <c r="BC349" s="157">
        <v>-25</v>
      </c>
      <c r="BD349" s="30">
        <v>-25</v>
      </c>
      <c r="BE349" s="30" t="s">
        <v>2855</v>
      </c>
      <c r="BF349" s="300" t="s">
        <v>558</v>
      </c>
    </row>
    <row r="350" spans="1:58" customFormat="1">
      <c r="A350" s="391" t="s">
        <v>1942</v>
      </c>
      <c r="B350" s="396">
        <v>390.6</v>
      </c>
      <c r="C350" s="157">
        <v>8.4987287480070908</v>
      </c>
      <c r="D350" s="30">
        <v>117.673272310182</v>
      </c>
      <c r="E350" s="30">
        <v>8.4987287480070908</v>
      </c>
      <c r="F350" s="8" t="s">
        <v>2742</v>
      </c>
      <c r="G350" s="157">
        <v>15.7619774305868</v>
      </c>
      <c r="H350" s="30">
        <v>3.40642187444872</v>
      </c>
      <c r="I350" s="30">
        <v>15.7619774305868</v>
      </c>
      <c r="J350" s="8" t="s">
        <v>2742</v>
      </c>
      <c r="K350" s="158">
        <v>14.218099060766679</v>
      </c>
      <c r="L350" s="113">
        <v>18.833600236728021</v>
      </c>
      <c r="M350" s="113">
        <v>22.71342071963614</v>
      </c>
      <c r="N350" s="13" t="s">
        <v>1499</v>
      </c>
      <c r="O350" s="157">
        <v>11.398506506098601</v>
      </c>
      <c r="P350" s="30">
        <v>-96.4493343879859</v>
      </c>
      <c r="Q350" s="30">
        <v>11.398506506098601</v>
      </c>
      <c r="R350" s="8" t="s">
        <v>2742</v>
      </c>
      <c r="S350" s="157">
        <v>15.138924047686</v>
      </c>
      <c r="T350" s="30">
        <v>111.876290253245</v>
      </c>
      <c r="U350" s="30">
        <v>15.138924047686</v>
      </c>
      <c r="V350" s="8" t="s">
        <v>2742</v>
      </c>
      <c r="W350" s="157">
        <v>16.3541905414138</v>
      </c>
      <c r="X350" s="30">
        <v>15.4271783622793</v>
      </c>
      <c r="Y350" s="30">
        <v>16.3541905414138</v>
      </c>
      <c r="Z350" s="498" t="s">
        <v>2742</v>
      </c>
      <c r="AA350" s="157">
        <v>0.397526065808888</v>
      </c>
      <c r="AB350" s="30">
        <v>11.8632152038768</v>
      </c>
      <c r="AC350" s="30">
        <v>0.397526065808888</v>
      </c>
      <c r="AD350" s="8" t="s">
        <v>2742</v>
      </c>
      <c r="AE350" s="157">
        <v>0.130512762922848</v>
      </c>
      <c r="AF350" s="30">
        <v>9.3587832930063897</v>
      </c>
      <c r="AG350" s="30">
        <v>0.130512762922848</v>
      </c>
      <c r="AH350" s="8" t="s">
        <v>2742</v>
      </c>
      <c r="AI350" s="157">
        <v>0.41824488614579702</v>
      </c>
      <c r="AJ350" s="30">
        <v>-2.55265412001545</v>
      </c>
      <c r="AK350" s="30">
        <v>0.41824488614579702</v>
      </c>
      <c r="AL350" s="8" t="s">
        <v>2742</v>
      </c>
      <c r="AM350" s="157">
        <v>0.21020643829886901</v>
      </c>
      <c r="AN350" s="30">
        <v>-5.1765828413088375</v>
      </c>
      <c r="AO350" s="30">
        <v>0.21020643829886901</v>
      </c>
      <c r="AP350" s="8" t="s">
        <v>2742</v>
      </c>
      <c r="AQ350" s="157">
        <v>0.42615359225385901</v>
      </c>
      <c r="AR350" s="30">
        <v>-6.0273449749692203</v>
      </c>
      <c r="AS350" s="30">
        <v>0.42615359225385901</v>
      </c>
      <c r="AT350" s="8" t="s">
        <v>2742</v>
      </c>
      <c r="AU350" s="157">
        <v>0.417163100747661</v>
      </c>
      <c r="AV350" s="30">
        <v>3.3155285605376998</v>
      </c>
      <c r="AW350" s="30">
        <v>0.417163100747661</v>
      </c>
      <c r="AX350" s="8" t="s">
        <v>2742</v>
      </c>
      <c r="AY350" s="157" t="s">
        <v>2855</v>
      </c>
      <c r="AZ350" s="30"/>
      <c r="BA350" s="30"/>
      <c r="BB350" s="101"/>
      <c r="BC350" s="157" t="s">
        <v>2855</v>
      </c>
      <c r="BD350" s="30"/>
      <c r="BE350" s="30"/>
      <c r="BF350" s="277"/>
    </row>
    <row r="351" spans="1:58" customFormat="1">
      <c r="A351" s="391"/>
      <c r="B351" s="396"/>
      <c r="C351" s="3"/>
      <c r="D351" s="206">
        <v>117.3274</v>
      </c>
      <c r="E351" s="206">
        <v>8.7652894441655516</v>
      </c>
      <c r="F351" s="206" t="s">
        <v>558</v>
      </c>
      <c r="G351" s="3"/>
      <c r="H351" s="206" t="s">
        <v>2855</v>
      </c>
      <c r="I351" s="206" t="s">
        <v>2855</v>
      </c>
      <c r="J351" s="206" t="s">
        <v>558</v>
      </c>
      <c r="K351" s="353"/>
      <c r="L351" s="344">
        <v>5.8299999999999983</v>
      </c>
      <c r="M351" s="344">
        <v>8.3835425174361298</v>
      </c>
      <c r="N351" s="206" t="s">
        <v>1124</v>
      </c>
      <c r="O351" s="3"/>
      <c r="P351" s="206">
        <v>-92.642902000000007</v>
      </c>
      <c r="Q351" s="206">
        <v>5.8696767465642949</v>
      </c>
      <c r="R351" s="206" t="s">
        <v>558</v>
      </c>
      <c r="S351" s="3"/>
      <c r="T351" s="206" t="s">
        <v>2855</v>
      </c>
      <c r="U351" s="206" t="s">
        <v>2855</v>
      </c>
      <c r="V351" s="206" t="s">
        <v>558</v>
      </c>
      <c r="W351" s="3"/>
      <c r="X351" s="206" t="s">
        <v>2855</v>
      </c>
      <c r="Y351" s="206" t="s">
        <v>2855</v>
      </c>
      <c r="Z351" s="350" t="s">
        <v>558</v>
      </c>
      <c r="AA351" s="4"/>
      <c r="AB351" s="206">
        <v>11.18</v>
      </c>
      <c r="AC351" s="206">
        <v>0.28786060622981419</v>
      </c>
      <c r="AD351" s="206" t="s">
        <v>558</v>
      </c>
      <c r="AE351" s="3"/>
      <c r="AF351" s="206">
        <v>9.3887499999999999</v>
      </c>
      <c r="AG351" s="206">
        <v>5.5075705472860809E-2</v>
      </c>
      <c r="AH351" s="206" t="s">
        <v>558</v>
      </c>
      <c r="AI351" s="3"/>
      <c r="AJ351" s="206" t="s">
        <v>2855</v>
      </c>
      <c r="AK351" s="206" t="s">
        <v>2855</v>
      </c>
      <c r="AL351" s="206" t="s">
        <v>558</v>
      </c>
      <c r="AM351" s="3"/>
      <c r="AN351" s="206">
        <v>-5.2448925746858528</v>
      </c>
      <c r="AO351" s="206">
        <v>0.21714113940771862</v>
      </c>
      <c r="AP351" s="206" t="s">
        <v>558</v>
      </c>
      <c r="AQ351" s="3"/>
      <c r="AR351" s="206">
        <v>-5.2448925746858528</v>
      </c>
      <c r="AS351" s="206">
        <v>0.21714113940771862</v>
      </c>
      <c r="AT351" s="206" t="s">
        <v>558</v>
      </c>
      <c r="AU351" s="3"/>
      <c r="AV351" s="206" t="s">
        <v>2855</v>
      </c>
      <c r="AW351" s="206" t="s">
        <v>2855</v>
      </c>
      <c r="AX351" s="206" t="s">
        <v>558</v>
      </c>
      <c r="AY351" s="3"/>
      <c r="AZ351" s="52"/>
      <c r="BA351" s="52"/>
      <c r="BB351" s="52"/>
      <c r="BC351" s="3"/>
      <c r="BD351" s="40"/>
      <c r="BE351" s="40"/>
      <c r="BF351" s="42"/>
    </row>
    <row r="352" spans="1:58" customFormat="1">
      <c r="A352" s="391"/>
      <c r="B352" s="396"/>
      <c r="C352" s="3"/>
      <c r="D352" s="176">
        <v>123.41</v>
      </c>
      <c r="E352" s="176">
        <v>12.964714139999998</v>
      </c>
      <c r="F352" s="206" t="s">
        <v>1124</v>
      </c>
      <c r="G352" s="3"/>
      <c r="H352" s="176">
        <v>6.2299999999999898</v>
      </c>
      <c r="I352" s="176">
        <v>8.7393193999999852</v>
      </c>
      <c r="J352" s="206" t="s">
        <v>1124</v>
      </c>
      <c r="K352" s="353"/>
      <c r="L352" s="206"/>
      <c r="M352" s="206"/>
      <c r="N352" s="206"/>
      <c r="O352" s="3"/>
      <c r="P352" s="178">
        <v>-117.58</v>
      </c>
      <c r="Q352" s="178">
        <v>22.4395551</v>
      </c>
      <c r="R352" s="206" t="s">
        <v>1124</v>
      </c>
      <c r="S352" s="3"/>
      <c r="T352" s="178">
        <v>129.96127820000001</v>
      </c>
      <c r="U352" s="178">
        <v>24.363710862875802</v>
      </c>
      <c r="V352" s="206" t="s">
        <v>1124</v>
      </c>
      <c r="W352" s="3"/>
      <c r="X352" s="178">
        <v>0.13103200000002402</v>
      </c>
      <c r="Y352" s="178">
        <v>5.3751049177136349E-2</v>
      </c>
      <c r="Z352" s="350" t="s">
        <v>1124</v>
      </c>
      <c r="AA352" s="4"/>
      <c r="AB352" s="178">
        <v>12.079000000000001</v>
      </c>
      <c r="AC352" s="178">
        <v>0.81939104399999996</v>
      </c>
      <c r="AD352" s="206" t="s">
        <v>1124</v>
      </c>
      <c r="AE352" s="3"/>
      <c r="AF352" s="178">
        <v>9.18</v>
      </c>
      <c r="AG352" s="178">
        <v>0.78132815999999994</v>
      </c>
      <c r="AH352" s="206" t="s">
        <v>1124</v>
      </c>
      <c r="AI352" s="3"/>
      <c r="AJ352" s="178">
        <v>-3.66</v>
      </c>
      <c r="AK352" s="178">
        <v>0.73907844</v>
      </c>
      <c r="AL352" s="206" t="s">
        <v>1124</v>
      </c>
      <c r="AM352" s="3"/>
      <c r="AN352" s="178">
        <v>-4.6412039331595061</v>
      </c>
      <c r="AO352" s="178">
        <v>0.7182727206957652</v>
      </c>
      <c r="AP352" s="206" t="s">
        <v>1124</v>
      </c>
      <c r="AQ352" s="3"/>
      <c r="AR352" s="178">
        <v>-4.6412039331595061</v>
      </c>
      <c r="AS352" s="178">
        <v>0.7182727206957652</v>
      </c>
      <c r="AT352" s="206" t="s">
        <v>1124</v>
      </c>
      <c r="AU352" s="3"/>
      <c r="AV352" s="178">
        <v>4.1316873999999988</v>
      </c>
      <c r="AW352" s="178">
        <v>0.74672399548939983</v>
      </c>
      <c r="AX352" s="206" t="s">
        <v>1124</v>
      </c>
      <c r="AY352" s="3"/>
      <c r="AZ352" s="178"/>
      <c r="BA352" s="178"/>
      <c r="BB352" s="206"/>
      <c r="BC352" s="3"/>
      <c r="BD352" s="178"/>
      <c r="BE352" s="178"/>
      <c r="BF352" s="350"/>
    </row>
    <row r="353" spans="1:58" customFormat="1">
      <c r="A353" s="391"/>
      <c r="B353" s="396"/>
      <c r="C353" s="87"/>
      <c r="D353" s="119"/>
      <c r="E353" s="119"/>
      <c r="F353" s="19"/>
      <c r="G353" s="80"/>
      <c r="H353" s="119"/>
      <c r="I353" s="119"/>
      <c r="J353" s="19"/>
      <c r="K353" s="18"/>
      <c r="L353" s="19"/>
      <c r="M353" s="19"/>
      <c r="N353" s="19"/>
      <c r="O353" s="115"/>
      <c r="P353" s="119"/>
      <c r="Q353" s="119"/>
      <c r="R353" s="19"/>
      <c r="S353" s="187"/>
      <c r="T353" s="1"/>
      <c r="U353" s="1"/>
      <c r="V353" s="13"/>
      <c r="W353" s="187"/>
      <c r="X353" s="318"/>
      <c r="Y353" s="318"/>
      <c r="Z353" s="207"/>
      <c r="AA353" s="4"/>
      <c r="AB353" s="9"/>
      <c r="AC353" s="9"/>
      <c r="AD353" s="4"/>
      <c r="AE353" s="3"/>
      <c r="AF353" s="9"/>
      <c r="AG353" s="9"/>
      <c r="AH353" s="4"/>
      <c r="AI353" s="3"/>
      <c r="AJ353" s="9"/>
      <c r="AK353" s="9"/>
      <c r="AL353" s="4"/>
      <c r="AM353" s="3"/>
      <c r="AN353" s="9"/>
      <c r="AO353" s="9"/>
      <c r="AP353" s="4"/>
      <c r="AQ353" s="3"/>
      <c r="AR353" s="9"/>
      <c r="AS353" s="9"/>
      <c r="AT353" s="4"/>
      <c r="AU353" s="3"/>
      <c r="AV353" s="9"/>
      <c r="AW353" s="9"/>
      <c r="AX353" s="4"/>
      <c r="AY353" s="3"/>
      <c r="AZ353" s="9"/>
      <c r="BA353" s="9"/>
      <c r="BB353" s="4"/>
      <c r="BC353" s="3"/>
      <c r="BD353" s="9"/>
      <c r="BE353" s="9"/>
      <c r="BF353" s="122"/>
    </row>
    <row r="354" spans="1:58" customFormat="1">
      <c r="A354" s="391" t="s">
        <v>1932</v>
      </c>
      <c r="B354" s="396" t="s">
        <v>1931</v>
      </c>
      <c r="C354" s="157">
        <v>131.275210529459</v>
      </c>
      <c r="D354" s="30" t="s">
        <v>2855</v>
      </c>
      <c r="E354" s="30" t="s">
        <v>2855</v>
      </c>
      <c r="F354" s="30" t="s">
        <v>2743</v>
      </c>
      <c r="G354" s="157">
        <v>4.8484479677426702</v>
      </c>
      <c r="H354" s="30" t="s">
        <v>2855</v>
      </c>
      <c r="I354" s="30" t="s">
        <v>2855</v>
      </c>
      <c r="J354" s="30" t="s">
        <v>2743</v>
      </c>
      <c r="K354" s="157">
        <v>2.7089643749740073</v>
      </c>
      <c r="L354" s="113">
        <v>2.7089643749740073</v>
      </c>
      <c r="M354" s="30">
        <v>17.838695350921661</v>
      </c>
      <c r="N354" s="355" t="s">
        <v>1498</v>
      </c>
      <c r="O354" s="157">
        <v>-126.175246154485</v>
      </c>
      <c r="P354" s="30" t="s">
        <v>2855</v>
      </c>
      <c r="Q354" s="30" t="s">
        <v>2855</v>
      </c>
      <c r="R354" s="30" t="s">
        <v>2743</v>
      </c>
      <c r="S354" s="157">
        <v>124.03547316169001</v>
      </c>
      <c r="T354" s="30" t="s">
        <v>2855</v>
      </c>
      <c r="U354" s="30" t="s">
        <v>2855</v>
      </c>
      <c r="V354" s="30" t="s">
        <v>2743</v>
      </c>
      <c r="W354" s="157">
        <v>-2.1413733130695398</v>
      </c>
      <c r="X354" s="30" t="s">
        <v>2855</v>
      </c>
      <c r="Y354" s="30" t="s">
        <v>2855</v>
      </c>
      <c r="Z354" s="300" t="s">
        <v>2743</v>
      </c>
      <c r="AA354" s="157">
        <v>11.986327895472799</v>
      </c>
      <c r="AB354" s="30" t="s">
        <v>2855</v>
      </c>
      <c r="AC354" s="30" t="s">
        <v>2855</v>
      </c>
      <c r="AD354" s="30" t="s">
        <v>2743</v>
      </c>
      <c r="AE354" s="157">
        <v>10.390918641596301</v>
      </c>
      <c r="AF354" s="30" t="s">
        <v>2855</v>
      </c>
      <c r="AG354" s="30" t="s">
        <v>2855</v>
      </c>
      <c r="AH354" s="30" t="s">
        <v>2743</v>
      </c>
      <c r="AI354" s="157">
        <v>-1.59173651297954</v>
      </c>
      <c r="AJ354" s="30" t="s">
        <v>2855</v>
      </c>
      <c r="AK354" s="30" t="s">
        <v>2855</v>
      </c>
      <c r="AL354" s="30" t="s">
        <v>2743</v>
      </c>
      <c r="AM354" s="157">
        <v>-3.9180017685156567</v>
      </c>
      <c r="AN354" s="30" t="s">
        <v>2855</v>
      </c>
      <c r="AO354" s="30" t="s">
        <v>2855</v>
      </c>
      <c r="AP354" s="30" t="s">
        <v>2743</v>
      </c>
      <c r="AQ354" s="157">
        <v>-5.7299236204863799</v>
      </c>
      <c r="AR354" s="30" t="s">
        <v>2855</v>
      </c>
      <c r="AS354" s="30" t="s">
        <v>2855</v>
      </c>
      <c r="AT354" s="30" t="s">
        <v>2743</v>
      </c>
      <c r="AU354" s="157">
        <v>4.66673294989294</v>
      </c>
      <c r="AV354" s="30" t="s">
        <v>2855</v>
      </c>
      <c r="AW354" s="30" t="s">
        <v>2855</v>
      </c>
      <c r="AX354" s="30" t="s">
        <v>2743</v>
      </c>
      <c r="AY354" s="157" t="s">
        <v>2855</v>
      </c>
      <c r="AZ354" s="30" t="s">
        <v>2855</v>
      </c>
      <c r="BA354" s="30" t="s">
        <v>2855</v>
      </c>
      <c r="BB354" s="30" t="s">
        <v>558</v>
      </c>
      <c r="BC354" s="157">
        <v>-45.5</v>
      </c>
      <c r="BD354" s="30">
        <v>-45.5</v>
      </c>
      <c r="BE354" s="30">
        <v>3.5355339059327378</v>
      </c>
      <c r="BF354" s="300" t="s">
        <v>558</v>
      </c>
    </row>
    <row r="355" spans="1:58" customFormat="1">
      <c r="A355" s="391" t="s">
        <v>1927</v>
      </c>
      <c r="B355" s="396">
        <v>418.6</v>
      </c>
      <c r="C355" s="157">
        <v>11.322009499025301</v>
      </c>
      <c r="D355" s="30">
        <v>131.275210529459</v>
      </c>
      <c r="E355" s="30">
        <v>11.322009499025301</v>
      </c>
      <c r="F355" s="8" t="s">
        <v>2742</v>
      </c>
      <c r="G355" s="157">
        <v>8.9711602817226002</v>
      </c>
      <c r="H355" s="30">
        <v>4.8484479677426702</v>
      </c>
      <c r="I355" s="30">
        <v>8.9711602817226002</v>
      </c>
      <c r="J355" s="8" t="s">
        <v>2742</v>
      </c>
      <c r="K355" s="158">
        <v>17.838695350921661</v>
      </c>
      <c r="L355" s="113">
        <v>2.7070746546731304</v>
      </c>
      <c r="M355" s="113">
        <v>12.828230118693497</v>
      </c>
      <c r="N355" s="13" t="s">
        <v>1499</v>
      </c>
      <c r="O355" s="157">
        <v>13.785178733951</v>
      </c>
      <c r="P355" s="30">
        <v>-126.175246154485</v>
      </c>
      <c r="Q355" s="30">
        <v>13.785178733951</v>
      </c>
      <c r="R355" s="8" t="s">
        <v>2742</v>
      </c>
      <c r="S355" s="157">
        <v>12.2377833263113</v>
      </c>
      <c r="T355" s="30">
        <v>124.03547316169001</v>
      </c>
      <c r="U355" s="30">
        <v>12.2377833263113</v>
      </c>
      <c r="V355" s="8" t="s">
        <v>2742</v>
      </c>
      <c r="W355" s="157">
        <v>9.1696112882606897</v>
      </c>
      <c r="X355" s="30">
        <v>-2.1413733130695398</v>
      </c>
      <c r="Y355" s="30">
        <v>9.1696112882606897</v>
      </c>
      <c r="Z355" s="498" t="s">
        <v>2742</v>
      </c>
      <c r="AA355" s="157">
        <v>0.88880207404161504</v>
      </c>
      <c r="AB355" s="30">
        <v>11.986327895472799</v>
      </c>
      <c r="AC355" s="30">
        <v>0.88880207404161504</v>
      </c>
      <c r="AD355" s="8" t="s">
        <v>2742</v>
      </c>
      <c r="AE355" s="157">
        <v>0.90171973361720104</v>
      </c>
      <c r="AF355" s="30">
        <v>10.390918641596301</v>
      </c>
      <c r="AG355" s="30">
        <v>0.90171973361720104</v>
      </c>
      <c r="AH355" s="8" t="s">
        <v>2742</v>
      </c>
      <c r="AI355" s="157">
        <v>0.28781755351903199</v>
      </c>
      <c r="AJ355" s="30">
        <v>-1.59173651297954</v>
      </c>
      <c r="AK355" s="30">
        <v>0.28781755351903199</v>
      </c>
      <c r="AL355" s="8" t="s">
        <v>2742</v>
      </c>
      <c r="AM355" s="157">
        <v>0.14203132410209901</v>
      </c>
      <c r="AN355" s="30">
        <v>-3.9180017685156567</v>
      </c>
      <c r="AO355" s="30">
        <v>0.14203132410209901</v>
      </c>
      <c r="AP355" s="8" t="s">
        <v>2742</v>
      </c>
      <c r="AQ355" s="157">
        <v>0.23522297348763699</v>
      </c>
      <c r="AR355" s="30">
        <v>-5.7299236204863799</v>
      </c>
      <c r="AS355" s="30">
        <v>0.23522297348763699</v>
      </c>
      <c r="AT355" s="8" t="s">
        <v>2742</v>
      </c>
      <c r="AU355" s="157">
        <v>0.88474443611733999</v>
      </c>
      <c r="AV355" s="30">
        <v>4.66673294989294</v>
      </c>
      <c r="AW355" s="30">
        <v>0.88474443611733999</v>
      </c>
      <c r="AX355" s="8" t="s">
        <v>2742</v>
      </c>
      <c r="AY355" s="157" t="s">
        <v>2855</v>
      </c>
      <c r="AZ355" s="30"/>
      <c r="BA355" s="30"/>
      <c r="BB355" s="101"/>
      <c r="BC355" s="157">
        <v>3.5355339059327378</v>
      </c>
      <c r="BD355" s="30"/>
      <c r="BE355" s="30"/>
      <c r="BF355" s="277"/>
    </row>
    <row r="356" spans="1:58" customFormat="1">
      <c r="A356" s="391"/>
      <c r="B356" s="396"/>
      <c r="C356" s="3"/>
      <c r="D356" s="206" t="s">
        <v>2855</v>
      </c>
      <c r="E356" s="206" t="s">
        <v>2855</v>
      </c>
      <c r="F356" s="206" t="s">
        <v>558</v>
      </c>
      <c r="G356" s="3"/>
      <c r="H356" s="206" t="s">
        <v>2855</v>
      </c>
      <c r="I356" s="206" t="s">
        <v>2855</v>
      </c>
      <c r="J356" s="206" t="s">
        <v>558</v>
      </c>
      <c r="K356" s="353"/>
      <c r="L356" s="344">
        <v>5.9599999999999937</v>
      </c>
      <c r="M356" s="344">
        <v>8.5704825735710628</v>
      </c>
      <c r="N356" s="206" t="s">
        <v>1124</v>
      </c>
      <c r="O356" s="3"/>
      <c r="P356" s="206" t="s">
        <v>2855</v>
      </c>
      <c r="Q356" s="206" t="s">
        <v>2855</v>
      </c>
      <c r="R356" s="206" t="s">
        <v>558</v>
      </c>
      <c r="S356" s="3"/>
      <c r="T356" s="206" t="s">
        <v>2855</v>
      </c>
      <c r="U356" s="206" t="s">
        <v>2855</v>
      </c>
      <c r="V356" s="206" t="s">
        <v>558</v>
      </c>
      <c r="W356" s="3"/>
      <c r="X356" s="206" t="s">
        <v>2855</v>
      </c>
      <c r="Y356" s="206" t="s">
        <v>2855</v>
      </c>
      <c r="Z356" s="350" t="s">
        <v>558</v>
      </c>
      <c r="AA356" s="4"/>
      <c r="AB356" s="206" t="s">
        <v>2855</v>
      </c>
      <c r="AC356" s="206" t="s">
        <v>2855</v>
      </c>
      <c r="AD356" s="206" t="s">
        <v>558</v>
      </c>
      <c r="AE356" s="3"/>
      <c r="AF356" s="206">
        <v>8.4563035701781519</v>
      </c>
      <c r="AG356" s="206">
        <v>1.2838945315165156</v>
      </c>
      <c r="AH356" s="206" t="s">
        <v>558</v>
      </c>
      <c r="AI356" s="3"/>
      <c r="AJ356" s="206" t="s">
        <v>2855</v>
      </c>
      <c r="AK356" s="206" t="s">
        <v>2855</v>
      </c>
      <c r="AL356" s="206" t="s">
        <v>558</v>
      </c>
      <c r="AM356" s="3"/>
      <c r="AN356" s="206">
        <v>-3.8839740178332058</v>
      </c>
      <c r="AO356" s="206">
        <v>0.14303515418375298</v>
      </c>
      <c r="AP356" s="206" t="s">
        <v>558</v>
      </c>
      <c r="AQ356" s="3"/>
      <c r="AR356" s="206">
        <v>-3.8839740178332058</v>
      </c>
      <c r="AS356" s="206">
        <v>0.14303515418375298</v>
      </c>
      <c r="AT356" s="206" t="s">
        <v>558</v>
      </c>
      <c r="AU356" s="3"/>
      <c r="AV356" s="206" t="s">
        <v>2855</v>
      </c>
      <c r="AW356" s="206" t="s">
        <v>2855</v>
      </c>
      <c r="AX356" s="206" t="s">
        <v>558</v>
      </c>
      <c r="AY356" s="3"/>
      <c r="AZ356" s="52"/>
      <c r="BA356" s="52"/>
      <c r="BB356" s="52"/>
      <c r="BC356" s="3"/>
      <c r="BD356" s="40"/>
      <c r="BE356" s="40"/>
      <c r="BF356" s="42"/>
    </row>
    <row r="357" spans="1:58" customFormat="1">
      <c r="A357" s="391"/>
      <c r="B357" s="396"/>
      <c r="C357" s="3"/>
      <c r="D357" s="176">
        <v>128.97</v>
      </c>
      <c r="E357" s="176">
        <v>13.54881438</v>
      </c>
      <c r="F357" s="206" t="s">
        <v>1124</v>
      </c>
      <c r="G357" s="3"/>
      <c r="H357" s="176">
        <v>6.039999999999992</v>
      </c>
      <c r="I357" s="176">
        <v>8.472791199999989</v>
      </c>
      <c r="J357" s="206" t="s">
        <v>1124</v>
      </c>
      <c r="K357" s="353"/>
      <c r="L357" s="206"/>
      <c r="M357" s="206"/>
      <c r="N357" s="206"/>
      <c r="O357" s="3"/>
      <c r="P357" s="178">
        <v>-123.01</v>
      </c>
      <c r="Q357" s="178">
        <v>23.475843449999999</v>
      </c>
      <c r="R357" s="206" t="s">
        <v>1124</v>
      </c>
      <c r="S357" s="3"/>
      <c r="T357" s="178">
        <v>135.21335159999998</v>
      </c>
      <c r="U357" s="178">
        <v>25.348311811100395</v>
      </c>
      <c r="V357" s="206" t="s">
        <v>1124</v>
      </c>
      <c r="W357" s="3"/>
      <c r="X357" s="178">
        <v>-2.5794840000000026</v>
      </c>
      <c r="Y357" s="178">
        <v>1.0581382512333712</v>
      </c>
      <c r="Z357" s="350" t="s">
        <v>1124</v>
      </c>
      <c r="AA357" s="4"/>
      <c r="AB357" s="178">
        <v>13.57</v>
      </c>
      <c r="AC357" s="178">
        <v>1.2558695750000002</v>
      </c>
      <c r="AD357" s="206" t="s">
        <v>1124</v>
      </c>
      <c r="AE357" s="3"/>
      <c r="AF357" s="178">
        <v>9.7799999999999994</v>
      </c>
      <c r="AG357" s="178">
        <v>0.83239535999999992</v>
      </c>
      <c r="AH357" s="206" t="s">
        <v>1124</v>
      </c>
      <c r="AI357" s="3"/>
      <c r="AJ357" s="178">
        <v>-3.63</v>
      </c>
      <c r="AK357" s="178">
        <v>0.73302042000000001</v>
      </c>
      <c r="AL357" s="206" t="s">
        <v>1124</v>
      </c>
      <c r="AM357" s="3"/>
      <c r="AN357" s="178">
        <v>-6.8940000000000001</v>
      </c>
      <c r="AO357" s="178">
        <v>2.024774694</v>
      </c>
      <c r="AP357" s="206" t="s">
        <v>1124</v>
      </c>
      <c r="AQ357" s="3"/>
      <c r="AR357" s="178">
        <v>-6.8940000000000001</v>
      </c>
      <c r="AS357" s="178">
        <v>2.024774694</v>
      </c>
      <c r="AT357" s="206" t="s">
        <v>1124</v>
      </c>
      <c r="AU357" s="3"/>
      <c r="AV357" s="178">
        <v>4.4287711999999981</v>
      </c>
      <c r="AW357" s="178">
        <v>0.80041624774719966</v>
      </c>
      <c r="AX357" s="206" t="s">
        <v>1124</v>
      </c>
      <c r="AY357" s="3"/>
      <c r="AZ357" s="178"/>
      <c r="BA357" s="178"/>
      <c r="BB357" s="206"/>
      <c r="BC357" s="3"/>
      <c r="BD357" s="178"/>
      <c r="BE357" s="178"/>
      <c r="BF357" s="350"/>
    </row>
    <row r="358" spans="1:58" customFormat="1">
      <c r="A358" s="391"/>
      <c r="B358" s="396"/>
      <c r="C358" s="157"/>
      <c r="D358" s="206"/>
      <c r="E358" s="206"/>
      <c r="F358" s="206"/>
      <c r="G358" s="157"/>
      <c r="H358" s="70"/>
      <c r="I358" s="70"/>
      <c r="J358" s="70"/>
      <c r="K358" s="83"/>
      <c r="L358" s="70"/>
      <c r="M358" s="70"/>
      <c r="N358" s="70"/>
      <c r="O358" s="191"/>
      <c r="P358" s="323"/>
      <c r="Q358" s="323"/>
      <c r="R358" s="180"/>
      <c r="S358" s="191"/>
      <c r="T358" s="323"/>
      <c r="U358" s="323"/>
      <c r="V358" s="180"/>
      <c r="W358" s="191"/>
      <c r="X358" s="318"/>
      <c r="Y358" s="318"/>
      <c r="Z358" s="207"/>
      <c r="AA358" s="4"/>
      <c r="AB358" s="9"/>
      <c r="AC358" s="9"/>
      <c r="AD358" s="4"/>
      <c r="AE358" s="3"/>
      <c r="AF358" s="9"/>
      <c r="AG358" s="9"/>
      <c r="AH358" s="4"/>
      <c r="AI358" s="3"/>
      <c r="AJ358" s="9"/>
      <c r="AK358" s="9"/>
      <c r="AL358" s="4"/>
      <c r="AM358" s="3"/>
      <c r="AN358" s="9"/>
      <c r="AO358" s="9"/>
      <c r="AP358" s="4"/>
      <c r="AQ358" s="3"/>
      <c r="AR358" s="9"/>
      <c r="AS358" s="9"/>
      <c r="AT358" s="4"/>
      <c r="AU358" s="3"/>
      <c r="AV358" s="9"/>
      <c r="AW358" s="9"/>
      <c r="AX358" s="4"/>
      <c r="AY358" s="3"/>
      <c r="AZ358" s="9"/>
      <c r="BA358" s="9"/>
      <c r="BB358" s="4"/>
      <c r="BC358" s="3"/>
      <c r="BD358" s="9"/>
      <c r="BE358" s="9"/>
      <c r="BF358" s="122"/>
    </row>
    <row r="359" spans="1:58">
      <c r="A359" s="511" t="s">
        <v>2876</v>
      </c>
      <c r="B359" s="511"/>
      <c r="C359" s="511"/>
      <c r="D359" s="511"/>
      <c r="E359" s="511"/>
      <c r="F359" s="511"/>
      <c r="G359" s="511"/>
      <c r="H359" s="511"/>
      <c r="I359" s="511"/>
      <c r="J359" s="511"/>
      <c r="K359" s="511"/>
      <c r="L359" s="511"/>
      <c r="M359" s="511"/>
      <c r="N359" s="511"/>
      <c r="O359" s="511"/>
      <c r="P359" s="511"/>
      <c r="Q359" s="511"/>
      <c r="R359" s="511"/>
      <c r="S359" s="511"/>
      <c r="T359" s="511"/>
      <c r="U359" s="511"/>
      <c r="V359" s="511"/>
      <c r="W359" s="511"/>
      <c r="X359" s="511"/>
      <c r="Y359" s="511"/>
      <c r="Z359" s="511"/>
      <c r="AA359" s="511"/>
      <c r="AB359" s="511"/>
      <c r="AC359" s="511"/>
      <c r="AD359" s="511"/>
      <c r="AE359" s="511"/>
      <c r="AF359" s="511"/>
      <c r="AG359" s="511"/>
      <c r="AH359" s="511"/>
      <c r="AI359" s="511"/>
      <c r="AJ359" s="511"/>
      <c r="AK359" s="511"/>
      <c r="AL359" s="511"/>
      <c r="AM359" s="511"/>
      <c r="AN359" s="511"/>
      <c r="AO359" s="511"/>
      <c r="AP359" s="511"/>
      <c r="AQ359" s="511"/>
      <c r="AR359" s="511"/>
      <c r="AS359" s="511"/>
      <c r="AT359" s="511"/>
      <c r="AU359" s="511"/>
      <c r="AV359" s="511"/>
      <c r="AW359" s="511"/>
      <c r="AX359" s="511"/>
      <c r="AY359" s="511"/>
      <c r="AZ359" s="511"/>
      <c r="BA359" s="511"/>
      <c r="BB359" s="511"/>
      <c r="BC359" s="511"/>
      <c r="BD359" s="511"/>
      <c r="BE359" s="511"/>
      <c r="BF359" s="511"/>
    </row>
    <row r="360" spans="1:58">
      <c r="A360" s="3" t="s">
        <v>138</v>
      </c>
      <c r="B360" s="4" t="s">
        <v>139</v>
      </c>
      <c r="C360" s="157">
        <v>75.924462974071403</v>
      </c>
      <c r="D360" s="30" t="s">
        <v>2855</v>
      </c>
      <c r="E360" s="30" t="s">
        <v>2855</v>
      </c>
      <c r="F360" s="30" t="s">
        <v>2743</v>
      </c>
      <c r="G360" s="157">
        <v>11.430154001489701</v>
      </c>
      <c r="H360" s="30" t="s">
        <v>2855</v>
      </c>
      <c r="I360" s="30" t="s">
        <v>2855</v>
      </c>
      <c r="J360" s="30" t="s">
        <v>2743</v>
      </c>
      <c r="K360" s="157">
        <v>7.0644090263207087</v>
      </c>
      <c r="L360" s="113">
        <v>7.0644090263207087</v>
      </c>
      <c r="M360" s="30">
        <v>6.1872718601836691</v>
      </c>
      <c r="N360" s="355" t="s">
        <v>1498</v>
      </c>
      <c r="O360" s="157">
        <v>-66.469053947750695</v>
      </c>
      <c r="P360" s="30" t="s">
        <v>2855</v>
      </c>
      <c r="Q360" s="30" t="s">
        <v>2855</v>
      </c>
      <c r="R360" s="30" t="s">
        <v>2743</v>
      </c>
      <c r="S360" s="157">
        <v>62.100402759243501</v>
      </c>
      <c r="T360" s="30" t="s">
        <v>2855</v>
      </c>
      <c r="U360" s="30" t="s">
        <v>2855</v>
      </c>
      <c r="V360" s="30" t="s">
        <v>2743</v>
      </c>
      <c r="W360" s="157">
        <v>-4.3715645945279897</v>
      </c>
      <c r="X360" s="30" t="s">
        <v>2855</v>
      </c>
      <c r="Y360" s="30" t="s">
        <v>2855</v>
      </c>
      <c r="Z360" s="300" t="s">
        <v>2743</v>
      </c>
      <c r="AA360" s="157">
        <v>7.3672002086785504</v>
      </c>
      <c r="AB360" s="30" t="s">
        <v>2855</v>
      </c>
      <c r="AC360" s="30" t="s">
        <v>2855</v>
      </c>
      <c r="AD360" s="30" t="s">
        <v>2743</v>
      </c>
      <c r="AE360" s="157">
        <v>2.9113156529629398</v>
      </c>
      <c r="AF360" s="30" t="s">
        <v>2855</v>
      </c>
      <c r="AG360" s="30" t="s">
        <v>2855</v>
      </c>
      <c r="AH360" s="30" t="s">
        <v>2743</v>
      </c>
      <c r="AI360" s="157">
        <v>-4.4518464608157604</v>
      </c>
      <c r="AJ360" s="30" t="s">
        <v>2855</v>
      </c>
      <c r="AK360" s="30" t="s">
        <v>2855</v>
      </c>
      <c r="AL360" s="30" t="s">
        <v>2743</v>
      </c>
      <c r="AM360" s="157">
        <v>-0.95933557576702644</v>
      </c>
      <c r="AN360" s="30" t="s">
        <v>2855</v>
      </c>
      <c r="AO360" s="30" t="s">
        <v>2855</v>
      </c>
      <c r="AP360" s="30" t="s">
        <v>2743</v>
      </c>
      <c r="AQ360" s="157">
        <v>9.6386597134665297E-2</v>
      </c>
      <c r="AR360" s="30" t="s">
        <v>2855</v>
      </c>
      <c r="AS360" s="30" t="s">
        <v>2855</v>
      </c>
      <c r="AT360" s="30" t="s">
        <v>2743</v>
      </c>
      <c r="AU360" s="157">
        <v>3.00288504102314</v>
      </c>
      <c r="AV360" s="30" t="s">
        <v>2855</v>
      </c>
      <c r="AW360" s="30" t="s">
        <v>2855</v>
      </c>
      <c r="AX360" s="30" t="s">
        <v>2743</v>
      </c>
      <c r="AY360" s="157" t="s">
        <v>2855</v>
      </c>
      <c r="AZ360" s="30" t="s">
        <v>2855</v>
      </c>
      <c r="BA360" s="30" t="s">
        <v>2855</v>
      </c>
      <c r="BB360" s="30" t="s">
        <v>558</v>
      </c>
      <c r="BC360" s="157">
        <v>51.5</v>
      </c>
      <c r="BD360" s="30">
        <v>51.5</v>
      </c>
      <c r="BE360" s="30">
        <v>2.1213203435596424</v>
      </c>
      <c r="BF360" s="300" t="s">
        <v>558</v>
      </c>
    </row>
    <row r="361" spans="1:58">
      <c r="A361" s="3"/>
      <c r="B361" s="171">
        <v>192.28299999999999</v>
      </c>
      <c r="C361" s="157">
        <v>4.9408670675602799</v>
      </c>
      <c r="D361" s="30">
        <v>75.924462974071403</v>
      </c>
      <c r="E361" s="30">
        <v>4.9408670675602799</v>
      </c>
      <c r="F361" s="8" t="s">
        <v>2742</v>
      </c>
      <c r="G361" s="157">
        <v>5.9294371336499498</v>
      </c>
      <c r="H361" s="30">
        <v>11.430154001489701</v>
      </c>
      <c r="I361" s="30">
        <v>5.9294371336499498</v>
      </c>
      <c r="J361" s="8" t="s">
        <v>2742</v>
      </c>
      <c r="K361" s="158">
        <v>6.1872718601836691</v>
      </c>
      <c r="L361" s="113">
        <v>7.058589406961711</v>
      </c>
      <c r="M361" s="113">
        <v>6.5617827003251978</v>
      </c>
      <c r="N361" s="13" t="s">
        <v>1499</v>
      </c>
      <c r="O361" s="157">
        <v>3.72426713495675</v>
      </c>
      <c r="P361" s="30">
        <v>-66.469053947750695</v>
      </c>
      <c r="Q361" s="30">
        <v>3.72426713495675</v>
      </c>
      <c r="R361" s="8" t="s">
        <v>2742</v>
      </c>
      <c r="S361" s="157">
        <v>4.3596792131839601</v>
      </c>
      <c r="T361" s="30">
        <v>62.100402759243501</v>
      </c>
      <c r="U361" s="30">
        <v>4.3596792131839601</v>
      </c>
      <c r="V361" s="8" t="s">
        <v>2742</v>
      </c>
      <c r="W361" s="157">
        <v>2.81047460126935</v>
      </c>
      <c r="X361" s="30">
        <v>-4.3715645945279897</v>
      </c>
      <c r="Y361" s="30">
        <v>2.81047460126935</v>
      </c>
      <c r="Z361" s="498" t="s">
        <v>2742</v>
      </c>
      <c r="AA361" s="157">
        <v>0.26353010987275399</v>
      </c>
      <c r="AB361" s="30">
        <v>7.3672002086785504</v>
      </c>
      <c r="AC361" s="30">
        <v>0.26353010987275399</v>
      </c>
      <c r="AD361" s="8" t="s">
        <v>2742</v>
      </c>
      <c r="AE361" s="157">
        <v>0.42643856915232797</v>
      </c>
      <c r="AF361" s="30">
        <v>2.9113156529629398</v>
      </c>
      <c r="AG361" s="30">
        <v>0.42643856915232797</v>
      </c>
      <c r="AH361" s="8" t="s">
        <v>2742</v>
      </c>
      <c r="AI361" s="157">
        <v>0.43548950422350002</v>
      </c>
      <c r="AJ361" s="30">
        <v>-4.4518464608157604</v>
      </c>
      <c r="AK361" s="30">
        <v>0.43548950422350002</v>
      </c>
      <c r="AL361" s="8" t="s">
        <v>2742</v>
      </c>
      <c r="AM361" s="157">
        <v>0.26368055960338499</v>
      </c>
      <c r="AN361" s="30">
        <v>-0.95933557576702644</v>
      </c>
      <c r="AO361" s="30">
        <v>0.26368055960338499</v>
      </c>
      <c r="AP361" s="8" t="s">
        <v>2742</v>
      </c>
      <c r="AQ361" s="157">
        <v>0.42405071351103002</v>
      </c>
      <c r="AR361" s="30">
        <v>9.6386597134665297E-2</v>
      </c>
      <c r="AS361" s="30">
        <v>0.42405071351103002</v>
      </c>
      <c r="AT361" s="8" t="s">
        <v>2742</v>
      </c>
      <c r="AU361" s="157">
        <v>0.32445446834705899</v>
      </c>
      <c r="AV361" s="30">
        <v>3.00288504102314</v>
      </c>
      <c r="AW361" s="30">
        <v>0.32445446834705899</v>
      </c>
      <c r="AX361" s="8" t="s">
        <v>2742</v>
      </c>
      <c r="AY361" s="157" t="s">
        <v>2855</v>
      </c>
      <c r="AZ361" s="30"/>
      <c r="BA361" s="30"/>
      <c r="BB361" s="101"/>
      <c r="BC361" s="157">
        <v>2.1213203435596424</v>
      </c>
      <c r="BD361" s="30"/>
      <c r="BE361" s="30"/>
      <c r="BF361" s="277"/>
    </row>
    <row r="362" spans="1:58">
      <c r="A362" s="3"/>
      <c r="B362" s="171"/>
      <c r="C362" s="3"/>
      <c r="D362" s="206">
        <v>77.099999999999994</v>
      </c>
      <c r="E362" s="206">
        <v>5.5021195639597513</v>
      </c>
      <c r="F362" s="206" t="s">
        <v>558</v>
      </c>
      <c r="G362" s="3"/>
      <c r="H362" s="206" t="s">
        <v>2855</v>
      </c>
      <c r="I362" s="206" t="s">
        <v>2855</v>
      </c>
      <c r="J362" s="206" t="s">
        <v>558</v>
      </c>
      <c r="K362" s="353"/>
      <c r="L362" s="344">
        <v>5.9957474500716899</v>
      </c>
      <c r="M362" s="344">
        <v>8.6218874222101682</v>
      </c>
      <c r="N362" s="206" t="s">
        <v>1124</v>
      </c>
      <c r="O362" s="3"/>
      <c r="P362" s="206">
        <v>-65.7</v>
      </c>
      <c r="Q362" s="206">
        <v>4.1626261043644135</v>
      </c>
      <c r="R362" s="206" t="s">
        <v>558</v>
      </c>
      <c r="S362" s="3"/>
      <c r="T362" s="206" t="s">
        <v>2855</v>
      </c>
      <c r="U362" s="206" t="s">
        <v>2855</v>
      </c>
      <c r="V362" s="206" t="s">
        <v>558</v>
      </c>
      <c r="W362" s="3"/>
      <c r="X362" s="206" t="s">
        <v>2855</v>
      </c>
      <c r="Y362" s="206" t="s">
        <v>2855</v>
      </c>
      <c r="Z362" s="350" t="s">
        <v>558</v>
      </c>
      <c r="AA362" s="4"/>
      <c r="AB362" s="206">
        <v>7.4756656115367477</v>
      </c>
      <c r="AC362" s="206">
        <v>0.19248207825656016</v>
      </c>
      <c r="AD362" s="206" t="s">
        <v>558</v>
      </c>
      <c r="AE362" s="3"/>
      <c r="AF362" s="206" t="s">
        <v>2855</v>
      </c>
      <c r="AG362" s="206" t="s">
        <v>2855</v>
      </c>
      <c r="AH362" s="206" t="s">
        <v>558</v>
      </c>
      <c r="AI362" s="3"/>
      <c r="AJ362" s="206" t="s">
        <v>2855</v>
      </c>
      <c r="AK362" s="206" t="s">
        <v>2855</v>
      </c>
      <c r="AL362" s="206" t="s">
        <v>558</v>
      </c>
      <c r="AM362" s="3"/>
      <c r="AN362" s="206">
        <v>-0.83534495289423183</v>
      </c>
      <c r="AO362" s="206">
        <v>0.13253948571337032</v>
      </c>
      <c r="AP362" s="206" t="s">
        <v>558</v>
      </c>
      <c r="AQ362" s="3"/>
      <c r="AR362" s="206">
        <v>-0.83534495289423183</v>
      </c>
      <c r="AS362" s="206">
        <v>0.13253948571337032</v>
      </c>
      <c r="AT362" s="206" t="s">
        <v>558</v>
      </c>
      <c r="AU362" s="3"/>
      <c r="AV362" s="206" t="s">
        <v>2855</v>
      </c>
      <c r="AW362" s="206" t="s">
        <v>2855</v>
      </c>
      <c r="AX362" s="206" t="s">
        <v>558</v>
      </c>
      <c r="AY362" s="3"/>
      <c r="AZ362" s="52"/>
      <c r="BA362" s="52"/>
      <c r="BB362" s="52"/>
      <c r="BC362" s="3"/>
      <c r="BF362" s="42"/>
    </row>
    <row r="363" spans="1:58">
      <c r="A363" s="3"/>
      <c r="B363" s="171"/>
      <c r="C363" s="3"/>
      <c r="D363" s="176">
        <v>72.375756831360007</v>
      </c>
      <c r="E363" s="176">
        <v>12.92117149134587</v>
      </c>
      <c r="F363" s="206" t="s">
        <v>1124</v>
      </c>
      <c r="G363" s="3"/>
      <c r="H363" s="176">
        <v>7.374634427559954</v>
      </c>
      <c r="I363" s="176">
        <v>10.344989682292551</v>
      </c>
      <c r="J363" s="206" t="s">
        <v>1124</v>
      </c>
      <c r="K363" s="353"/>
      <c r="L363" s="206"/>
      <c r="M363" s="206"/>
      <c r="N363" s="206"/>
      <c r="O363" s="3"/>
      <c r="P363" s="178">
        <v>-66.380009381288318</v>
      </c>
      <c r="Q363" s="178">
        <v>11.022466937772307</v>
      </c>
      <c r="R363" s="206" t="s">
        <v>1124</v>
      </c>
      <c r="S363" s="3"/>
      <c r="T363" s="178">
        <v>62.918134400000007</v>
      </c>
      <c r="U363" s="178">
        <v>11.795199737833601</v>
      </c>
      <c r="V363" s="206" t="s">
        <v>1124</v>
      </c>
      <c r="W363" s="3"/>
      <c r="X363" s="178">
        <v>-4.7459759999999971</v>
      </c>
      <c r="Y363" s="178">
        <v>1.9468617541475512</v>
      </c>
      <c r="Z363" s="350" t="s">
        <v>1124</v>
      </c>
      <c r="AA363" s="4"/>
      <c r="AB363" s="178">
        <v>7.4574664686661229</v>
      </c>
      <c r="AC363" s="178">
        <v>0.61151970789709076</v>
      </c>
      <c r="AD363" s="206" t="s">
        <v>1124</v>
      </c>
      <c r="AE363" s="3"/>
      <c r="AF363" s="178">
        <v>3.2034298799999998</v>
      </c>
      <c r="AG363" s="178">
        <v>0.47526085699679993</v>
      </c>
      <c r="AH363" s="206" t="s">
        <v>1124</v>
      </c>
      <c r="AI363" s="3"/>
      <c r="AJ363" s="178">
        <v>-4.6116239999999991</v>
      </c>
      <c r="AK363" s="178">
        <v>0.9705992800319998</v>
      </c>
      <c r="AL363" s="206" t="s">
        <v>1124</v>
      </c>
      <c r="AM363" s="3"/>
      <c r="AN363" s="178">
        <v>-0.71080864000000055</v>
      </c>
      <c r="AO363" s="178">
        <v>0.15326313733952013</v>
      </c>
      <c r="AP363" s="206" t="s">
        <v>1124</v>
      </c>
      <c r="AQ363" s="3"/>
      <c r="AR363" s="178">
        <v>-0.71080864000000055</v>
      </c>
      <c r="AS363" s="178">
        <v>0.15326313733952013</v>
      </c>
      <c r="AT363" s="206" t="s">
        <v>1124</v>
      </c>
      <c r="AU363" s="3"/>
      <c r="AV363" s="178">
        <v>2.3943827999999989</v>
      </c>
      <c r="AW363" s="178">
        <v>0.43273919782679982</v>
      </c>
      <c r="AX363" s="206" t="s">
        <v>1124</v>
      </c>
      <c r="AY363" s="3"/>
      <c r="AZ363" s="178"/>
      <c r="BA363" s="178"/>
      <c r="BB363" s="206"/>
      <c r="BC363" s="3"/>
      <c r="BD363" s="178"/>
      <c r="BE363" s="178"/>
      <c r="BF363" s="350"/>
    </row>
    <row r="364" spans="1:58">
      <c r="A364" s="3"/>
      <c r="B364" s="171"/>
      <c r="C364" s="87"/>
      <c r="D364" s="4"/>
      <c r="E364" s="4"/>
      <c r="F364" s="4"/>
      <c r="G364" s="3"/>
      <c r="H364" s="4"/>
      <c r="I364" s="4"/>
      <c r="J364" s="4"/>
      <c r="K364" s="3"/>
      <c r="L364" s="4"/>
      <c r="M364" s="4"/>
      <c r="N364" s="4"/>
      <c r="O364" s="3"/>
      <c r="P364" s="4"/>
      <c r="Q364" s="4"/>
      <c r="R364" s="4"/>
      <c r="S364" s="3"/>
      <c r="T364" s="4"/>
      <c r="U364" s="4"/>
      <c r="V364" s="4"/>
      <c r="W364" s="3"/>
      <c r="X364" s="4"/>
      <c r="Y364" s="4"/>
      <c r="Z364" s="122"/>
      <c r="AA364" s="4"/>
      <c r="AB364" s="9"/>
      <c r="AC364" s="9"/>
      <c r="AD364" s="4"/>
      <c r="AE364" s="3"/>
      <c r="AF364" s="9"/>
      <c r="AG364" s="9"/>
      <c r="AH364" s="4"/>
      <c r="AI364" s="3"/>
      <c r="AJ364" s="9"/>
      <c r="AK364" s="9"/>
      <c r="AL364" s="4"/>
      <c r="AM364" s="3"/>
      <c r="AN364" s="9"/>
      <c r="AO364" s="9"/>
      <c r="AP364" s="4"/>
      <c r="AQ364" s="3"/>
      <c r="AR364" s="9"/>
      <c r="AS364" s="9"/>
      <c r="AT364" s="4"/>
      <c r="AU364" s="3"/>
      <c r="AV364" s="9"/>
      <c r="AW364" s="9"/>
      <c r="AX364" s="4"/>
      <c r="AY364" s="3"/>
      <c r="AZ364" s="9"/>
      <c r="BA364" s="9"/>
      <c r="BB364" s="4"/>
      <c r="BC364" s="3"/>
      <c r="BD364" s="9"/>
      <c r="BE364" s="9"/>
      <c r="BF364" s="122"/>
    </row>
    <row r="365" spans="1:58">
      <c r="A365" s="3" t="s">
        <v>140</v>
      </c>
      <c r="B365" s="4" t="s">
        <v>141</v>
      </c>
      <c r="C365" s="157">
        <v>79.986230842452812</v>
      </c>
      <c r="D365" s="30" t="s">
        <v>2855</v>
      </c>
      <c r="E365" s="30" t="s">
        <v>2855</v>
      </c>
      <c r="F365" s="30" t="s">
        <v>2743</v>
      </c>
      <c r="G365" s="157">
        <v>12.656603583231099</v>
      </c>
      <c r="H365" s="30" t="s">
        <v>2855</v>
      </c>
      <c r="I365" s="30" t="s">
        <v>2855</v>
      </c>
      <c r="J365" s="30" t="s">
        <v>2743</v>
      </c>
      <c r="K365" s="157">
        <v>1.5606121868703067</v>
      </c>
      <c r="L365" s="113">
        <v>1.5606121868703067</v>
      </c>
      <c r="M365" s="30">
        <v>8.3935812602662043</v>
      </c>
      <c r="N365" s="355" t="s">
        <v>1498</v>
      </c>
      <c r="O365" s="157">
        <v>-76.034618655582506</v>
      </c>
      <c r="P365" s="30" t="s">
        <v>2855</v>
      </c>
      <c r="Q365" s="30" t="s">
        <v>2855</v>
      </c>
      <c r="R365" s="30" t="s">
        <v>2743</v>
      </c>
      <c r="S365" s="157">
        <v>64.939291934927098</v>
      </c>
      <c r="T365" s="30" t="s">
        <v>2855</v>
      </c>
      <c r="U365" s="30" t="s">
        <v>2855</v>
      </c>
      <c r="V365" s="30" t="s">
        <v>2743</v>
      </c>
      <c r="W365" s="157">
        <v>-11.0973725020053</v>
      </c>
      <c r="X365" s="30" t="s">
        <v>2855</v>
      </c>
      <c r="Y365" s="30" t="s">
        <v>2855</v>
      </c>
      <c r="Z365" s="300" t="s">
        <v>2743</v>
      </c>
      <c r="AA365" s="157">
        <v>8.7214370287490208</v>
      </c>
      <c r="AB365" s="30">
        <v>8.7548963978417405</v>
      </c>
      <c r="AC365" s="30">
        <v>0.18660797729797199</v>
      </c>
      <c r="AD365" s="30" t="s">
        <v>2743</v>
      </c>
      <c r="AE365" s="157">
        <v>3.4223833492784399</v>
      </c>
      <c r="AF365" s="30">
        <v>3.42759764722669</v>
      </c>
      <c r="AG365" s="30">
        <v>0.119999407576259</v>
      </c>
      <c r="AH365" s="30" t="s">
        <v>2743</v>
      </c>
      <c r="AI365" s="157">
        <v>-5.1849214790095504</v>
      </c>
      <c r="AJ365" s="30">
        <v>-5.2805887625498498</v>
      </c>
      <c r="AK365" s="30">
        <v>0.192840864772407</v>
      </c>
      <c r="AL365" s="30" t="s">
        <v>2743</v>
      </c>
      <c r="AM365" s="157">
        <v>-2.6261981538469059</v>
      </c>
      <c r="AN365" s="30">
        <v>-2.6330286779559167</v>
      </c>
      <c r="AO365" s="30">
        <v>0.14518871683009299</v>
      </c>
      <c r="AP365" s="30" t="s">
        <v>2743</v>
      </c>
      <c r="AQ365" s="157">
        <v>-0.83027155523413898</v>
      </c>
      <c r="AR365" s="30">
        <v>-0.79382624995288598</v>
      </c>
      <c r="AS365" s="30">
        <v>0.16354546130731101</v>
      </c>
      <c r="AT365" s="30" t="s">
        <v>2743</v>
      </c>
      <c r="AU365" s="157">
        <v>2.6419268638165301</v>
      </c>
      <c r="AV365" s="30" t="s">
        <v>2855</v>
      </c>
      <c r="AW365" s="30" t="s">
        <v>2855</v>
      </c>
      <c r="AX365" s="30" t="s">
        <v>2743</v>
      </c>
      <c r="AY365" s="157">
        <v>64.656964656964661</v>
      </c>
      <c r="AZ365" s="30">
        <v>64.656964656964661</v>
      </c>
      <c r="BA365" s="30">
        <v>5.096237773624499</v>
      </c>
      <c r="BB365" s="30" t="s">
        <v>558</v>
      </c>
      <c r="BC365" s="157">
        <v>63.741666666666667</v>
      </c>
      <c r="BD365" s="30">
        <v>63.741666666666667</v>
      </c>
      <c r="BE365" s="30">
        <v>0.94995613933837286</v>
      </c>
      <c r="BF365" s="300" t="s">
        <v>558</v>
      </c>
    </row>
    <row r="366" spans="1:58">
      <c r="A366" s="3"/>
      <c r="B366" s="171">
        <v>228.24700000000001</v>
      </c>
      <c r="C366" s="157">
        <v>7.1086214067359101</v>
      </c>
      <c r="D366" s="30">
        <v>79.986230842452812</v>
      </c>
      <c r="E366" s="30">
        <v>7.1086214067359101</v>
      </c>
      <c r="F366" s="8" t="s">
        <v>2742</v>
      </c>
      <c r="G366" s="157">
        <v>8.5063508766419709</v>
      </c>
      <c r="H366" s="30">
        <v>12.656603583231099</v>
      </c>
      <c r="I366" s="30">
        <v>8.5063508766419709</v>
      </c>
      <c r="J366" s="8" t="s">
        <v>2742</v>
      </c>
      <c r="K366" s="158">
        <v>8.3935812602662043</v>
      </c>
      <c r="L366" s="113">
        <v>1.5592310812257999</v>
      </c>
      <c r="M366" s="113">
        <v>9.614157253209493</v>
      </c>
      <c r="N366" s="13" t="s">
        <v>1499</v>
      </c>
      <c r="O366" s="157">
        <v>4.4631500163436097</v>
      </c>
      <c r="P366" s="30">
        <v>-76.034618655582506</v>
      </c>
      <c r="Q366" s="30">
        <v>4.4631500163436097</v>
      </c>
      <c r="R366" s="8" t="s">
        <v>2742</v>
      </c>
      <c r="S366" s="157">
        <v>5.7859472534474596</v>
      </c>
      <c r="T366" s="30">
        <v>64.939291934927098</v>
      </c>
      <c r="U366" s="30">
        <v>5.7859472534474596</v>
      </c>
      <c r="V366" s="8" t="s">
        <v>2742</v>
      </c>
      <c r="W366" s="157">
        <v>4.48040338060013</v>
      </c>
      <c r="X366" s="30">
        <v>-11.0973725020053</v>
      </c>
      <c r="Y366" s="30">
        <v>4.48040338060013</v>
      </c>
      <c r="Z366" s="498" t="s">
        <v>2742</v>
      </c>
      <c r="AA366" s="157">
        <v>0.18297885460810201</v>
      </c>
      <c r="AB366" s="30">
        <v>8.7214370287490208</v>
      </c>
      <c r="AC366" s="30">
        <v>0.18297885460810201</v>
      </c>
      <c r="AD366" s="8" t="s">
        <v>2742</v>
      </c>
      <c r="AE366" s="157">
        <v>0.119134203428636</v>
      </c>
      <c r="AF366" s="30">
        <v>3.4223833492784399</v>
      </c>
      <c r="AG366" s="30">
        <v>0.119134203428636</v>
      </c>
      <c r="AH366" s="8" t="s">
        <v>2742</v>
      </c>
      <c r="AI366" s="157">
        <v>0.21267976487416901</v>
      </c>
      <c r="AJ366" s="30">
        <v>-5.1849214790095504</v>
      </c>
      <c r="AK366" s="30">
        <v>0.21267976487416901</v>
      </c>
      <c r="AL366" s="8" t="s">
        <v>2742</v>
      </c>
      <c r="AM366" s="157">
        <v>0.142951667331635</v>
      </c>
      <c r="AN366" s="30">
        <v>-2.6261981538469059</v>
      </c>
      <c r="AO366" s="30">
        <v>0.142951667331635</v>
      </c>
      <c r="AP366" s="8" t="s">
        <v>2742</v>
      </c>
      <c r="AQ366" s="157">
        <v>0.15868514522918101</v>
      </c>
      <c r="AR366" s="30">
        <v>-0.83027155523413898</v>
      </c>
      <c r="AS366" s="30">
        <v>0.15868514522918101</v>
      </c>
      <c r="AT366" s="8" t="s">
        <v>2742</v>
      </c>
      <c r="AU366" s="157">
        <v>0.177758526023854</v>
      </c>
      <c r="AV366" s="30">
        <v>2.6419268638165301</v>
      </c>
      <c r="AW366" s="30">
        <v>0.177758526023854</v>
      </c>
      <c r="AX366" s="8" t="s">
        <v>2742</v>
      </c>
      <c r="AY366" s="157">
        <v>5.096237773624499</v>
      </c>
      <c r="AZ366" s="30"/>
      <c r="BA366" s="30"/>
      <c r="BB366" s="101"/>
      <c r="BC366" s="157">
        <v>0.94995613933837286</v>
      </c>
      <c r="BD366" s="30"/>
      <c r="BE366" s="30"/>
      <c r="BF366" s="277"/>
    </row>
    <row r="367" spans="1:58">
      <c r="A367" s="3"/>
      <c r="B367" s="4" t="s">
        <v>20</v>
      </c>
      <c r="C367" s="3"/>
      <c r="D367" s="206">
        <v>79.976666666666674</v>
      </c>
      <c r="E367" s="206">
        <v>7.7949748770174621</v>
      </c>
      <c r="F367" s="206" t="s">
        <v>558</v>
      </c>
      <c r="G367" s="3"/>
      <c r="H367" s="206" t="s">
        <v>2855</v>
      </c>
      <c r="I367" s="206" t="s">
        <v>2855</v>
      </c>
      <c r="J367" s="206" t="s">
        <v>558</v>
      </c>
      <c r="K367" s="353"/>
      <c r="L367" s="344">
        <v>8.2113004094161113</v>
      </c>
      <c r="M367" s="344">
        <v>11.807853534439227</v>
      </c>
      <c r="N367" s="206" t="s">
        <v>1124</v>
      </c>
      <c r="O367" s="3"/>
      <c r="P367" s="206">
        <v>-75.3</v>
      </c>
      <c r="Q367" s="206">
        <v>4.7708637086551038</v>
      </c>
      <c r="R367" s="206" t="s">
        <v>558</v>
      </c>
      <c r="S367" s="3"/>
      <c r="T367" s="206" t="s">
        <v>2855</v>
      </c>
      <c r="U367" s="206" t="s">
        <v>2855</v>
      </c>
      <c r="V367" s="206" t="s">
        <v>558</v>
      </c>
      <c r="W367" s="3"/>
      <c r="X367" s="206" t="s">
        <v>2855</v>
      </c>
      <c r="Y367" s="206" t="s">
        <v>2855</v>
      </c>
      <c r="Z367" s="350" t="s">
        <v>558</v>
      </c>
      <c r="AA367" s="4"/>
      <c r="AB367" s="206">
        <v>9.062289783061221</v>
      </c>
      <c r="AC367" s="206">
        <v>0.23333418879984386</v>
      </c>
      <c r="AD367" s="206" t="s">
        <v>558</v>
      </c>
      <c r="AE367" s="3"/>
      <c r="AF367" s="206">
        <v>3.3366576318955827</v>
      </c>
      <c r="AG367" s="206">
        <v>0.12659127947609147</v>
      </c>
      <c r="AH367" s="206" t="s">
        <v>558</v>
      </c>
      <c r="AI367" s="3"/>
      <c r="AJ367" s="206" t="s">
        <v>2855</v>
      </c>
      <c r="AK367" s="206" t="s">
        <v>2855</v>
      </c>
      <c r="AL367" s="206" t="s">
        <v>558</v>
      </c>
      <c r="AM367" s="3"/>
      <c r="AN367" s="206">
        <v>-2.4901757792294523</v>
      </c>
      <c r="AO367" s="206">
        <v>0.15804862177910686</v>
      </c>
      <c r="AP367" s="206" t="s">
        <v>558</v>
      </c>
      <c r="AQ367" s="3"/>
      <c r="AR367" s="206">
        <v>-2.4901757792294523</v>
      </c>
      <c r="AS367" s="206">
        <v>0.15804862177910686</v>
      </c>
      <c r="AT367" s="206" t="s">
        <v>558</v>
      </c>
      <c r="AU367" s="3"/>
      <c r="AV367" s="206" t="s">
        <v>2855</v>
      </c>
      <c r="AW367" s="206" t="s">
        <v>2855</v>
      </c>
      <c r="AX367" s="206" t="s">
        <v>558</v>
      </c>
      <c r="AY367" s="3"/>
      <c r="AZ367" s="52"/>
      <c r="BA367" s="52"/>
      <c r="BB367" s="52"/>
      <c r="BC367" s="3"/>
      <c r="BF367" s="42"/>
    </row>
    <row r="368" spans="1:58">
      <c r="A368" s="3"/>
      <c r="B368" s="4"/>
      <c r="C368" s="3"/>
      <c r="D368" s="176">
        <v>86.656633119760002</v>
      </c>
      <c r="E368" s="176">
        <v>15.470722054237633</v>
      </c>
      <c r="F368" s="206" t="s">
        <v>1124</v>
      </c>
      <c r="G368" s="3"/>
      <c r="H368" s="176">
        <v>12.407421093848001</v>
      </c>
      <c r="I368" s="176">
        <v>17.404882162028098</v>
      </c>
      <c r="J368" s="206" t="s">
        <v>1124</v>
      </c>
      <c r="K368" s="353"/>
      <c r="L368" s="206"/>
      <c r="M368" s="206"/>
      <c r="N368" s="206"/>
      <c r="O368" s="3"/>
      <c r="P368" s="178">
        <v>-78.445332710343891</v>
      </c>
      <c r="Q368" s="178">
        <v>13.025925941885314</v>
      </c>
      <c r="R368" s="206" t="s">
        <v>1124</v>
      </c>
      <c r="S368" s="3"/>
      <c r="T368" s="178">
        <v>70.401418300000003</v>
      </c>
      <c r="U368" s="178">
        <v>13.1980834872827</v>
      </c>
      <c r="V368" s="206" t="s">
        <v>1124</v>
      </c>
      <c r="W368" s="3"/>
      <c r="X368" s="178">
        <v>-11.785092000000001</v>
      </c>
      <c r="Y368" s="178">
        <v>4.8343996859466394</v>
      </c>
      <c r="Z368" s="350" t="s">
        <v>1124</v>
      </c>
      <c r="AA368" s="4"/>
      <c r="AB368" s="178">
        <v>8.9229139359727299</v>
      </c>
      <c r="AC368" s="178">
        <v>0.73168786566369981</v>
      </c>
      <c r="AD368" s="206" t="s">
        <v>1124</v>
      </c>
      <c r="AE368" s="3"/>
      <c r="AF368" s="178">
        <v>3.7078713900000002</v>
      </c>
      <c r="AG368" s="178">
        <v>0.55009979942039999</v>
      </c>
      <c r="AH368" s="206" t="s">
        <v>1124</v>
      </c>
      <c r="AI368" s="3"/>
      <c r="AJ368" s="178">
        <v>-4.6387730000000005</v>
      </c>
      <c r="AK368" s="178">
        <v>0.97631327576400007</v>
      </c>
      <c r="AL368" s="206" t="s">
        <v>1124</v>
      </c>
      <c r="AM368" s="3"/>
      <c r="AN368" s="178">
        <v>-2.3851855600000005</v>
      </c>
      <c r="AO368" s="178">
        <v>0.51428894007608006</v>
      </c>
      <c r="AP368" s="206" t="s">
        <v>1124</v>
      </c>
      <c r="AQ368" s="3"/>
      <c r="AR368" s="178">
        <v>-2.3851855600000005</v>
      </c>
      <c r="AS368" s="178">
        <v>0.51428894007608006</v>
      </c>
      <c r="AT368" s="206" t="s">
        <v>1124</v>
      </c>
      <c r="AU368" s="3"/>
      <c r="AV368" s="178">
        <v>2.4676880999999993</v>
      </c>
      <c r="AW368" s="178">
        <v>0.44598773800109986</v>
      </c>
      <c r="AX368" s="206" t="s">
        <v>1124</v>
      </c>
      <c r="AY368" s="3"/>
      <c r="AZ368" s="178"/>
      <c r="BA368" s="178"/>
      <c r="BB368" s="206"/>
      <c r="BC368" s="3"/>
      <c r="BD368" s="178"/>
      <c r="BE368" s="178"/>
      <c r="BF368" s="350"/>
    </row>
    <row r="369" spans="1:58">
      <c r="A369" s="3"/>
      <c r="B369" s="4"/>
      <c r="C369" s="87"/>
      <c r="D369" s="4"/>
      <c r="E369" s="4"/>
      <c r="F369" s="4"/>
      <c r="G369" s="3"/>
      <c r="H369" s="4"/>
      <c r="I369" s="4"/>
      <c r="J369" s="4"/>
      <c r="K369" s="3"/>
      <c r="L369" s="4"/>
      <c r="M369" s="4"/>
      <c r="N369" s="4"/>
      <c r="O369" s="115"/>
      <c r="P369" s="4"/>
      <c r="Q369" s="4"/>
      <c r="R369" s="4"/>
      <c r="S369" s="3"/>
      <c r="T369" s="4"/>
      <c r="U369" s="4"/>
      <c r="V369" s="4"/>
      <c r="W369" s="3"/>
      <c r="X369" s="4"/>
      <c r="Y369" s="4"/>
      <c r="Z369" s="122"/>
      <c r="AA369" s="4"/>
      <c r="AB369" s="9"/>
      <c r="AC369" s="9"/>
      <c r="AD369" s="4"/>
      <c r="AE369" s="3"/>
      <c r="AF369" s="9"/>
      <c r="AG369" s="9"/>
      <c r="AH369" s="4"/>
      <c r="AI369" s="3"/>
      <c r="AJ369" s="9"/>
      <c r="AK369" s="9"/>
      <c r="AL369" s="4"/>
      <c r="AM369" s="3"/>
      <c r="AN369" s="9"/>
      <c r="AO369" s="9"/>
      <c r="AP369" s="4"/>
      <c r="AQ369" s="3"/>
      <c r="AR369" s="9"/>
      <c r="AS369" s="9"/>
      <c r="AT369" s="4"/>
      <c r="AU369" s="3"/>
      <c r="AV369" s="9"/>
      <c r="AW369" s="9"/>
      <c r="AX369" s="4"/>
      <c r="AY369" s="3"/>
      <c r="AZ369" s="9"/>
      <c r="BA369" s="9"/>
      <c r="BB369" s="4"/>
      <c r="BC369" s="3"/>
      <c r="BD369" s="9"/>
      <c r="BE369" s="9"/>
      <c r="BF369" s="122"/>
    </row>
    <row r="370" spans="1:58">
      <c r="A370" s="12" t="s">
        <v>142</v>
      </c>
      <c r="B370" s="11" t="s">
        <v>143</v>
      </c>
      <c r="C370" s="157">
        <v>66.204938889463207</v>
      </c>
      <c r="D370" s="30" t="s">
        <v>2855</v>
      </c>
      <c r="E370" s="30" t="s">
        <v>2855</v>
      </c>
      <c r="F370" s="30" t="s">
        <v>2743</v>
      </c>
      <c r="G370" s="157">
        <v>-5.3213380988440599</v>
      </c>
      <c r="H370" s="30" t="s">
        <v>2855</v>
      </c>
      <c r="I370" s="30" t="s">
        <v>2855</v>
      </c>
      <c r="J370" s="30" t="s">
        <v>2743</v>
      </c>
      <c r="K370" s="157">
        <v>-3.505818927453797</v>
      </c>
      <c r="L370" s="113">
        <v>-3.505818927453797</v>
      </c>
      <c r="M370" s="30">
        <v>10.034387803566508</v>
      </c>
      <c r="N370" s="355" t="s">
        <v>1498</v>
      </c>
      <c r="O370" s="157">
        <v>-67.319757816917004</v>
      </c>
      <c r="P370" s="30" t="s">
        <v>2855</v>
      </c>
      <c r="Q370" s="30" t="s">
        <v>2855</v>
      </c>
      <c r="R370" s="30" t="s">
        <v>2743</v>
      </c>
      <c r="S370" s="157">
        <v>69.136164526930003</v>
      </c>
      <c r="T370" s="30" t="s">
        <v>2855</v>
      </c>
      <c r="U370" s="30" t="s">
        <v>2855</v>
      </c>
      <c r="V370" s="30" t="s">
        <v>2743</v>
      </c>
      <c r="W370" s="157">
        <v>1.8156660305962</v>
      </c>
      <c r="X370" s="30" t="s">
        <v>2855</v>
      </c>
      <c r="Y370" s="30" t="s">
        <v>2855</v>
      </c>
      <c r="Z370" s="300" t="s">
        <v>2743</v>
      </c>
      <c r="AA370" s="157">
        <v>8.5417237580832204</v>
      </c>
      <c r="AB370" s="30">
        <v>8.5389100547488397</v>
      </c>
      <c r="AC370" s="30">
        <v>0.21997171468262799</v>
      </c>
      <c r="AD370" s="30" t="s">
        <v>2743</v>
      </c>
      <c r="AE370" s="157">
        <v>5.1646077099986201</v>
      </c>
      <c r="AF370" s="30">
        <v>4.9631924395820297</v>
      </c>
      <c r="AG370" s="30">
        <v>0.63898219242716703</v>
      </c>
      <c r="AH370" s="30" t="s">
        <v>2743</v>
      </c>
      <c r="AI370" s="157">
        <v>-3.3750313580450499</v>
      </c>
      <c r="AJ370" s="30">
        <v>-3.57630832962281</v>
      </c>
      <c r="AK370" s="30">
        <v>0.60117076401139402</v>
      </c>
      <c r="AL370" s="30" t="s">
        <v>2743</v>
      </c>
      <c r="AM370" s="157">
        <v>-1.9493353307002568</v>
      </c>
      <c r="AN370" s="30">
        <v>-2.1250224404823963</v>
      </c>
      <c r="AO370" s="30">
        <v>0.55451332910486195</v>
      </c>
      <c r="AP370" s="30" t="s">
        <v>2743</v>
      </c>
      <c r="AQ370" s="157">
        <v>-1.9641062145828501</v>
      </c>
      <c r="AR370" s="30">
        <v>-1.9422695592924699</v>
      </c>
      <c r="AS370" s="30">
        <v>0.23763416514681801</v>
      </c>
      <c r="AT370" s="30" t="s">
        <v>2743</v>
      </c>
      <c r="AU370" s="157">
        <v>3.1997713009726101</v>
      </c>
      <c r="AV370" s="30" t="s">
        <v>2855</v>
      </c>
      <c r="AW370" s="30" t="s">
        <v>2855</v>
      </c>
      <c r="AX370" s="30" t="s">
        <v>2743</v>
      </c>
      <c r="AY370" s="157" t="s">
        <v>2855</v>
      </c>
      <c r="AZ370" s="30" t="s">
        <v>2855</v>
      </c>
      <c r="BA370" s="30" t="s">
        <v>2855</v>
      </c>
      <c r="BB370" s="30" t="s">
        <v>558</v>
      </c>
      <c r="BC370" s="157">
        <v>70.400000000000006</v>
      </c>
      <c r="BD370" s="30">
        <v>70.400000000000006</v>
      </c>
      <c r="BE370" s="30">
        <v>3.2500664900723866</v>
      </c>
      <c r="BF370" s="300" t="s">
        <v>558</v>
      </c>
    </row>
    <row r="371" spans="1:58">
      <c r="A371" s="12"/>
      <c r="B371" s="171">
        <v>254.37299999999999</v>
      </c>
      <c r="C371" s="157">
        <v>7.0652703611147603</v>
      </c>
      <c r="D371" s="30">
        <v>66.204938889463207</v>
      </c>
      <c r="E371" s="30">
        <v>7.0652703611147603</v>
      </c>
      <c r="F371" s="8" t="s">
        <v>2742</v>
      </c>
      <c r="G371" s="157">
        <v>10.3062209148882</v>
      </c>
      <c r="H371" s="30">
        <v>-5.3213380988440599</v>
      </c>
      <c r="I371" s="30">
        <v>10.3062209148882</v>
      </c>
      <c r="J371" s="8" t="s">
        <v>2742</v>
      </c>
      <c r="K371" s="158">
        <v>10.034387803566508</v>
      </c>
      <c r="L371" s="113">
        <v>-3.5056720682478599</v>
      </c>
      <c r="M371" s="113">
        <v>14.492833512776569</v>
      </c>
      <c r="N371" s="13" t="s">
        <v>1499</v>
      </c>
      <c r="O371" s="157">
        <v>7.1253696968450404</v>
      </c>
      <c r="P371" s="30">
        <v>-67.319757816917004</v>
      </c>
      <c r="Q371" s="30">
        <v>7.1253696968450404</v>
      </c>
      <c r="R371" s="8" t="s">
        <v>2742</v>
      </c>
      <c r="S371" s="157">
        <v>9.4859919356342104</v>
      </c>
      <c r="T371" s="30">
        <v>69.136164526930003</v>
      </c>
      <c r="U371" s="30">
        <v>9.4859919356342104</v>
      </c>
      <c r="V371" s="8" t="s">
        <v>2742</v>
      </c>
      <c r="W371" s="157">
        <v>10.189407916193201</v>
      </c>
      <c r="X371" s="30">
        <v>1.8156660305962</v>
      </c>
      <c r="Y371" s="30">
        <v>10.189407916193201</v>
      </c>
      <c r="Z371" s="498" t="s">
        <v>2742</v>
      </c>
      <c r="AA371" s="157">
        <v>0.21106187279540001</v>
      </c>
      <c r="AB371" s="30">
        <v>8.5417237580832204</v>
      </c>
      <c r="AC371" s="30">
        <v>0.21106187279540001</v>
      </c>
      <c r="AD371" s="8" t="s">
        <v>2742</v>
      </c>
      <c r="AE371" s="157">
        <v>0.41685808832945798</v>
      </c>
      <c r="AF371" s="30">
        <v>5.1646077099986201</v>
      </c>
      <c r="AG371" s="30">
        <v>0.41685808832945798</v>
      </c>
      <c r="AH371" s="8" t="s">
        <v>2742</v>
      </c>
      <c r="AI371" s="157">
        <v>0.393103418421066</v>
      </c>
      <c r="AJ371" s="30">
        <v>-3.3750313580450499</v>
      </c>
      <c r="AK371" s="30">
        <v>0.393103418421066</v>
      </c>
      <c r="AL371" s="8" t="s">
        <v>2742</v>
      </c>
      <c r="AM371" s="157">
        <v>0.36344693770130698</v>
      </c>
      <c r="AN371" s="30">
        <v>-1.9493353307002568</v>
      </c>
      <c r="AO371" s="30">
        <v>0.36344693770130698</v>
      </c>
      <c r="AP371" s="8" t="s">
        <v>2742</v>
      </c>
      <c r="AQ371" s="157">
        <v>0.229832768951448</v>
      </c>
      <c r="AR371" s="30">
        <v>-1.9641062145828501</v>
      </c>
      <c r="AS371" s="30">
        <v>0.229832768951448</v>
      </c>
      <c r="AT371" s="8" t="s">
        <v>2742</v>
      </c>
      <c r="AU371" s="157">
        <v>0.37822730370660401</v>
      </c>
      <c r="AV371" s="30">
        <v>3.1997713009726101</v>
      </c>
      <c r="AW371" s="30">
        <v>0.37822730370660401</v>
      </c>
      <c r="AX371" s="8" t="s">
        <v>2742</v>
      </c>
      <c r="AY371" s="157" t="s">
        <v>2855</v>
      </c>
      <c r="AZ371" s="30"/>
      <c r="BA371" s="30"/>
      <c r="BB371" s="101"/>
      <c r="BC371" s="157">
        <v>3.2500664900723866</v>
      </c>
      <c r="BD371" s="30"/>
      <c r="BE371" s="30"/>
      <c r="BF371" s="277"/>
    </row>
    <row r="372" spans="1:58">
      <c r="A372" s="12"/>
      <c r="B372" s="171"/>
      <c r="C372" s="3"/>
      <c r="D372" s="206">
        <v>65.7</v>
      </c>
      <c r="E372" s="206">
        <v>4.688576593413174</v>
      </c>
      <c r="F372" s="206" t="s">
        <v>558</v>
      </c>
      <c r="G372" s="3"/>
      <c r="H372" s="206" t="s">
        <v>2855</v>
      </c>
      <c r="I372" s="206" t="s">
        <v>2855</v>
      </c>
      <c r="J372" s="206" t="s">
        <v>558</v>
      </c>
      <c r="K372" s="353"/>
      <c r="L372" s="344">
        <v>4.3645426961598588</v>
      </c>
      <c r="M372" s="344">
        <v>6.2762142817189552</v>
      </c>
      <c r="N372" s="206" t="s">
        <v>1124</v>
      </c>
      <c r="O372" s="3"/>
      <c r="P372" s="206">
        <v>-64.900000000000006</v>
      </c>
      <c r="Q372" s="206">
        <v>4.11193963734019</v>
      </c>
      <c r="R372" s="206" t="s">
        <v>558</v>
      </c>
      <c r="S372" s="3"/>
      <c r="T372" s="206" t="s">
        <v>2855</v>
      </c>
      <c r="U372" s="206" t="s">
        <v>2855</v>
      </c>
      <c r="V372" s="206" t="s">
        <v>558</v>
      </c>
      <c r="W372" s="3"/>
      <c r="X372" s="206" t="s">
        <v>2855</v>
      </c>
      <c r="Y372" s="206" t="s">
        <v>2855</v>
      </c>
      <c r="Z372" s="350" t="s">
        <v>558</v>
      </c>
      <c r="AA372" s="4"/>
      <c r="AB372" s="206">
        <v>8.5342489113816207</v>
      </c>
      <c r="AC372" s="206">
        <v>0.21973828849252638</v>
      </c>
      <c r="AD372" s="206" t="s">
        <v>558</v>
      </c>
      <c r="AE372" s="3"/>
      <c r="AF372" s="206">
        <v>5.307900196826842</v>
      </c>
      <c r="AG372" s="206">
        <v>1.5306444881837427</v>
      </c>
      <c r="AH372" s="206" t="s">
        <v>558</v>
      </c>
      <c r="AI372" s="3"/>
      <c r="AJ372" s="206" t="s">
        <v>2855</v>
      </c>
      <c r="AK372" s="206" t="s">
        <v>2855</v>
      </c>
      <c r="AL372" s="206" t="s">
        <v>558</v>
      </c>
      <c r="AM372" s="3"/>
      <c r="AN372" s="206">
        <v>-2.1437560717924429</v>
      </c>
      <c r="AO372" s="206">
        <v>0.57534852774613077</v>
      </c>
      <c r="AP372" s="206" t="s">
        <v>558</v>
      </c>
      <c r="AQ372" s="3"/>
      <c r="AR372" s="206">
        <v>-2.1437560717924429</v>
      </c>
      <c r="AS372" s="206">
        <v>0.57534852774613077</v>
      </c>
      <c r="AT372" s="206" t="s">
        <v>558</v>
      </c>
      <c r="AU372" s="3"/>
      <c r="AV372" s="206" t="s">
        <v>2855</v>
      </c>
      <c r="AW372" s="206" t="s">
        <v>2855</v>
      </c>
      <c r="AX372" s="206" t="s">
        <v>558</v>
      </c>
      <c r="AY372" s="3"/>
      <c r="AZ372" s="52"/>
      <c r="BA372" s="52"/>
      <c r="BB372" s="52"/>
      <c r="BC372" s="3"/>
      <c r="BF372" s="42"/>
    </row>
    <row r="373" spans="1:58">
      <c r="A373" s="12"/>
      <c r="B373" s="171"/>
      <c r="C373" s="3"/>
      <c r="D373" s="176">
        <v>87.035475868320006</v>
      </c>
      <c r="E373" s="176">
        <v>15.538356471295302</v>
      </c>
      <c r="F373" s="206" t="s">
        <v>1124</v>
      </c>
      <c r="G373" s="3"/>
      <c r="H373" s="176">
        <v>-2.362202987335948</v>
      </c>
      <c r="I373" s="176">
        <v>3.3136511065751209</v>
      </c>
      <c r="J373" s="206" t="s">
        <v>1124</v>
      </c>
      <c r="K373" s="353"/>
      <c r="L373" s="206"/>
      <c r="M373" s="206"/>
      <c r="N373" s="206"/>
      <c r="O373" s="3"/>
      <c r="P373" s="178">
        <v>-82.670933172160147</v>
      </c>
      <c r="Q373" s="178">
        <v>13.727591124170365</v>
      </c>
      <c r="R373" s="206" t="s">
        <v>1124</v>
      </c>
      <c r="S373" s="3"/>
      <c r="T373" s="178">
        <v>80.724194100000005</v>
      </c>
      <c r="U373" s="178">
        <v>15.1332839437329</v>
      </c>
      <c r="V373" s="206" t="s">
        <v>1124</v>
      </c>
      <c r="W373" s="3"/>
      <c r="X373" s="178">
        <v>-7.3026040000000041</v>
      </c>
      <c r="Y373" s="178">
        <v>2.9956241736757501</v>
      </c>
      <c r="Z373" s="350" t="s">
        <v>1124</v>
      </c>
      <c r="AA373" s="4"/>
      <c r="AB373" s="178">
        <v>9.3534723220690985</v>
      </c>
      <c r="AC373" s="178">
        <v>0.7669940838819882</v>
      </c>
      <c r="AD373" s="206" t="s">
        <v>1124</v>
      </c>
      <c r="AE373" s="3"/>
      <c r="AF373" s="178">
        <v>4.6135855399999999</v>
      </c>
      <c r="AG373" s="178">
        <v>0.68447155071439991</v>
      </c>
      <c r="AH373" s="206" t="s">
        <v>1124</v>
      </c>
      <c r="AI373" s="3"/>
      <c r="AJ373" s="178">
        <v>-3.1825809999999994</v>
      </c>
      <c r="AK373" s="178">
        <v>0.66983145790799981</v>
      </c>
      <c r="AL373" s="206" t="s">
        <v>1124</v>
      </c>
      <c r="AM373" s="3"/>
      <c r="AN373" s="178">
        <v>-2.4080435500000008</v>
      </c>
      <c r="AO373" s="178">
        <v>0.51921753416390015</v>
      </c>
      <c r="AP373" s="206" t="s">
        <v>1124</v>
      </c>
      <c r="AQ373" s="3"/>
      <c r="AR373" s="178">
        <v>-2.4080435500000008</v>
      </c>
      <c r="AS373" s="178">
        <v>0.51921753416390015</v>
      </c>
      <c r="AT373" s="206" t="s">
        <v>1124</v>
      </c>
      <c r="AU373" s="3"/>
      <c r="AV373" s="178">
        <v>3.2429456999999982</v>
      </c>
      <c r="AW373" s="178">
        <v>0.58610081930669966</v>
      </c>
      <c r="AX373" s="206" t="s">
        <v>1124</v>
      </c>
      <c r="AY373" s="3"/>
      <c r="AZ373" s="178"/>
      <c r="BA373" s="178"/>
      <c r="BB373" s="206"/>
      <c r="BC373" s="3"/>
      <c r="BD373" s="178"/>
      <c r="BE373" s="178"/>
      <c r="BF373" s="350"/>
    </row>
    <row r="374" spans="1:58">
      <c r="A374" s="12"/>
      <c r="B374" s="11" t="s">
        <v>20</v>
      </c>
      <c r="C374" s="87"/>
      <c r="D374" s="11"/>
      <c r="E374" s="11"/>
      <c r="F374" s="11"/>
      <c r="G374" s="12"/>
      <c r="H374" s="11"/>
      <c r="I374" s="11"/>
      <c r="J374" s="11"/>
      <c r="K374" s="12"/>
      <c r="L374" s="11"/>
      <c r="M374" s="11"/>
      <c r="N374" s="11"/>
      <c r="O374" s="115"/>
      <c r="P374" s="11"/>
      <c r="Q374" s="11"/>
      <c r="R374" s="11"/>
      <c r="S374" s="12"/>
      <c r="T374" s="11"/>
      <c r="U374" s="11"/>
      <c r="V374" s="11"/>
      <c r="W374" s="12"/>
      <c r="X374" s="11"/>
      <c r="Y374" s="11"/>
      <c r="Z374" s="483"/>
      <c r="AA374" s="4"/>
      <c r="AB374" s="9"/>
      <c r="AC374" s="9"/>
      <c r="AD374" s="4"/>
      <c r="AE374" s="3"/>
      <c r="AF374" s="9"/>
      <c r="AG374" s="9"/>
      <c r="AH374" s="4"/>
      <c r="AI374" s="3"/>
      <c r="AJ374" s="9"/>
      <c r="AK374" s="9"/>
      <c r="AL374" s="4"/>
      <c r="AM374" s="3"/>
      <c r="AN374" s="9"/>
      <c r="AO374" s="9"/>
      <c r="AP374" s="4"/>
      <c r="AQ374" s="3"/>
      <c r="AR374" s="9"/>
      <c r="AS374" s="9"/>
      <c r="AT374" s="4"/>
      <c r="AU374" s="3"/>
      <c r="AV374" s="9"/>
      <c r="AW374" s="9"/>
      <c r="AX374" s="4"/>
      <c r="AY374" s="3"/>
      <c r="AZ374" s="9"/>
      <c r="BA374" s="9"/>
      <c r="BB374" s="4"/>
      <c r="BC374" s="3"/>
      <c r="BD374" s="9"/>
      <c r="BE374" s="9"/>
      <c r="BF374" s="122"/>
    </row>
    <row r="375" spans="1:58">
      <c r="A375" s="3" t="s">
        <v>144</v>
      </c>
      <c r="B375" s="4" t="s">
        <v>145</v>
      </c>
      <c r="C375" s="157">
        <v>94.304052523116098</v>
      </c>
      <c r="D375" s="30" t="s">
        <v>2855</v>
      </c>
      <c r="E375" s="30" t="s">
        <v>2855</v>
      </c>
      <c r="F375" s="30" t="s">
        <v>2743</v>
      </c>
      <c r="G375" s="157">
        <v>17.553291518526699</v>
      </c>
      <c r="H375" s="30" t="s">
        <v>2855</v>
      </c>
      <c r="I375" s="30" t="s">
        <v>2855</v>
      </c>
      <c r="J375" s="30" t="s">
        <v>2743</v>
      </c>
      <c r="K375" s="157">
        <v>7.710587587332304</v>
      </c>
      <c r="L375" s="113">
        <v>7.710587587332304</v>
      </c>
      <c r="M375" s="30">
        <v>7.9916604864251077</v>
      </c>
      <c r="N375" s="355" t="s">
        <v>1498</v>
      </c>
      <c r="O375" s="157">
        <v>-84.202464935783794</v>
      </c>
      <c r="P375" s="30" t="s">
        <v>2855</v>
      </c>
      <c r="Q375" s="30" t="s">
        <v>2855</v>
      </c>
      <c r="R375" s="30" t="s">
        <v>2743</v>
      </c>
      <c r="S375" s="157">
        <v>74.358252215447806</v>
      </c>
      <c r="T375" s="30" t="s">
        <v>2855</v>
      </c>
      <c r="U375" s="30" t="s">
        <v>2855</v>
      </c>
      <c r="V375" s="30" t="s">
        <v>2743</v>
      </c>
      <c r="W375" s="157">
        <v>-9.8470704832358393</v>
      </c>
      <c r="X375" s="30" t="s">
        <v>2855</v>
      </c>
      <c r="Y375" s="30" t="s">
        <v>2855</v>
      </c>
      <c r="Z375" s="300" t="s">
        <v>2743</v>
      </c>
      <c r="AA375" s="157">
        <v>8.5494727478415093</v>
      </c>
      <c r="AB375" s="30">
        <v>8.5191802943060093</v>
      </c>
      <c r="AC375" s="30">
        <v>0.262457264367424</v>
      </c>
      <c r="AD375" s="30" t="s">
        <v>2743</v>
      </c>
      <c r="AE375" s="157">
        <v>6.0421193858489097</v>
      </c>
      <c r="AF375" s="30">
        <v>6.1025085338761098</v>
      </c>
      <c r="AG375" s="30">
        <v>0.45954197427833399</v>
      </c>
      <c r="AH375" s="30" t="s">
        <v>2743</v>
      </c>
      <c r="AI375" s="157">
        <v>-2.5295223984648398</v>
      </c>
      <c r="AJ375" s="30">
        <v>-2.4191853347110999</v>
      </c>
      <c r="AK375" s="30">
        <v>0.37533089029070998</v>
      </c>
      <c r="AL375" s="30" t="s">
        <v>2743</v>
      </c>
      <c r="AM375" s="157">
        <v>-1.8871286439304462</v>
      </c>
      <c r="AN375" s="30">
        <v>-1.8855560235389466</v>
      </c>
      <c r="AO375" s="30">
        <v>0.13303581972280501</v>
      </c>
      <c r="AP375" s="30" t="s">
        <v>2743</v>
      </c>
      <c r="AQ375" s="157">
        <v>-2.7594688261371698</v>
      </c>
      <c r="AR375" s="30">
        <v>-2.8577162377216498</v>
      </c>
      <c r="AS375" s="30">
        <v>0.34256271366593799</v>
      </c>
      <c r="AT375" s="30" t="s">
        <v>2743</v>
      </c>
      <c r="AU375" s="157">
        <v>3.2791958854402199</v>
      </c>
      <c r="AV375" s="30" t="s">
        <v>2855</v>
      </c>
      <c r="AW375" s="30" t="s">
        <v>2855</v>
      </c>
      <c r="AX375" s="30" t="s">
        <v>2743</v>
      </c>
      <c r="AY375" s="157" t="s">
        <v>2855</v>
      </c>
      <c r="AZ375" s="30" t="s">
        <v>2855</v>
      </c>
      <c r="BA375" s="30" t="s">
        <v>2855</v>
      </c>
      <c r="BB375" s="30" t="s">
        <v>558</v>
      </c>
      <c r="BC375" s="157">
        <v>-20</v>
      </c>
      <c r="BD375" s="30">
        <v>-20</v>
      </c>
      <c r="BE375" s="30">
        <v>6</v>
      </c>
      <c r="BF375" s="300" t="s">
        <v>558</v>
      </c>
    </row>
    <row r="376" spans="1:58">
      <c r="A376" s="3"/>
      <c r="B376" s="171">
        <v>262.34899999999999</v>
      </c>
      <c r="C376" s="157">
        <v>6.3299673305482704</v>
      </c>
      <c r="D376" s="30">
        <v>94.304052523116098</v>
      </c>
      <c r="E376" s="30">
        <v>6.3299673305482704</v>
      </c>
      <c r="F376" s="8" t="s">
        <v>2742</v>
      </c>
      <c r="G376" s="157">
        <v>8.4969107459737305</v>
      </c>
      <c r="H376" s="30">
        <v>17.553291518526699</v>
      </c>
      <c r="I376" s="30">
        <v>8.4969107459737305</v>
      </c>
      <c r="J376" s="8" t="s">
        <v>2742</v>
      </c>
      <c r="K376" s="158">
        <v>7.9916604864251077</v>
      </c>
      <c r="L376" s="113">
        <v>7.7062210352908593</v>
      </c>
      <c r="M376" s="113">
        <v>10.216808965489536</v>
      </c>
      <c r="N376" s="13" t="s">
        <v>1499</v>
      </c>
      <c r="O376" s="157">
        <v>4.8783348516148397</v>
      </c>
      <c r="P376" s="30">
        <v>-84.202464935783794</v>
      </c>
      <c r="Q376" s="30">
        <v>4.8783348516148397</v>
      </c>
      <c r="R376" s="8" t="s">
        <v>2742</v>
      </c>
      <c r="S376" s="157">
        <v>6.7116480110071404</v>
      </c>
      <c r="T376" s="30">
        <v>74.358252215447806</v>
      </c>
      <c r="U376" s="30">
        <v>6.7116480110071404</v>
      </c>
      <c r="V376" s="8" t="s">
        <v>2742</v>
      </c>
      <c r="W376" s="157">
        <v>5.6732436235599399</v>
      </c>
      <c r="X376" s="30">
        <v>-9.8470704832358393</v>
      </c>
      <c r="Y376" s="30">
        <v>5.6732436235599399</v>
      </c>
      <c r="Z376" s="498" t="s">
        <v>2742</v>
      </c>
      <c r="AA376" s="157">
        <v>0.205919701079748</v>
      </c>
      <c r="AB376" s="30">
        <v>8.5494727478415093</v>
      </c>
      <c r="AC376" s="30">
        <v>0.205919701079748</v>
      </c>
      <c r="AD376" s="8" t="s">
        <v>2742</v>
      </c>
      <c r="AE376" s="157">
        <v>0.38301650941242299</v>
      </c>
      <c r="AF376" s="30">
        <v>6.0421193858489097</v>
      </c>
      <c r="AG376" s="30">
        <v>0.38301650941242299</v>
      </c>
      <c r="AH376" s="8" t="s">
        <v>2742</v>
      </c>
      <c r="AI376" s="157">
        <v>0.31080544829502399</v>
      </c>
      <c r="AJ376" s="30">
        <v>-2.5295223984648398</v>
      </c>
      <c r="AK376" s="30">
        <v>0.31080544829502399</v>
      </c>
      <c r="AL376" s="8" t="s">
        <v>2742</v>
      </c>
      <c r="AM376" s="157">
        <v>0.10200383870858699</v>
      </c>
      <c r="AN376" s="30">
        <v>-1.8871286439304462</v>
      </c>
      <c r="AO376" s="30">
        <v>0.10200383870858699</v>
      </c>
      <c r="AP376" s="8" t="s">
        <v>2742</v>
      </c>
      <c r="AQ376" s="157">
        <v>0.29627673115398401</v>
      </c>
      <c r="AR376" s="30">
        <v>-2.7594688261371698</v>
      </c>
      <c r="AS376" s="30">
        <v>0.29627673115398401</v>
      </c>
      <c r="AT376" s="8" t="s">
        <v>2742</v>
      </c>
      <c r="AU376" s="157">
        <v>0.23965417860352001</v>
      </c>
      <c r="AV376" s="30">
        <v>3.2791958854402199</v>
      </c>
      <c r="AW376" s="30">
        <v>0.23965417860352001</v>
      </c>
      <c r="AX376" s="8" t="s">
        <v>2742</v>
      </c>
      <c r="AY376" s="157" t="s">
        <v>2855</v>
      </c>
      <c r="AZ376" s="30"/>
      <c r="BA376" s="30"/>
      <c r="BB376" s="101"/>
      <c r="BC376" s="157">
        <v>6</v>
      </c>
      <c r="BD376" s="30"/>
      <c r="BE376" s="30"/>
      <c r="BF376" s="277"/>
    </row>
    <row r="377" spans="1:58">
      <c r="A377" s="3"/>
      <c r="B377" s="171"/>
      <c r="C377" s="3"/>
      <c r="D377" s="206">
        <v>95.3</v>
      </c>
      <c r="E377" s="206">
        <v>6.8009337800955159</v>
      </c>
      <c r="F377" s="206" t="s">
        <v>558</v>
      </c>
      <c r="G377" s="3"/>
      <c r="H377" s="206" t="s">
        <v>2855</v>
      </c>
      <c r="I377" s="206" t="s">
        <v>2855</v>
      </c>
      <c r="J377" s="206" t="s">
        <v>558</v>
      </c>
      <c r="K377" s="353"/>
      <c r="L377" s="344">
        <v>5.9286749301441262</v>
      </c>
      <c r="M377" s="344">
        <v>8.5254371095919339</v>
      </c>
      <c r="N377" s="206" t="s">
        <v>1124</v>
      </c>
      <c r="O377" s="3"/>
      <c r="P377" s="206">
        <v>-82.9</v>
      </c>
      <c r="Q377" s="206">
        <v>5.2523851453852348</v>
      </c>
      <c r="R377" s="206" t="s">
        <v>558</v>
      </c>
      <c r="S377" s="3"/>
      <c r="T377" s="206" t="s">
        <v>2855</v>
      </c>
      <c r="U377" s="206" t="s">
        <v>2855</v>
      </c>
      <c r="V377" s="206" t="s">
        <v>558</v>
      </c>
      <c r="W377" s="3"/>
      <c r="X377" s="206" t="s">
        <v>2855</v>
      </c>
      <c r="Y377" s="206" t="s">
        <v>2855</v>
      </c>
      <c r="Z377" s="350" t="s">
        <v>558</v>
      </c>
      <c r="AA377" s="4"/>
      <c r="AB377" s="206">
        <v>8.4929739722986248</v>
      </c>
      <c r="AC377" s="206">
        <v>0.21867554886940208</v>
      </c>
      <c r="AD377" s="206" t="s">
        <v>558</v>
      </c>
      <c r="AE377" s="3"/>
      <c r="AF377" s="206">
        <v>7.0905627306002046</v>
      </c>
      <c r="AG377" s="206">
        <v>1.2845278119407713</v>
      </c>
      <c r="AH377" s="206" t="s">
        <v>558</v>
      </c>
      <c r="AI377" s="3"/>
      <c r="AJ377" s="206" t="s">
        <v>2855</v>
      </c>
      <c r="AK377" s="206" t="s">
        <v>2855</v>
      </c>
      <c r="AL377" s="206" t="s">
        <v>558</v>
      </c>
      <c r="AM377" s="3"/>
      <c r="AN377" s="206">
        <v>-1.8907497643218214</v>
      </c>
      <c r="AO377" s="206">
        <v>9.4527481783361011E-2</v>
      </c>
      <c r="AP377" s="206" t="s">
        <v>558</v>
      </c>
      <c r="AQ377" s="3"/>
      <c r="AR377" s="206">
        <v>-1.8907497643218214</v>
      </c>
      <c r="AS377" s="206">
        <v>9.4527481783361011E-2</v>
      </c>
      <c r="AT377" s="206" t="s">
        <v>558</v>
      </c>
      <c r="AU377" s="3"/>
      <c r="AV377" s="206" t="s">
        <v>2855</v>
      </c>
      <c r="AW377" s="206" t="s">
        <v>2855</v>
      </c>
      <c r="AX377" s="206" t="s">
        <v>558</v>
      </c>
      <c r="AY377" s="3"/>
      <c r="AZ377" s="52"/>
      <c r="BA377" s="52"/>
      <c r="BB377" s="52"/>
      <c r="BC377" s="3"/>
      <c r="BF377" s="42"/>
    </row>
    <row r="378" spans="1:58">
      <c r="A378" s="3"/>
      <c r="B378" s="171"/>
      <c r="C378" s="3"/>
      <c r="D378" s="176">
        <v>85.319896875840001</v>
      </c>
      <c r="E378" s="176">
        <v>15.23207586934684</v>
      </c>
      <c r="F378" s="206" t="s">
        <v>1124</v>
      </c>
      <c r="G378" s="3"/>
      <c r="H378" s="176">
        <v>11.791564401960017</v>
      </c>
      <c r="I378" s="176">
        <v>16.540970711781473</v>
      </c>
      <c r="J378" s="206" t="s">
        <v>1124</v>
      </c>
      <c r="K378" s="353"/>
      <c r="L378" s="206"/>
      <c r="M378" s="206"/>
      <c r="N378" s="206"/>
      <c r="O378" s="3"/>
      <c r="P378" s="178">
        <v>-79.391221945695875</v>
      </c>
      <c r="Q378" s="178">
        <v>13.182991795304746</v>
      </c>
      <c r="R378" s="206" t="s">
        <v>1124</v>
      </c>
      <c r="S378" s="3"/>
      <c r="T378" s="178">
        <v>80.665976700000002</v>
      </c>
      <c r="U378" s="178">
        <v>15.1223699859723</v>
      </c>
      <c r="V378" s="206" t="s">
        <v>1124</v>
      </c>
      <c r="W378" s="3"/>
      <c r="X378" s="178">
        <v>-11.64974799999999</v>
      </c>
      <c r="Y378" s="178">
        <v>4.7788797976763728</v>
      </c>
      <c r="Z378" s="350" t="s">
        <v>1124</v>
      </c>
      <c r="AA378" s="4"/>
      <c r="AB378" s="178">
        <v>8.7283741295818</v>
      </c>
      <c r="AC378" s="178">
        <v>0.71573540699983718</v>
      </c>
      <c r="AD378" s="206" t="s">
        <v>1124</v>
      </c>
      <c r="AE378" s="3"/>
      <c r="AF378" s="178">
        <v>5.7780529400000002</v>
      </c>
      <c r="AG378" s="178">
        <v>0.85723193417839993</v>
      </c>
      <c r="AH378" s="206" t="s">
        <v>1124</v>
      </c>
      <c r="AI378" s="3"/>
      <c r="AJ378" s="178">
        <v>-2.8134969999999999</v>
      </c>
      <c r="AK378" s="178">
        <v>0.59215108659599991</v>
      </c>
      <c r="AL378" s="206" t="s">
        <v>1124</v>
      </c>
      <c r="AM378" s="3"/>
      <c r="AN378" s="178">
        <v>-2.0269536700000006</v>
      </c>
      <c r="AO378" s="178">
        <v>0.43704769641806013</v>
      </c>
      <c r="AP378" s="206" t="s">
        <v>1124</v>
      </c>
      <c r="AQ378" s="3"/>
      <c r="AR378" s="178">
        <v>-2.0269536700000006</v>
      </c>
      <c r="AS378" s="178">
        <v>0.43704769641806013</v>
      </c>
      <c r="AT378" s="206" t="s">
        <v>1124</v>
      </c>
      <c r="AU378" s="3"/>
      <c r="AV378" s="178">
        <v>3.647892699999999</v>
      </c>
      <c r="AW378" s="178">
        <v>0.6592872955636998</v>
      </c>
      <c r="AX378" s="206" t="s">
        <v>1124</v>
      </c>
      <c r="AY378" s="3"/>
      <c r="AZ378" s="178"/>
      <c r="BA378" s="178"/>
      <c r="BB378" s="206"/>
      <c r="BC378" s="3"/>
      <c r="BD378" s="178"/>
      <c r="BE378" s="178"/>
      <c r="BF378" s="350"/>
    </row>
    <row r="379" spans="1:58">
      <c r="A379" s="3"/>
      <c r="B379" s="4" t="s">
        <v>20</v>
      </c>
      <c r="C379" s="87"/>
      <c r="D379" s="4"/>
      <c r="E379" s="4"/>
      <c r="F379" s="4"/>
      <c r="G379" s="3"/>
      <c r="H379" s="4"/>
      <c r="I379" s="4"/>
      <c r="J379" s="4"/>
      <c r="K379" s="3"/>
      <c r="L379" s="4"/>
      <c r="M379" s="4"/>
      <c r="N379" s="4"/>
      <c r="O379" s="3"/>
      <c r="P379" s="4"/>
      <c r="Q379" s="4"/>
      <c r="R379" s="4"/>
      <c r="S379" s="3"/>
      <c r="T379" s="4"/>
      <c r="U379" s="4"/>
      <c r="V379" s="4"/>
      <c r="W379" s="3"/>
      <c r="X379" s="4"/>
      <c r="Y379" s="4"/>
      <c r="Z379" s="122"/>
      <c r="AA379" s="4"/>
      <c r="AB379" s="9"/>
      <c r="AC379" s="9"/>
      <c r="AD379" s="4"/>
      <c r="AE379" s="3"/>
      <c r="AF379" s="9"/>
      <c r="AG379" s="9"/>
      <c r="AH379" s="4"/>
      <c r="AI379" s="3"/>
      <c r="AJ379" s="9"/>
      <c r="AK379" s="9"/>
      <c r="AL379" s="4"/>
      <c r="AM379" s="3"/>
      <c r="AN379" s="9"/>
      <c r="AO379" s="9"/>
      <c r="AP379" s="4"/>
      <c r="AQ379" s="3"/>
      <c r="AR379" s="9"/>
      <c r="AS379" s="9"/>
      <c r="AT379" s="4"/>
      <c r="AU379" s="3"/>
      <c r="AV379" s="9"/>
      <c r="AW379" s="9"/>
      <c r="AX379" s="4"/>
      <c r="AY379" s="3"/>
      <c r="AZ379" s="9"/>
      <c r="BA379" s="9"/>
      <c r="BB379" s="4"/>
      <c r="BC379" s="3"/>
      <c r="BD379" s="9"/>
      <c r="BE379" s="9"/>
      <c r="BF379" s="122"/>
    </row>
    <row r="380" spans="1:58">
      <c r="A380" s="3" t="s">
        <v>487</v>
      </c>
      <c r="B380" s="4" t="s">
        <v>488</v>
      </c>
      <c r="C380" s="157">
        <v>98.921178953946409</v>
      </c>
      <c r="D380" s="30" t="s">
        <v>2855</v>
      </c>
      <c r="E380" s="30" t="s">
        <v>2855</v>
      </c>
      <c r="F380" s="30" t="s">
        <v>2743</v>
      </c>
      <c r="G380" s="157">
        <v>-2.09961606849423</v>
      </c>
      <c r="H380" s="30" t="s">
        <v>2855</v>
      </c>
      <c r="I380" s="30" t="s">
        <v>2855</v>
      </c>
      <c r="J380" s="30" t="s">
        <v>2743</v>
      </c>
      <c r="K380" s="157">
        <v>-11.241182938478596</v>
      </c>
      <c r="L380" s="113">
        <v>-11.241182938478596</v>
      </c>
      <c r="M380" s="30">
        <v>21.513559703343827</v>
      </c>
      <c r="N380" s="355" t="s">
        <v>1498</v>
      </c>
      <c r="O380" s="157">
        <v>-107.77136189242501</v>
      </c>
      <c r="P380" s="30" t="s">
        <v>2855</v>
      </c>
      <c r="Q380" s="30" t="s">
        <v>2855</v>
      </c>
      <c r="R380" s="30" t="s">
        <v>2743</v>
      </c>
      <c r="S380" s="157">
        <v>98.631101145024999</v>
      </c>
      <c r="T380" s="30" t="s">
        <v>2855</v>
      </c>
      <c r="U380" s="30" t="s">
        <v>2855</v>
      </c>
      <c r="V380" s="30" t="s">
        <v>2743</v>
      </c>
      <c r="W380" s="157">
        <v>-9.1389682835004695</v>
      </c>
      <c r="X380" s="30" t="s">
        <v>2855</v>
      </c>
      <c r="Y380" s="30" t="s">
        <v>2855</v>
      </c>
      <c r="Z380" s="300" t="s">
        <v>2743</v>
      </c>
      <c r="AA380" s="157">
        <v>14.0053911284633</v>
      </c>
      <c r="AB380" s="30" t="s">
        <v>2855</v>
      </c>
      <c r="AC380" s="30" t="s">
        <v>2855</v>
      </c>
      <c r="AD380" s="30" t="s">
        <v>2743</v>
      </c>
      <c r="AE380" s="157">
        <v>6.40866399478357</v>
      </c>
      <c r="AF380" s="30" t="s">
        <v>2855</v>
      </c>
      <c r="AG380" s="30" t="s">
        <v>2855</v>
      </c>
      <c r="AH380" s="30" t="s">
        <v>2743</v>
      </c>
      <c r="AI380" s="157">
        <v>-7.5966229047555398</v>
      </c>
      <c r="AJ380" s="30" t="s">
        <v>2855</v>
      </c>
      <c r="AK380" s="30" t="s">
        <v>2855</v>
      </c>
      <c r="AL380" s="30" t="s">
        <v>2743</v>
      </c>
      <c r="AM380" s="157">
        <v>-8.4645384524700482</v>
      </c>
      <c r="AN380" s="30" t="s">
        <v>2855</v>
      </c>
      <c r="AO380" s="30" t="s">
        <v>2855</v>
      </c>
      <c r="AP380" s="30" t="s">
        <v>2743</v>
      </c>
      <c r="AQ380" s="157">
        <v>-4.2596126649767099</v>
      </c>
      <c r="AR380" s="30" t="s">
        <v>2855</v>
      </c>
      <c r="AS380" s="30" t="s">
        <v>2855</v>
      </c>
      <c r="AT380" s="30" t="s">
        <v>2743</v>
      </c>
      <c r="AU380" s="157">
        <v>2.14846308688759</v>
      </c>
      <c r="AV380" s="30" t="s">
        <v>2855</v>
      </c>
      <c r="AW380" s="30" t="s">
        <v>2855</v>
      </c>
      <c r="AX380" s="30" t="s">
        <v>2743</v>
      </c>
      <c r="AY380" s="157" t="s">
        <v>2855</v>
      </c>
      <c r="AZ380" s="30" t="s">
        <v>2855</v>
      </c>
      <c r="BA380" s="30" t="s">
        <v>2855</v>
      </c>
      <c r="BB380" s="30" t="s">
        <v>558</v>
      </c>
      <c r="BC380" s="157">
        <v>-9.9</v>
      </c>
      <c r="BD380" s="30">
        <v>-9.9</v>
      </c>
      <c r="BE380" s="30">
        <v>2.97</v>
      </c>
      <c r="BF380" s="300" t="s">
        <v>558</v>
      </c>
    </row>
    <row r="381" spans="1:58">
      <c r="A381" s="3"/>
      <c r="B381" s="171">
        <v>361.48500000000001</v>
      </c>
      <c r="C381" s="157">
        <v>10.899186935052899</v>
      </c>
      <c r="D381" s="30">
        <v>98.921178953946409</v>
      </c>
      <c r="E381" s="30">
        <v>10.899186935052899</v>
      </c>
      <c r="F381" s="8" t="s">
        <v>2742</v>
      </c>
      <c r="G381" s="157">
        <v>15.997117398362199</v>
      </c>
      <c r="H381" s="30">
        <v>-2.09961606849423</v>
      </c>
      <c r="I381" s="30">
        <v>15.997117398362199</v>
      </c>
      <c r="J381" s="8" t="s">
        <v>2742</v>
      </c>
      <c r="K381" s="158">
        <v>21.513559703343827</v>
      </c>
      <c r="L381" s="113">
        <v>-11.2385843519947</v>
      </c>
      <c r="M381" s="113">
        <v>24.49302774433588</v>
      </c>
      <c r="N381" s="13" t="s">
        <v>1499</v>
      </c>
      <c r="O381" s="157">
        <v>18.548341577189898</v>
      </c>
      <c r="P381" s="30">
        <v>-107.77136189242501</v>
      </c>
      <c r="Q381" s="30">
        <v>18.548341577189898</v>
      </c>
      <c r="R381" s="8" t="s">
        <v>2742</v>
      </c>
      <c r="S381" s="157">
        <v>15.252650314840601</v>
      </c>
      <c r="T381" s="30">
        <v>98.631101145024999</v>
      </c>
      <c r="U381" s="30">
        <v>15.252650314840601</v>
      </c>
      <c r="V381" s="8" t="s">
        <v>2742</v>
      </c>
      <c r="W381" s="157">
        <v>18.5472543258517</v>
      </c>
      <c r="X381" s="30">
        <v>-9.1389682835004695</v>
      </c>
      <c r="Y381" s="30">
        <v>18.5472543258517</v>
      </c>
      <c r="Z381" s="498" t="s">
        <v>2742</v>
      </c>
      <c r="AA381" s="157">
        <v>1.4560905759806799</v>
      </c>
      <c r="AB381" s="30">
        <v>14.0053911284633</v>
      </c>
      <c r="AC381" s="30">
        <v>1.4560905759806799</v>
      </c>
      <c r="AD381" s="8" t="s">
        <v>2742</v>
      </c>
      <c r="AE381" s="157">
        <v>1.23539570314719</v>
      </c>
      <c r="AF381" s="30">
        <v>6.40866399478357</v>
      </c>
      <c r="AG381" s="30">
        <v>1.23539570314719</v>
      </c>
      <c r="AH381" s="8" t="s">
        <v>2742</v>
      </c>
      <c r="AI381" s="157">
        <v>1.2212173312325201</v>
      </c>
      <c r="AJ381" s="30">
        <v>-7.5966229047555398</v>
      </c>
      <c r="AK381" s="30">
        <v>1.2212173312325201</v>
      </c>
      <c r="AL381" s="8" t="s">
        <v>2742</v>
      </c>
      <c r="AM381" s="157">
        <v>1.18091866444066</v>
      </c>
      <c r="AN381" s="30">
        <v>-8.4645384524700482</v>
      </c>
      <c r="AO381" s="30">
        <v>1.18091866444066</v>
      </c>
      <c r="AP381" s="8" t="s">
        <v>2742</v>
      </c>
      <c r="AQ381" s="157">
        <v>0.56877555557839798</v>
      </c>
      <c r="AR381" s="30">
        <v>-4.2596126649767099</v>
      </c>
      <c r="AS381" s="30">
        <v>0.56877555557839798</v>
      </c>
      <c r="AT381" s="8" t="s">
        <v>2742</v>
      </c>
      <c r="AU381" s="157">
        <v>1.25612151606158</v>
      </c>
      <c r="AV381" s="30">
        <v>2.14846308688759</v>
      </c>
      <c r="AW381" s="30">
        <v>1.25612151606158</v>
      </c>
      <c r="AX381" s="8" t="s">
        <v>2742</v>
      </c>
      <c r="AY381" s="157" t="s">
        <v>2855</v>
      </c>
      <c r="AZ381" s="30"/>
      <c r="BA381" s="30"/>
      <c r="BB381" s="101"/>
      <c r="BC381" s="157">
        <v>2.97</v>
      </c>
      <c r="BD381" s="30"/>
      <c r="BE381" s="30"/>
      <c r="BF381" s="277"/>
    </row>
    <row r="382" spans="1:58">
      <c r="A382" s="3"/>
      <c r="B382" s="171"/>
      <c r="C382" s="3"/>
      <c r="D382" s="206">
        <v>94.890864162898467</v>
      </c>
      <c r="E382" s="206">
        <v>6.7717364481417759</v>
      </c>
      <c r="F382" s="206" t="s">
        <v>558</v>
      </c>
      <c r="G382" s="3"/>
      <c r="H382" s="206" t="s">
        <v>2855</v>
      </c>
      <c r="I382" s="206" t="s">
        <v>2855</v>
      </c>
      <c r="J382" s="206" t="s">
        <v>558</v>
      </c>
      <c r="K382" s="353"/>
      <c r="L382" s="344">
        <v>8.9664609587679394</v>
      </c>
      <c r="M382" s="344">
        <v>12.893774730490938</v>
      </c>
      <c r="N382" s="206" t="s">
        <v>1124</v>
      </c>
      <c r="O382" s="3"/>
      <c r="P382" s="206" t="s">
        <v>2855</v>
      </c>
      <c r="Q382" s="206" t="s">
        <v>2855</v>
      </c>
      <c r="R382" s="206" t="s">
        <v>558</v>
      </c>
      <c r="S382" s="3"/>
      <c r="T382" s="206" t="s">
        <v>2855</v>
      </c>
      <c r="U382" s="206" t="s">
        <v>2855</v>
      </c>
      <c r="V382" s="206" t="s">
        <v>558</v>
      </c>
      <c r="W382" s="3"/>
      <c r="X382" s="206" t="s">
        <v>2855</v>
      </c>
      <c r="Y382" s="206" t="s">
        <v>2855</v>
      </c>
      <c r="Z382" s="350" t="s">
        <v>558</v>
      </c>
      <c r="AA382" s="4"/>
      <c r="AB382" s="206" t="s">
        <v>2855</v>
      </c>
      <c r="AC382" s="206" t="s">
        <v>2855</v>
      </c>
      <c r="AD382" s="206" t="s">
        <v>558</v>
      </c>
      <c r="AE382" s="3"/>
      <c r="AF382" s="206">
        <v>6.640402157461903</v>
      </c>
      <c r="AG382" s="206">
        <v>1.2178373566610228</v>
      </c>
      <c r="AH382" s="206" t="s">
        <v>558</v>
      </c>
      <c r="AI382" s="3"/>
      <c r="AJ382" s="206" t="s">
        <v>2855</v>
      </c>
      <c r="AK382" s="206" t="s">
        <v>2855</v>
      </c>
      <c r="AL382" s="206" t="s">
        <v>558</v>
      </c>
      <c r="AM382" s="3"/>
      <c r="AN382" s="206">
        <v>-9.755026966610103</v>
      </c>
      <c r="AO382" s="206">
        <v>1.5477752667265681</v>
      </c>
      <c r="AP382" s="206" t="s">
        <v>558</v>
      </c>
      <c r="AQ382" s="3"/>
      <c r="AR382" s="206">
        <v>-9.755026966610103</v>
      </c>
      <c r="AS382" s="206">
        <v>1.5477752667265681</v>
      </c>
      <c r="AT382" s="206" t="s">
        <v>558</v>
      </c>
      <c r="AU382" s="3"/>
      <c r="AV382" s="206" t="s">
        <v>2855</v>
      </c>
      <c r="AW382" s="206" t="s">
        <v>2855</v>
      </c>
      <c r="AX382" s="206" t="s">
        <v>558</v>
      </c>
      <c r="AY382" s="3"/>
      <c r="AZ382" s="52"/>
      <c r="BA382" s="52"/>
      <c r="BB382" s="52"/>
      <c r="BC382" s="3"/>
      <c r="BF382" s="42"/>
    </row>
    <row r="383" spans="1:58">
      <c r="A383" s="3"/>
      <c r="B383" s="171"/>
      <c r="C383" s="3"/>
      <c r="D383" s="176">
        <v>119.04512125856</v>
      </c>
      <c r="E383" s="176">
        <v>21.253006453169458</v>
      </c>
      <c r="F383" s="206" t="s">
        <v>1124</v>
      </c>
      <c r="G383" s="3"/>
      <c r="H383" s="176">
        <v>14.364364347839867</v>
      </c>
      <c r="I383" s="176">
        <v>20.150043019862807</v>
      </c>
      <c r="J383" s="206" t="s">
        <v>1124</v>
      </c>
      <c r="K383" s="353"/>
      <c r="L383" s="206"/>
      <c r="M383" s="206"/>
      <c r="N383" s="206"/>
      <c r="O383" s="3"/>
      <c r="P383" s="178">
        <v>-110.07866029979206</v>
      </c>
      <c r="Q383" s="178">
        <v>18.278671621440772</v>
      </c>
      <c r="R383" s="206" t="s">
        <v>1124</v>
      </c>
      <c r="S383" s="3"/>
      <c r="T383" s="178">
        <v>113.09291160000001</v>
      </c>
      <c r="U383" s="178">
        <v>21.201415044740401</v>
      </c>
      <c r="V383" s="206" t="s">
        <v>1124</v>
      </c>
      <c r="W383" s="3"/>
      <c r="X383" s="178">
        <v>-7.3122039999999959</v>
      </c>
      <c r="Y383" s="178">
        <v>2.9995622198942309</v>
      </c>
      <c r="Z383" s="350" t="s">
        <v>1124</v>
      </c>
      <c r="AA383" s="4"/>
      <c r="AB383" s="178">
        <v>12.639320878301151</v>
      </c>
      <c r="AC383" s="178">
        <v>1.0364369513415728</v>
      </c>
      <c r="AD383" s="206" t="s">
        <v>1124</v>
      </c>
      <c r="AE383" s="3"/>
      <c r="AF383" s="178">
        <v>6.6289664100000003</v>
      </c>
      <c r="AG383" s="178">
        <v>0.98347345658759999</v>
      </c>
      <c r="AH383" s="206" t="s">
        <v>1124</v>
      </c>
      <c r="AI383" s="3"/>
      <c r="AJ383" s="178">
        <v>-5.8832059999999995</v>
      </c>
      <c r="AK383" s="178">
        <v>1.2382266004079998</v>
      </c>
      <c r="AL383" s="206" t="s">
        <v>1124</v>
      </c>
      <c r="AM383" s="3"/>
      <c r="AN383" s="178">
        <v>-6.1747555200000006</v>
      </c>
      <c r="AO383" s="178">
        <v>1.3313884357113601</v>
      </c>
      <c r="AP383" s="206" t="s">
        <v>1124</v>
      </c>
      <c r="AQ383" s="3"/>
      <c r="AR383" s="178">
        <v>-6.1747555200000006</v>
      </c>
      <c r="AS383" s="178">
        <v>1.3313884357113601</v>
      </c>
      <c r="AT383" s="206" t="s">
        <v>1124</v>
      </c>
      <c r="AU383" s="3"/>
      <c r="AV383" s="178">
        <v>3.0572181999999977</v>
      </c>
      <c r="AW383" s="178">
        <v>0.55253410250419954</v>
      </c>
      <c r="AX383" s="206" t="s">
        <v>1124</v>
      </c>
      <c r="AY383" s="3"/>
      <c r="AZ383" s="178"/>
      <c r="BA383" s="178"/>
      <c r="BB383" s="206"/>
      <c r="BC383" s="3"/>
      <c r="BD383" s="178"/>
      <c r="BE383" s="178"/>
      <c r="BF383" s="350"/>
    </row>
    <row r="384" spans="1:58">
      <c r="A384" s="3"/>
      <c r="B384" s="4"/>
      <c r="C384" s="87"/>
      <c r="D384" s="4"/>
      <c r="E384" s="4"/>
      <c r="F384" s="4"/>
      <c r="G384" s="3"/>
      <c r="H384" s="4"/>
      <c r="I384" s="4"/>
      <c r="J384" s="4"/>
      <c r="K384" s="3"/>
      <c r="L384" s="4"/>
      <c r="M384" s="4"/>
      <c r="N384" s="4"/>
      <c r="O384" s="3"/>
      <c r="P384" s="4"/>
      <c r="Q384" s="4"/>
      <c r="R384" s="4"/>
      <c r="S384" s="3"/>
      <c r="T384" s="4"/>
      <c r="U384" s="4"/>
      <c r="V384" s="4"/>
      <c r="W384" s="3"/>
      <c r="X384" s="4"/>
      <c r="Y384" s="4"/>
      <c r="Z384" s="122"/>
      <c r="AA384" s="4"/>
      <c r="AB384" s="9"/>
      <c r="AC384" s="9"/>
      <c r="AD384" s="4"/>
      <c r="AE384" s="3"/>
      <c r="AF384" s="9"/>
      <c r="AG384" s="9"/>
      <c r="AH384" s="4"/>
      <c r="AI384" s="3"/>
      <c r="AJ384" s="9"/>
      <c r="AK384" s="9"/>
      <c r="AL384" s="4"/>
      <c r="AM384" s="3"/>
      <c r="AN384" s="9"/>
      <c r="AO384" s="9"/>
      <c r="AP384" s="4"/>
      <c r="AQ384" s="3"/>
      <c r="AR384" s="9"/>
      <c r="AS384" s="9"/>
      <c r="AT384" s="4"/>
      <c r="AU384" s="3"/>
      <c r="AV384" s="9"/>
      <c r="AW384" s="9"/>
      <c r="AX384" s="4"/>
      <c r="AY384" s="3"/>
      <c r="AZ384" s="9"/>
      <c r="BA384" s="9"/>
      <c r="BB384" s="4"/>
      <c r="BC384" s="3"/>
      <c r="BD384" s="9"/>
      <c r="BE384" s="9"/>
      <c r="BF384" s="122"/>
    </row>
    <row r="385" spans="1:58">
      <c r="A385" s="3" t="s">
        <v>485</v>
      </c>
      <c r="B385" s="4" t="s">
        <v>486</v>
      </c>
      <c r="C385" s="157">
        <v>94.686894199392398</v>
      </c>
      <c r="D385" s="30" t="s">
        <v>2855</v>
      </c>
      <c r="E385" s="30" t="s">
        <v>2855</v>
      </c>
      <c r="F385" s="30" t="s">
        <v>2743</v>
      </c>
      <c r="G385" s="157">
        <v>18.224425811501799</v>
      </c>
      <c r="H385" s="30" t="s">
        <v>2855</v>
      </c>
      <c r="I385" s="30" t="s">
        <v>2855</v>
      </c>
      <c r="J385" s="30" t="s">
        <v>2743</v>
      </c>
      <c r="K385" s="157">
        <v>9.1451027246403012</v>
      </c>
      <c r="L385" s="113">
        <v>9.1451027246403012</v>
      </c>
      <c r="M385" s="30">
        <v>11.530851498750641</v>
      </c>
      <c r="N385" s="355" t="s">
        <v>1498</v>
      </c>
      <c r="O385" s="157">
        <v>-83.150791474752097</v>
      </c>
      <c r="P385" s="30" t="s">
        <v>2855</v>
      </c>
      <c r="Q385" s="30" t="s">
        <v>2855</v>
      </c>
      <c r="R385" s="30" t="s">
        <v>2743</v>
      </c>
      <c r="S385" s="157">
        <v>74.072021024962197</v>
      </c>
      <c r="T385" s="30" t="s">
        <v>2855</v>
      </c>
      <c r="U385" s="30" t="s">
        <v>2855</v>
      </c>
      <c r="V385" s="30" t="s">
        <v>2743</v>
      </c>
      <c r="W385" s="157">
        <v>-9.0813409371996006</v>
      </c>
      <c r="X385" s="30" t="s">
        <v>2855</v>
      </c>
      <c r="Y385" s="30" t="s">
        <v>2855</v>
      </c>
      <c r="Z385" s="300" t="s">
        <v>2743</v>
      </c>
      <c r="AA385" s="157">
        <v>8.3856877892797197</v>
      </c>
      <c r="AB385" s="30" t="s">
        <v>2855</v>
      </c>
      <c r="AC385" s="30" t="s">
        <v>2855</v>
      </c>
      <c r="AD385" s="30" t="s">
        <v>2743</v>
      </c>
      <c r="AE385" s="157">
        <v>6.2046795003217499</v>
      </c>
      <c r="AF385" s="30" t="s">
        <v>2855</v>
      </c>
      <c r="AG385" s="30" t="s">
        <v>2855</v>
      </c>
      <c r="AH385" s="30" t="s">
        <v>2743</v>
      </c>
      <c r="AI385" s="157">
        <v>-2.1958580298107702</v>
      </c>
      <c r="AJ385" s="30" t="s">
        <v>2855</v>
      </c>
      <c r="AK385" s="30" t="s">
        <v>2855</v>
      </c>
      <c r="AL385" s="30" t="s">
        <v>2743</v>
      </c>
      <c r="AM385" s="157">
        <v>-1.3304671831633368</v>
      </c>
      <c r="AN385" s="30" t="s">
        <v>2855</v>
      </c>
      <c r="AO385" s="30" t="s">
        <v>2855</v>
      </c>
      <c r="AP385" s="30" t="s">
        <v>2743</v>
      </c>
      <c r="AQ385" s="157">
        <v>-2.5399802564330098</v>
      </c>
      <c r="AR385" s="30" t="s">
        <v>2855</v>
      </c>
      <c r="AS385" s="30" t="s">
        <v>2855</v>
      </c>
      <c r="AT385" s="30" t="s">
        <v>2743</v>
      </c>
      <c r="AU385" s="157">
        <v>3.66345437017192</v>
      </c>
      <c r="AV385" s="30" t="s">
        <v>2855</v>
      </c>
      <c r="AW385" s="30" t="s">
        <v>2855</v>
      </c>
      <c r="AX385" s="30" t="s">
        <v>2743</v>
      </c>
      <c r="AY385" s="157" t="s">
        <v>2855</v>
      </c>
      <c r="AZ385" s="30" t="s">
        <v>2855</v>
      </c>
      <c r="BA385" s="30" t="s">
        <v>2855</v>
      </c>
      <c r="BB385" s="30" t="s">
        <v>558</v>
      </c>
      <c r="BC385" s="157">
        <v>-20</v>
      </c>
      <c r="BD385" s="30">
        <v>-20</v>
      </c>
      <c r="BE385" s="30">
        <v>6</v>
      </c>
      <c r="BF385" s="300" t="s">
        <v>558</v>
      </c>
    </row>
    <row r="386" spans="1:58">
      <c r="A386" s="3"/>
      <c r="B386" s="171">
        <v>250.33799999999999</v>
      </c>
      <c r="C386" s="157">
        <v>6.5709226350022902</v>
      </c>
      <c r="D386" s="30">
        <v>94.686894199392398</v>
      </c>
      <c r="E386" s="30">
        <v>6.5709226350022902</v>
      </c>
      <c r="F386" s="8" t="s">
        <v>2742</v>
      </c>
      <c r="G386" s="157">
        <v>10.484866377285901</v>
      </c>
      <c r="H386" s="30">
        <v>18.224425811501799</v>
      </c>
      <c r="I386" s="30">
        <v>10.484866377285901</v>
      </c>
      <c r="J386" s="8" t="s">
        <v>2742</v>
      </c>
      <c r="K386" s="158">
        <v>11.530851498750641</v>
      </c>
      <c r="L386" s="113">
        <v>9.1430848743021986</v>
      </c>
      <c r="M386" s="113">
        <v>12.521997373871066</v>
      </c>
      <c r="N386" s="13" t="s">
        <v>1499</v>
      </c>
      <c r="O386" s="157">
        <v>9.4754161919703801</v>
      </c>
      <c r="P386" s="30">
        <v>-83.150791474752097</v>
      </c>
      <c r="Q386" s="30">
        <v>9.4754161919703801</v>
      </c>
      <c r="R386" s="8" t="s">
        <v>2742</v>
      </c>
      <c r="S386" s="157">
        <v>9.2308543817726694</v>
      </c>
      <c r="T386" s="30">
        <v>74.072021024962197</v>
      </c>
      <c r="U386" s="30">
        <v>9.2308543817726694</v>
      </c>
      <c r="V386" s="8" t="s">
        <v>2742</v>
      </c>
      <c r="W386" s="157">
        <v>6.8460203974056002</v>
      </c>
      <c r="X386" s="30">
        <v>-9.0813409371996006</v>
      </c>
      <c r="Y386" s="30">
        <v>6.8460203974056002</v>
      </c>
      <c r="Z386" s="498" t="s">
        <v>2742</v>
      </c>
      <c r="AA386" s="157">
        <v>0.48605204146793102</v>
      </c>
      <c r="AB386" s="30">
        <v>8.3856877892797197</v>
      </c>
      <c r="AC386" s="30">
        <v>0.48605204146793102</v>
      </c>
      <c r="AD386" s="8" t="s">
        <v>2742</v>
      </c>
      <c r="AE386" s="157">
        <v>0.55166690780781402</v>
      </c>
      <c r="AF386" s="30">
        <v>6.2046795003217499</v>
      </c>
      <c r="AG386" s="30">
        <v>0.55166690780781402</v>
      </c>
      <c r="AH386" s="8" t="s">
        <v>2742</v>
      </c>
      <c r="AI386" s="157">
        <v>0.32145225127257698</v>
      </c>
      <c r="AJ386" s="30">
        <v>-2.1958580298107702</v>
      </c>
      <c r="AK386" s="30">
        <v>0.32145225127257698</v>
      </c>
      <c r="AL386" s="8" t="s">
        <v>2742</v>
      </c>
      <c r="AM386" s="157">
        <v>0.21209983093600901</v>
      </c>
      <c r="AN386" s="30">
        <v>-1.3304671831633368</v>
      </c>
      <c r="AO386" s="30">
        <v>0.21209983093600901</v>
      </c>
      <c r="AP386" s="8" t="s">
        <v>2742</v>
      </c>
      <c r="AQ386" s="157">
        <v>0.28635735307737997</v>
      </c>
      <c r="AR386" s="30">
        <v>-2.5399802564330098</v>
      </c>
      <c r="AS386" s="30">
        <v>0.28635735307737997</v>
      </c>
      <c r="AT386" s="8" t="s">
        <v>2742</v>
      </c>
      <c r="AU386" s="157">
        <v>0.48315251971162698</v>
      </c>
      <c r="AV386" s="30">
        <v>3.66345437017192</v>
      </c>
      <c r="AW386" s="30">
        <v>0.48315251971162698</v>
      </c>
      <c r="AX386" s="8" t="s">
        <v>2742</v>
      </c>
      <c r="AY386" s="157" t="s">
        <v>2855</v>
      </c>
      <c r="AZ386" s="30"/>
      <c r="BA386" s="30"/>
      <c r="BB386" s="101"/>
      <c r="BC386" s="157">
        <v>6</v>
      </c>
      <c r="BD386" s="30"/>
      <c r="BE386" s="30"/>
      <c r="BF386" s="277"/>
    </row>
    <row r="387" spans="1:58">
      <c r="A387" s="3"/>
      <c r="B387" s="171"/>
      <c r="C387" s="3"/>
      <c r="D387" s="206">
        <v>95.314065814702502</v>
      </c>
      <c r="E387" s="206">
        <v>6.8019375647162388</v>
      </c>
      <c r="F387" s="206" t="s">
        <v>558</v>
      </c>
      <c r="G387" s="3"/>
      <c r="H387" s="206" t="s">
        <v>2855</v>
      </c>
      <c r="I387" s="206" t="s">
        <v>2855</v>
      </c>
      <c r="J387" s="206" t="s">
        <v>558</v>
      </c>
      <c r="K387" s="353"/>
      <c r="L387" s="344">
        <v>5.7726576913842678</v>
      </c>
      <c r="M387" s="344">
        <v>8.3010842528858859</v>
      </c>
      <c r="N387" s="206" t="s">
        <v>1124</v>
      </c>
      <c r="O387" s="3"/>
      <c r="P387" s="206" t="s">
        <v>2855</v>
      </c>
      <c r="Q387" s="206" t="s">
        <v>2855</v>
      </c>
      <c r="R387" s="206" t="s">
        <v>558</v>
      </c>
      <c r="S387" s="3"/>
      <c r="T387" s="206" t="s">
        <v>2855</v>
      </c>
      <c r="U387" s="206" t="s">
        <v>2855</v>
      </c>
      <c r="V387" s="206" t="s">
        <v>558</v>
      </c>
      <c r="W387" s="3"/>
      <c r="X387" s="206" t="s">
        <v>2855</v>
      </c>
      <c r="Y387" s="206" t="s">
        <v>2855</v>
      </c>
      <c r="Z387" s="350" t="s">
        <v>558</v>
      </c>
      <c r="AA387" s="4"/>
      <c r="AB387" s="206" t="s">
        <v>2855</v>
      </c>
      <c r="AC387" s="206" t="s">
        <v>2855</v>
      </c>
      <c r="AD387" s="206" t="s">
        <v>558</v>
      </c>
      <c r="AE387" s="3"/>
      <c r="AF387" s="206">
        <v>7.1088873708368627</v>
      </c>
      <c r="AG387" s="206">
        <v>1.9308638601859693</v>
      </c>
      <c r="AH387" s="206" t="s">
        <v>558</v>
      </c>
      <c r="AI387" s="3"/>
      <c r="AJ387" s="206" t="s">
        <v>2855</v>
      </c>
      <c r="AK387" s="206" t="s">
        <v>2855</v>
      </c>
      <c r="AL387" s="206" t="s">
        <v>558</v>
      </c>
      <c r="AM387" s="3"/>
      <c r="AN387" s="206">
        <v>-1.2839966563652008</v>
      </c>
      <c r="AO387" s="206">
        <v>0.20372452829541232</v>
      </c>
      <c r="AP387" s="206" t="s">
        <v>558</v>
      </c>
      <c r="AQ387" s="3"/>
      <c r="AR387" s="206">
        <v>-1.2839966563652008</v>
      </c>
      <c r="AS387" s="206">
        <v>0.20372452829541232</v>
      </c>
      <c r="AT387" s="206" t="s">
        <v>558</v>
      </c>
      <c r="AU387" s="3"/>
      <c r="AV387" s="206" t="s">
        <v>2855</v>
      </c>
      <c r="AW387" s="206" t="s">
        <v>2855</v>
      </c>
      <c r="AX387" s="206" t="s">
        <v>558</v>
      </c>
      <c r="AY387" s="3"/>
      <c r="AZ387" s="52"/>
      <c r="BA387" s="52"/>
      <c r="BB387" s="52"/>
      <c r="BC387" s="3"/>
      <c r="BF387" s="42"/>
    </row>
    <row r="388" spans="1:58">
      <c r="A388" s="3"/>
      <c r="B388" s="171"/>
      <c r="C388" s="3"/>
      <c r="D388" s="176">
        <v>83.356462786000009</v>
      </c>
      <c r="E388" s="176">
        <v>14.881545944721795</v>
      </c>
      <c r="F388" s="206" t="s">
        <v>1124</v>
      </c>
      <c r="G388" s="3"/>
      <c r="H388" s="176">
        <v>13.321313130624034</v>
      </c>
      <c r="I388" s="176">
        <v>18.686871633376782</v>
      </c>
      <c r="J388" s="206" t="s">
        <v>1124</v>
      </c>
      <c r="K388" s="353"/>
      <c r="L388" s="206"/>
      <c r="M388" s="206"/>
      <c r="N388" s="206"/>
      <c r="O388" s="3"/>
      <c r="P388" s="178">
        <v>-77.583805094615741</v>
      </c>
      <c r="Q388" s="178">
        <v>12.882868419766039</v>
      </c>
      <c r="R388" s="206" t="s">
        <v>1124</v>
      </c>
      <c r="S388" s="3"/>
      <c r="T388" s="178">
        <v>77.906984800000004</v>
      </c>
      <c r="U388" s="178">
        <v>14.605144533471201</v>
      </c>
      <c r="V388" s="206" t="s">
        <v>1124</v>
      </c>
      <c r="W388" s="3"/>
      <c r="X388" s="178">
        <v>-10.924632000000004</v>
      </c>
      <c r="Y388" s="178">
        <v>4.4814276808261342</v>
      </c>
      <c r="Z388" s="350" t="s">
        <v>1124</v>
      </c>
      <c r="AA388" s="4"/>
      <c r="AB388" s="178">
        <v>8.2228855706999919</v>
      </c>
      <c r="AC388" s="178">
        <v>0.67428483968297004</v>
      </c>
      <c r="AD388" s="206" t="s">
        <v>1124</v>
      </c>
      <c r="AE388" s="3"/>
      <c r="AF388" s="178">
        <v>6.0957618800000004</v>
      </c>
      <c r="AG388" s="178">
        <v>0.90436723251679996</v>
      </c>
      <c r="AH388" s="206" t="s">
        <v>1124</v>
      </c>
      <c r="AI388" s="3"/>
      <c r="AJ388" s="178">
        <v>-2.5275280000000002</v>
      </c>
      <c r="AK388" s="178">
        <v>0.53196376310400006</v>
      </c>
      <c r="AL388" s="206" t="s">
        <v>1124</v>
      </c>
      <c r="AM388" s="3"/>
      <c r="AN388" s="178">
        <v>-1.5211096199999998</v>
      </c>
      <c r="AO388" s="178">
        <v>0.32797861404515999</v>
      </c>
      <c r="AP388" s="206" t="s">
        <v>1124</v>
      </c>
      <c r="AQ388" s="3"/>
      <c r="AR388" s="178">
        <v>-1.5211096199999998</v>
      </c>
      <c r="AS388" s="178">
        <v>0.32797861404515999</v>
      </c>
      <c r="AT388" s="206" t="s">
        <v>1124</v>
      </c>
      <c r="AU388" s="3"/>
      <c r="AV388" s="178">
        <v>3.7626205999999982</v>
      </c>
      <c r="AW388" s="178">
        <v>0.68002218365859968</v>
      </c>
      <c r="AX388" s="206" t="s">
        <v>1124</v>
      </c>
      <c r="AY388" s="3"/>
      <c r="AZ388" s="178"/>
      <c r="BA388" s="178"/>
      <c r="BB388" s="206"/>
      <c r="BC388" s="3"/>
      <c r="BD388" s="178"/>
      <c r="BE388" s="178"/>
      <c r="BF388" s="350"/>
    </row>
    <row r="389" spans="1:58">
      <c r="A389" s="3"/>
      <c r="B389" s="171"/>
      <c r="C389" s="3"/>
      <c r="D389" s="4"/>
      <c r="E389" s="4"/>
      <c r="F389" s="4"/>
      <c r="G389" s="3"/>
      <c r="H389" s="4"/>
      <c r="I389" s="4"/>
      <c r="J389" s="4"/>
      <c r="K389" s="3"/>
      <c r="L389" s="4"/>
      <c r="M389" s="4"/>
      <c r="N389" s="4"/>
      <c r="O389" s="3"/>
      <c r="P389" s="4"/>
      <c r="Q389" s="4"/>
      <c r="R389" s="4"/>
      <c r="S389" s="3"/>
      <c r="T389" s="4"/>
      <c r="U389" s="4"/>
      <c r="V389" s="4"/>
      <c r="W389" s="3"/>
      <c r="X389" s="4"/>
      <c r="Y389" s="4"/>
      <c r="Z389" s="122"/>
      <c r="AA389" s="4"/>
      <c r="AB389" s="9"/>
      <c r="AC389" s="9"/>
      <c r="AD389" s="4"/>
      <c r="AE389" s="3"/>
      <c r="AF389" s="9"/>
      <c r="AG389" s="9"/>
      <c r="AH389" s="4"/>
      <c r="AI389" s="3"/>
      <c r="AJ389" s="9"/>
      <c r="AK389" s="9"/>
      <c r="AL389" s="4"/>
      <c r="AM389" s="3"/>
      <c r="AN389" s="9"/>
      <c r="AO389" s="9"/>
      <c r="AP389" s="4"/>
      <c r="AQ389" s="3"/>
      <c r="AR389" s="9"/>
      <c r="AS389" s="9"/>
      <c r="AT389" s="4"/>
      <c r="AU389" s="3"/>
      <c r="AV389" s="9"/>
      <c r="AW389" s="9"/>
      <c r="AX389" s="4"/>
      <c r="AY389" s="3"/>
      <c r="AZ389" s="9"/>
      <c r="BA389" s="9"/>
      <c r="BB389" s="4"/>
      <c r="BC389" s="3"/>
      <c r="BD389" s="9"/>
      <c r="BE389" s="9"/>
      <c r="BF389" s="122"/>
    </row>
    <row r="390" spans="1:58">
      <c r="A390" s="3" t="s">
        <v>483</v>
      </c>
      <c r="B390" s="4" t="s">
        <v>484</v>
      </c>
      <c r="C390" s="157">
        <v>111.51686710632501</v>
      </c>
      <c r="D390" s="30" t="s">
        <v>2855</v>
      </c>
      <c r="E390" s="30" t="s">
        <v>2855</v>
      </c>
      <c r="F390" s="30" t="s">
        <v>2743</v>
      </c>
      <c r="G390" s="157">
        <v>3.6779921852220001</v>
      </c>
      <c r="H390" s="30" t="s">
        <v>2855</v>
      </c>
      <c r="I390" s="30" t="s">
        <v>2855</v>
      </c>
      <c r="J390" s="30" t="s">
        <v>2743</v>
      </c>
      <c r="K390" s="157">
        <v>7.1069503950240058</v>
      </c>
      <c r="L390" s="113">
        <v>7.1069503950240058</v>
      </c>
      <c r="M390" s="30">
        <v>16.226183884704167</v>
      </c>
      <c r="N390" s="355" t="s">
        <v>1498</v>
      </c>
      <c r="O390" s="157">
        <v>-102.018916711301</v>
      </c>
      <c r="P390" s="30" t="s">
        <v>2855</v>
      </c>
      <c r="Q390" s="30" t="s">
        <v>2855</v>
      </c>
      <c r="R390" s="30" t="s">
        <v>2743</v>
      </c>
      <c r="S390" s="157">
        <v>105.448602837785</v>
      </c>
      <c r="T390" s="30" t="s">
        <v>2855</v>
      </c>
      <c r="U390" s="30" t="s">
        <v>2855</v>
      </c>
      <c r="V390" s="30" t="s">
        <v>2743</v>
      </c>
      <c r="W390" s="157">
        <v>3.4290829589706</v>
      </c>
      <c r="X390" s="30" t="s">
        <v>2855</v>
      </c>
      <c r="Y390" s="30" t="s">
        <v>2855</v>
      </c>
      <c r="Z390" s="300" t="s">
        <v>2743</v>
      </c>
      <c r="AA390" s="157">
        <v>10.958816729985999</v>
      </c>
      <c r="AB390" s="30" t="s">
        <v>2855</v>
      </c>
      <c r="AC390" s="30" t="s">
        <v>2855</v>
      </c>
      <c r="AD390" s="30" t="s">
        <v>2743</v>
      </c>
      <c r="AE390" s="157">
        <v>5.4403884274187897</v>
      </c>
      <c r="AF390" s="30" t="s">
        <v>2855</v>
      </c>
      <c r="AG390" s="30" t="s">
        <v>2855</v>
      </c>
      <c r="AH390" s="30" t="s">
        <v>2743</v>
      </c>
      <c r="AI390" s="157">
        <v>-5.5203400845584998</v>
      </c>
      <c r="AJ390" s="30" t="s">
        <v>2855</v>
      </c>
      <c r="AK390" s="30" t="s">
        <v>2855</v>
      </c>
      <c r="AL390" s="30" t="s">
        <v>2743</v>
      </c>
      <c r="AM390" s="157">
        <v>-5.5292734326775284</v>
      </c>
      <c r="AN390" s="30" t="s">
        <v>2855</v>
      </c>
      <c r="AO390" s="30" t="s">
        <v>2855</v>
      </c>
      <c r="AP390" s="30" t="s">
        <v>2743</v>
      </c>
      <c r="AQ390" s="157">
        <v>-3.40737370662668</v>
      </c>
      <c r="AR390" s="30" t="s">
        <v>2855</v>
      </c>
      <c r="AS390" s="30" t="s">
        <v>2855</v>
      </c>
      <c r="AT390" s="30" t="s">
        <v>2743</v>
      </c>
      <c r="AU390" s="157">
        <v>2.0339710010667602</v>
      </c>
      <c r="AV390" s="30" t="s">
        <v>2855</v>
      </c>
      <c r="AW390" s="30" t="s">
        <v>2855</v>
      </c>
      <c r="AX390" s="30" t="s">
        <v>2743</v>
      </c>
      <c r="AY390" s="157" t="s">
        <v>2855</v>
      </c>
      <c r="AZ390" s="30" t="s">
        <v>2855</v>
      </c>
      <c r="BA390" s="30" t="s">
        <v>2855</v>
      </c>
      <c r="BB390" s="30" t="s">
        <v>558</v>
      </c>
      <c r="BC390" s="157">
        <v>39.783333333333331</v>
      </c>
      <c r="BD390" s="30">
        <v>39.783333333333331</v>
      </c>
      <c r="BE390" s="30">
        <v>68.339020088575069</v>
      </c>
      <c r="BF390" s="300" t="s">
        <v>558</v>
      </c>
    </row>
    <row r="391" spans="1:58">
      <c r="A391" s="3"/>
      <c r="B391" s="171">
        <v>310.39299999999997</v>
      </c>
      <c r="C391" s="157">
        <v>11.604788348602501</v>
      </c>
      <c r="D391" s="30">
        <v>111.51686710632501</v>
      </c>
      <c r="E391" s="30">
        <v>11.604788348602501</v>
      </c>
      <c r="F391" s="8" t="s">
        <v>2742</v>
      </c>
      <c r="G391" s="157">
        <v>5.6707803185176102</v>
      </c>
      <c r="H391" s="30">
        <v>3.6779921852220001</v>
      </c>
      <c r="I391" s="30">
        <v>5.6707803185176102</v>
      </c>
      <c r="J391" s="8" t="s">
        <v>2742</v>
      </c>
      <c r="K391" s="158">
        <v>16.226183884704167</v>
      </c>
      <c r="L391" s="113">
        <v>7.1070751441926001</v>
      </c>
      <c r="M391" s="113">
        <v>8.0077535056764688</v>
      </c>
      <c r="N391" s="13" t="s">
        <v>1499</v>
      </c>
      <c r="O391" s="157">
        <v>11.340984562390201</v>
      </c>
      <c r="P391" s="30">
        <v>-102.018916711301</v>
      </c>
      <c r="Q391" s="30">
        <v>11.340984562390201</v>
      </c>
      <c r="R391" s="8" t="s">
        <v>2742</v>
      </c>
      <c r="S391" s="157">
        <v>11.1614642917094</v>
      </c>
      <c r="T391" s="30">
        <v>105.448602837785</v>
      </c>
      <c r="U391" s="30">
        <v>11.1614642917094</v>
      </c>
      <c r="V391" s="8" t="s">
        <v>2742</v>
      </c>
      <c r="W391" s="157">
        <v>5.6538806838124103</v>
      </c>
      <c r="X391" s="30">
        <v>3.4290829589706</v>
      </c>
      <c r="Y391" s="30">
        <v>5.6538806838124103</v>
      </c>
      <c r="Z391" s="498" t="s">
        <v>2742</v>
      </c>
      <c r="AA391" s="157">
        <v>1.16662316583126</v>
      </c>
      <c r="AB391" s="30">
        <v>10.958816729985999</v>
      </c>
      <c r="AC391" s="30">
        <v>1.16662316583126</v>
      </c>
      <c r="AD391" s="8" t="s">
        <v>2742</v>
      </c>
      <c r="AE391" s="157">
        <v>1.1889174825195099</v>
      </c>
      <c r="AF391" s="30">
        <v>5.4403884274187897</v>
      </c>
      <c r="AG391" s="30">
        <v>1.1889174825195099</v>
      </c>
      <c r="AH391" s="8" t="s">
        <v>2742</v>
      </c>
      <c r="AI391" s="157">
        <v>1.17651571823964</v>
      </c>
      <c r="AJ391" s="30">
        <v>-5.5203400845584998</v>
      </c>
      <c r="AK391" s="30">
        <v>1.17651571823964</v>
      </c>
      <c r="AL391" s="8" t="s">
        <v>2742</v>
      </c>
      <c r="AM391" s="157">
        <v>0.91925445510707504</v>
      </c>
      <c r="AN391" s="30">
        <v>-5.5292734326775284</v>
      </c>
      <c r="AO391" s="30">
        <v>0.91925445510707504</v>
      </c>
      <c r="AP391" s="8" t="s">
        <v>2742</v>
      </c>
      <c r="AQ391" s="157">
        <v>0.93412129268558697</v>
      </c>
      <c r="AR391" s="30">
        <v>-3.40737370662668</v>
      </c>
      <c r="AS391" s="30">
        <v>0.93412129268558697</v>
      </c>
      <c r="AT391" s="8" t="s">
        <v>2742</v>
      </c>
      <c r="AU391" s="157">
        <v>0.92231405961486101</v>
      </c>
      <c r="AV391" s="30">
        <v>2.0339710010667602</v>
      </c>
      <c r="AW391" s="30">
        <v>0.92231405961486101</v>
      </c>
      <c r="AX391" s="8" t="s">
        <v>2742</v>
      </c>
      <c r="AY391" s="157" t="s">
        <v>2855</v>
      </c>
      <c r="AZ391" s="30"/>
      <c r="BA391" s="30"/>
      <c r="BB391" s="101"/>
      <c r="BC391" s="157">
        <v>68.339020088575069</v>
      </c>
      <c r="BD391" s="30"/>
      <c r="BE391" s="30"/>
      <c r="BF391" s="277"/>
    </row>
    <row r="392" spans="1:58">
      <c r="A392" s="3"/>
      <c r="B392" s="171"/>
      <c r="C392" s="3"/>
      <c r="D392" s="206" t="s">
        <v>2855</v>
      </c>
      <c r="E392" s="206" t="s">
        <v>2855</v>
      </c>
      <c r="F392" s="206" t="s">
        <v>558</v>
      </c>
      <c r="G392" s="3"/>
      <c r="H392" s="206" t="s">
        <v>2855</v>
      </c>
      <c r="I392" s="206" t="s">
        <v>2855</v>
      </c>
      <c r="J392" s="206" t="s">
        <v>558</v>
      </c>
      <c r="K392" s="353"/>
      <c r="L392" s="344">
        <v>9.5164892389438762</v>
      </c>
      <c r="M392" s="344">
        <v>13.684715634890122</v>
      </c>
      <c r="N392" s="206" t="s">
        <v>1124</v>
      </c>
      <c r="O392" s="3"/>
      <c r="P392" s="206" t="s">
        <v>2855</v>
      </c>
      <c r="Q392" s="206" t="s">
        <v>2855</v>
      </c>
      <c r="R392" s="206" t="s">
        <v>558</v>
      </c>
      <c r="S392" s="3"/>
      <c r="T392" s="206" t="s">
        <v>2855</v>
      </c>
      <c r="U392" s="206" t="s">
        <v>2855</v>
      </c>
      <c r="V392" s="206" t="s">
        <v>558</v>
      </c>
      <c r="W392" s="3"/>
      <c r="X392" s="206" t="s">
        <v>2855</v>
      </c>
      <c r="Y392" s="206" t="s">
        <v>2855</v>
      </c>
      <c r="Z392" s="350" t="s">
        <v>558</v>
      </c>
      <c r="AA392" s="4"/>
      <c r="AB392" s="206" t="s">
        <v>2855</v>
      </c>
      <c r="AC392" s="206" t="s">
        <v>2855</v>
      </c>
      <c r="AD392" s="206" t="s">
        <v>558</v>
      </c>
      <c r="AE392" s="3"/>
      <c r="AF392" s="206" t="s">
        <v>2855</v>
      </c>
      <c r="AG392" s="206" t="s">
        <v>2855</v>
      </c>
      <c r="AH392" s="206" t="s">
        <v>558</v>
      </c>
      <c r="AI392" s="3"/>
      <c r="AJ392" s="206" t="s">
        <v>2855</v>
      </c>
      <c r="AK392" s="206" t="s">
        <v>2855</v>
      </c>
      <c r="AL392" s="206" t="s">
        <v>558</v>
      </c>
      <c r="AM392" s="3"/>
      <c r="AN392" s="206">
        <v>-4.8499999999999996</v>
      </c>
      <c r="AO392" s="206">
        <v>0.76952222370251988</v>
      </c>
      <c r="AP392" s="206" t="s">
        <v>558</v>
      </c>
      <c r="AQ392" s="3"/>
      <c r="AR392" s="206">
        <v>-4.8499999999999996</v>
      </c>
      <c r="AS392" s="206">
        <v>0.76952222370251988</v>
      </c>
      <c r="AT392" s="206" t="s">
        <v>558</v>
      </c>
      <c r="AU392" s="3"/>
      <c r="AV392" s="206">
        <v>2.0133316945093855</v>
      </c>
      <c r="AW392" s="206">
        <v>0.40266633890187714</v>
      </c>
      <c r="AX392" s="206" t="s">
        <v>558</v>
      </c>
      <c r="AY392" s="3"/>
      <c r="AZ392" s="52"/>
      <c r="BA392" s="52"/>
      <c r="BB392" s="52"/>
      <c r="BC392" s="3"/>
      <c r="BF392" s="42"/>
    </row>
    <row r="393" spans="1:58">
      <c r="A393" s="3"/>
      <c r="B393" s="171"/>
      <c r="C393" s="3"/>
      <c r="D393" s="176">
        <v>109.20942995680001</v>
      </c>
      <c r="E393" s="176">
        <v>19.497050320757548</v>
      </c>
      <c r="F393" s="206" t="s">
        <v>1124</v>
      </c>
      <c r="G393" s="3"/>
      <c r="H393" s="176">
        <v>3.8691312060082481</v>
      </c>
      <c r="I393" s="176">
        <v>5.4275398731642497</v>
      </c>
      <c r="J393" s="206" t="s">
        <v>1124</v>
      </c>
      <c r="K393" s="353"/>
      <c r="L393" s="206"/>
      <c r="M393" s="206"/>
      <c r="N393" s="206"/>
      <c r="O393" s="3"/>
      <c r="P393" s="178">
        <v>-99.692940717856132</v>
      </c>
      <c r="Q393" s="178">
        <v>16.554112499140729</v>
      </c>
      <c r="R393" s="206" t="s">
        <v>1124</v>
      </c>
      <c r="S393" s="3"/>
      <c r="T393" s="178">
        <v>111.53555650000001</v>
      </c>
      <c r="U393" s="178">
        <v>20.909459241498503</v>
      </c>
      <c r="V393" s="206" t="s">
        <v>1124</v>
      </c>
      <c r="W393" s="3"/>
      <c r="X393" s="178">
        <v>3.0459800000000197</v>
      </c>
      <c r="Y393" s="178">
        <v>1.2495010438102512</v>
      </c>
      <c r="Z393" s="350" t="s">
        <v>1124</v>
      </c>
      <c r="AA393" s="4"/>
      <c r="AB393" s="178">
        <v>11.674199918450622</v>
      </c>
      <c r="AC393" s="178">
        <v>0.95729606751286955</v>
      </c>
      <c r="AD393" s="206" t="s">
        <v>1124</v>
      </c>
      <c r="AE393" s="3"/>
      <c r="AF393" s="178">
        <v>4.7695797400000002</v>
      </c>
      <c r="AG393" s="178">
        <v>0.70761485022640003</v>
      </c>
      <c r="AH393" s="206" t="s">
        <v>1124</v>
      </c>
      <c r="AI393" s="3"/>
      <c r="AJ393" s="178">
        <v>-7.4751449999999995</v>
      </c>
      <c r="AK393" s="178">
        <v>1.5732788178599999</v>
      </c>
      <c r="AL393" s="206" t="s">
        <v>1124</v>
      </c>
      <c r="AM393" s="3"/>
      <c r="AN393" s="178">
        <v>-5.2016836299999998</v>
      </c>
      <c r="AO393" s="178">
        <v>1.12157662093334</v>
      </c>
      <c r="AP393" s="206" t="s">
        <v>1124</v>
      </c>
      <c r="AQ393" s="3"/>
      <c r="AR393" s="178">
        <v>-5.2016836299999998</v>
      </c>
      <c r="AS393" s="178">
        <v>1.12157662093334</v>
      </c>
      <c r="AT393" s="206" t="s">
        <v>1124</v>
      </c>
      <c r="AU393" s="3"/>
      <c r="AV393" s="178">
        <v>2.2989564999999992</v>
      </c>
      <c r="AW393" s="178">
        <v>0.41549270720149983</v>
      </c>
      <c r="AX393" s="206" t="s">
        <v>1124</v>
      </c>
      <c r="AY393" s="3"/>
      <c r="AZ393" s="178"/>
      <c r="BA393" s="178"/>
      <c r="BB393" s="206"/>
      <c r="BC393" s="3"/>
      <c r="BD393" s="178"/>
      <c r="BE393" s="178"/>
      <c r="BF393" s="350"/>
    </row>
    <row r="394" spans="1:58">
      <c r="A394" s="3"/>
      <c r="B394" s="171"/>
      <c r="C394" s="3"/>
      <c r="D394" s="4"/>
      <c r="E394" s="4"/>
      <c r="F394" s="4"/>
      <c r="G394" s="3"/>
      <c r="H394" s="4"/>
      <c r="I394" s="4"/>
      <c r="J394" s="4"/>
      <c r="K394" s="3"/>
      <c r="L394" s="4"/>
      <c r="M394" s="4"/>
      <c r="N394" s="4"/>
      <c r="O394" s="115"/>
      <c r="P394" s="4"/>
      <c r="Q394" s="4"/>
      <c r="R394" s="4"/>
      <c r="S394" s="3"/>
      <c r="T394" s="4"/>
      <c r="U394" s="4"/>
      <c r="V394" s="4"/>
      <c r="W394" s="3"/>
      <c r="X394" s="4"/>
      <c r="Y394" s="4"/>
      <c r="Z394" s="122"/>
      <c r="AA394" s="4"/>
      <c r="AB394" s="9"/>
      <c r="AC394" s="9"/>
      <c r="AD394" s="4"/>
      <c r="AE394" s="3"/>
      <c r="AF394" s="9"/>
      <c r="AG394" s="9"/>
      <c r="AH394" s="4"/>
      <c r="AI394" s="3"/>
      <c r="AJ394" s="9"/>
      <c r="AK394" s="9"/>
      <c r="AL394" s="4"/>
      <c r="AM394" s="3"/>
      <c r="AN394" s="9"/>
      <c r="AO394" s="9"/>
      <c r="AP394" s="4"/>
      <c r="AQ394" s="3"/>
      <c r="AR394" s="9"/>
      <c r="AS394" s="9"/>
      <c r="AT394" s="4"/>
      <c r="AU394" s="3"/>
      <c r="AV394" s="9"/>
      <c r="AW394" s="9"/>
      <c r="AX394" s="4"/>
      <c r="AY394" s="3"/>
      <c r="AZ394" s="9"/>
      <c r="BA394" s="9"/>
      <c r="BB394" s="4"/>
      <c r="BC394" s="3"/>
      <c r="BD394" s="9"/>
      <c r="BE394" s="9"/>
      <c r="BF394" s="122"/>
    </row>
    <row r="395" spans="1:58">
      <c r="A395" s="3" t="s">
        <v>146</v>
      </c>
      <c r="B395" s="4" t="s">
        <v>147</v>
      </c>
      <c r="C395" s="157">
        <v>110.01124850868401</v>
      </c>
      <c r="D395" s="30" t="s">
        <v>2855</v>
      </c>
      <c r="E395" s="30" t="s">
        <v>2855</v>
      </c>
      <c r="F395" s="30" t="s">
        <v>2743</v>
      </c>
      <c r="G395" s="157">
        <v>6.6402957346011204</v>
      </c>
      <c r="H395" s="30" t="s">
        <v>2855</v>
      </c>
      <c r="I395" s="30" t="s">
        <v>2855</v>
      </c>
      <c r="J395" s="30" t="s">
        <v>2743</v>
      </c>
      <c r="K395" s="157">
        <v>8.5462404113228043</v>
      </c>
      <c r="L395" s="113">
        <v>8.5462404113228043</v>
      </c>
      <c r="M395" s="30">
        <v>13.288747594908275</v>
      </c>
      <c r="N395" s="355" t="s">
        <v>1498</v>
      </c>
      <c r="O395" s="157">
        <v>-99.074008097361201</v>
      </c>
      <c r="P395" s="30" t="s">
        <v>2855</v>
      </c>
      <c r="Q395" s="30" t="s">
        <v>2855</v>
      </c>
      <c r="R395" s="30" t="s">
        <v>2743</v>
      </c>
      <c r="S395" s="157">
        <v>100.978929780344</v>
      </c>
      <c r="T395" s="30" t="s">
        <v>2855</v>
      </c>
      <c r="U395" s="30" t="s">
        <v>2855</v>
      </c>
      <c r="V395" s="30" t="s">
        <v>2743</v>
      </c>
      <c r="W395" s="157">
        <v>1.90512252740347</v>
      </c>
      <c r="X395" s="30" t="s">
        <v>2855</v>
      </c>
      <c r="Y395" s="30" t="s">
        <v>2855</v>
      </c>
      <c r="Z395" s="300" t="s">
        <v>2743</v>
      </c>
      <c r="AA395" s="157">
        <v>10.5540813721713</v>
      </c>
      <c r="AB395" s="30">
        <v>10.436595899789999</v>
      </c>
      <c r="AC395" s="30">
        <v>1.1081223129261599</v>
      </c>
      <c r="AD395" s="30" t="s">
        <v>2743</v>
      </c>
      <c r="AE395" s="157">
        <v>6.7864012105711398</v>
      </c>
      <c r="AF395" s="30">
        <v>6.3598102806682801</v>
      </c>
      <c r="AG395" s="30">
        <v>1.20264602498466</v>
      </c>
      <c r="AH395" s="30" t="s">
        <v>2743</v>
      </c>
      <c r="AI395" s="157">
        <v>-3.7663472580760602</v>
      </c>
      <c r="AJ395" s="30">
        <v>-4.0774880073732103</v>
      </c>
      <c r="AK395" s="30">
        <v>1.0705923688952099</v>
      </c>
      <c r="AL395" s="30" t="s">
        <v>2743</v>
      </c>
      <c r="AM395" s="157">
        <v>-3.746959580047466</v>
      </c>
      <c r="AN395" s="30">
        <v>-4.0212337595904968</v>
      </c>
      <c r="AO395" s="30">
        <v>0.89363882465582201</v>
      </c>
      <c r="AP395" s="30" t="s">
        <v>2743</v>
      </c>
      <c r="AQ395" s="157">
        <v>-3.3733591581933902</v>
      </c>
      <c r="AR395" s="30">
        <v>-3.3377190855957202</v>
      </c>
      <c r="AS395" s="30">
        <v>0.72934621512998099</v>
      </c>
      <c r="AT395" s="30" t="s">
        <v>2743</v>
      </c>
      <c r="AU395" s="157">
        <v>3.4141040376454899</v>
      </c>
      <c r="AV395" s="30" t="s">
        <v>2855</v>
      </c>
      <c r="AW395" s="30" t="s">
        <v>2855</v>
      </c>
      <c r="AX395" s="30" t="s">
        <v>2743</v>
      </c>
      <c r="AY395" s="157" t="s">
        <v>2855</v>
      </c>
      <c r="AZ395" s="30" t="s">
        <v>2855</v>
      </c>
      <c r="BA395" s="30" t="s">
        <v>2855</v>
      </c>
      <c r="BB395" s="30" t="s">
        <v>558</v>
      </c>
      <c r="BC395" s="157">
        <v>-68.3</v>
      </c>
      <c r="BD395" s="30">
        <v>-68.3</v>
      </c>
      <c r="BE395" s="30">
        <v>3.1531184839764772</v>
      </c>
      <c r="BF395" s="300" t="s">
        <v>558</v>
      </c>
    </row>
    <row r="396" spans="1:58">
      <c r="A396" s="3"/>
      <c r="B396" s="171">
        <v>290.40300000000002</v>
      </c>
      <c r="C396" s="157">
        <v>8.50507531002728</v>
      </c>
      <c r="D396" s="30">
        <v>110.01124850868401</v>
      </c>
      <c r="E396" s="30">
        <v>8.50507531002728</v>
      </c>
      <c r="F396" s="8" t="s">
        <v>2742</v>
      </c>
      <c r="G396" s="157">
        <v>7.5627456736471403</v>
      </c>
      <c r="H396" s="30">
        <v>6.6402957346011204</v>
      </c>
      <c r="I396" s="30">
        <v>7.5627456736471403</v>
      </c>
      <c r="J396" s="8" t="s">
        <v>2742</v>
      </c>
      <c r="K396" s="158">
        <v>13.288747594908275</v>
      </c>
      <c r="L396" s="113">
        <v>8.5454182620045902</v>
      </c>
      <c r="M396" s="113">
        <v>9.1231736037794668</v>
      </c>
      <c r="N396" s="13" t="s">
        <v>1499</v>
      </c>
      <c r="O396" s="157">
        <v>10.210509615682501</v>
      </c>
      <c r="P396" s="30">
        <v>-99.074008097361201</v>
      </c>
      <c r="Q396" s="30">
        <v>10.210509615682501</v>
      </c>
      <c r="R396" s="8" t="s">
        <v>2742</v>
      </c>
      <c r="S396" s="157">
        <v>9.4614785991422394</v>
      </c>
      <c r="T396" s="30">
        <v>100.978929780344</v>
      </c>
      <c r="U396" s="30">
        <v>9.4614785991422394</v>
      </c>
      <c r="V396" s="8" t="s">
        <v>2742</v>
      </c>
      <c r="W396" s="157">
        <v>5.1026634692511204</v>
      </c>
      <c r="X396" s="30">
        <v>1.90512252740347</v>
      </c>
      <c r="Y396" s="30">
        <v>5.1026634692511204</v>
      </c>
      <c r="Z396" s="498" t="s">
        <v>2742</v>
      </c>
      <c r="AA396" s="157">
        <v>0.740868221569282</v>
      </c>
      <c r="AB396" s="30">
        <v>10.5540813721713</v>
      </c>
      <c r="AC396" s="30">
        <v>0.740868221569282</v>
      </c>
      <c r="AD396" s="8" t="s">
        <v>2742</v>
      </c>
      <c r="AE396" s="157">
        <v>0.72838088225249398</v>
      </c>
      <c r="AF396" s="30">
        <v>6.7864012105711398</v>
      </c>
      <c r="AG396" s="30">
        <v>0.72838088225249398</v>
      </c>
      <c r="AH396" s="8" t="s">
        <v>2742</v>
      </c>
      <c r="AI396" s="157">
        <v>0.61556305585451299</v>
      </c>
      <c r="AJ396" s="30">
        <v>-3.7663472580760602</v>
      </c>
      <c r="AK396" s="30">
        <v>0.61556305585451299</v>
      </c>
      <c r="AL396" s="8" t="s">
        <v>2742</v>
      </c>
      <c r="AM396" s="157">
        <v>0.64615953734508302</v>
      </c>
      <c r="AN396" s="30">
        <v>-3.746959580047466</v>
      </c>
      <c r="AO396" s="30">
        <v>0.64615953734508302</v>
      </c>
      <c r="AP396" s="8" t="s">
        <v>2742</v>
      </c>
      <c r="AQ396" s="157">
        <v>0.60024149307383501</v>
      </c>
      <c r="AR396" s="30">
        <v>-3.3733591581933902</v>
      </c>
      <c r="AS396" s="30">
        <v>0.60024149307383501</v>
      </c>
      <c r="AT396" s="8" t="s">
        <v>2742</v>
      </c>
      <c r="AU396" s="157">
        <v>0.56122893731835199</v>
      </c>
      <c r="AV396" s="30">
        <v>3.4141040376454899</v>
      </c>
      <c r="AW396" s="30">
        <v>0.56122893731835199</v>
      </c>
      <c r="AX396" s="8" t="s">
        <v>2742</v>
      </c>
      <c r="AY396" s="157" t="s">
        <v>2855</v>
      </c>
      <c r="AZ396" s="30"/>
      <c r="BA396" s="30"/>
      <c r="BB396" s="101"/>
      <c r="BC396" s="157">
        <v>3.1531184839764772</v>
      </c>
      <c r="BD396" s="30"/>
      <c r="BE396" s="30"/>
      <c r="BF396" s="277"/>
    </row>
    <row r="397" spans="1:58">
      <c r="A397" s="3"/>
      <c r="B397" s="171"/>
      <c r="C397" s="3"/>
      <c r="D397" s="206">
        <v>110.96000000000001</v>
      </c>
      <c r="E397" s="206">
        <v>9.9560634791065876</v>
      </c>
      <c r="F397" s="206" t="s">
        <v>558</v>
      </c>
      <c r="G397" s="3"/>
      <c r="H397" s="206" t="s">
        <v>2855</v>
      </c>
      <c r="I397" s="206" t="s">
        <v>2855</v>
      </c>
      <c r="J397" s="206" t="s">
        <v>558</v>
      </c>
      <c r="K397" s="353"/>
      <c r="L397" s="344">
        <v>6.4736074288558285</v>
      </c>
      <c r="M397" s="344">
        <v>9.3090502780451523</v>
      </c>
      <c r="N397" s="206" t="s">
        <v>1124</v>
      </c>
      <c r="O397" s="3"/>
      <c r="P397" s="206">
        <v>-101.7366255</v>
      </c>
      <c r="Q397" s="206">
        <v>20.17145766310653</v>
      </c>
      <c r="R397" s="206" t="s">
        <v>558</v>
      </c>
      <c r="S397" s="3"/>
      <c r="T397" s="206" t="s">
        <v>2855</v>
      </c>
      <c r="U397" s="206" t="s">
        <v>2855</v>
      </c>
      <c r="V397" s="206" t="s">
        <v>558</v>
      </c>
      <c r="W397" s="3"/>
      <c r="X397" s="206" t="s">
        <v>2855</v>
      </c>
      <c r="Y397" s="206" t="s">
        <v>2855</v>
      </c>
      <c r="Z397" s="350" t="s">
        <v>558</v>
      </c>
      <c r="AA397" s="4"/>
      <c r="AB397" s="206">
        <v>10.330951337636964</v>
      </c>
      <c r="AC397" s="206">
        <v>1.3307061432192995</v>
      </c>
      <c r="AD397" s="206" t="s">
        <v>558</v>
      </c>
      <c r="AE397" s="3"/>
      <c r="AF397" s="206">
        <v>6.5230430873385377</v>
      </c>
      <c r="AG397" s="206">
        <v>1.2004508277538575</v>
      </c>
      <c r="AH397" s="206" t="s">
        <v>558</v>
      </c>
      <c r="AI397" s="3"/>
      <c r="AJ397" s="206" t="s">
        <v>2855</v>
      </c>
      <c r="AK397" s="206" t="s">
        <v>2855</v>
      </c>
      <c r="AL397" s="206" t="s">
        <v>558</v>
      </c>
      <c r="AM397" s="3"/>
      <c r="AN397" s="206">
        <v>-4.0845351391156468</v>
      </c>
      <c r="AO397" s="206">
        <v>0.98176864457868018</v>
      </c>
      <c r="AP397" s="206" t="s">
        <v>558</v>
      </c>
      <c r="AQ397" s="3"/>
      <c r="AR397" s="206">
        <v>-4.0845351391156468</v>
      </c>
      <c r="AS397" s="206">
        <v>0.98176864457868018</v>
      </c>
      <c r="AT397" s="206" t="s">
        <v>558</v>
      </c>
      <c r="AU397" s="3"/>
      <c r="AV397" s="206" t="s">
        <v>2855</v>
      </c>
      <c r="AW397" s="206" t="s">
        <v>2855</v>
      </c>
      <c r="AX397" s="206" t="s">
        <v>558</v>
      </c>
      <c r="AY397" s="3"/>
      <c r="AZ397" s="52"/>
      <c r="BA397" s="52"/>
      <c r="BB397" s="52"/>
      <c r="BC397" s="3"/>
      <c r="BF397" s="42"/>
    </row>
    <row r="398" spans="1:58">
      <c r="A398" s="58"/>
      <c r="B398" s="346"/>
      <c r="C398" s="58"/>
      <c r="D398" s="347">
        <v>104.04428743784001</v>
      </c>
      <c r="E398" s="347">
        <v>18.574922591990138</v>
      </c>
      <c r="F398" s="348" t="s">
        <v>1124</v>
      </c>
      <c r="G398" s="58"/>
      <c r="H398" s="347">
        <v>6.0135759891440017</v>
      </c>
      <c r="I398" s="347">
        <v>8.4357241260514222</v>
      </c>
      <c r="J398" s="348" t="s">
        <v>1124</v>
      </c>
      <c r="K398" s="354"/>
      <c r="L398" s="348"/>
      <c r="M398" s="348"/>
      <c r="N398" s="348"/>
      <c r="O398" s="58"/>
      <c r="P398" s="349">
        <v>-97.570680008984183</v>
      </c>
      <c r="Q398" s="349">
        <v>16.201708986171834</v>
      </c>
      <c r="R398" s="348" t="s">
        <v>1124</v>
      </c>
      <c r="S398" s="58"/>
      <c r="T398" s="349">
        <v>95.871147899999997</v>
      </c>
      <c r="U398" s="349">
        <v>17.972868225665099</v>
      </c>
      <c r="V398" s="348" t="s">
        <v>1124</v>
      </c>
      <c r="W398" s="58"/>
      <c r="X398" s="349">
        <v>2.0442639999999894</v>
      </c>
      <c r="Y398" s="349">
        <v>0.8385839702899196</v>
      </c>
      <c r="Z398" s="486" t="s">
        <v>1124</v>
      </c>
      <c r="AA398" s="59"/>
      <c r="AB398" s="349">
        <v>10.750580198896976</v>
      </c>
      <c r="AC398" s="349">
        <v>0.881558326889751</v>
      </c>
      <c r="AD398" s="348" t="s">
        <v>1124</v>
      </c>
      <c r="AE398" s="58"/>
      <c r="AF398" s="349">
        <v>6.27664913</v>
      </c>
      <c r="AG398" s="349">
        <v>0.93120366492679996</v>
      </c>
      <c r="AH398" s="348" t="s">
        <v>1124</v>
      </c>
      <c r="AI398" s="58"/>
      <c r="AJ398" s="349">
        <v>-3.6227189999999996</v>
      </c>
      <c r="AK398" s="349">
        <v>0.76246642249199992</v>
      </c>
      <c r="AL398" s="348" t="s">
        <v>1124</v>
      </c>
      <c r="AM398" s="58"/>
      <c r="AN398" s="349">
        <v>-3.9726426500000009</v>
      </c>
      <c r="AO398" s="349">
        <v>0.85657326290770019</v>
      </c>
      <c r="AP398" s="348" t="s">
        <v>1124</v>
      </c>
      <c r="AQ398" s="58"/>
      <c r="AR398" s="349">
        <v>-3.9726426500000009</v>
      </c>
      <c r="AS398" s="349">
        <v>0.85657326290770019</v>
      </c>
      <c r="AT398" s="348" t="s">
        <v>1124</v>
      </c>
      <c r="AU398" s="58"/>
      <c r="AV398" s="349">
        <v>3.5162542999999982</v>
      </c>
      <c r="AW398" s="349">
        <v>0.63549615589329966</v>
      </c>
      <c r="AX398" s="348" t="s">
        <v>1124</v>
      </c>
      <c r="AY398" s="58"/>
      <c r="AZ398" s="349"/>
      <c r="BA398" s="349"/>
      <c r="BB398" s="348"/>
      <c r="BC398" s="58"/>
      <c r="BD398" s="349"/>
      <c r="BE398" s="349"/>
      <c r="BF398" s="486"/>
    </row>
    <row r="399" spans="1:58">
      <c r="A399" s="25"/>
      <c r="B399" s="25"/>
      <c r="C399" s="91"/>
      <c r="D399" s="25"/>
      <c r="E399" s="25"/>
      <c r="F399" s="25"/>
      <c r="G399" s="4"/>
      <c r="H399" s="4"/>
      <c r="I399" s="4"/>
      <c r="J399" s="4"/>
      <c r="K399" s="4"/>
      <c r="L399" s="4"/>
      <c r="M399" s="4"/>
      <c r="N399" s="4"/>
      <c r="O399" s="4"/>
      <c r="P399" s="4"/>
      <c r="Q399" s="4"/>
      <c r="R399" s="4"/>
      <c r="S399" s="25"/>
      <c r="T399" s="25"/>
      <c r="U399" s="25"/>
      <c r="V399" s="4"/>
      <c r="W399" s="25"/>
      <c r="X399" s="4"/>
      <c r="Y399" s="4"/>
      <c r="Z399" s="4"/>
      <c r="AD399" s="52"/>
      <c r="AE399" s="52"/>
      <c r="AF399" s="52"/>
      <c r="AG399" s="52"/>
      <c r="AH399" s="52"/>
      <c r="AI399" s="52"/>
      <c r="AJ399" s="52"/>
      <c r="AK399" s="52"/>
      <c r="AL399" s="6"/>
      <c r="AM399" s="6"/>
      <c r="AN399" s="6"/>
      <c r="AO399" s="52"/>
      <c r="AP399" s="52"/>
      <c r="AQ399" s="52"/>
      <c r="AR399" s="52"/>
      <c r="AS399" s="52"/>
      <c r="AT399" s="52"/>
      <c r="AU399" s="52"/>
      <c r="AV399" s="52"/>
      <c r="AW399" s="52"/>
      <c r="AX399" s="52"/>
      <c r="AY399" s="52"/>
      <c r="AZ399" s="52"/>
      <c r="BA399" s="52"/>
      <c r="BB399" s="121"/>
      <c r="BC399" s="52"/>
      <c r="BD399" s="52"/>
      <c r="BE399" s="52"/>
      <c r="BF399" s="52"/>
    </row>
    <row r="400" spans="1:58">
      <c r="A400" s="27" t="s">
        <v>2877</v>
      </c>
      <c r="B400" s="25"/>
      <c r="C400" s="25"/>
      <c r="D400" s="25"/>
      <c r="E400" s="25"/>
      <c r="F400" s="25"/>
      <c r="G400" s="4"/>
      <c r="H400" s="4"/>
      <c r="I400" s="4"/>
      <c r="J400" s="4"/>
      <c r="K400" s="4"/>
      <c r="L400" s="4"/>
      <c r="M400" s="4"/>
      <c r="N400" s="4"/>
      <c r="O400" s="4"/>
      <c r="P400" s="4"/>
      <c r="Q400" s="4"/>
      <c r="R400" s="4"/>
      <c r="S400" s="25"/>
      <c r="T400" s="25"/>
      <c r="U400" s="25"/>
      <c r="V400" s="4"/>
      <c r="W400" s="25"/>
      <c r="X400" s="4"/>
      <c r="Y400" s="4"/>
      <c r="Z400" s="4"/>
      <c r="AL400" s="6"/>
      <c r="AM400" s="6"/>
      <c r="AN400" s="6"/>
      <c r="BB400" s="121"/>
    </row>
    <row r="401" spans="1:58">
      <c r="A401" s="27" t="s">
        <v>148</v>
      </c>
      <c r="B401" s="25"/>
      <c r="C401" s="25"/>
      <c r="D401" s="25"/>
      <c r="E401" s="25"/>
      <c r="F401" s="25"/>
      <c r="G401" s="4"/>
      <c r="H401" s="4"/>
      <c r="I401" s="4"/>
      <c r="J401" s="4"/>
      <c r="K401" s="4"/>
      <c r="L401" s="4"/>
      <c r="M401" s="4"/>
      <c r="N401" s="4"/>
      <c r="O401" s="4"/>
      <c r="P401" s="4"/>
      <c r="Q401" s="4"/>
      <c r="R401" s="4"/>
      <c r="S401" s="25"/>
      <c r="T401" s="25"/>
      <c r="U401" s="25"/>
      <c r="V401" s="4"/>
      <c r="W401" s="25"/>
      <c r="X401" s="4"/>
      <c r="Y401" s="4"/>
      <c r="Z401" s="4"/>
      <c r="AL401" s="6"/>
      <c r="AM401" s="6"/>
      <c r="AN401" s="6"/>
      <c r="BB401" s="121"/>
    </row>
    <row r="402" spans="1:58" s="40" customFormat="1">
      <c r="A402" s="1"/>
      <c r="B402" s="27"/>
      <c r="C402" s="27"/>
      <c r="D402" s="27"/>
      <c r="E402" s="27"/>
      <c r="F402" s="27"/>
      <c r="G402" s="9"/>
      <c r="H402" s="9"/>
      <c r="I402" s="9"/>
      <c r="J402" s="9"/>
      <c r="K402" s="9"/>
      <c r="L402" s="9"/>
      <c r="M402" s="9"/>
      <c r="N402" s="9"/>
      <c r="O402" s="9"/>
      <c r="P402" s="9"/>
      <c r="Q402" s="9"/>
      <c r="R402" s="9"/>
      <c r="S402" s="27"/>
      <c r="T402" s="27"/>
      <c r="U402" s="27"/>
      <c r="V402" s="9"/>
      <c r="W402" s="27"/>
      <c r="X402" s="4"/>
      <c r="Y402" s="4"/>
      <c r="Z402" s="9"/>
      <c r="AA402" s="16"/>
      <c r="AB402" s="16"/>
      <c r="AC402" s="16"/>
      <c r="AL402" s="6"/>
      <c r="AM402" s="6"/>
      <c r="AN402" s="6"/>
    </row>
    <row r="403" spans="1:58">
      <c r="B403" s="27"/>
      <c r="C403" s="27"/>
      <c r="D403" s="27"/>
      <c r="E403" s="27"/>
      <c r="F403" s="27"/>
      <c r="G403" s="9"/>
      <c r="H403" s="9"/>
      <c r="I403" s="9"/>
      <c r="J403" s="9"/>
      <c r="K403" s="9"/>
      <c r="L403" s="9"/>
      <c r="M403" s="9"/>
      <c r="N403" s="9"/>
      <c r="O403" s="9"/>
      <c r="P403" s="9"/>
      <c r="Q403" s="9"/>
      <c r="R403" s="9"/>
      <c r="S403" s="27"/>
      <c r="T403" s="27"/>
      <c r="U403" s="27"/>
      <c r="V403" s="9"/>
      <c r="W403" s="27"/>
      <c r="X403" s="4"/>
      <c r="Y403" s="4"/>
      <c r="Z403" s="9"/>
      <c r="AL403" s="6"/>
      <c r="AM403" s="6"/>
      <c r="AN403" s="6"/>
    </row>
    <row r="404" spans="1:58">
      <c r="B404" s="27"/>
      <c r="C404" s="27"/>
      <c r="D404" s="27"/>
      <c r="E404" s="27"/>
      <c r="F404" s="27"/>
      <c r="G404" s="9"/>
      <c r="H404" s="9"/>
      <c r="I404" s="9"/>
      <c r="J404" s="9"/>
      <c r="K404" s="9"/>
      <c r="L404" s="9"/>
      <c r="M404" s="9"/>
      <c r="N404" s="9"/>
      <c r="O404" s="9"/>
      <c r="P404" s="9"/>
      <c r="Q404" s="9"/>
      <c r="R404" s="9"/>
      <c r="S404" s="27"/>
      <c r="T404" s="27"/>
      <c r="U404" s="27"/>
      <c r="V404" s="9"/>
      <c r="W404" s="27"/>
      <c r="X404" s="4"/>
      <c r="Y404" s="4"/>
      <c r="Z404" s="9"/>
      <c r="AL404" s="6"/>
      <c r="AM404" s="6"/>
      <c r="AN404" s="6"/>
    </row>
    <row r="405" spans="1:58">
      <c r="B405" s="27"/>
      <c r="C405" s="27"/>
      <c r="D405" s="27"/>
      <c r="E405" s="27"/>
      <c r="F405" s="27"/>
      <c r="G405" s="9"/>
      <c r="H405" s="9"/>
      <c r="I405" s="9"/>
      <c r="J405" s="9"/>
      <c r="K405" s="9"/>
      <c r="L405" s="9"/>
      <c r="M405" s="9"/>
      <c r="N405" s="9"/>
      <c r="O405" s="9"/>
      <c r="P405" s="9"/>
      <c r="Q405" s="9"/>
      <c r="R405" s="9"/>
      <c r="S405" s="27"/>
      <c r="T405" s="27"/>
      <c r="U405" s="27"/>
      <c r="V405" s="9"/>
      <c r="W405" s="27"/>
      <c r="X405" s="4"/>
      <c r="Y405" s="4"/>
      <c r="Z405" s="9"/>
      <c r="AL405" s="6"/>
      <c r="AM405" s="6"/>
      <c r="AN405" s="6"/>
    </row>
    <row r="406" spans="1:58">
      <c r="B406" s="27"/>
      <c r="C406" s="27"/>
      <c r="D406" s="27"/>
      <c r="E406" s="27"/>
      <c r="F406" s="27"/>
      <c r="G406" s="9"/>
      <c r="H406" s="9"/>
      <c r="I406" s="9"/>
      <c r="J406" s="9"/>
      <c r="K406" s="9"/>
      <c r="L406" s="9"/>
      <c r="M406" s="9"/>
      <c r="N406" s="9"/>
      <c r="O406" s="9"/>
      <c r="P406" s="9"/>
      <c r="Q406" s="9"/>
      <c r="R406" s="9"/>
      <c r="S406" s="27"/>
      <c r="T406" s="27"/>
      <c r="U406" s="27"/>
      <c r="V406" s="9"/>
      <c r="W406" s="27"/>
      <c r="X406" s="4"/>
      <c r="Y406" s="4"/>
      <c r="Z406" s="9"/>
      <c r="AL406" s="6"/>
      <c r="AM406" s="6"/>
      <c r="AN406" s="6"/>
    </row>
    <row r="407" spans="1:58">
      <c r="B407" s="27"/>
      <c r="C407" s="27"/>
      <c r="D407" s="27"/>
      <c r="E407" s="27"/>
      <c r="F407" s="27"/>
      <c r="G407" s="9"/>
      <c r="H407" s="9"/>
      <c r="I407" s="9"/>
      <c r="J407" s="9"/>
      <c r="K407" s="9"/>
      <c r="L407" s="9"/>
      <c r="M407" s="9"/>
      <c r="N407" s="9"/>
      <c r="O407" s="9"/>
      <c r="P407" s="9"/>
      <c r="Q407" s="9"/>
      <c r="R407" s="9"/>
      <c r="S407" s="27"/>
      <c r="T407" s="27"/>
      <c r="U407" s="27"/>
      <c r="V407" s="9"/>
      <c r="W407" s="27"/>
      <c r="X407" s="4"/>
      <c r="Y407" s="4"/>
      <c r="Z407" s="9"/>
      <c r="AL407" s="6"/>
      <c r="AM407" s="6"/>
      <c r="AN407" s="6"/>
    </row>
    <row r="408" spans="1:58">
      <c r="B408" s="27"/>
      <c r="C408" s="27"/>
      <c r="D408" s="27"/>
      <c r="E408" s="27"/>
      <c r="F408" s="27"/>
      <c r="G408" s="9"/>
      <c r="H408" s="9"/>
      <c r="I408" s="9"/>
      <c r="J408" s="9"/>
      <c r="K408" s="9"/>
      <c r="L408" s="9"/>
      <c r="M408" s="9"/>
      <c r="N408" s="9"/>
      <c r="O408" s="9"/>
      <c r="P408" s="9"/>
      <c r="Q408" s="9"/>
      <c r="R408" s="9"/>
      <c r="S408" s="27"/>
      <c r="T408" s="27"/>
      <c r="U408" s="27"/>
      <c r="V408" s="9"/>
      <c r="W408" s="27"/>
      <c r="X408" s="4"/>
      <c r="Y408" s="4"/>
      <c r="Z408" s="9"/>
      <c r="AL408" s="6"/>
      <c r="AM408" s="6"/>
      <c r="AN408" s="6"/>
    </row>
    <row r="409" spans="1:58">
      <c r="B409" s="27"/>
      <c r="C409" s="27"/>
      <c r="D409" s="27"/>
      <c r="E409" s="27"/>
      <c r="F409" s="27"/>
      <c r="G409" s="9"/>
      <c r="H409" s="9"/>
      <c r="I409" s="9"/>
      <c r="J409" s="9"/>
      <c r="K409" s="9"/>
      <c r="L409" s="9"/>
      <c r="M409" s="9"/>
      <c r="N409" s="9"/>
      <c r="O409" s="9"/>
      <c r="P409" s="9"/>
      <c r="Q409" s="9"/>
      <c r="R409" s="9"/>
      <c r="S409" s="27"/>
      <c r="T409" s="27"/>
      <c r="U409" s="27"/>
      <c r="V409" s="9"/>
      <c r="W409" s="27"/>
      <c r="X409" s="4"/>
      <c r="Y409" s="4"/>
      <c r="Z409" s="9"/>
      <c r="AL409" s="6"/>
      <c r="AM409" s="6"/>
      <c r="AN409" s="6"/>
    </row>
    <row r="410" spans="1:58" s="43" customFormat="1">
      <c r="B410" s="54"/>
      <c r="C410" s="54"/>
      <c r="D410" s="54"/>
      <c r="E410" s="54"/>
      <c r="F410" s="54"/>
      <c r="G410" s="68"/>
      <c r="H410" s="68"/>
      <c r="I410" s="68"/>
      <c r="J410" s="68"/>
      <c r="K410" s="68"/>
      <c r="L410" s="68"/>
      <c r="M410" s="68"/>
      <c r="N410" s="68"/>
      <c r="O410" s="68"/>
      <c r="P410" s="68"/>
      <c r="Q410" s="68"/>
      <c r="R410" s="68"/>
      <c r="S410" s="54"/>
      <c r="T410" s="54"/>
      <c r="U410" s="54"/>
      <c r="V410" s="68"/>
      <c r="W410" s="54"/>
      <c r="X410" s="19"/>
      <c r="Y410" s="19"/>
      <c r="Z410" s="68"/>
      <c r="AA410" s="103"/>
      <c r="AB410" s="103"/>
      <c r="AC410" s="103"/>
      <c r="AD410" s="40"/>
      <c r="AE410" s="40"/>
      <c r="AF410" s="40"/>
      <c r="AG410" s="40"/>
      <c r="AH410" s="40"/>
      <c r="AI410" s="40"/>
      <c r="AJ410" s="40"/>
      <c r="AK410" s="40"/>
      <c r="AL410" s="55"/>
      <c r="AM410" s="55"/>
      <c r="AN410" s="55"/>
      <c r="AO410" s="40"/>
      <c r="AP410" s="40"/>
      <c r="AQ410" s="40"/>
      <c r="AR410" s="40"/>
      <c r="AS410" s="40"/>
      <c r="AT410" s="40"/>
      <c r="AU410" s="40"/>
      <c r="AV410" s="40"/>
      <c r="AW410" s="40"/>
      <c r="AX410" s="40"/>
      <c r="AY410" s="40"/>
      <c r="AZ410" s="40"/>
      <c r="BA410" s="40"/>
      <c r="BB410" s="40"/>
      <c r="BC410" s="40"/>
      <c r="BD410" s="40"/>
      <c r="BE410" s="40"/>
      <c r="BF410" s="40"/>
    </row>
    <row r="411" spans="1:58">
      <c r="B411" s="27"/>
      <c r="C411" s="27"/>
      <c r="D411" s="27"/>
      <c r="E411" s="27"/>
      <c r="F411" s="27"/>
      <c r="G411" s="9"/>
      <c r="H411" s="9"/>
      <c r="I411" s="9"/>
      <c r="J411" s="9"/>
      <c r="K411" s="9"/>
      <c r="L411" s="9"/>
      <c r="M411" s="9"/>
      <c r="N411" s="9"/>
      <c r="O411" s="9"/>
      <c r="P411" s="9"/>
      <c r="Q411" s="9"/>
      <c r="R411" s="9"/>
      <c r="S411" s="27"/>
      <c r="T411" s="27"/>
      <c r="U411" s="27"/>
      <c r="V411" s="9"/>
      <c r="W411" s="27"/>
      <c r="X411" s="4"/>
      <c r="Y411" s="4"/>
      <c r="Z411" s="9"/>
      <c r="AL411" s="6"/>
      <c r="AM411" s="6"/>
      <c r="AN411" s="6"/>
    </row>
    <row r="412" spans="1:58">
      <c r="B412" s="27"/>
      <c r="C412" s="27"/>
      <c r="D412" s="27"/>
      <c r="E412" s="27"/>
      <c r="F412" s="27"/>
      <c r="G412" s="9"/>
      <c r="H412" s="9"/>
      <c r="I412" s="9"/>
      <c r="J412" s="9"/>
      <c r="K412" s="9"/>
      <c r="L412" s="9"/>
      <c r="M412" s="9"/>
      <c r="N412" s="9"/>
      <c r="O412" s="9"/>
      <c r="P412" s="9"/>
      <c r="Q412" s="9"/>
      <c r="R412" s="9"/>
      <c r="S412" s="27"/>
      <c r="T412" s="27"/>
      <c r="U412" s="27"/>
      <c r="V412" s="9"/>
      <c r="W412" s="27"/>
      <c r="X412" s="4"/>
      <c r="Y412" s="4"/>
      <c r="Z412" s="9"/>
      <c r="AL412" s="6"/>
      <c r="AM412" s="6"/>
      <c r="AN412" s="6"/>
    </row>
    <row r="413" spans="1:58">
      <c r="B413" s="27"/>
      <c r="C413" s="53"/>
      <c r="D413" s="27"/>
      <c r="E413" s="27"/>
      <c r="F413" s="27"/>
      <c r="G413" s="9"/>
      <c r="H413" s="9"/>
      <c r="I413" s="9"/>
      <c r="J413" s="9"/>
      <c r="K413" s="9"/>
      <c r="L413" s="9"/>
      <c r="M413" s="9"/>
      <c r="N413" s="9"/>
      <c r="O413" s="9"/>
      <c r="P413" s="9"/>
      <c r="Q413" s="9"/>
      <c r="R413" s="9"/>
      <c r="S413" s="27"/>
      <c r="T413" s="27"/>
      <c r="U413" s="27"/>
      <c r="V413" s="9"/>
      <c r="W413" s="27"/>
      <c r="X413" s="4"/>
      <c r="Y413" s="4"/>
      <c r="Z413" s="9"/>
      <c r="AL413" s="6"/>
      <c r="AM413" s="6"/>
      <c r="AN413" s="6"/>
    </row>
    <row r="414" spans="1:58">
      <c r="B414" s="28"/>
      <c r="C414" s="28"/>
      <c r="D414" s="28"/>
      <c r="E414" s="28"/>
      <c r="F414" s="28"/>
      <c r="G414" s="69"/>
      <c r="H414" s="69"/>
      <c r="I414" s="69"/>
      <c r="J414" s="69"/>
      <c r="K414" s="69"/>
      <c r="L414" s="69"/>
      <c r="M414" s="69"/>
      <c r="N414" s="69"/>
      <c r="O414" s="69"/>
      <c r="P414" s="69"/>
      <c r="Q414" s="69"/>
      <c r="R414" s="69"/>
      <c r="S414" s="28"/>
      <c r="T414" s="28"/>
      <c r="U414" s="28"/>
      <c r="V414" s="69"/>
      <c r="W414" s="28"/>
      <c r="X414" s="174"/>
      <c r="Y414" s="174"/>
      <c r="Z414" s="69"/>
      <c r="AL414" s="6"/>
      <c r="AM414" s="6"/>
      <c r="AN414" s="6"/>
    </row>
    <row r="415" spans="1:58">
      <c r="B415" s="28"/>
      <c r="C415" s="28"/>
      <c r="D415" s="28"/>
      <c r="E415" s="28"/>
      <c r="F415" s="28"/>
      <c r="G415" s="69"/>
      <c r="H415" s="69"/>
      <c r="I415" s="69"/>
      <c r="J415" s="69"/>
      <c r="K415" s="69"/>
      <c r="L415" s="69"/>
      <c r="M415" s="69"/>
      <c r="N415" s="69"/>
      <c r="O415" s="69"/>
      <c r="P415" s="69"/>
      <c r="Q415" s="69"/>
      <c r="R415" s="69"/>
      <c r="S415" s="28"/>
      <c r="T415" s="28"/>
      <c r="U415" s="28"/>
      <c r="V415" s="69"/>
      <c r="W415" s="28"/>
      <c r="X415" s="174"/>
      <c r="Y415" s="174"/>
      <c r="Z415" s="69"/>
      <c r="AL415" s="6"/>
      <c r="AM415" s="6"/>
      <c r="AN415" s="6"/>
    </row>
    <row r="416" spans="1:58">
      <c r="B416" s="28"/>
      <c r="C416" s="28"/>
      <c r="D416" s="28"/>
      <c r="E416" s="28"/>
      <c r="F416" s="28"/>
      <c r="G416" s="69"/>
      <c r="H416" s="69"/>
      <c r="I416" s="69"/>
      <c r="J416" s="69"/>
      <c r="K416" s="69"/>
      <c r="L416" s="69"/>
      <c r="M416" s="69"/>
      <c r="N416" s="69"/>
      <c r="O416" s="69"/>
      <c r="P416" s="69"/>
      <c r="Q416" s="69"/>
      <c r="R416" s="69"/>
      <c r="S416" s="28"/>
      <c r="T416" s="28"/>
      <c r="U416" s="28"/>
      <c r="V416" s="69"/>
      <c r="W416" s="28"/>
      <c r="X416" s="174"/>
      <c r="Y416" s="174"/>
      <c r="Z416" s="69"/>
      <c r="AL416" s="6"/>
      <c r="AM416" s="6"/>
      <c r="AN416" s="6"/>
    </row>
    <row r="417" spans="1:40">
      <c r="B417" s="28"/>
      <c r="C417" s="28"/>
      <c r="D417" s="28"/>
      <c r="E417" s="28"/>
      <c r="F417" s="28"/>
      <c r="G417" s="69"/>
      <c r="H417" s="69"/>
      <c r="I417" s="69"/>
      <c r="J417" s="69"/>
      <c r="K417" s="69"/>
      <c r="L417" s="69"/>
      <c r="M417" s="69"/>
      <c r="N417" s="69"/>
      <c r="O417" s="69"/>
      <c r="P417" s="69"/>
      <c r="Q417" s="69"/>
      <c r="R417" s="69"/>
      <c r="S417" s="28"/>
      <c r="T417" s="28"/>
      <c r="U417" s="28"/>
      <c r="V417" s="69"/>
      <c r="W417" s="28"/>
      <c r="X417" s="174"/>
      <c r="Y417" s="174"/>
      <c r="Z417" s="69"/>
      <c r="AL417" s="6"/>
      <c r="AM417" s="6"/>
      <c r="AN417" s="6"/>
    </row>
    <row r="418" spans="1:40">
      <c r="B418" s="28"/>
      <c r="C418" s="28"/>
      <c r="D418" s="28"/>
      <c r="E418" s="28"/>
      <c r="F418" s="28"/>
      <c r="G418" s="69"/>
      <c r="H418" s="69"/>
      <c r="I418" s="69"/>
      <c r="J418" s="69"/>
      <c r="K418" s="69"/>
      <c r="L418" s="69"/>
      <c r="M418" s="69"/>
      <c r="N418" s="69"/>
      <c r="O418" s="69"/>
      <c r="P418" s="69"/>
      <c r="Q418" s="69"/>
      <c r="R418" s="69"/>
      <c r="S418" s="28"/>
      <c r="T418" s="28"/>
      <c r="U418" s="28"/>
      <c r="V418" s="69"/>
      <c r="W418" s="28"/>
      <c r="X418" s="174"/>
      <c r="Y418" s="174"/>
      <c r="Z418" s="69"/>
      <c r="AL418" s="6"/>
      <c r="AM418" s="6"/>
      <c r="AN418" s="6"/>
    </row>
    <row r="419" spans="1:40" s="40" customFormat="1">
      <c r="A419" s="1"/>
      <c r="B419" s="28"/>
      <c r="C419" s="28"/>
      <c r="D419" s="28"/>
      <c r="E419" s="28"/>
      <c r="F419" s="28"/>
      <c r="G419" s="69"/>
      <c r="H419" s="69"/>
      <c r="I419" s="69"/>
      <c r="J419" s="69"/>
      <c r="K419" s="69"/>
      <c r="L419" s="69"/>
      <c r="M419" s="69"/>
      <c r="N419" s="69"/>
      <c r="O419" s="69"/>
      <c r="P419" s="69"/>
      <c r="Q419" s="69"/>
      <c r="R419" s="69"/>
      <c r="S419" s="28"/>
      <c r="T419" s="28"/>
      <c r="U419" s="28"/>
      <c r="V419" s="69"/>
      <c r="W419" s="28"/>
      <c r="X419" s="174"/>
      <c r="Y419" s="174"/>
      <c r="Z419" s="69"/>
      <c r="AA419" s="16"/>
      <c r="AB419" s="16"/>
      <c r="AC419" s="16"/>
      <c r="AL419" s="6"/>
      <c r="AM419" s="6"/>
      <c r="AN419" s="6"/>
    </row>
    <row r="420" spans="1:40" s="40" customFormat="1">
      <c r="B420" s="28"/>
      <c r="C420" s="28"/>
      <c r="D420" s="28"/>
      <c r="E420" s="28"/>
      <c r="F420" s="28"/>
      <c r="G420" s="69"/>
      <c r="H420" s="69"/>
      <c r="I420" s="69"/>
      <c r="J420" s="69"/>
      <c r="K420" s="69"/>
      <c r="L420" s="69"/>
      <c r="M420" s="69"/>
      <c r="N420" s="69"/>
      <c r="O420" s="69"/>
      <c r="P420" s="69"/>
      <c r="Q420" s="69"/>
      <c r="R420" s="69"/>
      <c r="S420" s="28"/>
      <c r="T420" s="28"/>
      <c r="U420" s="28"/>
      <c r="V420" s="69"/>
      <c r="W420" s="28"/>
      <c r="X420" s="174"/>
      <c r="Y420" s="174"/>
      <c r="Z420" s="69"/>
      <c r="AA420" s="52"/>
      <c r="AB420" s="52"/>
      <c r="AC420" s="52"/>
      <c r="AL420" s="6"/>
      <c r="AM420" s="6"/>
      <c r="AN420" s="6"/>
    </row>
    <row r="421" spans="1:40" s="40" customFormat="1">
      <c r="B421" s="28"/>
      <c r="C421" s="28"/>
      <c r="D421" s="28"/>
      <c r="E421" s="28"/>
      <c r="F421" s="28"/>
      <c r="G421" s="69"/>
      <c r="H421" s="69"/>
      <c r="I421" s="69"/>
      <c r="J421" s="69"/>
      <c r="K421" s="69"/>
      <c r="L421" s="69"/>
      <c r="M421" s="69"/>
      <c r="N421" s="69"/>
      <c r="O421" s="69"/>
      <c r="P421" s="69"/>
      <c r="Q421" s="69"/>
      <c r="R421" s="69"/>
      <c r="S421" s="28"/>
      <c r="T421" s="28"/>
      <c r="U421" s="28"/>
      <c r="V421" s="69"/>
      <c r="W421" s="28"/>
      <c r="X421" s="174"/>
      <c r="Y421" s="174"/>
      <c r="Z421" s="69"/>
      <c r="AA421" s="52"/>
      <c r="AB421" s="52"/>
      <c r="AC421" s="52"/>
      <c r="AL421" s="6"/>
      <c r="AM421" s="6"/>
      <c r="AN421" s="6"/>
    </row>
    <row r="422" spans="1:40" s="40" customFormat="1">
      <c r="A422" s="1"/>
      <c r="B422" s="28"/>
      <c r="C422" s="28"/>
      <c r="D422" s="28"/>
      <c r="E422" s="28"/>
      <c r="F422" s="28"/>
      <c r="G422" s="69"/>
      <c r="H422" s="69"/>
      <c r="I422" s="69"/>
      <c r="J422" s="69"/>
      <c r="K422" s="69"/>
      <c r="L422" s="69"/>
      <c r="M422" s="69"/>
      <c r="N422" s="69"/>
      <c r="O422" s="69"/>
      <c r="P422" s="69"/>
      <c r="Q422" s="69"/>
      <c r="R422" s="69"/>
      <c r="S422" s="28"/>
      <c r="T422" s="28"/>
      <c r="U422" s="28"/>
      <c r="V422" s="69"/>
      <c r="W422" s="28"/>
      <c r="X422" s="174"/>
      <c r="Y422" s="174"/>
      <c r="Z422" s="69"/>
      <c r="AA422" s="16"/>
      <c r="AB422" s="16"/>
      <c r="AC422" s="16"/>
      <c r="AL422" s="6"/>
      <c r="AM422" s="6"/>
      <c r="AN422" s="6"/>
    </row>
    <row r="423" spans="1:40" s="40" customFormat="1">
      <c r="A423" s="1"/>
      <c r="B423" s="28"/>
      <c r="C423" s="28"/>
      <c r="D423" s="28"/>
      <c r="E423" s="28"/>
      <c r="F423" s="28"/>
      <c r="G423" s="69"/>
      <c r="H423" s="69"/>
      <c r="I423" s="69"/>
      <c r="J423" s="69"/>
      <c r="K423" s="69"/>
      <c r="L423" s="69"/>
      <c r="M423" s="69"/>
      <c r="N423" s="69"/>
      <c r="O423" s="69"/>
      <c r="P423" s="69"/>
      <c r="Q423" s="69"/>
      <c r="R423" s="69"/>
      <c r="S423" s="28"/>
      <c r="T423" s="28"/>
      <c r="U423" s="28"/>
      <c r="V423" s="69"/>
      <c r="W423" s="28"/>
      <c r="X423" s="174"/>
      <c r="Y423" s="174"/>
      <c r="Z423" s="69"/>
      <c r="AA423" s="16"/>
      <c r="AB423" s="16"/>
      <c r="AC423" s="16"/>
      <c r="AL423" s="6"/>
      <c r="AM423" s="6"/>
      <c r="AN423" s="6"/>
    </row>
    <row r="424" spans="1:40" s="40" customFormat="1">
      <c r="A424" s="1"/>
      <c r="B424" s="28"/>
      <c r="C424" s="28"/>
      <c r="D424" s="28"/>
      <c r="E424" s="28"/>
      <c r="F424" s="28"/>
      <c r="G424" s="69"/>
      <c r="H424" s="69"/>
      <c r="I424" s="69"/>
      <c r="J424" s="69"/>
      <c r="K424" s="69"/>
      <c r="L424" s="69"/>
      <c r="M424" s="69"/>
      <c r="N424" s="69"/>
      <c r="O424" s="69"/>
      <c r="P424" s="69"/>
      <c r="Q424" s="69"/>
      <c r="R424" s="69"/>
      <c r="S424" s="28"/>
      <c r="T424" s="28"/>
      <c r="U424" s="28"/>
      <c r="V424" s="69"/>
      <c r="W424" s="28"/>
      <c r="X424" s="174"/>
      <c r="Y424" s="174"/>
      <c r="Z424" s="69"/>
      <c r="AA424" s="16"/>
      <c r="AB424" s="16"/>
      <c r="AC424" s="16"/>
      <c r="AL424" s="6"/>
      <c r="AM424" s="6"/>
      <c r="AN424" s="6"/>
    </row>
    <row r="425" spans="1:40" s="40" customFormat="1">
      <c r="A425" s="1"/>
      <c r="B425" s="28"/>
      <c r="C425" s="28"/>
      <c r="D425" s="28"/>
      <c r="E425" s="28"/>
      <c r="F425" s="28"/>
      <c r="G425" s="69"/>
      <c r="H425" s="69"/>
      <c r="I425" s="69"/>
      <c r="J425" s="69"/>
      <c r="K425" s="69"/>
      <c r="L425" s="69"/>
      <c r="M425" s="69"/>
      <c r="N425" s="69"/>
      <c r="O425" s="69"/>
      <c r="P425" s="69"/>
      <c r="Q425" s="69"/>
      <c r="R425" s="69"/>
      <c r="S425" s="28"/>
      <c r="T425" s="28"/>
      <c r="U425" s="28"/>
      <c r="V425" s="69"/>
      <c r="W425" s="28"/>
      <c r="X425" s="174"/>
      <c r="Y425" s="174"/>
      <c r="Z425" s="69"/>
      <c r="AA425" s="16"/>
      <c r="AB425" s="16"/>
      <c r="AC425" s="16"/>
      <c r="AL425" s="6"/>
      <c r="AM425" s="6"/>
      <c r="AN425" s="6"/>
    </row>
    <row r="426" spans="1:40" s="40" customFormat="1">
      <c r="A426" s="1"/>
      <c r="B426" s="28"/>
      <c r="C426" s="28"/>
      <c r="D426" s="28"/>
      <c r="E426" s="28"/>
      <c r="F426" s="28"/>
      <c r="G426" s="69"/>
      <c r="H426" s="69"/>
      <c r="I426" s="69"/>
      <c r="J426" s="69"/>
      <c r="K426" s="69"/>
      <c r="L426" s="69"/>
      <c r="M426" s="69"/>
      <c r="N426" s="69"/>
      <c r="O426" s="69"/>
      <c r="P426" s="69"/>
      <c r="Q426" s="69"/>
      <c r="R426" s="69"/>
      <c r="S426" s="28"/>
      <c r="T426" s="28"/>
      <c r="U426" s="28"/>
      <c r="V426" s="69"/>
      <c r="W426" s="28"/>
      <c r="X426" s="174"/>
      <c r="Y426" s="174"/>
      <c r="Z426" s="69"/>
      <c r="AA426" s="16"/>
      <c r="AB426" s="16"/>
      <c r="AC426" s="16"/>
      <c r="AL426" s="6"/>
      <c r="AM426" s="6"/>
      <c r="AN426" s="6"/>
    </row>
    <row r="427" spans="1:40" s="40" customFormat="1">
      <c r="A427" s="1"/>
      <c r="B427" s="28"/>
      <c r="C427" s="28"/>
      <c r="D427" s="28"/>
      <c r="E427" s="28"/>
      <c r="F427" s="28"/>
      <c r="G427" s="69"/>
      <c r="H427" s="69"/>
      <c r="I427" s="69"/>
      <c r="J427" s="69"/>
      <c r="K427" s="69"/>
      <c r="L427" s="69"/>
      <c r="M427" s="69"/>
      <c r="N427" s="69"/>
      <c r="O427" s="69"/>
      <c r="P427" s="69"/>
      <c r="Q427" s="69"/>
      <c r="R427" s="69"/>
      <c r="S427" s="28"/>
      <c r="T427" s="28"/>
      <c r="U427" s="28"/>
      <c r="V427" s="69"/>
      <c r="W427" s="28"/>
      <c r="X427" s="174"/>
      <c r="Y427" s="174"/>
      <c r="Z427" s="69"/>
      <c r="AA427" s="16"/>
      <c r="AB427" s="16"/>
      <c r="AC427" s="16"/>
      <c r="AL427" s="6"/>
      <c r="AM427" s="6"/>
      <c r="AN427" s="6"/>
    </row>
    <row r="428" spans="1:40" s="40" customFormat="1">
      <c r="A428" s="1"/>
      <c r="B428" s="28"/>
      <c r="C428" s="28"/>
      <c r="D428" s="28"/>
      <c r="E428" s="28"/>
      <c r="F428" s="28"/>
      <c r="G428" s="69"/>
      <c r="H428" s="69"/>
      <c r="I428" s="69"/>
      <c r="J428" s="69"/>
      <c r="K428" s="69"/>
      <c r="L428" s="69"/>
      <c r="M428" s="69"/>
      <c r="N428" s="69"/>
      <c r="O428" s="69"/>
      <c r="P428" s="69"/>
      <c r="Q428" s="69"/>
      <c r="R428" s="69"/>
      <c r="S428" s="28"/>
      <c r="T428" s="28"/>
      <c r="U428" s="28"/>
      <c r="V428" s="69"/>
      <c r="W428" s="28"/>
      <c r="X428" s="174"/>
      <c r="Y428" s="174"/>
      <c r="Z428" s="69"/>
      <c r="AA428" s="16"/>
      <c r="AB428" s="16"/>
      <c r="AC428" s="16"/>
      <c r="AL428" s="6"/>
      <c r="AM428" s="6"/>
      <c r="AN428" s="6"/>
    </row>
    <row r="429" spans="1:40" s="40" customFormat="1">
      <c r="A429" s="1"/>
      <c r="B429" s="28"/>
      <c r="C429" s="28"/>
      <c r="D429" s="28"/>
      <c r="E429" s="28"/>
      <c r="F429" s="28"/>
      <c r="G429" s="69"/>
      <c r="H429" s="69"/>
      <c r="I429" s="69"/>
      <c r="J429" s="69"/>
      <c r="K429" s="69"/>
      <c r="L429" s="69"/>
      <c r="M429" s="69"/>
      <c r="N429" s="69"/>
      <c r="O429" s="69"/>
      <c r="P429" s="69"/>
      <c r="Q429" s="69"/>
      <c r="R429" s="69"/>
      <c r="S429" s="28"/>
      <c r="T429" s="28"/>
      <c r="U429" s="28"/>
      <c r="V429" s="69"/>
      <c r="W429" s="28"/>
      <c r="X429" s="174"/>
      <c r="Y429" s="174"/>
      <c r="Z429" s="69"/>
      <c r="AA429" s="16"/>
      <c r="AB429" s="16"/>
      <c r="AC429" s="16"/>
      <c r="AL429" s="6"/>
      <c r="AM429" s="6"/>
      <c r="AN429" s="6"/>
    </row>
    <row r="430" spans="1:40" s="40" customFormat="1">
      <c r="A430" s="1"/>
      <c r="B430" s="28"/>
      <c r="C430" s="28"/>
      <c r="D430" s="28"/>
      <c r="E430" s="28"/>
      <c r="F430" s="28"/>
      <c r="G430" s="69"/>
      <c r="H430" s="69"/>
      <c r="I430" s="69"/>
      <c r="J430" s="69"/>
      <c r="K430" s="69"/>
      <c r="L430" s="69"/>
      <c r="M430" s="69"/>
      <c r="N430" s="69"/>
      <c r="O430" s="69"/>
      <c r="P430" s="69"/>
      <c r="Q430" s="69"/>
      <c r="R430" s="69"/>
      <c r="S430" s="28"/>
      <c r="T430" s="28"/>
      <c r="U430" s="28"/>
      <c r="V430" s="69"/>
      <c r="W430" s="28"/>
      <c r="X430" s="174"/>
      <c r="Y430" s="174"/>
      <c r="Z430" s="69"/>
      <c r="AA430" s="16"/>
      <c r="AB430" s="16"/>
      <c r="AC430" s="16"/>
      <c r="AL430" s="6"/>
      <c r="AM430" s="6"/>
      <c r="AN430" s="6"/>
    </row>
    <row r="431" spans="1:40" s="40" customFormat="1">
      <c r="A431" s="1"/>
      <c r="B431" s="28"/>
      <c r="C431" s="28"/>
      <c r="D431" s="28"/>
      <c r="E431" s="28"/>
      <c r="F431" s="28"/>
      <c r="G431" s="69"/>
      <c r="H431" s="69"/>
      <c r="I431" s="69"/>
      <c r="J431" s="69"/>
      <c r="K431" s="69"/>
      <c r="L431" s="69"/>
      <c r="M431" s="69"/>
      <c r="N431" s="69"/>
      <c r="O431" s="69"/>
      <c r="P431" s="69"/>
      <c r="Q431" s="69"/>
      <c r="R431" s="69"/>
      <c r="S431" s="28"/>
      <c r="T431" s="28"/>
      <c r="U431" s="28"/>
      <c r="V431" s="69"/>
      <c r="W431" s="28"/>
      <c r="X431" s="174"/>
      <c r="Y431" s="174"/>
      <c r="Z431" s="69"/>
      <c r="AA431" s="16"/>
      <c r="AB431" s="16"/>
      <c r="AC431" s="16"/>
      <c r="AL431" s="6"/>
      <c r="AM431" s="6"/>
      <c r="AN431" s="6"/>
    </row>
    <row r="432" spans="1:40" s="40" customFormat="1">
      <c r="A432" s="1"/>
      <c r="B432" s="28"/>
      <c r="C432" s="28"/>
      <c r="D432" s="28"/>
      <c r="E432" s="28"/>
      <c r="F432" s="28"/>
      <c r="G432" s="69"/>
      <c r="H432" s="69"/>
      <c r="I432" s="69"/>
      <c r="J432" s="69"/>
      <c r="K432" s="69"/>
      <c r="L432" s="69"/>
      <c r="M432" s="69"/>
      <c r="N432" s="69"/>
      <c r="O432" s="69"/>
      <c r="P432" s="69"/>
      <c r="Q432" s="69"/>
      <c r="R432" s="69"/>
      <c r="S432" s="28"/>
      <c r="T432" s="28"/>
      <c r="U432" s="28"/>
      <c r="V432" s="69"/>
      <c r="W432" s="28"/>
      <c r="X432" s="174"/>
      <c r="Y432" s="174"/>
      <c r="Z432" s="69"/>
      <c r="AA432" s="16"/>
      <c r="AB432" s="16"/>
      <c r="AC432" s="16"/>
      <c r="AL432" s="6"/>
      <c r="AM432" s="6"/>
      <c r="AN432" s="6"/>
    </row>
    <row r="433" spans="1:40" s="40" customFormat="1">
      <c r="A433" s="1"/>
      <c r="B433" s="28"/>
      <c r="C433" s="28"/>
      <c r="D433" s="28"/>
      <c r="E433" s="28"/>
      <c r="F433" s="28"/>
      <c r="G433" s="69"/>
      <c r="H433" s="69"/>
      <c r="I433" s="69"/>
      <c r="J433" s="69"/>
      <c r="K433" s="69"/>
      <c r="L433" s="69"/>
      <c r="M433" s="69"/>
      <c r="N433" s="69"/>
      <c r="O433" s="69"/>
      <c r="P433" s="69"/>
      <c r="Q433" s="69"/>
      <c r="R433" s="69"/>
      <c r="S433" s="28"/>
      <c r="T433" s="28"/>
      <c r="U433" s="28"/>
      <c r="V433" s="69"/>
      <c r="W433" s="28"/>
      <c r="X433" s="174"/>
      <c r="Y433" s="174"/>
      <c r="Z433" s="69"/>
      <c r="AA433" s="16"/>
      <c r="AB433" s="16"/>
      <c r="AC433" s="16"/>
      <c r="AL433" s="6"/>
      <c r="AM433" s="6"/>
      <c r="AN433" s="6"/>
    </row>
    <row r="434" spans="1:40" s="40" customFormat="1">
      <c r="A434" s="1"/>
      <c r="B434" s="28"/>
      <c r="C434" s="28"/>
      <c r="D434" s="28"/>
      <c r="E434" s="28"/>
      <c r="F434" s="28"/>
      <c r="G434" s="69"/>
      <c r="H434" s="69"/>
      <c r="I434" s="69"/>
      <c r="J434" s="69"/>
      <c r="K434" s="69"/>
      <c r="L434" s="69"/>
      <c r="M434" s="69"/>
      <c r="N434" s="69"/>
      <c r="O434" s="69"/>
      <c r="P434" s="69"/>
      <c r="Q434" s="69"/>
      <c r="R434" s="69"/>
      <c r="S434" s="28"/>
      <c r="T434" s="28"/>
      <c r="U434" s="28"/>
      <c r="V434" s="69"/>
      <c r="W434" s="28"/>
      <c r="X434" s="174"/>
      <c r="Y434" s="174"/>
      <c r="Z434" s="69"/>
      <c r="AA434" s="16"/>
      <c r="AB434" s="16"/>
      <c r="AC434" s="16"/>
      <c r="AL434" s="6"/>
      <c r="AM434" s="6"/>
      <c r="AN434" s="6"/>
    </row>
    <row r="435" spans="1:40" s="40" customFormat="1">
      <c r="A435" s="1"/>
      <c r="B435" s="28"/>
      <c r="C435" s="28"/>
      <c r="D435" s="28"/>
      <c r="E435" s="28"/>
      <c r="F435" s="28"/>
      <c r="G435" s="69"/>
      <c r="H435" s="69"/>
      <c r="I435" s="69"/>
      <c r="J435" s="69"/>
      <c r="K435" s="69"/>
      <c r="L435" s="69"/>
      <c r="M435" s="69"/>
      <c r="N435" s="69"/>
      <c r="O435" s="69"/>
      <c r="P435" s="69"/>
      <c r="Q435" s="69"/>
      <c r="R435" s="69"/>
      <c r="S435" s="28"/>
      <c r="T435" s="28"/>
      <c r="U435" s="28"/>
      <c r="V435" s="69"/>
      <c r="W435" s="28"/>
      <c r="X435" s="174"/>
      <c r="Y435" s="174"/>
      <c r="Z435" s="69"/>
      <c r="AA435" s="16"/>
      <c r="AB435" s="16"/>
      <c r="AC435" s="16"/>
      <c r="AL435" s="6"/>
      <c r="AM435" s="6"/>
      <c r="AN435" s="6"/>
    </row>
    <row r="436" spans="1:40" s="40" customFormat="1">
      <c r="A436" s="1"/>
      <c r="B436" s="28"/>
      <c r="C436" s="28"/>
      <c r="D436" s="28"/>
      <c r="E436" s="28"/>
      <c r="F436" s="28"/>
      <c r="G436" s="69"/>
      <c r="H436" s="69"/>
      <c r="I436" s="69"/>
      <c r="J436" s="69"/>
      <c r="K436" s="69"/>
      <c r="L436" s="69"/>
      <c r="M436" s="69"/>
      <c r="N436" s="69"/>
      <c r="O436" s="69"/>
      <c r="P436" s="69"/>
      <c r="Q436" s="69"/>
      <c r="R436" s="69"/>
      <c r="S436" s="28"/>
      <c r="T436" s="28"/>
      <c r="U436" s="28"/>
      <c r="V436" s="69"/>
      <c r="W436" s="28"/>
      <c r="X436" s="174"/>
      <c r="Y436" s="174"/>
      <c r="Z436" s="69"/>
      <c r="AA436" s="16"/>
      <c r="AB436" s="16"/>
      <c r="AC436" s="16"/>
      <c r="AL436" s="6"/>
      <c r="AM436" s="6"/>
      <c r="AN436" s="6"/>
    </row>
    <row r="437" spans="1:40" s="40" customFormat="1">
      <c r="A437" s="1"/>
      <c r="B437" s="28"/>
      <c r="C437" s="28"/>
      <c r="D437" s="28"/>
      <c r="E437" s="28"/>
      <c r="F437" s="28"/>
      <c r="G437" s="69"/>
      <c r="H437" s="69"/>
      <c r="I437" s="69"/>
      <c r="J437" s="69"/>
      <c r="K437" s="69"/>
      <c r="L437" s="69"/>
      <c r="M437" s="69"/>
      <c r="N437" s="69"/>
      <c r="O437" s="69"/>
      <c r="P437" s="69"/>
      <c r="Q437" s="69"/>
      <c r="R437" s="69"/>
      <c r="S437" s="28"/>
      <c r="T437" s="28"/>
      <c r="U437" s="28"/>
      <c r="V437" s="69"/>
      <c r="W437" s="28"/>
      <c r="X437" s="174"/>
      <c r="Y437" s="174"/>
      <c r="Z437" s="69"/>
      <c r="AA437" s="16"/>
      <c r="AB437" s="16"/>
      <c r="AC437" s="16"/>
      <c r="AL437" s="6"/>
      <c r="AM437" s="6"/>
      <c r="AN437" s="6"/>
    </row>
    <row r="438" spans="1:40" s="40" customFormat="1">
      <c r="A438" s="1"/>
      <c r="B438" s="28"/>
      <c r="C438" s="28"/>
      <c r="D438" s="28"/>
      <c r="E438" s="28"/>
      <c r="F438" s="28"/>
      <c r="G438" s="69"/>
      <c r="H438" s="69"/>
      <c r="I438" s="69"/>
      <c r="J438" s="69"/>
      <c r="K438" s="69"/>
      <c r="L438" s="69"/>
      <c r="M438" s="69"/>
      <c r="N438" s="69"/>
      <c r="O438" s="69"/>
      <c r="P438" s="69"/>
      <c r="Q438" s="69"/>
      <c r="R438" s="69"/>
      <c r="S438" s="28"/>
      <c r="T438" s="28"/>
      <c r="U438" s="28"/>
      <c r="V438" s="69"/>
      <c r="W438" s="28"/>
      <c r="X438" s="174"/>
      <c r="Y438" s="174"/>
      <c r="Z438" s="69"/>
      <c r="AA438" s="16"/>
      <c r="AB438" s="16"/>
      <c r="AC438" s="16"/>
      <c r="AL438" s="6"/>
      <c r="AM438" s="6"/>
      <c r="AN438" s="6"/>
    </row>
    <row r="439" spans="1:40" s="40" customFormat="1">
      <c r="A439" s="1"/>
      <c r="B439" s="28"/>
      <c r="C439" s="28"/>
      <c r="D439" s="28"/>
      <c r="E439" s="28"/>
      <c r="F439" s="28"/>
      <c r="G439" s="69"/>
      <c r="H439" s="69"/>
      <c r="I439" s="69"/>
      <c r="J439" s="69"/>
      <c r="K439" s="69"/>
      <c r="L439" s="69"/>
      <c r="M439" s="69"/>
      <c r="N439" s="69"/>
      <c r="O439" s="69"/>
      <c r="P439" s="69"/>
      <c r="Q439" s="69"/>
      <c r="R439" s="69"/>
      <c r="S439" s="28"/>
      <c r="T439" s="28"/>
      <c r="U439" s="28"/>
      <c r="V439" s="69"/>
      <c r="W439" s="28"/>
      <c r="X439" s="174"/>
      <c r="Y439" s="174"/>
      <c r="Z439" s="69"/>
      <c r="AA439" s="16"/>
      <c r="AB439" s="16"/>
      <c r="AC439" s="16"/>
      <c r="AL439" s="6"/>
      <c r="AM439" s="6"/>
      <c r="AN439" s="6"/>
    </row>
  </sheetData>
  <mergeCells count="29">
    <mergeCell ref="A4:J5"/>
    <mergeCell ref="A221:BF221"/>
    <mergeCell ref="A233:BF233"/>
    <mergeCell ref="A262:BF262"/>
    <mergeCell ref="A308:BF308"/>
    <mergeCell ref="S7:V7"/>
    <mergeCell ref="AU7:AX7"/>
    <mergeCell ref="AY7:BB7"/>
    <mergeCell ref="AI7:AL7"/>
    <mergeCell ref="AA7:AD7"/>
    <mergeCell ref="AE7:AH7"/>
    <mergeCell ref="AM7:AP7"/>
    <mergeCell ref="AQ7:AT7"/>
    <mergeCell ref="A359:BF359"/>
    <mergeCell ref="AA6:AL6"/>
    <mergeCell ref="A9:BF9"/>
    <mergeCell ref="A76:BF76"/>
    <mergeCell ref="A117:BF117"/>
    <mergeCell ref="A152:BF152"/>
    <mergeCell ref="BC7:BF7"/>
    <mergeCell ref="AY6:BB6"/>
    <mergeCell ref="BC6:BF6"/>
    <mergeCell ref="AM6:AX6"/>
    <mergeCell ref="W7:Z7"/>
    <mergeCell ref="C7:F7"/>
    <mergeCell ref="G7:J7"/>
    <mergeCell ref="K7:N7"/>
    <mergeCell ref="O7:R7"/>
    <mergeCell ref="C6:Z6"/>
  </mergeCells>
  <pageMargins left="0.70866141732283472" right="0.70866141732283472" top="0.74803149606299213" bottom="0.74803149606299213" header="0.31496062992125984" footer="0.31496062992125984"/>
  <pageSetup scale="10" fitToHeight="2"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54A5C-97C2-4952-AA62-6F6911123AF2}">
  <sheetPr codeName="Sheet3"/>
  <dimension ref="A1:W393"/>
  <sheetViews>
    <sheetView zoomScaleNormal="100" workbookViewId="0">
      <selection activeCell="A329" sqref="A329"/>
    </sheetView>
  </sheetViews>
  <sheetFormatPr defaultRowHeight="15"/>
  <cols>
    <col min="1" max="1" width="255.7109375" bestFit="1" customWidth="1"/>
  </cols>
  <sheetData>
    <row r="1" spans="1:10" ht="15" customHeight="1">
      <c r="A1" s="521" t="s">
        <v>3055</v>
      </c>
      <c r="B1" s="521"/>
      <c r="C1" s="521"/>
      <c r="D1" s="521"/>
      <c r="E1" s="521"/>
      <c r="F1" s="521"/>
      <c r="G1" s="521"/>
      <c r="H1" s="521"/>
      <c r="I1" s="521"/>
      <c r="J1" s="521"/>
    </row>
    <row r="2" spans="1:10" ht="15" customHeight="1">
      <c r="A2" s="521"/>
      <c r="B2" s="521"/>
      <c r="C2" s="521"/>
      <c r="D2" s="521"/>
      <c r="E2" s="521"/>
      <c r="F2" s="521"/>
      <c r="G2" s="521"/>
      <c r="H2" s="521"/>
      <c r="I2" s="521"/>
      <c r="J2" s="521"/>
    </row>
    <row r="3" spans="1:10">
      <c r="A3" s="521"/>
      <c r="B3" s="521"/>
      <c r="C3" s="521"/>
      <c r="D3" s="521"/>
      <c r="E3" s="521"/>
      <c r="F3" s="521"/>
      <c r="G3" s="521"/>
      <c r="H3" s="521"/>
      <c r="I3" s="521"/>
      <c r="J3" s="521"/>
    </row>
    <row r="5" spans="1:10">
      <c r="A5" s="25" t="s">
        <v>149</v>
      </c>
    </row>
    <row r="6" spans="1:10">
      <c r="A6" s="334" t="s">
        <v>178</v>
      </c>
    </row>
    <row r="7" spans="1:10">
      <c r="A7" s="334" t="s">
        <v>1602</v>
      </c>
    </row>
    <row r="8" spans="1:10">
      <c r="A8" s="334" t="s">
        <v>334</v>
      </c>
    </row>
    <row r="9" spans="1:10">
      <c r="A9" s="334" t="s">
        <v>325</v>
      </c>
    </row>
    <row r="10" spans="1:10">
      <c r="A10" s="334" t="s">
        <v>2029</v>
      </c>
    </row>
    <row r="11" spans="1:10">
      <c r="A11" s="334" t="s">
        <v>385</v>
      </c>
    </row>
    <row r="12" spans="1:10">
      <c r="A12" s="334" t="s">
        <v>1870</v>
      </c>
    </row>
    <row r="13" spans="1:10">
      <c r="A13" s="334" t="s">
        <v>2030</v>
      </c>
    </row>
    <row r="14" spans="1:10">
      <c r="A14" s="334" t="s">
        <v>1292</v>
      </c>
    </row>
    <row r="15" spans="1:10">
      <c r="A15" s="334" t="s">
        <v>150</v>
      </c>
    </row>
    <row r="16" spans="1:10">
      <c r="A16" s="334" t="s">
        <v>2031</v>
      </c>
    </row>
    <row r="17" spans="1:1" s="54" customFormat="1">
      <c r="A17" s="334" t="s">
        <v>151</v>
      </c>
    </row>
    <row r="18" spans="1:1" s="54" customFormat="1">
      <c r="A18" s="334" t="s">
        <v>1873</v>
      </c>
    </row>
    <row r="19" spans="1:1">
      <c r="A19" s="334" t="s">
        <v>1228</v>
      </c>
    </row>
    <row r="20" spans="1:1">
      <c r="A20" s="334" t="s">
        <v>1769</v>
      </c>
    </row>
    <row r="21" spans="1:1">
      <c r="A21" s="334" t="s">
        <v>154</v>
      </c>
    </row>
    <row r="22" spans="1:1">
      <c r="A22" s="334" t="s">
        <v>1093</v>
      </c>
    </row>
    <row r="23" spans="1:1">
      <c r="A23" s="334" t="s">
        <v>167</v>
      </c>
    </row>
    <row r="24" spans="1:1">
      <c r="A24" s="334" t="s">
        <v>1782</v>
      </c>
    </row>
    <row r="25" spans="1:1">
      <c r="A25" s="334" t="s">
        <v>1225</v>
      </c>
    </row>
    <row r="26" spans="1:1">
      <c r="A26" s="334" t="s">
        <v>1300</v>
      </c>
    </row>
    <row r="27" spans="1:1">
      <c r="A27" s="334" t="s">
        <v>1341</v>
      </c>
    </row>
    <row r="28" spans="1:1">
      <c r="A28" s="334" t="s">
        <v>976</v>
      </c>
    </row>
    <row r="29" spans="1:1">
      <c r="A29" s="334" t="s">
        <v>1279</v>
      </c>
    </row>
    <row r="30" spans="1:1">
      <c r="A30" s="334" t="s">
        <v>611</v>
      </c>
    </row>
    <row r="31" spans="1:1">
      <c r="A31" s="334" t="s">
        <v>2032</v>
      </c>
    </row>
    <row r="32" spans="1:1">
      <c r="A32" s="334" t="s">
        <v>1842</v>
      </c>
    </row>
    <row r="33" spans="1:1">
      <c r="A33" s="334" t="s">
        <v>2033</v>
      </c>
    </row>
    <row r="34" spans="1:1">
      <c r="A34" s="334" t="s">
        <v>387</v>
      </c>
    </row>
    <row r="35" spans="1:1">
      <c r="A35" s="334" t="s">
        <v>1168</v>
      </c>
    </row>
    <row r="36" spans="1:1">
      <c r="A36" s="334" t="s">
        <v>351</v>
      </c>
    </row>
    <row r="37" spans="1:1">
      <c r="A37" s="334" t="s">
        <v>1701</v>
      </c>
    </row>
    <row r="38" spans="1:1">
      <c r="A38" s="334" t="s">
        <v>848</v>
      </c>
    </row>
    <row r="39" spans="1:1">
      <c r="A39" s="334" t="s">
        <v>1821</v>
      </c>
    </row>
    <row r="40" spans="1:1">
      <c r="A40" s="334" t="s">
        <v>2034</v>
      </c>
    </row>
    <row r="41" spans="1:1">
      <c r="A41" s="334" t="s">
        <v>1074</v>
      </c>
    </row>
    <row r="42" spans="1:1">
      <c r="A42" s="334" t="s">
        <v>1293</v>
      </c>
    </row>
    <row r="43" spans="1:1">
      <c r="A43" s="334" t="s">
        <v>2035</v>
      </c>
    </row>
    <row r="44" spans="1:1">
      <c r="A44" s="334" t="s">
        <v>2036</v>
      </c>
    </row>
    <row r="45" spans="1:1">
      <c r="A45" s="334" t="s">
        <v>1668</v>
      </c>
    </row>
    <row r="46" spans="1:1">
      <c r="A46" s="334" t="s">
        <v>2037</v>
      </c>
    </row>
    <row r="47" spans="1:1" s="334" customFormat="1">
      <c r="A47" s="334" t="s">
        <v>2038</v>
      </c>
    </row>
    <row r="48" spans="1:1">
      <c r="A48" s="334" t="s">
        <v>1868</v>
      </c>
    </row>
    <row r="49" spans="1:1">
      <c r="A49" s="334" t="s">
        <v>1263</v>
      </c>
    </row>
    <row r="50" spans="1:1">
      <c r="A50" s="334" t="s">
        <v>1339</v>
      </c>
    </row>
    <row r="51" spans="1:1">
      <c r="A51" s="334" t="s">
        <v>217</v>
      </c>
    </row>
    <row r="52" spans="1:1">
      <c r="A52" s="334" t="s">
        <v>1747</v>
      </c>
    </row>
    <row r="53" spans="1:1">
      <c r="A53" s="334" t="s">
        <v>2039</v>
      </c>
    </row>
    <row r="54" spans="1:1">
      <c r="A54" s="334" t="s">
        <v>1875</v>
      </c>
    </row>
    <row r="55" spans="1:1">
      <c r="A55" s="334" t="s">
        <v>2082</v>
      </c>
    </row>
    <row r="56" spans="1:1">
      <c r="A56" s="334" t="s">
        <v>751</v>
      </c>
    </row>
    <row r="57" spans="1:1">
      <c r="A57" s="334" t="s">
        <v>2040</v>
      </c>
    </row>
    <row r="58" spans="1:1">
      <c r="A58" s="334" t="s">
        <v>747</v>
      </c>
    </row>
    <row r="59" spans="1:1">
      <c r="A59" s="334" t="s">
        <v>396</v>
      </c>
    </row>
    <row r="60" spans="1:1">
      <c r="A60" s="334" t="s">
        <v>2041</v>
      </c>
    </row>
    <row r="61" spans="1:1">
      <c r="A61" s="334" t="s">
        <v>2042</v>
      </c>
    </row>
    <row r="62" spans="1:1">
      <c r="A62" s="334" t="s">
        <v>2043</v>
      </c>
    </row>
    <row r="63" spans="1:1">
      <c r="A63" s="334" t="s">
        <v>157</v>
      </c>
    </row>
    <row r="64" spans="1:1">
      <c r="A64" s="334" t="s">
        <v>496</v>
      </c>
    </row>
    <row r="65" spans="1:1">
      <c r="A65" s="334" t="s">
        <v>565</v>
      </c>
    </row>
    <row r="66" spans="1:1">
      <c r="A66" s="334" t="s">
        <v>817</v>
      </c>
    </row>
    <row r="67" spans="1:1">
      <c r="A67" s="334" t="s">
        <v>1303</v>
      </c>
    </row>
    <row r="68" spans="1:1">
      <c r="A68" s="334" t="s">
        <v>1330</v>
      </c>
    </row>
    <row r="69" spans="1:1">
      <c r="A69" s="334" t="s">
        <v>1320</v>
      </c>
    </row>
    <row r="70" spans="1:1">
      <c r="A70" s="334" t="s">
        <v>2044</v>
      </c>
    </row>
    <row r="71" spans="1:1">
      <c r="A71" s="334" t="s">
        <v>963</v>
      </c>
    </row>
    <row r="72" spans="1:1">
      <c r="A72" s="334" t="s">
        <v>2045</v>
      </c>
    </row>
    <row r="73" spans="1:1">
      <c r="A73" s="334" t="s">
        <v>2046</v>
      </c>
    </row>
    <row r="74" spans="1:1">
      <c r="A74" s="334" t="s">
        <v>566</v>
      </c>
    </row>
    <row r="75" spans="1:1">
      <c r="A75" s="334" t="s">
        <v>2047</v>
      </c>
    </row>
    <row r="76" spans="1:1">
      <c r="A76" s="334" t="s">
        <v>1829</v>
      </c>
    </row>
    <row r="77" spans="1:1">
      <c r="A77" s="334" t="s">
        <v>2084</v>
      </c>
    </row>
    <row r="78" spans="1:1">
      <c r="A78" s="334" t="s">
        <v>2048</v>
      </c>
    </row>
    <row r="79" spans="1:1">
      <c r="A79" s="334" t="s">
        <v>709</v>
      </c>
    </row>
    <row r="80" spans="1:1">
      <c r="A80" s="334" t="s">
        <v>2049</v>
      </c>
    </row>
    <row r="81" spans="1:1">
      <c r="A81" s="334" t="s">
        <v>399</v>
      </c>
    </row>
    <row r="82" spans="1:1">
      <c r="A82" s="334" t="s">
        <v>2050</v>
      </c>
    </row>
    <row r="83" spans="1:1">
      <c r="A83" s="334" t="s">
        <v>2085</v>
      </c>
    </row>
    <row r="84" spans="1:1">
      <c r="A84" s="334" t="s">
        <v>2087</v>
      </c>
    </row>
    <row r="85" spans="1:1">
      <c r="A85" s="334" t="s">
        <v>809</v>
      </c>
    </row>
    <row r="86" spans="1:1">
      <c r="A86" s="334" t="s">
        <v>1230</v>
      </c>
    </row>
    <row r="87" spans="1:1">
      <c r="A87" s="334" t="s">
        <v>1839</v>
      </c>
    </row>
    <row r="88" spans="1:1">
      <c r="A88" s="334" t="s">
        <v>152</v>
      </c>
    </row>
    <row r="89" spans="1:1">
      <c r="A89" s="334" t="s">
        <v>2090</v>
      </c>
    </row>
    <row r="90" spans="1:1">
      <c r="A90" s="334" t="s">
        <v>2051</v>
      </c>
    </row>
    <row r="91" spans="1:1">
      <c r="A91" s="334" t="s">
        <v>2091</v>
      </c>
    </row>
    <row r="92" spans="1:1">
      <c r="A92" s="334" t="s">
        <v>2092</v>
      </c>
    </row>
    <row r="93" spans="1:1">
      <c r="A93" s="334" t="s">
        <v>429</v>
      </c>
    </row>
    <row r="94" spans="1:1">
      <c r="A94" s="334" t="s">
        <v>439</v>
      </c>
    </row>
    <row r="95" spans="1:1">
      <c r="A95" s="334" t="s">
        <v>2052</v>
      </c>
    </row>
    <row r="96" spans="1:1">
      <c r="A96" s="334" t="s">
        <v>2342</v>
      </c>
    </row>
    <row r="97" spans="1:1">
      <c r="A97" s="334" t="s">
        <v>1165</v>
      </c>
    </row>
    <row r="98" spans="1:1">
      <c r="A98" s="334" t="s">
        <v>2053</v>
      </c>
    </row>
    <row r="99" spans="1:1" ht="15.75" customHeight="1">
      <c r="A99" s="334" t="s">
        <v>945</v>
      </c>
    </row>
    <row r="100" spans="1:1" ht="15.75" customHeight="1">
      <c r="A100" s="334" t="s">
        <v>578</v>
      </c>
    </row>
    <row r="101" spans="1:1" ht="15.75" customHeight="1">
      <c r="A101" s="334" t="s">
        <v>2787</v>
      </c>
    </row>
    <row r="102" spans="1:1">
      <c r="A102" s="334" t="s">
        <v>2054</v>
      </c>
    </row>
    <row r="103" spans="1:1">
      <c r="A103" s="334" t="s">
        <v>382</v>
      </c>
    </row>
    <row r="104" spans="1:1">
      <c r="A104" s="334" t="s">
        <v>2055</v>
      </c>
    </row>
    <row r="105" spans="1:1">
      <c r="A105" s="334" t="s">
        <v>193</v>
      </c>
    </row>
    <row r="106" spans="1:1">
      <c r="A106" s="334" t="s">
        <v>1226</v>
      </c>
    </row>
    <row r="107" spans="1:1">
      <c r="A107" s="334" t="s">
        <v>2347</v>
      </c>
    </row>
    <row r="108" spans="1:1">
      <c r="A108" s="334" t="s">
        <v>2056</v>
      </c>
    </row>
    <row r="109" spans="1:1">
      <c r="A109" s="334" t="s">
        <v>750</v>
      </c>
    </row>
    <row r="110" spans="1:1">
      <c r="A110" s="334" t="s">
        <v>946</v>
      </c>
    </row>
    <row r="111" spans="1:1">
      <c r="A111" s="334" t="s">
        <v>947</v>
      </c>
    </row>
    <row r="112" spans="1:1">
      <c r="A112" s="334" t="s">
        <v>1144</v>
      </c>
    </row>
    <row r="113" spans="1:1">
      <c r="A113" s="334" t="s">
        <v>406</v>
      </c>
    </row>
    <row r="114" spans="1:1">
      <c r="A114" s="334" t="s">
        <v>1166</v>
      </c>
    </row>
    <row r="115" spans="1:1">
      <c r="A115" s="334" t="s">
        <v>500</v>
      </c>
    </row>
    <row r="116" spans="1:1">
      <c r="A116" s="334" t="s">
        <v>1412</v>
      </c>
    </row>
    <row r="117" spans="1:1">
      <c r="A117" s="334" t="s">
        <v>1157</v>
      </c>
    </row>
    <row r="118" spans="1:1">
      <c r="A118" s="334" t="s">
        <v>2057</v>
      </c>
    </row>
    <row r="119" spans="1:1" s="256" customFormat="1">
      <c r="A119" s="334" t="s">
        <v>2058</v>
      </c>
    </row>
    <row r="120" spans="1:1">
      <c r="A120" s="334" t="s">
        <v>2059</v>
      </c>
    </row>
    <row r="121" spans="1:1">
      <c r="A121" s="334" t="s">
        <v>1413</v>
      </c>
    </row>
    <row r="122" spans="1:1">
      <c r="A122" s="334" t="s">
        <v>2060</v>
      </c>
    </row>
    <row r="123" spans="1:1">
      <c r="A123" s="334" t="s">
        <v>2061</v>
      </c>
    </row>
    <row r="124" spans="1:1">
      <c r="A124" s="334" t="s">
        <v>2062</v>
      </c>
    </row>
    <row r="125" spans="1:1">
      <c r="A125" s="334" t="s">
        <v>1421</v>
      </c>
    </row>
    <row r="126" spans="1:1">
      <c r="A126" s="334" t="s">
        <v>2534</v>
      </c>
    </row>
    <row r="127" spans="1:1">
      <c r="A127" s="334" t="s">
        <v>363</v>
      </c>
    </row>
    <row r="128" spans="1:1">
      <c r="A128" s="334" t="s">
        <v>2063</v>
      </c>
    </row>
    <row r="129" spans="1:1">
      <c r="A129" s="334" t="s">
        <v>1889</v>
      </c>
    </row>
    <row r="130" spans="1:1">
      <c r="A130" s="334" t="s">
        <v>819</v>
      </c>
    </row>
    <row r="131" spans="1:1">
      <c r="A131" s="334" t="s">
        <v>1914</v>
      </c>
    </row>
    <row r="132" spans="1:1">
      <c r="A132" s="334" t="s">
        <v>2548</v>
      </c>
    </row>
    <row r="133" spans="1:1">
      <c r="A133" s="334" t="s">
        <v>1844</v>
      </c>
    </row>
    <row r="134" spans="1:1">
      <c r="A134" s="334" t="s">
        <v>1869</v>
      </c>
    </row>
    <row r="135" spans="1:1">
      <c r="A135" s="334" t="s">
        <v>444</v>
      </c>
    </row>
    <row r="136" spans="1:1">
      <c r="A136" s="334" t="s">
        <v>445</v>
      </c>
    </row>
    <row r="137" spans="1:1">
      <c r="A137" s="334" t="s">
        <v>1352</v>
      </c>
    </row>
    <row r="138" spans="1:1">
      <c r="A138" s="334" t="s">
        <v>2064</v>
      </c>
    </row>
    <row r="139" spans="1:1">
      <c r="A139" s="334" t="s">
        <v>1805</v>
      </c>
    </row>
    <row r="140" spans="1:1">
      <c r="A140" s="334" t="s">
        <v>1363</v>
      </c>
    </row>
    <row r="141" spans="1:1">
      <c r="A141" s="334" t="s">
        <v>857</v>
      </c>
    </row>
    <row r="142" spans="1:1">
      <c r="A142" s="334" t="s">
        <v>2065</v>
      </c>
    </row>
    <row r="143" spans="1:1">
      <c r="A143" s="334" t="s">
        <v>2634</v>
      </c>
    </row>
    <row r="144" spans="1:1">
      <c r="A144" s="334" t="s">
        <v>1411</v>
      </c>
    </row>
    <row r="145" spans="1:1">
      <c r="A145" s="334" t="s">
        <v>836</v>
      </c>
    </row>
    <row r="146" spans="1:1">
      <c r="A146" s="334" t="s">
        <v>158</v>
      </c>
    </row>
    <row r="147" spans="1:1">
      <c r="A147" s="334" t="s">
        <v>1724</v>
      </c>
    </row>
    <row r="148" spans="1:1">
      <c r="A148" s="334" t="s">
        <v>390</v>
      </c>
    </row>
    <row r="149" spans="1:1">
      <c r="A149" s="334" t="s">
        <v>1723</v>
      </c>
    </row>
    <row r="150" spans="1:1">
      <c r="A150" s="334" t="s">
        <v>842</v>
      </c>
    </row>
    <row r="151" spans="1:1">
      <c r="A151" s="334" t="s">
        <v>1885</v>
      </c>
    </row>
    <row r="152" spans="1:1">
      <c r="A152" s="334" t="s">
        <v>525</v>
      </c>
    </row>
    <row r="153" spans="1:1">
      <c r="A153" s="334" t="s">
        <v>2066</v>
      </c>
    </row>
    <row r="154" spans="1:1">
      <c r="A154" s="334" t="s">
        <v>2067</v>
      </c>
    </row>
    <row r="155" spans="1:1">
      <c r="A155" s="334" t="s">
        <v>778</v>
      </c>
    </row>
    <row r="156" spans="1:1">
      <c r="A156" s="334" t="s">
        <v>218</v>
      </c>
    </row>
    <row r="157" spans="1:1">
      <c r="A157" s="334" t="s">
        <v>808</v>
      </c>
    </row>
    <row r="158" spans="1:1">
      <c r="A158" s="334" t="s">
        <v>2068</v>
      </c>
    </row>
    <row r="159" spans="1:1">
      <c r="A159" s="334" t="s">
        <v>2069</v>
      </c>
    </row>
    <row r="160" spans="1:1">
      <c r="A160" s="334" t="s">
        <v>1337</v>
      </c>
    </row>
    <row r="161" spans="1:1">
      <c r="A161" s="334" t="s">
        <v>415</v>
      </c>
    </row>
    <row r="162" spans="1:1">
      <c r="A162" s="334" t="s">
        <v>465</v>
      </c>
    </row>
    <row r="163" spans="1:1">
      <c r="A163" s="334" t="s">
        <v>2070</v>
      </c>
    </row>
    <row r="164" spans="1:1">
      <c r="A164" s="334" t="s">
        <v>839</v>
      </c>
    </row>
    <row r="165" spans="1:1">
      <c r="A165" s="334" t="s">
        <v>1384</v>
      </c>
    </row>
    <row r="166" spans="1:1">
      <c r="A166" s="334" t="s">
        <v>2071</v>
      </c>
    </row>
    <row r="167" spans="1:1">
      <c r="A167" s="334" t="s">
        <v>179</v>
      </c>
    </row>
    <row r="168" spans="1:1">
      <c r="A168" s="334" t="s">
        <v>2511</v>
      </c>
    </row>
    <row r="169" spans="1:1">
      <c r="A169" s="334" t="s">
        <v>1751</v>
      </c>
    </row>
    <row r="170" spans="1:1">
      <c r="A170" s="334" t="s">
        <v>2072</v>
      </c>
    </row>
    <row r="171" spans="1:1">
      <c r="A171" s="334" t="s">
        <v>2073</v>
      </c>
    </row>
    <row r="172" spans="1:1">
      <c r="A172" s="334" t="s">
        <v>393</v>
      </c>
    </row>
    <row r="173" spans="1:1">
      <c r="A173" s="334" t="s">
        <v>411</v>
      </c>
    </row>
    <row r="174" spans="1:1">
      <c r="A174" s="334" t="s">
        <v>612</v>
      </c>
    </row>
    <row r="175" spans="1:1">
      <c r="A175" s="334" t="s">
        <v>228</v>
      </c>
    </row>
    <row r="176" spans="1:1">
      <c r="A176" s="334" t="s">
        <v>1909</v>
      </c>
    </row>
    <row r="177" spans="1:1">
      <c r="A177" s="334" t="s">
        <v>2535</v>
      </c>
    </row>
    <row r="178" spans="1:1">
      <c r="A178" s="334" t="s">
        <v>2584</v>
      </c>
    </row>
    <row r="179" spans="1:1">
      <c r="A179" s="334" t="s">
        <v>392</v>
      </c>
    </row>
    <row r="180" spans="1:1">
      <c r="A180" s="334" t="s">
        <v>212</v>
      </c>
    </row>
    <row r="181" spans="1:1">
      <c r="A181" s="334" t="s">
        <v>2093</v>
      </c>
    </row>
    <row r="182" spans="1:1">
      <c r="A182" s="334" t="s">
        <v>773</v>
      </c>
    </row>
    <row r="183" spans="1:1">
      <c r="A183" s="334" t="s">
        <v>1908</v>
      </c>
    </row>
    <row r="184" spans="1:1">
      <c r="A184" s="334" t="s">
        <v>2074</v>
      </c>
    </row>
    <row r="185" spans="1:1">
      <c r="A185" s="334" t="s">
        <v>2334</v>
      </c>
    </row>
    <row r="186" spans="1:1">
      <c r="A186" s="334" t="s">
        <v>1834</v>
      </c>
    </row>
    <row r="187" spans="1:1">
      <c r="A187" s="334" t="s">
        <v>187</v>
      </c>
    </row>
    <row r="188" spans="1:1">
      <c r="A188" s="334" t="s">
        <v>1758</v>
      </c>
    </row>
    <row r="189" spans="1:1">
      <c r="A189" s="334" t="s">
        <v>949</v>
      </c>
    </row>
    <row r="190" spans="1:1">
      <c r="A190" s="334" t="s">
        <v>2095</v>
      </c>
    </row>
    <row r="191" spans="1:1">
      <c r="A191" s="334" t="s">
        <v>1906</v>
      </c>
    </row>
    <row r="192" spans="1:1">
      <c r="A192" s="334" t="s">
        <v>153</v>
      </c>
    </row>
    <row r="193" spans="1:1">
      <c r="A193" s="334" t="s">
        <v>1148</v>
      </c>
    </row>
    <row r="194" spans="1:1">
      <c r="A194" s="334" t="s">
        <v>1170</v>
      </c>
    </row>
    <row r="195" spans="1:1">
      <c r="A195" s="334" t="s">
        <v>215</v>
      </c>
    </row>
    <row r="196" spans="1:1">
      <c r="A196" s="334" t="s">
        <v>477</v>
      </c>
    </row>
    <row r="197" spans="1:1">
      <c r="A197" t="s">
        <v>2075</v>
      </c>
    </row>
    <row r="198" spans="1:1">
      <c r="A198" s="334" t="s">
        <v>1878</v>
      </c>
    </row>
    <row r="199" spans="1:1">
      <c r="A199" s="334" t="s">
        <v>2076</v>
      </c>
    </row>
    <row r="200" spans="1:1">
      <c r="A200" s="334" t="s">
        <v>155</v>
      </c>
    </row>
    <row r="201" spans="1:1">
      <c r="A201" s="334" t="s">
        <v>156</v>
      </c>
    </row>
    <row r="202" spans="1:1">
      <c r="A202" s="334" t="s">
        <v>1114</v>
      </c>
    </row>
    <row r="203" spans="1:1">
      <c r="A203" s="334" t="s">
        <v>1182</v>
      </c>
    </row>
    <row r="204" spans="1:1">
      <c r="A204" s="334" t="s">
        <v>1169</v>
      </c>
    </row>
    <row r="205" spans="1:1">
      <c r="A205" s="334" t="s">
        <v>342</v>
      </c>
    </row>
    <row r="206" spans="1:1">
      <c r="A206" s="334" t="s">
        <v>340</v>
      </c>
    </row>
    <row r="207" spans="1:1">
      <c r="A207" s="334" t="s">
        <v>2077</v>
      </c>
    </row>
    <row r="208" spans="1:1">
      <c r="A208" s="334" t="s">
        <v>1891</v>
      </c>
    </row>
    <row r="209" spans="1:1">
      <c r="A209" s="334" t="s">
        <v>1895</v>
      </c>
    </row>
    <row r="210" spans="1:1">
      <c r="A210" s="334" t="s">
        <v>2078</v>
      </c>
    </row>
    <row r="211" spans="1:1">
      <c r="A211" s="334" t="s">
        <v>2609</v>
      </c>
    </row>
    <row r="212" spans="1:1">
      <c r="A212" s="334" t="s">
        <v>2079</v>
      </c>
    </row>
    <row r="213" spans="1:1">
      <c r="A213" t="s">
        <v>2080</v>
      </c>
    </row>
    <row r="214" spans="1:1">
      <c r="A214" s="334" t="s">
        <v>2633</v>
      </c>
    </row>
    <row r="215" spans="1:1">
      <c r="A215" s="334" t="s">
        <v>907</v>
      </c>
    </row>
    <row r="216" spans="1:1">
      <c r="A216" t="s">
        <v>2619</v>
      </c>
    </row>
    <row r="217" spans="1:1">
      <c r="A217" s="334" t="s">
        <v>1900</v>
      </c>
    </row>
    <row r="218" spans="1:1" ht="15" customHeight="1">
      <c r="A218" s="334" t="s">
        <v>2081</v>
      </c>
    </row>
    <row r="219" spans="1:1" ht="15" customHeight="1">
      <c r="A219" s="334" t="s">
        <v>180</v>
      </c>
    </row>
    <row r="220" spans="1:1">
      <c r="A220" s="334" t="s">
        <v>769</v>
      </c>
    </row>
    <row r="221" spans="1:1">
      <c r="A221" s="334" t="s">
        <v>801</v>
      </c>
    </row>
    <row r="222" spans="1:1">
      <c r="A222" s="334" t="s">
        <v>1306</v>
      </c>
    </row>
    <row r="223" spans="1:1">
      <c r="A223" t="s">
        <v>2672</v>
      </c>
    </row>
    <row r="224" spans="1:1">
      <c r="A224" t="s">
        <v>2673</v>
      </c>
    </row>
    <row r="225" spans="1:1">
      <c r="A225" t="s">
        <v>2674</v>
      </c>
    </row>
    <row r="226" spans="1:1">
      <c r="A226" t="s">
        <v>2675</v>
      </c>
    </row>
    <row r="227" spans="1:1">
      <c r="A227" t="s">
        <v>2676</v>
      </c>
    </row>
    <row r="228" spans="1:1">
      <c r="A228" t="s">
        <v>2677</v>
      </c>
    </row>
    <row r="229" spans="1:1">
      <c r="A229" t="s">
        <v>2678</v>
      </c>
    </row>
    <row r="230" spans="1:1">
      <c r="A230" t="s">
        <v>2679</v>
      </c>
    </row>
    <row r="231" spans="1:1">
      <c r="A231" t="s">
        <v>2680</v>
      </c>
    </row>
    <row r="232" spans="1:1">
      <c r="A232" t="s">
        <v>2681</v>
      </c>
    </row>
    <row r="233" spans="1:1">
      <c r="A233" t="s">
        <v>2682</v>
      </c>
    </row>
    <row r="234" spans="1:1">
      <c r="A234" t="s">
        <v>2683</v>
      </c>
    </row>
    <row r="235" spans="1:1">
      <c r="A235" t="s">
        <v>2684</v>
      </c>
    </row>
    <row r="236" spans="1:1">
      <c r="A236" t="s">
        <v>2685</v>
      </c>
    </row>
    <row r="237" spans="1:1">
      <c r="A237" t="s">
        <v>2686</v>
      </c>
    </row>
    <row r="239" spans="1:1">
      <c r="A239" s="28" t="s">
        <v>414</v>
      </c>
    </row>
    <row r="240" spans="1:1">
      <c r="A240" s="28" t="s">
        <v>423</v>
      </c>
    </row>
    <row r="241" spans="1:1">
      <c r="A241" s="28" t="s">
        <v>474</v>
      </c>
    </row>
    <row r="242" spans="1:1">
      <c r="A242" s="28" t="s">
        <v>898</v>
      </c>
    </row>
    <row r="243" spans="1:1">
      <c r="A243" s="28" t="s">
        <v>1142</v>
      </c>
    </row>
    <row r="244" spans="1:1">
      <c r="A244" s="28" t="s">
        <v>2454</v>
      </c>
    </row>
    <row r="245" spans="1:1">
      <c r="A245" s="28"/>
    </row>
    <row r="246" spans="1:1">
      <c r="A246" s="28" t="s">
        <v>326</v>
      </c>
    </row>
    <row r="247" spans="1:1">
      <c r="A247" s="28" t="s">
        <v>159</v>
      </c>
    </row>
    <row r="248" spans="1:1">
      <c r="A248" s="28" t="s">
        <v>160</v>
      </c>
    </row>
    <row r="249" spans="1:1">
      <c r="A249" s="28" t="s">
        <v>161</v>
      </c>
    </row>
    <row r="250" spans="1:1">
      <c r="A250" s="28" t="s">
        <v>162</v>
      </c>
    </row>
    <row r="251" spans="1:1">
      <c r="A251" s="28" t="s">
        <v>163</v>
      </c>
    </row>
    <row r="252" spans="1:1">
      <c r="A252" s="28" t="s">
        <v>164</v>
      </c>
    </row>
    <row r="253" spans="1:1">
      <c r="A253" s="28" t="s">
        <v>165</v>
      </c>
    </row>
    <row r="254" spans="1:1">
      <c r="A254" s="28" t="s">
        <v>166</v>
      </c>
    </row>
    <row r="255" spans="1:1">
      <c r="A255" s="28" t="s">
        <v>188</v>
      </c>
    </row>
    <row r="256" spans="1:1">
      <c r="A256" s="27" t="s">
        <v>201</v>
      </c>
    </row>
    <row r="257" spans="1:1">
      <c r="A257" s="28" t="s">
        <v>723</v>
      </c>
    </row>
    <row r="258" spans="1:1">
      <c r="A258" s="28" t="s">
        <v>724</v>
      </c>
    </row>
    <row r="259" spans="1:1">
      <c r="A259" s="28" t="s">
        <v>725</v>
      </c>
    </row>
    <row r="260" spans="1:1">
      <c r="A260" s="28" t="s">
        <v>726</v>
      </c>
    </row>
    <row r="261" spans="1:1">
      <c r="A261" s="28" t="s">
        <v>727</v>
      </c>
    </row>
    <row r="262" spans="1:1">
      <c r="A262" s="28" t="s">
        <v>314</v>
      </c>
    </row>
    <row r="263" spans="1:1">
      <c r="A263" s="28" t="s">
        <v>324</v>
      </c>
    </row>
    <row r="264" spans="1:1">
      <c r="A264" s="28" t="s">
        <v>728</v>
      </c>
    </row>
    <row r="265" spans="1:1">
      <c r="A265" s="28" t="s">
        <v>397</v>
      </c>
    </row>
    <row r="266" spans="1:1">
      <c r="A266" s="28" t="s">
        <v>729</v>
      </c>
    </row>
    <row r="267" spans="1:1">
      <c r="A267" s="27" t="s">
        <v>730</v>
      </c>
    </row>
    <row r="268" spans="1:1">
      <c r="A268" s="28" t="s">
        <v>467</v>
      </c>
    </row>
    <row r="269" spans="1:1">
      <c r="A269" s="28" t="s">
        <v>513</v>
      </c>
    </row>
    <row r="270" spans="1:1">
      <c r="A270" s="28" t="s">
        <v>534</v>
      </c>
    </row>
    <row r="271" spans="1:1">
      <c r="A271" s="28" t="s">
        <v>541</v>
      </c>
    </row>
    <row r="272" spans="1:1">
      <c r="A272" s="28" t="s">
        <v>903</v>
      </c>
    </row>
    <row r="273" spans="1:1">
      <c r="A273" s="28" t="s">
        <v>1002</v>
      </c>
    </row>
    <row r="274" spans="1:1">
      <c r="A274" s="64" t="s">
        <v>2102</v>
      </c>
    </row>
    <row r="275" spans="1:1">
      <c r="A275" s="64" t="s">
        <v>2103</v>
      </c>
    </row>
    <row r="276" spans="1:1">
      <c r="A276" s="64" t="s">
        <v>2104</v>
      </c>
    </row>
    <row r="277" spans="1:1">
      <c r="A277" s="64" t="s">
        <v>2097</v>
      </c>
    </row>
    <row r="278" spans="1:1">
      <c r="A278" s="64" t="s">
        <v>2098</v>
      </c>
    </row>
    <row r="279" spans="1:1">
      <c r="A279" s="64" t="s">
        <v>2099</v>
      </c>
    </row>
    <row r="280" spans="1:1">
      <c r="A280" s="64" t="s">
        <v>2100</v>
      </c>
    </row>
    <row r="281" spans="1:1">
      <c r="A281" s="64" t="s">
        <v>2101</v>
      </c>
    </row>
    <row r="282" spans="1:1">
      <c r="A282" s="28"/>
    </row>
    <row r="283" spans="1:1">
      <c r="A283" s="28" t="s">
        <v>991</v>
      </c>
    </row>
    <row r="284" spans="1:1">
      <c r="A284" s="28" t="s">
        <v>937</v>
      </c>
    </row>
    <row r="285" spans="1:1">
      <c r="A285" s="28" t="s">
        <v>606</v>
      </c>
    </row>
    <row r="286" spans="1:1">
      <c r="A286" s="28" t="s">
        <v>607</v>
      </c>
    </row>
    <row r="287" spans="1:1">
      <c r="A287" s="28" t="s">
        <v>608</v>
      </c>
    </row>
    <row r="288" spans="1:1">
      <c r="A288" s="28" t="s">
        <v>609</v>
      </c>
    </row>
    <row r="289" spans="1:1">
      <c r="A289" s="28" t="s">
        <v>666</v>
      </c>
    </row>
    <row r="290" spans="1:1">
      <c r="A290" s="28" t="s">
        <v>1117</v>
      </c>
    </row>
    <row r="291" spans="1:1">
      <c r="A291" s="28"/>
    </row>
    <row r="292" spans="1:1">
      <c r="A292" s="28" t="s">
        <v>204</v>
      </c>
    </row>
    <row r="293" spans="1:1">
      <c r="A293" s="28" t="s">
        <v>210</v>
      </c>
    </row>
    <row r="294" spans="1:1">
      <c r="A294" s="28" t="s">
        <v>602</v>
      </c>
    </row>
    <row r="295" spans="1:1">
      <c r="A295" s="28" t="s">
        <v>603</v>
      </c>
    </row>
    <row r="296" spans="1:1">
      <c r="A296" s="28" t="s">
        <v>604</v>
      </c>
    </row>
    <row r="297" spans="1:1">
      <c r="A297" s="28" t="s">
        <v>605</v>
      </c>
    </row>
    <row r="298" spans="1:1">
      <c r="A298" s="28" t="s">
        <v>428</v>
      </c>
    </row>
    <row r="299" spans="1:1">
      <c r="A299" s="27" t="s">
        <v>455</v>
      </c>
    </row>
    <row r="300" spans="1:1">
      <c r="A300" s="27" t="s">
        <v>471</v>
      </c>
    </row>
    <row r="301" spans="1:1">
      <c r="A301" s="27" t="s">
        <v>494</v>
      </c>
    </row>
    <row r="302" spans="1:1">
      <c r="A302" s="27" t="s">
        <v>559</v>
      </c>
    </row>
    <row r="303" spans="1:1">
      <c r="A303" s="27" t="s">
        <v>601</v>
      </c>
    </row>
    <row r="304" spans="1:1">
      <c r="A304" s="27" t="s">
        <v>600</v>
      </c>
    </row>
    <row r="305" spans="1:1">
      <c r="A305" s="27" t="s">
        <v>664</v>
      </c>
    </row>
    <row r="306" spans="1:1">
      <c r="A306" s="27" t="s">
        <v>701</v>
      </c>
    </row>
    <row r="307" spans="1:1">
      <c r="A307" s="27" t="s">
        <v>719</v>
      </c>
    </row>
    <row r="308" spans="1:1">
      <c r="A308" s="27" t="s">
        <v>718</v>
      </c>
    </row>
    <row r="309" spans="1:1">
      <c r="A309" s="27" t="s">
        <v>766</v>
      </c>
    </row>
    <row r="310" spans="1:1">
      <c r="A310" s="27" t="s">
        <v>767</v>
      </c>
    </row>
    <row r="311" spans="1:1">
      <c r="A311" s="27" t="s">
        <v>768</v>
      </c>
    </row>
    <row r="312" spans="1:1">
      <c r="A312" s="27" t="s">
        <v>792</v>
      </c>
    </row>
    <row r="313" spans="1:1">
      <c r="A313" s="27" t="s">
        <v>830</v>
      </c>
    </row>
    <row r="314" spans="1:1">
      <c r="A314" s="27" t="s">
        <v>829</v>
      </c>
    </row>
    <row r="315" spans="1:1">
      <c r="A315" s="27" t="s">
        <v>864</v>
      </c>
    </row>
    <row r="316" spans="1:1">
      <c r="A316" s="27" t="s">
        <v>892</v>
      </c>
    </row>
    <row r="317" spans="1:1">
      <c r="A317" s="27" t="s">
        <v>934</v>
      </c>
    </row>
    <row r="318" spans="1:1">
      <c r="A318" s="27" t="s">
        <v>953</v>
      </c>
    </row>
    <row r="319" spans="1:1">
      <c r="A319" s="27" t="s">
        <v>954</v>
      </c>
    </row>
    <row r="320" spans="1:1">
      <c r="A320" s="27" t="s">
        <v>955</v>
      </c>
    </row>
    <row r="321" spans="1:1">
      <c r="A321" s="27" t="s">
        <v>959</v>
      </c>
    </row>
    <row r="322" spans="1:1">
      <c r="A322" s="27" t="s">
        <v>972</v>
      </c>
    </row>
    <row r="323" spans="1:1">
      <c r="A323" s="27" t="s">
        <v>971</v>
      </c>
    </row>
    <row r="324" spans="1:1">
      <c r="A324" s="27" t="s">
        <v>986</v>
      </c>
    </row>
    <row r="325" spans="1:1">
      <c r="A325" s="27" t="s">
        <v>985</v>
      </c>
    </row>
    <row r="326" spans="1:1">
      <c r="A326" s="27" t="s">
        <v>990</v>
      </c>
    </row>
    <row r="327" spans="1:1">
      <c r="A327" s="27" t="s">
        <v>1001</v>
      </c>
    </row>
    <row r="328" spans="1:1">
      <c r="A328" s="27" t="s">
        <v>1059</v>
      </c>
    </row>
    <row r="329" spans="1:1">
      <c r="A329" s="27" t="s">
        <v>1112</v>
      </c>
    </row>
    <row r="330" spans="1:1">
      <c r="A330" s="256" t="s">
        <v>1115</v>
      </c>
    </row>
    <row r="331" spans="1:1">
      <c r="A331" s="256" t="s">
        <v>1118</v>
      </c>
    </row>
    <row r="332" spans="1:1">
      <c r="A332" s="256" t="s">
        <v>1120</v>
      </c>
    </row>
    <row r="333" spans="1:1">
      <c r="A333" s="256" t="s">
        <v>1136</v>
      </c>
    </row>
    <row r="334" spans="1:1">
      <c r="A334" s="256" t="s">
        <v>2105</v>
      </c>
    </row>
    <row r="335" spans="1:1">
      <c r="A335" s="256" t="s">
        <v>2106</v>
      </c>
    </row>
    <row r="336" spans="1:1">
      <c r="A336" s="256" t="s">
        <v>2107</v>
      </c>
    </row>
    <row r="337" spans="1:1">
      <c r="A337" s="256" t="s">
        <v>2108</v>
      </c>
    </row>
    <row r="338" spans="1:1">
      <c r="A338" s="256" t="s">
        <v>2109</v>
      </c>
    </row>
    <row r="339" spans="1:1">
      <c r="A339" s="256" t="s">
        <v>2110</v>
      </c>
    </row>
    <row r="340" spans="1:1">
      <c r="A340" s="256" t="s">
        <v>2111</v>
      </c>
    </row>
    <row r="341" spans="1:1">
      <c r="A341" s="256" t="s">
        <v>2112</v>
      </c>
    </row>
    <row r="342" spans="1:1">
      <c r="A342" s="256" t="s">
        <v>2113</v>
      </c>
    </row>
    <row r="343" spans="1:1">
      <c r="A343" s="256"/>
    </row>
    <row r="344" spans="1:1">
      <c r="A344" s="256" t="s">
        <v>2115</v>
      </c>
    </row>
    <row r="345" spans="1:1">
      <c r="A345" s="256" t="s">
        <v>2116</v>
      </c>
    </row>
    <row r="346" spans="1:1">
      <c r="A346" s="256"/>
    </row>
    <row r="347" spans="1:1">
      <c r="A347" s="256"/>
    </row>
    <row r="348" spans="1:1">
      <c r="A348" s="256"/>
    </row>
    <row r="349" spans="1:1">
      <c r="A349" s="256"/>
    </row>
    <row r="350" spans="1:1">
      <c r="A350" s="256"/>
    </row>
    <row r="351" spans="1:1">
      <c r="A351" s="256"/>
    </row>
    <row r="353" spans="1:1">
      <c r="A353" s="27"/>
    </row>
    <row r="354" spans="1:1">
      <c r="A354" s="27"/>
    </row>
    <row r="355" spans="1:1">
      <c r="A355" s="27"/>
    </row>
    <row r="356" spans="1:1">
      <c r="A356" s="27"/>
    </row>
    <row r="357" spans="1:1">
      <c r="A357" s="27"/>
    </row>
    <row r="358" spans="1:1">
      <c r="A358" s="27"/>
    </row>
    <row r="359" spans="1:1">
      <c r="A359" s="27"/>
    </row>
    <row r="360" spans="1:1">
      <c r="A360" s="27"/>
    </row>
    <row r="361" spans="1:1">
      <c r="A361" s="27"/>
    </row>
    <row r="362" spans="1:1">
      <c r="A362" s="27"/>
    </row>
    <row r="363" spans="1:1">
      <c r="A363" s="27"/>
    </row>
    <row r="364" spans="1:1">
      <c r="A364" s="27"/>
    </row>
    <row r="365" spans="1:1">
      <c r="A365" s="27"/>
    </row>
    <row r="366" spans="1:1">
      <c r="A366" s="27"/>
    </row>
    <row r="367" spans="1:1">
      <c r="A367" s="27"/>
    </row>
    <row r="368" spans="1:1">
      <c r="A368" s="27"/>
    </row>
    <row r="369" spans="1:1">
      <c r="A369" s="27"/>
    </row>
    <row r="370" spans="1:1">
      <c r="A370" s="27"/>
    </row>
    <row r="371" spans="1:1">
      <c r="A371" s="27"/>
    </row>
    <row r="372" spans="1:1">
      <c r="A372" s="27"/>
    </row>
    <row r="373" spans="1:1">
      <c r="A373" s="27"/>
    </row>
    <row r="374" spans="1:1">
      <c r="A374" s="27"/>
    </row>
    <row r="375" spans="1:1">
      <c r="A375" s="27"/>
    </row>
    <row r="376" spans="1:1">
      <c r="A376" s="27"/>
    </row>
    <row r="377" spans="1:1">
      <c r="A377" s="27"/>
    </row>
    <row r="378" spans="1:1">
      <c r="A378" s="27"/>
    </row>
    <row r="379" spans="1:1">
      <c r="A379" s="27"/>
    </row>
    <row r="380" spans="1:1">
      <c r="A380" s="27"/>
    </row>
    <row r="381" spans="1:1">
      <c r="A381" s="27"/>
    </row>
    <row r="382" spans="1:1">
      <c r="A382" s="27"/>
    </row>
    <row r="383" spans="1:1">
      <c r="A383" s="27"/>
    </row>
    <row r="384" spans="1:1">
      <c r="A384" s="27"/>
    </row>
    <row r="385" spans="1:23">
      <c r="A385" s="27"/>
    </row>
    <row r="386" spans="1:23">
      <c r="A386" s="27"/>
    </row>
    <row r="392" spans="1:23">
      <c r="V392" s="232"/>
      <c r="W392" s="232"/>
    </row>
    <row r="393" spans="1:23">
      <c r="V393" s="232"/>
      <c r="W393" s="232"/>
    </row>
  </sheetData>
  <mergeCells count="1">
    <mergeCell ref="A1:J3"/>
  </mergeCells>
  <pageMargins left="0.7" right="0.7" top="0.75" bottom="0.75" header="0.3" footer="0.3"/>
  <pageSetup orientation="portrait"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CF8D5-12C2-417A-9BBC-C49C6E049D75}">
  <sheetPr codeName="Sheet6">
    <pageSetUpPr fitToPage="1"/>
  </sheetPr>
  <dimension ref="A1:AQ663"/>
  <sheetViews>
    <sheetView topLeftCell="A583" zoomScale="85" zoomScaleNormal="85" workbookViewId="0">
      <pane xSplit="2" topLeftCell="C1" activePane="topRight" state="frozen"/>
      <selection pane="topRight" activeCell="I599" sqref="I599"/>
    </sheetView>
  </sheetViews>
  <sheetFormatPr defaultColWidth="9.140625" defaultRowHeight="15"/>
  <cols>
    <col min="1" max="1" width="33.7109375" style="1" customWidth="1"/>
    <col min="2" max="2" width="22.5703125" style="1" customWidth="1"/>
    <col min="3" max="3" width="19.140625" style="1" bestFit="1" customWidth="1"/>
    <col min="4" max="4" width="21.42578125" style="1" bestFit="1" customWidth="1"/>
    <col min="5" max="5" width="21.42578125" style="1" customWidth="1"/>
    <col min="6" max="14" width="22.5703125" style="13" customWidth="1"/>
    <col min="15" max="16" width="22.5703125" style="1" customWidth="1"/>
    <col min="17" max="17" width="22.5703125" style="13" customWidth="1"/>
    <col min="18" max="18" width="22.5703125" style="1" customWidth="1"/>
    <col min="19" max="19" width="22.5703125" style="35" customWidth="1"/>
    <col min="20" max="20" width="22.5703125" style="13" customWidth="1"/>
    <col min="21" max="21" width="9.7109375" style="16" customWidth="1"/>
    <col min="22" max="22" width="11.85546875" style="16" customWidth="1"/>
    <col min="23" max="23" width="27.140625" style="40" customWidth="1"/>
    <col min="24" max="25" width="20.7109375" style="40" customWidth="1"/>
    <col min="26" max="26" width="28.42578125" style="40" bestFit="1" customWidth="1"/>
    <col min="27" max="28" width="16.28515625" style="40" customWidth="1"/>
    <col min="29" max="29" width="20.7109375" style="40" customWidth="1"/>
    <col min="30" max="30" width="22.7109375" style="40" bestFit="1" customWidth="1"/>
    <col min="31" max="31" width="11" style="1" customWidth="1"/>
    <col min="32" max="32" width="17.140625" style="1" customWidth="1"/>
    <col min="33" max="33" width="22.42578125" style="1" bestFit="1" customWidth="1"/>
    <col min="34" max="34" width="11.5703125" style="40" customWidth="1"/>
    <col min="35" max="35" width="9.5703125" style="40" customWidth="1"/>
    <col min="36" max="37" width="20.7109375" style="40" customWidth="1"/>
    <col min="38" max="38" width="12.140625" style="40" customWidth="1"/>
    <col min="39" max="39" width="18.28515625" style="40" bestFit="1" customWidth="1"/>
    <col min="40" max="40" width="20.7109375" style="40" customWidth="1"/>
    <col min="41" max="42" width="26.28515625" style="40" customWidth="1"/>
    <col min="43" max="16384" width="9.140625" style="1"/>
  </cols>
  <sheetData>
    <row r="1" spans="1:42" hidden="1">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1">
        <v>24</v>
      </c>
      <c r="Y1" s="1">
        <v>25</v>
      </c>
      <c r="Z1" s="1">
        <v>26</v>
      </c>
      <c r="AA1" s="1">
        <v>27</v>
      </c>
      <c r="AB1" s="1">
        <v>28</v>
      </c>
      <c r="AC1" s="1">
        <v>29</v>
      </c>
      <c r="AD1" s="1">
        <v>30</v>
      </c>
      <c r="AE1" s="1">
        <v>31</v>
      </c>
      <c r="AF1" s="1">
        <v>32</v>
      </c>
      <c r="AG1" s="1">
        <v>33</v>
      </c>
      <c r="AH1" s="1">
        <v>34</v>
      </c>
      <c r="AI1" s="1">
        <v>35</v>
      </c>
      <c r="AJ1" s="1">
        <v>36</v>
      </c>
      <c r="AK1" s="1">
        <v>37</v>
      </c>
      <c r="AL1" s="1">
        <v>38</v>
      </c>
      <c r="AM1" s="1">
        <v>39</v>
      </c>
      <c r="AN1" s="1">
        <v>41</v>
      </c>
    </row>
    <row r="2" spans="1:42" hidden="1">
      <c r="T2" s="101"/>
    </row>
    <row r="3" spans="1:42">
      <c r="T3" s="101"/>
      <c r="U3" s="102"/>
      <c r="V3" s="102"/>
      <c r="W3" s="71"/>
      <c r="X3" s="71"/>
      <c r="Y3" s="71"/>
      <c r="Z3" s="71"/>
      <c r="AA3" s="71"/>
      <c r="AB3" s="71"/>
      <c r="AC3" s="71"/>
      <c r="AD3" s="71"/>
      <c r="AH3" s="71"/>
      <c r="AI3" s="71"/>
      <c r="AJ3" s="71"/>
      <c r="AK3" s="71"/>
      <c r="AL3" s="71"/>
      <c r="AM3" s="71"/>
      <c r="AN3" s="71"/>
      <c r="AO3" s="71"/>
      <c r="AP3" s="71"/>
    </row>
    <row r="4" spans="1:42">
      <c r="A4" s="521" t="s">
        <v>3056</v>
      </c>
      <c r="B4" s="521"/>
      <c r="C4" s="521"/>
      <c r="D4" s="521"/>
      <c r="E4" s="521"/>
      <c r="F4" s="521"/>
      <c r="G4" s="521"/>
      <c r="H4" s="521"/>
      <c r="I4" s="521"/>
      <c r="J4" s="521"/>
      <c r="T4" s="101"/>
      <c r="U4" s="102"/>
      <c r="V4" s="102"/>
      <c r="W4" s="71"/>
      <c r="X4" s="71"/>
      <c r="Y4" s="71"/>
      <c r="Z4" s="71"/>
      <c r="AA4" s="71"/>
      <c r="AB4" s="71"/>
      <c r="AC4" s="71"/>
      <c r="AD4" s="71"/>
      <c r="AH4" s="71"/>
      <c r="AI4" s="71"/>
      <c r="AJ4" s="71"/>
      <c r="AK4" s="71"/>
      <c r="AL4" s="71"/>
      <c r="AM4" s="71"/>
      <c r="AN4" s="71"/>
      <c r="AO4" s="71"/>
      <c r="AP4" s="71"/>
    </row>
    <row r="5" spans="1:42" ht="36" customHeight="1">
      <c r="A5" s="521"/>
      <c r="B5" s="521"/>
      <c r="C5" s="521"/>
      <c r="D5" s="521"/>
      <c r="E5" s="521"/>
      <c r="F5" s="521"/>
      <c r="G5" s="521"/>
      <c r="H5" s="521"/>
      <c r="I5" s="521"/>
      <c r="J5" s="521"/>
      <c r="K5" s="66"/>
      <c r="L5" s="66"/>
      <c r="M5" s="66"/>
      <c r="N5" s="66"/>
      <c r="O5" s="33"/>
      <c r="P5" s="33"/>
      <c r="Q5" s="66"/>
      <c r="R5" s="33"/>
      <c r="S5" s="66"/>
      <c r="T5" s="66"/>
      <c r="U5" s="76"/>
      <c r="V5" s="76"/>
      <c r="W5" s="76"/>
      <c r="X5" s="76"/>
      <c r="Y5" s="76"/>
      <c r="Z5" s="76"/>
      <c r="AA5" s="76"/>
      <c r="AB5" s="76"/>
      <c r="AC5" s="76"/>
      <c r="AD5" s="76"/>
      <c r="AE5" s="76"/>
      <c r="AF5" s="76"/>
      <c r="AG5" s="76"/>
      <c r="AH5" s="76"/>
      <c r="AI5" s="76"/>
      <c r="AJ5" s="76"/>
      <c r="AK5" s="76"/>
      <c r="AL5" s="76"/>
      <c r="AM5" s="76"/>
      <c r="AN5" s="76"/>
      <c r="AO5" s="76"/>
      <c r="AP5" s="76"/>
    </row>
    <row r="6" spans="1:42" ht="20.25">
      <c r="A6" s="76"/>
      <c r="B6" s="76"/>
      <c r="C6" s="507" t="s">
        <v>0</v>
      </c>
      <c r="D6" s="507"/>
      <c r="E6" s="507"/>
      <c r="F6" s="507"/>
      <c r="G6" s="507"/>
      <c r="H6" s="507"/>
      <c r="I6" s="507"/>
      <c r="J6" s="507"/>
      <c r="K6" s="507"/>
      <c r="L6" s="507"/>
      <c r="M6" s="507"/>
      <c r="N6" s="507"/>
      <c r="O6" s="507"/>
      <c r="P6" s="507"/>
      <c r="Q6" s="507"/>
      <c r="R6" s="507"/>
      <c r="S6" s="507"/>
      <c r="T6" s="507"/>
      <c r="U6" s="507" t="s">
        <v>258</v>
      </c>
      <c r="V6" s="507"/>
      <c r="W6" s="507"/>
      <c r="X6" s="507"/>
      <c r="Y6" s="507"/>
      <c r="Z6" s="507"/>
      <c r="AA6" s="507"/>
      <c r="AB6" s="507"/>
      <c r="AC6" s="507"/>
      <c r="AD6" s="507"/>
      <c r="AE6" s="507" t="s">
        <v>259</v>
      </c>
      <c r="AF6" s="507"/>
      <c r="AG6" s="507"/>
      <c r="AH6" s="507"/>
      <c r="AI6" s="507"/>
      <c r="AJ6" s="507"/>
      <c r="AK6" s="507"/>
      <c r="AL6" s="507"/>
      <c r="AM6" s="507"/>
      <c r="AN6" s="507"/>
      <c r="AO6" s="76"/>
      <c r="AP6" s="76"/>
    </row>
    <row r="7" spans="1:42" ht="23.25" customHeight="1">
      <c r="A7" s="2"/>
      <c r="B7" s="57"/>
      <c r="C7" s="523" t="s">
        <v>2878</v>
      </c>
      <c r="D7" s="524"/>
      <c r="E7" s="525"/>
      <c r="F7" s="523" t="s">
        <v>2880</v>
      </c>
      <c r="G7" s="524"/>
      <c r="H7" s="525"/>
      <c r="I7" s="523" t="s">
        <v>2882</v>
      </c>
      <c r="J7" s="524"/>
      <c r="K7" s="525"/>
      <c r="L7" s="518" t="s">
        <v>3057</v>
      </c>
      <c r="M7" s="519"/>
      <c r="N7" s="520"/>
      <c r="O7" s="518" t="s">
        <v>257</v>
      </c>
      <c r="P7" s="519"/>
      <c r="Q7" s="520"/>
      <c r="R7" s="518" t="s">
        <v>2888</v>
      </c>
      <c r="S7" s="519"/>
      <c r="T7" s="520"/>
      <c r="U7" s="512" t="s">
        <v>2</v>
      </c>
      <c r="V7" s="513"/>
      <c r="W7" s="514"/>
      <c r="X7" s="512" t="s">
        <v>238</v>
      </c>
      <c r="Y7" s="513"/>
      <c r="Z7" s="514"/>
      <c r="AA7" s="512" t="s">
        <v>239</v>
      </c>
      <c r="AB7" s="513"/>
      <c r="AC7" s="513"/>
      <c r="AD7" s="514"/>
      <c r="AE7" s="508" t="s">
        <v>1</v>
      </c>
      <c r="AF7" s="509"/>
      <c r="AG7" s="510"/>
      <c r="AH7" s="515" t="s">
        <v>796</v>
      </c>
      <c r="AI7" s="516"/>
      <c r="AJ7" s="516"/>
      <c r="AK7" s="517"/>
      <c r="AL7" s="526" t="s">
        <v>1012</v>
      </c>
      <c r="AM7" s="527"/>
      <c r="AN7" s="528"/>
      <c r="AO7" s="189"/>
      <c r="AP7" s="189"/>
    </row>
    <row r="8" spans="1:42" s="458" customFormat="1" ht="45">
      <c r="A8" s="58" t="s">
        <v>3</v>
      </c>
      <c r="B8" s="200" t="s">
        <v>795</v>
      </c>
      <c r="C8" s="37" t="s">
        <v>1124</v>
      </c>
      <c r="D8" s="38" t="s">
        <v>3058</v>
      </c>
      <c r="E8" s="494" t="s">
        <v>595</v>
      </c>
      <c r="F8" s="37" t="s">
        <v>1124</v>
      </c>
      <c r="G8" s="38" t="s">
        <v>3062</v>
      </c>
      <c r="H8" s="38" t="s">
        <v>177</v>
      </c>
      <c r="I8" s="37" t="s">
        <v>1124</v>
      </c>
      <c r="J8" s="38" t="s">
        <v>3061</v>
      </c>
      <c r="K8" s="38" t="s">
        <v>177</v>
      </c>
      <c r="L8" s="37" t="s">
        <v>1124</v>
      </c>
      <c r="M8" s="146" t="s">
        <v>3063</v>
      </c>
      <c r="N8" s="82" t="s">
        <v>177</v>
      </c>
      <c r="O8" s="37" t="s">
        <v>1124</v>
      </c>
      <c r="P8" s="146" t="s">
        <v>3064</v>
      </c>
      <c r="Q8" s="82" t="s">
        <v>177</v>
      </c>
      <c r="R8" s="37" t="s">
        <v>1124</v>
      </c>
      <c r="S8" s="146" t="s">
        <v>3065</v>
      </c>
      <c r="T8" s="38" t="s">
        <v>177</v>
      </c>
      <c r="U8" s="37" t="s">
        <v>1124</v>
      </c>
      <c r="V8" s="31" t="s">
        <v>3059</v>
      </c>
      <c r="W8" s="106" t="s">
        <v>6</v>
      </c>
      <c r="X8" s="37" t="s">
        <v>1124</v>
      </c>
      <c r="Y8" s="31" t="s">
        <v>3059</v>
      </c>
      <c r="Z8" s="32" t="s">
        <v>6</v>
      </c>
      <c r="AA8" s="37" t="s">
        <v>1124</v>
      </c>
      <c r="AB8" s="141" t="s">
        <v>3060</v>
      </c>
      <c r="AC8" s="31" t="s">
        <v>3059</v>
      </c>
      <c r="AD8" s="106" t="s">
        <v>6</v>
      </c>
      <c r="AE8" s="37" t="s">
        <v>1124</v>
      </c>
      <c r="AF8" s="31" t="s">
        <v>3059</v>
      </c>
      <c r="AG8" s="32" t="s">
        <v>5</v>
      </c>
      <c r="AH8" s="37" t="s">
        <v>1124</v>
      </c>
      <c r="AI8" s="31" t="s">
        <v>3067</v>
      </c>
      <c r="AJ8" s="31" t="s">
        <v>3066</v>
      </c>
      <c r="AK8" s="32" t="s">
        <v>6</v>
      </c>
      <c r="AL8" s="37" t="s">
        <v>1124</v>
      </c>
      <c r="AM8" s="31" t="s">
        <v>3059</v>
      </c>
      <c r="AN8" s="32" t="s">
        <v>6</v>
      </c>
      <c r="AO8" s="190"/>
      <c r="AP8" s="190"/>
    </row>
    <row r="9" spans="1:42">
      <c r="A9" s="504" t="s">
        <v>7</v>
      </c>
      <c r="B9" s="504"/>
      <c r="C9" s="504"/>
      <c r="D9" s="504"/>
      <c r="E9" s="504"/>
      <c r="F9" s="504"/>
      <c r="G9" s="504"/>
      <c r="H9" s="504"/>
      <c r="I9" s="504"/>
      <c r="J9" s="504"/>
      <c r="K9" s="504"/>
      <c r="L9" s="504"/>
      <c r="M9" s="504"/>
      <c r="N9" s="504"/>
      <c r="O9" s="504"/>
      <c r="P9" s="504"/>
      <c r="Q9" s="504"/>
      <c r="R9" s="504"/>
      <c r="S9" s="504"/>
      <c r="T9" s="504"/>
      <c r="U9" s="504"/>
      <c r="V9" s="504"/>
      <c r="W9" s="504"/>
      <c r="X9" s="504"/>
      <c r="Y9" s="504"/>
      <c r="Z9" s="504"/>
      <c r="AA9" s="504"/>
      <c r="AB9" s="504"/>
      <c r="AC9" s="504"/>
      <c r="AD9" s="504"/>
      <c r="AE9" s="504"/>
      <c r="AF9" s="504"/>
      <c r="AG9" s="504"/>
      <c r="AH9" s="504"/>
      <c r="AI9" s="504"/>
      <c r="AJ9" s="504"/>
      <c r="AK9" s="504"/>
      <c r="AL9" s="504"/>
      <c r="AM9" s="504"/>
      <c r="AN9" s="504"/>
      <c r="AO9" s="4"/>
      <c r="AP9" s="4"/>
    </row>
    <row r="10" spans="1:42">
      <c r="A10" s="3" t="s">
        <v>8</v>
      </c>
      <c r="B10" s="4" t="s">
        <v>9</v>
      </c>
      <c r="C10" s="157">
        <v>78.527219234560008</v>
      </c>
      <c r="D10" s="30">
        <v>78.527219234560008</v>
      </c>
      <c r="E10" s="30" t="s">
        <v>1126</v>
      </c>
      <c r="F10" s="187">
        <v>1.523041337784008</v>
      </c>
      <c r="G10" s="318">
        <v>1.523041337784008</v>
      </c>
      <c r="H10" s="70" t="s">
        <v>1126</v>
      </c>
      <c r="I10" s="187"/>
      <c r="J10" s="318">
        <v>2.7677698187919759</v>
      </c>
      <c r="K10" s="70" t="s">
        <v>1126</v>
      </c>
      <c r="L10" s="191">
        <v>-75.759449415768032</v>
      </c>
      <c r="M10" s="276">
        <v>-75.759449415768032</v>
      </c>
      <c r="N10" s="13" t="s">
        <v>2792</v>
      </c>
      <c r="O10" s="187">
        <v>68.97436159999998</v>
      </c>
      <c r="P10" s="318">
        <v>68.97436159999998</v>
      </c>
      <c r="Q10" s="70" t="s">
        <v>2793</v>
      </c>
      <c r="R10" s="187">
        <v>1.244728481007968</v>
      </c>
      <c r="S10" s="318">
        <v>1.244728481007968</v>
      </c>
      <c r="T10" s="70" t="s">
        <v>2792</v>
      </c>
      <c r="U10" s="145">
        <v>8.4145000000000003</v>
      </c>
      <c r="V10" s="15">
        <v>8.4145000000000003</v>
      </c>
      <c r="W10" s="320" t="s">
        <v>2868</v>
      </c>
      <c r="X10" s="145">
        <v>5.55</v>
      </c>
      <c r="Y10" s="15">
        <v>5.55</v>
      </c>
      <c r="Z10" s="320" t="s">
        <v>2869</v>
      </c>
      <c r="AA10" s="145">
        <v>-0.7172759999999998</v>
      </c>
      <c r="AB10" s="371">
        <v>475.30111582376497</v>
      </c>
      <c r="AC10" s="15">
        <v>-0.7172759999999998</v>
      </c>
      <c r="AD10" s="320" t="s">
        <v>2870</v>
      </c>
      <c r="AE10" s="145">
        <v>-1.3927676100000002</v>
      </c>
      <c r="AF10" s="15">
        <v>-1.3927676100000002</v>
      </c>
      <c r="AG10" s="320" t="s">
        <v>2792</v>
      </c>
      <c r="AH10" s="145">
        <v>-1.1041715900000002</v>
      </c>
      <c r="AI10" s="15">
        <v>-1.1041715900000002</v>
      </c>
      <c r="AJ10" s="229">
        <v>17.653386824438059</v>
      </c>
      <c r="AK10" s="320" t="s">
        <v>2792</v>
      </c>
      <c r="AL10" s="145">
        <v>4.1383071999999981</v>
      </c>
      <c r="AM10" s="15">
        <v>4.1383071999999981</v>
      </c>
      <c r="AN10" s="320" t="s">
        <v>2871</v>
      </c>
      <c r="AO10" s="47"/>
      <c r="AP10" s="47"/>
    </row>
    <row r="11" spans="1:42">
      <c r="A11" s="3"/>
      <c r="B11" s="171">
        <v>224.38800000000001</v>
      </c>
      <c r="C11" s="157">
        <v>19.875553297144076</v>
      </c>
      <c r="D11" s="206">
        <v>88.533439999999999</v>
      </c>
      <c r="E11" s="206" t="s">
        <v>1125</v>
      </c>
      <c r="F11" s="157">
        <v>1.2844310205174008</v>
      </c>
      <c r="G11" s="70"/>
      <c r="H11" s="70"/>
      <c r="I11" s="157"/>
      <c r="J11" s="70"/>
      <c r="K11" s="70"/>
      <c r="L11" s="191">
        <v>24.848114535529508</v>
      </c>
      <c r="M11" s="323">
        <v>-75.759449415768032</v>
      </c>
      <c r="N11" s="180" t="s">
        <v>1126</v>
      </c>
      <c r="O11" s="191">
        <v>11.615834288332797</v>
      </c>
      <c r="P11" s="323">
        <v>68.97436159999998</v>
      </c>
      <c r="Q11" s="180" t="s">
        <v>1407</v>
      </c>
      <c r="R11" s="191">
        <v>2.3326049919386791</v>
      </c>
      <c r="S11" s="318">
        <v>-9.2823440000000037</v>
      </c>
      <c r="T11" s="180" t="s">
        <v>1407</v>
      </c>
      <c r="U11" s="145">
        <v>1.104975311</v>
      </c>
      <c r="V11" s="177">
        <v>8.4185620434660624</v>
      </c>
      <c r="W11" s="460" t="s">
        <v>1126</v>
      </c>
      <c r="X11" s="145">
        <v>0.78739514999999993</v>
      </c>
      <c r="Y11" s="177">
        <v>5.9315800000000003</v>
      </c>
      <c r="Z11" s="460" t="s">
        <v>1466</v>
      </c>
      <c r="AA11" s="145">
        <v>0.30392131761599989</v>
      </c>
      <c r="AB11" s="461">
        <v>475.30111582376497</v>
      </c>
      <c r="AC11" s="177">
        <v>-0.7172759999999998</v>
      </c>
      <c r="AD11" s="460" t="s">
        <v>1709</v>
      </c>
      <c r="AE11" s="145">
        <v>0.98230228212168014</v>
      </c>
      <c r="AF11" s="177">
        <v>-1.3927676100000002</v>
      </c>
      <c r="AG11" s="365" t="s">
        <v>1126</v>
      </c>
      <c r="AH11" s="145">
        <v>0.49368615960490009</v>
      </c>
      <c r="AI11" s="177">
        <v>-0.4142122627263658</v>
      </c>
      <c r="AJ11" s="464">
        <v>955.0642110389997</v>
      </c>
      <c r="AK11" s="460" t="s">
        <v>1466</v>
      </c>
      <c r="AL11" s="145">
        <v>0.7479203985631997</v>
      </c>
      <c r="AM11" s="177">
        <v>4.1383071999999981</v>
      </c>
      <c r="AN11" s="460" t="s">
        <v>2610</v>
      </c>
      <c r="AO11" s="47"/>
      <c r="AP11" s="47"/>
    </row>
    <row r="12" spans="1:42">
      <c r="A12" s="3"/>
      <c r="B12" s="4"/>
      <c r="C12" s="3"/>
      <c r="F12" s="3"/>
      <c r="G12" s="4"/>
      <c r="H12" s="4"/>
      <c r="I12" s="3"/>
      <c r="J12" s="4"/>
      <c r="K12" s="4"/>
      <c r="L12" s="3"/>
      <c r="M12" s="323">
        <v>-80.643894799999984</v>
      </c>
      <c r="N12" s="180" t="s">
        <v>1408</v>
      </c>
      <c r="O12" s="3"/>
      <c r="P12" s="323">
        <v>77.004177896776</v>
      </c>
      <c r="Q12" s="180" t="s">
        <v>1126</v>
      </c>
      <c r="R12" s="3"/>
      <c r="S12" s="318">
        <v>1.244728481007968</v>
      </c>
      <c r="T12" s="180" t="s">
        <v>1126</v>
      </c>
      <c r="U12" s="100"/>
      <c r="V12" s="177">
        <v>8.4145000000000003</v>
      </c>
      <c r="W12" s="460" t="s">
        <v>1466</v>
      </c>
      <c r="X12" s="100"/>
      <c r="Y12" s="177">
        <v>4.68329298</v>
      </c>
      <c r="Z12" s="460" t="s">
        <v>1126</v>
      </c>
      <c r="AA12" s="100"/>
      <c r="AB12" s="462">
        <v>0.4666677658075149</v>
      </c>
      <c r="AC12" s="177">
        <v>-3.7252370299999997</v>
      </c>
      <c r="AD12" s="460" t="s">
        <v>1126</v>
      </c>
      <c r="AE12" s="100"/>
      <c r="AF12" s="177">
        <v>-1.5100415205751654</v>
      </c>
      <c r="AG12" s="460" t="s">
        <v>1125</v>
      </c>
      <c r="AH12" s="100"/>
      <c r="AI12" s="177">
        <v>-1.1041715900000002</v>
      </c>
      <c r="AJ12" s="465">
        <v>17.653386824438059</v>
      </c>
      <c r="AK12" s="460" t="s">
        <v>1126</v>
      </c>
      <c r="AL12" s="84"/>
      <c r="AM12" s="177">
        <v>4.2197748558779544</v>
      </c>
      <c r="AN12" s="460" t="s">
        <v>1126</v>
      </c>
      <c r="AO12" s="47"/>
      <c r="AP12" s="47"/>
    </row>
    <row r="13" spans="1:42">
      <c r="A13" s="3"/>
      <c r="B13" s="4"/>
      <c r="C13" s="3"/>
      <c r="D13" s="4"/>
      <c r="E13" s="4"/>
      <c r="F13" s="3"/>
      <c r="G13" s="4"/>
      <c r="H13" s="4"/>
      <c r="I13" s="3"/>
      <c r="J13" s="4"/>
      <c r="K13" s="4"/>
      <c r="L13" s="3"/>
      <c r="M13" s="4"/>
      <c r="N13" s="4"/>
      <c r="O13" s="3"/>
      <c r="P13" s="4"/>
      <c r="Q13" s="4"/>
      <c r="R13" s="3"/>
      <c r="S13" s="9"/>
      <c r="T13" s="4"/>
      <c r="U13" s="100"/>
      <c r="V13" s="177">
        <v>8.2201467066182801</v>
      </c>
      <c r="W13" s="460" t="s">
        <v>1125</v>
      </c>
      <c r="X13" s="100"/>
      <c r="Y13" s="177">
        <v>5.43</v>
      </c>
      <c r="Z13" s="460" t="s">
        <v>1125</v>
      </c>
      <c r="AA13" s="100"/>
      <c r="AB13" s="225">
        <v>7.3199999999999967</v>
      </c>
      <c r="AC13" s="177">
        <v>-2.5297337527935619</v>
      </c>
      <c r="AD13" s="460" t="s">
        <v>1125</v>
      </c>
      <c r="AE13" s="100"/>
      <c r="AF13" s="177">
        <v>-1.3667560000000014</v>
      </c>
      <c r="AG13" s="460" t="s">
        <v>1710</v>
      </c>
      <c r="AH13" s="100"/>
      <c r="AI13" s="177">
        <v>-2.38</v>
      </c>
      <c r="AJ13" s="466">
        <v>0.93540487218141588</v>
      </c>
      <c r="AK13" s="460" t="s">
        <v>1125</v>
      </c>
      <c r="AL13" s="84"/>
      <c r="AM13" s="177">
        <v>3.402559166148043</v>
      </c>
      <c r="AN13" s="460" t="s">
        <v>2611</v>
      </c>
      <c r="AO13" s="47"/>
      <c r="AP13" s="47"/>
    </row>
    <row r="14" spans="1:42">
      <c r="A14" s="3"/>
      <c r="B14" s="4"/>
      <c r="C14" s="3"/>
      <c r="D14" s="4"/>
      <c r="E14" s="4"/>
      <c r="F14" s="3"/>
      <c r="G14" s="4"/>
      <c r="H14" s="4"/>
      <c r="I14" s="3"/>
      <c r="J14" s="4"/>
      <c r="K14" s="4"/>
      <c r="L14" s="3"/>
      <c r="M14" s="4"/>
      <c r="N14" s="4"/>
      <c r="O14" s="3"/>
      <c r="P14" s="4"/>
      <c r="Q14" s="4"/>
      <c r="R14" s="3"/>
      <c r="S14" s="9"/>
      <c r="T14" s="4"/>
      <c r="U14" s="100"/>
      <c r="V14" s="177">
        <v>8.1635599999999986</v>
      </c>
      <c r="W14" s="460" t="s">
        <v>1705</v>
      </c>
      <c r="X14" s="100"/>
      <c r="Y14" s="177">
        <v>6.3703519999999987</v>
      </c>
      <c r="Z14" s="460" t="s">
        <v>1707</v>
      </c>
      <c r="AA14" s="100"/>
      <c r="AB14" s="461">
        <v>66.299999999999969</v>
      </c>
      <c r="AC14" s="177">
        <v>-1.5727313054471808</v>
      </c>
      <c r="AD14" s="460" t="s">
        <v>1465</v>
      </c>
      <c r="AE14" s="100"/>
      <c r="AF14" s="177">
        <v>-0.89962945488243706</v>
      </c>
      <c r="AG14" s="460" t="s">
        <v>1465</v>
      </c>
      <c r="AH14" s="100"/>
      <c r="AI14" s="177">
        <v>2.6741833066761633</v>
      </c>
      <c r="AJ14" s="467">
        <v>105970.00000000007</v>
      </c>
      <c r="AK14" s="460" t="s">
        <v>1467</v>
      </c>
      <c r="AL14" s="84"/>
      <c r="AM14" s="47"/>
      <c r="AN14" s="45"/>
      <c r="AO14" s="47"/>
      <c r="AP14" s="47"/>
    </row>
    <row r="15" spans="1:42">
      <c r="A15" s="3"/>
      <c r="B15" s="4"/>
      <c r="C15" s="3"/>
      <c r="D15" s="4"/>
      <c r="E15" s="4"/>
      <c r="F15" s="3"/>
      <c r="G15" s="4"/>
      <c r="H15" s="4"/>
      <c r="I15" s="3"/>
      <c r="J15" s="4"/>
      <c r="K15" s="4"/>
      <c r="L15" s="3"/>
      <c r="M15" s="4"/>
      <c r="N15" s="4"/>
      <c r="O15" s="3"/>
      <c r="P15" s="4"/>
      <c r="Q15" s="4"/>
      <c r="R15" s="3"/>
      <c r="S15" s="9"/>
      <c r="T15" s="4"/>
      <c r="U15" s="100"/>
      <c r="V15" s="177">
        <v>7.8497999999999992</v>
      </c>
      <c r="W15" s="460" t="s">
        <v>1706</v>
      </c>
      <c r="X15" s="100"/>
      <c r="Y15" s="177">
        <v>6.8297239999999988</v>
      </c>
      <c r="Z15" s="460" t="s">
        <v>1708</v>
      </c>
      <c r="AA15" s="100"/>
      <c r="AB15" s="463">
        <v>27.110010374999995</v>
      </c>
      <c r="AC15" s="177">
        <v>-1.9611151500669539</v>
      </c>
      <c r="AD15" s="460" t="s">
        <v>1466</v>
      </c>
      <c r="AE15" s="100"/>
      <c r="AF15" s="177">
        <v>-2.6720108735191919</v>
      </c>
      <c r="AG15" s="460" t="s">
        <v>1466</v>
      </c>
      <c r="AH15" s="84"/>
      <c r="AI15" s="177">
        <v>0.42635468542492289</v>
      </c>
      <c r="AJ15" s="464">
        <v>598.90000000000009</v>
      </c>
      <c r="AK15" s="460" t="s">
        <v>1468</v>
      </c>
      <c r="AL15" s="84"/>
      <c r="AM15" s="47"/>
      <c r="AN15" s="45"/>
      <c r="AO15" s="47"/>
      <c r="AP15" s="47"/>
    </row>
    <row r="16" spans="1:42">
      <c r="A16" s="3"/>
      <c r="B16" s="4"/>
      <c r="C16" s="3"/>
      <c r="D16" s="4"/>
      <c r="E16" s="4"/>
      <c r="F16" s="3"/>
      <c r="G16" s="4"/>
      <c r="H16" s="4"/>
      <c r="I16" s="3"/>
      <c r="J16" s="4"/>
      <c r="K16" s="4"/>
      <c r="L16" s="3"/>
      <c r="M16" s="4"/>
      <c r="N16" s="4"/>
      <c r="O16" s="3"/>
      <c r="P16" s="4"/>
      <c r="Q16" s="4"/>
      <c r="R16" s="3"/>
      <c r="S16" s="9"/>
      <c r="T16" s="4"/>
      <c r="U16" s="100"/>
      <c r="V16" s="177">
        <v>7.1219999999999999</v>
      </c>
      <c r="W16" s="460" t="s">
        <v>1465</v>
      </c>
      <c r="X16" s="100"/>
      <c r="Y16" s="177">
        <v>5.55</v>
      </c>
      <c r="Z16" s="460" t="s">
        <v>1465</v>
      </c>
      <c r="AA16" s="100"/>
      <c r="AB16" s="370"/>
      <c r="AC16" s="15"/>
      <c r="AD16" s="320"/>
      <c r="AE16" s="100"/>
      <c r="AF16" s="15"/>
      <c r="AG16" s="320"/>
      <c r="AH16" s="100"/>
      <c r="AI16" s="15"/>
      <c r="AJ16" s="372"/>
      <c r="AK16" s="320"/>
      <c r="AL16" s="84"/>
      <c r="AM16" s="47"/>
      <c r="AN16" s="45"/>
      <c r="AO16" s="47"/>
      <c r="AP16" s="47"/>
    </row>
    <row r="17" spans="1:42">
      <c r="A17" s="3"/>
      <c r="B17" s="4"/>
      <c r="C17" s="3"/>
      <c r="D17" s="4"/>
      <c r="E17" s="4"/>
      <c r="F17" s="3"/>
      <c r="G17" s="4"/>
      <c r="H17" s="4"/>
      <c r="I17" s="3"/>
      <c r="J17" s="4"/>
      <c r="K17" s="4"/>
      <c r="L17" s="3"/>
      <c r="M17" s="4"/>
      <c r="N17" s="4"/>
      <c r="O17" s="3"/>
      <c r="P17" s="4"/>
      <c r="Q17" s="4"/>
      <c r="R17" s="3"/>
      <c r="S17" s="9"/>
      <c r="T17" s="4"/>
      <c r="U17" s="100"/>
      <c r="V17" s="15"/>
      <c r="W17" s="320"/>
      <c r="X17" s="100"/>
      <c r="Y17" s="15"/>
      <c r="Z17" s="320"/>
      <c r="AA17" s="100"/>
      <c r="AB17" s="370"/>
      <c r="AC17" s="15"/>
      <c r="AD17" s="320"/>
      <c r="AE17" s="100"/>
      <c r="AF17" s="15"/>
      <c r="AG17" s="109"/>
      <c r="AH17" s="100"/>
      <c r="AI17" s="15"/>
      <c r="AJ17" s="372"/>
      <c r="AK17" s="109"/>
      <c r="AL17" s="84"/>
      <c r="AM17" s="47"/>
      <c r="AN17" s="45"/>
      <c r="AO17" s="47"/>
      <c r="AP17" s="47"/>
    </row>
    <row r="18" spans="1:42">
      <c r="A18" s="3" t="s">
        <v>264</v>
      </c>
      <c r="B18" s="4" t="s">
        <v>260</v>
      </c>
      <c r="C18" s="157">
        <v>80.192986075280004</v>
      </c>
      <c r="D18" s="30">
        <v>80.192986075280004</v>
      </c>
      <c r="E18" s="30" t="s">
        <v>1126</v>
      </c>
      <c r="F18" s="187">
        <v>4.7269968092080745</v>
      </c>
      <c r="G18" s="318">
        <v>4.7269968092080745</v>
      </c>
      <c r="H18" s="70" t="s">
        <v>1126</v>
      </c>
      <c r="I18" s="187"/>
      <c r="J18" s="318">
        <v>4.0855169494241892</v>
      </c>
      <c r="K18" s="70" t="s">
        <v>1126</v>
      </c>
      <c r="L18" s="191">
        <v>-76.107469125855815</v>
      </c>
      <c r="M18" s="276">
        <v>-76.107469125855815</v>
      </c>
      <c r="N18" s="13" t="s">
        <v>2792</v>
      </c>
      <c r="O18" s="187">
        <v>70.803798699999987</v>
      </c>
      <c r="P18" s="318">
        <v>70.803798699999987</v>
      </c>
      <c r="Q18" s="70" t="s">
        <v>2793</v>
      </c>
      <c r="R18" s="187">
        <v>-0.64147985978388533</v>
      </c>
      <c r="S18" s="318">
        <v>-0.64147985978388533</v>
      </c>
      <c r="T18" s="70" t="s">
        <v>2792</v>
      </c>
      <c r="U18" s="145">
        <v>8.6320200000000007</v>
      </c>
      <c r="V18" s="15">
        <v>8.6320200000000007</v>
      </c>
      <c r="W18" s="320" t="s">
        <v>2868</v>
      </c>
      <c r="X18" s="145">
        <v>6.15</v>
      </c>
      <c r="Y18" s="15">
        <v>6.15</v>
      </c>
      <c r="Z18" s="320" t="s">
        <v>2869</v>
      </c>
      <c r="AA18" s="145">
        <v>-0.40163699999999958</v>
      </c>
      <c r="AB18" s="371">
        <v>983.12294880244167</v>
      </c>
      <c r="AC18" s="15">
        <v>-0.40163699999999958</v>
      </c>
      <c r="AD18" s="320" t="s">
        <v>2870</v>
      </c>
      <c r="AE18" s="145">
        <v>-1.4876193299999998</v>
      </c>
      <c r="AF18" s="15">
        <v>-1.4876193299999998</v>
      </c>
      <c r="AG18" s="320" t="s">
        <v>2792</v>
      </c>
      <c r="AH18" s="145">
        <v>-1.5680806500000004</v>
      </c>
      <c r="AI18" s="15">
        <v>-1.5680806500000004</v>
      </c>
      <c r="AJ18" s="229">
        <v>6.4987574387435876</v>
      </c>
      <c r="AK18" s="320" t="s">
        <v>2792</v>
      </c>
      <c r="AL18" s="145">
        <v>4.3127088999999987</v>
      </c>
      <c r="AM18" s="15">
        <v>4.3127088999999987</v>
      </c>
      <c r="AN18" s="320" t="s">
        <v>2871</v>
      </c>
      <c r="AO18" s="47"/>
      <c r="AP18" s="47"/>
    </row>
    <row r="19" spans="1:42">
      <c r="A19" s="3"/>
      <c r="B19" s="171">
        <v>240.387</v>
      </c>
      <c r="C19" s="157">
        <v>20.297165547597668</v>
      </c>
      <c r="D19" s="206">
        <v>99.077120000000008</v>
      </c>
      <c r="E19" s="206" t="s">
        <v>1125</v>
      </c>
      <c r="F19" s="157">
        <v>3.986432400099873</v>
      </c>
      <c r="G19" s="70"/>
      <c r="H19" s="70"/>
      <c r="I19" s="157"/>
      <c r="J19" s="70"/>
      <c r="K19" s="70"/>
      <c r="L19" s="191">
        <v>24.96226047618207</v>
      </c>
      <c r="M19" s="323">
        <v>-76.107469125855815</v>
      </c>
      <c r="N19" s="180" t="s">
        <v>1126</v>
      </c>
      <c r="O19" s="191">
        <v>11.923926131469598</v>
      </c>
      <c r="P19" s="323">
        <v>70.803798699999987</v>
      </c>
      <c r="Q19" s="180" t="s">
        <v>1407</v>
      </c>
      <c r="R19" s="191">
        <v>1.2021249179968239</v>
      </c>
      <c r="S19" s="318">
        <v>-7.25976800000001</v>
      </c>
      <c r="T19" s="70" t="s">
        <v>1407</v>
      </c>
      <c r="U19" s="145">
        <v>1.13353960236</v>
      </c>
      <c r="V19" s="177">
        <v>8.4513823747852577</v>
      </c>
      <c r="W19" s="460" t="s">
        <v>1126</v>
      </c>
      <c r="X19" s="145">
        <v>0.87251895000000002</v>
      </c>
      <c r="Y19" s="177">
        <v>5.7829800000000002</v>
      </c>
      <c r="Z19" s="460" t="s">
        <v>1466</v>
      </c>
      <c r="AA19" s="145">
        <v>0.17018002309199981</v>
      </c>
      <c r="AB19" s="461">
        <v>983.12294880244167</v>
      </c>
      <c r="AC19" s="177">
        <v>-0.40163699999999958</v>
      </c>
      <c r="AD19" s="460" t="s">
        <v>1709</v>
      </c>
      <c r="AE19" s="145">
        <v>1.0492000620170399</v>
      </c>
      <c r="AF19" s="177">
        <v>-1.4876193299999998</v>
      </c>
      <c r="AG19" s="365" t="s">
        <v>1126</v>
      </c>
      <c r="AH19" s="145">
        <v>0.70110453942150019</v>
      </c>
      <c r="AI19" s="177">
        <v>-1.3285216844023768</v>
      </c>
      <c r="AJ19" s="464">
        <v>116.33841682029997</v>
      </c>
      <c r="AK19" s="460" t="s">
        <v>1466</v>
      </c>
      <c r="AL19" s="145">
        <v>0.77944019220589977</v>
      </c>
      <c r="AM19" s="177">
        <v>4.3127088999999987</v>
      </c>
      <c r="AN19" s="460" t="s">
        <v>2610</v>
      </c>
      <c r="AO19" s="47"/>
      <c r="AP19" s="47"/>
    </row>
    <row r="20" spans="1:42">
      <c r="A20" s="3"/>
      <c r="B20" s="122"/>
      <c r="C20" s="16"/>
      <c r="D20" s="9"/>
      <c r="E20" s="30"/>
      <c r="F20" s="3"/>
      <c r="G20" s="4"/>
      <c r="H20" s="4"/>
      <c r="I20" s="3"/>
      <c r="J20" s="4"/>
      <c r="K20" s="4"/>
      <c r="L20" s="3"/>
      <c r="M20" s="323">
        <v>-80.451174600000002</v>
      </c>
      <c r="N20" s="180" t="s">
        <v>1408</v>
      </c>
      <c r="O20" s="3"/>
      <c r="P20" s="323">
        <v>75.465989266071929</v>
      </c>
      <c r="Q20" s="180" t="s">
        <v>1126</v>
      </c>
      <c r="R20" s="3"/>
      <c r="S20" s="318">
        <v>-0.64147985978388533</v>
      </c>
      <c r="T20" s="70" t="s">
        <v>1126</v>
      </c>
      <c r="U20" s="100"/>
      <c r="V20" s="177">
        <v>8.6320200000000007</v>
      </c>
      <c r="W20" s="460" t="s">
        <v>1466</v>
      </c>
      <c r="X20" s="100"/>
      <c r="Y20" s="177">
        <v>5.0432757300000004</v>
      </c>
      <c r="Z20" s="460" t="s">
        <v>1126</v>
      </c>
      <c r="AA20" s="100"/>
      <c r="AB20" s="462">
        <v>1.0914187082576499</v>
      </c>
      <c r="AC20" s="177">
        <v>-3.3562534399999997</v>
      </c>
      <c r="AD20" s="460" t="s">
        <v>1126</v>
      </c>
      <c r="AE20" s="100"/>
      <c r="AF20" s="177">
        <v>-2.4659738939438651</v>
      </c>
      <c r="AG20" s="460" t="s">
        <v>1125</v>
      </c>
      <c r="AH20" s="100"/>
      <c r="AI20" s="177">
        <v>-1.5680806500000004</v>
      </c>
      <c r="AJ20" s="465">
        <v>6.4987574387435876</v>
      </c>
      <c r="AK20" s="460" t="s">
        <v>1126</v>
      </c>
      <c r="AL20" s="84"/>
      <c r="AM20" s="177">
        <v>4.0930794996106403</v>
      </c>
      <c r="AN20" s="460" t="s">
        <v>1126</v>
      </c>
      <c r="AO20" s="47"/>
      <c r="AP20" s="47"/>
    </row>
    <row r="21" spans="1:42">
      <c r="A21" s="3"/>
      <c r="B21" s="4"/>
      <c r="C21" s="79"/>
      <c r="D21" s="30"/>
      <c r="E21" s="30"/>
      <c r="F21" s="3"/>
      <c r="G21" s="4"/>
      <c r="H21" s="4"/>
      <c r="I21" s="3"/>
      <c r="J21" s="4"/>
      <c r="K21" s="4"/>
      <c r="L21" s="3"/>
      <c r="M21" s="4"/>
      <c r="N21" s="4"/>
      <c r="O21" s="3"/>
      <c r="P21" s="4"/>
      <c r="Q21" s="4"/>
      <c r="R21" s="3"/>
      <c r="S21" s="9"/>
      <c r="T21" s="4"/>
      <c r="U21" s="100"/>
      <c r="V21" s="177">
        <v>9.229915995758299</v>
      </c>
      <c r="W21" s="460" t="s">
        <v>1125</v>
      </c>
      <c r="X21" s="100"/>
      <c r="Y21" s="177">
        <v>4.55</v>
      </c>
      <c r="Z21" s="460" t="s">
        <v>1125</v>
      </c>
      <c r="AA21" s="100"/>
      <c r="AB21" s="225">
        <v>0.11</v>
      </c>
      <c r="AC21" s="177">
        <v>-4.3528521486937288</v>
      </c>
      <c r="AD21" s="460" t="s">
        <v>1125</v>
      </c>
      <c r="AE21" s="100"/>
      <c r="AF21" s="177">
        <v>-1.2555970000000007</v>
      </c>
      <c r="AG21" s="460" t="s">
        <v>1710</v>
      </c>
      <c r="AH21" s="100"/>
      <c r="AI21" s="177">
        <v>-1.5100000000000007</v>
      </c>
      <c r="AJ21" s="466">
        <v>7.4286684813564303</v>
      </c>
      <c r="AK21" s="460" t="s">
        <v>1125</v>
      </c>
      <c r="AL21" s="84"/>
      <c r="AM21" s="177">
        <v>3.4177381661480446</v>
      </c>
      <c r="AN21" s="460" t="s">
        <v>2611</v>
      </c>
      <c r="AO21" s="47"/>
      <c r="AP21" s="47"/>
    </row>
    <row r="22" spans="1:42">
      <c r="A22" s="3"/>
      <c r="B22" s="4"/>
      <c r="C22" s="3"/>
      <c r="D22" s="9"/>
      <c r="E22" s="9"/>
      <c r="F22" s="3"/>
      <c r="G22" s="4"/>
      <c r="H22" s="4"/>
      <c r="I22" s="3"/>
      <c r="J22" s="4"/>
      <c r="K22" s="4"/>
      <c r="L22" s="3"/>
      <c r="M22" s="4"/>
      <c r="N22" s="4"/>
      <c r="O22" s="3"/>
      <c r="P22" s="4"/>
      <c r="Q22" s="4"/>
      <c r="R22" s="3"/>
      <c r="S22" s="9"/>
      <c r="T22" s="4"/>
      <c r="U22" s="100"/>
      <c r="V22" s="177">
        <v>8.0675799999999995</v>
      </c>
      <c r="W22" s="460" t="s">
        <v>1705</v>
      </c>
      <c r="X22" s="100"/>
      <c r="Y22" s="177">
        <v>6.5457989999999988</v>
      </c>
      <c r="Z22" s="460" t="s">
        <v>1707</v>
      </c>
      <c r="AA22" s="100"/>
      <c r="AB22" s="461">
        <v>234.99999999999994</v>
      </c>
      <c r="AC22" s="177">
        <v>-1.0231769715802177</v>
      </c>
      <c r="AD22" s="460" t="s">
        <v>1465</v>
      </c>
      <c r="AE22" s="100"/>
      <c r="AF22" s="177">
        <v>-2.0990869322623311</v>
      </c>
      <c r="AG22" s="460" t="s">
        <v>1465</v>
      </c>
      <c r="AH22" s="100"/>
      <c r="AI22" s="177">
        <v>2.1932708195047197</v>
      </c>
      <c r="AJ22" s="467">
        <v>37513.000000000029</v>
      </c>
      <c r="AK22" s="460" t="s">
        <v>1467</v>
      </c>
      <c r="AL22" s="84"/>
      <c r="AM22" s="47"/>
      <c r="AN22" s="45"/>
      <c r="AO22" s="47"/>
      <c r="AP22" s="47"/>
    </row>
    <row r="23" spans="1:42">
      <c r="A23" s="3"/>
      <c r="B23" s="4"/>
      <c r="C23" s="3"/>
      <c r="D23" s="9"/>
      <c r="E23" s="9"/>
      <c r="F23" s="3"/>
      <c r="G23" s="4"/>
      <c r="H23" s="4"/>
      <c r="I23" s="3"/>
      <c r="J23" s="4"/>
      <c r="K23" s="4"/>
      <c r="L23" s="3"/>
      <c r="M23" s="4"/>
      <c r="N23" s="4"/>
      <c r="O23" s="3"/>
      <c r="P23" s="4"/>
      <c r="Q23" s="4"/>
      <c r="R23" s="3"/>
      <c r="S23" s="9"/>
      <c r="T23" s="4"/>
      <c r="U23" s="100"/>
      <c r="V23" s="177">
        <v>7.7177000000000007</v>
      </c>
      <c r="W23" s="460" t="s">
        <v>1706</v>
      </c>
      <c r="X23" s="100"/>
      <c r="Y23" s="177">
        <v>7.0231379999999985</v>
      </c>
      <c r="Z23" s="460" t="s">
        <v>1708</v>
      </c>
      <c r="AA23" s="100"/>
      <c r="AB23" s="463">
        <v>1.8878975324999993E-3</v>
      </c>
      <c r="AC23" s="177">
        <v>-6.1182664150114459</v>
      </c>
      <c r="AD23" s="460" t="s">
        <v>1466</v>
      </c>
      <c r="AE23" s="100"/>
      <c r="AF23" s="177">
        <v>-3.039506524783798</v>
      </c>
      <c r="AG23" s="460" t="s">
        <v>1466</v>
      </c>
      <c r="AH23" s="84"/>
      <c r="AI23" s="177">
        <v>-0.20947707661014089</v>
      </c>
      <c r="AJ23" s="464">
        <v>148.4</v>
      </c>
      <c r="AK23" s="460" t="s">
        <v>1468</v>
      </c>
      <c r="AL23" s="84"/>
      <c r="AM23" s="47"/>
      <c r="AN23" s="45"/>
      <c r="AO23" s="47"/>
      <c r="AP23" s="47"/>
    </row>
    <row r="24" spans="1:42">
      <c r="A24" s="3"/>
      <c r="B24" s="4"/>
      <c r="C24" s="3"/>
      <c r="D24" s="9"/>
      <c r="E24" s="9"/>
      <c r="F24" s="3"/>
      <c r="G24" s="4"/>
      <c r="H24" s="4"/>
      <c r="I24" s="3"/>
      <c r="J24" s="4"/>
      <c r="K24" s="4"/>
      <c r="L24" s="3"/>
      <c r="M24" s="4"/>
      <c r="N24" s="4"/>
      <c r="O24" s="3"/>
      <c r="P24" s="4"/>
      <c r="Q24" s="4"/>
      <c r="R24" s="3"/>
      <c r="S24" s="9"/>
      <c r="T24" s="4"/>
      <c r="U24" s="100"/>
      <c r="V24" s="177">
        <v>7.173</v>
      </c>
      <c r="W24" s="460" t="s">
        <v>1465</v>
      </c>
      <c r="X24" s="100"/>
      <c r="Y24" s="177">
        <v>6.15</v>
      </c>
      <c r="Z24" s="460" t="s">
        <v>1465</v>
      </c>
      <c r="AA24" s="100"/>
      <c r="AB24" s="370"/>
      <c r="AC24" s="15"/>
      <c r="AD24" s="320"/>
      <c r="AE24" s="100"/>
      <c r="AF24" s="15"/>
      <c r="AG24" s="320"/>
      <c r="AH24" s="100"/>
      <c r="AI24" s="15"/>
      <c r="AJ24" s="372"/>
      <c r="AK24" s="320"/>
      <c r="AL24" s="84"/>
      <c r="AM24" s="47"/>
      <c r="AN24" s="45"/>
      <c r="AO24" s="47"/>
      <c r="AP24" s="47"/>
    </row>
    <row r="25" spans="1:42">
      <c r="A25" s="3"/>
      <c r="B25" s="4"/>
      <c r="C25" s="3"/>
      <c r="D25" s="9"/>
      <c r="E25" s="9"/>
      <c r="F25" s="3"/>
      <c r="G25" s="4"/>
      <c r="H25" s="4"/>
      <c r="I25" s="3"/>
      <c r="J25" s="4"/>
      <c r="K25" s="4"/>
      <c r="L25" s="3"/>
      <c r="M25" s="4"/>
      <c r="N25" s="4"/>
      <c r="O25" s="3"/>
      <c r="P25" s="4"/>
      <c r="Q25" s="4"/>
      <c r="R25" s="3"/>
      <c r="S25" s="9"/>
      <c r="T25" s="4"/>
      <c r="U25" s="100"/>
      <c r="V25" s="15"/>
      <c r="W25" s="320"/>
      <c r="X25" s="8"/>
      <c r="Y25" s="8"/>
      <c r="Z25" s="45"/>
      <c r="AA25" s="47"/>
      <c r="AB25" s="47"/>
      <c r="AC25" s="47"/>
      <c r="AD25" s="45"/>
      <c r="AE25" s="13"/>
      <c r="AF25" s="6"/>
      <c r="AG25" s="7"/>
      <c r="AH25" s="84"/>
      <c r="AI25" s="47"/>
      <c r="AJ25" s="47"/>
      <c r="AK25" s="45"/>
      <c r="AL25" s="84"/>
      <c r="AM25" s="47"/>
      <c r="AN25" s="45"/>
      <c r="AO25" s="47"/>
      <c r="AP25" s="47"/>
    </row>
    <row r="26" spans="1:42">
      <c r="A26" s="3" t="s">
        <v>11</v>
      </c>
      <c r="B26" s="4" t="s">
        <v>12</v>
      </c>
      <c r="C26" s="157">
        <v>85.133109727039994</v>
      </c>
      <c r="D26" s="30">
        <v>85.133109727039994</v>
      </c>
      <c r="E26" s="30" t="s">
        <v>1126</v>
      </c>
      <c r="F26" s="187">
        <v>14.955279199015934</v>
      </c>
      <c r="G26" s="318">
        <v>14.955279199015934</v>
      </c>
      <c r="H26" s="70" t="s">
        <v>1126</v>
      </c>
      <c r="I26" s="187"/>
      <c r="J26" s="318">
        <v>8.6848650017520157</v>
      </c>
      <c r="K26" s="70" t="s">
        <v>1126</v>
      </c>
      <c r="L26" s="191">
        <v>-76.448244725287978</v>
      </c>
      <c r="M26" s="276">
        <v>-76.448244725287978</v>
      </c>
      <c r="N26" s="13" t="s">
        <v>2792</v>
      </c>
      <c r="O26" s="187">
        <v>76.026879699999995</v>
      </c>
      <c r="P26" s="318">
        <v>76.026879699999995</v>
      </c>
      <c r="Q26" s="70" t="s">
        <v>2793</v>
      </c>
      <c r="R26" s="187">
        <v>-6.2704141972639178</v>
      </c>
      <c r="S26" s="318">
        <v>-6.2704141972639178</v>
      </c>
      <c r="T26" s="70" t="s">
        <v>2792</v>
      </c>
      <c r="U26" s="145">
        <v>7.5040699999999996</v>
      </c>
      <c r="V26" s="15">
        <v>7.5040699999999996</v>
      </c>
      <c r="W26" s="320" t="s">
        <v>2868</v>
      </c>
      <c r="X26" s="145">
        <v>4.17</v>
      </c>
      <c r="Y26" s="15">
        <v>4.17</v>
      </c>
      <c r="Z26" s="320" t="s">
        <v>2869</v>
      </c>
      <c r="AA26" s="145">
        <v>-4.7292670000000001</v>
      </c>
      <c r="AB26" s="371">
        <v>4.6235742233215547E-2</v>
      </c>
      <c r="AC26" s="15">
        <v>-4.7292670000000001</v>
      </c>
      <c r="AD26" s="320" t="s">
        <v>2870</v>
      </c>
      <c r="AE26" s="145">
        <v>-2.0975657400000012</v>
      </c>
      <c r="AF26" s="15">
        <v>-2.0975657400000012</v>
      </c>
      <c r="AG26" s="320" t="s">
        <v>2792</v>
      </c>
      <c r="AH26" s="145">
        <v>-1.2266581000000005</v>
      </c>
      <c r="AI26" s="15">
        <v>-1.2266581000000005</v>
      </c>
      <c r="AJ26" s="229">
        <v>15.918875654299454</v>
      </c>
      <c r="AK26" s="320" t="s">
        <v>2792</v>
      </c>
      <c r="AL26" s="145">
        <v>2.7309598999999993</v>
      </c>
      <c r="AM26" s="15">
        <v>2.7309598999999993</v>
      </c>
      <c r="AN26" s="320" t="s">
        <v>2871</v>
      </c>
      <c r="AO26" s="47"/>
      <c r="AP26" s="47"/>
    </row>
    <row r="27" spans="1:42">
      <c r="A27" s="3"/>
      <c r="B27" s="171">
        <v>268.26900000000001</v>
      </c>
      <c r="C27" s="157">
        <v>21.54753060435273</v>
      </c>
      <c r="D27" s="206">
        <v>102.63352</v>
      </c>
      <c r="E27" s="206" t="s">
        <v>1125</v>
      </c>
      <c r="F27" s="157">
        <v>12.612280472743704</v>
      </c>
      <c r="G27" s="70"/>
      <c r="H27" s="70"/>
      <c r="I27" s="157"/>
      <c r="J27" s="70"/>
      <c r="K27" s="70"/>
      <c r="L27" s="191">
        <v>25.074030442713028</v>
      </c>
      <c r="M27" s="323">
        <v>-76.448244725287978</v>
      </c>
      <c r="N27" s="180" t="s">
        <v>1126</v>
      </c>
      <c r="O27" s="191">
        <v>12.8035347565176</v>
      </c>
      <c r="P27" s="323">
        <v>76.026879699999995</v>
      </c>
      <c r="Q27" s="180" t="s">
        <v>1407</v>
      </c>
      <c r="R27" s="191">
        <v>11.750674690288019</v>
      </c>
      <c r="S27" s="318">
        <v>-5.3747479999999985</v>
      </c>
      <c r="T27" s="180" t="s">
        <v>1407</v>
      </c>
      <c r="U27" s="145">
        <v>0.98541946425999982</v>
      </c>
      <c r="V27" s="177">
        <v>8.5081766069281883</v>
      </c>
      <c r="W27" s="460" t="s">
        <v>1126</v>
      </c>
      <c r="X27" s="145">
        <v>0.59161041000000003</v>
      </c>
      <c r="Y27" s="177">
        <v>3.6591300000000002</v>
      </c>
      <c r="Z27" s="460" t="s">
        <v>1466</v>
      </c>
      <c r="AA27" s="145">
        <v>2.0038660961720001</v>
      </c>
      <c r="AB27" s="461">
        <v>4.6235742233215547E-2</v>
      </c>
      <c r="AC27" s="177">
        <v>-4.7292670000000001</v>
      </c>
      <c r="AD27" s="460" t="s">
        <v>1709</v>
      </c>
      <c r="AE27" s="145">
        <v>1.4793879456331209</v>
      </c>
      <c r="AF27" s="177">
        <v>-2.0975657400000012</v>
      </c>
      <c r="AG27" s="365" t="s">
        <v>1126</v>
      </c>
      <c r="AH27" s="145">
        <v>0.5484511030910002</v>
      </c>
      <c r="AI27" s="177">
        <v>-1.1572273067354535</v>
      </c>
      <c r="AJ27" s="464">
        <v>172.59075442041998</v>
      </c>
      <c r="AK27" s="460" t="s">
        <v>1466</v>
      </c>
      <c r="AL27" s="145">
        <v>0.49356911368689987</v>
      </c>
      <c r="AM27" s="177">
        <v>2.7309598999999993</v>
      </c>
      <c r="AN27" s="460" t="s">
        <v>2610</v>
      </c>
      <c r="AO27" s="47"/>
      <c r="AP27" s="47"/>
    </row>
    <row r="28" spans="1:42">
      <c r="A28" s="3"/>
      <c r="B28" s="4"/>
      <c r="C28" s="29"/>
      <c r="D28" s="30"/>
      <c r="E28" s="30"/>
      <c r="F28" s="83"/>
      <c r="G28" s="70"/>
      <c r="H28" s="70"/>
      <c r="I28" s="83"/>
      <c r="J28" s="70"/>
      <c r="K28" s="70"/>
      <c r="L28" s="3"/>
      <c r="M28" s="323">
        <v>-83.7844166</v>
      </c>
      <c r="N28" s="180" t="s">
        <v>1408</v>
      </c>
      <c r="O28" s="3"/>
      <c r="P28" s="323">
        <v>70.17783052802406</v>
      </c>
      <c r="Q28" s="180" t="s">
        <v>1126</v>
      </c>
      <c r="R28" s="3"/>
      <c r="S28" s="318">
        <v>-6.2704141972639178</v>
      </c>
      <c r="T28" s="180" t="s">
        <v>1126</v>
      </c>
      <c r="U28" s="100"/>
      <c r="V28" s="177">
        <v>7.5040699999999996</v>
      </c>
      <c r="W28" s="460" t="s">
        <v>1466</v>
      </c>
      <c r="X28" s="100"/>
      <c r="Y28" s="177">
        <v>4.1814791199999997</v>
      </c>
      <c r="Z28" s="460" t="s">
        <v>1126</v>
      </c>
      <c r="AA28" s="100"/>
      <c r="AB28" s="462">
        <v>0.12208226378375905</v>
      </c>
      <c r="AC28" s="177">
        <v>-4.3075922599999998</v>
      </c>
      <c r="AD28" s="460" t="s">
        <v>1126</v>
      </c>
      <c r="AE28" s="100"/>
      <c r="AF28" s="177">
        <v>-2.8601209135987635</v>
      </c>
      <c r="AG28" s="460" t="s">
        <v>1125</v>
      </c>
      <c r="AH28" s="100"/>
      <c r="AI28" s="177">
        <v>-1.2266581000000005</v>
      </c>
      <c r="AJ28" s="465">
        <v>15.918875654299454</v>
      </c>
      <c r="AK28" s="460" t="s">
        <v>1126</v>
      </c>
      <c r="AL28" s="84"/>
      <c r="AM28" s="177">
        <v>4.4231338305918433</v>
      </c>
      <c r="AN28" s="460" t="s">
        <v>1126</v>
      </c>
      <c r="AO28" s="47"/>
      <c r="AP28" s="47"/>
    </row>
    <row r="29" spans="1:42">
      <c r="A29" s="3"/>
      <c r="B29" s="4"/>
      <c r="C29" s="29"/>
      <c r="D29" s="30"/>
      <c r="E29" s="30"/>
      <c r="F29" s="83"/>
      <c r="G29" s="70"/>
      <c r="H29" s="70"/>
      <c r="I29" s="83"/>
      <c r="J29" s="70"/>
      <c r="K29" s="70"/>
      <c r="L29" s="83"/>
      <c r="M29" s="70"/>
      <c r="N29" s="70"/>
      <c r="O29" s="77"/>
      <c r="P29" s="147"/>
      <c r="Q29" s="70"/>
      <c r="R29" s="3"/>
      <c r="S29" s="9"/>
      <c r="T29" s="4"/>
      <c r="U29" s="100"/>
      <c r="V29" s="177">
        <v>9.5339604962969489</v>
      </c>
      <c r="W29" s="460" t="s">
        <v>1125</v>
      </c>
      <c r="X29" s="100"/>
      <c r="Y29" s="177">
        <v>4.8899999999999997</v>
      </c>
      <c r="Z29" s="460" t="s">
        <v>1125</v>
      </c>
      <c r="AA29" s="100"/>
      <c r="AB29" s="225">
        <v>0.15999999999999978</v>
      </c>
      <c r="AC29" s="177">
        <v>-4.1901248511960292</v>
      </c>
      <c r="AD29" s="460" t="s">
        <v>1125</v>
      </c>
      <c r="AE29" s="100"/>
      <c r="AF29" s="177">
        <v>-3.3148270000000002</v>
      </c>
      <c r="AG29" s="460" t="s">
        <v>1710</v>
      </c>
      <c r="AH29" s="100"/>
      <c r="AI29" s="177">
        <v>-2.0599999999999996</v>
      </c>
      <c r="AJ29" s="466">
        <v>2.3365253131392785</v>
      </c>
      <c r="AK29" s="460" t="s">
        <v>1125</v>
      </c>
      <c r="AL29" s="84"/>
      <c r="AM29" s="177">
        <v>2.6306481661480454</v>
      </c>
      <c r="AN29" s="460" t="s">
        <v>2611</v>
      </c>
      <c r="AO29" s="47"/>
      <c r="AP29" s="47"/>
    </row>
    <row r="30" spans="1:42">
      <c r="A30" s="3"/>
      <c r="B30" s="4"/>
      <c r="C30" s="29"/>
      <c r="D30" s="30"/>
      <c r="E30" s="30"/>
      <c r="F30" s="83"/>
      <c r="G30" s="70"/>
      <c r="H30" s="70"/>
      <c r="I30" s="83"/>
      <c r="J30" s="70"/>
      <c r="K30" s="70"/>
      <c r="L30" s="83"/>
      <c r="M30" s="70"/>
      <c r="N30" s="70"/>
      <c r="O30" s="77"/>
      <c r="P30" s="147"/>
      <c r="Q30" s="70"/>
      <c r="R30" s="3"/>
      <c r="S30" s="9"/>
      <c r="T30" s="4"/>
      <c r="U30" s="100"/>
      <c r="V30" s="177">
        <v>9.3397199999999998</v>
      </c>
      <c r="W30" s="460" t="s">
        <v>1705</v>
      </c>
      <c r="X30" s="100"/>
      <c r="Y30" s="177">
        <v>4.4377090000000008</v>
      </c>
      <c r="Z30" s="460" t="s">
        <v>1707</v>
      </c>
      <c r="AA30" s="100"/>
      <c r="AB30" s="461">
        <v>1.4299999999999998E-3</v>
      </c>
      <c r="AC30" s="177">
        <v>-6.2389087963868919</v>
      </c>
      <c r="AD30" s="460" t="s">
        <v>1465</v>
      </c>
      <c r="AE30" s="100"/>
      <c r="AF30" s="177">
        <v>-2.7569619513137056</v>
      </c>
      <c r="AG30" s="460" t="s">
        <v>1465</v>
      </c>
      <c r="AH30" s="100"/>
      <c r="AI30" s="177">
        <v>0.84484750438344858</v>
      </c>
      <c r="AJ30" s="467">
        <v>1876.8000000000004</v>
      </c>
      <c r="AK30" s="460" t="s">
        <v>1467</v>
      </c>
      <c r="AL30" s="84"/>
      <c r="AM30" s="47"/>
      <c r="AN30" s="45"/>
      <c r="AO30" s="47"/>
      <c r="AP30" s="47"/>
    </row>
    <row r="31" spans="1:42">
      <c r="A31" s="3"/>
      <c r="B31" s="4"/>
      <c r="C31" s="29"/>
      <c r="D31" s="30"/>
      <c r="E31" s="30"/>
      <c r="F31" s="83"/>
      <c r="G31" s="70"/>
      <c r="H31" s="70"/>
      <c r="I31" s="83"/>
      <c r="J31" s="70"/>
      <c r="K31" s="70"/>
      <c r="L31" s="83"/>
      <c r="M31" s="70"/>
      <c r="N31" s="70"/>
      <c r="O31" s="77"/>
      <c r="P31" s="147"/>
      <c r="Q31" s="70"/>
      <c r="R31" s="3"/>
      <c r="S31" s="9"/>
      <c r="T31" s="4"/>
      <c r="U31" s="100"/>
      <c r="V31" s="177">
        <v>9.4919999999999991</v>
      </c>
      <c r="W31" s="460" t="s">
        <v>1706</v>
      </c>
      <c r="X31" s="100"/>
      <c r="Y31" s="177">
        <v>4.6146579999999995</v>
      </c>
      <c r="Z31" s="460" t="s">
        <v>1708</v>
      </c>
      <c r="AA31" s="100"/>
      <c r="AB31" s="463">
        <v>0.17756294324999974</v>
      </c>
      <c r="AC31" s="177">
        <v>-4.1448924986551923</v>
      </c>
      <c r="AD31" s="460" t="s">
        <v>1466</v>
      </c>
      <c r="AE31" s="100"/>
      <c r="AF31" s="177">
        <v>-1.8028813797471102</v>
      </c>
      <c r="AG31" s="460" t="s">
        <v>1466</v>
      </c>
      <c r="AH31" s="84"/>
      <c r="AI31" s="177">
        <v>0.89509404522009484</v>
      </c>
      <c r="AJ31" s="464">
        <v>2107.0000000000009</v>
      </c>
      <c r="AK31" s="460" t="s">
        <v>1468</v>
      </c>
      <c r="AL31" s="84"/>
      <c r="AM31" s="47"/>
      <c r="AN31" s="45"/>
      <c r="AO31" s="47"/>
      <c r="AP31" s="47"/>
    </row>
    <row r="32" spans="1:42">
      <c r="A32" s="3"/>
      <c r="B32" s="4"/>
      <c r="C32" s="29"/>
      <c r="D32" s="30"/>
      <c r="E32" s="30"/>
      <c r="F32" s="83"/>
      <c r="G32" s="70"/>
      <c r="H32" s="70"/>
      <c r="I32" s="83"/>
      <c r="J32" s="70"/>
      <c r="K32" s="70"/>
      <c r="L32" s="83"/>
      <c r="M32" s="70"/>
      <c r="N32" s="70"/>
      <c r="O32" s="77"/>
      <c r="P32" s="147"/>
      <c r="Q32" s="70"/>
      <c r="R32" s="3"/>
      <c r="S32" s="9"/>
      <c r="T32" s="4"/>
      <c r="U32" s="100"/>
      <c r="V32" s="177">
        <v>10.409000000000001</v>
      </c>
      <c r="W32" s="460" t="s">
        <v>1465</v>
      </c>
      <c r="X32" s="100"/>
      <c r="Y32" s="177">
        <v>4.17</v>
      </c>
      <c r="Z32" s="460" t="s">
        <v>1465</v>
      </c>
      <c r="AA32" s="100"/>
      <c r="AB32" s="370"/>
      <c r="AC32" s="15"/>
      <c r="AD32" s="320"/>
      <c r="AE32" s="100"/>
      <c r="AF32" s="15"/>
      <c r="AG32" s="320"/>
      <c r="AH32" s="100"/>
      <c r="AI32" s="15"/>
      <c r="AJ32" s="372"/>
      <c r="AK32" s="320"/>
      <c r="AL32" s="84"/>
      <c r="AM32" s="47"/>
      <c r="AN32" s="45"/>
      <c r="AO32" s="47"/>
      <c r="AP32" s="47"/>
    </row>
    <row r="33" spans="1:42">
      <c r="A33" s="3"/>
      <c r="B33" s="4"/>
      <c r="C33" s="29"/>
      <c r="D33" s="30"/>
      <c r="E33" s="30"/>
      <c r="F33" s="83"/>
      <c r="G33" s="70"/>
      <c r="H33" s="70"/>
      <c r="I33" s="83"/>
      <c r="J33" s="70"/>
      <c r="K33" s="70"/>
      <c r="L33" s="83"/>
      <c r="M33" s="70"/>
      <c r="N33" s="70"/>
      <c r="O33" s="77"/>
      <c r="P33" s="147"/>
      <c r="Q33" s="70"/>
      <c r="R33" s="77"/>
      <c r="S33" s="70"/>
      <c r="T33" s="70"/>
      <c r="U33" s="79"/>
      <c r="V33" s="9"/>
      <c r="W33" s="45"/>
      <c r="X33" s="9"/>
      <c r="Y33" s="9"/>
      <c r="Z33" s="45"/>
      <c r="AA33" s="47"/>
      <c r="AB33" s="47"/>
      <c r="AC33" s="47"/>
      <c r="AD33" s="45"/>
      <c r="AE33" s="13"/>
      <c r="AF33" s="6"/>
      <c r="AG33" s="7"/>
      <c r="AH33" s="84"/>
      <c r="AI33" s="47"/>
      <c r="AJ33" s="47"/>
      <c r="AK33" s="45"/>
      <c r="AL33" s="84"/>
      <c r="AM33" s="47"/>
      <c r="AN33" s="45"/>
      <c r="AO33" s="47"/>
      <c r="AP33" s="47"/>
    </row>
    <row r="34" spans="1:42">
      <c r="A34" s="3" t="s">
        <v>14</v>
      </c>
      <c r="B34" s="4" t="s">
        <v>15</v>
      </c>
      <c r="C34" s="157">
        <v>87.750757571440005</v>
      </c>
      <c r="D34" s="30">
        <v>87.750757571440005</v>
      </c>
      <c r="E34" s="30" t="s">
        <v>1126</v>
      </c>
      <c r="F34" s="187">
        <v>7.8802933416640002</v>
      </c>
      <c r="G34" s="318">
        <v>7.8802933416640002</v>
      </c>
      <c r="H34" s="70" t="s">
        <v>1126</v>
      </c>
      <c r="I34" s="187"/>
      <c r="J34" s="318">
        <v>4.0708239589681341</v>
      </c>
      <c r="K34" s="70" t="s">
        <v>1126</v>
      </c>
      <c r="L34" s="191">
        <v>-83.679933612471871</v>
      </c>
      <c r="M34" s="276">
        <v>-83.679933612471871</v>
      </c>
      <c r="N34" s="13" t="s">
        <v>2792</v>
      </c>
      <c r="O34" s="187">
        <v>74.363602399999991</v>
      </c>
      <c r="P34" s="318">
        <v>74.363602399999991</v>
      </c>
      <c r="Q34" s="70" t="s">
        <v>2793</v>
      </c>
      <c r="R34" s="187">
        <v>-3.8094693826958661</v>
      </c>
      <c r="S34" s="318">
        <v>-3.8094693826958661</v>
      </c>
      <c r="T34" s="70" t="s">
        <v>2792</v>
      </c>
      <c r="U34" s="145">
        <v>8.7630400000000002</v>
      </c>
      <c r="V34" s="15">
        <v>8.7630400000000002</v>
      </c>
      <c r="W34" s="320" t="s">
        <v>2868</v>
      </c>
      <c r="X34" s="145">
        <v>6.65</v>
      </c>
      <c r="Y34" s="15">
        <v>6.65</v>
      </c>
      <c r="Z34" s="320" t="s">
        <v>2869</v>
      </c>
      <c r="AA34" s="145">
        <v>-0.33406399999999969</v>
      </c>
      <c r="AB34" s="371">
        <v>1148.6317953689329</v>
      </c>
      <c r="AC34" s="15">
        <v>-0.33406399999999969</v>
      </c>
      <c r="AD34" s="320" t="s">
        <v>2870</v>
      </c>
      <c r="AE34" s="145">
        <v>-2.2322335300000002</v>
      </c>
      <c r="AF34" s="15">
        <v>-2.2322335300000002</v>
      </c>
      <c r="AG34" s="320" t="s">
        <v>2792</v>
      </c>
      <c r="AH34" s="145">
        <v>-2.2472439100000003</v>
      </c>
      <c r="AI34" s="15">
        <v>-2.2472439100000003</v>
      </c>
      <c r="AJ34" s="229">
        <v>1.4397831815894215</v>
      </c>
      <c r="AK34" s="320" t="s">
        <v>2792</v>
      </c>
      <c r="AL34" s="145">
        <v>4.4211807999999992</v>
      </c>
      <c r="AM34" s="15">
        <v>4.4211807999999992</v>
      </c>
      <c r="AN34" s="320" t="s">
        <v>2871</v>
      </c>
      <c r="AO34" s="47"/>
      <c r="AP34" s="47"/>
    </row>
    <row r="35" spans="1:42">
      <c r="A35" s="4"/>
      <c r="B35" s="171">
        <v>254.41399999999999</v>
      </c>
      <c r="C35" s="157">
        <v>22.210067744361751</v>
      </c>
      <c r="D35" s="206">
        <v>103.84688</v>
      </c>
      <c r="E35" s="206" t="s">
        <v>1125</v>
      </c>
      <c r="F35" s="157">
        <v>6.6457114247055262</v>
      </c>
      <c r="G35" s="70"/>
      <c r="H35" s="70"/>
      <c r="I35" s="157"/>
      <c r="J35" s="70"/>
      <c r="K35" s="70"/>
      <c r="L35" s="191">
        <v>27.445930385753808</v>
      </c>
      <c r="M35" s="323">
        <v>-83.679933612471871</v>
      </c>
      <c r="N35" s="180" t="s">
        <v>1126</v>
      </c>
      <c r="O35" s="191">
        <v>12.523425552979198</v>
      </c>
      <c r="P35" s="323">
        <v>74.363602399999991</v>
      </c>
      <c r="Q35" s="180" t="s">
        <v>1407</v>
      </c>
      <c r="R35" s="191">
        <v>7.1388961000700784</v>
      </c>
      <c r="S35" s="318">
        <v>-8.2842160000000025</v>
      </c>
      <c r="T35" s="180" t="s">
        <v>1407</v>
      </c>
      <c r="U35" s="145">
        <v>1.1507448867199999</v>
      </c>
      <c r="V35" s="177">
        <v>9.1850916008481338</v>
      </c>
      <c r="W35" s="460" t="s">
        <v>1126</v>
      </c>
      <c r="X35" s="145">
        <v>0.94345545000000008</v>
      </c>
      <c r="Y35" s="177">
        <v>6.0080900000000002</v>
      </c>
      <c r="Z35" s="460" t="s">
        <v>1466</v>
      </c>
      <c r="AA35" s="145">
        <v>0.14154826182399988</v>
      </c>
      <c r="AB35" s="461">
        <v>1148.6317953689329</v>
      </c>
      <c r="AC35" s="177">
        <v>-0.33406399999999969</v>
      </c>
      <c r="AD35" s="460" t="s">
        <v>1709</v>
      </c>
      <c r="AE35" s="145">
        <v>1.5743675219066402</v>
      </c>
      <c r="AF35" s="177">
        <v>-2.2322335300000002</v>
      </c>
      <c r="AG35" s="365" t="s">
        <v>1126</v>
      </c>
      <c r="AH35" s="145">
        <v>1.0047652246001002</v>
      </c>
      <c r="AI35" s="177">
        <v>-1.5890625710229547</v>
      </c>
      <c r="AJ35" s="464">
        <v>63.853140606449976</v>
      </c>
      <c r="AK35" s="460" t="s">
        <v>1466</v>
      </c>
      <c r="AL35" s="145">
        <v>0.79904442716479984</v>
      </c>
      <c r="AM35" s="177">
        <v>4.4211807999999992</v>
      </c>
      <c r="AN35" s="460" t="s">
        <v>2610</v>
      </c>
      <c r="AO35" s="47"/>
      <c r="AP35" s="47"/>
    </row>
    <row r="36" spans="1:42">
      <c r="A36" s="4"/>
      <c r="B36" s="4"/>
      <c r="C36" s="16"/>
      <c r="D36" s="30"/>
      <c r="E36" s="30"/>
      <c r="F36" s="83"/>
      <c r="G36" s="70"/>
      <c r="H36" s="70"/>
      <c r="I36" s="83"/>
      <c r="J36" s="70"/>
      <c r="K36" s="70"/>
      <c r="L36" s="3"/>
      <c r="M36" s="323">
        <v>-85.035507199999998</v>
      </c>
      <c r="N36" s="180" t="s">
        <v>1408</v>
      </c>
      <c r="O36" s="3"/>
      <c r="P36" s="323">
        <v>79.870464229776005</v>
      </c>
      <c r="Q36" s="180" t="s">
        <v>1126</v>
      </c>
      <c r="R36" s="3"/>
      <c r="S36" s="318">
        <v>-3.8094693826958661</v>
      </c>
      <c r="T36" s="180" t="s">
        <v>1126</v>
      </c>
      <c r="U36" s="100"/>
      <c r="V36" s="177">
        <v>8.7630400000000002</v>
      </c>
      <c r="W36" s="460" t="s">
        <v>1466</v>
      </c>
      <c r="X36" s="100"/>
      <c r="Y36" s="177">
        <v>5.6793324399999996</v>
      </c>
      <c r="Z36" s="460" t="s">
        <v>1126</v>
      </c>
      <c r="AA36" s="100"/>
      <c r="AB36" s="462">
        <v>0.93866227501314414</v>
      </c>
      <c r="AC36" s="177">
        <v>-3.4217354699999998</v>
      </c>
      <c r="AD36" s="460" t="s">
        <v>1126</v>
      </c>
      <c r="AE36" s="100"/>
      <c r="AF36" s="177">
        <v>-2.9430951486635273</v>
      </c>
      <c r="AG36" s="460" t="s">
        <v>1125</v>
      </c>
      <c r="AH36" s="100"/>
      <c r="AI36" s="177">
        <v>-2.2472439100000003</v>
      </c>
      <c r="AJ36" s="465">
        <v>1.4397831815894215</v>
      </c>
      <c r="AK36" s="460" t="s">
        <v>1126</v>
      </c>
      <c r="AL36" s="84"/>
      <c r="AM36" s="177">
        <v>3.8420618331053378</v>
      </c>
      <c r="AN36" s="460" t="s">
        <v>1126</v>
      </c>
      <c r="AO36" s="47"/>
      <c r="AP36" s="47"/>
    </row>
    <row r="37" spans="1:42">
      <c r="A37" s="4"/>
      <c r="B37" s="4"/>
      <c r="C37" s="16"/>
      <c r="D37" s="30"/>
      <c r="E37" s="30"/>
      <c r="F37" s="83"/>
      <c r="G37" s="70"/>
      <c r="H37" s="70"/>
      <c r="I37" s="83"/>
      <c r="J37" s="70"/>
      <c r="K37" s="70"/>
      <c r="L37" s="3"/>
      <c r="M37" s="4"/>
      <c r="N37" s="4"/>
      <c r="O37" s="3"/>
      <c r="P37" s="4"/>
      <c r="Q37" s="4"/>
      <c r="R37" s="3"/>
      <c r="S37" s="9"/>
      <c r="T37" s="4"/>
      <c r="U37" s="100"/>
      <c r="V37" s="177">
        <v>9.7170874599216006</v>
      </c>
      <c r="W37" s="460" t="s">
        <v>1125</v>
      </c>
      <c r="X37" s="100"/>
      <c r="Y37" s="177">
        <v>5.07</v>
      </c>
      <c r="Z37" s="460" t="s">
        <v>1125</v>
      </c>
      <c r="AA37" s="100"/>
      <c r="AB37" s="225">
        <v>0.13999999999999976</v>
      </c>
      <c r="AC37" s="177">
        <v>-4.248116798173716</v>
      </c>
      <c r="AD37" s="460" t="s">
        <v>1125</v>
      </c>
      <c r="AE37" s="100"/>
      <c r="AF37" s="177">
        <v>-1.7591840000000021</v>
      </c>
      <c r="AG37" s="460" t="s">
        <v>1710</v>
      </c>
      <c r="AH37" s="100"/>
      <c r="AI37" s="177">
        <v>-2.0800000000000005</v>
      </c>
      <c r="AJ37" s="466">
        <v>2.1161234806131466</v>
      </c>
      <c r="AK37" s="460" t="s">
        <v>1125</v>
      </c>
      <c r="AL37" s="84"/>
      <c r="AM37" s="177">
        <v>3.3916111661480421</v>
      </c>
      <c r="AN37" s="460" t="s">
        <v>2611</v>
      </c>
      <c r="AO37" s="47"/>
      <c r="AP37" s="47"/>
    </row>
    <row r="38" spans="1:42">
      <c r="A38" s="4"/>
      <c r="B38" s="4"/>
      <c r="C38" s="16"/>
      <c r="D38" s="30"/>
      <c r="E38" s="30"/>
      <c r="F38" s="83"/>
      <c r="G38" s="70"/>
      <c r="H38" s="70"/>
      <c r="I38" s="83"/>
      <c r="J38" s="70"/>
      <c r="K38" s="70"/>
      <c r="L38" s="3"/>
      <c r="M38" s="4"/>
      <c r="N38" s="4"/>
      <c r="O38" s="3"/>
      <c r="P38" s="4"/>
      <c r="Q38" s="4"/>
      <c r="R38" s="3"/>
      <c r="S38" s="9"/>
      <c r="T38" s="4"/>
      <c r="U38" s="100"/>
      <c r="V38" s="177">
        <v>8.5450399999999984</v>
      </c>
      <c r="W38" s="460" t="s">
        <v>1705</v>
      </c>
      <c r="X38" s="100"/>
      <c r="Y38" s="177">
        <v>7.037528</v>
      </c>
      <c r="Z38" s="460" t="s">
        <v>1707</v>
      </c>
      <c r="AA38" s="100"/>
      <c r="AB38" s="461">
        <v>312</v>
      </c>
      <c r="AC38" s="177">
        <v>-0.90009023983351111</v>
      </c>
      <c r="AD38" s="460" t="s">
        <v>1465</v>
      </c>
      <c r="AE38" s="100"/>
      <c r="AF38" s="177">
        <v>-2.4023048140744878</v>
      </c>
      <c r="AG38" s="460" t="s">
        <v>1465</v>
      </c>
      <c r="AH38" s="100"/>
      <c r="AI38" s="177">
        <v>1.8624515841932401</v>
      </c>
      <c r="AJ38" s="467">
        <v>18535.000000000011</v>
      </c>
      <c r="AK38" s="460" t="s">
        <v>1467</v>
      </c>
      <c r="AL38" s="84"/>
      <c r="AM38" s="47"/>
      <c r="AN38" s="45"/>
      <c r="AO38" s="47"/>
      <c r="AP38" s="47"/>
    </row>
    <row r="39" spans="1:42">
      <c r="A39" s="4"/>
      <c r="B39" s="4"/>
      <c r="C39" s="16"/>
      <c r="D39" s="30"/>
      <c r="E39" s="30"/>
      <c r="F39" s="83"/>
      <c r="G39" s="70"/>
      <c r="H39" s="70"/>
      <c r="I39" s="83"/>
      <c r="J39" s="70"/>
      <c r="K39" s="70"/>
      <c r="L39" s="3"/>
      <c r="M39" s="4"/>
      <c r="N39" s="4"/>
      <c r="O39" s="3"/>
      <c r="P39" s="4"/>
      <c r="Q39" s="4"/>
      <c r="R39" s="3"/>
      <c r="S39" s="9"/>
      <c r="T39" s="4"/>
      <c r="U39" s="100"/>
      <c r="V39" s="177">
        <v>8.1593999999999998</v>
      </c>
      <c r="W39" s="460" t="s">
        <v>1706</v>
      </c>
      <c r="X39" s="100"/>
      <c r="Y39" s="177">
        <v>7.5649359999999994</v>
      </c>
      <c r="Z39" s="460" t="s">
        <v>1708</v>
      </c>
      <c r="AA39" s="100"/>
      <c r="AB39" s="463">
        <v>1.8816457799999992E-3</v>
      </c>
      <c r="AC39" s="177">
        <v>-6.1197069630446013</v>
      </c>
      <c r="AD39" s="460" t="s">
        <v>1466</v>
      </c>
      <c r="AE39" s="100"/>
      <c r="AF39" s="177">
        <v>-3.286248545715881</v>
      </c>
      <c r="AG39" s="460" t="s">
        <v>1466</v>
      </c>
      <c r="AH39" s="84"/>
      <c r="AI39" s="177">
        <v>-0.73095540386942859</v>
      </c>
      <c r="AJ39" s="464">
        <v>47.269999999999982</v>
      </c>
      <c r="AK39" s="460" t="s">
        <v>1468</v>
      </c>
      <c r="AL39" s="84"/>
      <c r="AM39" s="47"/>
      <c r="AN39" s="45"/>
      <c r="AO39" s="47"/>
      <c r="AP39" s="47"/>
    </row>
    <row r="40" spans="1:42">
      <c r="A40" s="4"/>
      <c r="B40" s="4"/>
      <c r="C40" s="16"/>
      <c r="D40" s="30"/>
      <c r="E40" s="30"/>
      <c r="F40" s="83"/>
      <c r="G40" s="70"/>
      <c r="H40" s="70"/>
      <c r="I40" s="83"/>
      <c r="J40" s="70"/>
      <c r="K40" s="70"/>
      <c r="L40" s="3"/>
      <c r="M40" s="4"/>
      <c r="N40" s="4"/>
      <c r="O40" s="3"/>
      <c r="P40" s="4"/>
      <c r="Q40" s="4"/>
      <c r="R40" s="3"/>
      <c r="S40" s="9"/>
      <c r="T40" s="4"/>
      <c r="U40" s="100"/>
      <c r="V40" s="177">
        <v>7.55</v>
      </c>
      <c r="W40" s="460" t="s">
        <v>1465</v>
      </c>
      <c r="X40" s="100"/>
      <c r="Y40" s="177">
        <v>6.65</v>
      </c>
      <c r="Z40" s="460" t="s">
        <v>1465</v>
      </c>
      <c r="AA40" s="100"/>
      <c r="AB40" s="370"/>
      <c r="AC40" s="15"/>
      <c r="AD40" s="320"/>
      <c r="AE40" s="100"/>
      <c r="AF40" s="15"/>
      <c r="AG40" s="320"/>
      <c r="AH40" s="100"/>
      <c r="AI40" s="15"/>
      <c r="AJ40" s="372"/>
      <c r="AK40" s="320"/>
      <c r="AL40" s="84"/>
      <c r="AM40" s="47"/>
      <c r="AN40" s="45"/>
      <c r="AO40" s="47"/>
      <c r="AP40" s="47"/>
    </row>
    <row r="41" spans="1:42">
      <c r="A41" s="4"/>
      <c r="B41" s="4"/>
      <c r="C41" s="29"/>
      <c r="D41" s="30"/>
      <c r="E41" s="30"/>
      <c r="F41" s="83"/>
      <c r="G41" s="70"/>
      <c r="H41" s="70"/>
      <c r="I41" s="83"/>
      <c r="J41" s="70"/>
      <c r="K41" s="70"/>
      <c r="L41" s="83"/>
      <c r="M41" s="70"/>
      <c r="N41" s="70"/>
      <c r="O41" s="77"/>
      <c r="P41" s="147"/>
      <c r="Q41" s="70"/>
      <c r="R41" s="77"/>
      <c r="S41" s="70"/>
      <c r="T41" s="70"/>
      <c r="U41" s="79"/>
      <c r="V41" s="9"/>
      <c r="W41" s="45"/>
      <c r="X41" s="9"/>
      <c r="Y41" s="9"/>
      <c r="Z41" s="45"/>
      <c r="AA41" s="47"/>
      <c r="AB41" s="47"/>
      <c r="AC41" s="47"/>
      <c r="AD41" s="45"/>
      <c r="AE41" s="13"/>
      <c r="AF41" s="6"/>
      <c r="AG41" s="7"/>
      <c r="AH41" s="84"/>
      <c r="AI41" s="47"/>
      <c r="AJ41" s="47"/>
      <c r="AK41" s="45"/>
      <c r="AL41" s="84"/>
      <c r="AM41" s="47"/>
      <c r="AN41" s="45"/>
      <c r="AO41" s="47"/>
      <c r="AP41" s="47"/>
    </row>
    <row r="42" spans="1:42">
      <c r="A42" s="4" t="s">
        <v>312</v>
      </c>
      <c r="B42" s="4" t="s">
        <v>313</v>
      </c>
      <c r="C42" s="157">
        <v>78.515084253840001</v>
      </c>
      <c r="D42" s="30">
        <v>78.515084253840001</v>
      </c>
      <c r="E42" s="30" t="s">
        <v>1126</v>
      </c>
      <c r="F42" s="187">
        <v>-5.2323277010158904</v>
      </c>
      <c r="G42" s="318">
        <v>-5.2323277010158904</v>
      </c>
      <c r="H42" s="70" t="s">
        <v>1126</v>
      </c>
      <c r="I42" s="187"/>
      <c r="J42" s="318">
        <v>3.4171332880880527</v>
      </c>
      <c r="K42" s="70" t="s">
        <v>1126</v>
      </c>
      <c r="L42" s="191">
        <v>-75.097950965751949</v>
      </c>
      <c r="M42" s="276">
        <v>-75.097950965751949</v>
      </c>
      <c r="N42" s="13" t="s">
        <v>2792</v>
      </c>
      <c r="O42" s="187">
        <v>76.371950200000001</v>
      </c>
      <c r="P42" s="318">
        <v>76.371950200000001</v>
      </c>
      <c r="Q42" s="70" t="s">
        <v>2793</v>
      </c>
      <c r="R42" s="187">
        <v>8.6494609891039431</v>
      </c>
      <c r="S42" s="318">
        <v>8.6494609891039431</v>
      </c>
      <c r="T42" s="70" t="s">
        <v>2792</v>
      </c>
      <c r="U42" s="145">
        <v>8.3421900000000004</v>
      </c>
      <c r="V42" s="15">
        <v>8.3421900000000004</v>
      </c>
      <c r="W42" s="320" t="s">
        <v>2868</v>
      </c>
      <c r="X42" s="145">
        <v>5.93</v>
      </c>
      <c r="Y42" s="15">
        <v>5.93</v>
      </c>
      <c r="Z42" s="320" t="s">
        <v>2869</v>
      </c>
      <c r="AA42" s="145">
        <v>-1.9819019999999989</v>
      </c>
      <c r="AB42" s="371">
        <v>25.842994422508635</v>
      </c>
      <c r="AC42" s="15">
        <v>-1.9819019999999989</v>
      </c>
      <c r="AD42" s="320" t="s">
        <v>2870</v>
      </c>
      <c r="AE42" s="145">
        <v>-1.2344237000000002</v>
      </c>
      <c r="AF42" s="15">
        <v>-1.2344237000000002</v>
      </c>
      <c r="AG42" s="320" t="s">
        <v>2792</v>
      </c>
      <c r="AH42" s="145">
        <v>-1.3267358800000002</v>
      </c>
      <c r="AI42" s="15">
        <v>-1.3267358800000002</v>
      </c>
      <c r="AJ42" s="229">
        <v>11.516651530381555</v>
      </c>
      <c r="AK42" s="320" t="s">
        <v>2792</v>
      </c>
      <c r="AL42" s="145">
        <v>3.6582493999999981</v>
      </c>
      <c r="AM42" s="15">
        <v>3.6582493999999981</v>
      </c>
      <c r="AN42" s="320" t="s">
        <v>2871</v>
      </c>
      <c r="AO42" s="47"/>
      <c r="AP42" s="47"/>
    </row>
    <row r="43" spans="1:42">
      <c r="A43" s="4"/>
      <c r="B43" s="171">
        <v>244.37799999999999</v>
      </c>
      <c r="C43" s="157">
        <v>19.87248188498392</v>
      </c>
      <c r="D43" s="206">
        <v>98.323999999999998</v>
      </c>
      <c r="E43" s="206" t="s">
        <v>1125</v>
      </c>
      <c r="F43" s="157">
        <v>4.4125946170808339</v>
      </c>
      <c r="G43" s="70"/>
      <c r="H43" s="70"/>
      <c r="I43" s="157"/>
      <c r="J43" s="70"/>
      <c r="K43" s="70"/>
      <c r="L43" s="191">
        <v>24.631151643404081</v>
      </c>
      <c r="M43" s="323">
        <v>-75.097950965751949</v>
      </c>
      <c r="N43" s="180" t="s">
        <v>1126</v>
      </c>
      <c r="O43" s="191">
        <v>12.8616473892816</v>
      </c>
      <c r="P43" s="323">
        <v>76.371950200000001</v>
      </c>
      <c r="Q43" s="180" t="s">
        <v>1407</v>
      </c>
      <c r="R43" s="191">
        <v>16.20897745058793</v>
      </c>
      <c r="S43" s="318">
        <v>-6.7428280000000047</v>
      </c>
      <c r="T43" s="180" t="s">
        <v>1407</v>
      </c>
      <c r="U43" s="145">
        <v>1.0954797064199999</v>
      </c>
      <c r="V43" s="177">
        <v>8.2223249425402862</v>
      </c>
      <c r="W43" s="460" t="s">
        <v>1126</v>
      </c>
      <c r="X43" s="145">
        <v>0.84130688999999992</v>
      </c>
      <c r="Y43" s="177">
        <v>5.3656600000000001</v>
      </c>
      <c r="Z43" s="460" t="s">
        <v>1466</v>
      </c>
      <c r="AA43" s="145">
        <v>0.83976358783199956</v>
      </c>
      <c r="AB43" s="461">
        <v>25.842994422508635</v>
      </c>
      <c r="AC43" s="177">
        <v>-1.9819019999999989</v>
      </c>
      <c r="AD43" s="460" t="s">
        <v>1709</v>
      </c>
      <c r="AE43" s="145">
        <v>0.87062422252560023</v>
      </c>
      <c r="AF43" s="177">
        <v>-1.2344237000000002</v>
      </c>
      <c r="AG43" s="365" t="s">
        <v>1126</v>
      </c>
      <c r="AH43" s="145">
        <v>0.5931968793068001</v>
      </c>
      <c r="AI43" s="177">
        <v>-1.6763354643919</v>
      </c>
      <c r="AJ43" s="464">
        <v>52.228718436999955</v>
      </c>
      <c r="AK43" s="460" t="s">
        <v>1466</v>
      </c>
      <c r="AL43" s="145">
        <v>0.6611590723113997</v>
      </c>
      <c r="AM43" s="177">
        <v>3.6582493999999981</v>
      </c>
      <c r="AN43" s="460" t="s">
        <v>2610</v>
      </c>
      <c r="AO43" s="47"/>
      <c r="AP43" s="47"/>
    </row>
    <row r="44" spans="1:42">
      <c r="A44" s="4"/>
      <c r="B44" s="4"/>
      <c r="C44" s="29"/>
      <c r="D44" s="30"/>
      <c r="E44" s="30"/>
      <c r="F44" s="83"/>
      <c r="G44" s="70"/>
      <c r="H44" s="70"/>
      <c r="I44" s="83"/>
      <c r="J44" s="70"/>
      <c r="K44" s="70"/>
      <c r="L44" s="3"/>
      <c r="M44" s="323">
        <v>-85.501211600000005</v>
      </c>
      <c r="N44" s="180" t="s">
        <v>1408</v>
      </c>
      <c r="O44" s="3"/>
      <c r="P44" s="323">
        <v>83.747411954855892</v>
      </c>
      <c r="Q44" s="180" t="s">
        <v>1126</v>
      </c>
      <c r="R44" s="3"/>
      <c r="S44" s="318">
        <v>8.6494609891039431</v>
      </c>
      <c r="T44" s="180" t="s">
        <v>1126</v>
      </c>
      <c r="U44" s="100"/>
      <c r="V44" s="177">
        <v>8.3421900000000004</v>
      </c>
      <c r="W44" s="460" t="s">
        <v>1466</v>
      </c>
      <c r="X44" s="100"/>
      <c r="Y44" s="177">
        <v>4.8892521799999997</v>
      </c>
      <c r="Z44" s="460" t="s">
        <v>1126</v>
      </c>
      <c r="AA44" s="100"/>
      <c r="AB44" s="462">
        <v>1.1216896015997142</v>
      </c>
      <c r="AC44" s="177">
        <v>-3.3443721399999999</v>
      </c>
      <c r="AD44" s="460" t="s">
        <v>1126</v>
      </c>
      <c r="AE44" s="100"/>
      <c r="AF44" s="177">
        <v>-2.3798639450262424</v>
      </c>
      <c r="AG44" s="460" t="s">
        <v>1125</v>
      </c>
      <c r="AH44" s="100"/>
      <c r="AI44" s="177">
        <v>-1.3267358800000002</v>
      </c>
      <c r="AJ44" s="465">
        <v>11.516651530381555</v>
      </c>
      <c r="AK44" s="460" t="s">
        <v>1126</v>
      </c>
      <c r="AL44" s="84"/>
      <c r="AM44" s="177">
        <v>3.9858987267398973</v>
      </c>
      <c r="AN44" s="460" t="s">
        <v>1126</v>
      </c>
      <c r="AO44" s="47"/>
      <c r="AP44" s="47"/>
    </row>
    <row r="45" spans="1:42">
      <c r="A45" s="4"/>
      <c r="B45" s="4"/>
      <c r="C45" s="29"/>
      <c r="D45" s="30"/>
      <c r="E45" s="30"/>
      <c r="F45" s="83"/>
      <c r="G45" s="70"/>
      <c r="H45" s="70"/>
      <c r="I45" s="83"/>
      <c r="J45" s="70"/>
      <c r="K45" s="70"/>
      <c r="L45" s="83"/>
      <c r="M45" s="70"/>
      <c r="N45" s="70"/>
      <c r="O45" s="77"/>
      <c r="P45" s="147"/>
      <c r="Q45" s="70"/>
      <c r="R45" s="3"/>
      <c r="S45" s="9"/>
      <c r="T45" s="4"/>
      <c r="U45" s="100"/>
      <c r="V45" s="177">
        <v>9.1663821469290614</v>
      </c>
      <c r="W45" s="460" t="s">
        <v>1125</v>
      </c>
      <c r="X45" s="100"/>
      <c r="Y45" s="177">
        <v>5.0199999999999996</v>
      </c>
      <c r="Z45" s="460" t="s">
        <v>1125</v>
      </c>
      <c r="AA45" s="100"/>
      <c r="AB45" s="225">
        <v>0.3599999999999996</v>
      </c>
      <c r="AC45" s="177">
        <v>-3.8379423330846665</v>
      </c>
      <c r="AD45" s="460" t="s">
        <v>1125</v>
      </c>
      <c r="AE45" s="100"/>
      <c r="AF45" s="177">
        <v>-2.2348619999999988</v>
      </c>
      <c r="AG45" s="460" t="s">
        <v>1710</v>
      </c>
      <c r="AH45" s="100"/>
      <c r="AI45" s="177">
        <v>-1.9300000000000004</v>
      </c>
      <c r="AJ45" s="466">
        <v>2.8711911468101201</v>
      </c>
      <c r="AK45" s="460" t="s">
        <v>1125</v>
      </c>
      <c r="AL45" s="84"/>
      <c r="AM45" s="177">
        <v>3.0125731661480462</v>
      </c>
      <c r="AN45" s="460" t="s">
        <v>2611</v>
      </c>
      <c r="AO45" s="47"/>
      <c r="AP45" s="47"/>
    </row>
    <row r="46" spans="1:42">
      <c r="A46" s="4"/>
      <c r="B46" s="4"/>
      <c r="C46" s="29"/>
      <c r="D46" s="30"/>
      <c r="E46" s="30"/>
      <c r="F46" s="83"/>
      <c r="G46" s="70"/>
      <c r="H46" s="70"/>
      <c r="I46" s="83"/>
      <c r="J46" s="70"/>
      <c r="K46" s="70"/>
      <c r="L46" s="83"/>
      <c r="M46" s="70"/>
      <c r="N46" s="70"/>
      <c r="O46" s="77"/>
      <c r="P46" s="147"/>
      <c r="Q46" s="70"/>
      <c r="R46" s="3"/>
      <c r="S46" s="9"/>
      <c r="T46" s="4"/>
      <c r="U46" s="100"/>
      <c r="V46" s="177">
        <v>8.6416799999999991</v>
      </c>
      <c r="W46" s="460" t="s">
        <v>1705</v>
      </c>
      <c r="X46" s="100"/>
      <c r="Y46" s="177">
        <v>6.265054000000001</v>
      </c>
      <c r="Z46" s="460" t="s">
        <v>1707</v>
      </c>
      <c r="AA46" s="100"/>
      <c r="AB46" s="461">
        <v>3.219999999999998</v>
      </c>
      <c r="AC46" s="177">
        <v>-2.886388962156123</v>
      </c>
      <c r="AD46" s="460" t="s">
        <v>1465</v>
      </c>
      <c r="AE46" s="100"/>
      <c r="AF46" s="177">
        <v>-1.0268721464003014</v>
      </c>
      <c r="AG46" s="460" t="s">
        <v>1465</v>
      </c>
      <c r="AH46" s="100"/>
      <c r="AI46" s="177">
        <v>0.67406842842254555</v>
      </c>
      <c r="AJ46" s="467">
        <v>1153.8000000000002</v>
      </c>
      <c r="AK46" s="460" t="s">
        <v>1467</v>
      </c>
      <c r="AL46" s="84"/>
      <c r="AM46" s="47"/>
      <c r="AN46" s="45"/>
      <c r="AO46" s="47"/>
      <c r="AP46" s="47"/>
    </row>
    <row r="47" spans="1:42">
      <c r="A47" s="4"/>
      <c r="B47" s="4"/>
      <c r="C47" s="29"/>
      <c r="D47" s="30"/>
      <c r="E47" s="30"/>
      <c r="F47" s="83"/>
      <c r="G47" s="70"/>
      <c r="H47" s="70"/>
      <c r="I47" s="83"/>
      <c r="J47" s="70"/>
      <c r="K47" s="70"/>
      <c r="L47" s="83"/>
      <c r="M47" s="70"/>
      <c r="N47" s="70"/>
      <c r="O47" s="77"/>
      <c r="P47" s="147"/>
      <c r="Q47" s="70"/>
      <c r="R47" s="3"/>
      <c r="S47" s="9"/>
      <c r="T47" s="4"/>
      <c r="U47" s="100"/>
      <c r="V47" s="177">
        <v>8.593099999999998</v>
      </c>
      <c r="W47" s="460" t="s">
        <v>1706</v>
      </c>
      <c r="X47" s="100"/>
      <c r="Y47" s="177">
        <v>6.5912479999999984</v>
      </c>
      <c r="Z47" s="460" t="s">
        <v>1708</v>
      </c>
      <c r="AA47" s="100"/>
      <c r="AB47" s="463">
        <v>12.365601674999992</v>
      </c>
      <c r="AC47" s="177">
        <v>-2.302029581106507</v>
      </c>
      <c r="AD47" s="460" t="s">
        <v>1466</v>
      </c>
      <c r="AE47" s="100"/>
      <c r="AF47" s="177">
        <v>-1.2081919415520976</v>
      </c>
      <c r="AG47" s="460" t="s">
        <v>1466</v>
      </c>
      <c r="AH47" s="84"/>
      <c r="AI47" s="177">
        <v>-4.5244791563844956E-2</v>
      </c>
      <c r="AJ47" s="464">
        <v>220.20000000000002</v>
      </c>
      <c r="AK47" s="460" t="s">
        <v>1468</v>
      </c>
      <c r="AL47" s="84"/>
      <c r="AM47" s="47"/>
      <c r="AN47" s="45"/>
      <c r="AO47" s="47"/>
      <c r="AP47" s="47"/>
    </row>
    <row r="48" spans="1:42">
      <c r="A48" s="4"/>
      <c r="B48" s="4"/>
      <c r="C48" s="29"/>
      <c r="D48" s="30"/>
      <c r="E48" s="30"/>
      <c r="F48" s="83"/>
      <c r="G48" s="70"/>
      <c r="H48" s="70"/>
      <c r="I48" s="83"/>
      <c r="J48" s="70"/>
      <c r="K48" s="70"/>
      <c r="L48" s="83"/>
      <c r="M48" s="70"/>
      <c r="N48" s="70"/>
      <c r="O48" s="77"/>
      <c r="P48" s="147"/>
      <c r="Q48" s="70"/>
      <c r="R48" s="3"/>
      <c r="S48" s="9"/>
      <c r="T48" s="4"/>
      <c r="U48" s="100"/>
      <c r="V48" s="177">
        <v>8.8160000000000007</v>
      </c>
      <c r="W48" s="460" t="s">
        <v>1465</v>
      </c>
      <c r="X48" s="100"/>
      <c r="Y48" s="177">
        <v>5.93</v>
      </c>
      <c r="Z48" s="460" t="s">
        <v>1465</v>
      </c>
      <c r="AA48" s="100"/>
      <c r="AB48" s="370"/>
      <c r="AC48" s="15"/>
      <c r="AD48" s="320"/>
      <c r="AE48" s="100"/>
      <c r="AF48" s="15"/>
      <c r="AG48" s="320"/>
      <c r="AH48" s="100"/>
      <c r="AI48" s="15"/>
      <c r="AJ48" s="372"/>
      <c r="AK48" s="320"/>
      <c r="AL48" s="84"/>
      <c r="AM48" s="47"/>
      <c r="AN48" s="45"/>
      <c r="AO48" s="47"/>
      <c r="AP48" s="47"/>
    </row>
    <row r="49" spans="1:42">
      <c r="A49" s="4"/>
      <c r="B49" s="4"/>
      <c r="C49" s="29"/>
      <c r="D49" s="30"/>
      <c r="E49" s="30"/>
      <c r="F49" s="83"/>
      <c r="G49" s="70"/>
      <c r="H49" s="70"/>
      <c r="I49" s="83"/>
      <c r="J49" s="70"/>
      <c r="K49" s="70"/>
      <c r="L49" s="83"/>
      <c r="M49" s="70"/>
      <c r="N49" s="70"/>
      <c r="O49" s="77"/>
      <c r="P49" s="147"/>
      <c r="Q49" s="70"/>
      <c r="R49" s="77"/>
      <c r="S49" s="70"/>
      <c r="T49" s="70"/>
      <c r="U49" s="79"/>
      <c r="V49" s="9"/>
      <c r="W49" s="45"/>
      <c r="X49" s="9"/>
      <c r="Y49" s="9"/>
      <c r="Z49" s="45"/>
      <c r="AA49" s="47"/>
      <c r="AB49" s="47"/>
      <c r="AC49" s="47"/>
      <c r="AD49" s="45"/>
      <c r="AE49" s="13"/>
      <c r="AF49" s="6"/>
      <c r="AG49" s="7"/>
      <c r="AH49" s="47"/>
      <c r="AI49" s="47"/>
      <c r="AJ49" s="114"/>
      <c r="AK49" s="45"/>
      <c r="AL49" s="84"/>
      <c r="AM49" s="47"/>
      <c r="AN49" s="45"/>
      <c r="AO49" s="47"/>
      <c r="AP49" s="47"/>
    </row>
    <row r="50" spans="1:42">
      <c r="A50" s="10" t="s">
        <v>17</v>
      </c>
      <c r="B50" s="11" t="s">
        <v>18</v>
      </c>
      <c r="C50" s="157">
        <v>88.80840009536</v>
      </c>
      <c r="D50" s="30">
        <v>88.80840009536</v>
      </c>
      <c r="E50" s="30" t="s">
        <v>1126</v>
      </c>
      <c r="F50" s="187">
        <v>-1.1161344418160724</v>
      </c>
      <c r="G50" s="318">
        <v>-1.1161344418160724</v>
      </c>
      <c r="H50" s="70" t="s">
        <v>1126</v>
      </c>
      <c r="I50" s="187"/>
      <c r="J50" s="318">
        <v>7.516380887048058</v>
      </c>
      <c r="K50" s="70" t="s">
        <v>1126</v>
      </c>
      <c r="L50" s="191">
        <v>-81.292019208311942</v>
      </c>
      <c r="M50" s="276">
        <v>-81.292019208311942</v>
      </c>
      <c r="N50" s="13" t="s">
        <v>2792</v>
      </c>
      <c r="O50" s="187">
        <v>83.877201200000002</v>
      </c>
      <c r="P50" s="318">
        <v>83.877201200000002</v>
      </c>
      <c r="Q50" s="70" t="s">
        <v>2793</v>
      </c>
      <c r="R50" s="187">
        <v>8.6325153288641303</v>
      </c>
      <c r="S50" s="318">
        <v>8.6325153288641303</v>
      </c>
      <c r="T50" s="70" t="s">
        <v>2792</v>
      </c>
      <c r="U50" s="145">
        <v>9.4517199999999999</v>
      </c>
      <c r="V50" s="15">
        <v>9.4517199999999999</v>
      </c>
      <c r="W50" s="320" t="s">
        <v>2868</v>
      </c>
      <c r="X50" s="145">
        <v>4.22</v>
      </c>
      <c r="Y50" s="15">
        <v>4.22</v>
      </c>
      <c r="Z50" s="320" t="s">
        <v>2869</v>
      </c>
      <c r="AA50" s="145">
        <v>-2.9360420000000005</v>
      </c>
      <c r="AB50" s="371">
        <v>2.8721216708626898</v>
      </c>
      <c r="AC50" s="15">
        <v>-2.9360420000000005</v>
      </c>
      <c r="AD50" s="320" t="s">
        <v>2870</v>
      </c>
      <c r="AE50" s="145">
        <v>-2.3348556</v>
      </c>
      <c r="AF50" s="15">
        <v>-2.3348556</v>
      </c>
      <c r="AG50" s="320" t="s">
        <v>2792</v>
      </c>
      <c r="AH50" s="145">
        <v>0.26800773999999961</v>
      </c>
      <c r="AI50" s="15">
        <v>0.26800773999999961</v>
      </c>
      <c r="AJ50" s="229">
        <v>475.14647139844953</v>
      </c>
      <c r="AK50" s="320" t="s">
        <v>2792</v>
      </c>
      <c r="AL50" s="145">
        <v>3.6189873999999982</v>
      </c>
      <c r="AM50" s="15">
        <v>3.6189873999999982</v>
      </c>
      <c r="AN50" s="320" t="s">
        <v>2871</v>
      </c>
      <c r="AO50" s="47"/>
      <c r="AP50" s="47"/>
    </row>
    <row r="51" spans="1:42">
      <c r="A51" s="10"/>
      <c r="B51" s="171">
        <v>256.34199999999998</v>
      </c>
      <c r="C51" s="157">
        <v>22.477761297735999</v>
      </c>
      <c r="D51" s="206">
        <v>119.91344000000001</v>
      </c>
      <c r="E51" s="206" t="s">
        <v>1125</v>
      </c>
      <c r="F51" s="157">
        <v>0.94127300722007379</v>
      </c>
      <c r="G51" s="70"/>
      <c r="H51" s="70"/>
      <c r="I51" s="157"/>
      <c r="J51" s="70"/>
      <c r="K51" s="70"/>
      <c r="L51" s="191">
        <v>26.662725504076608</v>
      </c>
      <c r="M51" s="323">
        <v>-81.292019208311942</v>
      </c>
      <c r="N51" s="180" t="s">
        <v>1126</v>
      </c>
      <c r="O51" s="191">
        <v>14.1255916996896</v>
      </c>
      <c r="P51" s="323">
        <v>83.877201200000002</v>
      </c>
      <c r="Q51" s="180" t="s">
        <v>1407</v>
      </c>
      <c r="R51" s="191">
        <v>16.177221503592104</v>
      </c>
      <c r="S51" s="318">
        <v>3.8817719999999891</v>
      </c>
      <c r="T51" s="180" t="s">
        <v>1407</v>
      </c>
      <c r="U51" s="145">
        <v>1.2411809669599998</v>
      </c>
      <c r="V51" s="177">
        <v>9.1524366505678447</v>
      </c>
      <c r="W51" s="460" t="s">
        <v>1126</v>
      </c>
      <c r="X51" s="145">
        <v>0.59870405999999998</v>
      </c>
      <c r="Y51" s="177">
        <v>3.3083300000000002</v>
      </c>
      <c r="Z51" s="460" t="s">
        <v>1466</v>
      </c>
      <c r="AA51" s="145">
        <v>1.2440479720720001</v>
      </c>
      <c r="AB51" s="461">
        <v>2.8721216708626898</v>
      </c>
      <c r="AC51" s="177">
        <v>-2.9360420000000005</v>
      </c>
      <c r="AD51" s="460" t="s">
        <v>1709</v>
      </c>
      <c r="AE51" s="145">
        <v>1.6467456364128001</v>
      </c>
      <c r="AF51" s="177">
        <v>-2.3348556</v>
      </c>
      <c r="AG51" s="365" t="s">
        <v>1126</v>
      </c>
      <c r="AH51" s="145">
        <v>0.11982894063139983</v>
      </c>
      <c r="AI51" s="177">
        <v>-8.7225990850632262E-2</v>
      </c>
      <c r="AJ51" s="464">
        <v>2027.7706977449</v>
      </c>
      <c r="AK51" s="460" t="s">
        <v>1466</v>
      </c>
      <c r="AL51" s="145">
        <v>0.65406321178939963</v>
      </c>
      <c r="AM51" s="177">
        <v>3.6189873999999982</v>
      </c>
      <c r="AN51" s="460" t="s">
        <v>2610</v>
      </c>
      <c r="AO51" s="47"/>
      <c r="AP51" s="47"/>
    </row>
    <row r="52" spans="1:42">
      <c r="A52" s="3"/>
      <c r="B52" s="4" t="s">
        <v>20</v>
      </c>
      <c r="C52" s="3"/>
      <c r="D52" s="4"/>
      <c r="E52" s="4"/>
      <c r="F52" s="3"/>
      <c r="G52" s="4"/>
      <c r="H52" s="4"/>
      <c r="I52" s="3"/>
      <c r="J52" s="4"/>
      <c r="K52" s="4"/>
      <c r="L52" s="3"/>
      <c r="M52" s="323">
        <v>-82.380750600000013</v>
      </c>
      <c r="N52" s="180" t="s">
        <v>1408</v>
      </c>
      <c r="O52" s="3"/>
      <c r="P52" s="323">
        <v>89.924534537176072</v>
      </c>
      <c r="Q52" s="180" t="s">
        <v>1126</v>
      </c>
      <c r="R52" s="3"/>
      <c r="S52" s="318">
        <v>8.6325153288641303</v>
      </c>
      <c r="T52" s="180" t="s">
        <v>1126</v>
      </c>
      <c r="U52" s="100"/>
      <c r="V52" s="177">
        <v>9.4517199999999999</v>
      </c>
      <c r="W52" s="460" t="s">
        <v>1466</v>
      </c>
      <c r="X52" s="100"/>
      <c r="Y52" s="177">
        <v>3.1790144300000001</v>
      </c>
      <c r="Z52" s="460" t="s">
        <v>1126</v>
      </c>
      <c r="AA52" s="100"/>
      <c r="AB52" s="462">
        <v>2.2712925367281522E-3</v>
      </c>
      <c r="AC52" s="177">
        <v>-6.0379717599999996</v>
      </c>
      <c r="AD52" s="460" t="s">
        <v>1126</v>
      </c>
      <c r="AE52" s="100"/>
      <c r="AF52" s="177">
        <v>-4.2781893847874537</v>
      </c>
      <c r="AG52" s="460" t="s">
        <v>1125</v>
      </c>
      <c r="AH52" s="100"/>
      <c r="AI52" s="177">
        <v>0.26800773999999961</v>
      </c>
      <c r="AJ52" s="465">
        <v>475.14647139844953</v>
      </c>
      <c r="AK52" s="460" t="s">
        <v>1126</v>
      </c>
      <c r="AL52" s="84"/>
      <c r="AM52" s="177">
        <v>4.3424445348444056</v>
      </c>
      <c r="AN52" s="460" t="s">
        <v>1126</v>
      </c>
      <c r="AO52" s="47"/>
      <c r="AP52" s="47"/>
    </row>
    <row r="53" spans="1:42">
      <c r="A53" s="3"/>
      <c r="B53" s="4"/>
      <c r="C53" s="3"/>
      <c r="D53" s="4"/>
      <c r="E53" s="4"/>
      <c r="F53" s="3"/>
      <c r="G53" s="4"/>
      <c r="H53" s="4"/>
      <c r="I53" s="3"/>
      <c r="J53" s="4"/>
      <c r="K53" s="4"/>
      <c r="L53" s="3"/>
      <c r="M53" s="4"/>
      <c r="N53" s="4"/>
      <c r="O53" s="3"/>
      <c r="P53" s="4"/>
      <c r="Q53" s="4"/>
      <c r="R53" s="3"/>
      <c r="S53" s="9"/>
      <c r="T53" s="4"/>
      <c r="U53" s="100"/>
      <c r="V53" s="177">
        <v>11.092624870564347</v>
      </c>
      <c r="W53" s="460" t="s">
        <v>1125</v>
      </c>
      <c r="X53" s="100"/>
      <c r="Y53" s="177">
        <v>1.71</v>
      </c>
      <c r="Z53" s="460" t="s">
        <v>1125</v>
      </c>
      <c r="AA53" s="100"/>
      <c r="AB53" s="225">
        <v>2.0799999999999932E-6</v>
      </c>
      <c r="AC53" s="177">
        <v>-9.0761814988891931</v>
      </c>
      <c r="AD53" s="460" t="s">
        <v>1125</v>
      </c>
      <c r="AE53" s="100"/>
      <c r="AF53" s="177">
        <v>-1.8630019999999989</v>
      </c>
      <c r="AG53" s="460" t="s">
        <v>1710</v>
      </c>
      <c r="AH53" s="100"/>
      <c r="AI53" s="177">
        <v>1.3999999999999997</v>
      </c>
      <c r="AJ53" s="466">
        <v>6439.0199162602839</v>
      </c>
      <c r="AK53" s="460" t="s">
        <v>1125</v>
      </c>
      <c r="AL53" s="84"/>
      <c r="AM53" s="177">
        <v>3.375493166148047</v>
      </c>
      <c r="AN53" s="460" t="s">
        <v>2611</v>
      </c>
      <c r="AO53" s="47"/>
      <c r="AP53" s="47"/>
    </row>
    <row r="54" spans="1:42">
      <c r="A54" s="3"/>
      <c r="B54" s="4"/>
      <c r="C54" s="3"/>
      <c r="D54" s="4"/>
      <c r="E54" s="4"/>
      <c r="F54" s="3"/>
      <c r="G54" s="4"/>
      <c r="H54" s="4"/>
      <c r="I54" s="3"/>
      <c r="J54" s="4"/>
      <c r="K54" s="4"/>
      <c r="L54" s="3"/>
      <c r="M54" s="4"/>
      <c r="N54" s="4"/>
      <c r="O54" s="3"/>
      <c r="P54" s="4"/>
      <c r="Q54" s="4"/>
      <c r="R54" s="3"/>
      <c r="S54" s="9"/>
      <c r="T54" s="4"/>
      <c r="U54" s="100"/>
      <c r="V54" s="177">
        <v>8.6327400000000001</v>
      </c>
      <c r="W54" s="460" t="s">
        <v>1705</v>
      </c>
      <c r="X54" s="100"/>
      <c r="Y54" s="177">
        <v>4.7747340000000005</v>
      </c>
      <c r="Z54" s="460" t="s">
        <v>1707</v>
      </c>
      <c r="AA54" s="100"/>
      <c r="AB54" s="461">
        <v>0.23899999999999982</v>
      </c>
      <c r="AC54" s="177">
        <v>-4.0158469329038162</v>
      </c>
      <c r="AD54" s="460" t="s">
        <v>1465</v>
      </c>
      <c r="AE54" s="100"/>
      <c r="AF54" s="177">
        <v>-3.4867823999320611</v>
      </c>
      <c r="AG54" s="460" t="s">
        <v>1465</v>
      </c>
      <c r="AH54" s="100"/>
      <c r="AI54" s="177">
        <v>3.4306959874302527</v>
      </c>
      <c r="AJ54" s="467">
        <v>691060.00000000047</v>
      </c>
      <c r="AK54" s="460" t="s">
        <v>1467</v>
      </c>
      <c r="AL54" s="84"/>
      <c r="AM54" s="47"/>
      <c r="AN54" s="45"/>
      <c r="AO54" s="47"/>
      <c r="AP54" s="47"/>
    </row>
    <row r="55" spans="1:42">
      <c r="A55" s="3"/>
      <c r="B55" s="4"/>
      <c r="C55" s="3"/>
      <c r="D55" s="4"/>
      <c r="E55" s="4"/>
      <c r="F55" s="3"/>
      <c r="G55" s="4"/>
      <c r="H55" s="4"/>
      <c r="I55" s="3"/>
      <c r="J55" s="4"/>
      <c r="K55" s="4"/>
      <c r="L55" s="3"/>
      <c r="M55" s="4"/>
      <c r="N55" s="4"/>
      <c r="O55" s="3"/>
      <c r="P55" s="4"/>
      <c r="Q55" s="4"/>
      <c r="R55" s="3"/>
      <c r="S55" s="9"/>
      <c r="T55" s="4"/>
      <c r="U55" s="100"/>
      <c r="V55" s="177">
        <v>8.5856499999999993</v>
      </c>
      <c r="W55" s="460" t="s">
        <v>1706</v>
      </c>
      <c r="X55" s="100"/>
      <c r="Y55" s="177">
        <v>4.9671079999999979</v>
      </c>
      <c r="Z55" s="460" t="s">
        <v>1708</v>
      </c>
      <c r="AA55" s="100"/>
      <c r="AB55" s="463">
        <v>2.0424080250000003E-4</v>
      </c>
      <c r="AC55" s="177">
        <v>-7.0841023256288258</v>
      </c>
      <c r="AD55" s="460" t="s">
        <v>1466</v>
      </c>
      <c r="AE55" s="100"/>
      <c r="AF55" s="177">
        <v>-3.2122959770101924</v>
      </c>
      <c r="AG55" s="460" t="s">
        <v>1466</v>
      </c>
      <c r="AH55" s="84"/>
      <c r="AI55" s="177">
        <v>1.3249390671950991</v>
      </c>
      <c r="AJ55" s="464">
        <v>5417</v>
      </c>
      <c r="AK55" s="460" t="s">
        <v>1468</v>
      </c>
      <c r="AL55" s="84"/>
      <c r="AM55" s="47"/>
      <c r="AN55" s="45"/>
      <c r="AO55" s="47"/>
      <c r="AP55" s="47"/>
    </row>
    <row r="56" spans="1:42">
      <c r="A56" s="3"/>
      <c r="B56" s="4"/>
      <c r="C56" s="3"/>
      <c r="D56" s="4"/>
      <c r="E56" s="4"/>
      <c r="F56" s="3"/>
      <c r="G56" s="4"/>
      <c r="H56" s="4"/>
      <c r="I56" s="3"/>
      <c r="J56" s="4"/>
      <c r="K56" s="4"/>
      <c r="L56" s="3"/>
      <c r="M56" s="4"/>
      <c r="N56" s="4"/>
      <c r="O56" s="3"/>
      <c r="P56" s="4"/>
      <c r="Q56" s="4"/>
      <c r="R56" s="3"/>
      <c r="S56" s="9"/>
      <c r="T56" s="4"/>
      <c r="U56" s="100"/>
      <c r="V56" s="177">
        <v>8.2360000000000007</v>
      </c>
      <c r="W56" s="460" t="s">
        <v>1465</v>
      </c>
      <c r="X56" s="100"/>
      <c r="Y56" s="177">
        <v>4.22</v>
      </c>
      <c r="Z56" s="460" t="s">
        <v>1465</v>
      </c>
      <c r="AA56" s="100"/>
      <c r="AB56" s="370"/>
      <c r="AC56" s="15"/>
      <c r="AD56" s="320"/>
      <c r="AE56" s="100"/>
      <c r="AF56" s="15"/>
      <c r="AG56" s="320"/>
      <c r="AH56" s="100"/>
      <c r="AI56" s="15"/>
      <c r="AJ56" s="372"/>
      <c r="AK56" s="320"/>
      <c r="AL56" s="84"/>
      <c r="AM56" s="47"/>
      <c r="AN56" s="45"/>
      <c r="AO56" s="47"/>
      <c r="AP56" s="47"/>
    </row>
    <row r="57" spans="1:42">
      <c r="A57" s="3"/>
      <c r="B57" s="4"/>
      <c r="C57" s="3"/>
      <c r="D57" s="4"/>
      <c r="E57" s="4"/>
      <c r="F57" s="3"/>
      <c r="G57" s="4"/>
      <c r="H57" s="4"/>
      <c r="I57" s="3"/>
      <c r="J57" s="4"/>
      <c r="K57" s="4"/>
      <c r="L57" s="3"/>
      <c r="M57" s="4"/>
      <c r="N57" s="4"/>
      <c r="O57" s="3"/>
      <c r="P57" s="4"/>
      <c r="Q57" s="4"/>
      <c r="R57" s="3"/>
      <c r="S57" s="9"/>
      <c r="T57" s="4"/>
      <c r="U57" s="100"/>
      <c r="V57" s="15"/>
      <c r="W57" s="320"/>
      <c r="X57" s="8"/>
      <c r="Y57" s="8"/>
      <c r="Z57" s="45"/>
      <c r="AA57" s="47"/>
      <c r="AB57" s="47"/>
      <c r="AC57" s="47"/>
      <c r="AD57" s="45"/>
      <c r="AE57" s="13"/>
      <c r="AF57" s="6"/>
      <c r="AG57" s="7"/>
      <c r="AH57" s="84"/>
      <c r="AI57" s="47"/>
      <c r="AJ57" s="47"/>
      <c r="AK57" s="45"/>
      <c r="AL57" s="84"/>
      <c r="AM57" s="47"/>
      <c r="AN57" s="45"/>
      <c r="AO57" s="47"/>
      <c r="AP57" s="47"/>
    </row>
    <row r="58" spans="1:42">
      <c r="A58" s="3" t="s">
        <v>21</v>
      </c>
      <c r="B58" s="4" t="s">
        <v>22</v>
      </c>
      <c r="C58" s="157">
        <v>80.115830604880003</v>
      </c>
      <c r="D58" s="30">
        <v>80.115830604880003</v>
      </c>
      <c r="E58" s="30" t="s">
        <v>1126</v>
      </c>
      <c r="F58" s="187">
        <v>-5.5409366833440004</v>
      </c>
      <c r="G58" s="318">
        <v>-5.5409366833440004</v>
      </c>
      <c r="H58" s="70" t="s">
        <v>1126</v>
      </c>
      <c r="I58" s="187"/>
      <c r="J58" s="318">
        <v>3.446230731991605</v>
      </c>
      <c r="K58" s="70" t="s">
        <v>1126</v>
      </c>
      <c r="L58" s="191">
        <v>-76.669599872888398</v>
      </c>
      <c r="M58" s="276">
        <v>-76.669599872888398</v>
      </c>
      <c r="N58" s="13" t="s">
        <v>2792</v>
      </c>
      <c r="O58" s="187">
        <v>77.529065199999991</v>
      </c>
      <c r="P58" s="318">
        <v>77.529065199999991</v>
      </c>
      <c r="Q58" s="70" t="s">
        <v>2793</v>
      </c>
      <c r="R58" s="187">
        <v>8.9871674153356054</v>
      </c>
      <c r="S58" s="318">
        <v>8.9871674153356054</v>
      </c>
      <c r="T58" s="70" t="s">
        <v>2792</v>
      </c>
      <c r="U58" s="145">
        <v>8.4140700000000006</v>
      </c>
      <c r="V58" s="15">
        <v>8.4140700000000006</v>
      </c>
      <c r="W58" s="320" t="s">
        <v>2868</v>
      </c>
      <c r="X58" s="145">
        <v>5.85</v>
      </c>
      <c r="Y58" s="15">
        <v>5.85</v>
      </c>
      <c r="Z58" s="320" t="s">
        <v>2869</v>
      </c>
      <c r="AA58" s="145">
        <v>-2.0666020000000001</v>
      </c>
      <c r="AB58" s="371">
        <v>21.263895723236789</v>
      </c>
      <c r="AC58" s="15">
        <v>-2.0666020000000001</v>
      </c>
      <c r="AD58" s="320" t="s">
        <v>2870</v>
      </c>
      <c r="AE58" s="145">
        <v>-1.4471055300000004</v>
      </c>
      <c r="AF58" s="15">
        <v>-1.4471055300000004</v>
      </c>
      <c r="AG58" s="320" t="s">
        <v>2792</v>
      </c>
      <c r="AH58" s="145">
        <v>-1.1203408899999998</v>
      </c>
      <c r="AI58" s="15">
        <v>-1.1203408899999998</v>
      </c>
      <c r="AJ58" s="229">
        <v>18.523421798571174</v>
      </c>
      <c r="AK58" s="320" t="s">
        <v>2792</v>
      </c>
      <c r="AL58" s="145">
        <v>3.6384993999999988</v>
      </c>
      <c r="AM58" s="15">
        <v>3.6384993999999988</v>
      </c>
      <c r="AN58" s="320" t="s">
        <v>2871</v>
      </c>
      <c r="AO58" s="47"/>
      <c r="AP58" s="47"/>
    </row>
    <row r="59" spans="1:42">
      <c r="A59" s="3"/>
      <c r="B59" s="171">
        <v>244.37799999999999</v>
      </c>
      <c r="C59" s="157">
        <v>20.277637189417547</v>
      </c>
      <c r="D59" s="206">
        <v>97.654560000000004</v>
      </c>
      <c r="E59" s="206" t="s">
        <v>1125</v>
      </c>
      <c r="F59" s="157">
        <v>4.6728547559745461</v>
      </c>
      <c r="G59" s="70"/>
      <c r="H59" s="70"/>
      <c r="I59" s="157"/>
      <c r="J59" s="70"/>
      <c r="K59" s="70"/>
      <c r="L59" s="191">
        <v>25.146632053509045</v>
      </c>
      <c r="M59" s="323">
        <v>-76.669599872888398</v>
      </c>
      <c r="N59" s="180" t="s">
        <v>1126</v>
      </c>
      <c r="O59" s="191">
        <v>13.056514812201598</v>
      </c>
      <c r="P59" s="323">
        <v>77.529065199999991</v>
      </c>
      <c r="Q59" s="180" t="s">
        <v>1407</v>
      </c>
      <c r="R59" s="191">
        <v>16.841834903162525</v>
      </c>
      <c r="S59" s="318">
        <v>-4.8710279999999972</v>
      </c>
      <c r="T59" s="180" t="s">
        <v>1407</v>
      </c>
      <c r="U59" s="145">
        <v>1.10491884426</v>
      </c>
      <c r="V59" s="177">
        <v>8.4260246972105932</v>
      </c>
      <c r="W59" s="460" t="s">
        <v>1126</v>
      </c>
      <c r="X59" s="145">
        <v>0.82995704999999997</v>
      </c>
      <c r="Y59" s="177">
        <v>5.2616199999999997</v>
      </c>
      <c r="Z59" s="460" t="s">
        <v>1466</v>
      </c>
      <c r="AA59" s="145">
        <v>0.87565233303199996</v>
      </c>
      <c r="AB59" s="461">
        <v>21.263895723236789</v>
      </c>
      <c r="AC59" s="177">
        <v>-2.0666020000000001</v>
      </c>
      <c r="AD59" s="460" t="s">
        <v>1709</v>
      </c>
      <c r="AE59" s="145">
        <v>1.0206261650426403</v>
      </c>
      <c r="AF59" s="177">
        <v>-1.4471055300000004</v>
      </c>
      <c r="AG59" s="365" t="s">
        <v>1126</v>
      </c>
      <c r="AH59" s="145">
        <v>0.50091561532789997</v>
      </c>
      <c r="AI59" s="177">
        <v>-1.6626465796860828</v>
      </c>
      <c r="AJ59" s="464">
        <v>53.901177683769944</v>
      </c>
      <c r="AK59" s="460" t="s">
        <v>1466</v>
      </c>
      <c r="AL59" s="145">
        <v>0.65758963506139978</v>
      </c>
      <c r="AM59" s="177">
        <v>3.6384993999999988</v>
      </c>
      <c r="AN59" s="460" t="s">
        <v>2610</v>
      </c>
      <c r="AO59" s="47"/>
      <c r="AP59" s="47"/>
    </row>
    <row r="60" spans="1:42">
      <c r="A60" s="3"/>
      <c r="B60" s="4" t="s">
        <v>20</v>
      </c>
      <c r="C60" s="3"/>
      <c r="D60" s="4"/>
      <c r="E60" s="4"/>
      <c r="F60" s="3"/>
      <c r="G60" s="166"/>
      <c r="H60" s="4"/>
      <c r="I60" s="3"/>
      <c r="J60" s="4"/>
      <c r="K60" s="4"/>
      <c r="L60" s="3"/>
      <c r="M60" s="323">
        <v>-84.786546599999994</v>
      </c>
      <c r="N60" s="180" t="s">
        <v>1408</v>
      </c>
      <c r="O60" s="3"/>
      <c r="P60" s="323">
        <v>85.656767288224003</v>
      </c>
      <c r="Q60" s="180" t="s">
        <v>1126</v>
      </c>
      <c r="R60" s="3"/>
      <c r="S60" s="318">
        <v>8.9871674153356054</v>
      </c>
      <c r="T60" s="180" t="s">
        <v>1126</v>
      </c>
      <c r="U60" s="100"/>
      <c r="V60" s="177">
        <v>8.4140700000000006</v>
      </c>
      <c r="W60" s="460" t="s">
        <v>1466</v>
      </c>
      <c r="X60" s="100"/>
      <c r="Y60" s="177">
        <v>4.6874373900000004</v>
      </c>
      <c r="Z60" s="460" t="s">
        <v>1126</v>
      </c>
      <c r="AA60" s="100"/>
      <c r="AB60" s="462">
        <v>0.42739856910835988</v>
      </c>
      <c r="AC60" s="177">
        <v>-3.7634117699999998</v>
      </c>
      <c r="AD60" s="460" t="s">
        <v>1126</v>
      </c>
      <c r="AE60" s="100"/>
      <c r="AF60" s="177">
        <v>-2.2932822176632413</v>
      </c>
      <c r="AG60" s="460" t="s">
        <v>1125</v>
      </c>
      <c r="AH60" s="100"/>
      <c r="AI60" s="177">
        <v>-1.1203408899999998</v>
      </c>
      <c r="AJ60" s="465">
        <v>18.523421798571174</v>
      </c>
      <c r="AK60" s="460" t="s">
        <v>1126</v>
      </c>
      <c r="AL60" s="84"/>
      <c r="AM60" s="177">
        <v>3.9896997176155122</v>
      </c>
      <c r="AN60" s="460" t="s">
        <v>1126</v>
      </c>
      <c r="AO60" s="47"/>
      <c r="AP60" s="47"/>
    </row>
    <row r="61" spans="1:42">
      <c r="A61" s="3"/>
      <c r="B61" s="4" t="s">
        <v>20</v>
      </c>
      <c r="C61" s="3"/>
      <c r="D61" s="4"/>
      <c r="E61" s="4"/>
      <c r="F61" s="3"/>
      <c r="G61" s="166"/>
      <c r="H61" s="4"/>
      <c r="I61" s="3"/>
      <c r="J61" s="4"/>
      <c r="K61" s="4"/>
      <c r="L61" s="3"/>
      <c r="M61" s="4"/>
      <c r="N61" s="4"/>
      <c r="O61" s="3"/>
      <c r="P61" s="4"/>
      <c r="Q61" s="4"/>
      <c r="R61" s="3"/>
      <c r="S61" s="9"/>
      <c r="T61" s="4"/>
      <c r="U61" s="100"/>
      <c r="V61" s="177">
        <v>9.0965742155184781</v>
      </c>
      <c r="W61" s="460" t="s">
        <v>1125</v>
      </c>
      <c r="X61" s="100"/>
      <c r="Y61" s="177">
        <v>4.95</v>
      </c>
      <c r="Z61" s="460" t="s">
        <v>1125</v>
      </c>
      <c r="AA61" s="100"/>
      <c r="AB61" s="225">
        <v>0.3599999999999996</v>
      </c>
      <c r="AC61" s="177">
        <v>-3.8379423330846665</v>
      </c>
      <c r="AD61" s="460" t="s">
        <v>1125</v>
      </c>
      <c r="AE61" s="100"/>
      <c r="AF61" s="177">
        <v>-2.201562</v>
      </c>
      <c r="AG61" s="460" t="s">
        <v>1710</v>
      </c>
      <c r="AH61" s="100"/>
      <c r="AI61" s="177">
        <v>-1.8499999999999999</v>
      </c>
      <c r="AJ61" s="466">
        <v>3.451931000798194</v>
      </c>
      <c r="AK61" s="460" t="s">
        <v>1125</v>
      </c>
      <c r="AL61" s="84"/>
      <c r="AM61" s="177">
        <v>2.9469731661480445</v>
      </c>
      <c r="AN61" s="460" t="s">
        <v>2611</v>
      </c>
      <c r="AO61" s="47"/>
      <c r="AP61" s="47"/>
    </row>
    <row r="62" spans="1:42">
      <c r="A62" s="12"/>
      <c r="B62" s="11" t="s">
        <v>20</v>
      </c>
      <c r="C62" s="12"/>
      <c r="D62" s="11"/>
      <c r="E62" s="11"/>
      <c r="F62" s="12"/>
      <c r="G62" s="166"/>
      <c r="H62" s="11"/>
      <c r="I62" s="12"/>
      <c r="J62" s="11"/>
      <c r="K62" s="11"/>
      <c r="L62" s="12"/>
      <c r="M62" s="11"/>
      <c r="N62" s="11"/>
      <c r="O62" s="12"/>
      <c r="P62" s="11"/>
      <c r="Q62" s="11"/>
      <c r="R62" s="3"/>
      <c r="S62" s="9"/>
      <c r="T62" s="4"/>
      <c r="U62" s="100"/>
      <c r="V62" s="177">
        <v>8.5427799999999987</v>
      </c>
      <c r="W62" s="460" t="s">
        <v>1705</v>
      </c>
      <c r="X62" s="100"/>
      <c r="Y62" s="177">
        <v>6.1878539999999997</v>
      </c>
      <c r="Z62" s="460" t="s">
        <v>1707</v>
      </c>
      <c r="AA62" s="100"/>
      <c r="AB62" s="461">
        <v>3.219999999999998</v>
      </c>
      <c r="AC62" s="177">
        <v>-2.886388962156123</v>
      </c>
      <c r="AD62" s="460" t="s">
        <v>1465</v>
      </c>
      <c r="AE62" s="100"/>
      <c r="AF62" s="177">
        <v>-0.99139982823808248</v>
      </c>
      <c r="AG62" s="460" t="s">
        <v>1465</v>
      </c>
      <c r="AH62" s="100"/>
      <c r="AI62" s="177">
        <v>0.48593237894614938</v>
      </c>
      <c r="AJ62" s="467">
        <v>748.1600000000002</v>
      </c>
      <c r="AK62" s="460" t="s">
        <v>1467</v>
      </c>
      <c r="AL62" s="84"/>
      <c r="AM62" s="47"/>
      <c r="AN62" s="45"/>
      <c r="AO62" s="47"/>
      <c r="AP62" s="47"/>
    </row>
    <row r="63" spans="1:42">
      <c r="A63" s="12"/>
      <c r="B63" s="11"/>
      <c r="C63" s="12"/>
      <c r="D63" s="11"/>
      <c r="E63" s="11"/>
      <c r="F63" s="12"/>
      <c r="G63" s="166"/>
      <c r="H63" s="11"/>
      <c r="I63" s="12"/>
      <c r="J63" s="11"/>
      <c r="K63" s="11"/>
      <c r="L63" s="12"/>
      <c r="M63" s="11"/>
      <c r="N63" s="11"/>
      <c r="O63" s="12"/>
      <c r="P63" s="11"/>
      <c r="Q63" s="11"/>
      <c r="R63" s="3"/>
      <c r="S63" s="9"/>
      <c r="T63" s="4"/>
      <c r="U63" s="100"/>
      <c r="V63" s="177">
        <v>8.5266500000000001</v>
      </c>
      <c r="W63" s="460" t="s">
        <v>1706</v>
      </c>
      <c r="X63" s="100"/>
      <c r="Y63" s="177">
        <v>6.4897479999999987</v>
      </c>
      <c r="Z63" s="460" t="s">
        <v>1708</v>
      </c>
      <c r="AA63" s="100"/>
      <c r="AB63" s="463">
        <v>12.451018649999998</v>
      </c>
      <c r="AC63" s="177">
        <v>-2.2990399502132273</v>
      </c>
      <c r="AD63" s="460" t="s">
        <v>1466</v>
      </c>
      <c r="AE63" s="100"/>
      <c r="AF63" s="177">
        <v>-0.70840762677398506</v>
      </c>
      <c r="AG63" s="460" t="s">
        <v>1466</v>
      </c>
      <c r="AH63" s="84"/>
      <c r="AI63" s="177">
        <v>1.7625680473199627E-2</v>
      </c>
      <c r="AJ63" s="464">
        <v>254.50000000000003</v>
      </c>
      <c r="AK63" s="460" t="s">
        <v>1468</v>
      </c>
      <c r="AL63" s="84"/>
      <c r="AM63" s="47"/>
      <c r="AN63" s="45"/>
      <c r="AO63" s="47"/>
      <c r="AP63" s="47"/>
    </row>
    <row r="64" spans="1:42">
      <c r="A64" s="12"/>
      <c r="B64" s="11"/>
      <c r="C64" s="12"/>
      <c r="D64" s="11"/>
      <c r="E64" s="11"/>
      <c r="F64" s="12"/>
      <c r="G64" s="166"/>
      <c r="H64" s="11"/>
      <c r="I64" s="12"/>
      <c r="J64" s="11"/>
      <c r="K64" s="11"/>
      <c r="L64" s="12"/>
      <c r="M64" s="11"/>
      <c r="N64" s="11"/>
      <c r="O64" s="12"/>
      <c r="P64" s="11"/>
      <c r="Q64" s="11"/>
      <c r="R64" s="3"/>
      <c r="S64" s="9"/>
      <c r="T64" s="4"/>
      <c r="U64" s="100"/>
      <c r="V64" s="177">
        <v>8.7360000000000007</v>
      </c>
      <c r="W64" s="460" t="s">
        <v>1465</v>
      </c>
      <c r="X64" s="100"/>
      <c r="Y64" s="177">
        <v>5.85</v>
      </c>
      <c r="Z64" s="460" t="s">
        <v>1465</v>
      </c>
      <c r="AA64" s="100"/>
      <c r="AB64" s="370"/>
      <c r="AC64" s="15"/>
      <c r="AD64" s="320"/>
      <c r="AE64" s="100"/>
      <c r="AF64" s="15"/>
      <c r="AG64" s="320"/>
      <c r="AH64" s="100"/>
      <c r="AI64" s="15"/>
      <c r="AJ64" s="372"/>
      <c r="AK64" s="320"/>
      <c r="AL64" s="84"/>
      <c r="AM64" s="47"/>
      <c r="AN64" s="45"/>
      <c r="AO64" s="47"/>
      <c r="AP64" s="47"/>
    </row>
    <row r="65" spans="1:42">
      <c r="A65" s="12"/>
      <c r="B65" s="11"/>
      <c r="C65" s="12"/>
      <c r="D65" s="11"/>
      <c r="E65" s="11"/>
      <c r="F65" s="12"/>
      <c r="G65" s="166"/>
      <c r="H65" s="11"/>
      <c r="I65" s="12"/>
      <c r="J65" s="11"/>
      <c r="K65" s="11"/>
      <c r="L65" s="12"/>
      <c r="M65" s="11"/>
      <c r="N65" s="11"/>
      <c r="O65" s="12"/>
      <c r="P65" s="11"/>
      <c r="Q65" s="11"/>
      <c r="R65" s="12"/>
      <c r="S65" s="169"/>
      <c r="T65" s="11"/>
      <c r="U65" s="100"/>
      <c r="V65" s="8"/>
      <c r="W65" s="45"/>
      <c r="X65" s="8"/>
      <c r="Y65" s="8"/>
      <c r="Z65" s="45"/>
      <c r="AA65" s="47"/>
      <c r="AB65" s="47"/>
      <c r="AC65" s="47"/>
      <c r="AD65" s="45"/>
      <c r="AE65" s="167"/>
      <c r="AF65" s="6"/>
      <c r="AG65" s="7"/>
      <c r="AH65" s="84"/>
      <c r="AI65" s="47"/>
      <c r="AJ65" s="47"/>
      <c r="AK65" s="45"/>
      <c r="AL65" s="84"/>
      <c r="AM65" s="47"/>
      <c r="AN65" s="45"/>
      <c r="AO65" s="47"/>
      <c r="AP65" s="47"/>
    </row>
    <row r="66" spans="1:42">
      <c r="A66" s="3" t="s">
        <v>23</v>
      </c>
      <c r="B66" s="4" t="s">
        <v>24</v>
      </c>
      <c r="C66" s="157">
        <v>84.626290761280003</v>
      </c>
      <c r="D66" s="30">
        <v>84.626290761280003</v>
      </c>
      <c r="E66" s="30" t="s">
        <v>1126</v>
      </c>
      <c r="F66" s="187">
        <v>-6.4118555004559141</v>
      </c>
      <c r="G66" s="318">
        <v>-6.4118555004559141</v>
      </c>
      <c r="H66" s="70" t="s">
        <v>1126</v>
      </c>
      <c r="I66" s="187"/>
      <c r="J66" s="318">
        <v>2.2882437753918481</v>
      </c>
      <c r="K66" s="70" t="s">
        <v>1126</v>
      </c>
      <c r="L66" s="191">
        <v>-82.338046985888155</v>
      </c>
      <c r="M66" s="276">
        <v>-82.338046985888155</v>
      </c>
      <c r="N66" s="13" t="s">
        <v>2792</v>
      </c>
      <c r="O66" s="187">
        <v>81.788230799999994</v>
      </c>
      <c r="P66" s="318">
        <v>81.788230799999994</v>
      </c>
      <c r="Q66" s="70" t="s">
        <v>2793</v>
      </c>
      <c r="R66" s="187">
        <v>8.7000992758477622</v>
      </c>
      <c r="S66" s="318">
        <v>8.7000992758477622</v>
      </c>
      <c r="T66" s="70" t="s">
        <v>2792</v>
      </c>
      <c r="U66" s="145">
        <v>8.9791600000000003</v>
      </c>
      <c r="V66" s="15">
        <v>8.9791600000000003</v>
      </c>
      <c r="W66" s="320" t="s">
        <v>2868</v>
      </c>
      <c r="X66" s="145">
        <v>4.9000000000000004</v>
      </c>
      <c r="Y66" s="15">
        <v>4.9000000000000004</v>
      </c>
      <c r="Z66" s="320" t="s">
        <v>2869</v>
      </c>
      <c r="AA66" s="145">
        <v>-1.7342979999999999</v>
      </c>
      <c r="AB66" s="371">
        <v>45.703223649565409</v>
      </c>
      <c r="AC66" s="15">
        <v>-1.7342979999999999</v>
      </c>
      <c r="AD66" s="320" t="s">
        <v>2870</v>
      </c>
      <c r="AE66" s="145">
        <v>-2.0234393900000005</v>
      </c>
      <c r="AF66" s="15">
        <v>-2.0234393900000005</v>
      </c>
      <c r="AG66" s="320" t="s">
        <v>2792</v>
      </c>
      <c r="AH66" s="145">
        <v>-0.63328806000000049</v>
      </c>
      <c r="AI66" s="15">
        <v>-0.63328806000000049</v>
      </c>
      <c r="AJ66" s="229">
        <v>59.648027038071277</v>
      </c>
      <c r="AK66" s="320" t="s">
        <v>2792</v>
      </c>
      <c r="AL66" s="145">
        <v>4.0142305999999994</v>
      </c>
      <c r="AM66" s="15">
        <v>4.0142305999999994</v>
      </c>
      <c r="AN66" s="320" t="s">
        <v>2871</v>
      </c>
      <c r="AO66" s="47"/>
      <c r="AP66" s="47"/>
    </row>
    <row r="67" spans="1:42">
      <c r="A67" s="3"/>
      <c r="B67" s="171">
        <v>256.38</v>
      </c>
      <c r="C67" s="157">
        <v>21.419252696843014</v>
      </c>
      <c r="D67" s="206">
        <v>108.19824</v>
      </c>
      <c r="E67" s="206" t="s">
        <v>1125</v>
      </c>
      <c r="F67" s="157">
        <v>5.4073293347659872</v>
      </c>
      <c r="G67" s="70"/>
      <c r="H67" s="70"/>
      <c r="I67" s="157"/>
      <c r="J67" s="70"/>
      <c r="K67" s="70"/>
      <c r="L67" s="191">
        <v>27.005809016760495</v>
      </c>
      <c r="M67" s="323">
        <v>-82.338046985888155</v>
      </c>
      <c r="N67" s="180" t="s">
        <v>1126</v>
      </c>
      <c r="O67" s="191">
        <v>13.773792372566399</v>
      </c>
      <c r="P67" s="323">
        <v>81.788230799999994</v>
      </c>
      <c r="Q67" s="180" t="s">
        <v>1407</v>
      </c>
      <c r="R67" s="191">
        <v>16.30387294164812</v>
      </c>
      <c r="S67" s="318">
        <v>-0.84349200000000679</v>
      </c>
      <c r="T67" s="180" t="s">
        <v>1407</v>
      </c>
      <c r="U67" s="145">
        <v>1.17912533288</v>
      </c>
      <c r="V67" s="177">
        <v>9.1311666410482513</v>
      </c>
      <c r="W67" s="460" t="s">
        <v>1126</v>
      </c>
      <c r="X67" s="145">
        <v>0.69517770000000001</v>
      </c>
      <c r="Y67" s="177">
        <v>3.1816499999999999</v>
      </c>
      <c r="Z67" s="460" t="s">
        <v>1466</v>
      </c>
      <c r="AA67" s="145">
        <v>0.73484981136799987</v>
      </c>
      <c r="AB67" s="461">
        <v>45.703223649565409</v>
      </c>
      <c r="AC67" s="177">
        <v>-1.7342979999999999</v>
      </c>
      <c r="AD67" s="460" t="s">
        <v>1709</v>
      </c>
      <c r="AE67" s="145">
        <v>1.4271075204943204</v>
      </c>
      <c r="AF67" s="177">
        <v>-2.0234393900000005</v>
      </c>
      <c r="AG67" s="365" t="s">
        <v>1126</v>
      </c>
      <c r="AH67" s="145">
        <v>0.28314942450660024</v>
      </c>
      <c r="AI67" s="177">
        <v>-0.9395363641583051</v>
      </c>
      <c r="AJ67" s="464">
        <v>284.91050971579995</v>
      </c>
      <c r="AK67" s="460" t="s">
        <v>1466</v>
      </c>
      <c r="AL67" s="145">
        <v>0.72549591056859986</v>
      </c>
      <c r="AM67" s="177">
        <v>4.0142305999999994</v>
      </c>
      <c r="AN67" s="460" t="s">
        <v>2610</v>
      </c>
      <c r="AO67" s="47"/>
      <c r="AP67" s="47"/>
    </row>
    <row r="68" spans="1:42">
      <c r="A68" s="3"/>
      <c r="B68" s="4"/>
      <c r="C68" s="29"/>
      <c r="D68" s="30"/>
      <c r="E68" s="30"/>
      <c r="F68" s="83"/>
      <c r="G68" s="166"/>
      <c r="H68" s="70"/>
      <c r="I68" s="83"/>
      <c r="J68" s="70"/>
      <c r="K68" s="70"/>
      <c r="L68" s="3"/>
      <c r="M68" s="323">
        <v>-85.018309399999993</v>
      </c>
      <c r="N68" s="180" t="s">
        <v>1408</v>
      </c>
      <c r="O68" s="3"/>
      <c r="P68" s="323">
        <v>91.038146261735918</v>
      </c>
      <c r="Q68" s="180" t="s">
        <v>1126</v>
      </c>
      <c r="R68" s="3"/>
      <c r="S68" s="318">
        <v>8.7000992758477622</v>
      </c>
      <c r="T68" s="180" t="s">
        <v>1126</v>
      </c>
      <c r="U68" s="100"/>
      <c r="V68" s="177">
        <v>8.9791600000000003</v>
      </c>
      <c r="W68" s="460" t="s">
        <v>1466</v>
      </c>
      <c r="X68" s="100"/>
      <c r="Y68" s="177">
        <v>4.3289571999999996</v>
      </c>
      <c r="Z68" s="460" t="s">
        <v>1126</v>
      </c>
      <c r="AA68" s="100"/>
      <c r="AB68" s="462">
        <v>3.6952768719205858E-2</v>
      </c>
      <c r="AC68" s="177">
        <v>-4.8265978499999997</v>
      </c>
      <c r="AD68" s="460" t="s">
        <v>1126</v>
      </c>
      <c r="AE68" s="100"/>
      <c r="AF68" s="177">
        <v>-3.2907300390241692</v>
      </c>
      <c r="AG68" s="460" t="s">
        <v>1125</v>
      </c>
      <c r="AH68" s="100"/>
      <c r="AI68" s="177">
        <v>-0.63328806000000049</v>
      </c>
      <c r="AJ68" s="465">
        <v>59.648027038071277</v>
      </c>
      <c r="AK68" s="460" t="s">
        <v>1126</v>
      </c>
      <c r="AL68" s="84"/>
      <c r="AM68" s="177">
        <v>3.9875060041445094</v>
      </c>
      <c r="AN68" s="460" t="s">
        <v>1126</v>
      </c>
      <c r="AO68" s="47"/>
      <c r="AP68" s="47"/>
    </row>
    <row r="69" spans="1:42">
      <c r="A69" s="3"/>
      <c r="B69" s="4"/>
      <c r="C69" s="29"/>
      <c r="D69" s="30"/>
      <c r="E69" s="30"/>
      <c r="F69" s="83"/>
      <c r="G69" s="166"/>
      <c r="H69" s="70"/>
      <c r="I69" s="83"/>
      <c r="J69" s="70"/>
      <c r="K69" s="70"/>
      <c r="L69" s="3"/>
      <c r="M69" s="4"/>
      <c r="N69" s="4"/>
      <c r="O69" s="3"/>
      <c r="P69" s="4"/>
      <c r="Q69" s="4"/>
      <c r="R69" s="3"/>
      <c r="S69" s="9"/>
      <c r="T69" s="4"/>
      <c r="U69" s="100"/>
      <c r="V69" s="177">
        <v>10.107094665731079</v>
      </c>
      <c r="W69" s="460" t="s">
        <v>1125</v>
      </c>
      <c r="X69" s="100"/>
      <c r="Y69" s="177">
        <v>3.06</v>
      </c>
      <c r="Z69" s="460" t="s">
        <v>1125</v>
      </c>
      <c r="AA69" s="100"/>
      <c r="AB69" s="225">
        <v>3.069999999999996E-4</v>
      </c>
      <c r="AC69" s="177">
        <v>-6.9071064583747672</v>
      </c>
      <c r="AD69" s="460" t="s">
        <v>1125</v>
      </c>
      <c r="AE69" s="100"/>
      <c r="AF69" s="177">
        <v>-1.8109379999999993</v>
      </c>
      <c r="AG69" s="460" t="s">
        <v>1710</v>
      </c>
      <c r="AH69" s="100"/>
      <c r="AI69" s="177">
        <v>0.22</v>
      </c>
      <c r="AJ69" s="466">
        <v>425.4848913288418</v>
      </c>
      <c r="AK69" s="460" t="s">
        <v>1125</v>
      </c>
      <c r="AL69" s="84"/>
      <c r="AM69" s="177">
        <v>3.4592171661480453</v>
      </c>
      <c r="AN69" s="460" t="s">
        <v>2611</v>
      </c>
      <c r="AO69" s="47"/>
      <c r="AP69" s="47"/>
    </row>
    <row r="70" spans="1:42">
      <c r="A70" s="3"/>
      <c r="B70" s="4"/>
      <c r="C70" s="29"/>
      <c r="D70" s="30"/>
      <c r="E70" s="30"/>
      <c r="F70" s="83"/>
      <c r="G70" s="166"/>
      <c r="H70" s="70"/>
      <c r="I70" s="83"/>
      <c r="J70" s="70"/>
      <c r="K70" s="70"/>
      <c r="L70" s="3"/>
      <c r="M70" s="4"/>
      <c r="N70" s="4"/>
      <c r="O70" s="3"/>
      <c r="P70" s="4"/>
      <c r="Q70" s="4"/>
      <c r="R70" s="3"/>
      <c r="S70" s="9"/>
      <c r="T70" s="4"/>
      <c r="U70" s="100"/>
      <c r="V70" s="177">
        <v>8.6643999999999988</v>
      </c>
      <c r="W70" s="460" t="s">
        <v>1705</v>
      </c>
      <c r="X70" s="100"/>
      <c r="Y70" s="177">
        <v>5.8626459999999989</v>
      </c>
      <c r="Z70" s="460" t="s">
        <v>1707</v>
      </c>
      <c r="AA70" s="100"/>
      <c r="AB70" s="461">
        <v>2.0699999999999976</v>
      </c>
      <c r="AC70" s="177">
        <v>-3.0782744883950364</v>
      </c>
      <c r="AD70" s="460" t="s">
        <v>1465</v>
      </c>
      <c r="AE70" s="100"/>
      <c r="AF70" s="177">
        <v>-2.6777807052660809</v>
      </c>
      <c r="AG70" s="460" t="s">
        <v>1465</v>
      </c>
      <c r="AH70" s="100"/>
      <c r="AI70" s="177">
        <v>3.4678819944273935</v>
      </c>
      <c r="AJ70" s="467">
        <v>752950.00000000058</v>
      </c>
      <c r="AK70" s="460" t="s">
        <v>1467</v>
      </c>
      <c r="AL70" s="84"/>
      <c r="AM70" s="47"/>
      <c r="AN70" s="45"/>
      <c r="AO70" s="47"/>
      <c r="AP70" s="47"/>
    </row>
    <row r="71" spans="1:42">
      <c r="A71" s="3"/>
      <c r="B71" s="4"/>
      <c r="C71" s="29"/>
      <c r="D71" s="30"/>
      <c r="E71" s="30"/>
      <c r="F71" s="83"/>
      <c r="G71" s="166"/>
      <c r="H71" s="70"/>
      <c r="I71" s="83"/>
      <c r="J71" s="70"/>
      <c r="K71" s="70"/>
      <c r="L71" s="3"/>
      <c r="M71" s="4"/>
      <c r="N71" s="4"/>
      <c r="O71" s="3"/>
      <c r="P71" s="4"/>
      <c r="Q71" s="4"/>
      <c r="R71" s="3"/>
      <c r="S71" s="9"/>
      <c r="T71" s="4"/>
      <c r="U71" s="100"/>
      <c r="V71" s="177">
        <v>8.4759499999999992</v>
      </c>
      <c r="W71" s="460" t="s">
        <v>1706</v>
      </c>
      <c r="X71" s="100"/>
      <c r="Y71" s="177">
        <v>6.1912519999999995</v>
      </c>
      <c r="Z71" s="460" t="s">
        <v>1708</v>
      </c>
      <c r="AA71" s="100"/>
      <c r="AB71" s="463">
        <v>1.8460908374999978E-3</v>
      </c>
      <c r="AC71" s="177">
        <v>-6.1279917670350814</v>
      </c>
      <c r="AD71" s="460" t="s">
        <v>1466</v>
      </c>
      <c r="AE71" s="100"/>
      <c r="AF71" s="177">
        <v>-2.9319480704963303</v>
      </c>
      <c r="AG71" s="460" t="s">
        <v>1466</v>
      </c>
      <c r="AH71" s="84"/>
      <c r="AI71" s="177">
        <v>0.74736204719650434</v>
      </c>
      <c r="AJ71" s="464">
        <v>1433.0000000000002</v>
      </c>
      <c r="AK71" s="460" t="s">
        <v>1468</v>
      </c>
      <c r="AL71" s="84"/>
      <c r="AM71" s="47"/>
      <c r="AN71" s="45"/>
      <c r="AO71" s="47"/>
      <c r="AP71" s="47"/>
    </row>
    <row r="72" spans="1:42">
      <c r="A72" s="3"/>
      <c r="B72" s="4"/>
      <c r="C72" s="29"/>
      <c r="D72" s="30"/>
      <c r="E72" s="30"/>
      <c r="F72" s="83"/>
      <c r="G72" s="166"/>
      <c r="H72" s="70"/>
      <c r="I72" s="83"/>
      <c r="J72" s="70"/>
      <c r="K72" s="70"/>
      <c r="L72" s="3"/>
      <c r="M72" s="4"/>
      <c r="N72" s="4"/>
      <c r="O72" s="3"/>
      <c r="P72" s="4"/>
      <c r="Q72" s="4"/>
      <c r="R72" s="3"/>
      <c r="S72" s="9"/>
      <c r="T72" s="4"/>
      <c r="U72" s="100"/>
      <c r="V72" s="177">
        <v>7.9790000000000001</v>
      </c>
      <c r="W72" s="460" t="s">
        <v>1465</v>
      </c>
      <c r="X72" s="100"/>
      <c r="Y72" s="177">
        <v>4.9000000000000004</v>
      </c>
      <c r="Z72" s="460" t="s">
        <v>1465</v>
      </c>
      <c r="AA72" s="100"/>
      <c r="AB72" s="370"/>
      <c r="AC72" s="15"/>
      <c r="AD72" s="320"/>
      <c r="AE72" s="100"/>
      <c r="AF72" s="15"/>
      <c r="AG72" s="320"/>
      <c r="AH72" s="100"/>
      <c r="AI72" s="15"/>
      <c r="AJ72" s="372"/>
      <c r="AK72" s="320"/>
      <c r="AL72" s="84"/>
      <c r="AM72" s="47"/>
      <c r="AN72" s="45"/>
      <c r="AO72" s="47"/>
      <c r="AP72" s="47"/>
    </row>
    <row r="73" spans="1:42">
      <c r="A73" s="3"/>
      <c r="B73" s="4"/>
      <c r="C73" s="29"/>
      <c r="D73" s="30"/>
      <c r="E73" s="30"/>
      <c r="F73" s="83"/>
      <c r="G73" s="166"/>
      <c r="H73" s="70"/>
      <c r="I73" s="83"/>
      <c r="J73" s="70"/>
      <c r="K73" s="70"/>
      <c r="L73" s="3"/>
      <c r="M73" s="4"/>
      <c r="N73" s="4"/>
      <c r="O73" s="3"/>
      <c r="P73" s="4"/>
      <c r="Q73" s="4"/>
      <c r="R73" s="77"/>
      <c r="S73" s="70"/>
      <c r="T73" s="70"/>
      <c r="U73" s="100"/>
      <c r="V73" s="8"/>
      <c r="W73" s="45"/>
      <c r="X73" s="8"/>
      <c r="Y73" s="8"/>
      <c r="Z73" s="45"/>
      <c r="AA73" s="47"/>
      <c r="AB73" s="47"/>
      <c r="AC73" s="47"/>
      <c r="AD73" s="45"/>
      <c r="AE73" s="167"/>
      <c r="AF73" s="6"/>
      <c r="AG73" s="7"/>
      <c r="AH73" s="84"/>
      <c r="AI73" s="47"/>
      <c r="AJ73" s="47"/>
      <c r="AK73" s="45"/>
      <c r="AL73" s="84"/>
      <c r="AM73" s="47"/>
      <c r="AN73" s="45"/>
      <c r="AO73" s="47"/>
      <c r="AP73" s="47"/>
    </row>
    <row r="74" spans="1:42">
      <c r="A74" s="3" t="s">
        <v>26</v>
      </c>
      <c r="B74" s="4" t="s">
        <v>27</v>
      </c>
      <c r="C74" s="157">
        <v>82.527717404399993</v>
      </c>
      <c r="D74" s="30">
        <v>82.527717404399993</v>
      </c>
      <c r="E74" s="30" t="s">
        <v>1126</v>
      </c>
      <c r="F74" s="187">
        <v>-4.327835455375947</v>
      </c>
      <c r="G74" s="318">
        <v>-4.327835455375947</v>
      </c>
      <c r="H74" s="70" t="s">
        <v>1126</v>
      </c>
      <c r="I74" s="187"/>
      <c r="J74" s="318">
        <v>3.5196824209918418</v>
      </c>
      <c r="K74" s="70" t="s">
        <v>1126</v>
      </c>
      <c r="L74" s="191">
        <v>-79.008034983408152</v>
      </c>
      <c r="M74" s="276">
        <v>-79.008034983408152</v>
      </c>
      <c r="N74" s="13" t="s">
        <v>2792</v>
      </c>
      <c r="O74" s="187">
        <v>81.65030689999999</v>
      </c>
      <c r="P74" s="318">
        <v>81.65030689999999</v>
      </c>
      <c r="Q74" s="70" t="s">
        <v>2793</v>
      </c>
      <c r="R74" s="187">
        <v>7.8475178763677889</v>
      </c>
      <c r="S74" s="318">
        <v>7.8475178763677889</v>
      </c>
      <c r="T74" s="70" t="s">
        <v>2792</v>
      </c>
      <c r="U74" s="145">
        <v>7.8782699999999997</v>
      </c>
      <c r="V74" s="15">
        <v>7.8782699999999997</v>
      </c>
      <c r="W74" s="320" t="s">
        <v>2868</v>
      </c>
      <c r="X74" s="145">
        <v>6.31</v>
      </c>
      <c r="Y74" s="15">
        <v>6.31</v>
      </c>
      <c r="Z74" s="320" t="s">
        <v>2869</v>
      </c>
      <c r="AA74" s="145">
        <v>-2.1431289999999996</v>
      </c>
      <c r="AB74" s="371">
        <v>17.828542221050732</v>
      </c>
      <c r="AC74" s="15">
        <v>-2.1431289999999996</v>
      </c>
      <c r="AD74" s="320" t="s">
        <v>2870</v>
      </c>
      <c r="AE74" s="145">
        <v>-1.6968418500000007</v>
      </c>
      <c r="AF74" s="15">
        <v>-1.6968418500000007</v>
      </c>
      <c r="AG74" s="320" t="s">
        <v>2792</v>
      </c>
      <c r="AH74" s="145">
        <v>-1.7080925400000004</v>
      </c>
      <c r="AI74" s="15">
        <v>-1.7080925400000004</v>
      </c>
      <c r="AJ74" s="229">
        <v>5.0606741290383122</v>
      </c>
      <c r="AK74" s="320" t="s">
        <v>2792</v>
      </c>
      <c r="AL74" s="145">
        <v>3.6969012999999986</v>
      </c>
      <c r="AM74" s="15">
        <v>3.6969012999999986</v>
      </c>
      <c r="AN74" s="320" t="s">
        <v>2871</v>
      </c>
      <c r="AO74" s="47"/>
      <c r="AP74" s="47"/>
    </row>
    <row r="75" spans="1:42">
      <c r="A75" s="3"/>
      <c r="B75" s="171">
        <v>258.40499999999997</v>
      </c>
      <c r="C75" s="157">
        <v>20.888095385923254</v>
      </c>
      <c r="D75" s="206">
        <v>102.63352</v>
      </c>
      <c r="E75" s="206" t="s">
        <v>1125</v>
      </c>
      <c r="F75" s="157">
        <v>3.6498064580885634</v>
      </c>
      <c r="G75" s="70"/>
      <c r="H75" s="70"/>
      <c r="I75" s="157"/>
      <c r="J75" s="70"/>
      <c r="K75" s="70"/>
      <c r="L75" s="191">
        <v>25.913608370103088</v>
      </c>
      <c r="M75" s="323">
        <v>-79.008034983408152</v>
      </c>
      <c r="N75" s="180" t="s">
        <v>1126</v>
      </c>
      <c r="O75" s="191">
        <v>13.750564884415198</v>
      </c>
      <c r="P75" s="323">
        <v>81.65030689999999</v>
      </c>
      <c r="Q75" s="180" t="s">
        <v>1407</v>
      </c>
      <c r="R75" s="191">
        <v>14.706146482580843</v>
      </c>
      <c r="S75" s="318">
        <v>-6.2690360000000016</v>
      </c>
      <c r="T75" s="180" t="s">
        <v>1407</v>
      </c>
      <c r="U75" s="145">
        <v>1.0345586598599998</v>
      </c>
      <c r="V75" s="177">
        <v>8.658333103905834</v>
      </c>
      <c r="W75" s="460" t="s">
        <v>1126</v>
      </c>
      <c r="X75" s="145">
        <v>0.8952186299999999</v>
      </c>
      <c r="Y75" s="177">
        <v>5.59049</v>
      </c>
      <c r="Z75" s="460" t="s">
        <v>1466</v>
      </c>
      <c r="AA75" s="145">
        <v>0.90807804736399977</v>
      </c>
      <c r="AB75" s="461">
        <v>17.828542221050732</v>
      </c>
      <c r="AC75" s="177">
        <v>-2.1431289999999996</v>
      </c>
      <c r="AD75" s="460" t="s">
        <v>1709</v>
      </c>
      <c r="AE75" s="145">
        <v>1.1967621947028004</v>
      </c>
      <c r="AF75" s="177">
        <v>-1.6968418500000007</v>
      </c>
      <c r="AG75" s="365" t="s">
        <v>1126</v>
      </c>
      <c r="AH75" s="145">
        <v>0.76370525555940016</v>
      </c>
      <c r="AI75" s="177">
        <v>-2.1569928394669318</v>
      </c>
      <c r="AJ75" s="464">
        <v>17.268395801857984</v>
      </c>
      <c r="AK75" s="460" t="s">
        <v>1466</v>
      </c>
      <c r="AL75" s="145">
        <v>0.66814466885029977</v>
      </c>
      <c r="AM75" s="177">
        <v>3.6969012999999986</v>
      </c>
      <c r="AN75" s="460" t="s">
        <v>2610</v>
      </c>
      <c r="AO75" s="47"/>
      <c r="AP75" s="47"/>
    </row>
    <row r="76" spans="1:42">
      <c r="A76" s="3"/>
      <c r="B76" s="4" t="s">
        <v>20</v>
      </c>
      <c r="C76" s="3"/>
      <c r="D76" s="4"/>
      <c r="E76" s="4"/>
      <c r="F76" s="3"/>
      <c r="G76" s="166"/>
      <c r="H76" s="4"/>
      <c r="I76" s="3"/>
      <c r="J76" s="4"/>
      <c r="K76" s="4"/>
      <c r="L76" s="3"/>
      <c r="M76" s="323">
        <v>-90.30573720000001</v>
      </c>
      <c r="N76" s="180" t="s">
        <v>1408</v>
      </c>
      <c r="O76" s="3"/>
      <c r="P76" s="323">
        <v>86.855552859775941</v>
      </c>
      <c r="Q76" s="180" t="s">
        <v>1126</v>
      </c>
      <c r="R76" s="3"/>
      <c r="S76" s="318">
        <v>7.8475178763677889</v>
      </c>
      <c r="T76" s="180" t="s">
        <v>1126</v>
      </c>
      <c r="U76" s="100"/>
      <c r="V76" s="177">
        <v>7.8782699999999997</v>
      </c>
      <c r="W76" s="460" t="s">
        <v>1466</v>
      </c>
      <c r="X76" s="100"/>
      <c r="Y76" s="177">
        <v>5.2244962099999999</v>
      </c>
      <c r="Z76" s="460" t="s">
        <v>1126</v>
      </c>
      <c r="AA76" s="100"/>
      <c r="AB76" s="462">
        <v>0.93061899739191789</v>
      </c>
      <c r="AC76" s="177">
        <v>-3.4254729199999998</v>
      </c>
      <c r="AD76" s="460" t="s">
        <v>1126</v>
      </c>
      <c r="AE76" s="100"/>
      <c r="AF76" s="177">
        <v>-2.8013429130455774</v>
      </c>
      <c r="AG76" s="460" t="s">
        <v>1125</v>
      </c>
      <c r="AH76" s="100"/>
      <c r="AI76" s="177">
        <v>-1.7080925400000004</v>
      </c>
      <c r="AJ76" s="465">
        <v>5.0606741290383122</v>
      </c>
      <c r="AK76" s="460" t="s">
        <v>1126</v>
      </c>
      <c r="AL76" s="84"/>
      <c r="AM76" s="177">
        <v>3.726358804317063</v>
      </c>
      <c r="AN76" s="460" t="s">
        <v>1126</v>
      </c>
      <c r="AO76" s="47"/>
      <c r="AP76" s="47"/>
    </row>
    <row r="77" spans="1:42">
      <c r="A77" s="3"/>
      <c r="B77" s="4"/>
      <c r="C77" s="41"/>
      <c r="D77" s="26"/>
      <c r="E77" s="26"/>
      <c r="F77" s="84"/>
      <c r="G77" s="166"/>
      <c r="H77" s="47"/>
      <c r="I77" s="84"/>
      <c r="J77" s="47"/>
      <c r="K77" s="47"/>
      <c r="L77" s="84"/>
      <c r="M77" s="47"/>
      <c r="N77" s="47"/>
      <c r="O77" s="78"/>
      <c r="P77" s="52"/>
      <c r="Q77" s="47"/>
      <c r="R77" s="3"/>
      <c r="S77" s="9"/>
      <c r="T77" s="4"/>
      <c r="U77" s="100"/>
      <c r="V77" s="177">
        <v>9.5707440728525537</v>
      </c>
      <c r="W77" s="460" t="s">
        <v>1125</v>
      </c>
      <c r="X77" s="100"/>
      <c r="Y77" s="177">
        <v>5.33</v>
      </c>
      <c r="Z77" s="460" t="s">
        <v>1125</v>
      </c>
      <c r="AA77" s="100"/>
      <c r="AB77" s="225">
        <v>0.30999999999999972</v>
      </c>
      <c r="AC77" s="177">
        <v>-3.9028831400176811</v>
      </c>
      <c r="AD77" s="460" t="s">
        <v>1125</v>
      </c>
      <c r="AE77" s="100"/>
      <c r="AF77" s="177">
        <v>-2.7952489999999992</v>
      </c>
      <c r="AG77" s="460" t="s">
        <v>1710</v>
      </c>
      <c r="AH77" s="100"/>
      <c r="AI77" s="177">
        <v>-2.2900000000000005</v>
      </c>
      <c r="AJ77" s="466">
        <v>1.3252594593028846</v>
      </c>
      <c r="AK77" s="460" t="s">
        <v>1125</v>
      </c>
      <c r="AL77" s="84"/>
      <c r="AM77" s="177">
        <v>2.9462861661480453</v>
      </c>
      <c r="AN77" s="460" t="s">
        <v>2611</v>
      </c>
      <c r="AO77" s="47"/>
      <c r="AP77" s="47"/>
    </row>
    <row r="78" spans="1:42">
      <c r="A78" s="3"/>
      <c r="B78" s="4"/>
      <c r="C78" s="41"/>
      <c r="D78" s="26"/>
      <c r="E78" s="26"/>
      <c r="F78" s="84"/>
      <c r="G78" s="166"/>
      <c r="H78" s="47"/>
      <c r="I78" s="84"/>
      <c r="J78" s="47"/>
      <c r="K78" s="47"/>
      <c r="L78" s="84"/>
      <c r="M78" s="47"/>
      <c r="N78" s="47"/>
      <c r="O78" s="78"/>
      <c r="P78" s="52"/>
      <c r="Q78" s="47"/>
      <c r="R78" s="3"/>
      <c r="S78" s="9"/>
      <c r="T78" s="4"/>
      <c r="U78" s="100"/>
      <c r="V78" s="177">
        <v>9.1357799999999987</v>
      </c>
      <c r="W78" s="460" t="s">
        <v>1705</v>
      </c>
      <c r="X78" s="100"/>
      <c r="Y78" s="177">
        <v>6.6358829999999989</v>
      </c>
      <c r="Z78" s="460" t="s">
        <v>1707</v>
      </c>
      <c r="AA78" s="100"/>
      <c r="AB78" s="461">
        <v>4.2799999999999985</v>
      </c>
      <c r="AC78" s="177">
        <v>-2.762801064838782</v>
      </c>
      <c r="AD78" s="460" t="s">
        <v>1465</v>
      </c>
      <c r="AE78" s="100"/>
      <c r="AF78" s="177">
        <v>-1.2773660774661877</v>
      </c>
      <c r="AG78" s="460" t="s">
        <v>1465</v>
      </c>
      <c r="AH78" s="100"/>
      <c r="AI78" s="177">
        <v>6.2489492770015425E-3</v>
      </c>
      <c r="AJ78" s="467">
        <v>262.14999999999998</v>
      </c>
      <c r="AK78" s="460" t="s">
        <v>1467</v>
      </c>
      <c r="AL78" s="84"/>
      <c r="AM78" s="47"/>
      <c r="AN78" s="45"/>
      <c r="AO78" s="47"/>
      <c r="AP78" s="47"/>
    </row>
    <row r="79" spans="1:42">
      <c r="A79" s="3"/>
      <c r="B79" s="4"/>
      <c r="C79" s="41"/>
      <c r="D79" s="26"/>
      <c r="E79" s="26"/>
      <c r="F79" s="84"/>
      <c r="G79" s="166"/>
      <c r="H79" s="47"/>
      <c r="I79" s="84"/>
      <c r="J79" s="47"/>
      <c r="K79" s="47"/>
      <c r="L79" s="84"/>
      <c r="M79" s="47"/>
      <c r="N79" s="47"/>
      <c r="O79" s="78"/>
      <c r="P79" s="52"/>
      <c r="Q79" s="47"/>
      <c r="R79" s="3"/>
      <c r="S79" s="9"/>
      <c r="T79" s="4"/>
      <c r="U79" s="100"/>
      <c r="V79" s="177">
        <v>9.0978500000000011</v>
      </c>
      <c r="W79" s="460" t="s">
        <v>1706</v>
      </c>
      <c r="X79" s="100"/>
      <c r="Y79" s="177">
        <v>6.9775459999999985</v>
      </c>
      <c r="Z79" s="460" t="s">
        <v>1708</v>
      </c>
      <c r="AA79" s="100"/>
      <c r="AB79" s="463">
        <v>12.721455074999989</v>
      </c>
      <c r="AC79" s="177">
        <v>-2.2897080452673997</v>
      </c>
      <c r="AD79" s="460" t="s">
        <v>1466</v>
      </c>
      <c r="AE79" s="100"/>
      <c r="AF79" s="177">
        <v>-2.229685736420711</v>
      </c>
      <c r="AG79" s="460" t="s">
        <v>1466</v>
      </c>
      <c r="AH79" s="84"/>
      <c r="AI79" s="177">
        <v>-0.47328113632407404</v>
      </c>
      <c r="AJ79" s="464">
        <v>86.9</v>
      </c>
      <c r="AK79" s="460" t="s">
        <v>1468</v>
      </c>
      <c r="AL79" s="84"/>
      <c r="AM79" s="47"/>
      <c r="AN79" s="45"/>
      <c r="AO79" s="47"/>
      <c r="AP79" s="47"/>
    </row>
    <row r="80" spans="1:42">
      <c r="A80" s="3"/>
      <c r="B80" s="4"/>
      <c r="C80" s="41"/>
      <c r="D80" s="26"/>
      <c r="E80" s="26"/>
      <c r="F80" s="84"/>
      <c r="G80" s="166"/>
      <c r="H80" s="47"/>
      <c r="I80" s="84"/>
      <c r="J80" s="47"/>
      <c r="K80" s="47"/>
      <c r="L80" s="84"/>
      <c r="M80" s="47"/>
      <c r="N80" s="47"/>
      <c r="O80" s="78"/>
      <c r="P80" s="52"/>
      <c r="Q80" s="47"/>
      <c r="R80" s="3"/>
      <c r="S80" s="9"/>
      <c r="T80" s="4"/>
      <c r="U80" s="100"/>
      <c r="V80" s="177">
        <v>9.0730000000000004</v>
      </c>
      <c r="W80" s="460" t="s">
        <v>1465</v>
      </c>
      <c r="X80" s="100"/>
      <c r="Y80" s="177">
        <v>6.31</v>
      </c>
      <c r="Z80" s="460" t="s">
        <v>1465</v>
      </c>
      <c r="AA80" s="100"/>
      <c r="AB80" s="370"/>
      <c r="AC80" s="15"/>
      <c r="AD80" s="320"/>
      <c r="AE80" s="100"/>
      <c r="AF80" s="15"/>
      <c r="AG80" s="320"/>
      <c r="AH80" s="100"/>
      <c r="AI80" s="15"/>
      <c r="AJ80" s="372"/>
      <c r="AK80" s="320"/>
      <c r="AL80" s="84"/>
      <c r="AM80" s="47"/>
      <c r="AN80" s="45"/>
      <c r="AO80" s="47"/>
      <c r="AP80" s="47"/>
    </row>
    <row r="81" spans="1:42">
      <c r="A81" s="3"/>
      <c r="B81" s="4"/>
      <c r="C81" s="41"/>
      <c r="D81" s="26"/>
      <c r="E81" s="26"/>
      <c r="F81" s="84"/>
      <c r="G81" s="166"/>
      <c r="H81" s="47"/>
      <c r="I81" s="84"/>
      <c r="J81" s="47"/>
      <c r="K81" s="47"/>
      <c r="L81" s="84"/>
      <c r="M81" s="47"/>
      <c r="N81" s="47"/>
      <c r="O81" s="78"/>
      <c r="P81" s="52"/>
      <c r="Q81" s="47"/>
      <c r="R81" s="78"/>
      <c r="S81" s="47"/>
      <c r="T81" s="47"/>
      <c r="U81" s="84"/>
      <c r="V81" s="47"/>
      <c r="W81" s="45"/>
      <c r="X81" s="47"/>
      <c r="Y81" s="47"/>
      <c r="Z81" s="45"/>
      <c r="AA81" s="47"/>
      <c r="AB81" s="47"/>
      <c r="AC81" s="47"/>
      <c r="AD81" s="45"/>
      <c r="AE81" s="167"/>
      <c r="AF81" s="6"/>
      <c r="AG81" s="7"/>
      <c r="AH81" s="84"/>
      <c r="AI81" s="47"/>
      <c r="AJ81" s="47"/>
      <c r="AK81" s="45"/>
      <c r="AL81" s="84"/>
      <c r="AM81" s="47"/>
      <c r="AN81" s="45"/>
      <c r="AO81" s="47"/>
      <c r="AP81" s="47"/>
    </row>
    <row r="82" spans="1:42">
      <c r="A82" s="3" t="s">
        <v>28</v>
      </c>
      <c r="B82" s="4" t="s">
        <v>29</v>
      </c>
      <c r="C82" s="157">
        <v>87.041681242400003</v>
      </c>
      <c r="D82" s="30">
        <v>87.041681242400003</v>
      </c>
      <c r="E82" s="30" t="s">
        <v>1126</v>
      </c>
      <c r="F82" s="187">
        <v>14.26040524040792</v>
      </c>
      <c r="G82" s="318">
        <v>14.26040524040792</v>
      </c>
      <c r="H82" s="70" t="s">
        <v>1126</v>
      </c>
      <c r="I82" s="187"/>
      <c r="J82" s="318">
        <v>7.7463969104641137</v>
      </c>
      <c r="K82" s="70" t="s">
        <v>1126</v>
      </c>
      <c r="L82" s="191">
        <v>-79.295284331935889</v>
      </c>
      <c r="M82" s="276">
        <v>-79.295284331935889</v>
      </c>
      <c r="N82" s="13" t="s">
        <v>2792</v>
      </c>
      <c r="O82" s="187">
        <v>70.2114282</v>
      </c>
      <c r="P82" s="318">
        <v>70.2114282</v>
      </c>
      <c r="Q82" s="70" t="s">
        <v>2793</v>
      </c>
      <c r="R82" s="187">
        <v>-6.5140083299438061</v>
      </c>
      <c r="S82" s="318">
        <v>-6.5140083299438061</v>
      </c>
      <c r="T82" s="70" t="s">
        <v>2792</v>
      </c>
      <c r="U82" s="145">
        <v>8.4114000000000004</v>
      </c>
      <c r="V82" s="15">
        <v>8.4114000000000004</v>
      </c>
      <c r="W82" s="320" t="s">
        <v>2868</v>
      </c>
      <c r="X82" s="145">
        <v>5.39</v>
      </c>
      <c r="Y82" s="15">
        <v>5.39</v>
      </c>
      <c r="Z82" s="320" t="s">
        <v>2869</v>
      </c>
      <c r="AA82" s="145">
        <v>-3.5046020000000007</v>
      </c>
      <c r="AB82" s="371">
        <v>0.77560898920651555</v>
      </c>
      <c r="AC82" s="15">
        <v>-3.5046020000000007</v>
      </c>
      <c r="AD82" s="320" t="s">
        <v>2870</v>
      </c>
      <c r="AE82" s="145">
        <v>-2.4294893100000001</v>
      </c>
      <c r="AF82" s="15">
        <v>-2.4294893100000001</v>
      </c>
      <c r="AG82" s="320" t="s">
        <v>2792</v>
      </c>
      <c r="AH82" s="145">
        <v>-1.6728102300000001</v>
      </c>
      <c r="AI82" s="15">
        <v>-1.6728102300000001</v>
      </c>
      <c r="AJ82" s="229">
        <v>5.9117418370181678</v>
      </c>
      <c r="AK82" s="320" t="s">
        <v>2792</v>
      </c>
      <c r="AL82" s="145">
        <v>3.0542393999999984</v>
      </c>
      <c r="AM82" s="15">
        <v>3.0542393999999984</v>
      </c>
      <c r="AN82" s="320" t="s">
        <v>2871</v>
      </c>
      <c r="AO82" s="47"/>
      <c r="AP82" s="47"/>
    </row>
    <row r="83" spans="1:42">
      <c r="A83" s="3"/>
      <c r="B83" s="171">
        <v>278.30799999999999</v>
      </c>
      <c r="C83" s="157">
        <v>22.03059768917641</v>
      </c>
      <c r="D83" s="206">
        <v>112.42408</v>
      </c>
      <c r="E83" s="206" t="s">
        <v>1125</v>
      </c>
      <c r="F83" s="157">
        <v>12.026270332608933</v>
      </c>
      <c r="G83" s="70"/>
      <c r="H83" s="70"/>
      <c r="I83" s="157"/>
      <c r="J83" s="70"/>
      <c r="K83" s="70"/>
      <c r="L83" s="191">
        <v>26.007822422178656</v>
      </c>
      <c r="M83" s="323">
        <v>-79.295284331935889</v>
      </c>
      <c r="N83" s="180" t="s">
        <v>1126</v>
      </c>
      <c r="O83" s="191">
        <v>11.8241662003056</v>
      </c>
      <c r="P83" s="323">
        <v>70.2114282</v>
      </c>
      <c r="Q83" s="180" t="s">
        <v>1407</v>
      </c>
      <c r="R83" s="191">
        <v>12.207166928206403</v>
      </c>
      <c r="S83" s="318">
        <v>-15.465488000000002</v>
      </c>
      <c r="T83" s="180" t="s">
        <v>1407</v>
      </c>
      <c r="U83" s="145">
        <v>1.1045682252</v>
      </c>
      <c r="V83" s="177">
        <v>8.8981858966467584</v>
      </c>
      <c r="W83" s="460" t="s">
        <v>1126</v>
      </c>
      <c r="X83" s="145">
        <v>0.76469546999999993</v>
      </c>
      <c r="Y83" s="177">
        <v>4.6452400000000003</v>
      </c>
      <c r="Z83" s="460" t="s">
        <v>1466</v>
      </c>
      <c r="AA83" s="145">
        <v>1.4849559410320001</v>
      </c>
      <c r="AB83" s="461">
        <v>0.77560898920651555</v>
      </c>
      <c r="AC83" s="177">
        <v>-3.5046020000000007</v>
      </c>
      <c r="AD83" s="460" t="s">
        <v>1709</v>
      </c>
      <c r="AE83" s="145">
        <v>1.71348965647128</v>
      </c>
      <c r="AF83" s="177">
        <v>-2.4294893100000001</v>
      </c>
      <c r="AG83" s="365" t="s">
        <v>1126</v>
      </c>
      <c r="AH83" s="145">
        <v>0.74793018193530003</v>
      </c>
      <c r="AI83" s="177">
        <v>-2.2335410487289113</v>
      </c>
      <c r="AJ83" s="464">
        <v>14.477840411841999</v>
      </c>
      <c r="AK83" s="460" t="s">
        <v>1466</v>
      </c>
      <c r="AL83" s="145">
        <v>0.5519957410013997</v>
      </c>
      <c r="AM83" s="177">
        <v>3.0542393999999984</v>
      </c>
      <c r="AN83" s="460" t="s">
        <v>2610</v>
      </c>
      <c r="AO83" s="47"/>
      <c r="AP83" s="47"/>
    </row>
    <row r="84" spans="1:42">
      <c r="A84" s="3"/>
      <c r="B84" s="4"/>
      <c r="C84" s="3"/>
      <c r="D84" s="4"/>
      <c r="E84" s="4"/>
      <c r="F84" s="3"/>
      <c r="G84" s="166"/>
      <c r="H84" s="4"/>
      <c r="I84" s="3"/>
      <c r="J84" s="4"/>
      <c r="K84" s="4"/>
      <c r="L84" s="3"/>
      <c r="M84" s="323">
        <v>-88.060739600000005</v>
      </c>
      <c r="N84" s="180" t="s">
        <v>1408</v>
      </c>
      <c r="O84" s="3"/>
      <c r="P84" s="323">
        <v>72.781276001992083</v>
      </c>
      <c r="Q84" s="180" t="s">
        <v>1126</v>
      </c>
      <c r="R84" s="3"/>
      <c r="S84" s="318">
        <v>-6.5140083299438061</v>
      </c>
      <c r="T84" s="180" t="s">
        <v>1126</v>
      </c>
      <c r="U84" s="100"/>
      <c r="V84" s="177">
        <v>8.4114000000000004</v>
      </c>
      <c r="W84" s="460" t="s">
        <v>1466</v>
      </c>
      <c r="X84" s="100"/>
      <c r="Y84" s="177">
        <v>4.6513675599999997</v>
      </c>
      <c r="Z84" s="460" t="s">
        <v>1126</v>
      </c>
      <c r="AA84" s="100"/>
      <c r="AB84" s="462">
        <v>0.15879547907397951</v>
      </c>
      <c r="AC84" s="177">
        <v>-4.1934066999999997</v>
      </c>
      <c r="AD84" s="460" t="s">
        <v>1126</v>
      </c>
      <c r="AE84" s="100"/>
      <c r="AF84" s="177">
        <v>-3.6840296545430822</v>
      </c>
      <c r="AG84" s="460" t="s">
        <v>1125</v>
      </c>
      <c r="AH84" s="100"/>
      <c r="AI84" s="177">
        <v>-1.6728102300000001</v>
      </c>
      <c r="AJ84" s="465">
        <v>5.9117418370181678</v>
      </c>
      <c r="AK84" s="460" t="s">
        <v>1126</v>
      </c>
      <c r="AL84" s="84"/>
      <c r="AM84" s="177">
        <v>4.1893804334517286</v>
      </c>
      <c r="AN84" s="460" t="s">
        <v>1126</v>
      </c>
      <c r="AO84" s="47"/>
      <c r="AP84" s="47"/>
    </row>
    <row r="85" spans="1:42">
      <c r="A85" s="3"/>
      <c r="B85" s="4"/>
      <c r="C85" s="3"/>
      <c r="D85" s="4"/>
      <c r="E85" s="4"/>
      <c r="F85" s="3"/>
      <c r="G85" s="166"/>
      <c r="H85" s="4"/>
      <c r="I85" s="3"/>
      <c r="J85" s="4"/>
      <c r="K85" s="4"/>
      <c r="L85" s="3"/>
      <c r="M85" s="4"/>
      <c r="N85" s="4"/>
      <c r="O85" s="3"/>
      <c r="P85" s="4"/>
      <c r="Q85" s="4"/>
      <c r="R85" s="3"/>
      <c r="S85" s="9"/>
      <c r="T85" s="4"/>
      <c r="U85" s="100"/>
      <c r="V85" s="177">
        <v>10.216765508652591</v>
      </c>
      <c r="W85" s="460" t="s">
        <v>1125</v>
      </c>
      <c r="X85" s="100"/>
      <c r="Y85" s="177">
        <v>4.8899999999999997</v>
      </c>
      <c r="Z85" s="460" t="s">
        <v>1125</v>
      </c>
      <c r="AA85" s="100"/>
      <c r="AB85" s="225">
        <v>3.799999999999995E-2</v>
      </c>
      <c r="AC85" s="177">
        <v>-4.8144612372351441</v>
      </c>
      <c r="AD85" s="460" t="s">
        <v>1125</v>
      </c>
      <c r="AE85" s="100"/>
      <c r="AF85" s="177">
        <v>-3.5531619999999995</v>
      </c>
      <c r="AG85" s="460" t="s">
        <v>1710</v>
      </c>
      <c r="AH85" s="100"/>
      <c r="AI85" s="177">
        <v>-2.2600000000000007</v>
      </c>
      <c r="AJ85" s="466">
        <v>1.5294162152156741</v>
      </c>
      <c r="AK85" s="460" t="s">
        <v>1125</v>
      </c>
      <c r="AL85" s="84"/>
      <c r="AM85" s="177">
        <v>2.6738131661480473</v>
      </c>
      <c r="AN85" s="460" t="s">
        <v>2611</v>
      </c>
      <c r="AO85" s="47"/>
      <c r="AP85" s="47"/>
    </row>
    <row r="86" spans="1:42">
      <c r="A86" s="3"/>
      <c r="B86" s="4"/>
      <c r="C86" s="3"/>
      <c r="D86" s="4"/>
      <c r="E86" s="4"/>
      <c r="F86" s="3"/>
      <c r="G86" s="166"/>
      <c r="H86" s="4"/>
      <c r="I86" s="3"/>
      <c r="J86" s="4"/>
      <c r="K86" s="4"/>
      <c r="L86" s="3"/>
      <c r="M86" s="4"/>
      <c r="N86" s="4"/>
      <c r="O86" s="3"/>
      <c r="P86" s="4"/>
      <c r="Q86" s="4"/>
      <c r="R86" s="3"/>
      <c r="S86" s="9"/>
      <c r="T86" s="4"/>
      <c r="U86" s="100"/>
      <c r="V86" s="177">
        <v>9.621220000000001</v>
      </c>
      <c r="W86" s="460" t="s">
        <v>1705</v>
      </c>
      <c r="X86" s="100"/>
      <c r="Y86" s="177">
        <v>5.7864540000000009</v>
      </c>
      <c r="Z86" s="460" t="s">
        <v>1707</v>
      </c>
      <c r="AA86" s="100"/>
      <c r="AB86" s="461">
        <v>2.0799999999999989E-2</v>
      </c>
      <c r="AC86" s="177">
        <v>-5.0761814988891922</v>
      </c>
      <c r="AD86" s="460" t="s">
        <v>1465</v>
      </c>
      <c r="AE86" s="100"/>
      <c r="AF86" s="177">
        <v>-3.4001169279263119</v>
      </c>
      <c r="AG86" s="460" t="s">
        <v>1465</v>
      </c>
      <c r="AH86" s="100"/>
      <c r="AI86" s="177">
        <v>-0.26131280707112248</v>
      </c>
      <c r="AJ86" s="467">
        <v>152.47999999999996</v>
      </c>
      <c r="AK86" s="460" t="s">
        <v>1467</v>
      </c>
      <c r="AL86" s="84"/>
      <c r="AM86" s="47"/>
      <c r="AN86" s="45"/>
      <c r="AO86" s="47"/>
      <c r="AP86" s="47"/>
    </row>
    <row r="87" spans="1:42">
      <c r="A87" s="3"/>
      <c r="B87" s="4"/>
      <c r="C87" s="3"/>
      <c r="D87" s="4"/>
      <c r="E87" s="4"/>
      <c r="F87" s="3"/>
      <c r="G87" s="166"/>
      <c r="H87" s="4"/>
      <c r="I87" s="3"/>
      <c r="J87" s="4"/>
      <c r="K87" s="4"/>
      <c r="L87" s="3"/>
      <c r="M87" s="4"/>
      <c r="N87" s="4"/>
      <c r="O87" s="3"/>
      <c r="P87" s="4"/>
      <c r="Q87" s="4"/>
      <c r="R87" s="3"/>
      <c r="S87" s="9"/>
      <c r="T87" s="4"/>
      <c r="U87" s="100"/>
      <c r="V87" s="177">
        <v>9.602999999999998</v>
      </c>
      <c r="W87" s="460" t="s">
        <v>1706</v>
      </c>
      <c r="X87" s="100"/>
      <c r="Y87" s="177">
        <v>6.1545479999999992</v>
      </c>
      <c r="Z87" s="460" t="s">
        <v>1708</v>
      </c>
      <c r="AA87" s="100"/>
      <c r="AB87" s="463">
        <v>0.1521911632499999</v>
      </c>
      <c r="AC87" s="177">
        <v>-4.2118553973384083</v>
      </c>
      <c r="AD87" s="460" t="s">
        <v>1466</v>
      </c>
      <c r="AE87" s="100"/>
      <c r="AF87" s="177">
        <v>-2.1921430561199107</v>
      </c>
      <c r="AG87" s="460" t="s">
        <v>1466</v>
      </c>
      <c r="AH87" s="84"/>
      <c r="AI87" s="177">
        <v>-0.22415605791397922</v>
      </c>
      <c r="AJ87" s="464">
        <v>166.1</v>
      </c>
      <c r="AK87" s="460" t="s">
        <v>1468</v>
      </c>
      <c r="AL87" s="84"/>
      <c r="AM87" s="47"/>
      <c r="AN87" s="45"/>
      <c r="AO87" s="47"/>
      <c r="AP87" s="47"/>
    </row>
    <row r="88" spans="1:42">
      <c r="A88" s="3"/>
      <c r="B88" s="4"/>
      <c r="C88" s="3"/>
      <c r="D88" s="4"/>
      <c r="E88" s="4"/>
      <c r="F88" s="3"/>
      <c r="G88" s="166"/>
      <c r="H88" s="4"/>
      <c r="I88" s="3"/>
      <c r="J88" s="4"/>
      <c r="K88" s="4"/>
      <c r="L88" s="3"/>
      <c r="M88" s="4"/>
      <c r="N88" s="4"/>
      <c r="O88" s="3"/>
      <c r="P88" s="4"/>
      <c r="Q88" s="4"/>
      <c r="R88" s="3"/>
      <c r="S88" s="9"/>
      <c r="T88" s="4"/>
      <c r="U88" s="100"/>
      <c r="V88" s="177">
        <v>10.467000000000001</v>
      </c>
      <c r="W88" s="460" t="s">
        <v>1465</v>
      </c>
      <c r="X88" s="100"/>
      <c r="Y88" s="177">
        <v>5.39</v>
      </c>
      <c r="Z88" s="460" t="s">
        <v>1465</v>
      </c>
      <c r="AA88" s="100"/>
      <c r="AB88" s="370"/>
      <c r="AC88" s="15"/>
      <c r="AD88" s="320"/>
      <c r="AE88" s="100"/>
      <c r="AF88" s="15"/>
      <c r="AG88" s="320"/>
      <c r="AH88" s="100"/>
      <c r="AI88" s="15"/>
      <c r="AJ88" s="372"/>
      <c r="AK88" s="320"/>
      <c r="AL88" s="84"/>
      <c r="AM88" s="47"/>
      <c r="AN88" s="45"/>
      <c r="AO88" s="47"/>
      <c r="AP88" s="47"/>
    </row>
    <row r="89" spans="1:42">
      <c r="A89" s="3"/>
      <c r="B89" s="4"/>
      <c r="C89" s="3"/>
      <c r="D89" s="4"/>
      <c r="E89" s="4"/>
      <c r="F89" s="3"/>
      <c r="G89" s="166"/>
      <c r="H89" s="4"/>
      <c r="I89" s="3"/>
      <c r="J89" s="4"/>
      <c r="K89" s="4"/>
      <c r="L89" s="3"/>
      <c r="M89" s="4"/>
      <c r="N89" s="4"/>
      <c r="O89" s="3"/>
      <c r="P89" s="4"/>
      <c r="Q89" s="4"/>
      <c r="R89" s="3"/>
      <c r="S89" s="9"/>
      <c r="T89" s="4"/>
      <c r="U89" s="79"/>
      <c r="V89" s="9"/>
      <c r="W89" s="45"/>
      <c r="X89" s="9"/>
      <c r="Y89" s="9"/>
      <c r="Z89" s="47"/>
      <c r="AA89" s="84"/>
      <c r="AB89" s="47"/>
      <c r="AC89" s="47"/>
      <c r="AD89" s="45"/>
      <c r="AE89" s="167"/>
      <c r="AF89" s="6"/>
      <c r="AG89" s="7"/>
      <c r="AH89" s="84"/>
      <c r="AI89" s="47"/>
      <c r="AJ89" s="47"/>
      <c r="AK89" s="45"/>
      <c r="AL89" s="84"/>
      <c r="AM89" s="47"/>
      <c r="AN89" s="45"/>
      <c r="AO89" s="47"/>
      <c r="AP89" s="47"/>
    </row>
    <row r="90" spans="1:42">
      <c r="A90" s="3" t="s">
        <v>322</v>
      </c>
      <c r="B90" s="4" t="s">
        <v>323</v>
      </c>
      <c r="C90" s="157">
        <v>83.718157117680008</v>
      </c>
      <c r="D90" s="30">
        <v>83.718157117680008</v>
      </c>
      <c r="E90" s="30" t="s">
        <v>1126</v>
      </c>
      <c r="F90" s="187">
        <v>-4.5920132111919969</v>
      </c>
      <c r="G90" s="318">
        <v>-4.5920132111919969</v>
      </c>
      <c r="H90" s="70" t="s">
        <v>1126</v>
      </c>
      <c r="I90" s="187"/>
      <c r="J90" s="318">
        <v>3.8713379936082077</v>
      </c>
      <c r="K90" s="70" t="s">
        <v>1126</v>
      </c>
      <c r="L90" s="191">
        <v>-79.8468191240718</v>
      </c>
      <c r="M90" s="276">
        <v>-79.8468191240718</v>
      </c>
      <c r="N90" s="13" t="s">
        <v>2792</v>
      </c>
      <c r="O90" s="187">
        <v>80.655651899999995</v>
      </c>
      <c r="P90" s="318">
        <v>80.655651899999995</v>
      </c>
      <c r="Q90" s="70" t="s">
        <v>2793</v>
      </c>
      <c r="R90" s="187">
        <v>8.4633512048002046</v>
      </c>
      <c r="S90" s="318">
        <v>8.4633512048002046</v>
      </c>
      <c r="T90" s="70" t="s">
        <v>2792</v>
      </c>
      <c r="U90" s="145">
        <v>7.9268700000000001</v>
      </c>
      <c r="V90" s="15">
        <v>7.9268700000000001</v>
      </c>
      <c r="W90" s="320" t="s">
        <v>2868</v>
      </c>
      <c r="X90" s="145">
        <v>6.35</v>
      </c>
      <c r="Y90" s="15">
        <v>6.35</v>
      </c>
      <c r="Z90" s="320" t="s">
        <v>2869</v>
      </c>
      <c r="AA90" s="145">
        <v>-1.9556290000000005</v>
      </c>
      <c r="AB90" s="371">
        <v>27.454645087167556</v>
      </c>
      <c r="AC90" s="15">
        <v>-1.9556290000000005</v>
      </c>
      <c r="AD90" s="320" t="s">
        <v>2870</v>
      </c>
      <c r="AE90" s="145">
        <v>-1.8752392300000007</v>
      </c>
      <c r="AF90" s="15">
        <v>-1.8752392300000007</v>
      </c>
      <c r="AG90" s="320" t="s">
        <v>2792</v>
      </c>
      <c r="AH90" s="145">
        <v>-1.5141878300000005</v>
      </c>
      <c r="AI90" s="15">
        <v>-1.5141878300000005</v>
      </c>
      <c r="AJ90" s="229">
        <v>7.9088453384717869</v>
      </c>
      <c r="AK90" s="320" t="s">
        <v>2792</v>
      </c>
      <c r="AL90" s="145">
        <v>3.7568212999999977</v>
      </c>
      <c r="AM90" s="15">
        <v>3.7568212999999977</v>
      </c>
      <c r="AN90" s="320" t="s">
        <v>2871</v>
      </c>
      <c r="AO90" s="47"/>
      <c r="AP90" s="47"/>
    </row>
    <row r="91" spans="1:42">
      <c r="A91" s="3"/>
      <c r="B91" s="171">
        <v>258.40499999999997</v>
      </c>
      <c r="C91" s="157">
        <v>21.189400439113282</v>
      </c>
      <c r="D91" s="206">
        <v>102.54984000000002</v>
      </c>
      <c r="E91" s="206" t="s">
        <v>1125</v>
      </c>
      <c r="F91" s="157">
        <v>3.8725962774341802</v>
      </c>
      <c r="G91" s="70"/>
      <c r="H91" s="70"/>
      <c r="I91" s="157"/>
      <c r="J91" s="70"/>
      <c r="K91" s="70"/>
      <c r="L91" s="191">
        <v>26.188718664046934</v>
      </c>
      <c r="M91" s="323">
        <v>-79.8468191240718</v>
      </c>
      <c r="N91" s="180" t="s">
        <v>1126</v>
      </c>
      <c r="O91" s="191">
        <v>13.583057025175199</v>
      </c>
      <c r="P91" s="323">
        <v>80.655651899999995</v>
      </c>
      <c r="Q91" s="180" t="s">
        <v>1407</v>
      </c>
      <c r="R91" s="191">
        <v>15.860210134229922</v>
      </c>
      <c r="S91" s="318">
        <v>-6.2464360000000045</v>
      </c>
      <c r="T91" s="180" t="s">
        <v>1407</v>
      </c>
      <c r="U91" s="145">
        <v>1.04094071466</v>
      </c>
      <c r="V91" s="177">
        <v>8.8139993251008057</v>
      </c>
      <c r="W91" s="460" t="s">
        <v>1126</v>
      </c>
      <c r="X91" s="145">
        <v>0.90089354999999993</v>
      </c>
      <c r="Y91" s="177">
        <v>5.6192000000000002</v>
      </c>
      <c r="Z91" s="460" t="s">
        <v>1466</v>
      </c>
      <c r="AA91" s="145">
        <v>0.82863129736400021</v>
      </c>
      <c r="AB91" s="461">
        <v>27.454645087167556</v>
      </c>
      <c r="AC91" s="177">
        <v>-1.9556290000000005</v>
      </c>
      <c r="AD91" s="460" t="s">
        <v>1709</v>
      </c>
      <c r="AE91" s="145">
        <v>1.3225837260482405</v>
      </c>
      <c r="AF91" s="177">
        <v>-1.8752392300000007</v>
      </c>
      <c r="AG91" s="365" t="s">
        <v>1126</v>
      </c>
      <c r="AH91" s="145">
        <v>0.67700852067130024</v>
      </c>
      <c r="AI91" s="177">
        <v>-2.2218675694516716</v>
      </c>
      <c r="AJ91" s="464">
        <v>14.872270107033991</v>
      </c>
      <c r="AK91" s="460" t="s">
        <v>1466</v>
      </c>
      <c r="AL91" s="145">
        <v>0.67897407037029955</v>
      </c>
      <c r="AM91" s="177">
        <v>3.7568212999999977</v>
      </c>
      <c r="AN91" s="460" t="s">
        <v>2610</v>
      </c>
      <c r="AO91" s="47"/>
      <c r="AP91" s="47"/>
    </row>
    <row r="92" spans="1:42">
      <c r="A92" s="3"/>
      <c r="B92" s="4"/>
      <c r="C92" s="3"/>
      <c r="D92" s="4"/>
      <c r="E92" s="4"/>
      <c r="F92" s="3"/>
      <c r="G92" s="166"/>
      <c r="H92" s="4"/>
      <c r="I92" s="3"/>
      <c r="J92" s="4"/>
      <c r="K92" s="4"/>
      <c r="L92" s="3"/>
      <c r="M92" s="323">
        <v>-89.288642200000012</v>
      </c>
      <c r="N92" s="180" t="s">
        <v>1408</v>
      </c>
      <c r="O92" s="3"/>
      <c r="P92" s="323">
        <v>88.310170328872005</v>
      </c>
      <c r="Q92" s="180" t="s">
        <v>1126</v>
      </c>
      <c r="R92" s="3"/>
      <c r="S92" s="318">
        <v>8.4633512048002046</v>
      </c>
      <c r="T92" s="180" t="s">
        <v>1126</v>
      </c>
      <c r="U92" s="100"/>
      <c r="V92" s="177">
        <v>7.9268700000000001</v>
      </c>
      <c r="W92" s="460" t="s">
        <v>1466</v>
      </c>
      <c r="X92" s="100"/>
      <c r="Y92" s="177">
        <v>5.0178794699999996</v>
      </c>
      <c r="Z92" s="460" t="s">
        <v>1126</v>
      </c>
      <c r="AA92" s="100"/>
      <c r="AB92" s="462">
        <v>0.39489842703489769</v>
      </c>
      <c r="AC92" s="177">
        <v>-3.7977594299999997</v>
      </c>
      <c r="AD92" s="460" t="s">
        <v>1126</v>
      </c>
      <c r="AE92" s="100"/>
      <c r="AF92" s="177">
        <v>-3.7931741239681505</v>
      </c>
      <c r="AG92" s="460" t="s">
        <v>1125</v>
      </c>
      <c r="AH92" s="100"/>
      <c r="AI92" s="177">
        <v>-1.5141878300000005</v>
      </c>
      <c r="AJ92" s="465">
        <v>7.9088453384717869</v>
      </c>
      <c r="AK92" s="460" t="s">
        <v>1126</v>
      </c>
      <c r="AL92" s="84"/>
      <c r="AM92" s="177">
        <v>3.8092961695351413</v>
      </c>
      <c r="AN92" s="460" t="s">
        <v>1126</v>
      </c>
      <c r="AO92" s="47"/>
      <c r="AP92" s="47"/>
    </row>
    <row r="93" spans="1:42">
      <c r="A93" s="3"/>
      <c r="B93" s="4"/>
      <c r="C93" s="3"/>
      <c r="D93" s="4"/>
      <c r="E93" s="4"/>
      <c r="F93" s="3"/>
      <c r="G93" s="166"/>
      <c r="H93" s="4"/>
      <c r="I93" s="3"/>
      <c r="J93" s="4"/>
      <c r="K93" s="4"/>
      <c r="L93" s="3"/>
      <c r="M93" s="4"/>
      <c r="N93" s="4"/>
      <c r="O93" s="3"/>
      <c r="P93" s="4"/>
      <c r="Q93" s="4"/>
      <c r="R93" s="3"/>
      <c r="S93" s="9"/>
      <c r="T93" s="4"/>
      <c r="U93" s="100"/>
      <c r="V93" s="177">
        <v>9.5541627570859777</v>
      </c>
      <c r="W93" s="460" t="s">
        <v>1125</v>
      </c>
      <c r="X93" s="100"/>
      <c r="Y93" s="177">
        <v>5.2</v>
      </c>
      <c r="Z93" s="460" t="s">
        <v>1125</v>
      </c>
      <c r="AA93" s="100"/>
      <c r="AB93" s="225">
        <v>0.22999999999999957</v>
      </c>
      <c r="AC93" s="177">
        <v>-4.0325169978343611</v>
      </c>
      <c r="AD93" s="460" t="s">
        <v>1125</v>
      </c>
      <c r="AE93" s="100"/>
      <c r="AF93" s="177">
        <v>-2.7051489999999996</v>
      </c>
      <c r="AG93" s="460" t="s">
        <v>1710</v>
      </c>
      <c r="AH93" s="100"/>
      <c r="AI93" s="177">
        <v>-2.160000000000001</v>
      </c>
      <c r="AJ93" s="466">
        <v>1.7877258204030733</v>
      </c>
      <c r="AK93" s="460" t="s">
        <v>1125</v>
      </c>
      <c r="AL93" s="84"/>
      <c r="AM93" s="177">
        <v>2.9142861661480453</v>
      </c>
      <c r="AN93" s="460" t="s">
        <v>2611</v>
      </c>
      <c r="AO93" s="47"/>
      <c r="AP93" s="47"/>
    </row>
    <row r="94" spans="1:42">
      <c r="A94" s="3"/>
      <c r="B94" s="4"/>
      <c r="C94" s="3"/>
      <c r="D94" s="4"/>
      <c r="E94" s="4"/>
      <c r="F94" s="3"/>
      <c r="G94" s="166"/>
      <c r="H94" s="4"/>
      <c r="I94" s="3"/>
      <c r="J94" s="4"/>
      <c r="K94" s="4"/>
      <c r="L94" s="3"/>
      <c r="M94" s="4"/>
      <c r="N94" s="4"/>
      <c r="O94" s="3"/>
      <c r="P94" s="4"/>
      <c r="Q94" s="4"/>
      <c r="R94" s="3"/>
      <c r="S94" s="9"/>
      <c r="T94" s="4"/>
      <c r="U94" s="100"/>
      <c r="V94" s="177">
        <v>9.013679999999999</v>
      </c>
      <c r="W94" s="460" t="s">
        <v>1705</v>
      </c>
      <c r="X94" s="100"/>
      <c r="Y94" s="177">
        <v>6.7141829999999985</v>
      </c>
      <c r="Z94" s="460" t="s">
        <v>1707</v>
      </c>
      <c r="AA94" s="100"/>
      <c r="AB94" s="461">
        <v>4.2799999999999985</v>
      </c>
      <c r="AC94" s="177">
        <v>-2.762801064838782</v>
      </c>
      <c r="AD94" s="460" t="s">
        <v>1465</v>
      </c>
      <c r="AE94" s="100"/>
      <c r="AF94" s="177">
        <v>-1.3269790928711038</v>
      </c>
      <c r="AG94" s="460" t="s">
        <v>1465</v>
      </c>
      <c r="AH94" s="100"/>
      <c r="AI94" s="177">
        <v>0.15509015465625176</v>
      </c>
      <c r="AJ94" s="467">
        <v>369.31</v>
      </c>
      <c r="AK94" s="460" t="s">
        <v>1467</v>
      </c>
      <c r="AL94" s="84"/>
      <c r="AM94" s="47"/>
      <c r="AN94" s="45"/>
      <c r="AO94" s="47"/>
      <c r="AP94" s="47"/>
    </row>
    <row r="95" spans="1:42">
      <c r="A95" s="3"/>
      <c r="B95" s="4"/>
      <c r="C95" s="3"/>
      <c r="D95" s="4"/>
      <c r="E95" s="4"/>
      <c r="F95" s="3"/>
      <c r="G95" s="166"/>
      <c r="H95" s="4"/>
      <c r="I95" s="3"/>
      <c r="J95" s="4"/>
      <c r="K95" s="4"/>
      <c r="L95" s="3"/>
      <c r="M95" s="4"/>
      <c r="N95" s="4"/>
      <c r="O95" s="3"/>
      <c r="P95" s="4"/>
      <c r="Q95" s="4"/>
      <c r="R95" s="3"/>
      <c r="S95" s="9"/>
      <c r="T95" s="4"/>
      <c r="U95" s="100"/>
      <c r="V95" s="177">
        <v>8.9543999999999997</v>
      </c>
      <c r="W95" s="460" t="s">
        <v>1706</v>
      </c>
      <c r="X95" s="100"/>
      <c r="Y95" s="177">
        <v>7.0739459999999976</v>
      </c>
      <c r="Z95" s="460" t="s">
        <v>1708</v>
      </c>
      <c r="AA95" s="100"/>
      <c r="AB95" s="463">
        <v>12.640496399999989</v>
      </c>
      <c r="AC95" s="177">
        <v>-2.2924807045616236</v>
      </c>
      <c r="AD95" s="460" t="s">
        <v>1466</v>
      </c>
      <c r="AE95" s="100"/>
      <c r="AF95" s="177">
        <v>-2.2735596549843669</v>
      </c>
      <c r="AG95" s="460" t="s">
        <v>1466</v>
      </c>
      <c r="AH95" s="84"/>
      <c r="AI95" s="177">
        <v>4.6940752105341453E-2</v>
      </c>
      <c r="AJ95" s="464">
        <v>287.89999999999998</v>
      </c>
      <c r="AK95" s="460" t="s">
        <v>1468</v>
      </c>
      <c r="AL95" s="84"/>
      <c r="AM95" s="47"/>
      <c r="AN95" s="45"/>
      <c r="AO95" s="47"/>
      <c r="AP95" s="47"/>
    </row>
    <row r="96" spans="1:42">
      <c r="A96" s="3"/>
      <c r="B96" s="4"/>
      <c r="C96" s="3"/>
      <c r="D96" s="4"/>
      <c r="E96" s="4"/>
      <c r="F96" s="3"/>
      <c r="G96" s="166"/>
      <c r="H96" s="4"/>
      <c r="I96" s="3"/>
      <c r="J96" s="4"/>
      <c r="K96" s="4"/>
      <c r="L96" s="3"/>
      <c r="M96" s="4"/>
      <c r="N96" s="4"/>
      <c r="O96" s="3"/>
      <c r="P96" s="4"/>
      <c r="Q96" s="4"/>
      <c r="R96" s="3"/>
      <c r="S96" s="9"/>
      <c r="T96" s="4"/>
      <c r="U96" s="100"/>
      <c r="V96" s="177">
        <v>7.9450000000000003</v>
      </c>
      <c r="W96" s="460" t="s">
        <v>1465</v>
      </c>
      <c r="X96" s="100"/>
      <c r="Y96" s="177">
        <v>6.35</v>
      </c>
      <c r="Z96" s="460" t="s">
        <v>1465</v>
      </c>
      <c r="AA96" s="100"/>
      <c r="AB96" s="370"/>
      <c r="AC96" s="15"/>
      <c r="AD96" s="320"/>
      <c r="AE96" s="100"/>
      <c r="AF96" s="15"/>
      <c r="AG96" s="320"/>
      <c r="AH96" s="100"/>
      <c r="AI96" s="15"/>
      <c r="AJ96" s="372"/>
      <c r="AK96" s="320"/>
      <c r="AL96" s="84"/>
      <c r="AM96" s="47"/>
      <c r="AN96" s="45"/>
      <c r="AO96" s="47"/>
      <c r="AP96" s="47"/>
    </row>
    <row r="97" spans="1:42">
      <c r="A97" s="3"/>
      <c r="B97" s="4"/>
      <c r="C97" s="3"/>
      <c r="D97" s="4"/>
      <c r="E97" s="4"/>
      <c r="F97" s="3"/>
      <c r="G97" s="166"/>
      <c r="H97" s="4"/>
      <c r="I97" s="3"/>
      <c r="J97" s="4"/>
      <c r="K97" s="4"/>
      <c r="L97" s="3"/>
      <c r="M97" s="4"/>
      <c r="N97" s="4"/>
      <c r="O97" s="3"/>
      <c r="P97" s="4"/>
      <c r="Q97" s="4"/>
      <c r="R97" s="3"/>
      <c r="S97" s="9"/>
      <c r="T97" s="4"/>
      <c r="U97" s="79"/>
      <c r="V97" s="9"/>
      <c r="W97" s="45"/>
      <c r="X97" s="6"/>
      <c r="Y97" s="9"/>
      <c r="Z97" s="47"/>
      <c r="AA97" s="84"/>
      <c r="AB97" s="47"/>
      <c r="AC97" s="47"/>
      <c r="AD97" s="47"/>
      <c r="AE97" s="186"/>
      <c r="AF97" s="6"/>
      <c r="AG97" s="7"/>
      <c r="AH97" s="84"/>
      <c r="AI97" s="47"/>
      <c r="AJ97" s="47"/>
      <c r="AK97" s="45"/>
      <c r="AL97" s="84"/>
      <c r="AM97" s="47"/>
      <c r="AN97" s="45"/>
      <c r="AO97" s="47"/>
      <c r="AP97" s="47"/>
    </row>
    <row r="98" spans="1:42">
      <c r="A98" s="3" t="s">
        <v>30</v>
      </c>
      <c r="B98" s="4" t="s">
        <v>31</v>
      </c>
      <c r="C98" s="157">
        <v>81.346364209439997</v>
      </c>
      <c r="D98" s="30">
        <v>81.346364209439997</v>
      </c>
      <c r="E98" s="30" t="s">
        <v>1126</v>
      </c>
      <c r="F98" s="187">
        <v>-2.5594978588399897</v>
      </c>
      <c r="G98" s="318">
        <v>-2.5594978588399897</v>
      </c>
      <c r="H98" s="70" t="s">
        <v>1126</v>
      </c>
      <c r="I98" s="187"/>
      <c r="J98" s="318">
        <v>3.4886218275518104</v>
      </c>
      <c r="K98" s="70" t="s">
        <v>1126</v>
      </c>
      <c r="L98" s="191">
        <v>-77.857742381888187</v>
      </c>
      <c r="M98" s="276">
        <v>-77.857742381888187</v>
      </c>
      <c r="N98" s="13" t="s">
        <v>2792</v>
      </c>
      <c r="O98" s="187">
        <v>75.583765099999994</v>
      </c>
      <c r="P98" s="318">
        <v>75.583765099999994</v>
      </c>
      <c r="Q98" s="70" t="s">
        <v>2793</v>
      </c>
      <c r="R98" s="187">
        <v>6.0481196863918001</v>
      </c>
      <c r="S98" s="318">
        <v>6.0481196863918001</v>
      </c>
      <c r="T98" s="70" t="s">
        <v>2792</v>
      </c>
      <c r="U98" s="145">
        <v>8.1839600000000008</v>
      </c>
      <c r="V98" s="15">
        <v>8.1839600000000008</v>
      </c>
      <c r="W98" s="320" t="s">
        <v>2868</v>
      </c>
      <c r="X98" s="145">
        <v>6.26</v>
      </c>
      <c r="Y98" s="15">
        <v>6.26</v>
      </c>
      <c r="Z98" s="320" t="s">
        <v>2869</v>
      </c>
      <c r="AA98" s="145">
        <v>-0.96426100000000003</v>
      </c>
      <c r="AB98" s="371">
        <v>269.1434616284439</v>
      </c>
      <c r="AC98" s="15">
        <v>-0.96426100000000003</v>
      </c>
      <c r="AD98" s="320" t="s">
        <v>2870</v>
      </c>
      <c r="AE98" s="145">
        <v>-1.5472621000000006</v>
      </c>
      <c r="AF98" s="15">
        <v>-1.5472621000000006</v>
      </c>
      <c r="AG98" s="320" t="s">
        <v>2792</v>
      </c>
      <c r="AH98" s="145">
        <v>-1.9523672200000006</v>
      </c>
      <c r="AI98" s="15">
        <v>-1.9523672200000006</v>
      </c>
      <c r="AJ98" s="229">
        <v>2.8835912084819784</v>
      </c>
      <c r="AK98" s="320" t="s">
        <v>2792</v>
      </c>
      <c r="AL98" s="145">
        <v>3.9587616999999984</v>
      </c>
      <c r="AM98" s="15">
        <v>3.9587616999999984</v>
      </c>
      <c r="AN98" s="320" t="s">
        <v>2871</v>
      </c>
      <c r="AO98" s="47"/>
      <c r="AP98" s="47"/>
    </row>
    <row r="99" spans="1:42">
      <c r="A99" s="3"/>
      <c r="B99" s="171">
        <v>258.40499999999997</v>
      </c>
      <c r="C99" s="157">
        <v>20.5890901668661</v>
      </c>
      <c r="D99" s="206">
        <v>100.37416</v>
      </c>
      <c r="E99" s="206" t="s">
        <v>1125</v>
      </c>
      <c r="F99" s="157">
        <v>2.1585090077891049</v>
      </c>
      <c r="G99" s="70"/>
      <c r="H99" s="70"/>
      <c r="I99" s="157"/>
      <c r="J99" s="70"/>
      <c r="K99" s="70"/>
      <c r="L99" s="191">
        <v>25.53632735060836</v>
      </c>
      <c r="M99" s="323">
        <v>-77.857742381888187</v>
      </c>
      <c r="N99" s="180" t="s">
        <v>1126</v>
      </c>
      <c r="O99" s="191">
        <v>12.728910712960799</v>
      </c>
      <c r="P99" s="323">
        <v>75.583765099999994</v>
      </c>
      <c r="Q99" s="180" t="s">
        <v>1407</v>
      </c>
      <c r="R99" s="191">
        <v>11.334097666742311</v>
      </c>
      <c r="S99" s="318">
        <v>-10.697883999999982</v>
      </c>
      <c r="T99" s="180" t="s">
        <v>1407</v>
      </c>
      <c r="U99" s="145">
        <v>1.07470125928</v>
      </c>
      <c r="V99" s="177">
        <v>8.452387868373421</v>
      </c>
      <c r="W99" s="460" t="s">
        <v>1126</v>
      </c>
      <c r="X99" s="145">
        <v>0.88812497999999995</v>
      </c>
      <c r="Y99" s="177">
        <v>5.7507799999999998</v>
      </c>
      <c r="Z99" s="460" t="s">
        <v>1466</v>
      </c>
      <c r="AA99" s="145">
        <v>0.40857281387599997</v>
      </c>
      <c r="AB99" s="461">
        <v>269.1434616284439</v>
      </c>
      <c r="AC99" s="177">
        <v>-0.96426100000000003</v>
      </c>
      <c r="AD99" s="460" t="s">
        <v>1709</v>
      </c>
      <c r="AE99" s="145">
        <v>1.0912653919848005</v>
      </c>
      <c r="AF99" s="177">
        <v>-1.5472621000000006</v>
      </c>
      <c r="AG99" s="365" t="s">
        <v>1126</v>
      </c>
      <c r="AH99" s="145">
        <v>0.87292290773420034</v>
      </c>
      <c r="AI99" s="177">
        <v>-2.2177288033125309</v>
      </c>
      <c r="AJ99" s="464">
        <v>15.014678264329003</v>
      </c>
      <c r="AK99" s="460" t="s">
        <v>1466</v>
      </c>
      <c r="AL99" s="145">
        <v>0.71547096080269967</v>
      </c>
      <c r="AM99" s="177">
        <v>3.9587616999999984</v>
      </c>
      <c r="AN99" s="460" t="s">
        <v>2610</v>
      </c>
      <c r="AO99" s="47"/>
      <c r="AP99" s="47"/>
    </row>
    <row r="100" spans="1:42">
      <c r="A100" s="3"/>
      <c r="B100" s="4"/>
      <c r="C100" s="44"/>
      <c r="D100" s="9"/>
      <c r="E100" s="9"/>
      <c r="F100" s="3"/>
      <c r="G100" s="166"/>
      <c r="H100" s="4"/>
      <c r="I100" s="3"/>
      <c r="J100" s="4"/>
      <c r="K100" s="4"/>
      <c r="L100" s="3"/>
      <c r="M100" s="323">
        <v>-88.669397799999999</v>
      </c>
      <c r="N100" s="180" t="s">
        <v>1408</v>
      </c>
      <c r="O100" s="3"/>
      <c r="P100" s="323">
        <v>83.905862068279987</v>
      </c>
      <c r="Q100" s="180" t="s">
        <v>1126</v>
      </c>
      <c r="R100" s="3"/>
      <c r="S100" s="318">
        <v>6.0481196863918001</v>
      </c>
      <c r="T100" s="180" t="s">
        <v>1126</v>
      </c>
      <c r="U100" s="100"/>
      <c r="V100" s="177">
        <v>8.1839600000000008</v>
      </c>
      <c r="W100" s="460" t="s">
        <v>1466</v>
      </c>
      <c r="X100" s="100"/>
      <c r="Y100" s="177">
        <v>5.3411605299999998</v>
      </c>
      <c r="Z100" s="460" t="s">
        <v>1126</v>
      </c>
      <c r="AA100" s="100"/>
      <c r="AB100" s="462">
        <v>2.3046845681434616</v>
      </c>
      <c r="AC100" s="177">
        <v>-3.03163334</v>
      </c>
      <c r="AD100" s="460" t="s">
        <v>1126</v>
      </c>
      <c r="AE100" s="100"/>
      <c r="AF100" s="177">
        <v>-2.6556077263148894</v>
      </c>
      <c r="AG100" s="460" t="s">
        <v>1125</v>
      </c>
      <c r="AH100" s="100"/>
      <c r="AI100" s="177">
        <v>-1.9523672200000006</v>
      </c>
      <c r="AJ100" s="465">
        <v>2.8835912084819784</v>
      </c>
      <c r="AK100" s="460" t="s">
        <v>1126</v>
      </c>
      <c r="AL100" s="84"/>
      <c r="AM100" s="177">
        <v>3.8741676467242128</v>
      </c>
      <c r="AN100" s="460" t="s">
        <v>1126</v>
      </c>
      <c r="AO100" s="47"/>
      <c r="AP100" s="47"/>
    </row>
    <row r="101" spans="1:42">
      <c r="A101" s="3"/>
      <c r="B101" s="4"/>
      <c r="C101" s="44"/>
      <c r="D101" s="9"/>
      <c r="E101" s="9"/>
      <c r="F101" s="3"/>
      <c r="G101" s="166"/>
      <c r="H101" s="4"/>
      <c r="I101" s="3"/>
      <c r="J101" s="4"/>
      <c r="K101" s="4"/>
      <c r="L101" s="3"/>
      <c r="M101" s="4"/>
      <c r="N101" s="4"/>
      <c r="O101" s="3"/>
      <c r="P101" s="4"/>
      <c r="Q101" s="4"/>
      <c r="R101" s="3"/>
      <c r="S101" s="9"/>
      <c r="T101" s="4"/>
      <c r="U101" s="100"/>
      <c r="V101" s="177">
        <v>9.3271989975444338</v>
      </c>
      <c r="W101" s="460" t="s">
        <v>1125</v>
      </c>
      <c r="X101" s="100"/>
      <c r="Y101" s="177">
        <v>4.8600000000000003</v>
      </c>
      <c r="Z101" s="460" t="s">
        <v>1125</v>
      </c>
      <c r="AA101" s="100"/>
      <c r="AB101" s="225">
        <v>0.12999999999999992</v>
      </c>
      <c r="AC101" s="177">
        <v>-4.2803014815451172</v>
      </c>
      <c r="AD101" s="460" t="s">
        <v>1125</v>
      </c>
      <c r="AE101" s="100"/>
      <c r="AF101" s="177">
        <v>-1.968541000000001</v>
      </c>
      <c r="AG101" s="460" t="s">
        <v>1710</v>
      </c>
      <c r="AH101" s="100"/>
      <c r="AI101" s="177">
        <v>-1.7600000000000002</v>
      </c>
      <c r="AJ101" s="466">
        <v>4.4905642315298184</v>
      </c>
      <c r="AK101" s="460" t="s">
        <v>1125</v>
      </c>
      <c r="AL101" s="84"/>
      <c r="AM101" s="177">
        <v>3.2731741661480438</v>
      </c>
      <c r="AN101" s="460" t="s">
        <v>2611</v>
      </c>
      <c r="AO101" s="47"/>
      <c r="AP101" s="47"/>
    </row>
    <row r="102" spans="1:42">
      <c r="A102" s="91"/>
      <c r="B102" s="25" t="s">
        <v>20</v>
      </c>
      <c r="C102" s="91"/>
      <c r="D102" s="25"/>
      <c r="E102" s="25"/>
      <c r="F102" s="91"/>
      <c r="G102" s="166"/>
      <c r="H102" s="25"/>
      <c r="I102" s="91"/>
      <c r="J102" s="25"/>
      <c r="K102" s="25"/>
      <c r="L102" s="91"/>
      <c r="M102" s="25"/>
      <c r="N102" s="25"/>
      <c r="O102" s="91"/>
      <c r="P102" s="25"/>
      <c r="Q102" s="25"/>
      <c r="R102" s="3"/>
      <c r="S102" s="9"/>
      <c r="T102" s="4"/>
      <c r="U102" s="100"/>
      <c r="V102" s="177">
        <v>8.635959999999999</v>
      </c>
      <c r="W102" s="460" t="s">
        <v>1705</v>
      </c>
      <c r="X102" s="100"/>
      <c r="Y102" s="177">
        <v>7.0871469999999999</v>
      </c>
      <c r="Z102" s="460" t="s">
        <v>1707</v>
      </c>
      <c r="AA102" s="100"/>
      <c r="AB102" s="461">
        <v>13.399999999999997</v>
      </c>
      <c r="AC102" s="177">
        <v>-2.267140035487146</v>
      </c>
      <c r="AD102" s="460" t="s">
        <v>1465</v>
      </c>
      <c r="AE102" s="100"/>
      <c r="AF102" s="177">
        <v>-0.37059040089728107</v>
      </c>
      <c r="AG102" s="460" t="s">
        <v>1465</v>
      </c>
      <c r="AH102" s="100"/>
      <c r="AI102" s="177">
        <v>-0.10875928582385107</v>
      </c>
      <c r="AJ102" s="467">
        <v>201.16</v>
      </c>
      <c r="AK102" s="460" t="s">
        <v>1467</v>
      </c>
      <c r="AL102" s="84"/>
      <c r="AM102" s="47"/>
      <c r="AN102" s="45"/>
      <c r="AO102" s="47"/>
      <c r="AP102" s="47"/>
    </row>
    <row r="103" spans="1:42">
      <c r="A103" s="91"/>
      <c r="B103" s="25"/>
      <c r="C103" s="91"/>
      <c r="D103" s="25"/>
      <c r="E103" s="25"/>
      <c r="F103" s="91"/>
      <c r="G103" s="166"/>
      <c r="H103" s="25"/>
      <c r="I103" s="91"/>
      <c r="J103" s="25"/>
      <c r="K103" s="25"/>
      <c r="L103" s="91"/>
      <c r="M103" s="25"/>
      <c r="N103" s="25"/>
      <c r="O103" s="91"/>
      <c r="P103" s="25"/>
      <c r="Q103" s="25"/>
      <c r="R103" s="3"/>
      <c r="S103" s="9"/>
      <c r="T103" s="4"/>
      <c r="U103" s="100"/>
      <c r="V103" s="177">
        <v>8.502399999999998</v>
      </c>
      <c r="W103" s="460" t="s">
        <v>1706</v>
      </c>
      <c r="X103" s="100"/>
      <c r="Y103" s="177">
        <v>7.4840139999999993</v>
      </c>
      <c r="Z103" s="460" t="s">
        <v>1708</v>
      </c>
      <c r="AA103" s="100"/>
      <c r="AB103" s="463">
        <v>2.2641679199999998</v>
      </c>
      <c r="AC103" s="177">
        <v>-3.0393362010773006</v>
      </c>
      <c r="AD103" s="460" t="s">
        <v>1466</v>
      </c>
      <c r="AE103" s="100"/>
      <c r="AF103" s="177">
        <v>-1.3020744852359496</v>
      </c>
      <c r="AG103" s="460" t="s">
        <v>1466</v>
      </c>
      <c r="AH103" s="84"/>
      <c r="AI103" s="177">
        <v>-0.12382811217295801</v>
      </c>
      <c r="AJ103" s="464">
        <v>194.3</v>
      </c>
      <c r="AK103" s="460" t="s">
        <v>1468</v>
      </c>
      <c r="AL103" s="84"/>
      <c r="AM103" s="47"/>
      <c r="AN103" s="45"/>
      <c r="AO103" s="47"/>
      <c r="AP103" s="47"/>
    </row>
    <row r="104" spans="1:42">
      <c r="A104" s="91"/>
      <c r="B104" s="25"/>
      <c r="C104" s="91"/>
      <c r="D104" s="25"/>
      <c r="E104" s="25"/>
      <c r="F104" s="91"/>
      <c r="G104" s="166"/>
      <c r="H104" s="25"/>
      <c r="I104" s="91"/>
      <c r="J104" s="25"/>
      <c r="K104" s="25"/>
      <c r="L104" s="91"/>
      <c r="M104" s="25"/>
      <c r="N104" s="25"/>
      <c r="O104" s="91"/>
      <c r="P104" s="25"/>
      <c r="Q104" s="25"/>
      <c r="R104" s="3"/>
      <c r="S104" s="9"/>
      <c r="T104" s="4"/>
      <c r="U104" s="100"/>
      <c r="V104" s="177">
        <v>8.1679999999999993</v>
      </c>
      <c r="W104" s="460" t="s">
        <v>1465</v>
      </c>
      <c r="X104" s="100"/>
      <c r="Y104" s="177">
        <v>6.26</v>
      </c>
      <c r="Z104" s="460" t="s">
        <v>1465</v>
      </c>
      <c r="AA104" s="100"/>
      <c r="AB104" s="370"/>
      <c r="AC104" s="15"/>
      <c r="AD104" s="320"/>
      <c r="AE104" s="100"/>
      <c r="AF104" s="15"/>
      <c r="AG104" s="320"/>
      <c r="AH104" s="100"/>
      <c r="AI104" s="15"/>
      <c r="AJ104" s="372"/>
      <c r="AK104" s="320"/>
      <c r="AL104" s="84"/>
      <c r="AM104" s="47"/>
      <c r="AN104" s="45"/>
      <c r="AO104" s="47"/>
      <c r="AP104" s="47"/>
    </row>
    <row r="105" spans="1:42">
      <c r="A105" s="91"/>
      <c r="B105" s="25"/>
      <c r="C105" s="91"/>
      <c r="D105" s="25"/>
      <c r="E105" s="25"/>
      <c r="F105" s="91"/>
      <c r="G105" s="166"/>
      <c r="H105" s="25"/>
      <c r="I105" s="91"/>
      <c r="J105" s="25"/>
      <c r="K105" s="25"/>
      <c r="L105" s="91"/>
      <c r="M105" s="25"/>
      <c r="N105" s="25"/>
      <c r="O105" s="91"/>
      <c r="P105" s="25"/>
      <c r="Q105" s="25"/>
      <c r="R105" s="91"/>
      <c r="S105" s="9"/>
      <c r="T105" s="25"/>
      <c r="U105" s="84"/>
      <c r="V105" s="47"/>
      <c r="W105" s="45"/>
      <c r="X105" s="47"/>
      <c r="Y105" s="47"/>
      <c r="Z105" s="45"/>
      <c r="AA105" s="47"/>
      <c r="AB105" s="47"/>
      <c r="AC105" s="47"/>
      <c r="AD105" s="45"/>
      <c r="AE105" s="167"/>
      <c r="AF105" s="133"/>
      <c r="AG105" s="98"/>
      <c r="AH105" s="84"/>
      <c r="AI105" s="47"/>
      <c r="AJ105" s="47"/>
      <c r="AK105" s="45"/>
      <c r="AL105" s="84"/>
      <c r="AM105" s="47"/>
      <c r="AN105" s="45"/>
      <c r="AO105" s="47"/>
      <c r="AP105" s="47"/>
    </row>
    <row r="106" spans="1:42">
      <c r="A106" s="12" t="s">
        <v>32</v>
      </c>
      <c r="B106" s="11" t="s">
        <v>33</v>
      </c>
      <c r="C106" s="157">
        <v>83.770022734800008</v>
      </c>
      <c r="D106" s="30">
        <v>83.770022734800008</v>
      </c>
      <c r="E106" s="30" t="s">
        <v>1126</v>
      </c>
      <c r="F106" s="187">
        <v>15.28637696796001</v>
      </c>
      <c r="G106" s="318">
        <v>15.28637696796001</v>
      </c>
      <c r="H106" s="70" t="s">
        <v>1126</v>
      </c>
      <c r="I106" s="187"/>
      <c r="J106" s="318">
        <v>7.4912136207840945</v>
      </c>
      <c r="K106" s="70" t="s">
        <v>1126</v>
      </c>
      <c r="L106" s="191">
        <v>-76.278809114015914</v>
      </c>
      <c r="M106" s="276">
        <v>-76.278809114015914</v>
      </c>
      <c r="N106" s="13" t="s">
        <v>2792</v>
      </c>
      <c r="O106" s="187">
        <v>68.615185299999993</v>
      </c>
      <c r="P106" s="318">
        <v>68.615185299999993</v>
      </c>
      <c r="Q106" s="70" t="s">
        <v>2793</v>
      </c>
      <c r="R106" s="187">
        <v>-7.7951633471759152</v>
      </c>
      <c r="S106" s="318">
        <v>-7.7951633471759152</v>
      </c>
      <c r="T106" s="70" t="s">
        <v>2792</v>
      </c>
      <c r="U106" s="145">
        <v>7.3715400000000004</v>
      </c>
      <c r="V106" s="15">
        <v>7.3715400000000004</v>
      </c>
      <c r="W106" s="320" t="s">
        <v>2868</v>
      </c>
      <c r="X106" s="145">
        <v>5.18</v>
      </c>
      <c r="Y106" s="15">
        <v>5.18</v>
      </c>
      <c r="Z106" s="320" t="s">
        <v>2869</v>
      </c>
      <c r="AA106" s="145">
        <v>-3.1866329999999992</v>
      </c>
      <c r="AB106" s="371">
        <v>1.6129163110428641</v>
      </c>
      <c r="AC106" s="15">
        <v>-3.1866329999999992</v>
      </c>
      <c r="AD106" s="320" t="s">
        <v>2870</v>
      </c>
      <c r="AE106" s="145">
        <v>-2.0699144900000013</v>
      </c>
      <c r="AF106" s="15">
        <v>-2.0699144900000013</v>
      </c>
      <c r="AG106" s="320" t="s">
        <v>2792</v>
      </c>
      <c r="AH106" s="145">
        <v>-1.6211058700000005</v>
      </c>
      <c r="AI106" s="15">
        <v>-1.6211058700000005</v>
      </c>
      <c r="AJ106" s="229">
        <v>6.3717745931579532</v>
      </c>
      <c r="AK106" s="320" t="s">
        <v>2792</v>
      </c>
      <c r="AL106" s="145">
        <v>3.1719500999999983</v>
      </c>
      <c r="AM106" s="15">
        <v>3.1719500999999983</v>
      </c>
      <c r="AN106" s="320" t="s">
        <v>2871</v>
      </c>
      <c r="AO106" s="47"/>
      <c r="AP106" s="47"/>
    </row>
    <row r="107" spans="1:42" ht="18" customHeight="1">
      <c r="A107" s="12"/>
      <c r="B107" s="171">
        <v>266.29700000000003</v>
      </c>
      <c r="C107" s="157">
        <v>21.202527834268821</v>
      </c>
      <c r="D107" s="206">
        <v>107.57064000000001</v>
      </c>
      <c r="E107" s="206" t="s">
        <v>1125</v>
      </c>
      <c r="F107" s="157">
        <v>12.891506147520619</v>
      </c>
      <c r="G107" s="70"/>
      <c r="H107" s="70"/>
      <c r="I107" s="157"/>
      <c r="J107" s="70"/>
      <c r="K107" s="70"/>
      <c r="L107" s="191">
        <v>25.018457764878736</v>
      </c>
      <c r="M107" s="323">
        <v>-76.278809114015914</v>
      </c>
      <c r="N107" s="180" t="s">
        <v>1126</v>
      </c>
      <c r="O107" s="191">
        <v>11.5553461260024</v>
      </c>
      <c r="P107" s="323">
        <v>68.615185299999993</v>
      </c>
      <c r="Q107" s="180" t="s">
        <v>1407</v>
      </c>
      <c r="R107" s="191">
        <v>14.608034775484152</v>
      </c>
      <c r="S107" s="318">
        <v>-12.952351999999999</v>
      </c>
      <c r="T107" s="180" t="s">
        <v>1407</v>
      </c>
      <c r="U107" s="145">
        <v>0.96801588971999997</v>
      </c>
      <c r="V107" s="177">
        <v>8.5243376731270963</v>
      </c>
      <c r="W107" s="460" t="s">
        <v>1126</v>
      </c>
      <c r="X107" s="145">
        <v>0.73490213999999998</v>
      </c>
      <c r="Y107" s="177">
        <v>4.5017100000000001</v>
      </c>
      <c r="Z107" s="460" t="s">
        <v>1466</v>
      </c>
      <c r="AA107" s="145">
        <v>1.3502273882279996</v>
      </c>
      <c r="AB107" s="461">
        <v>1.6129163110428641</v>
      </c>
      <c r="AC107" s="177">
        <v>-3.1866329999999992</v>
      </c>
      <c r="AD107" s="460" t="s">
        <v>1709</v>
      </c>
      <c r="AE107" s="145">
        <v>1.4598858508231209</v>
      </c>
      <c r="AF107" s="177">
        <v>-2.0699144900000013</v>
      </c>
      <c r="AG107" s="365" t="s">
        <v>1126</v>
      </c>
      <c r="AH107" s="145">
        <v>0.72481264553570024</v>
      </c>
      <c r="AI107" s="177">
        <v>-2.2556397260088352</v>
      </c>
      <c r="AJ107" s="464">
        <v>13.759577789425993</v>
      </c>
      <c r="AK107" s="460" t="s">
        <v>1466</v>
      </c>
      <c r="AL107" s="145">
        <v>0.57326971352309974</v>
      </c>
      <c r="AM107" s="177">
        <v>3.1719500999999983</v>
      </c>
      <c r="AN107" s="460" t="s">
        <v>2610</v>
      </c>
      <c r="AO107" s="47"/>
      <c r="AP107" s="47"/>
    </row>
    <row r="108" spans="1:42">
      <c r="A108" s="3"/>
      <c r="B108" s="4"/>
      <c r="C108" s="3"/>
      <c r="D108" s="4"/>
      <c r="E108" s="4"/>
      <c r="F108" s="3"/>
      <c r="G108" s="166"/>
      <c r="H108" s="4"/>
      <c r="I108" s="3"/>
      <c r="J108" s="4"/>
      <c r="K108" s="4"/>
      <c r="L108" s="3"/>
      <c r="M108" s="323">
        <v>-83.951668400000017</v>
      </c>
      <c r="N108" s="180" t="s">
        <v>1408</v>
      </c>
      <c r="O108" s="3"/>
      <c r="P108" s="323">
        <v>68.483645766839999</v>
      </c>
      <c r="Q108" s="180" t="s">
        <v>1126</v>
      </c>
      <c r="R108" s="3"/>
      <c r="S108" s="318">
        <v>-7.7951633471759152</v>
      </c>
      <c r="T108" s="180" t="s">
        <v>1126</v>
      </c>
      <c r="U108" s="100"/>
      <c r="V108" s="177">
        <v>7.3715400000000004</v>
      </c>
      <c r="W108" s="460" t="s">
        <v>1466</v>
      </c>
      <c r="X108" s="100"/>
      <c r="Y108" s="177">
        <v>4.5704263300000001</v>
      </c>
      <c r="Z108" s="460" t="s">
        <v>1126</v>
      </c>
      <c r="AA108" s="100"/>
      <c r="AB108" s="462">
        <v>0.32263520446739935</v>
      </c>
      <c r="AC108" s="177">
        <v>-3.8855330799999996</v>
      </c>
      <c r="AD108" s="460" t="s">
        <v>1126</v>
      </c>
      <c r="AE108" s="100"/>
      <c r="AF108" s="177">
        <v>-3.1931419704811828</v>
      </c>
      <c r="AG108" s="460" t="s">
        <v>1125</v>
      </c>
      <c r="AH108" s="100"/>
      <c r="AI108" s="177">
        <v>-1.6211058700000005</v>
      </c>
      <c r="AJ108" s="465">
        <v>6.3717745931579532</v>
      </c>
      <c r="AK108" s="460" t="s">
        <v>1126</v>
      </c>
      <c r="AL108" s="84"/>
      <c r="AM108" s="177">
        <v>4.232371000383317</v>
      </c>
      <c r="AN108" s="460" t="s">
        <v>1126</v>
      </c>
      <c r="AO108" s="47"/>
      <c r="AP108" s="47"/>
    </row>
    <row r="109" spans="1:42">
      <c r="A109" s="3"/>
      <c r="B109" s="4"/>
      <c r="C109" s="3"/>
      <c r="D109" s="4"/>
      <c r="E109" s="4"/>
      <c r="F109" s="3"/>
      <c r="G109" s="166"/>
      <c r="H109" s="4"/>
      <c r="I109" s="3"/>
      <c r="J109" s="4"/>
      <c r="K109" s="4"/>
      <c r="L109" s="3"/>
      <c r="M109" s="4"/>
      <c r="N109" s="4"/>
      <c r="O109" s="3"/>
      <c r="P109" s="4"/>
      <c r="Q109" s="4"/>
      <c r="R109" s="3"/>
      <c r="S109" s="9"/>
      <c r="T109" s="4"/>
      <c r="U109" s="100"/>
      <c r="V109" s="177">
        <v>9.7841423819823117</v>
      </c>
      <c r="W109" s="460" t="s">
        <v>1125</v>
      </c>
      <c r="X109" s="100"/>
      <c r="Y109" s="177">
        <v>5.07</v>
      </c>
      <c r="Z109" s="460" t="s">
        <v>1125</v>
      </c>
      <c r="AA109" s="100"/>
      <c r="AB109" s="225">
        <v>0.1499999999999998</v>
      </c>
      <c r="AC109" s="177">
        <v>-4.2181535747962728</v>
      </c>
      <c r="AD109" s="460" t="s">
        <v>1125</v>
      </c>
      <c r="AE109" s="100"/>
      <c r="AF109" s="177">
        <v>-3.1558730000000006</v>
      </c>
      <c r="AG109" s="460" t="s">
        <v>1710</v>
      </c>
      <c r="AH109" s="100"/>
      <c r="AI109" s="177">
        <v>-2.370000000000001</v>
      </c>
      <c r="AJ109" s="466">
        <v>1.1359684611830736</v>
      </c>
      <c r="AK109" s="460" t="s">
        <v>1125</v>
      </c>
      <c r="AL109" s="84"/>
      <c r="AM109" s="177">
        <v>2.6117621661480452</v>
      </c>
      <c r="AN109" s="460" t="s">
        <v>2611</v>
      </c>
      <c r="AO109" s="47"/>
      <c r="AP109" s="47"/>
    </row>
    <row r="110" spans="1:42">
      <c r="A110" s="3"/>
      <c r="B110" s="4"/>
      <c r="C110" s="3"/>
      <c r="D110" s="4"/>
      <c r="E110" s="4"/>
      <c r="F110" s="3"/>
      <c r="G110" s="166"/>
      <c r="H110" s="4"/>
      <c r="I110" s="3"/>
      <c r="J110" s="4"/>
      <c r="K110" s="4"/>
      <c r="L110" s="3"/>
      <c r="M110" s="4"/>
      <c r="N110" s="4"/>
      <c r="O110" s="3"/>
      <c r="P110" s="4"/>
      <c r="Q110" s="4"/>
      <c r="R110" s="3"/>
      <c r="S110" s="9"/>
      <c r="T110" s="4"/>
      <c r="U110" s="100"/>
      <c r="V110" s="177">
        <v>9.16188</v>
      </c>
      <c r="W110" s="460" t="s">
        <v>1705</v>
      </c>
      <c r="X110" s="100"/>
      <c r="Y110" s="177">
        <v>5.6867909999999995</v>
      </c>
      <c r="Z110" s="460" t="s">
        <v>1707</v>
      </c>
      <c r="AA110" s="100"/>
      <c r="AB110" s="461">
        <v>2.9499999999999995E-2</v>
      </c>
      <c r="AC110" s="177">
        <v>-4.9244228178737908</v>
      </c>
      <c r="AD110" s="460" t="s">
        <v>1465</v>
      </c>
      <c r="AE110" s="100"/>
      <c r="AF110" s="177">
        <v>-2.1706962271689751</v>
      </c>
      <c r="AG110" s="460" t="s">
        <v>1465</v>
      </c>
      <c r="AH110" s="100"/>
      <c r="AI110" s="177">
        <v>0.12150938552001035</v>
      </c>
      <c r="AJ110" s="467">
        <v>352.27000000000004</v>
      </c>
      <c r="AK110" s="460" t="s">
        <v>1467</v>
      </c>
      <c r="AL110" s="84"/>
      <c r="AM110" s="47"/>
      <c r="AN110" s="45"/>
      <c r="AO110" s="47"/>
      <c r="AP110" s="47"/>
    </row>
    <row r="111" spans="1:42">
      <c r="A111" s="3"/>
      <c r="B111" s="4"/>
      <c r="C111" s="3"/>
      <c r="D111" s="4"/>
      <c r="E111" s="4"/>
      <c r="F111" s="3"/>
      <c r="G111" s="166"/>
      <c r="H111" s="4"/>
      <c r="I111" s="3"/>
      <c r="J111" s="4"/>
      <c r="K111" s="4"/>
      <c r="L111" s="3"/>
      <c r="M111" s="4"/>
      <c r="N111" s="4"/>
      <c r="O111" s="3"/>
      <c r="P111" s="4"/>
      <c r="Q111" s="4"/>
      <c r="R111" s="3"/>
      <c r="S111" s="9"/>
      <c r="T111" s="4"/>
      <c r="U111" s="100"/>
      <c r="V111" s="177">
        <v>9.1165499999999984</v>
      </c>
      <c r="W111" s="460" t="s">
        <v>1706</v>
      </c>
      <c r="X111" s="100"/>
      <c r="Y111" s="177">
        <v>6.0605419999999981</v>
      </c>
      <c r="Z111" s="460" t="s">
        <v>1708</v>
      </c>
      <c r="AA111" s="100"/>
      <c r="AB111" s="463">
        <v>0.35703383624999996</v>
      </c>
      <c r="AC111" s="177">
        <v>-3.8415354575147735</v>
      </c>
      <c r="AD111" s="460" t="s">
        <v>1466</v>
      </c>
      <c r="AE111" s="100"/>
      <c r="AF111" s="177">
        <v>-2.7448673675765094</v>
      </c>
      <c r="AG111" s="460" t="s">
        <v>1466</v>
      </c>
      <c r="AH111" s="84"/>
      <c r="AI111" s="177">
        <v>4.3866468635393514E-2</v>
      </c>
      <c r="AJ111" s="464">
        <v>294.59999999999991</v>
      </c>
      <c r="AK111" s="460" t="s">
        <v>1468</v>
      </c>
      <c r="AL111" s="84"/>
      <c r="AM111" s="47"/>
      <c r="AN111" s="45"/>
      <c r="AO111" s="47"/>
      <c r="AP111" s="47"/>
    </row>
    <row r="112" spans="1:42">
      <c r="A112" s="3"/>
      <c r="B112" s="4"/>
      <c r="C112" s="3"/>
      <c r="D112" s="4"/>
      <c r="E112" s="4"/>
      <c r="F112" s="3"/>
      <c r="G112" s="166"/>
      <c r="H112" s="4"/>
      <c r="I112" s="3"/>
      <c r="J112" s="4"/>
      <c r="K112" s="4"/>
      <c r="L112" s="3"/>
      <c r="M112" s="4"/>
      <c r="N112" s="4"/>
      <c r="O112" s="3"/>
      <c r="P112" s="4"/>
      <c r="Q112" s="4"/>
      <c r="R112" s="3"/>
      <c r="S112" s="9"/>
      <c r="T112" s="4"/>
      <c r="U112" s="100"/>
      <c r="V112" s="177">
        <v>10.105</v>
      </c>
      <c r="W112" s="460" t="s">
        <v>1465</v>
      </c>
      <c r="X112" s="100"/>
      <c r="Y112" s="177">
        <v>5.18</v>
      </c>
      <c r="Z112" s="460" t="s">
        <v>1465</v>
      </c>
      <c r="AA112" s="100"/>
      <c r="AB112" s="370"/>
      <c r="AC112" s="15"/>
      <c r="AD112" s="320"/>
      <c r="AE112" s="100"/>
      <c r="AF112" s="15"/>
      <c r="AG112" s="320"/>
      <c r="AH112" s="100"/>
      <c r="AI112" s="15"/>
      <c r="AJ112" s="372"/>
      <c r="AK112" s="320"/>
      <c r="AL112" s="84"/>
      <c r="AM112" s="47"/>
      <c r="AN112" s="45"/>
      <c r="AO112" s="47"/>
      <c r="AP112" s="47"/>
    </row>
    <row r="113" spans="1:42">
      <c r="A113" s="504" t="s">
        <v>34</v>
      </c>
      <c r="B113" s="504"/>
      <c r="C113" s="504"/>
      <c r="D113" s="504"/>
      <c r="E113" s="504"/>
      <c r="F113" s="504"/>
      <c r="G113" s="504"/>
      <c r="H113" s="504"/>
      <c r="I113" s="504"/>
      <c r="J113" s="504"/>
      <c r="K113" s="504"/>
      <c r="L113" s="504"/>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4"/>
      <c r="AP113" s="4"/>
    </row>
    <row r="114" spans="1:42">
      <c r="A114" s="3" t="s">
        <v>35</v>
      </c>
      <c r="B114" s="4" t="s">
        <v>36</v>
      </c>
      <c r="C114" s="157">
        <v>76.23002746472001</v>
      </c>
      <c r="D114" s="30">
        <v>76.23002746472001</v>
      </c>
      <c r="E114" s="30" t="s">
        <v>1126</v>
      </c>
      <c r="F114" s="187">
        <v>12.041129332759994</v>
      </c>
      <c r="G114" s="318">
        <v>12.041129332759994</v>
      </c>
      <c r="H114" s="70" t="s">
        <v>1126</v>
      </c>
      <c r="I114" s="187"/>
      <c r="J114" s="318">
        <v>4.3659824858718821</v>
      </c>
      <c r="K114" s="70" t="s">
        <v>1126</v>
      </c>
      <c r="L114" s="191">
        <v>-71.864044978848128</v>
      </c>
      <c r="M114" s="276">
        <v>-71.864044978848128</v>
      </c>
      <c r="N114" s="13" t="s">
        <v>2792</v>
      </c>
      <c r="O114" s="187">
        <v>61.7891014</v>
      </c>
      <c r="P114" s="318">
        <v>61.7891014</v>
      </c>
      <c r="Q114" s="70" t="s">
        <v>2793</v>
      </c>
      <c r="R114" s="187">
        <v>-20.865455999999995</v>
      </c>
      <c r="S114" s="491">
        <v>-20.865455999999995</v>
      </c>
      <c r="T114" s="13" t="s">
        <v>2793</v>
      </c>
      <c r="U114" s="145">
        <v>7.6681477973714856</v>
      </c>
      <c r="V114" s="15">
        <v>7.6681477973714856</v>
      </c>
      <c r="W114" s="320" t="s">
        <v>2792</v>
      </c>
      <c r="X114" s="145">
        <v>4.7513800000000002</v>
      </c>
      <c r="Y114" s="15">
        <v>4.7513800000000002</v>
      </c>
      <c r="Z114" s="320" t="s">
        <v>2868</v>
      </c>
      <c r="AA114" s="145">
        <v>-2.9661100398231652</v>
      </c>
      <c r="AB114" s="371">
        <v>2.6799999999999971</v>
      </c>
      <c r="AC114" s="15">
        <v>-2.9661100398231652</v>
      </c>
      <c r="AD114" s="320" t="s">
        <v>2869</v>
      </c>
      <c r="AE114" s="145">
        <v>-0.90732941000000045</v>
      </c>
      <c r="AF114" s="15">
        <v>-0.90732941000000045</v>
      </c>
      <c r="AG114" s="320" t="s">
        <v>2792</v>
      </c>
      <c r="AH114" s="145">
        <v>-2.3632627999999993</v>
      </c>
      <c r="AI114" s="15">
        <v>-2.3632627999999993</v>
      </c>
      <c r="AJ114" s="229">
        <v>1.8534376473298071</v>
      </c>
      <c r="AK114" s="320" t="e">
        <v>#N/A</v>
      </c>
      <c r="AL114" s="145">
        <v>2.9623931999999993</v>
      </c>
      <c r="AM114" s="15">
        <v>2.9623931999999993</v>
      </c>
      <c r="AN114" s="320" t="s">
        <v>2871</v>
      </c>
      <c r="AO114" s="47"/>
      <c r="AP114" s="47"/>
    </row>
    <row r="115" spans="1:42">
      <c r="A115" s="3"/>
      <c r="B115" s="171">
        <v>427.8</v>
      </c>
      <c r="C115" s="157">
        <v>17.708006689972063</v>
      </c>
      <c r="D115" s="206">
        <v>91.629599999999996</v>
      </c>
      <c r="E115" s="206" t="s">
        <v>1125</v>
      </c>
      <c r="F115" s="157">
        <v>16.891055405409062</v>
      </c>
      <c r="G115" s="70"/>
      <c r="H115" s="70"/>
      <c r="I115" s="157"/>
      <c r="J115" s="70"/>
      <c r="K115" s="70"/>
      <c r="L115" s="191">
        <v>22.231286042296627</v>
      </c>
      <c r="M115" s="323">
        <v>-71.864044978848128</v>
      </c>
      <c r="N115" s="180" t="s">
        <v>1126</v>
      </c>
      <c r="O115" s="191">
        <v>11.583541050356599</v>
      </c>
      <c r="P115" s="323">
        <v>61.7891014</v>
      </c>
      <c r="Q115" s="180" t="s">
        <v>1407</v>
      </c>
      <c r="R115" s="191">
        <v>8.5592843851820071</v>
      </c>
      <c r="S115" s="323">
        <v>-20.865455999999995</v>
      </c>
      <c r="T115" s="180" t="s">
        <v>1407</v>
      </c>
      <c r="U115" s="145">
        <v>0.70966790827723758</v>
      </c>
      <c r="V115" s="177">
        <v>7.6681477973714856</v>
      </c>
      <c r="W115" s="460" t="s">
        <v>1126</v>
      </c>
      <c r="X115" s="145">
        <v>0.88407977384000003</v>
      </c>
      <c r="Y115" s="177">
        <v>4.7513800000000002</v>
      </c>
      <c r="Z115" s="460" t="s">
        <v>1466</v>
      </c>
      <c r="AA115" s="145">
        <v>0.98237267907939252</v>
      </c>
      <c r="AB115" s="461">
        <v>0.97802697636511404</v>
      </c>
      <c r="AC115" s="177">
        <v>-3.4038940000000006</v>
      </c>
      <c r="AD115" s="222" t="s">
        <v>1709</v>
      </c>
      <c r="AE115" s="145">
        <v>0.26648355504641014</v>
      </c>
      <c r="AF115" s="177">
        <v>-0.90732941000000045</v>
      </c>
      <c r="AG115" s="365" t="s">
        <v>1126</v>
      </c>
      <c r="AH115" s="145">
        <v>0.61182198060044479</v>
      </c>
      <c r="AI115" s="177">
        <v>-1.505076328221127</v>
      </c>
      <c r="AJ115" s="464">
        <v>77.476234616229988</v>
      </c>
      <c r="AK115" s="362" t="s">
        <v>1466</v>
      </c>
      <c r="AL115" s="145">
        <v>0.53539628542919993</v>
      </c>
      <c r="AM115" s="154">
        <v>2.9623931999999993</v>
      </c>
      <c r="AN115" s="460" t="s">
        <v>2610</v>
      </c>
      <c r="AO115" s="47"/>
      <c r="AP115" s="47"/>
    </row>
    <row r="116" spans="1:42">
      <c r="A116" s="3"/>
      <c r="B116" s="4"/>
      <c r="C116" s="3"/>
      <c r="D116" s="4"/>
      <c r="E116" s="4"/>
      <c r="F116" s="3"/>
      <c r="G116" s="4"/>
      <c r="H116" s="4"/>
      <c r="I116" s="3"/>
      <c r="J116" s="4"/>
      <c r="K116" s="4"/>
      <c r="L116" s="3"/>
      <c r="M116" s="323">
        <v>-85.039037199999996</v>
      </c>
      <c r="N116" s="180" t="s">
        <v>1408</v>
      </c>
      <c r="O116" s="3"/>
      <c r="P116" s="323">
        <v>64.188898131960016</v>
      </c>
      <c r="Q116" s="180" t="s">
        <v>1126</v>
      </c>
      <c r="R116" s="3"/>
      <c r="S116" s="323">
        <v>-7.6751468468881114</v>
      </c>
      <c r="T116" s="180" t="s">
        <v>1126</v>
      </c>
      <c r="U116" s="100"/>
      <c r="V116" s="177">
        <v>7.8150000000000004</v>
      </c>
      <c r="W116" s="460" t="s">
        <v>1466</v>
      </c>
      <c r="X116" s="100"/>
      <c r="Y116" s="177">
        <v>5.1248826799999998</v>
      </c>
      <c r="Z116" s="460" t="s">
        <v>1126</v>
      </c>
      <c r="AA116" s="100"/>
      <c r="AB116" s="462">
        <v>9.426983215932923</v>
      </c>
      <c r="AC116" s="177">
        <v>-2.4198720999999996</v>
      </c>
      <c r="AD116" s="460" t="s">
        <v>1126</v>
      </c>
      <c r="AE116" s="100"/>
      <c r="AF116" s="177">
        <v>-1.8794260687941502</v>
      </c>
      <c r="AG116" s="460" t="s">
        <v>1125</v>
      </c>
      <c r="AH116" s="100"/>
      <c r="AI116" s="177">
        <v>-1.9241979200000003</v>
      </c>
      <c r="AJ116" s="465">
        <v>5.0938113906479536</v>
      </c>
      <c r="AK116" s="460" t="s">
        <v>1126</v>
      </c>
      <c r="AL116" s="84"/>
      <c r="AM116" s="177">
        <v>5.3524084788147199</v>
      </c>
      <c r="AN116" s="460" t="s">
        <v>1126</v>
      </c>
      <c r="AO116" s="47"/>
      <c r="AP116" s="47"/>
    </row>
    <row r="117" spans="1:42">
      <c r="A117" s="3"/>
      <c r="B117" s="4"/>
      <c r="C117" s="3"/>
      <c r="D117" s="4"/>
      <c r="E117" s="4"/>
      <c r="F117" s="3"/>
      <c r="G117" s="4"/>
      <c r="H117" s="4"/>
      <c r="I117" s="3"/>
      <c r="J117" s="4"/>
      <c r="K117" s="4"/>
      <c r="L117" s="3"/>
      <c r="M117" s="4"/>
      <c r="N117" s="4"/>
      <c r="O117" s="3"/>
      <c r="P117" s="4"/>
      <c r="Q117" s="4"/>
      <c r="R117" s="3"/>
      <c r="S117" s="9"/>
      <c r="T117" s="4"/>
      <c r="U117" s="100"/>
      <c r="V117" s="177">
        <v>8.297358838534679</v>
      </c>
      <c r="W117" s="460" t="s">
        <v>1125</v>
      </c>
      <c r="X117" s="100"/>
      <c r="Y117" s="177">
        <v>5.58</v>
      </c>
      <c r="Z117" s="460" t="s">
        <v>1125</v>
      </c>
      <c r="AA117" s="100"/>
      <c r="AB117" s="225">
        <v>9.9599999999999902</v>
      </c>
      <c r="AC117" s="177">
        <v>-2.3959854954282553</v>
      </c>
      <c r="AD117" s="460" t="s">
        <v>1125</v>
      </c>
      <c r="AE117" s="100"/>
      <c r="AF117" s="177">
        <v>-2.0498079999999996</v>
      </c>
      <c r="AG117" s="460" t="s">
        <v>1710</v>
      </c>
      <c r="AH117" s="100"/>
      <c r="AI117" s="177">
        <v>-4.620000000000001</v>
      </c>
      <c r="AJ117" s="466">
        <v>1.026220722756534E-2</v>
      </c>
      <c r="AK117" s="460" t="s">
        <v>1125</v>
      </c>
      <c r="AL117" s="84"/>
      <c r="AM117" s="154">
        <v>3.2231671661480448</v>
      </c>
      <c r="AN117" s="460" t="s">
        <v>2611</v>
      </c>
      <c r="AO117" s="47"/>
      <c r="AP117" s="47"/>
    </row>
    <row r="118" spans="1:42">
      <c r="A118" s="3"/>
      <c r="B118" s="4"/>
      <c r="C118" s="3"/>
      <c r="D118" s="4"/>
      <c r="E118" s="4"/>
      <c r="F118" s="3"/>
      <c r="G118" s="4"/>
      <c r="H118" s="4"/>
      <c r="I118" s="3"/>
      <c r="J118" s="4"/>
      <c r="K118" s="4"/>
      <c r="L118" s="3"/>
      <c r="M118" s="4"/>
      <c r="N118" s="4"/>
      <c r="O118" s="3"/>
      <c r="P118" s="4"/>
      <c r="Q118" s="4"/>
      <c r="R118" s="3"/>
      <c r="S118" s="9"/>
      <c r="T118" s="4"/>
      <c r="U118" s="100"/>
      <c r="V118" s="177">
        <v>8.6672199999999986</v>
      </c>
      <c r="W118" s="460" t="s">
        <v>1705</v>
      </c>
      <c r="X118" s="100"/>
      <c r="Y118" s="177">
        <v>5.0774379999999999</v>
      </c>
      <c r="Z118" s="460" t="s">
        <v>1707</v>
      </c>
      <c r="AA118" s="100"/>
      <c r="AB118" s="461">
        <v>2.6799999999999971</v>
      </c>
      <c r="AC118" s="177">
        <v>-2.9661100398231652</v>
      </c>
      <c r="AD118" s="460" t="s">
        <v>1465</v>
      </c>
      <c r="AE118" s="100"/>
      <c r="AF118" s="177">
        <v>-1.1220530483708118</v>
      </c>
      <c r="AG118" s="460" t="s">
        <v>1465</v>
      </c>
      <c r="AH118" s="100"/>
      <c r="AI118" s="177">
        <v>0.47471198900147066</v>
      </c>
      <c r="AJ118" s="467">
        <v>1276.3</v>
      </c>
      <c r="AK118" s="460" t="s">
        <v>1467</v>
      </c>
      <c r="AL118" s="84"/>
      <c r="AM118" s="47"/>
      <c r="AN118" s="45"/>
      <c r="AO118" s="47"/>
      <c r="AP118" s="47"/>
    </row>
    <row r="119" spans="1:42">
      <c r="A119" s="3"/>
      <c r="B119" s="4"/>
      <c r="C119" s="3"/>
      <c r="D119" s="4"/>
      <c r="E119" s="4"/>
      <c r="F119" s="3"/>
      <c r="G119" s="4"/>
      <c r="H119" s="4"/>
      <c r="I119" s="3"/>
      <c r="J119" s="4"/>
      <c r="K119" s="4"/>
      <c r="L119" s="3"/>
      <c r="M119" s="4"/>
      <c r="N119" s="4"/>
      <c r="O119" s="3"/>
      <c r="P119" s="4"/>
      <c r="Q119" s="4"/>
      <c r="R119" s="3"/>
      <c r="S119" s="9"/>
      <c r="T119" s="4"/>
      <c r="U119" s="100"/>
      <c r="V119" s="177">
        <v>8.7380999999999993</v>
      </c>
      <c r="W119" s="460" t="s">
        <v>1706</v>
      </c>
      <c r="X119" s="8"/>
      <c r="Y119" s="177">
        <v>5.3256559999999986</v>
      </c>
      <c r="Z119" s="460" t="s">
        <v>1708</v>
      </c>
      <c r="AA119" s="47"/>
      <c r="AB119" s="463">
        <v>18.033722174999983</v>
      </c>
      <c r="AC119" s="177">
        <v>-2.1381594591414119</v>
      </c>
      <c r="AD119" s="460" t="s">
        <v>1466</v>
      </c>
      <c r="AE119" s="13"/>
      <c r="AF119" s="177">
        <v>-0.30554520472120306</v>
      </c>
      <c r="AG119" s="460" t="s">
        <v>1466</v>
      </c>
      <c r="AH119" s="84"/>
      <c r="AI119" s="177">
        <v>-0.73953610399632652</v>
      </c>
      <c r="AJ119" s="464">
        <v>77.929999999999993</v>
      </c>
      <c r="AK119" s="460" t="s">
        <v>1468</v>
      </c>
      <c r="AL119" s="84"/>
      <c r="AM119" s="47"/>
      <c r="AN119" s="45"/>
      <c r="AO119" s="47"/>
      <c r="AP119" s="47"/>
    </row>
    <row r="120" spans="1:42">
      <c r="A120" s="3"/>
      <c r="B120" s="4"/>
      <c r="C120" s="3"/>
      <c r="D120" s="4"/>
      <c r="E120" s="4"/>
      <c r="F120" s="3"/>
      <c r="G120" s="4"/>
      <c r="H120" s="4"/>
      <c r="I120" s="3"/>
      <c r="J120" s="4"/>
      <c r="K120" s="4"/>
      <c r="L120" s="3"/>
      <c r="M120" s="4"/>
      <c r="N120" s="4"/>
      <c r="O120" s="3"/>
      <c r="P120" s="4"/>
      <c r="Q120" s="4"/>
      <c r="R120" s="3"/>
      <c r="S120" s="9"/>
      <c r="T120" s="4"/>
      <c r="U120" s="100"/>
      <c r="V120" s="177">
        <v>8.5549999999999997</v>
      </c>
      <c r="W120" s="460" t="s">
        <v>1465</v>
      </c>
      <c r="X120" s="8"/>
      <c r="Y120" s="177">
        <v>5.59</v>
      </c>
      <c r="Z120" s="460" t="s">
        <v>1465</v>
      </c>
      <c r="AA120" s="47"/>
      <c r="AB120" s="47"/>
      <c r="AC120" s="47"/>
      <c r="AD120" s="45"/>
      <c r="AE120" s="13"/>
      <c r="AF120" s="9"/>
      <c r="AG120" s="326"/>
      <c r="AH120" s="84"/>
      <c r="AI120" s="47"/>
      <c r="AJ120" s="47"/>
      <c r="AK120" s="45"/>
      <c r="AL120" s="84"/>
      <c r="AM120" s="47"/>
      <c r="AN120" s="45"/>
      <c r="AO120" s="47"/>
      <c r="AP120" s="47"/>
    </row>
    <row r="121" spans="1:42">
      <c r="A121" s="3"/>
      <c r="B121" s="4"/>
      <c r="C121" s="3"/>
      <c r="D121" s="4"/>
      <c r="E121" s="4"/>
      <c r="F121" s="3"/>
      <c r="G121" s="4"/>
      <c r="H121" s="4"/>
      <c r="I121" s="3"/>
      <c r="J121" s="4"/>
      <c r="K121" s="4"/>
      <c r="L121" s="3"/>
      <c r="M121" s="4"/>
      <c r="N121" s="4"/>
      <c r="O121" s="3"/>
      <c r="P121" s="4"/>
      <c r="Q121" s="4"/>
      <c r="R121" s="3"/>
      <c r="S121" s="4"/>
      <c r="T121" s="4"/>
      <c r="U121" s="100"/>
      <c r="V121" s="15"/>
      <c r="W121" s="320"/>
      <c r="X121" s="47"/>
      <c r="Y121" s="47"/>
      <c r="Z121" s="45"/>
      <c r="AA121" s="47"/>
      <c r="AB121" s="47"/>
      <c r="AC121" s="47"/>
      <c r="AD121" s="45"/>
      <c r="AE121" s="5"/>
      <c r="AF121" s="6"/>
      <c r="AG121" s="7"/>
      <c r="AH121" s="130"/>
      <c r="AI121" s="131"/>
      <c r="AJ121" s="47"/>
      <c r="AK121" s="45"/>
      <c r="AL121" s="84"/>
      <c r="AM121" s="47"/>
      <c r="AN121" s="45"/>
      <c r="AO121" s="47"/>
      <c r="AP121" s="47"/>
    </row>
    <row r="122" spans="1:42">
      <c r="A122" s="3" t="s">
        <v>37</v>
      </c>
      <c r="B122" s="4" t="s">
        <v>38</v>
      </c>
      <c r="C122" s="157">
        <v>84.306112462480002</v>
      </c>
      <c r="D122" s="30">
        <v>84.306112462480002</v>
      </c>
      <c r="E122" s="30" t="s">
        <v>1126</v>
      </c>
      <c r="F122" s="187">
        <v>12.968037981815996</v>
      </c>
      <c r="G122" s="318">
        <v>12.968037981815996</v>
      </c>
      <c r="H122" s="70" t="s">
        <v>1126</v>
      </c>
      <c r="I122" s="187"/>
      <c r="J122" s="318">
        <v>5.6111682283120103</v>
      </c>
      <c r="K122" s="70" t="s">
        <v>1126</v>
      </c>
      <c r="L122" s="191">
        <v>-78.694944234167991</v>
      </c>
      <c r="M122" s="276">
        <v>-78.694944234167991</v>
      </c>
      <c r="N122" s="13" t="s">
        <v>2792</v>
      </c>
      <c r="O122" s="187">
        <v>61.460961599999997</v>
      </c>
      <c r="P122" s="318">
        <v>61.460961599999997</v>
      </c>
      <c r="Q122" s="70" t="s">
        <v>2793</v>
      </c>
      <c r="R122" s="187">
        <v>-21.488224000000013</v>
      </c>
      <c r="S122" s="491">
        <v>-21.488224000000013</v>
      </c>
      <c r="T122" s="13" t="s">
        <v>2793</v>
      </c>
      <c r="U122" s="145">
        <v>8.6391274017084907</v>
      </c>
      <c r="V122" s="15">
        <v>8.6391274017084907</v>
      </c>
      <c r="W122" s="320" t="s">
        <v>2792</v>
      </c>
      <c r="X122" s="145">
        <v>5.1360400000000004</v>
      </c>
      <c r="Y122" s="15">
        <v>5.1360400000000004</v>
      </c>
      <c r="Z122" s="320" t="s">
        <v>2868</v>
      </c>
      <c r="AA122" s="145">
        <v>-2.7689323828902799</v>
      </c>
      <c r="AB122" s="371">
        <v>4.2200000000000006</v>
      </c>
      <c r="AC122" s="15">
        <v>-2.7689323828902799</v>
      </c>
      <c r="AD122" s="320" t="s">
        <v>2869</v>
      </c>
      <c r="AE122" s="145">
        <v>-2.0157311400000002</v>
      </c>
      <c r="AF122" s="15">
        <v>-2.0157311400000002</v>
      </c>
      <c r="AG122" s="320" t="s">
        <v>2792</v>
      </c>
      <c r="AH122" s="145">
        <v>-3.0523487999999999</v>
      </c>
      <c r="AI122" s="15">
        <v>-3.0523487999999999</v>
      </c>
      <c r="AJ122" s="229">
        <v>0.37922065170003555</v>
      </c>
      <c r="AK122" s="320" t="e">
        <v>#N/A</v>
      </c>
      <c r="AL122" s="145">
        <v>3.0776351999999996</v>
      </c>
      <c r="AM122" s="15">
        <v>3.0776351999999996</v>
      </c>
      <c r="AN122" s="320" t="s">
        <v>2871</v>
      </c>
      <c r="AO122" s="47"/>
      <c r="AP122" s="47"/>
    </row>
    <row r="123" spans="1:42">
      <c r="A123" s="3"/>
      <c r="B123" s="171">
        <v>427.8</v>
      </c>
      <c r="C123" s="157">
        <v>19.584057006696717</v>
      </c>
      <c r="D123" s="206">
        <v>98.15664000000001</v>
      </c>
      <c r="E123" s="206" t="s">
        <v>1125</v>
      </c>
      <c r="F123" s="157">
        <v>18.191304320131842</v>
      </c>
      <c r="G123" s="70"/>
      <c r="H123" s="70"/>
      <c r="I123" s="157"/>
      <c r="J123" s="70"/>
      <c r="K123" s="70"/>
      <c r="L123" s="191">
        <v>24.344438388728339</v>
      </c>
      <c r="M123" s="323">
        <v>-78.694944234167991</v>
      </c>
      <c r="N123" s="180" t="s">
        <v>1126</v>
      </c>
      <c r="O123" s="191">
        <v>11.522025010190399</v>
      </c>
      <c r="P123" s="323">
        <v>61.460961599999997</v>
      </c>
      <c r="Q123" s="180" t="s">
        <v>1407</v>
      </c>
      <c r="R123" s="191">
        <v>8.8147520067854455</v>
      </c>
      <c r="S123" s="323">
        <v>-21.488224000000013</v>
      </c>
      <c r="T123" s="180" t="s">
        <v>1407</v>
      </c>
      <c r="U123" s="145">
        <v>0.79952964320961661</v>
      </c>
      <c r="V123" s="177">
        <v>8.6391274017084907</v>
      </c>
      <c r="W123" s="460" t="s">
        <v>1126</v>
      </c>
      <c r="X123" s="145">
        <v>0.95565269072000014</v>
      </c>
      <c r="Y123" s="177">
        <v>5.1360400000000004</v>
      </c>
      <c r="Z123" s="460" t="s">
        <v>1466</v>
      </c>
      <c r="AA123" s="145">
        <v>0.91706763628087784</v>
      </c>
      <c r="AB123" s="461">
        <v>10.361647982222015</v>
      </c>
      <c r="AC123" s="177">
        <v>-2.378816</v>
      </c>
      <c r="AD123" s="222" t="s">
        <v>1709</v>
      </c>
      <c r="AE123" s="145">
        <v>0.59202225154914001</v>
      </c>
      <c r="AF123" s="177">
        <v>-2.0157311400000002</v>
      </c>
      <c r="AG123" s="365" t="s">
        <v>1126</v>
      </c>
      <c r="AH123" s="145">
        <v>0.7902185437435868</v>
      </c>
      <c r="AI123" s="177">
        <v>-1.7513990553111065</v>
      </c>
      <c r="AJ123" s="464">
        <v>43.938555838959964</v>
      </c>
      <c r="AK123" s="362" t="s">
        <v>1466</v>
      </c>
      <c r="AL123" s="145">
        <v>0.55622408733119988</v>
      </c>
      <c r="AM123" s="154">
        <v>3.0776351999999996</v>
      </c>
      <c r="AN123" s="460" t="s">
        <v>2610</v>
      </c>
      <c r="AO123" s="47"/>
      <c r="AP123" s="47"/>
    </row>
    <row r="124" spans="1:42">
      <c r="A124" s="3"/>
      <c r="B124" s="4"/>
      <c r="C124" s="3"/>
      <c r="D124" s="4"/>
      <c r="E124" s="4"/>
      <c r="F124" s="3"/>
      <c r="G124" s="4"/>
      <c r="H124" s="4"/>
      <c r="I124" s="3"/>
      <c r="J124" s="4"/>
      <c r="K124" s="4"/>
      <c r="L124" s="3"/>
      <c r="M124" s="323">
        <v>-85.334812800000009</v>
      </c>
      <c r="N124" s="180" t="s">
        <v>1408</v>
      </c>
      <c r="O124" s="3"/>
      <c r="P124" s="323">
        <v>71.338074480664005</v>
      </c>
      <c r="Q124" s="180" t="s">
        <v>1126</v>
      </c>
      <c r="R124" s="3"/>
      <c r="S124" s="323">
        <v>-7.356869753503986</v>
      </c>
      <c r="T124" s="180" t="s">
        <v>1126</v>
      </c>
      <c r="U124" s="100"/>
      <c r="V124" s="177">
        <v>8.4243299999999994</v>
      </c>
      <c r="W124" s="460" t="s">
        <v>1466</v>
      </c>
      <c r="X124" s="100"/>
      <c r="Y124" s="177">
        <v>4.2218178100000001</v>
      </c>
      <c r="Z124" s="460" t="s">
        <v>1126</v>
      </c>
      <c r="AA124" s="100"/>
      <c r="AB124" s="462">
        <v>0.11879865776848218</v>
      </c>
      <c r="AC124" s="177">
        <v>-4.3194333</v>
      </c>
      <c r="AD124" s="460" t="s">
        <v>1126</v>
      </c>
      <c r="AE124" s="100"/>
      <c r="AF124" s="177">
        <v>-2.3205721033878812</v>
      </c>
      <c r="AG124" s="460" t="s">
        <v>1125</v>
      </c>
      <c r="AH124" s="100"/>
      <c r="AI124" s="177">
        <v>-1.1329812300000006</v>
      </c>
      <c r="AJ124" s="465">
        <v>31.496300856482726</v>
      </c>
      <c r="AK124" s="460" t="s">
        <v>1126</v>
      </c>
      <c r="AL124" s="84"/>
      <c r="AM124" s="177">
        <v>5.3101227445333281</v>
      </c>
      <c r="AN124" s="460" t="s">
        <v>1126</v>
      </c>
      <c r="AO124" s="47"/>
      <c r="AP124" s="47"/>
    </row>
    <row r="125" spans="1:42">
      <c r="A125" s="3"/>
      <c r="B125" s="4"/>
      <c r="C125" s="3"/>
      <c r="D125" s="4"/>
      <c r="E125" s="4"/>
      <c r="F125" s="3"/>
      <c r="G125" s="4"/>
      <c r="H125" s="4"/>
      <c r="I125" s="3"/>
      <c r="J125" s="4"/>
      <c r="K125" s="4"/>
      <c r="L125" s="3"/>
      <c r="M125" s="4"/>
      <c r="N125" s="4"/>
      <c r="O125" s="3"/>
      <c r="P125" s="4"/>
      <c r="Q125" s="4"/>
      <c r="R125" s="3"/>
      <c r="S125" s="9"/>
      <c r="T125" s="4"/>
      <c r="U125" s="100"/>
      <c r="V125" s="177">
        <v>8.8376879301365534</v>
      </c>
      <c r="W125" s="460" t="s">
        <v>1125</v>
      </c>
      <c r="X125" s="100"/>
      <c r="Y125" s="177">
        <v>4.37</v>
      </c>
      <c r="Z125" s="460" t="s">
        <v>1125</v>
      </c>
      <c r="AA125" s="100"/>
      <c r="AB125" s="225">
        <v>0.33999999999999975</v>
      </c>
      <c r="AC125" s="177">
        <v>-3.8627659168096988</v>
      </c>
      <c r="AD125" s="460" t="s">
        <v>1125</v>
      </c>
      <c r="AE125" s="100"/>
      <c r="AF125" s="177">
        <v>-1.9976959999999986</v>
      </c>
      <c r="AG125" s="460" t="s">
        <v>1710</v>
      </c>
      <c r="AH125" s="100"/>
      <c r="AI125" s="177">
        <v>-3.6000000000000005</v>
      </c>
      <c r="AJ125" s="466">
        <v>0.10745850153997973</v>
      </c>
      <c r="AK125" s="460" t="s">
        <v>1125</v>
      </c>
      <c r="AL125" s="84"/>
      <c r="AM125" s="154">
        <v>3.3186991661480469</v>
      </c>
      <c r="AN125" s="460" t="s">
        <v>2611</v>
      </c>
      <c r="AO125" s="47"/>
      <c r="AP125" s="47"/>
    </row>
    <row r="126" spans="1:42">
      <c r="A126" s="3"/>
      <c r="B126" s="4"/>
      <c r="C126" s="3"/>
      <c r="D126" s="4"/>
      <c r="E126" s="4"/>
      <c r="F126" s="3"/>
      <c r="G126" s="4"/>
      <c r="H126" s="4"/>
      <c r="I126" s="3"/>
      <c r="J126" s="4"/>
      <c r="K126" s="4"/>
      <c r="L126" s="3"/>
      <c r="M126" s="4"/>
      <c r="N126" s="4"/>
      <c r="O126" s="3"/>
      <c r="P126" s="4"/>
      <c r="Q126" s="4"/>
      <c r="R126" s="3"/>
      <c r="S126" s="9"/>
      <c r="T126" s="4"/>
      <c r="U126" s="100"/>
      <c r="V126" s="177">
        <v>8.7106399999999997</v>
      </c>
      <c r="W126" s="460" t="s">
        <v>1705</v>
      </c>
      <c r="X126" s="100"/>
      <c r="Y126" s="177">
        <v>5.8280320000000003</v>
      </c>
      <c r="Z126" s="460" t="s">
        <v>1707</v>
      </c>
      <c r="AA126" s="100"/>
      <c r="AB126" s="461">
        <v>4.2200000000000006</v>
      </c>
      <c r="AC126" s="177">
        <v>-2.7689323828902799</v>
      </c>
      <c r="AD126" s="460" t="s">
        <v>1465</v>
      </c>
      <c r="AE126" s="100"/>
      <c r="AF126" s="177">
        <v>-1.2724587429714436</v>
      </c>
      <c r="AG126" s="460" t="s">
        <v>1465</v>
      </c>
      <c r="AH126" s="100"/>
      <c r="AI126" s="177">
        <v>0.53648997147097111</v>
      </c>
      <c r="AJ126" s="467">
        <v>1471.4000000000005</v>
      </c>
      <c r="AK126" s="460" t="s">
        <v>1467</v>
      </c>
      <c r="AL126" s="84"/>
      <c r="AM126" s="47"/>
      <c r="AN126" s="45"/>
      <c r="AO126" s="47"/>
      <c r="AP126" s="47"/>
    </row>
    <row r="127" spans="1:42">
      <c r="A127" s="3"/>
      <c r="B127" s="4"/>
      <c r="C127" s="3"/>
      <c r="D127" s="4"/>
      <c r="E127" s="4"/>
      <c r="F127" s="3"/>
      <c r="G127" s="4"/>
      <c r="H127" s="4"/>
      <c r="I127" s="3"/>
      <c r="J127" s="4"/>
      <c r="K127" s="4"/>
      <c r="L127" s="3"/>
      <c r="M127" s="4"/>
      <c r="N127" s="4"/>
      <c r="O127" s="3"/>
      <c r="P127" s="4"/>
      <c r="Q127" s="4"/>
      <c r="R127" s="3"/>
      <c r="S127" s="9"/>
      <c r="T127" s="4"/>
      <c r="U127" s="100"/>
      <c r="V127" s="177">
        <v>8.7227999999999994</v>
      </c>
      <c r="W127" s="460" t="s">
        <v>1706</v>
      </c>
      <c r="X127" s="8"/>
      <c r="Y127" s="177">
        <v>6.1299839999999994</v>
      </c>
      <c r="Z127" s="460" t="s">
        <v>1708</v>
      </c>
      <c r="AA127" s="47"/>
      <c r="AB127" s="463">
        <v>1.1795547225000003</v>
      </c>
      <c r="AC127" s="177">
        <v>-3.3225267401534402</v>
      </c>
      <c r="AD127" s="460" t="s">
        <v>1466</v>
      </c>
      <c r="AE127" s="13"/>
      <c r="AF127" s="177">
        <v>1.1396281168797999</v>
      </c>
      <c r="AG127" s="460" t="s">
        <v>1466</v>
      </c>
      <c r="AH127" s="84"/>
      <c r="AI127" s="177">
        <v>-0.79144859579017979</v>
      </c>
      <c r="AJ127" s="464">
        <v>69.149999999999991</v>
      </c>
      <c r="AK127" s="460" t="s">
        <v>1468</v>
      </c>
      <c r="AL127" s="84"/>
      <c r="AM127" s="47"/>
      <c r="AN127" s="45"/>
      <c r="AO127" s="47"/>
      <c r="AP127" s="47"/>
    </row>
    <row r="128" spans="1:42">
      <c r="A128" s="3"/>
      <c r="B128" s="4"/>
      <c r="C128" s="3"/>
      <c r="D128" s="4"/>
      <c r="E128" s="4"/>
      <c r="F128" s="3"/>
      <c r="G128" s="4"/>
      <c r="H128" s="4"/>
      <c r="I128" s="3"/>
      <c r="J128" s="4"/>
      <c r="K128" s="4"/>
      <c r="L128" s="3"/>
      <c r="M128" s="4"/>
      <c r="N128" s="4"/>
      <c r="O128" s="3"/>
      <c r="P128" s="4"/>
      <c r="Q128" s="4"/>
      <c r="R128" s="3"/>
      <c r="S128" s="9"/>
      <c r="T128" s="4"/>
      <c r="U128" s="100"/>
      <c r="V128" s="177">
        <v>8.0090000000000003</v>
      </c>
      <c r="W128" s="460" t="s">
        <v>1465</v>
      </c>
      <c r="X128" s="8"/>
      <c r="Y128" s="177">
        <v>5.24</v>
      </c>
      <c r="Z128" s="460" t="s">
        <v>1465</v>
      </c>
      <c r="AA128" s="47"/>
      <c r="AB128" s="47"/>
      <c r="AC128" s="47"/>
      <c r="AD128" s="45"/>
      <c r="AE128" s="13"/>
      <c r="AF128" s="9"/>
      <c r="AG128" s="326"/>
      <c r="AH128" s="84"/>
      <c r="AI128" s="47"/>
      <c r="AJ128" s="47"/>
      <c r="AK128" s="45"/>
      <c r="AL128" s="84"/>
      <c r="AM128" s="47"/>
      <c r="AN128" s="45"/>
      <c r="AO128" s="47"/>
      <c r="AP128" s="47"/>
    </row>
    <row r="129" spans="1:42">
      <c r="A129" s="3"/>
      <c r="B129" s="4"/>
      <c r="C129" s="3"/>
      <c r="D129" s="4"/>
      <c r="E129" s="4"/>
      <c r="F129" s="3"/>
      <c r="G129" s="4"/>
      <c r="H129" s="4"/>
      <c r="I129" s="3"/>
      <c r="J129" s="4"/>
      <c r="K129" s="4"/>
      <c r="L129" s="3"/>
      <c r="M129" s="4"/>
      <c r="N129" s="4"/>
      <c r="O129" s="3"/>
      <c r="P129" s="4"/>
      <c r="Q129" s="4"/>
      <c r="R129" s="3"/>
      <c r="S129" s="4"/>
      <c r="T129" s="4"/>
      <c r="U129" s="84"/>
      <c r="V129" s="47"/>
      <c r="W129" s="45"/>
      <c r="X129" s="47"/>
      <c r="Y129" s="47"/>
      <c r="Z129" s="45"/>
      <c r="AA129" s="47"/>
      <c r="AB129" s="47"/>
      <c r="AC129" s="47"/>
      <c r="AD129" s="45"/>
      <c r="AE129" s="5"/>
      <c r="AF129" s="6"/>
      <c r="AG129" s="7"/>
      <c r="AH129" s="84"/>
      <c r="AI129" s="47"/>
      <c r="AJ129" s="47"/>
      <c r="AK129" s="45"/>
      <c r="AL129" s="84"/>
      <c r="AM129" s="47"/>
      <c r="AN129" s="45"/>
      <c r="AO129" s="47"/>
      <c r="AP129" s="47"/>
    </row>
    <row r="130" spans="1:42">
      <c r="A130" s="3" t="s">
        <v>39</v>
      </c>
      <c r="B130" s="4" t="s">
        <v>40</v>
      </c>
      <c r="C130" s="157">
        <v>85.101295846240006</v>
      </c>
      <c r="D130" s="30">
        <v>85.101295846240006</v>
      </c>
      <c r="E130" s="30" t="s">
        <v>1126</v>
      </c>
      <c r="F130" s="187">
        <v>11.302201736904053</v>
      </c>
      <c r="G130" s="318">
        <v>11.302201736904053</v>
      </c>
      <c r="H130" s="70" t="s">
        <v>1126</v>
      </c>
      <c r="I130" s="187"/>
      <c r="J130" s="318">
        <v>5.8544724516320059</v>
      </c>
      <c r="K130" s="70" t="s">
        <v>1126</v>
      </c>
      <c r="L130" s="191">
        <v>-79.246823394608001</v>
      </c>
      <c r="M130" s="276">
        <v>-79.246823394608001</v>
      </c>
      <c r="N130" s="13" t="s">
        <v>2792</v>
      </c>
      <c r="O130" s="187">
        <v>44.778869200000003</v>
      </c>
      <c r="P130" s="318">
        <v>44.778869200000003</v>
      </c>
      <c r="Q130" s="70" t="s">
        <v>2793</v>
      </c>
      <c r="R130" s="187">
        <v>-32.617588000000005</v>
      </c>
      <c r="S130" s="491">
        <v>-32.617588000000005</v>
      </c>
      <c r="T130" s="13" t="s">
        <v>2793</v>
      </c>
      <c r="U130" s="145">
        <v>8.6227213141072703</v>
      </c>
      <c r="V130" s="15">
        <v>8.6227213141072703</v>
      </c>
      <c r="W130" s="320" t="s">
        <v>2792</v>
      </c>
      <c r="X130" s="145">
        <v>4.7283799999999996</v>
      </c>
      <c r="Y130" s="15">
        <v>4.7283799999999996</v>
      </c>
      <c r="Z130" s="320" t="s">
        <v>2868</v>
      </c>
      <c r="AA130" s="145">
        <v>-2.6554642753675846</v>
      </c>
      <c r="AB130" s="371">
        <v>5.4800000000000013</v>
      </c>
      <c r="AC130" s="15">
        <v>-2.6554642753675846</v>
      </c>
      <c r="AD130" s="320" t="s">
        <v>2869</v>
      </c>
      <c r="AE130" s="145">
        <v>-2.1127455499999996</v>
      </c>
      <c r="AF130" s="15">
        <v>-2.1127455499999996</v>
      </c>
      <c r="AG130" s="320" t="s">
        <v>2792</v>
      </c>
      <c r="AH130" s="145">
        <v>-3.4299906</v>
      </c>
      <c r="AI130" s="15">
        <v>-3.4299906</v>
      </c>
      <c r="AJ130" s="229">
        <v>0.17558912052239889</v>
      </c>
      <c r="AK130" s="320" t="e">
        <v>#N/A</v>
      </c>
      <c r="AL130" s="145">
        <v>2.6880173999999988</v>
      </c>
      <c r="AM130" s="15">
        <v>2.6880173999999988</v>
      </c>
      <c r="AN130" s="320" t="s">
        <v>2871</v>
      </c>
      <c r="AO130" s="47"/>
      <c r="AP130" s="47"/>
    </row>
    <row r="131" spans="1:42">
      <c r="A131" s="3"/>
      <c r="B131" s="171">
        <v>472.59399999999999</v>
      </c>
      <c r="C131" s="157">
        <v>19.768775721194014</v>
      </c>
      <c r="D131" s="206">
        <v>102.17328000000001</v>
      </c>
      <c r="E131" s="206" t="s">
        <v>1125</v>
      </c>
      <c r="F131" s="157">
        <v>15.854502552494266</v>
      </c>
      <c r="G131" s="70"/>
      <c r="H131" s="70"/>
      <c r="I131" s="157"/>
      <c r="J131" s="70"/>
      <c r="K131" s="70"/>
      <c r="L131" s="191">
        <v>24.515163310768777</v>
      </c>
      <c r="M131" s="323">
        <v>-79.246823394608001</v>
      </c>
      <c r="N131" s="180" t="s">
        <v>1126</v>
      </c>
      <c r="O131" s="191">
        <v>8.3946498300548011</v>
      </c>
      <c r="P131" s="323">
        <v>44.778869200000003</v>
      </c>
      <c r="Q131" s="180" t="s">
        <v>1407</v>
      </c>
      <c r="R131" s="191">
        <v>13.380163445778521</v>
      </c>
      <c r="S131" s="323">
        <v>-32.617588000000005</v>
      </c>
      <c r="T131" s="180" t="s">
        <v>1407</v>
      </c>
      <c r="U131" s="145">
        <v>0.79801130081734262</v>
      </c>
      <c r="V131" s="177">
        <v>8.6227213141072703</v>
      </c>
      <c r="W131" s="460" t="s">
        <v>1126</v>
      </c>
      <c r="X131" s="145">
        <v>0.87980020983999996</v>
      </c>
      <c r="Y131" s="177">
        <v>4.7283799999999996</v>
      </c>
      <c r="Z131" s="460" t="s">
        <v>1466</v>
      </c>
      <c r="AA131" s="145">
        <v>0.8794871125374687</v>
      </c>
      <c r="AB131" s="461">
        <v>6.2402621401234848</v>
      </c>
      <c r="AC131" s="177">
        <v>-2.5990419999999999</v>
      </c>
      <c r="AD131" s="222" t="s">
        <v>1709</v>
      </c>
      <c r="AE131" s="145">
        <v>0.62051548078054986</v>
      </c>
      <c r="AF131" s="177">
        <v>-2.1127455499999996</v>
      </c>
      <c r="AG131" s="365" t="s">
        <v>1126</v>
      </c>
      <c r="AH131" s="145">
        <v>0.88798572987012214</v>
      </c>
      <c r="AI131" s="177">
        <v>-3.197753219063407</v>
      </c>
      <c r="AJ131" s="464">
        <v>1.5721414377929985</v>
      </c>
      <c r="AK131" s="362" t="s">
        <v>1466</v>
      </c>
      <c r="AL131" s="145">
        <v>0.4858080727193998</v>
      </c>
      <c r="AM131" s="154">
        <v>2.6880173999999988</v>
      </c>
      <c r="AN131" s="460" t="s">
        <v>2610</v>
      </c>
      <c r="AO131" s="47"/>
      <c r="AP131" s="47"/>
    </row>
    <row r="132" spans="1:42">
      <c r="A132" s="3"/>
      <c r="B132" s="4"/>
      <c r="C132" s="3"/>
      <c r="D132" s="4"/>
      <c r="E132" s="4"/>
      <c r="F132" s="3"/>
      <c r="G132" s="4"/>
      <c r="H132" s="4"/>
      <c r="I132" s="3"/>
      <c r="J132" s="4"/>
      <c r="K132" s="4"/>
      <c r="L132" s="3"/>
      <c r="M132" s="323">
        <v>-79.780888599999997</v>
      </c>
      <c r="N132" s="180" t="s">
        <v>1408</v>
      </c>
      <c r="O132" s="3"/>
      <c r="P132" s="323">
        <v>73.799094109335954</v>
      </c>
      <c r="Q132" s="180" t="s">
        <v>1126</v>
      </c>
      <c r="R132" s="3"/>
      <c r="S132" s="323">
        <v>-5.4477292852720467</v>
      </c>
      <c r="T132" s="180" t="s">
        <v>1126</v>
      </c>
      <c r="U132" s="100"/>
      <c r="V132" s="177">
        <v>7.9266300000000003</v>
      </c>
      <c r="W132" s="460" t="s">
        <v>1466</v>
      </c>
      <c r="X132" s="100"/>
      <c r="Y132" s="177">
        <v>5.1635734900000001</v>
      </c>
      <c r="Z132" s="460" t="s">
        <v>1126</v>
      </c>
      <c r="AA132" s="100"/>
      <c r="AB132" s="462">
        <v>1.2149813564337</v>
      </c>
      <c r="AC132" s="177">
        <v>-3.3096752199999999</v>
      </c>
      <c r="AD132" s="460" t="s">
        <v>1126</v>
      </c>
      <c r="AE132" s="100"/>
      <c r="AF132" s="177">
        <v>-3.0877779434675845</v>
      </c>
      <c r="AG132" s="460" t="s">
        <v>1125</v>
      </c>
      <c r="AH132" s="100"/>
      <c r="AI132" s="177">
        <v>-2.2398188000000006</v>
      </c>
      <c r="AJ132" s="465">
        <v>2.7206295046356015</v>
      </c>
      <c r="AK132" s="460" t="s">
        <v>1126</v>
      </c>
      <c r="AL132" s="84"/>
      <c r="AM132" s="177">
        <v>6.0575868569097642</v>
      </c>
      <c r="AN132" s="460" t="s">
        <v>1126</v>
      </c>
      <c r="AO132" s="47"/>
      <c r="AP132" s="47"/>
    </row>
    <row r="133" spans="1:42">
      <c r="A133" s="3"/>
      <c r="B133" s="4"/>
      <c r="C133" s="3"/>
      <c r="D133" s="4"/>
      <c r="E133" s="4"/>
      <c r="F133" s="3"/>
      <c r="G133" s="4"/>
      <c r="H133" s="4"/>
      <c r="I133" s="3"/>
      <c r="J133" s="4"/>
      <c r="K133" s="4"/>
      <c r="L133" s="3"/>
      <c r="M133" s="4"/>
      <c r="N133" s="4"/>
      <c r="O133" s="3"/>
      <c r="P133" s="4"/>
      <c r="Q133" s="4"/>
      <c r="R133" s="3"/>
      <c r="S133" s="9"/>
      <c r="T133" s="4"/>
      <c r="U133" s="100"/>
      <c r="V133" s="177">
        <v>8.7856732419696009</v>
      </c>
      <c r="W133" s="460" t="s">
        <v>1125</v>
      </c>
      <c r="X133" s="100"/>
      <c r="Y133" s="177">
        <v>5.93</v>
      </c>
      <c r="Z133" s="460" t="s">
        <v>1125</v>
      </c>
      <c r="AA133" s="100"/>
      <c r="AB133" s="225">
        <v>6.4399999999999959</v>
      </c>
      <c r="AC133" s="177">
        <v>-2.5853589664921417</v>
      </c>
      <c r="AD133" s="460" t="s">
        <v>1125</v>
      </c>
      <c r="AE133" s="100"/>
      <c r="AF133" s="177">
        <v>-2.2450020000000004</v>
      </c>
      <c r="AG133" s="460" t="s">
        <v>1710</v>
      </c>
      <c r="AH133" s="100"/>
      <c r="AI133" s="177">
        <v>-5.6400000000000015</v>
      </c>
      <c r="AJ133" s="466">
        <v>1.0826503074921278E-3</v>
      </c>
      <c r="AK133" s="460" t="s">
        <v>1125</v>
      </c>
      <c r="AL133" s="84"/>
      <c r="AM133" s="154">
        <v>2.8898331661480459</v>
      </c>
      <c r="AN133" s="460" t="s">
        <v>2611</v>
      </c>
      <c r="AO133" s="47"/>
      <c r="AP133" s="47"/>
    </row>
    <row r="134" spans="1:42">
      <c r="A134" s="3"/>
      <c r="B134" s="4"/>
      <c r="C134" s="3"/>
      <c r="D134" s="4"/>
      <c r="E134" s="4"/>
      <c r="F134" s="3"/>
      <c r="G134" s="4"/>
      <c r="H134" s="4"/>
      <c r="I134" s="3"/>
      <c r="J134" s="4"/>
      <c r="K134" s="4"/>
      <c r="L134" s="3"/>
      <c r="M134" s="4"/>
      <c r="N134" s="4"/>
      <c r="O134" s="3"/>
      <c r="P134" s="4"/>
      <c r="Q134" s="4"/>
      <c r="R134" s="3"/>
      <c r="S134" s="9"/>
      <c r="T134" s="4"/>
      <c r="U134" s="100"/>
      <c r="V134" s="177">
        <v>8.5290800000000004</v>
      </c>
      <c r="W134" s="460" t="s">
        <v>1705</v>
      </c>
      <c r="X134" s="100"/>
      <c r="Y134" s="177">
        <v>5.7178339999999999</v>
      </c>
      <c r="Z134" s="460" t="s">
        <v>1707</v>
      </c>
      <c r="AA134" s="100"/>
      <c r="AB134" s="461">
        <v>5.4800000000000013</v>
      </c>
      <c r="AC134" s="177">
        <v>-2.6554642753675846</v>
      </c>
      <c r="AD134" s="460" t="s">
        <v>1465</v>
      </c>
      <c r="AE134" s="100"/>
      <c r="AF134" s="177">
        <v>-1.5142785735184201</v>
      </c>
      <c r="AG134" s="460" t="s">
        <v>1465</v>
      </c>
      <c r="AH134" s="100"/>
      <c r="AI134" s="177">
        <v>0.38287355940733564</v>
      </c>
      <c r="AJ134" s="467">
        <v>1141.2</v>
      </c>
      <c r="AK134" s="460" t="s">
        <v>1467</v>
      </c>
      <c r="AL134" s="84"/>
      <c r="AM134" s="47"/>
      <c r="AN134" s="45"/>
      <c r="AO134" s="47"/>
      <c r="AP134" s="47"/>
    </row>
    <row r="135" spans="1:42">
      <c r="A135" s="3"/>
      <c r="B135" s="4"/>
      <c r="C135" s="3"/>
      <c r="D135" s="4"/>
      <c r="E135" s="4"/>
      <c r="F135" s="3"/>
      <c r="G135" s="4"/>
      <c r="H135" s="4"/>
      <c r="I135" s="3"/>
      <c r="J135" s="4"/>
      <c r="K135" s="4"/>
      <c r="L135" s="3"/>
      <c r="M135" s="4"/>
      <c r="N135" s="4"/>
      <c r="O135" s="3"/>
      <c r="P135" s="4"/>
      <c r="Q135" s="4"/>
      <c r="R135" s="3"/>
      <c r="S135" s="9"/>
      <c r="T135" s="4"/>
      <c r="U135" s="100"/>
      <c r="V135" s="177">
        <v>8.5168499999999998</v>
      </c>
      <c r="W135" s="460" t="s">
        <v>1706</v>
      </c>
      <c r="X135" s="8"/>
      <c r="Y135" s="177">
        <v>6.1180079999999988</v>
      </c>
      <c r="Z135" s="460" t="s">
        <v>1708</v>
      </c>
      <c r="AA135" s="47"/>
      <c r="AB135" s="463">
        <v>3.5805113924999965</v>
      </c>
      <c r="AC135" s="177">
        <v>-2.8402997739456377</v>
      </c>
      <c r="AD135" s="460" t="s">
        <v>1466</v>
      </c>
      <c r="AE135" s="13"/>
      <c r="AF135" s="177">
        <v>-0.59992277974846642</v>
      </c>
      <c r="AG135" s="460" t="s">
        <v>1466</v>
      </c>
      <c r="AH135" s="84"/>
      <c r="AI135" s="177">
        <v>-2.1468583027063644</v>
      </c>
      <c r="AJ135" s="464">
        <v>3.3699999999999983</v>
      </c>
      <c r="AK135" s="460" t="s">
        <v>1468</v>
      </c>
      <c r="AL135" s="84"/>
      <c r="AM135" s="47"/>
      <c r="AN135" s="45"/>
      <c r="AO135" s="47"/>
      <c r="AP135" s="47"/>
    </row>
    <row r="136" spans="1:42">
      <c r="A136" s="3"/>
      <c r="B136" s="4"/>
      <c r="C136" s="3"/>
      <c r="D136" s="4"/>
      <c r="E136" s="4"/>
      <c r="F136" s="3"/>
      <c r="G136" s="4"/>
      <c r="H136" s="4"/>
      <c r="I136" s="3"/>
      <c r="J136" s="4"/>
      <c r="K136" s="4"/>
      <c r="L136" s="3"/>
      <c r="M136" s="4"/>
      <c r="N136" s="4"/>
      <c r="O136" s="3"/>
      <c r="P136" s="4"/>
      <c r="Q136" s="4"/>
      <c r="R136" s="3"/>
      <c r="S136" s="9"/>
      <c r="T136" s="4"/>
      <c r="U136" s="100"/>
      <c r="V136" s="177">
        <v>9.0950000000000006</v>
      </c>
      <c r="W136" s="460" t="s">
        <v>1465</v>
      </c>
      <c r="X136" s="8"/>
      <c r="Y136" s="177">
        <v>6.44</v>
      </c>
      <c r="Z136" s="460" t="s">
        <v>1465</v>
      </c>
      <c r="AA136" s="47"/>
      <c r="AB136" s="47"/>
      <c r="AC136" s="47"/>
      <c r="AD136" s="45"/>
      <c r="AE136" s="13"/>
      <c r="AF136" s="9"/>
      <c r="AG136" s="326"/>
      <c r="AH136" s="84"/>
      <c r="AI136" s="47"/>
      <c r="AJ136" s="47"/>
      <c r="AK136" s="45"/>
      <c r="AL136" s="84"/>
      <c r="AM136" s="47"/>
      <c r="AN136" s="45"/>
      <c r="AO136" s="47"/>
      <c r="AP136" s="47"/>
    </row>
    <row r="137" spans="1:42">
      <c r="A137" s="3"/>
      <c r="B137" s="4"/>
      <c r="C137" s="3"/>
      <c r="D137" s="4"/>
      <c r="E137" s="4"/>
      <c r="F137" s="3"/>
      <c r="G137" s="4"/>
      <c r="H137" s="4"/>
      <c r="I137" s="3"/>
      <c r="J137" s="4"/>
      <c r="K137" s="4"/>
      <c r="L137" s="3"/>
      <c r="M137" s="4"/>
      <c r="N137" s="4"/>
      <c r="O137" s="3"/>
      <c r="P137" s="4"/>
      <c r="Q137" s="4"/>
      <c r="R137" s="3"/>
      <c r="S137" s="4"/>
      <c r="T137" s="4"/>
      <c r="U137" s="84"/>
      <c r="V137" s="47"/>
      <c r="W137" s="45"/>
      <c r="X137" s="47"/>
      <c r="Y137" s="47"/>
      <c r="Z137" s="45"/>
      <c r="AA137" s="47"/>
      <c r="AB137" s="47"/>
      <c r="AC137" s="47"/>
      <c r="AD137" s="45"/>
      <c r="AE137" s="5"/>
      <c r="AF137" s="6"/>
      <c r="AG137" s="7"/>
      <c r="AH137" s="84"/>
      <c r="AI137" s="47"/>
      <c r="AJ137" s="47"/>
      <c r="AK137" s="45"/>
      <c r="AL137" s="84"/>
      <c r="AM137" s="47"/>
      <c r="AN137" s="45"/>
      <c r="AO137" s="47"/>
      <c r="AP137" s="47"/>
    </row>
    <row r="138" spans="1:42">
      <c r="A138" s="3" t="s">
        <v>41</v>
      </c>
      <c r="B138" s="4" t="s">
        <v>42</v>
      </c>
      <c r="C138" s="157">
        <v>92.205119074240002</v>
      </c>
      <c r="D138" s="30">
        <v>92.205119074240002</v>
      </c>
      <c r="E138" s="30" t="s">
        <v>1126</v>
      </c>
      <c r="F138" s="187">
        <v>12.626384733992026</v>
      </c>
      <c r="G138" s="318">
        <v>12.626384733992026</v>
      </c>
      <c r="H138" s="70" t="s">
        <v>1126</v>
      </c>
      <c r="I138" s="187"/>
      <c r="J138" s="318">
        <v>6.8418482979760427</v>
      </c>
      <c r="K138" s="70" t="s">
        <v>1126</v>
      </c>
      <c r="L138" s="191">
        <v>-85.36327077626396</v>
      </c>
      <c r="M138" s="276">
        <v>-85.36327077626396</v>
      </c>
      <c r="N138" s="13" t="s">
        <v>2792</v>
      </c>
      <c r="O138" s="187">
        <v>63.830761599999995</v>
      </c>
      <c r="P138" s="318">
        <v>63.830761599999995</v>
      </c>
      <c r="Q138" s="70" t="s">
        <v>2793</v>
      </c>
      <c r="R138" s="187">
        <v>-32.895783999999992</v>
      </c>
      <c r="S138" s="491">
        <v>-32.895783999999992</v>
      </c>
      <c r="T138" s="13" t="s">
        <v>2793</v>
      </c>
      <c r="U138" s="145">
        <v>9.3182417349417364</v>
      </c>
      <c r="V138" s="15">
        <v>9.3182417349417364</v>
      </c>
      <c r="W138" s="320" t="s">
        <v>2792</v>
      </c>
      <c r="X138" s="145">
        <v>5.93241</v>
      </c>
      <c r="Y138" s="15">
        <v>5.93241</v>
      </c>
      <c r="Z138" s="320" t="s">
        <v>2868</v>
      </c>
      <c r="AA138" s="145">
        <v>-2.4895292885732729</v>
      </c>
      <c r="AB138" s="371">
        <v>8.0299999999999976</v>
      </c>
      <c r="AC138" s="15">
        <v>-2.4895292885732729</v>
      </c>
      <c r="AD138" s="320" t="s">
        <v>2869</v>
      </c>
      <c r="AE138" s="145">
        <v>-2.9534646500000004</v>
      </c>
      <c r="AF138" s="15">
        <v>-2.9534646500000004</v>
      </c>
      <c r="AG138" s="320" t="s">
        <v>2792</v>
      </c>
      <c r="AH138" s="145">
        <v>-3.6736928000000013</v>
      </c>
      <c r="AI138" s="15">
        <v>-3.6736928000000013</v>
      </c>
      <c r="AJ138" s="229">
        <v>0.10613037177700516</v>
      </c>
      <c r="AK138" s="320" t="e">
        <v>#N/A</v>
      </c>
      <c r="AL138" s="145">
        <v>3.0130111999999984</v>
      </c>
      <c r="AM138" s="15">
        <v>3.0130111999999984</v>
      </c>
      <c r="AN138" s="320" t="s">
        <v>2871</v>
      </c>
      <c r="AO138" s="47"/>
      <c r="AP138" s="47"/>
    </row>
    <row r="139" spans="1:42">
      <c r="A139" s="3"/>
      <c r="B139" s="171">
        <v>500.64800000000002</v>
      </c>
      <c r="C139" s="157">
        <v>21.41897254558873</v>
      </c>
      <c r="D139" s="206">
        <v>113.30271999999999</v>
      </c>
      <c r="E139" s="206" t="s">
        <v>1125</v>
      </c>
      <c r="F139" s="157">
        <v>17.712039977149335</v>
      </c>
      <c r="G139" s="70"/>
      <c r="H139" s="70"/>
      <c r="I139" s="157"/>
      <c r="J139" s="70"/>
      <c r="K139" s="70"/>
      <c r="L139" s="191">
        <v>26.407298541178811</v>
      </c>
      <c r="M139" s="323">
        <v>-85.36327077626396</v>
      </c>
      <c r="N139" s="180" t="s">
        <v>1126</v>
      </c>
      <c r="O139" s="191">
        <v>11.966289046390399</v>
      </c>
      <c r="P139" s="323">
        <v>63.830761599999995</v>
      </c>
      <c r="Q139" s="180" t="s">
        <v>1407</v>
      </c>
      <c r="R139" s="191">
        <v>13.494283102632414</v>
      </c>
      <c r="S139" s="323">
        <v>-32.895783999999992</v>
      </c>
      <c r="T139" s="180" t="s">
        <v>1407</v>
      </c>
      <c r="U139" s="145">
        <v>0.8623799769645204</v>
      </c>
      <c r="V139" s="177">
        <v>9.3182417349417364</v>
      </c>
      <c r="W139" s="460" t="s">
        <v>1126</v>
      </c>
      <c r="X139" s="145">
        <v>1.1038316638800001</v>
      </c>
      <c r="Y139" s="177">
        <v>5.93241</v>
      </c>
      <c r="Z139" s="460" t="s">
        <v>1466</v>
      </c>
      <c r="AA139" s="145">
        <v>0.82452961084617948</v>
      </c>
      <c r="AB139" s="461">
        <v>13.751460758541445</v>
      </c>
      <c r="AC139" s="177">
        <v>-2.2558960000000003</v>
      </c>
      <c r="AD139" s="222" t="s">
        <v>1709</v>
      </c>
      <c r="AE139" s="145">
        <v>0.86743552116965006</v>
      </c>
      <c r="AF139" s="177">
        <v>-2.9534646500000004</v>
      </c>
      <c r="AG139" s="365" t="s">
        <v>1126</v>
      </c>
      <c r="AH139" s="145">
        <v>0.95107747010344978</v>
      </c>
      <c r="AI139" s="177">
        <v>-3.6525977709306314</v>
      </c>
      <c r="AJ139" s="464">
        <v>0.55162896605669953</v>
      </c>
      <c r="AK139" s="362" t="s">
        <v>1466</v>
      </c>
      <c r="AL139" s="145">
        <v>0.5445445271871997</v>
      </c>
      <c r="AM139" s="154">
        <v>3.0130111999999984</v>
      </c>
      <c r="AN139" s="460" t="s">
        <v>2610</v>
      </c>
      <c r="AO139" s="47"/>
      <c r="AP139" s="47"/>
    </row>
    <row r="140" spans="1:42">
      <c r="A140" s="3"/>
      <c r="B140" s="4"/>
      <c r="C140" s="3"/>
      <c r="D140" s="30"/>
      <c r="E140" s="30"/>
      <c r="F140" s="83"/>
      <c r="G140" s="70"/>
      <c r="H140" s="70"/>
      <c r="I140" s="83"/>
      <c r="J140" s="70"/>
      <c r="K140" s="70"/>
      <c r="L140" s="3"/>
      <c r="M140" s="323">
        <v>-99.112678799999983</v>
      </c>
      <c r="N140" s="180" t="s">
        <v>1408</v>
      </c>
      <c r="O140" s="3"/>
      <c r="P140" s="323">
        <v>79.578734340247976</v>
      </c>
      <c r="Q140" s="180" t="s">
        <v>1126</v>
      </c>
      <c r="R140" s="3"/>
      <c r="S140" s="323">
        <v>-5.7845364360159834</v>
      </c>
      <c r="T140" s="180" t="s">
        <v>1126</v>
      </c>
      <c r="U140" s="100"/>
      <c r="V140" s="177">
        <v>8.8276800000000009</v>
      </c>
      <c r="W140" s="460" t="s">
        <v>1466</v>
      </c>
      <c r="X140" s="100"/>
      <c r="Y140" s="177">
        <v>5.8699326100000002</v>
      </c>
      <c r="Z140" s="460" t="s">
        <v>1126</v>
      </c>
      <c r="AA140" s="100"/>
      <c r="AB140" s="462">
        <v>1.3236966624964113</v>
      </c>
      <c r="AC140" s="177">
        <v>-3.2724563599999996</v>
      </c>
      <c r="AD140" s="460" t="s">
        <v>1126</v>
      </c>
      <c r="AE140" s="100"/>
      <c r="AF140" s="177">
        <v>-4.2298847052128981</v>
      </c>
      <c r="AG140" s="460" t="s">
        <v>1125</v>
      </c>
      <c r="AH140" s="100"/>
      <c r="AI140" s="177">
        <v>-3.1177634900000002</v>
      </c>
      <c r="AJ140" s="465">
        <v>0.38174116589849111</v>
      </c>
      <c r="AK140" s="460" t="s">
        <v>1126</v>
      </c>
      <c r="AL140" s="84"/>
      <c r="AM140" s="177">
        <v>5.0052201006919637</v>
      </c>
      <c r="AN140" s="460" t="s">
        <v>1126</v>
      </c>
      <c r="AO140" s="47"/>
      <c r="AP140" s="47"/>
    </row>
    <row r="141" spans="1:42">
      <c r="A141" s="3"/>
      <c r="B141" s="4" t="s">
        <v>20</v>
      </c>
      <c r="C141" s="3"/>
      <c r="D141" s="4"/>
      <c r="E141" s="4"/>
      <c r="F141" s="3"/>
      <c r="G141" s="4"/>
      <c r="H141" s="4"/>
      <c r="I141" s="3"/>
      <c r="J141" s="4"/>
      <c r="K141" s="4"/>
      <c r="L141" s="3"/>
      <c r="M141" s="4"/>
      <c r="N141" s="4"/>
      <c r="O141" s="3"/>
      <c r="P141" s="4"/>
      <c r="Q141" s="4"/>
      <c r="R141" s="3"/>
      <c r="S141" s="9"/>
      <c r="T141" s="4"/>
      <c r="U141" s="100"/>
      <c r="V141" s="177">
        <v>9.9216010934134751</v>
      </c>
      <c r="W141" s="460" t="s">
        <v>1125</v>
      </c>
      <c r="X141" s="100"/>
      <c r="Y141" s="177">
        <v>6.78</v>
      </c>
      <c r="Z141" s="460" t="s">
        <v>1125</v>
      </c>
      <c r="AA141" s="100"/>
      <c r="AB141" s="225">
        <v>4.3799999999999972</v>
      </c>
      <c r="AC141" s="177">
        <v>-2.7527707233478544</v>
      </c>
      <c r="AD141" s="460" t="s">
        <v>1125</v>
      </c>
      <c r="AE141" s="100"/>
      <c r="AF141" s="177">
        <v>-2.2387760000000005</v>
      </c>
      <c r="AG141" s="460" t="s">
        <v>1710</v>
      </c>
      <c r="AH141" s="100"/>
      <c r="AI141" s="177">
        <v>-6.61</v>
      </c>
      <c r="AJ141" s="466">
        <v>1.228945109219876E-4</v>
      </c>
      <c r="AK141" s="460" t="s">
        <v>1125</v>
      </c>
      <c r="AL141" s="84"/>
      <c r="AM141" s="154">
        <v>4.2118791661480426</v>
      </c>
      <c r="AN141" s="460" t="s">
        <v>2611</v>
      </c>
      <c r="AO141" s="47"/>
      <c r="AP141" s="47"/>
    </row>
    <row r="142" spans="1:42">
      <c r="A142" s="3"/>
      <c r="B142" s="4"/>
      <c r="C142" s="3"/>
      <c r="D142" s="4"/>
      <c r="E142" s="4"/>
      <c r="F142" s="3"/>
      <c r="G142" s="4"/>
      <c r="H142" s="4"/>
      <c r="I142" s="3"/>
      <c r="J142" s="4"/>
      <c r="K142" s="4"/>
      <c r="L142" s="3"/>
      <c r="M142" s="4"/>
      <c r="N142" s="4"/>
      <c r="O142" s="3"/>
      <c r="P142" s="4"/>
      <c r="Q142" s="4"/>
      <c r="R142" s="3"/>
      <c r="S142" s="9"/>
      <c r="T142" s="4"/>
      <c r="U142" s="100"/>
      <c r="V142" s="177">
        <v>9.8448999999999973</v>
      </c>
      <c r="W142" s="460" t="s">
        <v>1705</v>
      </c>
      <c r="X142" s="100"/>
      <c r="Y142" s="177">
        <v>6.388592</v>
      </c>
      <c r="Z142" s="460" t="s">
        <v>1707</v>
      </c>
      <c r="AA142" s="100"/>
      <c r="AB142" s="461">
        <v>8.0299999999999976</v>
      </c>
      <c r="AC142" s="177">
        <v>-2.4895292885732729</v>
      </c>
      <c r="AD142" s="460" t="s">
        <v>1465</v>
      </c>
      <c r="AE142" s="100"/>
      <c r="AF142" s="177">
        <v>-2.0690509688324772</v>
      </c>
      <c r="AG142" s="460" t="s">
        <v>1465</v>
      </c>
      <c r="AH142" s="100"/>
      <c r="AI142" s="177">
        <v>-0.67950285203270133</v>
      </c>
      <c r="AJ142" s="467">
        <v>104.71999999999998</v>
      </c>
      <c r="AK142" s="460" t="s">
        <v>1467</v>
      </c>
      <c r="AL142" s="84"/>
      <c r="AM142" s="47"/>
      <c r="AN142" s="45"/>
      <c r="AO142" s="47"/>
      <c r="AP142" s="47"/>
    </row>
    <row r="143" spans="1:42">
      <c r="A143" s="3"/>
      <c r="B143" s="4"/>
      <c r="C143" s="3"/>
      <c r="D143" s="4"/>
      <c r="E143" s="4"/>
      <c r="F143" s="3"/>
      <c r="G143" s="4"/>
      <c r="H143" s="4"/>
      <c r="I143" s="3"/>
      <c r="J143" s="4"/>
      <c r="K143" s="4"/>
      <c r="L143" s="3"/>
      <c r="M143" s="4"/>
      <c r="N143" s="4"/>
      <c r="O143" s="3"/>
      <c r="P143" s="4"/>
      <c r="Q143" s="4"/>
      <c r="R143" s="3"/>
      <c r="S143" s="9"/>
      <c r="T143" s="4"/>
      <c r="U143" s="100"/>
      <c r="V143" s="177">
        <v>9.8366999999999987</v>
      </c>
      <c r="W143" s="460" t="s">
        <v>1706</v>
      </c>
      <c r="X143" s="8"/>
      <c r="Y143" s="177">
        <v>6.6867039999999998</v>
      </c>
      <c r="Z143" s="460" t="s">
        <v>1708</v>
      </c>
      <c r="AA143" s="47"/>
      <c r="AB143" s="463">
        <v>7.8203952224999931</v>
      </c>
      <c r="AC143" s="177">
        <v>-2.5010161321202893</v>
      </c>
      <c r="AD143" s="460" t="s">
        <v>1466</v>
      </c>
      <c r="AE143" s="13"/>
      <c r="AF143" s="177">
        <v>-0.33842991520249183</v>
      </c>
      <c r="AG143" s="460" t="s">
        <v>1466</v>
      </c>
      <c r="AH143" s="84"/>
      <c r="AI143" s="177">
        <v>-3.2378839175119456</v>
      </c>
      <c r="AJ143" s="464">
        <v>0.28949999999999981</v>
      </c>
      <c r="AK143" s="460" t="s">
        <v>1468</v>
      </c>
      <c r="AL143" s="84"/>
      <c r="AM143" s="47"/>
      <c r="AN143" s="45"/>
      <c r="AO143" s="47"/>
      <c r="AP143" s="47"/>
    </row>
    <row r="144" spans="1:42">
      <c r="A144" s="3"/>
      <c r="B144" s="4"/>
      <c r="C144" s="3"/>
      <c r="D144" s="4"/>
      <c r="E144" s="4"/>
      <c r="F144" s="3"/>
      <c r="G144" s="4"/>
      <c r="H144" s="4"/>
      <c r="I144" s="3"/>
      <c r="J144" s="4"/>
      <c r="K144" s="4"/>
      <c r="L144" s="3"/>
      <c r="M144" s="4"/>
      <c r="N144" s="4"/>
      <c r="O144" s="3"/>
      <c r="P144" s="4"/>
      <c r="Q144" s="4"/>
      <c r="R144" s="3"/>
      <c r="S144" s="9"/>
      <c r="T144" s="4"/>
      <c r="U144" s="100"/>
      <c r="V144" s="177">
        <v>9.9700000000000006</v>
      </c>
      <c r="W144" s="460" t="s">
        <v>1465</v>
      </c>
      <c r="X144" s="8"/>
      <c r="Y144" s="177">
        <v>7.48</v>
      </c>
      <c r="Z144" s="460" t="s">
        <v>1465</v>
      </c>
      <c r="AA144" s="47"/>
      <c r="AB144" s="47"/>
      <c r="AC144" s="47"/>
      <c r="AD144" s="45"/>
      <c r="AE144" s="13"/>
      <c r="AF144" s="9"/>
      <c r="AG144" s="326"/>
      <c r="AH144" s="84"/>
      <c r="AI144" s="47"/>
      <c r="AJ144" s="47"/>
      <c r="AK144" s="45"/>
      <c r="AL144" s="84"/>
      <c r="AM144" s="47"/>
      <c r="AN144" s="45"/>
      <c r="AO144" s="47"/>
      <c r="AP144" s="47"/>
    </row>
    <row r="145" spans="1:42">
      <c r="A145" s="3"/>
      <c r="B145" s="4"/>
      <c r="C145" s="3"/>
      <c r="D145" s="4"/>
      <c r="E145" s="4"/>
      <c r="F145" s="3"/>
      <c r="G145" s="4"/>
      <c r="H145" s="4"/>
      <c r="I145" s="3"/>
      <c r="J145" s="4"/>
      <c r="K145" s="4"/>
      <c r="L145" s="3"/>
      <c r="M145" s="4"/>
      <c r="N145" s="4"/>
      <c r="O145" s="3"/>
      <c r="P145" s="4"/>
      <c r="Q145" s="4"/>
      <c r="R145" s="3"/>
      <c r="S145" s="4"/>
      <c r="T145" s="4"/>
      <c r="U145" s="84"/>
      <c r="V145" s="47"/>
      <c r="W145" s="45"/>
      <c r="X145" s="47"/>
      <c r="Y145" s="47"/>
      <c r="Z145" s="45"/>
      <c r="AA145" s="47"/>
      <c r="AB145" s="47"/>
      <c r="AC145" s="47"/>
      <c r="AD145" s="45"/>
      <c r="AE145" s="86"/>
      <c r="AF145" s="134"/>
      <c r="AG145" s="65"/>
      <c r="AH145" s="84"/>
      <c r="AI145" s="47"/>
      <c r="AJ145" s="47"/>
      <c r="AK145" s="45"/>
      <c r="AL145" s="84"/>
      <c r="AM145" s="47"/>
      <c r="AN145" s="45"/>
      <c r="AO145" s="47"/>
      <c r="AP145" s="47"/>
    </row>
    <row r="146" spans="1:42">
      <c r="A146" s="3" t="s">
        <v>44</v>
      </c>
      <c r="B146" s="4" t="s">
        <v>45</v>
      </c>
      <c r="C146" s="157">
        <v>99.132954643199994</v>
      </c>
      <c r="D146" s="30">
        <v>99.132954643199994</v>
      </c>
      <c r="E146" s="30" t="s">
        <v>1126</v>
      </c>
      <c r="F146" s="187">
        <v>14.877243356439891</v>
      </c>
      <c r="G146" s="318">
        <v>14.877243356439891</v>
      </c>
      <c r="H146" s="70" t="s">
        <v>1126</v>
      </c>
      <c r="I146" s="187"/>
      <c r="J146" s="318">
        <v>5.5075884925279723</v>
      </c>
      <c r="K146" s="70" t="s">
        <v>1126</v>
      </c>
      <c r="L146" s="191">
        <v>-93.625366150672022</v>
      </c>
      <c r="M146" s="276">
        <v>-93.625366150672022</v>
      </c>
      <c r="N146" s="13" t="s">
        <v>2792</v>
      </c>
      <c r="O146" s="187">
        <v>80.419296399999993</v>
      </c>
      <c r="P146" s="318">
        <v>80.419296399999993</v>
      </c>
      <c r="Q146" s="70" t="s">
        <v>2793</v>
      </c>
      <c r="R146" s="187">
        <v>-15.87223600000001</v>
      </c>
      <c r="S146" s="491">
        <v>-15.87223600000001</v>
      </c>
      <c r="T146" s="13" t="s">
        <v>2793</v>
      </c>
      <c r="U146" s="145">
        <v>10.345510793748833</v>
      </c>
      <c r="V146" s="15">
        <v>10.345510793748833</v>
      </c>
      <c r="W146" s="320" t="s">
        <v>2792</v>
      </c>
      <c r="X146" s="145">
        <v>5.9713399999999996</v>
      </c>
      <c r="Y146" s="15">
        <v>5.9713399999999996</v>
      </c>
      <c r="Z146" s="320" t="s">
        <v>2868</v>
      </c>
      <c r="AA146" s="145">
        <v>-4.714816937239835</v>
      </c>
      <c r="AB146" s="371">
        <v>4.7800000000000002E-2</v>
      </c>
      <c r="AC146" s="15">
        <v>-4.714816937239835</v>
      </c>
      <c r="AD146" s="320" t="s">
        <v>2869</v>
      </c>
      <c r="AE146" s="145">
        <v>-3.7427708300000009</v>
      </c>
      <c r="AF146" s="15">
        <v>-3.7427708300000009</v>
      </c>
      <c r="AG146" s="320" t="s">
        <v>2792</v>
      </c>
      <c r="AH146" s="145">
        <v>-3.2845912000000013</v>
      </c>
      <c r="AI146" s="15">
        <v>-3.2845912000000013</v>
      </c>
      <c r="AJ146" s="229">
        <v>0.27557296575958007</v>
      </c>
      <c r="AK146" s="320" t="e">
        <v>#N/A</v>
      </c>
      <c r="AL146" s="145">
        <v>2.3636247999999984</v>
      </c>
      <c r="AM146" s="15">
        <v>2.3636247999999984</v>
      </c>
      <c r="AN146" s="320" t="s">
        <v>2871</v>
      </c>
      <c r="AO146" s="47"/>
      <c r="AP146" s="47"/>
    </row>
    <row r="147" spans="1:42">
      <c r="A147" s="3"/>
      <c r="B147" s="171">
        <v>530.67399999999998</v>
      </c>
      <c r="C147" s="157">
        <v>23.028287964751428</v>
      </c>
      <c r="D147" s="206">
        <v>123.97192</v>
      </c>
      <c r="E147" s="206" t="s">
        <v>1125</v>
      </c>
      <c r="F147" s="157">
        <v>20.86949943554675</v>
      </c>
      <c r="G147" s="70"/>
      <c r="H147" s="70"/>
      <c r="I147" s="157"/>
      <c r="J147" s="70"/>
      <c r="K147" s="70"/>
      <c r="L147" s="191">
        <v>28.963194269442692</v>
      </c>
      <c r="M147" s="323">
        <v>-93.625366150672022</v>
      </c>
      <c r="N147" s="180" t="s">
        <v>1126</v>
      </c>
      <c r="O147" s="191">
        <v>15.076125076811598</v>
      </c>
      <c r="P147" s="323">
        <v>80.419296399999993</v>
      </c>
      <c r="Q147" s="180" t="s">
        <v>1407</v>
      </c>
      <c r="R147" s="191">
        <v>6.5109998915299929</v>
      </c>
      <c r="S147" s="323">
        <v>-15.87223600000001</v>
      </c>
      <c r="T147" s="180" t="s">
        <v>1407</v>
      </c>
      <c r="U147" s="145">
        <v>0.95745116018447018</v>
      </c>
      <c r="V147" s="177">
        <v>10.345510793748833</v>
      </c>
      <c r="W147" s="460" t="s">
        <v>1126</v>
      </c>
      <c r="X147" s="145">
        <v>1.1110752911199999</v>
      </c>
      <c r="Y147" s="177">
        <v>5.9713399999999996</v>
      </c>
      <c r="Z147" s="460" t="s">
        <v>1466</v>
      </c>
      <c r="AA147" s="145">
        <v>1.5615426547968962</v>
      </c>
      <c r="AB147" s="461">
        <v>1.9895773761700101E-2</v>
      </c>
      <c r="AC147" s="177">
        <v>-5.095483999999999</v>
      </c>
      <c r="AD147" s="222" t="s">
        <v>1709</v>
      </c>
      <c r="AE147" s="145">
        <v>1.0992555355418303</v>
      </c>
      <c r="AF147" s="177">
        <v>-3.7427708300000009</v>
      </c>
      <c r="AG147" s="365" t="s">
        <v>1126</v>
      </c>
      <c r="AH147" s="145">
        <v>0.85034347151184075</v>
      </c>
      <c r="AI147" s="177">
        <v>-2.1623806320089027</v>
      </c>
      <c r="AJ147" s="464">
        <v>17.055490029358985</v>
      </c>
      <c r="AK147" s="362" t="s">
        <v>1466</v>
      </c>
      <c r="AL147" s="145">
        <v>0.42718027372879974</v>
      </c>
      <c r="AM147" s="154">
        <v>2.3636247999999984</v>
      </c>
      <c r="AN147" s="460" t="s">
        <v>2610</v>
      </c>
      <c r="AO147" s="47"/>
      <c r="AP147" s="47"/>
    </row>
    <row r="148" spans="1:42">
      <c r="A148" s="3"/>
      <c r="B148" s="4" t="s">
        <v>20</v>
      </c>
      <c r="C148" s="3"/>
      <c r="D148" s="4"/>
      <c r="E148" s="4"/>
      <c r="F148" s="3"/>
      <c r="G148" s="4"/>
      <c r="H148" s="4"/>
      <c r="I148" s="3"/>
      <c r="J148" s="4"/>
      <c r="K148" s="4"/>
      <c r="L148" s="3"/>
      <c r="M148" s="323">
        <v>-98.67476520000001</v>
      </c>
      <c r="N148" s="180" t="s">
        <v>1408</v>
      </c>
      <c r="O148" s="3"/>
      <c r="P148" s="323">
        <v>84.255711286760103</v>
      </c>
      <c r="Q148" s="180" t="s">
        <v>1126</v>
      </c>
      <c r="R148" s="3"/>
      <c r="S148" s="323">
        <v>-9.3696548639119186</v>
      </c>
      <c r="T148" s="180" t="s">
        <v>1126</v>
      </c>
      <c r="U148" s="100"/>
      <c r="V148" s="177">
        <v>9.8198100000000004</v>
      </c>
      <c r="W148" s="460" t="s">
        <v>1466</v>
      </c>
      <c r="X148" s="100"/>
      <c r="Y148" s="177">
        <v>5.6934414200000001</v>
      </c>
      <c r="Z148" s="460" t="s">
        <v>1126</v>
      </c>
      <c r="AA148" s="100"/>
      <c r="AB148" s="462">
        <v>7.5366261668946069E-2</v>
      </c>
      <c r="AC148" s="177">
        <v>-4.51706786</v>
      </c>
      <c r="AD148" s="460" t="s">
        <v>1126</v>
      </c>
      <c r="AE148" s="100"/>
      <c r="AF148" s="177">
        <v>-5.103473782510445</v>
      </c>
      <c r="AG148" s="460" t="s">
        <v>1125</v>
      </c>
      <c r="AH148" s="100"/>
      <c r="AI148" s="177">
        <v>-2.6624559100000011</v>
      </c>
      <c r="AJ148" s="465">
        <v>1.1544414196208639</v>
      </c>
      <c r="AK148" s="460" t="s">
        <v>1126</v>
      </c>
      <c r="AL148" s="84"/>
      <c r="AM148" s="177">
        <v>4.5473502907940713</v>
      </c>
      <c r="AN148" s="460" t="s">
        <v>1126</v>
      </c>
      <c r="AO148" s="47"/>
      <c r="AP148" s="47"/>
    </row>
    <row r="149" spans="1:42">
      <c r="A149" s="3"/>
      <c r="B149" s="4"/>
      <c r="C149" s="3"/>
      <c r="D149" s="4"/>
      <c r="E149" s="4"/>
      <c r="F149" s="3"/>
      <c r="G149" s="4"/>
      <c r="H149" s="4"/>
      <c r="I149" s="3"/>
      <c r="J149" s="4"/>
      <c r="K149" s="4"/>
      <c r="L149" s="3"/>
      <c r="M149" s="4"/>
      <c r="N149" s="4"/>
      <c r="O149" s="3"/>
      <c r="P149" s="4"/>
      <c r="Q149" s="4"/>
      <c r="R149" s="3"/>
      <c r="S149" s="9"/>
      <c r="T149" s="4"/>
      <c r="U149" s="100"/>
      <c r="V149" s="177">
        <v>11.042090727630487</v>
      </c>
      <c r="W149" s="460" t="s">
        <v>1125</v>
      </c>
      <c r="X149" s="100"/>
      <c r="Y149" s="177">
        <v>6.47</v>
      </c>
      <c r="Z149" s="460" t="s">
        <v>1125</v>
      </c>
      <c r="AA149" s="100"/>
      <c r="AB149" s="225">
        <v>0.1799999999999998</v>
      </c>
      <c r="AC149" s="177">
        <v>-4.1389723287486477</v>
      </c>
      <c r="AD149" s="460" t="s">
        <v>1125</v>
      </c>
      <c r="AE149" s="100"/>
      <c r="AF149" s="177">
        <v>-4.2988040000000014</v>
      </c>
      <c r="AG149" s="460" t="s">
        <v>1710</v>
      </c>
      <c r="AH149" s="100"/>
      <c r="AI149" s="177">
        <v>-6.1100000000000012</v>
      </c>
      <c r="AJ149" s="466">
        <v>4.1193416236981272E-4</v>
      </c>
      <c r="AK149" s="460" t="s">
        <v>1125</v>
      </c>
      <c r="AL149" s="84"/>
      <c r="AM149" s="154">
        <v>2.7731511661480432</v>
      </c>
      <c r="AN149" s="460" t="s">
        <v>2611</v>
      </c>
      <c r="AO149" s="47"/>
      <c r="AP149" s="47"/>
    </row>
    <row r="150" spans="1:42">
      <c r="A150" s="3"/>
      <c r="B150" s="4"/>
      <c r="C150" s="3"/>
      <c r="D150" s="4"/>
      <c r="E150" s="4"/>
      <c r="F150" s="3"/>
      <c r="G150" s="4"/>
      <c r="H150" s="4"/>
      <c r="I150" s="3"/>
      <c r="J150" s="4"/>
      <c r="K150" s="4"/>
      <c r="L150" s="3"/>
      <c r="M150" s="4"/>
      <c r="N150" s="4"/>
      <c r="O150" s="3"/>
      <c r="P150" s="4"/>
      <c r="Q150" s="4"/>
      <c r="R150" s="3"/>
      <c r="S150" s="9"/>
      <c r="T150" s="4"/>
      <c r="U150" s="100"/>
      <c r="V150" s="177">
        <v>10.466199999999999</v>
      </c>
      <c r="W150" s="460" t="s">
        <v>1705</v>
      </c>
      <c r="X150" s="100"/>
      <c r="Y150" s="177">
        <v>5.5150680000000003</v>
      </c>
      <c r="Z150" s="460" t="s">
        <v>1707</v>
      </c>
      <c r="AA150" s="100"/>
      <c r="AB150" s="461">
        <v>4.7800000000000002E-2</v>
      </c>
      <c r="AC150" s="177">
        <v>-4.714816937239835</v>
      </c>
      <c r="AD150" s="460" t="s">
        <v>1465</v>
      </c>
      <c r="AE150" s="100"/>
      <c r="AF150" s="177">
        <v>-2.8013429130455774</v>
      </c>
      <c r="AG150" s="460" t="s">
        <v>1465</v>
      </c>
      <c r="AH150" s="100"/>
      <c r="AI150" s="177">
        <v>-0.82298821814620138</v>
      </c>
      <c r="AJ150" s="467">
        <v>79.769999999999982</v>
      </c>
      <c r="AK150" s="460" t="s">
        <v>1467</v>
      </c>
      <c r="AL150" s="84"/>
      <c r="AM150" s="47"/>
      <c r="AN150" s="45"/>
      <c r="AO150" s="47"/>
      <c r="AP150" s="47"/>
    </row>
    <row r="151" spans="1:42">
      <c r="A151" s="3"/>
      <c r="B151" s="4"/>
      <c r="C151" s="3"/>
      <c r="D151" s="4"/>
      <c r="E151" s="4"/>
      <c r="F151" s="3"/>
      <c r="G151" s="4"/>
      <c r="H151" s="4"/>
      <c r="I151" s="3"/>
      <c r="J151" s="4"/>
      <c r="K151" s="4"/>
      <c r="L151" s="3"/>
      <c r="M151" s="4"/>
      <c r="N151" s="4"/>
      <c r="O151" s="3"/>
      <c r="P151" s="4"/>
      <c r="Q151" s="4"/>
      <c r="R151" s="3"/>
      <c r="S151" s="9"/>
      <c r="T151" s="4"/>
      <c r="U151" s="100"/>
      <c r="V151" s="177">
        <v>10.8119</v>
      </c>
      <c r="W151" s="460" t="s">
        <v>1706</v>
      </c>
      <c r="X151" s="8"/>
      <c r="Y151" s="177">
        <v>5.6482159999999997</v>
      </c>
      <c r="Z151" s="460" t="s">
        <v>1708</v>
      </c>
      <c r="AA151" s="47"/>
      <c r="AB151" s="463">
        <v>1.1041587899999998</v>
      </c>
      <c r="AC151" s="177">
        <v>-3.3512132997143631</v>
      </c>
      <c r="AD151" s="460" t="s">
        <v>1466</v>
      </c>
      <c r="AE151" s="13"/>
      <c r="AF151" s="177">
        <v>-2.9982697534457823</v>
      </c>
      <c r="AG151" s="460" t="s">
        <v>1466</v>
      </c>
      <c r="AH151" s="84"/>
      <c r="AI151" s="177">
        <v>-2.481293708365369</v>
      </c>
      <c r="AJ151" s="464">
        <v>1.7519999999999991</v>
      </c>
      <c r="AK151" s="460" t="s">
        <v>1468</v>
      </c>
      <c r="AL151" s="84"/>
      <c r="AM151" s="47"/>
      <c r="AN151" s="45"/>
      <c r="AO151" s="47"/>
      <c r="AP151" s="47"/>
    </row>
    <row r="152" spans="1:42">
      <c r="A152" s="3"/>
      <c r="B152" s="4"/>
      <c r="C152" s="3"/>
      <c r="D152" s="4"/>
      <c r="E152" s="4"/>
      <c r="F152" s="3"/>
      <c r="G152" s="4"/>
      <c r="H152" s="4"/>
      <c r="I152" s="3"/>
      <c r="J152" s="4"/>
      <c r="K152" s="4"/>
      <c r="L152" s="3"/>
      <c r="M152" s="4"/>
      <c r="N152" s="4"/>
      <c r="O152" s="3"/>
      <c r="P152" s="4"/>
      <c r="Q152" s="4"/>
      <c r="R152" s="3"/>
      <c r="S152" s="9"/>
      <c r="T152" s="4"/>
      <c r="U152" s="100"/>
      <c r="V152" s="177">
        <v>11.055</v>
      </c>
      <c r="W152" s="460" t="s">
        <v>1465</v>
      </c>
      <c r="X152" s="8"/>
      <c r="Y152" s="177">
        <v>6.34</v>
      </c>
      <c r="Z152" s="460" t="s">
        <v>1465</v>
      </c>
      <c r="AA152" s="47"/>
      <c r="AB152" s="47"/>
      <c r="AC152" s="47"/>
      <c r="AD152" s="45"/>
      <c r="AE152" s="13"/>
      <c r="AF152" s="9"/>
      <c r="AG152" s="326"/>
      <c r="AH152" s="84"/>
      <c r="AI152" s="47"/>
      <c r="AJ152" s="47"/>
      <c r="AK152" s="45"/>
      <c r="AL152" s="84"/>
      <c r="AM152" s="47"/>
      <c r="AN152" s="45"/>
      <c r="AO152" s="47"/>
      <c r="AP152" s="47"/>
    </row>
    <row r="153" spans="1:42">
      <c r="A153" s="3"/>
      <c r="B153" s="4"/>
      <c r="C153" s="3"/>
      <c r="D153" s="4"/>
      <c r="E153" s="4"/>
      <c r="F153" s="3"/>
      <c r="G153" s="4"/>
      <c r="H153" s="4"/>
      <c r="I153" s="3"/>
      <c r="J153" s="4"/>
      <c r="K153" s="4"/>
      <c r="L153" s="3"/>
      <c r="M153" s="4"/>
      <c r="N153" s="4"/>
      <c r="O153" s="3"/>
      <c r="P153" s="4"/>
      <c r="Q153" s="4"/>
      <c r="R153" s="3"/>
      <c r="S153" s="4"/>
      <c r="T153" s="4"/>
      <c r="U153" s="84"/>
      <c r="V153" s="47"/>
      <c r="W153" s="45"/>
      <c r="X153" s="47"/>
      <c r="Y153" s="47"/>
      <c r="Z153" s="45"/>
      <c r="AA153" s="47"/>
      <c r="AB153" s="47"/>
      <c r="AC153" s="47"/>
      <c r="AD153" s="45"/>
      <c r="AE153" s="5"/>
      <c r="AF153" s="6"/>
      <c r="AG153" s="7"/>
      <c r="AH153" s="84"/>
      <c r="AI153" s="47"/>
      <c r="AJ153" s="47"/>
      <c r="AK153" s="45"/>
      <c r="AL153" s="84"/>
      <c r="AM153" s="47"/>
      <c r="AN153" s="45"/>
      <c r="AO153" s="47"/>
      <c r="AP153" s="47"/>
    </row>
    <row r="154" spans="1:42">
      <c r="A154" s="3" t="s">
        <v>46</v>
      </c>
      <c r="B154" s="4" t="s">
        <v>47</v>
      </c>
      <c r="C154" s="157">
        <v>128.00799647912001</v>
      </c>
      <c r="D154" s="30">
        <v>128.00799647912001</v>
      </c>
      <c r="E154" s="30" t="s">
        <v>1126</v>
      </c>
      <c r="F154" s="187">
        <v>11.864889399439761</v>
      </c>
      <c r="G154" s="318">
        <v>11.864889399439761</v>
      </c>
      <c r="H154" s="70" t="s">
        <v>1126</v>
      </c>
      <c r="I154" s="187"/>
      <c r="J154" s="318">
        <v>8.7574516529360409</v>
      </c>
      <c r="K154" s="70" t="s">
        <v>1126</v>
      </c>
      <c r="L154" s="191">
        <v>-119.25054482618397</v>
      </c>
      <c r="M154" s="276">
        <v>-119.25054482618397</v>
      </c>
      <c r="N154" s="13" t="s">
        <v>2792</v>
      </c>
      <c r="O154" s="187">
        <v>89.23246739999999</v>
      </c>
      <c r="P154" s="318">
        <v>89.23246739999999</v>
      </c>
      <c r="Q154" s="70" t="s">
        <v>2793</v>
      </c>
      <c r="R154" s="187">
        <v>-33.533035999999996</v>
      </c>
      <c r="S154" s="491">
        <v>-33.533035999999996</v>
      </c>
      <c r="T154" s="13" t="s">
        <v>2793</v>
      </c>
      <c r="U154" s="145">
        <v>13.707361624522813</v>
      </c>
      <c r="V154" s="15">
        <v>13.707361624522813</v>
      </c>
      <c r="W154" s="320" t="s">
        <v>2792</v>
      </c>
      <c r="X154" s="145">
        <v>6.1532799999999996</v>
      </c>
      <c r="Y154" s="15">
        <v>6.1532799999999996</v>
      </c>
      <c r="Z154" s="320" t="s">
        <v>2868</v>
      </c>
      <c r="AA154" s="145">
        <v>-4.1536955855693538</v>
      </c>
      <c r="AB154" s="371">
        <v>0.17400000000000013</v>
      </c>
      <c r="AC154" s="15">
        <v>-4.1536955855693538</v>
      </c>
      <c r="AD154" s="320" t="s">
        <v>2869</v>
      </c>
      <c r="AE154" s="145">
        <v>-7.3726715600000023</v>
      </c>
      <c r="AF154" s="15">
        <v>-7.3726715600000023</v>
      </c>
      <c r="AG154" s="320" t="s">
        <v>2792</v>
      </c>
      <c r="AH154" s="145">
        <v>-6.1977032000000012</v>
      </c>
      <c r="AI154" s="15">
        <v>-6.1977032000000012</v>
      </c>
      <c r="AJ154" s="229">
        <v>4.0703226748879342E-4</v>
      </c>
      <c r="AK154" s="320" t="e">
        <v>#N/A</v>
      </c>
      <c r="AL154" s="145">
        <v>3.0782728000000006</v>
      </c>
      <c r="AM154" s="15">
        <v>3.0782728000000006</v>
      </c>
      <c r="AN154" s="320" t="s">
        <v>2871</v>
      </c>
      <c r="AO154" s="47"/>
      <c r="AP154" s="47"/>
    </row>
    <row r="155" spans="1:42">
      <c r="A155" s="3"/>
      <c r="B155" s="171">
        <v>641.70000000000005</v>
      </c>
      <c r="C155" s="157">
        <v>29.735873558110143</v>
      </c>
      <c r="D155" s="206">
        <v>146.48184000000001</v>
      </c>
      <c r="E155" s="206" t="s">
        <v>1125</v>
      </c>
      <c r="F155" s="157">
        <v>16.643829551746109</v>
      </c>
      <c r="G155" s="70"/>
      <c r="H155" s="70"/>
      <c r="I155" s="157"/>
      <c r="J155" s="70"/>
      <c r="K155" s="70"/>
      <c r="L155" s="191">
        <v>36.890394543069668</v>
      </c>
      <c r="M155" s="323">
        <v>-119.25054482618397</v>
      </c>
      <c r="N155" s="180" t="s">
        <v>1126</v>
      </c>
      <c r="O155" s="191">
        <v>16.728321431010599</v>
      </c>
      <c r="P155" s="323">
        <v>89.23246739999999</v>
      </c>
      <c r="Q155" s="180" t="s">
        <v>1407</v>
      </c>
      <c r="R155" s="191">
        <v>13.755692251467984</v>
      </c>
      <c r="S155" s="323">
        <v>-33.533035999999996</v>
      </c>
      <c r="T155" s="180" t="s">
        <v>1407</v>
      </c>
      <c r="U155" s="145">
        <v>1.2685820499455251</v>
      </c>
      <c r="V155" s="177">
        <v>13.707361624522813</v>
      </c>
      <c r="W155" s="460" t="s">
        <v>1126</v>
      </c>
      <c r="X155" s="145">
        <v>1.14492850304</v>
      </c>
      <c r="Y155" s="177">
        <v>6.1532799999999996</v>
      </c>
      <c r="Z155" s="460" t="s">
        <v>1466</v>
      </c>
      <c r="AA155" s="145">
        <v>1.3756998242449845</v>
      </c>
      <c r="AB155" s="461">
        <v>0.47339191222641952</v>
      </c>
      <c r="AC155" s="177">
        <v>-3.7190239999999997</v>
      </c>
      <c r="AD155" s="222" t="s">
        <v>1709</v>
      </c>
      <c r="AE155" s="145">
        <v>2.1653610098435605</v>
      </c>
      <c r="AF155" s="177">
        <v>-7.3726715600000023</v>
      </c>
      <c r="AG155" s="365" t="s">
        <v>1126</v>
      </c>
      <c r="AH155" s="145">
        <v>1.6045151842603862</v>
      </c>
      <c r="AI155" s="177">
        <v>-10.723044437918334</v>
      </c>
      <c r="AJ155" s="464">
        <v>4.6902975600649779E-8</v>
      </c>
      <c r="AK155" s="362" t="s">
        <v>1466</v>
      </c>
      <c r="AL155" s="145">
        <v>0.55633932141680009</v>
      </c>
      <c r="AM155" s="154">
        <v>3.0782728000000006</v>
      </c>
      <c r="AN155" s="460" t="s">
        <v>2610</v>
      </c>
      <c r="AO155" s="47"/>
      <c r="AP155" s="47"/>
    </row>
    <row r="156" spans="1:42">
      <c r="A156" s="3"/>
      <c r="B156" s="4"/>
      <c r="C156" s="3"/>
      <c r="D156" s="4"/>
      <c r="E156" s="4"/>
      <c r="F156" s="3"/>
      <c r="G156" s="4"/>
      <c r="H156" s="4"/>
      <c r="I156" s="3"/>
      <c r="J156" s="4"/>
      <c r="K156" s="4"/>
      <c r="L156" s="3"/>
      <c r="M156" s="323">
        <v>-125.14992420000002</v>
      </c>
      <c r="N156" s="180" t="s">
        <v>1408</v>
      </c>
      <c r="O156" s="3"/>
      <c r="P156" s="323">
        <v>116.14310707968025</v>
      </c>
      <c r="Q156" s="180" t="s">
        <v>1126</v>
      </c>
      <c r="R156" s="3"/>
      <c r="S156" s="323">
        <v>-3.1074377465037202</v>
      </c>
      <c r="T156" s="180" t="s">
        <v>1126</v>
      </c>
      <c r="U156" s="100"/>
      <c r="V156" s="177">
        <v>11.6814</v>
      </c>
      <c r="W156" s="460" t="s">
        <v>1466</v>
      </c>
      <c r="X156" s="100"/>
      <c r="Y156" s="177">
        <v>4.8620472100000001</v>
      </c>
      <c r="Z156" s="460" t="s">
        <v>1126</v>
      </c>
      <c r="AA156" s="100"/>
      <c r="AB156" s="462">
        <v>3.7563690522650532E-6</v>
      </c>
      <c r="AC156" s="177">
        <v>-8.8194765799999999</v>
      </c>
      <c r="AD156" s="460" t="s">
        <v>1126</v>
      </c>
      <c r="AE156" s="100"/>
      <c r="AF156" s="177">
        <v>-7.1001794975729036</v>
      </c>
      <c r="AG156" s="460" t="s">
        <v>1125</v>
      </c>
      <c r="AH156" s="100"/>
      <c r="AI156" s="177">
        <v>-1.9899363200000006</v>
      </c>
      <c r="AJ156" s="465">
        <v>6.5674340346503284</v>
      </c>
      <c r="AK156" s="460" t="s">
        <v>1126</v>
      </c>
      <c r="AL156" s="84"/>
      <c r="AM156" s="177">
        <v>3.7217204601948017</v>
      </c>
      <c r="AN156" s="460" t="s">
        <v>1126</v>
      </c>
      <c r="AO156" s="47"/>
      <c r="AP156" s="47"/>
    </row>
    <row r="157" spans="1:42">
      <c r="A157" s="3"/>
      <c r="B157" s="4"/>
      <c r="C157" s="3"/>
      <c r="D157" s="4"/>
      <c r="E157" s="4"/>
      <c r="F157" s="3"/>
      <c r="G157" s="4"/>
      <c r="H157" s="4"/>
      <c r="I157" s="3"/>
      <c r="J157" s="4"/>
      <c r="K157" s="4"/>
      <c r="L157" s="3"/>
      <c r="M157" s="4"/>
      <c r="N157" s="4"/>
      <c r="O157" s="3"/>
      <c r="P157" s="4"/>
      <c r="Q157" s="4"/>
      <c r="R157" s="3"/>
      <c r="S157" s="9"/>
      <c r="T157" s="4"/>
      <c r="U157" s="100"/>
      <c r="V157" s="177">
        <v>13.3297351937775</v>
      </c>
      <c r="W157" s="460" t="s">
        <v>1125</v>
      </c>
      <c r="X157" s="100"/>
      <c r="Y157" s="177">
        <v>7.19</v>
      </c>
      <c r="Z157" s="460" t="s">
        <v>1125</v>
      </c>
      <c r="AA157" s="100"/>
      <c r="AB157" s="225">
        <v>1.5299999999999991E-2</v>
      </c>
      <c r="AC157" s="177">
        <v>-5.2095534030343549</v>
      </c>
      <c r="AD157" s="460" t="s">
        <v>1125</v>
      </c>
      <c r="AE157" s="100"/>
      <c r="AF157" s="177">
        <v>-6.6053440000000014</v>
      </c>
      <c r="AG157" s="460" t="s">
        <v>1710</v>
      </c>
      <c r="AH157" s="100"/>
      <c r="AI157" s="177">
        <v>-5.2799999999999994</v>
      </c>
      <c r="AJ157" s="466">
        <v>3.3676894724227928E-3</v>
      </c>
      <c r="AK157" s="460" t="s">
        <v>1125</v>
      </c>
      <c r="AL157" s="84"/>
      <c r="AM157" s="154">
        <v>3.0758711661480422</v>
      </c>
      <c r="AN157" s="460" t="s">
        <v>2611</v>
      </c>
      <c r="AO157" s="47"/>
      <c r="AP157" s="47"/>
    </row>
    <row r="158" spans="1:42">
      <c r="A158" s="3"/>
      <c r="B158" s="4"/>
      <c r="C158" s="3"/>
      <c r="D158" s="4"/>
      <c r="E158" s="4"/>
      <c r="F158" s="3"/>
      <c r="G158" s="4"/>
      <c r="H158" s="4"/>
      <c r="I158" s="3"/>
      <c r="J158" s="4"/>
      <c r="K158" s="4"/>
      <c r="L158" s="3"/>
      <c r="M158" s="4"/>
      <c r="N158" s="4"/>
      <c r="O158" s="3"/>
      <c r="P158" s="4"/>
      <c r="Q158" s="4"/>
      <c r="R158" s="3"/>
      <c r="S158" s="9"/>
      <c r="T158" s="4"/>
      <c r="U158" s="100"/>
      <c r="V158" s="177">
        <v>13.075459999999998</v>
      </c>
      <c r="W158" s="460" t="s">
        <v>1705</v>
      </c>
      <c r="X158" s="100"/>
      <c r="Y158" s="177">
        <v>8.7558480000000003</v>
      </c>
      <c r="Z158" s="460" t="s">
        <v>1707</v>
      </c>
      <c r="AA158" s="100"/>
      <c r="AB158" s="461">
        <v>0.17400000000000013</v>
      </c>
      <c r="AC158" s="177">
        <v>-4.1536955855693538</v>
      </c>
      <c r="AD158" s="460" t="s">
        <v>1465</v>
      </c>
      <c r="AE158" s="100"/>
      <c r="AF158" s="177">
        <v>-2.669586226650809</v>
      </c>
      <c r="AG158" s="460" t="s">
        <v>1465</v>
      </c>
      <c r="AH158" s="100"/>
      <c r="AI158" s="177">
        <v>-2.3198825544717341</v>
      </c>
      <c r="AJ158" s="467">
        <v>3.0721999999999965</v>
      </c>
      <c r="AK158" s="460" t="s">
        <v>1467</v>
      </c>
      <c r="AL158" s="84"/>
      <c r="AM158" s="47"/>
      <c r="AN158" s="45"/>
      <c r="AO158" s="47"/>
      <c r="AP158" s="47"/>
    </row>
    <row r="159" spans="1:42">
      <c r="A159" s="3"/>
      <c r="B159" s="4"/>
      <c r="C159" s="3"/>
      <c r="D159" s="4"/>
      <c r="E159" s="4"/>
      <c r="F159" s="3"/>
      <c r="G159" s="4"/>
      <c r="H159" s="4"/>
      <c r="I159" s="3"/>
      <c r="J159" s="4"/>
      <c r="K159" s="4"/>
      <c r="L159" s="3"/>
      <c r="M159" s="4"/>
      <c r="N159" s="4"/>
      <c r="O159" s="3"/>
      <c r="P159" s="4"/>
      <c r="Q159" s="4"/>
      <c r="R159" s="3"/>
      <c r="S159" s="9"/>
      <c r="T159" s="4"/>
      <c r="U159" s="100"/>
      <c r="V159" s="177">
        <v>13.078149999999999</v>
      </c>
      <c r="W159" s="460" t="s">
        <v>1706</v>
      </c>
      <c r="X159" s="8"/>
      <c r="Y159" s="177">
        <v>9.2759760000000018</v>
      </c>
      <c r="Z159" s="460" t="s">
        <v>1708</v>
      </c>
      <c r="AA159" s="47"/>
      <c r="AB159" s="463">
        <v>3.281065619999997</v>
      </c>
      <c r="AC159" s="177">
        <v>-2.8782299176631261</v>
      </c>
      <c r="AD159" s="460" t="s">
        <v>1466</v>
      </c>
      <c r="AE159" s="13"/>
      <c r="AF159" s="177">
        <v>-4.1371950212562139</v>
      </c>
      <c r="AG159" s="460" t="s">
        <v>1466</v>
      </c>
      <c r="AH159" s="84"/>
      <c r="AI159" s="177">
        <v>-4.4873935993108818</v>
      </c>
      <c r="AJ159" s="464">
        <v>2.0889999999999968E-2</v>
      </c>
      <c r="AK159" s="460" t="s">
        <v>1468</v>
      </c>
      <c r="AL159" s="84"/>
      <c r="AM159" s="47"/>
      <c r="AN159" s="45"/>
      <c r="AO159" s="47"/>
      <c r="AP159" s="47"/>
    </row>
    <row r="160" spans="1:42">
      <c r="A160" s="3"/>
      <c r="B160" s="4"/>
      <c r="C160" s="3"/>
      <c r="D160" s="4"/>
      <c r="E160" s="4"/>
      <c r="F160" s="3"/>
      <c r="G160" s="4"/>
      <c r="H160" s="4"/>
      <c r="I160" s="3"/>
      <c r="J160" s="4"/>
      <c r="K160" s="4"/>
      <c r="L160" s="3"/>
      <c r="M160" s="4"/>
      <c r="N160" s="4"/>
      <c r="O160" s="3"/>
      <c r="P160" s="4"/>
      <c r="Q160" s="4"/>
      <c r="R160" s="3"/>
      <c r="S160" s="9"/>
      <c r="T160" s="4"/>
      <c r="U160" s="100"/>
      <c r="V160" s="177">
        <v>10.465999999999999</v>
      </c>
      <c r="W160" s="460" t="s">
        <v>1465</v>
      </c>
      <c r="X160" s="8"/>
      <c r="Y160" s="177">
        <v>7.74</v>
      </c>
      <c r="Z160" s="460" t="s">
        <v>1465</v>
      </c>
      <c r="AA160" s="47"/>
      <c r="AB160" s="47"/>
      <c r="AC160" s="47"/>
      <c r="AD160" s="45"/>
      <c r="AE160" s="13"/>
      <c r="AF160" s="9"/>
      <c r="AG160" s="326"/>
      <c r="AH160" s="84"/>
      <c r="AI160" s="47"/>
      <c r="AJ160" s="47"/>
      <c r="AK160" s="45"/>
      <c r="AL160" s="84"/>
      <c r="AM160" s="47"/>
      <c r="AN160" s="45"/>
      <c r="AO160" s="47"/>
      <c r="AP160" s="47"/>
    </row>
    <row r="161" spans="1:42">
      <c r="A161" s="3"/>
      <c r="B161" s="4"/>
      <c r="C161" s="3"/>
      <c r="D161" s="4"/>
      <c r="E161" s="4"/>
      <c r="F161" s="3"/>
      <c r="G161" s="4"/>
      <c r="H161" s="4"/>
      <c r="I161" s="3"/>
      <c r="J161" s="4"/>
      <c r="K161" s="4"/>
      <c r="L161" s="3"/>
      <c r="M161" s="4"/>
      <c r="N161" s="4"/>
      <c r="O161" s="3"/>
      <c r="P161" s="4"/>
      <c r="Q161" s="4"/>
      <c r="R161" s="3"/>
      <c r="S161" s="4"/>
      <c r="T161" s="4"/>
      <c r="U161" s="84"/>
      <c r="V161" s="47"/>
      <c r="W161" s="45"/>
      <c r="X161" s="47"/>
      <c r="Y161" s="47"/>
      <c r="Z161" s="45"/>
      <c r="AA161" s="47"/>
      <c r="AB161" s="47"/>
      <c r="AC161" s="47"/>
      <c r="AD161" s="45"/>
      <c r="AE161" s="5"/>
      <c r="AF161" s="6"/>
      <c r="AG161" s="7"/>
      <c r="AL161" s="84"/>
      <c r="AM161" s="47"/>
      <c r="AN161" s="45"/>
      <c r="AO161" s="47"/>
      <c r="AP161" s="47"/>
    </row>
    <row r="162" spans="1:42">
      <c r="A162" s="3" t="s">
        <v>48</v>
      </c>
      <c r="B162" s="4" t="s">
        <v>49</v>
      </c>
      <c r="C162" s="157">
        <v>131.68177274152001</v>
      </c>
      <c r="D162" s="30">
        <v>131.68177274152001</v>
      </c>
      <c r="E162" s="30" t="s">
        <v>1126</v>
      </c>
      <c r="F162" s="187">
        <v>-0.38474256468006729</v>
      </c>
      <c r="G162" s="318">
        <v>-0.38474256468006729</v>
      </c>
      <c r="H162" s="70" t="s">
        <v>1126</v>
      </c>
      <c r="I162" s="187"/>
      <c r="J162" s="318">
        <v>3.6736975111514596</v>
      </c>
      <c r="K162" s="70" t="s">
        <v>1126</v>
      </c>
      <c r="L162" s="191">
        <v>-128.00807523036855</v>
      </c>
      <c r="M162" s="276">
        <v>-128.00807523036855</v>
      </c>
      <c r="N162" s="13" t="s">
        <v>2792</v>
      </c>
      <c r="O162" s="187">
        <v>115.48447279999999</v>
      </c>
      <c r="P162" s="318">
        <v>115.48447279999999</v>
      </c>
      <c r="Q162" s="70" t="s">
        <v>2793</v>
      </c>
      <c r="R162" s="187">
        <v>-31.295112</v>
      </c>
      <c r="S162" s="491">
        <v>-31.295112</v>
      </c>
      <c r="T162" s="13" t="s">
        <v>2793</v>
      </c>
      <c r="U162" s="145">
        <v>14.390340114716981</v>
      </c>
      <c r="V162" s="15">
        <v>14.390340114716981</v>
      </c>
      <c r="W162" s="320" t="s">
        <v>2792</v>
      </c>
      <c r="X162" s="145">
        <v>6.2161099999999996</v>
      </c>
      <c r="Y162" s="15">
        <v>6.2161099999999996</v>
      </c>
      <c r="Z162" s="320" t="s">
        <v>2868</v>
      </c>
      <c r="AA162" s="145">
        <v>-3.5168734879821799</v>
      </c>
      <c r="AB162" s="371">
        <v>0.75399999999999934</v>
      </c>
      <c r="AC162" s="15">
        <v>-3.5168734879821799</v>
      </c>
      <c r="AD162" s="320" t="s">
        <v>2869</v>
      </c>
      <c r="AE162" s="145">
        <v>-7.6330792300000008</v>
      </c>
      <c r="AF162" s="15">
        <v>-7.6330792300000008</v>
      </c>
      <c r="AG162" s="320" t="s">
        <v>2792</v>
      </c>
      <c r="AH162" s="145">
        <v>-8.4148834000000008</v>
      </c>
      <c r="AI162" s="15">
        <v>-8.4148834000000008</v>
      </c>
      <c r="AJ162" s="229">
        <v>2.5147284709734187E-6</v>
      </c>
      <c r="AK162" s="320" t="e">
        <v>#N/A</v>
      </c>
      <c r="AL162" s="145">
        <v>3.1009285999999978</v>
      </c>
      <c r="AM162" s="15">
        <v>3.1009285999999978</v>
      </c>
      <c r="AN162" s="320" t="s">
        <v>2871</v>
      </c>
      <c r="AO162" s="47"/>
      <c r="AP162" s="47"/>
    </row>
    <row r="163" spans="1:42">
      <c r="A163" s="3"/>
      <c r="B163" s="171">
        <v>653.69399999999996</v>
      </c>
      <c r="C163" s="157">
        <v>30.589280762536873</v>
      </c>
      <c r="D163" s="206">
        <v>163.76176000000001</v>
      </c>
      <c r="E163" s="206" t="s">
        <v>1125</v>
      </c>
      <c r="F163" s="157">
        <v>0.53970917488190473</v>
      </c>
      <c r="G163" s="70"/>
      <c r="H163" s="70"/>
      <c r="I163" s="157"/>
      <c r="J163" s="70"/>
      <c r="K163" s="70"/>
      <c r="L163" s="191">
        <v>39.599554088664974</v>
      </c>
      <c r="M163" s="323">
        <v>-128.00807523036855</v>
      </c>
      <c r="N163" s="180" t="s">
        <v>1126</v>
      </c>
      <c r="O163" s="191">
        <v>21.649758631343197</v>
      </c>
      <c r="P163" s="323">
        <v>115.48447279999999</v>
      </c>
      <c r="Q163" s="180" t="s">
        <v>1407</v>
      </c>
      <c r="R163" s="191">
        <v>12.8376664029831</v>
      </c>
      <c r="S163" s="323">
        <v>-31.295112</v>
      </c>
      <c r="T163" s="180" t="s">
        <v>1407</v>
      </c>
      <c r="U163" s="145">
        <v>1.3317900017667699</v>
      </c>
      <c r="V163" s="177">
        <v>14.390340114716981</v>
      </c>
      <c r="W163" s="460" t="s">
        <v>1126</v>
      </c>
      <c r="X163" s="145">
        <v>1.15661915548</v>
      </c>
      <c r="Y163" s="177">
        <v>6.2161099999999996</v>
      </c>
      <c r="Z163" s="460" t="s">
        <v>1466</v>
      </c>
      <c r="AA163" s="145">
        <v>1.16478498234621</v>
      </c>
      <c r="AB163" s="461">
        <v>3.4858350615757622E-2</v>
      </c>
      <c r="AC163" s="177">
        <v>-4.8519380000000005</v>
      </c>
      <c r="AD163" s="222" t="s">
        <v>1709</v>
      </c>
      <c r="AE163" s="145">
        <v>2.2418430029302301</v>
      </c>
      <c r="AF163" s="177">
        <v>-7.6330792300000008</v>
      </c>
      <c r="AG163" s="365" t="s">
        <v>1126</v>
      </c>
      <c r="AH163" s="145">
        <v>2.1785180337581611</v>
      </c>
      <c r="AI163" s="177">
        <v>-9.554987712112041</v>
      </c>
      <c r="AJ163" s="464">
        <v>6.906485776419987E-7</v>
      </c>
      <c r="AK163" s="362" t="s">
        <v>1466</v>
      </c>
      <c r="AL163" s="145">
        <v>0.56043392680659965</v>
      </c>
      <c r="AM163" s="154">
        <v>3.1009285999999978</v>
      </c>
      <c r="AN163" s="460" t="s">
        <v>2610</v>
      </c>
      <c r="AO163" s="47"/>
      <c r="AP163" s="47"/>
    </row>
    <row r="164" spans="1:42">
      <c r="A164" s="3"/>
      <c r="B164" s="4"/>
      <c r="C164" s="3"/>
      <c r="D164" s="4"/>
      <c r="E164" s="4"/>
      <c r="F164" s="3"/>
      <c r="G164" s="4"/>
      <c r="H164" s="4"/>
      <c r="I164" s="3"/>
      <c r="J164" s="4"/>
      <c r="K164" s="4"/>
      <c r="L164" s="3"/>
      <c r="M164" s="323">
        <v>-149.1634894</v>
      </c>
      <c r="N164" s="180" t="s">
        <v>1408</v>
      </c>
      <c r="O164" s="3"/>
      <c r="P164" s="323">
        <v>132.06651530620007</v>
      </c>
      <c r="Q164" s="180" t="s">
        <v>1126</v>
      </c>
      <c r="R164" s="3"/>
      <c r="S164" s="323">
        <v>4.0584400758315269</v>
      </c>
      <c r="T164" s="180" t="s">
        <v>1126</v>
      </c>
      <c r="U164" s="100"/>
      <c r="V164" s="177">
        <v>11.6775</v>
      </c>
      <c r="W164" s="460" t="s">
        <v>1466</v>
      </c>
      <c r="X164" s="100"/>
      <c r="Y164" s="177">
        <v>8.5235067799999999</v>
      </c>
      <c r="Z164" s="460" t="s">
        <v>1126</v>
      </c>
      <c r="AA164" s="100"/>
      <c r="AB164" s="462">
        <v>5.331189915176753E-3</v>
      </c>
      <c r="AC164" s="177">
        <v>-5.6674206799999993</v>
      </c>
      <c r="AD164" s="460" t="s">
        <v>1126</v>
      </c>
      <c r="AE164" s="100"/>
      <c r="AF164" s="177">
        <v>-8.7695510786217259</v>
      </c>
      <c r="AG164" s="460" t="s">
        <v>1125</v>
      </c>
      <c r="AH164" s="100"/>
      <c r="AI164" s="177">
        <v>-5.4024152600000006</v>
      </c>
      <c r="AJ164" s="465">
        <v>2.5879700066985057E-3</v>
      </c>
      <c r="AK164" s="460" t="s">
        <v>1126</v>
      </c>
      <c r="AL164" s="84"/>
      <c r="AM164" s="177">
        <v>2.467759145070072</v>
      </c>
      <c r="AN164" s="460" t="s">
        <v>1126</v>
      </c>
      <c r="AO164" s="47"/>
      <c r="AP164" s="47"/>
    </row>
    <row r="165" spans="1:42">
      <c r="A165" s="3"/>
      <c r="B165" s="4"/>
      <c r="C165" s="3"/>
      <c r="D165" s="4"/>
      <c r="E165" s="4"/>
      <c r="F165" s="3"/>
      <c r="G165" s="4"/>
      <c r="H165" s="4"/>
      <c r="I165" s="3"/>
      <c r="J165" s="4"/>
      <c r="K165" s="4"/>
      <c r="L165" s="3"/>
      <c r="M165" s="4"/>
      <c r="N165" s="4"/>
      <c r="O165" s="3"/>
      <c r="P165" s="4"/>
      <c r="Q165" s="4"/>
      <c r="R165" s="3"/>
      <c r="S165" s="9"/>
      <c r="T165" s="4"/>
      <c r="U165" s="100"/>
      <c r="V165" s="177">
        <v>15.433208970394899</v>
      </c>
      <c r="W165" s="460" t="s">
        <v>1125</v>
      </c>
      <c r="X165" s="100"/>
      <c r="Y165" s="177">
        <v>11.55</v>
      </c>
      <c r="Z165" s="460" t="s">
        <v>1125</v>
      </c>
      <c r="AA165" s="100"/>
      <c r="AB165" s="225">
        <v>2.7499999999999987</v>
      </c>
      <c r="AC165" s="177">
        <v>-2.9549121400216913</v>
      </c>
      <c r="AD165" s="460" t="s">
        <v>1125</v>
      </c>
      <c r="AE165" s="100"/>
      <c r="AF165" s="177">
        <v>-9.9859779999999994</v>
      </c>
      <c r="AG165" s="460" t="s">
        <v>1710</v>
      </c>
      <c r="AH165" s="100"/>
      <c r="AI165" s="177">
        <v>-9.2100000000000026</v>
      </c>
      <c r="AJ165" s="466">
        <v>4.0306445314683651E-7</v>
      </c>
      <c r="AK165" s="460" t="s">
        <v>1125</v>
      </c>
      <c r="AL165" s="84"/>
      <c r="AM165" s="154">
        <v>2.2192171661480469</v>
      </c>
      <c r="AN165" s="460" t="s">
        <v>2611</v>
      </c>
      <c r="AO165" s="47"/>
      <c r="AP165" s="47"/>
    </row>
    <row r="166" spans="1:42">
      <c r="A166" s="3"/>
      <c r="B166" s="4"/>
      <c r="C166" s="3"/>
      <c r="D166" s="4"/>
      <c r="E166" s="4"/>
      <c r="F166" s="3"/>
      <c r="G166" s="4"/>
      <c r="H166" s="4"/>
      <c r="I166" s="3"/>
      <c r="J166" s="4"/>
      <c r="K166" s="4"/>
      <c r="L166" s="3"/>
      <c r="M166" s="4"/>
      <c r="N166" s="4"/>
      <c r="O166" s="3"/>
      <c r="P166" s="4"/>
      <c r="Q166" s="4"/>
      <c r="R166" s="3"/>
      <c r="S166" s="9"/>
      <c r="T166" s="4"/>
      <c r="U166" s="100"/>
      <c r="V166" s="177">
        <v>15.59944</v>
      </c>
      <c r="W166" s="460" t="s">
        <v>1705</v>
      </c>
      <c r="X166" s="100"/>
      <c r="Y166" s="177">
        <v>10.908726</v>
      </c>
      <c r="Z166" s="460" t="s">
        <v>1707</v>
      </c>
      <c r="AA166" s="100"/>
      <c r="AB166" s="461">
        <v>0.75399999999999934</v>
      </c>
      <c r="AC166" s="177">
        <v>-3.5168734879821799</v>
      </c>
      <c r="AD166" s="460" t="s">
        <v>1465</v>
      </c>
      <c r="AE166" s="100"/>
      <c r="AF166" s="177">
        <v>-5.1040252676409352</v>
      </c>
      <c r="AG166" s="460" t="s">
        <v>1465</v>
      </c>
      <c r="AH166" s="100"/>
      <c r="AI166" s="177">
        <v>-5.9997967504417886</v>
      </c>
      <c r="AJ166" s="467">
        <v>6.5399999999999877E-4</v>
      </c>
      <c r="AK166" s="460" t="s">
        <v>1467</v>
      </c>
      <c r="AL166" s="84"/>
      <c r="AM166" s="47"/>
      <c r="AN166" s="45"/>
      <c r="AO166" s="47"/>
      <c r="AP166" s="47"/>
    </row>
    <row r="167" spans="1:42">
      <c r="A167" s="3"/>
      <c r="B167" s="4"/>
      <c r="C167" s="3"/>
      <c r="D167" s="4"/>
      <c r="E167" s="4"/>
      <c r="F167" s="3"/>
      <c r="G167" s="4"/>
      <c r="H167" s="4"/>
      <c r="I167" s="3"/>
      <c r="J167" s="4"/>
      <c r="K167" s="4"/>
      <c r="L167" s="3"/>
      <c r="M167" s="4"/>
      <c r="N167" s="4"/>
      <c r="O167" s="3"/>
      <c r="P167" s="4"/>
      <c r="Q167" s="4"/>
      <c r="R167" s="3"/>
      <c r="S167" s="9"/>
      <c r="T167" s="4"/>
      <c r="U167" s="100"/>
      <c r="V167" s="177">
        <v>15.745949999999999</v>
      </c>
      <c r="W167" s="460" t="s">
        <v>1706</v>
      </c>
      <c r="X167" s="8"/>
      <c r="Y167" s="177">
        <v>11.515811999999999</v>
      </c>
      <c r="Z167" s="460" t="s">
        <v>1708</v>
      </c>
      <c r="AA167" s="47"/>
      <c r="AB167" s="463">
        <v>3.6001785749999997</v>
      </c>
      <c r="AC167" s="177">
        <v>-2.8379207908030928</v>
      </c>
      <c r="AD167" s="460" t="s">
        <v>1466</v>
      </c>
      <c r="AE167" s="13"/>
      <c r="AF167" s="177">
        <v>-6.9609100423544188</v>
      </c>
      <c r="AG167" s="460" t="s">
        <v>1466</v>
      </c>
      <c r="AH167" s="84"/>
      <c r="AI167" s="177">
        <v>-7.5874877941523824</v>
      </c>
      <c r="AJ167" s="464">
        <v>1.6899999999999977E-5</v>
      </c>
      <c r="AK167" s="460" t="s">
        <v>1468</v>
      </c>
      <c r="AL167" s="84"/>
      <c r="AM167" s="47"/>
      <c r="AN167" s="45"/>
      <c r="AO167" s="47"/>
      <c r="AP167" s="47"/>
    </row>
    <row r="168" spans="1:42">
      <c r="A168" s="3"/>
      <c r="B168" s="4"/>
      <c r="C168" s="3"/>
      <c r="D168" s="4"/>
      <c r="E168" s="4"/>
      <c r="F168" s="3"/>
      <c r="G168" s="4"/>
      <c r="H168" s="4"/>
      <c r="I168" s="3"/>
      <c r="J168" s="4"/>
      <c r="K168" s="4"/>
      <c r="L168" s="3"/>
      <c r="M168" s="4"/>
      <c r="N168" s="4"/>
      <c r="O168" s="3"/>
      <c r="P168" s="4"/>
      <c r="Q168" s="4"/>
      <c r="R168" s="3"/>
      <c r="S168" s="9"/>
      <c r="T168" s="4"/>
      <c r="U168" s="100"/>
      <c r="V168" s="177">
        <v>14.787000000000001</v>
      </c>
      <c r="W168" s="460" t="s">
        <v>1465</v>
      </c>
      <c r="X168" s="8"/>
      <c r="Y168" s="177">
        <v>11.27</v>
      </c>
      <c r="Z168" s="460" t="s">
        <v>1465</v>
      </c>
      <c r="AA168" s="47"/>
      <c r="AB168" s="47"/>
      <c r="AC168" s="47"/>
      <c r="AD168" s="45"/>
      <c r="AE168" s="13"/>
      <c r="AF168" s="9"/>
      <c r="AG168" s="326"/>
      <c r="AH168" s="84"/>
      <c r="AI168" s="47"/>
      <c r="AJ168" s="47"/>
      <c r="AK168" s="45"/>
      <c r="AL168" s="84"/>
      <c r="AM168" s="47"/>
      <c r="AN168" s="45"/>
      <c r="AO168" s="47"/>
      <c r="AP168" s="47"/>
    </row>
    <row r="169" spans="1:42">
      <c r="A169" s="3"/>
      <c r="B169" s="4"/>
      <c r="C169" s="3"/>
      <c r="D169" s="4"/>
      <c r="E169" s="4"/>
      <c r="F169" s="3"/>
      <c r="G169" s="4"/>
      <c r="H169" s="4"/>
      <c r="I169" s="3"/>
      <c r="J169" s="4"/>
      <c r="K169" s="4"/>
      <c r="L169" s="3"/>
      <c r="M169" s="4"/>
      <c r="N169" s="4"/>
      <c r="O169" s="3"/>
      <c r="P169" s="4"/>
      <c r="Q169" s="4"/>
      <c r="R169" s="3"/>
      <c r="S169" s="4"/>
      <c r="T169" s="4"/>
      <c r="U169" s="100"/>
      <c r="V169" s="15"/>
      <c r="W169" s="320"/>
      <c r="X169" s="47"/>
      <c r="Y169" s="47"/>
      <c r="Z169" s="45"/>
      <c r="AA169" s="47"/>
      <c r="AB169" s="47"/>
      <c r="AC169" s="47"/>
      <c r="AD169" s="45"/>
      <c r="AE169" s="5"/>
      <c r="AF169" s="6"/>
      <c r="AG169" s="7"/>
      <c r="AJ169" s="47"/>
      <c r="AK169" s="45"/>
      <c r="AL169" s="84"/>
      <c r="AM169" s="47"/>
      <c r="AN169" s="45"/>
      <c r="AO169" s="47"/>
      <c r="AP169" s="47"/>
    </row>
    <row r="170" spans="1:42">
      <c r="A170" s="3" t="s">
        <v>50</v>
      </c>
      <c r="B170" s="4" t="s">
        <v>51</v>
      </c>
      <c r="C170" s="157">
        <v>120.4407216964</v>
      </c>
      <c r="D170" s="30">
        <v>120.4407216964</v>
      </c>
      <c r="E170" s="30" t="s">
        <v>1126</v>
      </c>
      <c r="F170" s="187">
        <v>11.186780235120139</v>
      </c>
      <c r="G170" s="318">
        <v>11.186780235120139</v>
      </c>
      <c r="H170" s="70" t="s">
        <v>1126</v>
      </c>
      <c r="I170" s="187"/>
      <c r="J170" s="318">
        <v>7.199385365416191</v>
      </c>
      <c r="K170" s="70" t="s">
        <v>1126</v>
      </c>
      <c r="L170" s="191">
        <v>-113.24133633098381</v>
      </c>
      <c r="M170" s="276">
        <v>-113.24133633098381</v>
      </c>
      <c r="N170" s="13" t="s">
        <v>2792</v>
      </c>
      <c r="O170" s="187">
        <v>115.48447279999999</v>
      </c>
      <c r="P170" s="318">
        <v>115.48447279999999</v>
      </c>
      <c r="Q170" s="70" t="s">
        <v>2793</v>
      </c>
      <c r="R170" s="187">
        <v>-31.295112</v>
      </c>
      <c r="S170" s="491">
        <v>-31.295112</v>
      </c>
      <c r="T170" s="13" t="s">
        <v>2793</v>
      </c>
      <c r="U170" s="145">
        <v>12.908807698145912</v>
      </c>
      <c r="V170" s="15">
        <v>12.908807698145912</v>
      </c>
      <c r="W170" s="320" t="s">
        <v>2792</v>
      </c>
      <c r="X170" s="145">
        <v>6.2161099999999996</v>
      </c>
      <c r="Y170" s="15">
        <v>6.2161099999999996</v>
      </c>
      <c r="Z170" s="320" t="s">
        <v>2868</v>
      </c>
      <c r="AA170" s="145">
        <v>-3.5168734879821799</v>
      </c>
      <c r="AB170" s="371">
        <v>0.75399999999999934</v>
      </c>
      <c r="AC170" s="15">
        <v>-3.5168734879821799</v>
      </c>
      <c r="AD170" s="320" t="s">
        <v>2869</v>
      </c>
      <c r="AE170" s="145">
        <v>-6.4367054699999997</v>
      </c>
      <c r="AF170" s="15">
        <v>-6.4367054699999997</v>
      </c>
      <c r="AG170" s="320" t="s">
        <v>2792</v>
      </c>
      <c r="AH170" s="145">
        <v>-8.4148834000000008</v>
      </c>
      <c r="AI170" s="15">
        <v>-8.4148834000000008</v>
      </c>
      <c r="AJ170" s="229">
        <v>2.5147284709734187E-6</v>
      </c>
      <c r="AK170" s="320" t="e">
        <v>#N/A</v>
      </c>
      <c r="AL170" s="145">
        <v>3.1009285999999978</v>
      </c>
      <c r="AM170" s="15">
        <v>3.1009285999999978</v>
      </c>
      <c r="AN170" s="320" t="s">
        <v>2871</v>
      </c>
      <c r="AO170" s="47"/>
      <c r="AP170" s="47"/>
    </row>
    <row r="171" spans="1:42">
      <c r="A171" s="3"/>
      <c r="B171" s="171">
        <v>653.69399999999996</v>
      </c>
      <c r="C171" s="157">
        <v>27.978018327908632</v>
      </c>
      <c r="D171" s="206">
        <v>163.76176000000001</v>
      </c>
      <c r="E171" s="206" t="s">
        <v>1125</v>
      </c>
      <c r="F171" s="157">
        <v>15.692591578221828</v>
      </c>
      <c r="G171" s="70"/>
      <c r="H171" s="70"/>
      <c r="I171" s="157"/>
      <c r="J171" s="70"/>
      <c r="K171" s="70"/>
      <c r="L171" s="191">
        <v>35.031433876662504</v>
      </c>
      <c r="M171" s="323">
        <v>-113.24133633098381</v>
      </c>
      <c r="N171" s="180" t="s">
        <v>1126</v>
      </c>
      <c r="O171" s="191">
        <v>21.649758631343197</v>
      </c>
      <c r="P171" s="323">
        <v>115.48447279999999</v>
      </c>
      <c r="Q171" s="180" t="s">
        <v>1407</v>
      </c>
      <c r="R171" s="191">
        <v>12.8376664029831</v>
      </c>
      <c r="S171" s="323">
        <v>-31.295112</v>
      </c>
      <c r="T171" s="180" t="s">
        <v>1407</v>
      </c>
      <c r="U171" s="145">
        <v>1.1946778804441589</v>
      </c>
      <c r="V171" s="177">
        <v>12.908807698145912</v>
      </c>
      <c r="W171" s="460" t="s">
        <v>1126</v>
      </c>
      <c r="X171" s="145">
        <v>1.15661915548</v>
      </c>
      <c r="Y171" s="177">
        <v>6.2161099999999996</v>
      </c>
      <c r="Z171" s="460" t="s">
        <v>1466</v>
      </c>
      <c r="AA171" s="145">
        <v>1.16478498234621</v>
      </c>
      <c r="AB171" s="461">
        <v>3.4858350615757622E-2</v>
      </c>
      <c r="AC171" s="177">
        <v>-4.8519380000000005</v>
      </c>
      <c r="AD171" s="222" t="s">
        <v>1709</v>
      </c>
      <c r="AE171" s="145">
        <v>1.8904668332444698</v>
      </c>
      <c r="AF171" s="177">
        <v>-6.4367054699999997</v>
      </c>
      <c r="AG171" s="365" t="s">
        <v>1126</v>
      </c>
      <c r="AH171" s="145">
        <v>2.1785180337581611</v>
      </c>
      <c r="AI171" s="177">
        <v>-9.554987712112041</v>
      </c>
      <c r="AJ171" s="464">
        <v>6.906485776419987E-7</v>
      </c>
      <c r="AK171" s="362" t="s">
        <v>1466</v>
      </c>
      <c r="AL171" s="145">
        <v>0.56043392680659965</v>
      </c>
      <c r="AM171" s="154">
        <v>3.1009285999999978</v>
      </c>
      <c r="AN171" s="460" t="s">
        <v>2610</v>
      </c>
      <c r="AO171" s="47"/>
      <c r="AP171" s="47"/>
    </row>
    <row r="172" spans="1:42">
      <c r="A172" s="3"/>
      <c r="B172" s="171"/>
      <c r="C172" s="157"/>
      <c r="D172" s="206"/>
      <c r="E172" s="206"/>
      <c r="F172" s="157"/>
      <c r="G172" s="70"/>
      <c r="H172" s="70"/>
      <c r="I172" s="157"/>
      <c r="J172" s="70"/>
      <c r="K172" s="70"/>
      <c r="L172" s="191"/>
      <c r="M172" s="323">
        <v>-149.1634894</v>
      </c>
      <c r="N172" s="180" t="s">
        <v>1408</v>
      </c>
      <c r="O172" s="191"/>
      <c r="P172" s="323">
        <v>109.25394146127987</v>
      </c>
      <c r="Q172" s="180" t="s">
        <v>1126</v>
      </c>
      <c r="R172" s="3"/>
      <c r="S172" s="323">
        <v>-3.9873948697039481</v>
      </c>
      <c r="T172" s="180" t="s">
        <v>1126</v>
      </c>
      <c r="U172" s="100"/>
      <c r="V172" s="177">
        <v>11.6775</v>
      </c>
      <c r="W172" s="460" t="s">
        <v>1466</v>
      </c>
      <c r="X172" s="100"/>
      <c r="Y172" s="177">
        <v>5.2382365399999999</v>
      </c>
      <c r="Z172" s="460" t="s">
        <v>1126</v>
      </c>
      <c r="AA172" s="100"/>
      <c r="AB172" s="462">
        <v>6.1277822437214905E-5</v>
      </c>
      <c r="AC172" s="177">
        <v>-7.6069415100000004</v>
      </c>
      <c r="AD172" s="460" t="s">
        <v>1126</v>
      </c>
      <c r="AE172" s="100"/>
      <c r="AF172" s="177">
        <v>-8.7695510786217259</v>
      </c>
      <c r="AG172" s="460" t="s">
        <v>1125</v>
      </c>
      <c r="AH172" s="100"/>
      <c r="AI172" s="177">
        <v>-2.2665121200000002</v>
      </c>
      <c r="AJ172" s="465">
        <v>3.5388518254857591</v>
      </c>
      <c r="AK172" s="460" t="s">
        <v>1126</v>
      </c>
      <c r="AL172" s="84"/>
      <c r="AM172" s="177" t="s">
        <v>2705</v>
      </c>
      <c r="AN172" s="460" t="s">
        <v>1126</v>
      </c>
      <c r="AO172" s="47"/>
      <c r="AP172" s="47"/>
    </row>
    <row r="173" spans="1:42">
      <c r="A173" s="3"/>
      <c r="B173" s="171"/>
      <c r="C173" s="157"/>
      <c r="D173" s="206"/>
      <c r="E173" s="206"/>
      <c r="F173" s="157"/>
      <c r="G173" s="70"/>
      <c r="H173" s="70"/>
      <c r="I173" s="157"/>
      <c r="J173" s="70"/>
      <c r="K173" s="70"/>
      <c r="L173" s="191"/>
      <c r="M173" s="323"/>
      <c r="N173" s="180"/>
      <c r="O173" s="191"/>
      <c r="P173" s="318"/>
      <c r="Q173" s="70"/>
      <c r="R173" s="3"/>
      <c r="S173" s="9"/>
      <c r="T173" s="4"/>
      <c r="U173" s="100"/>
      <c r="V173" s="177">
        <v>15.428596880322626</v>
      </c>
      <c r="W173" s="460" t="s">
        <v>1125</v>
      </c>
      <c r="X173" s="100"/>
      <c r="Y173" s="177">
        <v>11.55</v>
      </c>
      <c r="Z173" s="460" t="s">
        <v>1125</v>
      </c>
      <c r="AA173" s="100"/>
      <c r="AB173" s="225">
        <v>2.7499999999999987</v>
      </c>
      <c r="AC173" s="177">
        <v>-2.9549121400216913</v>
      </c>
      <c r="AD173" s="460" t="s">
        <v>1125</v>
      </c>
      <c r="AE173" s="100"/>
      <c r="AF173" s="177">
        <v>-9.9859779999999994</v>
      </c>
      <c r="AG173" s="460" t="s">
        <v>1710</v>
      </c>
      <c r="AH173" s="100"/>
      <c r="AI173" s="177">
        <v>-9.2100000000000026</v>
      </c>
      <c r="AJ173" s="466">
        <v>4.0306445314683651E-7</v>
      </c>
      <c r="AK173" s="460" t="s">
        <v>1125</v>
      </c>
      <c r="AL173" s="84"/>
      <c r="AM173" s="154">
        <v>2.2192171661480469</v>
      </c>
      <c r="AN173" s="460" t="s">
        <v>2611</v>
      </c>
      <c r="AO173" s="47"/>
      <c r="AP173" s="47"/>
    </row>
    <row r="174" spans="1:42">
      <c r="A174" s="3"/>
      <c r="B174" s="171"/>
      <c r="C174" s="157"/>
      <c r="D174" s="206"/>
      <c r="E174" s="206"/>
      <c r="F174" s="157"/>
      <c r="G174" s="70"/>
      <c r="H174" s="70"/>
      <c r="I174" s="157"/>
      <c r="J174" s="70"/>
      <c r="K174" s="70"/>
      <c r="L174" s="191"/>
      <c r="M174" s="323"/>
      <c r="N174" s="180"/>
      <c r="O174" s="191"/>
      <c r="P174" s="318"/>
      <c r="Q174" s="70"/>
      <c r="R174" s="3"/>
      <c r="S174" s="9"/>
      <c r="T174" s="4"/>
      <c r="U174" s="100"/>
      <c r="V174" s="177">
        <v>15.59944</v>
      </c>
      <c r="W174" s="460" t="s">
        <v>1705</v>
      </c>
      <c r="X174" s="100"/>
      <c r="Y174" s="177">
        <v>10.908726</v>
      </c>
      <c r="Z174" s="460" t="s">
        <v>1707</v>
      </c>
      <c r="AA174" s="100"/>
      <c r="AB174" s="461">
        <v>0.75399999999999934</v>
      </c>
      <c r="AC174" s="177">
        <v>-3.5168734879821799</v>
      </c>
      <c r="AD174" s="460" t="s">
        <v>1465</v>
      </c>
      <c r="AE174" s="100"/>
      <c r="AF174" s="177">
        <v>-5.1040252676409352</v>
      </c>
      <c r="AG174" s="460" t="s">
        <v>1465</v>
      </c>
      <c r="AH174" s="100"/>
      <c r="AI174" s="177">
        <v>-5.9997967504417886</v>
      </c>
      <c r="AJ174" s="467">
        <v>6.5399999999999877E-4</v>
      </c>
      <c r="AK174" s="460" t="s">
        <v>1467</v>
      </c>
      <c r="AL174" s="84"/>
      <c r="AM174" s="47"/>
      <c r="AN174" s="45"/>
      <c r="AO174" s="47"/>
      <c r="AP174" s="47"/>
    </row>
    <row r="175" spans="1:42">
      <c r="A175" s="3"/>
      <c r="B175" s="171"/>
      <c r="C175" s="157"/>
      <c r="D175" s="206"/>
      <c r="E175" s="206"/>
      <c r="F175" s="157"/>
      <c r="G175" s="70"/>
      <c r="H175" s="70"/>
      <c r="I175" s="157"/>
      <c r="J175" s="70"/>
      <c r="K175" s="70"/>
      <c r="L175" s="191"/>
      <c r="M175" s="323"/>
      <c r="N175" s="180"/>
      <c r="O175" s="191"/>
      <c r="P175" s="318"/>
      <c r="Q175" s="70"/>
      <c r="R175" s="3"/>
      <c r="S175" s="9"/>
      <c r="T175" s="4"/>
      <c r="U175" s="100"/>
      <c r="V175" s="177">
        <v>15.745949999999999</v>
      </c>
      <c r="W175" s="460" t="s">
        <v>1706</v>
      </c>
      <c r="X175" s="8"/>
      <c r="Y175" s="177">
        <v>11.515811999999999</v>
      </c>
      <c r="Z175" s="460" t="s">
        <v>1708</v>
      </c>
      <c r="AA175" s="47"/>
      <c r="AB175" s="463">
        <v>3.6001785749999997</v>
      </c>
      <c r="AC175" s="177">
        <v>-2.8379207908030928</v>
      </c>
      <c r="AD175" s="460" t="s">
        <v>1466</v>
      </c>
      <c r="AE175" s="13"/>
      <c r="AF175" s="177">
        <v>-6.9609100423544188</v>
      </c>
      <c r="AG175" s="460" t="s">
        <v>1466</v>
      </c>
      <c r="AH175" s="84"/>
      <c r="AI175" s="177">
        <v>-7.5874877941523824</v>
      </c>
      <c r="AJ175" s="464">
        <v>1.6899999999999977E-5</v>
      </c>
      <c r="AK175" s="460" t="s">
        <v>1468</v>
      </c>
      <c r="AL175" s="84"/>
      <c r="AM175" s="47"/>
      <c r="AN175" s="45"/>
      <c r="AO175" s="47"/>
      <c r="AP175" s="47"/>
    </row>
    <row r="176" spans="1:42">
      <c r="A176" s="3"/>
      <c r="B176" s="171"/>
      <c r="C176" s="157"/>
      <c r="D176" s="206"/>
      <c r="E176" s="206"/>
      <c r="F176" s="157"/>
      <c r="G176" s="70"/>
      <c r="H176" s="70"/>
      <c r="I176" s="157"/>
      <c r="J176" s="70"/>
      <c r="K176" s="70"/>
      <c r="L176" s="191"/>
      <c r="M176" s="323"/>
      <c r="N176" s="180"/>
      <c r="O176" s="191"/>
      <c r="P176" s="318"/>
      <c r="Q176" s="70"/>
      <c r="R176" s="3"/>
      <c r="S176" s="9"/>
      <c r="T176" s="4"/>
      <c r="U176" s="100"/>
      <c r="V176" s="177">
        <v>14.787000000000001</v>
      </c>
      <c r="W176" s="460" t="s">
        <v>1465</v>
      </c>
      <c r="X176" s="8"/>
      <c r="Y176" s="177">
        <v>11.27</v>
      </c>
      <c r="Z176" s="460" t="s">
        <v>1465</v>
      </c>
      <c r="AA176" s="47"/>
      <c r="AB176" s="47"/>
      <c r="AC176" s="47"/>
      <c r="AD176" s="45"/>
      <c r="AE176" s="13"/>
      <c r="AF176" s="9"/>
      <c r="AG176" s="326"/>
      <c r="AH176" s="84"/>
      <c r="AI176" s="47"/>
      <c r="AJ176" s="47"/>
      <c r="AK176" s="45"/>
      <c r="AL176" s="84"/>
      <c r="AM176" s="47"/>
      <c r="AN176" s="45"/>
      <c r="AO176" s="47"/>
      <c r="AP176" s="47"/>
    </row>
    <row r="177" spans="1:42">
      <c r="A177" s="504" t="s">
        <v>52</v>
      </c>
      <c r="B177" s="504"/>
      <c r="C177" s="504"/>
      <c r="D177" s="504"/>
      <c r="E177" s="504"/>
      <c r="F177" s="504"/>
      <c r="G177" s="504"/>
      <c r="H177" s="504"/>
      <c r="I177" s="504"/>
      <c r="J177" s="504"/>
      <c r="K177" s="504"/>
      <c r="L177" s="504"/>
      <c r="M177" s="504"/>
      <c r="N177" s="504"/>
      <c r="O177" s="504"/>
      <c r="P177" s="504"/>
      <c r="Q177" s="504"/>
      <c r="R177" s="504"/>
      <c r="S177" s="504"/>
      <c r="T177" s="504"/>
      <c r="U177" s="504"/>
      <c r="V177" s="504"/>
      <c r="W177" s="504"/>
      <c r="X177" s="504"/>
      <c r="Y177" s="504"/>
      <c r="Z177" s="504"/>
      <c r="AA177" s="504"/>
      <c r="AB177" s="504"/>
      <c r="AC177" s="504"/>
      <c r="AD177" s="504"/>
      <c r="AE177" s="504"/>
      <c r="AF177" s="504"/>
      <c r="AG177" s="504"/>
      <c r="AH177" s="504"/>
      <c r="AI177" s="504"/>
      <c r="AJ177" s="504"/>
      <c r="AK177" s="504"/>
      <c r="AL177" s="504"/>
      <c r="AM177" s="504"/>
      <c r="AN177" s="504"/>
      <c r="AO177" s="25"/>
      <c r="AP177" s="25"/>
    </row>
    <row r="178" spans="1:42">
      <c r="A178" s="3" t="s">
        <v>53</v>
      </c>
      <c r="B178" s="4" t="s">
        <v>54</v>
      </c>
      <c r="C178" s="157">
        <v>87.515482757919997</v>
      </c>
      <c r="D178" s="30">
        <v>87.515482757919997</v>
      </c>
      <c r="E178" s="30" t="s">
        <v>1126</v>
      </c>
      <c r="F178" s="187">
        <v>17.908759623407946</v>
      </c>
      <c r="G178" s="318">
        <v>17.908759623407946</v>
      </c>
      <c r="H178" s="70" t="s">
        <v>1126</v>
      </c>
      <c r="I178" s="187"/>
      <c r="J178" s="318">
        <v>3.5062168153039153</v>
      </c>
      <c r="K178" s="70" t="s">
        <v>1126</v>
      </c>
      <c r="L178" s="191">
        <v>-84.009265942616082</v>
      </c>
      <c r="M178" s="276">
        <v>-84.009265942616082</v>
      </c>
      <c r="N178" s="13" t="s">
        <v>2792</v>
      </c>
      <c r="O178" s="187">
        <v>60.731431800000003</v>
      </c>
      <c r="P178" s="318">
        <v>60.731431800000003</v>
      </c>
      <c r="Q178" s="70" t="s">
        <v>2793</v>
      </c>
      <c r="R178" s="187">
        <v>-24.578272000000002</v>
      </c>
      <c r="S178" s="491">
        <v>-24.578272000000002</v>
      </c>
      <c r="T178" s="13" t="s">
        <v>2793</v>
      </c>
      <c r="U178" s="145">
        <v>9.20741944443294</v>
      </c>
      <c r="V178" s="15">
        <v>9.20741944443294</v>
      </c>
      <c r="W178" s="320" t="s">
        <v>2792</v>
      </c>
      <c r="X178" s="145">
        <v>6.5480663400000001</v>
      </c>
      <c r="Y178" s="15">
        <v>6.5480663400000001</v>
      </c>
      <c r="Z178" s="320" t="s">
        <v>2792</v>
      </c>
      <c r="AA178" s="145">
        <v>-2.9609236550416753</v>
      </c>
      <c r="AB178" s="371">
        <v>2.7121966724999997</v>
      </c>
      <c r="AC178" s="15">
        <v>-2.9609236550416753</v>
      </c>
      <c r="AD178" s="320" t="s">
        <v>2868</v>
      </c>
      <c r="AE178" s="145">
        <v>-2.4262503000000009</v>
      </c>
      <c r="AF178" s="15">
        <v>-2.4262503000000009</v>
      </c>
      <c r="AG178" s="320" t="s">
        <v>2792</v>
      </c>
      <c r="AH178" s="145">
        <v>-3.3937806700000004</v>
      </c>
      <c r="AI178" s="15">
        <v>-3.3937806700000004</v>
      </c>
      <c r="AJ178" s="229">
        <v>0.12843134537238507</v>
      </c>
      <c r="AK178" s="320" t="s">
        <v>2792</v>
      </c>
      <c r="AL178" s="145">
        <v>3.215146599999998</v>
      </c>
      <c r="AM178" s="15">
        <v>3.215146599999998</v>
      </c>
      <c r="AN178" s="320" t="s">
        <v>2871</v>
      </c>
      <c r="AO178" s="6"/>
      <c r="AP178" s="6"/>
    </row>
    <row r="179" spans="1:42">
      <c r="A179" s="3"/>
      <c r="B179" s="171">
        <v>318.01799999999997</v>
      </c>
      <c r="C179" s="157">
        <v>11.911644842697733</v>
      </c>
      <c r="D179" s="206">
        <v>111.46176000000001</v>
      </c>
      <c r="E179" s="206" t="s">
        <v>1125</v>
      </c>
      <c r="F179" s="157">
        <v>11.36430786794711</v>
      </c>
      <c r="G179" s="70"/>
      <c r="H179" s="70"/>
      <c r="I179" s="157"/>
      <c r="J179" s="70"/>
      <c r="K179" s="70"/>
      <c r="L179" s="191">
        <v>12.683886990548062</v>
      </c>
      <c r="M179" s="323">
        <v>-84.009265942616082</v>
      </c>
      <c r="N179" s="180" t="s">
        <v>1126</v>
      </c>
      <c r="O179" s="191">
        <v>13.120357794640201</v>
      </c>
      <c r="P179" s="323">
        <v>60.731431800000003</v>
      </c>
      <c r="Q179" s="180" t="s">
        <v>1407</v>
      </c>
      <c r="R179" s="191">
        <v>10.082330323591117</v>
      </c>
      <c r="S179" s="323">
        <v>-24.578272000000002</v>
      </c>
      <c r="T179" s="180" t="s">
        <v>1407</v>
      </c>
      <c r="U179" s="145">
        <v>0.32039978182737749</v>
      </c>
      <c r="V179" s="177">
        <v>9.20741944443294</v>
      </c>
      <c r="W179" s="460" t="s">
        <v>1126</v>
      </c>
      <c r="X179" s="145">
        <v>0.82753807598286</v>
      </c>
      <c r="Y179" s="177">
        <v>6.4581600000000003</v>
      </c>
      <c r="Z179" s="460" t="s">
        <v>1466</v>
      </c>
      <c r="AA179" s="145">
        <v>0.37419857060051187</v>
      </c>
      <c r="AB179" s="461">
        <v>15.619489440799596</v>
      </c>
      <c r="AC179" s="177">
        <v>-2.2005780000000006</v>
      </c>
      <c r="AD179" s="222" t="s">
        <v>1709</v>
      </c>
      <c r="AE179" s="145">
        <v>0.24936757958370007</v>
      </c>
      <c r="AF179" s="177">
        <v>-2.4262503000000009</v>
      </c>
      <c r="AG179" s="365" t="s">
        <v>1126</v>
      </c>
      <c r="AH179" s="145">
        <v>0.53823325157798008</v>
      </c>
      <c r="AI179" s="177">
        <v>-3.799883061391244</v>
      </c>
      <c r="AJ179" s="464">
        <v>0.39297214956119986</v>
      </c>
      <c r="AK179" s="362" t="s">
        <v>1466</v>
      </c>
      <c r="AL179" s="145">
        <v>0.58107666016459969</v>
      </c>
      <c r="AM179" s="154">
        <v>3.215146599999998</v>
      </c>
      <c r="AN179" s="460" t="s">
        <v>2610</v>
      </c>
      <c r="AO179" s="6"/>
      <c r="AP179" s="6"/>
    </row>
    <row r="180" spans="1:42">
      <c r="A180" s="3"/>
      <c r="B180" s="4" t="s">
        <v>20</v>
      </c>
      <c r="C180" s="87"/>
      <c r="D180" s="26"/>
      <c r="E180" s="30"/>
      <c r="F180" s="3"/>
      <c r="G180" s="4"/>
      <c r="H180" s="4"/>
      <c r="I180" s="3"/>
      <c r="J180" s="4"/>
      <c r="K180" s="4"/>
      <c r="L180" s="3"/>
      <c r="M180" s="323">
        <v>-87.694996399999994</v>
      </c>
      <c r="N180" s="180" t="s">
        <v>1408</v>
      </c>
      <c r="O180" s="3"/>
      <c r="P180" s="323">
        <v>69.606723134512052</v>
      </c>
      <c r="Q180" s="180" t="s">
        <v>1126</v>
      </c>
      <c r="R180" s="3"/>
      <c r="S180" s="323">
        <v>-14.40254280810403</v>
      </c>
      <c r="T180" s="180" t="s">
        <v>1126</v>
      </c>
      <c r="U180" s="100"/>
      <c r="V180" s="177">
        <v>9.1777200000000008</v>
      </c>
      <c r="W180" s="460" t="s">
        <v>1466</v>
      </c>
      <c r="X180" s="100"/>
      <c r="Y180" s="177">
        <v>6.5480663400000001</v>
      </c>
      <c r="Z180" s="460" t="s">
        <v>1126</v>
      </c>
      <c r="AA180" s="100"/>
      <c r="AB180" s="462">
        <v>8.4143265769677189</v>
      </c>
      <c r="AC180" s="177">
        <v>-2.4692254699999996</v>
      </c>
      <c r="AD180" s="460" t="s">
        <v>1126</v>
      </c>
      <c r="AE180" s="100"/>
      <c r="AF180" s="177">
        <v>-3.9244530386074694</v>
      </c>
      <c r="AG180" s="460" t="s">
        <v>1125</v>
      </c>
      <c r="AH180" s="100"/>
      <c r="AI180" s="177">
        <v>-3.3937806700000004</v>
      </c>
      <c r="AJ180" s="465">
        <v>0.12843134537238507</v>
      </c>
      <c r="AK180" s="460" t="s">
        <v>1126</v>
      </c>
      <c r="AL180" s="84"/>
      <c r="AM180" s="177">
        <v>4.350932242156639</v>
      </c>
      <c r="AN180" s="460" t="s">
        <v>1126</v>
      </c>
      <c r="AO180" s="47"/>
      <c r="AP180" s="47"/>
    </row>
    <row r="181" spans="1:42">
      <c r="A181" s="3"/>
      <c r="B181" s="4"/>
      <c r="C181" s="87"/>
      <c r="D181" s="113"/>
      <c r="E181" s="30"/>
      <c r="F181" s="3"/>
      <c r="G181" s="4"/>
      <c r="H181" s="4"/>
      <c r="I181" s="3"/>
      <c r="J181" s="4"/>
      <c r="K181" s="4"/>
      <c r="L181" s="115"/>
      <c r="N181" s="70"/>
      <c r="O181" s="87"/>
      <c r="P181" s="4"/>
      <c r="Q181" s="4"/>
      <c r="R181" s="3"/>
      <c r="S181" s="9"/>
      <c r="T181" s="4"/>
      <c r="U181" s="100"/>
      <c r="V181" s="177">
        <v>10.057459762359601</v>
      </c>
      <c r="W181" s="460" t="s">
        <v>1125</v>
      </c>
      <c r="X181" s="100"/>
      <c r="Y181" s="177">
        <v>6.89</v>
      </c>
      <c r="Z181" s="460" t="s">
        <v>1125</v>
      </c>
      <c r="AA181" s="100"/>
      <c r="AB181" s="225">
        <v>4.4599999999999964</v>
      </c>
      <c r="AC181" s="177">
        <v>-2.7449099751398123</v>
      </c>
      <c r="AD181" s="460" t="s">
        <v>1125</v>
      </c>
      <c r="AE181" s="100"/>
      <c r="AF181" s="177">
        <v>-3.2352180000000006</v>
      </c>
      <c r="AG181" s="460" t="s">
        <v>1710</v>
      </c>
      <c r="AH181" s="100"/>
      <c r="AI181" s="177">
        <v>-4.5700000000000012</v>
      </c>
      <c r="AJ181" s="466">
        <v>8.5595651527522604E-3</v>
      </c>
      <c r="AK181" s="460" t="s">
        <v>1125</v>
      </c>
      <c r="AL181" s="84"/>
      <c r="AM181" s="154">
        <v>2.5751771661480429</v>
      </c>
      <c r="AN181" s="460" t="s">
        <v>2611</v>
      </c>
      <c r="AO181" s="47"/>
      <c r="AP181" s="47"/>
    </row>
    <row r="182" spans="1:42">
      <c r="A182" s="3"/>
      <c r="B182" s="4"/>
      <c r="C182" s="87"/>
      <c r="D182" s="113"/>
      <c r="E182" s="70"/>
      <c r="F182" s="3"/>
      <c r="G182" s="4"/>
      <c r="H182" s="4"/>
      <c r="I182" s="3"/>
      <c r="J182" s="4"/>
      <c r="K182" s="4"/>
      <c r="L182" s="115"/>
      <c r="N182" s="70"/>
      <c r="O182" s="87"/>
      <c r="P182" s="4"/>
      <c r="Q182" s="4"/>
      <c r="R182" s="3"/>
      <c r="S182" s="9"/>
      <c r="T182" s="4"/>
      <c r="U182" s="100"/>
      <c r="V182" s="177">
        <v>9.2046399999999977</v>
      </c>
      <c r="W182" s="460" t="s">
        <v>1705</v>
      </c>
      <c r="X182" s="100"/>
      <c r="Y182" s="177">
        <v>6.9368059999999998</v>
      </c>
      <c r="Z182" s="460" t="s">
        <v>1707</v>
      </c>
      <c r="AA182" s="100"/>
      <c r="AB182" s="461">
        <v>3.5599999999999965</v>
      </c>
      <c r="AC182" s="177">
        <v>-2.8427948358790789</v>
      </c>
      <c r="AD182" s="460" t="s">
        <v>1465</v>
      </c>
      <c r="AE182" s="100"/>
      <c r="AF182" s="177">
        <v>-1.4202164033831899</v>
      </c>
      <c r="AG182" s="460" t="s">
        <v>1465</v>
      </c>
      <c r="AH182" s="100"/>
      <c r="AI182" s="177">
        <v>-0.90039171066728241</v>
      </c>
      <c r="AJ182" s="467">
        <v>39.999999999999986</v>
      </c>
      <c r="AK182" s="460" t="s">
        <v>1467</v>
      </c>
      <c r="AL182" s="84"/>
      <c r="AM182" s="47"/>
      <c r="AN182" s="45"/>
      <c r="AO182" s="47"/>
      <c r="AP182" s="47"/>
    </row>
    <row r="183" spans="1:42">
      <c r="A183" s="3"/>
      <c r="B183" s="4"/>
      <c r="C183" s="87"/>
      <c r="D183" s="113"/>
      <c r="E183" s="30"/>
      <c r="F183" s="3"/>
      <c r="G183" s="4"/>
      <c r="H183" s="4"/>
      <c r="I183" s="3"/>
      <c r="J183" s="4"/>
      <c r="K183" s="4"/>
      <c r="L183" s="115"/>
      <c r="M183" s="4"/>
      <c r="N183" s="70"/>
      <c r="O183" s="87"/>
      <c r="P183" s="4"/>
      <c r="Q183" s="4"/>
      <c r="R183" s="3"/>
      <c r="S183" s="9"/>
      <c r="T183" s="4"/>
      <c r="U183" s="100"/>
      <c r="V183" s="177">
        <v>9.1344000000000012</v>
      </c>
      <c r="W183" s="460" t="s">
        <v>1706</v>
      </c>
      <c r="X183" s="8"/>
      <c r="Y183" s="177">
        <v>7.4211719999999977</v>
      </c>
      <c r="Z183" s="460" t="s">
        <v>1708</v>
      </c>
      <c r="AA183" s="47"/>
      <c r="AB183" s="463">
        <v>2.7121966724999997</v>
      </c>
      <c r="AC183" s="177">
        <v>-2.9609236550416753</v>
      </c>
      <c r="AD183" s="460" t="s">
        <v>1466</v>
      </c>
      <c r="AE183" s="13"/>
      <c r="AF183" s="177">
        <v>-3.2563494985323538</v>
      </c>
      <c r="AG183" s="460" t="s">
        <v>1466</v>
      </c>
      <c r="AH183" s="84"/>
      <c r="AI183" s="177">
        <v>-1.0787144520129155</v>
      </c>
      <c r="AJ183" s="464">
        <v>26.529999999999994</v>
      </c>
      <c r="AK183" s="460" t="s">
        <v>1468</v>
      </c>
      <c r="AL183" s="84"/>
      <c r="AM183" s="47"/>
      <c r="AN183" s="45"/>
      <c r="AO183" s="47"/>
      <c r="AP183" s="47"/>
    </row>
    <row r="184" spans="1:42">
      <c r="A184" s="3"/>
      <c r="B184" s="4"/>
      <c r="C184" s="87"/>
      <c r="D184" s="113"/>
      <c r="E184" s="30"/>
      <c r="F184" s="3"/>
      <c r="G184" s="4"/>
      <c r="H184" s="4"/>
      <c r="I184" s="3"/>
      <c r="J184" s="4"/>
      <c r="K184" s="4"/>
      <c r="L184" s="115"/>
      <c r="M184" s="4"/>
      <c r="N184" s="70"/>
      <c r="O184" s="87"/>
      <c r="P184" s="4"/>
      <c r="Q184" s="4"/>
      <c r="R184" s="3"/>
      <c r="S184" s="9"/>
      <c r="T184" s="4"/>
      <c r="U184" s="8"/>
      <c r="V184" s="177">
        <v>9.2789999999999999</v>
      </c>
      <c r="W184" s="460" t="s">
        <v>1465</v>
      </c>
      <c r="X184" s="8"/>
      <c r="Y184" s="177">
        <v>6</v>
      </c>
      <c r="Z184" s="460" t="s">
        <v>1465</v>
      </c>
      <c r="AA184" s="47"/>
      <c r="AB184" s="47"/>
      <c r="AC184" s="47"/>
      <c r="AD184" s="45"/>
      <c r="AE184" s="13"/>
      <c r="AF184" s="9"/>
      <c r="AG184" s="326"/>
      <c r="AH184" s="47"/>
      <c r="AI184" s="47"/>
      <c r="AJ184" s="47"/>
      <c r="AK184" s="45"/>
      <c r="AL184" s="84"/>
      <c r="AM184" s="47"/>
      <c r="AN184" s="45"/>
      <c r="AO184" s="47"/>
      <c r="AP184" s="47"/>
    </row>
    <row r="185" spans="1:42">
      <c r="A185" s="3"/>
      <c r="B185" s="4"/>
      <c r="C185" s="87"/>
      <c r="F185" s="3"/>
      <c r="G185" s="4"/>
      <c r="H185" s="4"/>
      <c r="I185" s="3"/>
      <c r="J185" s="4"/>
      <c r="K185" s="4"/>
      <c r="L185" s="115"/>
      <c r="M185" s="4"/>
      <c r="N185" s="70"/>
      <c r="O185" s="87"/>
      <c r="P185" s="4"/>
      <c r="Q185" s="4"/>
      <c r="R185" s="3"/>
      <c r="S185" s="4"/>
      <c r="T185" s="122"/>
      <c r="V185" s="9"/>
      <c r="W185" s="45"/>
      <c r="Y185" s="6"/>
      <c r="Z185" s="7"/>
      <c r="AD185" s="42"/>
      <c r="AF185" s="55"/>
      <c r="AG185" s="275"/>
      <c r="AI185" s="17"/>
      <c r="AJ185" s="123"/>
      <c r="AK185" s="7"/>
      <c r="AL185" s="84"/>
      <c r="AM185" s="47"/>
      <c r="AN185" s="45"/>
      <c r="AO185" s="47"/>
      <c r="AP185" s="47"/>
    </row>
    <row r="186" spans="1:42">
      <c r="A186" s="3" t="s">
        <v>56</v>
      </c>
      <c r="B186" s="4" t="s">
        <v>57</v>
      </c>
      <c r="C186" s="157">
        <v>90.198166572799991</v>
      </c>
      <c r="D186" s="30">
        <v>90.198166572799991</v>
      </c>
      <c r="E186" s="30" t="s">
        <v>1126</v>
      </c>
      <c r="F186" s="187">
        <v>14.709405526904064</v>
      </c>
      <c r="G186" s="318">
        <v>14.709405526904064</v>
      </c>
      <c r="H186" s="70" t="s">
        <v>1126</v>
      </c>
      <c r="I186" s="187"/>
      <c r="J186" s="318">
        <v>2.6992563962081988</v>
      </c>
      <c r="K186" s="70" t="s">
        <v>1126</v>
      </c>
      <c r="L186" s="191">
        <v>-87.498910176591792</v>
      </c>
      <c r="M186" s="276">
        <v>-87.498910176591792</v>
      </c>
      <c r="N186" s="13" t="s">
        <v>2792</v>
      </c>
      <c r="O186" s="187">
        <v>67.198563799999988</v>
      </c>
      <c r="P186" s="318">
        <v>67.198563799999988</v>
      </c>
      <c r="Q186" s="70" t="s">
        <v>2793</v>
      </c>
      <c r="R186" s="187">
        <v>-23.654891999999993</v>
      </c>
      <c r="S186" s="491">
        <v>-23.654891999999993</v>
      </c>
      <c r="T186" s="13" t="s">
        <v>2793</v>
      </c>
      <c r="U186" s="145">
        <v>9.6411024898761202</v>
      </c>
      <c r="V186" s="15">
        <v>9.6411024898761202</v>
      </c>
      <c r="W186" s="320" t="s">
        <v>2792</v>
      </c>
      <c r="X186" s="145">
        <v>5.8891639800000002</v>
      </c>
      <c r="Y186" s="15">
        <v>5.8891639800000002</v>
      </c>
      <c r="Z186" s="320" t="s">
        <v>2792</v>
      </c>
      <c r="AA186" s="145">
        <v>-3.1838277580227832</v>
      </c>
      <c r="AB186" s="371">
        <v>1.6233683549999989</v>
      </c>
      <c r="AC186" s="15">
        <v>-3.1838277580227832</v>
      </c>
      <c r="AD186" s="320" t="s">
        <v>2868</v>
      </c>
      <c r="AE186" s="145">
        <v>-2.7702042300000005</v>
      </c>
      <c r="AF186" s="15">
        <v>-2.7702042300000005</v>
      </c>
      <c r="AG186" s="320" t="s">
        <v>2792</v>
      </c>
      <c r="AH186" s="145">
        <v>-2.5700043199999998</v>
      </c>
      <c r="AI186" s="15">
        <v>-2.5700043199999998</v>
      </c>
      <c r="AJ186" s="229">
        <v>0.86137408116497827</v>
      </c>
      <c r="AK186" s="320" t="s">
        <v>2792</v>
      </c>
      <c r="AL186" s="145">
        <v>3.2420019999999985</v>
      </c>
      <c r="AM186" s="15">
        <v>3.2420019999999985</v>
      </c>
      <c r="AN186" s="320" t="s">
        <v>2871</v>
      </c>
      <c r="AO186" s="47"/>
      <c r="AP186" s="47"/>
    </row>
    <row r="187" spans="1:42">
      <c r="A187" s="3"/>
      <c r="B187" s="171">
        <v>320.03399999999999</v>
      </c>
      <c r="C187" s="157">
        <v>12.276782254057235</v>
      </c>
      <c r="D187" s="206">
        <v>111.83832000000001</v>
      </c>
      <c r="E187" s="206" t="s">
        <v>1125</v>
      </c>
      <c r="F187" s="157">
        <v>9.3341033369909301</v>
      </c>
      <c r="G187" s="70"/>
      <c r="H187" s="70"/>
      <c r="I187" s="157"/>
      <c r="J187" s="70"/>
      <c r="K187" s="70"/>
      <c r="L187" s="191">
        <v>13.210760456282182</v>
      </c>
      <c r="M187" s="323">
        <v>-87.498910176591792</v>
      </c>
      <c r="N187" s="180" t="s">
        <v>1126</v>
      </c>
      <c r="O187" s="191">
        <v>14.517510524788198</v>
      </c>
      <c r="P187" s="323">
        <v>67.198563799999988</v>
      </c>
      <c r="Q187" s="180" t="s">
        <v>1407</v>
      </c>
      <c r="R187" s="191">
        <v>9.7035477072136249</v>
      </c>
      <c r="S187" s="323">
        <v>-23.654891999999993</v>
      </c>
      <c r="T187" s="180" t="s">
        <v>1407</v>
      </c>
      <c r="U187" s="145">
        <v>0.33549108444270925</v>
      </c>
      <c r="V187" s="177">
        <v>9.6411024898761202</v>
      </c>
      <c r="W187" s="460" t="s">
        <v>1126</v>
      </c>
      <c r="X187" s="145">
        <v>0.74426665462842001</v>
      </c>
      <c r="Y187" s="177">
        <v>6.7361199999999997</v>
      </c>
      <c r="Z187" s="460" t="s">
        <v>1466</v>
      </c>
      <c r="AA187" s="145">
        <v>0.40236896823116131</v>
      </c>
      <c r="AB187" s="461">
        <v>1.0883706804967661</v>
      </c>
      <c r="AC187" s="177">
        <v>-3.3574679999999995</v>
      </c>
      <c r="AD187" s="222" t="s">
        <v>1709</v>
      </c>
      <c r="AE187" s="145">
        <v>0.28471882055517006</v>
      </c>
      <c r="AF187" s="177">
        <v>-2.7702042300000005</v>
      </c>
      <c r="AG187" s="365" t="s">
        <v>1126</v>
      </c>
      <c r="AH187" s="145">
        <v>0.40758726512608001</v>
      </c>
      <c r="AI187" s="177">
        <v>-3.614728065219821</v>
      </c>
      <c r="AJ187" s="464">
        <v>0.60188950212829928</v>
      </c>
      <c r="AK187" s="362" t="s">
        <v>1466</v>
      </c>
      <c r="AL187" s="145">
        <v>0.58593026346199972</v>
      </c>
      <c r="AM187" s="154">
        <v>3.2420019999999985</v>
      </c>
      <c r="AN187" s="460" t="s">
        <v>2610</v>
      </c>
      <c r="AO187" s="47"/>
      <c r="AP187" s="47"/>
    </row>
    <row r="188" spans="1:42">
      <c r="A188" s="3"/>
      <c r="B188" s="171"/>
      <c r="C188" s="87"/>
      <c r="D188" s="26"/>
      <c r="E188" s="70"/>
      <c r="F188" s="83"/>
      <c r="G188" s="70"/>
      <c r="H188" s="70"/>
      <c r="I188" s="83"/>
      <c r="J188" s="70"/>
      <c r="K188" s="70"/>
      <c r="L188" s="3"/>
      <c r="M188" s="323">
        <v>-93.237451399999998</v>
      </c>
      <c r="N188" s="180" t="s">
        <v>1408</v>
      </c>
      <c r="O188" s="3"/>
      <c r="P188" s="323">
        <v>75.488761045895927</v>
      </c>
      <c r="Q188" s="180" t="s">
        <v>1126</v>
      </c>
      <c r="R188" s="3"/>
      <c r="S188" s="323">
        <v>-12.010149130695865</v>
      </c>
      <c r="T188" s="180" t="s">
        <v>1126</v>
      </c>
      <c r="U188" s="100"/>
      <c r="V188" s="177">
        <v>9.4024599999999996</v>
      </c>
      <c r="W188" s="460" t="s">
        <v>1466</v>
      </c>
      <c r="X188" s="100"/>
      <c r="Y188" s="177">
        <v>5.8891639800000002</v>
      </c>
      <c r="Z188" s="460" t="s">
        <v>1126</v>
      </c>
      <c r="AA188" s="100"/>
      <c r="AB188" s="462">
        <v>0.57186424513473955</v>
      </c>
      <c r="AC188" s="177">
        <v>-3.6369518899999997</v>
      </c>
      <c r="AD188" s="460" t="s">
        <v>1126</v>
      </c>
      <c r="AE188" s="100"/>
      <c r="AF188" s="177">
        <v>-3.7189666327522723</v>
      </c>
      <c r="AG188" s="460" t="s">
        <v>1125</v>
      </c>
      <c r="AH188" s="100"/>
      <c r="AI188" s="177">
        <v>-2.5700043199999998</v>
      </c>
      <c r="AJ188" s="465">
        <v>0.86137408116497827</v>
      </c>
      <c r="AK188" s="460" t="s">
        <v>1126</v>
      </c>
      <c r="AL188" s="84"/>
      <c r="AM188" s="177">
        <v>4.3058501335865591</v>
      </c>
      <c r="AN188" s="460" t="s">
        <v>1126</v>
      </c>
      <c r="AO188" s="47"/>
      <c r="AP188" s="47"/>
    </row>
    <row r="189" spans="1:42">
      <c r="A189" s="3"/>
      <c r="B189" s="4" t="s">
        <v>20</v>
      </c>
      <c r="C189" s="87"/>
      <c r="D189" s="4"/>
      <c r="E189" s="4"/>
      <c r="F189" s="3"/>
      <c r="G189" s="4"/>
      <c r="H189" s="4"/>
      <c r="I189" s="3"/>
      <c r="J189" s="4"/>
      <c r="K189" s="4"/>
      <c r="L189" s="115"/>
      <c r="M189" s="4"/>
      <c r="N189" s="70"/>
      <c r="O189" s="87"/>
      <c r="P189" s="4"/>
      <c r="Q189" s="4"/>
      <c r="R189" s="3"/>
      <c r="S189" s="9"/>
      <c r="T189" s="4"/>
      <c r="U189" s="100"/>
      <c r="V189" s="177">
        <v>10.125967935298103</v>
      </c>
      <c r="W189" s="460" t="s">
        <v>1125</v>
      </c>
      <c r="X189" s="100"/>
      <c r="Y189" s="177">
        <v>5.98</v>
      </c>
      <c r="Z189" s="460" t="s">
        <v>1125</v>
      </c>
      <c r="AA189" s="100"/>
      <c r="AB189" s="225">
        <v>0.52999999999999936</v>
      </c>
      <c r="AC189" s="177">
        <v>-3.669968964251165</v>
      </c>
      <c r="AD189" s="460" t="s">
        <v>1125</v>
      </c>
      <c r="AE189" s="100"/>
      <c r="AF189" s="177">
        <v>-3.9533120000000013</v>
      </c>
      <c r="AG189" s="460" t="s">
        <v>1710</v>
      </c>
      <c r="AH189" s="100"/>
      <c r="AI189" s="177">
        <v>-3.4400000000000008</v>
      </c>
      <c r="AJ189" s="466">
        <v>0.1161973221802943</v>
      </c>
      <c r="AK189" s="460" t="s">
        <v>1125</v>
      </c>
      <c r="AL189" s="84"/>
      <c r="AM189" s="154">
        <v>2.473423166148045</v>
      </c>
      <c r="AN189" s="460" t="s">
        <v>2611</v>
      </c>
      <c r="AO189" s="47"/>
      <c r="AP189" s="47"/>
    </row>
    <row r="190" spans="1:42">
      <c r="A190" s="3"/>
      <c r="B190" s="4"/>
      <c r="C190" s="87"/>
      <c r="D190" s="4"/>
      <c r="E190" s="4"/>
      <c r="F190" s="3"/>
      <c r="G190" s="4"/>
      <c r="H190" s="4"/>
      <c r="I190" s="3"/>
      <c r="J190" s="4"/>
      <c r="K190" s="4"/>
      <c r="L190" s="115"/>
      <c r="M190" s="4"/>
      <c r="N190" s="70"/>
      <c r="O190" s="87"/>
      <c r="P190" s="4"/>
      <c r="Q190" s="4"/>
      <c r="R190" s="3"/>
      <c r="S190" s="9"/>
      <c r="T190" s="4"/>
      <c r="U190" s="100"/>
      <c r="V190" s="177">
        <v>9.8209800000000005</v>
      </c>
      <c r="W190" s="460" t="s">
        <v>1705</v>
      </c>
      <c r="X190" s="100"/>
      <c r="Y190" s="177">
        <v>6.6657360000000008</v>
      </c>
      <c r="Z190" s="460" t="s">
        <v>1707</v>
      </c>
      <c r="AA190" s="100"/>
      <c r="AB190" s="461">
        <v>4.3999999999999986</v>
      </c>
      <c r="AC190" s="177">
        <v>-2.7507921573657663</v>
      </c>
      <c r="AD190" s="460" t="s">
        <v>1465</v>
      </c>
      <c r="AE190" s="100"/>
      <c r="AF190" s="177">
        <v>-3.0731432910503078</v>
      </c>
      <c r="AG190" s="460" t="s">
        <v>1465</v>
      </c>
      <c r="AH190" s="100"/>
      <c r="AI190" s="177">
        <v>-0.20453543128087159</v>
      </c>
      <c r="AJ190" s="467">
        <v>199.82999999999998</v>
      </c>
      <c r="AK190" s="460" t="s">
        <v>1467</v>
      </c>
      <c r="AL190" s="84"/>
      <c r="AM190" s="47"/>
      <c r="AN190" s="45"/>
      <c r="AO190" s="47"/>
      <c r="AP190" s="47"/>
    </row>
    <row r="191" spans="1:42">
      <c r="A191" s="3"/>
      <c r="B191" s="4"/>
      <c r="C191" s="87"/>
      <c r="D191" s="4"/>
      <c r="E191" s="4"/>
      <c r="F191" s="3"/>
      <c r="G191" s="4"/>
      <c r="H191" s="4"/>
      <c r="I191" s="3"/>
      <c r="J191" s="4"/>
      <c r="K191" s="4"/>
      <c r="L191" s="115"/>
      <c r="M191" s="4"/>
      <c r="N191" s="70"/>
      <c r="O191" s="87"/>
      <c r="P191" s="4"/>
      <c r="Q191" s="4"/>
      <c r="R191" s="3"/>
      <c r="S191" s="9"/>
      <c r="T191" s="4"/>
      <c r="U191" s="100"/>
      <c r="V191" s="177">
        <v>9.7706499999999998</v>
      </c>
      <c r="W191" s="460" t="s">
        <v>1706</v>
      </c>
      <c r="X191" s="8"/>
      <c r="Y191" s="177">
        <v>7.1489319999999994</v>
      </c>
      <c r="Z191" s="460" t="s">
        <v>1708</v>
      </c>
      <c r="AA191" s="47"/>
      <c r="AB191" s="463">
        <v>1.6233683549999989</v>
      </c>
      <c r="AC191" s="177">
        <v>-3.1838277580227832</v>
      </c>
      <c r="AD191" s="460" t="s">
        <v>1466</v>
      </c>
      <c r="AE191" s="13"/>
      <c r="AF191" s="177">
        <v>-3.6803868546214411</v>
      </c>
      <c r="AG191" s="460" t="s">
        <v>1466</v>
      </c>
      <c r="AH191" s="84"/>
      <c r="AI191" s="177">
        <v>-0.54979703301812599</v>
      </c>
      <c r="AJ191" s="464">
        <v>90.239999999999981</v>
      </c>
      <c r="AK191" s="460" t="s">
        <v>1468</v>
      </c>
      <c r="AL191" s="84"/>
      <c r="AM191" s="47"/>
      <c r="AN191" s="45"/>
      <c r="AO191" s="47"/>
      <c r="AP191" s="47"/>
    </row>
    <row r="192" spans="1:42">
      <c r="A192" s="3"/>
      <c r="B192" s="4"/>
      <c r="C192" s="87"/>
      <c r="D192" s="4"/>
      <c r="E192" s="4"/>
      <c r="F192" s="3"/>
      <c r="G192" s="4"/>
      <c r="H192" s="4"/>
      <c r="I192" s="3"/>
      <c r="J192" s="4"/>
      <c r="K192" s="4"/>
      <c r="L192" s="115"/>
      <c r="M192" s="4"/>
      <c r="N192" s="70"/>
      <c r="O192" s="87"/>
      <c r="P192" s="4"/>
      <c r="Q192" s="4"/>
      <c r="R192" s="3"/>
      <c r="S192" s="9"/>
      <c r="T192" s="4"/>
      <c r="U192" s="8"/>
      <c r="V192" s="177">
        <v>9.3460000000000001</v>
      </c>
      <c r="W192" s="460" t="s">
        <v>1465</v>
      </c>
      <c r="X192" s="8"/>
      <c r="Y192" s="177">
        <v>5.87</v>
      </c>
      <c r="Z192" s="460" t="s">
        <v>1465</v>
      </c>
      <c r="AA192" s="47"/>
      <c r="AB192" s="47"/>
      <c r="AC192" s="47"/>
      <c r="AD192" s="45"/>
      <c r="AE192" s="13"/>
      <c r="AF192" s="9"/>
      <c r="AG192" s="326"/>
      <c r="AH192" s="47"/>
      <c r="AI192" s="47"/>
      <c r="AJ192" s="47"/>
      <c r="AK192" s="45"/>
      <c r="AL192" s="84"/>
      <c r="AM192" s="47"/>
      <c r="AN192" s="45"/>
      <c r="AO192" s="47"/>
      <c r="AP192" s="47"/>
    </row>
    <row r="193" spans="1:42">
      <c r="A193" s="3"/>
      <c r="B193" s="4"/>
      <c r="C193" s="87"/>
      <c r="D193" s="4"/>
      <c r="E193" s="4"/>
      <c r="F193" s="3"/>
      <c r="G193" s="4"/>
      <c r="H193" s="4"/>
      <c r="I193" s="3"/>
      <c r="J193" s="4"/>
      <c r="K193" s="4"/>
      <c r="L193" s="115"/>
      <c r="M193" s="4"/>
      <c r="N193" s="70"/>
      <c r="O193" s="87"/>
      <c r="P193" s="4"/>
      <c r="Q193" s="4"/>
      <c r="R193" s="3"/>
      <c r="S193" s="4"/>
      <c r="T193" s="122"/>
      <c r="U193" s="8"/>
      <c r="V193" s="15"/>
      <c r="W193" s="320"/>
      <c r="Y193" s="47"/>
      <c r="Z193" s="45"/>
      <c r="AB193" s="47"/>
      <c r="AC193" s="47"/>
      <c r="AD193" s="45"/>
      <c r="AF193" s="6"/>
      <c r="AG193" s="7"/>
      <c r="AJ193" s="47"/>
      <c r="AK193" s="45"/>
      <c r="AL193" s="47"/>
      <c r="AM193" s="47"/>
      <c r="AN193" s="45"/>
      <c r="AO193" s="47"/>
      <c r="AP193" s="47"/>
    </row>
    <row r="194" spans="1:42">
      <c r="A194" s="3" t="s">
        <v>58</v>
      </c>
      <c r="B194" s="4" t="s">
        <v>59</v>
      </c>
      <c r="C194" s="157">
        <v>93.752571934480002</v>
      </c>
      <c r="D194" s="30">
        <v>93.752571934480002</v>
      </c>
      <c r="E194" s="30" t="s">
        <v>1126</v>
      </c>
      <c r="F194" s="187">
        <v>15.06523858921598</v>
      </c>
      <c r="G194" s="318">
        <v>15.06523858921598</v>
      </c>
      <c r="H194" s="70" t="s">
        <v>1126</v>
      </c>
      <c r="I194" s="187"/>
      <c r="J194" s="318">
        <v>2.5668291268399486</v>
      </c>
      <c r="K194" s="70" t="s">
        <v>1126</v>
      </c>
      <c r="L194" s="191">
        <v>-91.185742807640054</v>
      </c>
      <c r="M194" s="276">
        <v>-91.185742807640054</v>
      </c>
      <c r="N194" s="13" t="s">
        <v>2792</v>
      </c>
      <c r="O194" s="187">
        <v>67.696422799999993</v>
      </c>
      <c r="P194" s="318">
        <v>67.696422799999993</v>
      </c>
      <c r="Q194" s="70" t="s">
        <v>2793</v>
      </c>
      <c r="R194" s="187">
        <v>-26.927071999999999</v>
      </c>
      <c r="S194" s="491">
        <v>-26.927071999999999</v>
      </c>
      <c r="T194" s="13" t="s">
        <v>2793</v>
      </c>
      <c r="U194" s="145">
        <v>10.194022538625545</v>
      </c>
      <c r="V194" s="15">
        <v>10.194022538625545</v>
      </c>
      <c r="W194" s="320" t="s">
        <v>2792</v>
      </c>
      <c r="X194" s="145">
        <v>5.8702692299999999</v>
      </c>
      <c r="Y194" s="15">
        <v>5.8702692299999999</v>
      </c>
      <c r="Z194" s="320" t="s">
        <v>2792</v>
      </c>
      <c r="AA194" s="145">
        <v>-3.3863621596817155</v>
      </c>
      <c r="AB194" s="371">
        <v>1.0183162499999996</v>
      </c>
      <c r="AC194" s="15">
        <v>-3.3863621596817155</v>
      </c>
      <c r="AD194" s="320" t="s">
        <v>2868</v>
      </c>
      <c r="AE194" s="145">
        <v>-3.2711030499999998</v>
      </c>
      <c r="AF194" s="15">
        <v>-3.2711030499999998</v>
      </c>
      <c r="AG194" s="320" t="s">
        <v>2792</v>
      </c>
      <c r="AH194" s="145">
        <v>-2.4957688100000013</v>
      </c>
      <c r="AI194" s="15">
        <v>-2.4957688100000013</v>
      </c>
      <c r="AJ194" s="229">
        <v>1.0219444976096494</v>
      </c>
      <c r="AK194" s="320" t="s">
        <v>2792</v>
      </c>
      <c r="AL194" s="145">
        <v>3.2836867999999981</v>
      </c>
      <c r="AM194" s="15">
        <v>3.2836867999999981</v>
      </c>
      <c r="AN194" s="320" t="s">
        <v>2871</v>
      </c>
      <c r="AO194" s="6"/>
      <c r="AP194" s="6"/>
    </row>
    <row r="195" spans="1:42">
      <c r="A195" s="3"/>
      <c r="B195" s="171">
        <v>320.03399999999999</v>
      </c>
      <c r="C195" s="157">
        <v>12.760568813430138</v>
      </c>
      <c r="D195" s="206">
        <v>114.93447999999999</v>
      </c>
      <c r="E195" s="206" t="s">
        <v>1125</v>
      </c>
      <c r="F195" s="157">
        <v>9.5599032558430164</v>
      </c>
      <c r="G195" s="70"/>
      <c r="H195" s="70"/>
      <c r="I195" s="157"/>
      <c r="J195" s="70"/>
      <c r="K195" s="70"/>
      <c r="L195" s="191">
        <v>13.767405820583111</v>
      </c>
      <c r="M195" s="323">
        <v>-91.185742807640054</v>
      </c>
      <c r="N195" s="180" t="s">
        <v>1126</v>
      </c>
      <c r="O195" s="191">
        <v>14.625067485289199</v>
      </c>
      <c r="P195" s="323">
        <v>67.696422799999993</v>
      </c>
      <c r="Q195" s="180" t="s">
        <v>1407</v>
      </c>
      <c r="R195" s="191">
        <v>11.045838965046903</v>
      </c>
      <c r="S195" s="323">
        <v>-26.927071999999999</v>
      </c>
      <c r="T195" s="180" t="s">
        <v>1407</v>
      </c>
      <c r="U195" s="145">
        <v>0.35473159629909173</v>
      </c>
      <c r="V195" s="177">
        <v>10.194022538625545</v>
      </c>
      <c r="W195" s="460" t="s">
        <v>1126</v>
      </c>
      <c r="X195" s="145">
        <v>0.74187875501816991</v>
      </c>
      <c r="Y195" s="177">
        <v>6.4887600000000001</v>
      </c>
      <c r="Z195" s="460" t="s">
        <v>1466</v>
      </c>
      <c r="AA195" s="145">
        <v>0.4279650633784155</v>
      </c>
      <c r="AB195" s="461">
        <v>3.3340862759682457</v>
      </c>
      <c r="AC195" s="177">
        <v>-2.8712679999999997</v>
      </c>
      <c r="AD195" s="222" t="s">
        <v>1709</v>
      </c>
      <c r="AE195" s="145">
        <v>0.33620070037594996</v>
      </c>
      <c r="AF195" s="177">
        <v>-3.2711030499999998</v>
      </c>
      <c r="AG195" s="365" t="s">
        <v>1126</v>
      </c>
      <c r="AH195" s="145">
        <v>0.39581395865314023</v>
      </c>
      <c r="AI195" s="177">
        <v>-3.6388692571068098</v>
      </c>
      <c r="AJ195" s="464">
        <v>0.56934508616439949</v>
      </c>
      <c r="AK195" s="362" t="s">
        <v>1466</v>
      </c>
      <c r="AL195" s="145">
        <v>0.59346399905079972</v>
      </c>
      <c r="AM195" s="154">
        <v>3.2836867999999981</v>
      </c>
      <c r="AN195" s="460" t="s">
        <v>2610</v>
      </c>
      <c r="AO195" s="6"/>
      <c r="AP195" s="6"/>
    </row>
    <row r="196" spans="1:42">
      <c r="A196" s="3"/>
      <c r="B196" s="4" t="s">
        <v>20</v>
      </c>
      <c r="C196" s="87"/>
      <c r="D196" s="113"/>
      <c r="E196" s="30"/>
      <c r="F196" s="3"/>
      <c r="G196" s="4"/>
      <c r="H196" s="4"/>
      <c r="I196" s="3"/>
      <c r="J196" s="4"/>
      <c r="K196" s="4"/>
      <c r="L196" s="3"/>
      <c r="M196" s="323">
        <v>-97.00821040000001</v>
      </c>
      <c r="N196" s="180" t="s">
        <v>1408</v>
      </c>
      <c r="O196" s="3"/>
      <c r="P196" s="323">
        <v>78.687333345264022</v>
      </c>
      <c r="Q196" s="180" t="s">
        <v>1126</v>
      </c>
      <c r="R196" s="3"/>
      <c r="S196" s="323">
        <v>-12.498409462376031</v>
      </c>
      <c r="T196" s="180" t="s">
        <v>1126</v>
      </c>
      <c r="U196" s="100"/>
      <c r="V196" s="177">
        <v>9.4024599999999996</v>
      </c>
      <c r="W196" s="460" t="s">
        <v>1466</v>
      </c>
      <c r="X196" s="100"/>
      <c r="Y196" s="177">
        <v>5.8702692299999999</v>
      </c>
      <c r="Z196" s="460" t="s">
        <v>1126</v>
      </c>
      <c r="AA196" s="100"/>
      <c r="AB196" s="462">
        <v>0.15211061556498892</v>
      </c>
      <c r="AC196" s="177">
        <v>-4.21208531</v>
      </c>
      <c r="AD196" s="460" t="s">
        <v>1126</v>
      </c>
      <c r="AE196" s="100"/>
      <c r="AF196" s="177">
        <v>-4.0315170514460652</v>
      </c>
      <c r="AG196" s="460" t="s">
        <v>1125</v>
      </c>
      <c r="AH196" s="100"/>
      <c r="AI196" s="177">
        <v>-2.4957688100000013</v>
      </c>
      <c r="AJ196" s="465">
        <v>1.0219444976096494</v>
      </c>
      <c r="AK196" s="460" t="s">
        <v>1126</v>
      </c>
      <c r="AL196" s="84"/>
      <c r="AM196" s="177">
        <v>4.3456588537142826</v>
      </c>
      <c r="AN196" s="460" t="s">
        <v>1126</v>
      </c>
      <c r="AO196" s="47"/>
      <c r="AP196" s="47"/>
    </row>
    <row r="197" spans="1:42">
      <c r="A197" s="3"/>
      <c r="B197" s="4"/>
      <c r="C197" s="87"/>
      <c r="D197" s="4"/>
      <c r="E197" s="4"/>
      <c r="F197" s="3"/>
      <c r="G197" s="4"/>
      <c r="H197" s="4"/>
      <c r="I197" s="3"/>
      <c r="J197" s="4"/>
      <c r="K197" s="4"/>
      <c r="L197" s="115"/>
      <c r="M197" s="4"/>
      <c r="N197" s="70"/>
      <c r="O197" s="87"/>
      <c r="P197" s="4"/>
      <c r="Q197" s="4"/>
      <c r="R197" s="3"/>
      <c r="S197" s="9"/>
      <c r="T197" s="4"/>
      <c r="U197" s="100"/>
      <c r="V197" s="177">
        <v>10.408331406733174</v>
      </c>
      <c r="W197" s="460" t="s">
        <v>1125</v>
      </c>
      <c r="X197" s="100"/>
      <c r="Y197" s="177">
        <v>6.11</v>
      </c>
      <c r="Z197" s="460" t="s">
        <v>1125</v>
      </c>
      <c r="AA197" s="100"/>
      <c r="AB197" s="225">
        <v>0.38999999999999962</v>
      </c>
      <c r="AC197" s="177">
        <v>-3.8031802268254546</v>
      </c>
      <c r="AD197" s="460" t="s">
        <v>1125</v>
      </c>
      <c r="AE197" s="100"/>
      <c r="AF197" s="177">
        <v>-3.5678200000000002</v>
      </c>
      <c r="AG197" s="460" t="s">
        <v>1710</v>
      </c>
      <c r="AH197" s="100"/>
      <c r="AI197" s="177">
        <v>-3.620000000000001</v>
      </c>
      <c r="AJ197" s="466">
        <v>7.6770809440548135E-2</v>
      </c>
      <c r="AK197" s="460" t="s">
        <v>1125</v>
      </c>
      <c r="AL197" s="84"/>
      <c r="AM197" s="154">
        <v>3.1117351661480459</v>
      </c>
      <c r="AN197" s="460" t="s">
        <v>2611</v>
      </c>
      <c r="AO197" s="47"/>
      <c r="AP197" s="47"/>
    </row>
    <row r="198" spans="1:42">
      <c r="A198" s="3"/>
      <c r="B198" s="4"/>
      <c r="C198" s="87"/>
      <c r="D198" s="4"/>
      <c r="E198" s="4"/>
      <c r="F198" s="3"/>
      <c r="G198" s="4"/>
      <c r="H198" s="4"/>
      <c r="I198" s="3"/>
      <c r="J198" s="4"/>
      <c r="K198" s="4"/>
      <c r="L198" s="115"/>
      <c r="M198" s="4"/>
      <c r="N198" s="70"/>
      <c r="O198" s="87"/>
      <c r="P198" s="4"/>
      <c r="Q198" s="4"/>
      <c r="R198" s="3"/>
      <c r="S198" s="9"/>
      <c r="T198" s="4"/>
      <c r="U198" s="100"/>
      <c r="V198" s="177">
        <v>10.0738</v>
      </c>
      <c r="W198" s="460" t="s">
        <v>1705</v>
      </c>
      <c r="X198" s="100"/>
      <c r="Y198" s="177">
        <v>6.7389360000000007</v>
      </c>
      <c r="Z198" s="460" t="s">
        <v>1707</v>
      </c>
      <c r="AA198" s="100"/>
      <c r="AB198" s="461">
        <v>4.3999999999999986</v>
      </c>
      <c r="AC198" s="177">
        <v>-2.7507921573657663</v>
      </c>
      <c r="AD198" s="460" t="s">
        <v>1465</v>
      </c>
      <c r="AE198" s="100"/>
      <c r="AF198" s="177">
        <v>-1.728158393463501</v>
      </c>
      <c r="AG198" s="460" t="s">
        <v>1465</v>
      </c>
      <c r="AH198" s="100"/>
      <c r="AI198" s="177">
        <v>-0.20453543128087159</v>
      </c>
      <c r="AJ198" s="467">
        <v>199.82999999999998</v>
      </c>
      <c r="AK198" s="460" t="s">
        <v>1467</v>
      </c>
      <c r="AL198" s="84"/>
      <c r="AM198" s="47"/>
      <c r="AN198" s="45"/>
      <c r="AO198" s="47"/>
      <c r="AP198" s="47"/>
    </row>
    <row r="199" spans="1:42">
      <c r="A199" s="3"/>
      <c r="B199" s="4"/>
      <c r="C199" s="87"/>
      <c r="D199" s="4"/>
      <c r="E199" s="4"/>
      <c r="F199" s="3"/>
      <c r="G199" s="4"/>
      <c r="H199" s="4"/>
      <c r="I199" s="3"/>
      <c r="J199" s="4"/>
      <c r="K199" s="4"/>
      <c r="L199" s="115"/>
      <c r="M199" s="4"/>
      <c r="N199" s="70"/>
      <c r="O199" s="87"/>
      <c r="P199" s="4"/>
      <c r="Q199" s="4"/>
      <c r="R199" s="3"/>
      <c r="S199" s="9"/>
      <c r="T199" s="4"/>
      <c r="U199" s="100"/>
      <c r="V199" s="177">
        <v>9.9750999999999994</v>
      </c>
      <c r="W199" s="460" t="s">
        <v>1706</v>
      </c>
      <c r="X199" s="8"/>
      <c r="Y199" s="177">
        <v>7.1995319999999996</v>
      </c>
      <c r="Z199" s="460" t="s">
        <v>1708</v>
      </c>
      <c r="AA199" s="47"/>
      <c r="AB199" s="463">
        <v>1.0183162499999996</v>
      </c>
      <c r="AC199" s="177">
        <v>-3.3863621596817155</v>
      </c>
      <c r="AD199" s="460" t="s">
        <v>1466</v>
      </c>
      <c r="AE199" s="13"/>
      <c r="AF199" s="177">
        <v>-3.7045401890395353</v>
      </c>
      <c r="AG199" s="460" t="s">
        <v>1466</v>
      </c>
      <c r="AH199" s="84"/>
      <c r="AI199" s="177">
        <v>-0.67499252073168892</v>
      </c>
      <c r="AJ199" s="464">
        <v>67.639999999999986</v>
      </c>
      <c r="AK199" s="460" t="s">
        <v>1468</v>
      </c>
      <c r="AL199" s="84"/>
      <c r="AM199" s="47"/>
      <c r="AN199" s="45"/>
      <c r="AO199" s="47"/>
      <c r="AP199" s="47"/>
    </row>
    <row r="200" spans="1:42">
      <c r="A200" s="3"/>
      <c r="B200" s="4"/>
      <c r="C200" s="87"/>
      <c r="D200" s="4"/>
      <c r="E200" s="4"/>
      <c r="F200" s="3"/>
      <c r="G200" s="4"/>
      <c r="H200" s="4"/>
      <c r="I200" s="3"/>
      <c r="J200" s="4"/>
      <c r="K200" s="4"/>
      <c r="L200" s="115"/>
      <c r="M200" s="4"/>
      <c r="N200" s="70"/>
      <c r="O200" s="87"/>
      <c r="P200" s="4"/>
      <c r="Q200" s="4"/>
      <c r="R200" s="3"/>
      <c r="S200" s="9"/>
      <c r="T200" s="4"/>
      <c r="U200" s="8"/>
      <c r="V200" s="177">
        <v>9.5890000000000004</v>
      </c>
      <c r="W200" s="460" t="s">
        <v>1465</v>
      </c>
      <c r="X200" s="8"/>
      <c r="Y200" s="177">
        <v>5.87</v>
      </c>
      <c r="Z200" s="460" t="s">
        <v>1465</v>
      </c>
      <c r="AA200" s="47"/>
      <c r="AB200" s="47"/>
      <c r="AC200" s="47"/>
      <c r="AD200" s="45"/>
      <c r="AE200" s="13"/>
      <c r="AF200" s="9"/>
      <c r="AG200" s="326"/>
      <c r="AH200" s="47"/>
      <c r="AI200" s="47"/>
      <c r="AJ200" s="47"/>
      <c r="AK200" s="45"/>
      <c r="AL200" s="84"/>
      <c r="AM200" s="47"/>
      <c r="AN200" s="45"/>
      <c r="AO200" s="47"/>
      <c r="AP200" s="47"/>
    </row>
    <row r="201" spans="1:42">
      <c r="A201" s="3"/>
      <c r="B201" s="4"/>
      <c r="C201" s="87"/>
      <c r="D201" s="4"/>
      <c r="E201" s="4"/>
      <c r="F201" s="3"/>
      <c r="G201" s="4"/>
      <c r="H201" s="4"/>
      <c r="I201" s="3"/>
      <c r="J201" s="4"/>
      <c r="K201" s="4"/>
      <c r="L201" s="115"/>
      <c r="M201" s="4"/>
      <c r="N201" s="70"/>
      <c r="O201" s="87"/>
      <c r="P201" s="4"/>
      <c r="Q201" s="4"/>
      <c r="R201" s="3"/>
      <c r="S201" s="4"/>
      <c r="T201" s="122"/>
      <c r="V201" s="9"/>
      <c r="W201" s="45"/>
      <c r="Z201" s="42"/>
      <c r="AB201" s="47"/>
      <c r="AC201" s="47"/>
      <c r="AD201" s="45"/>
      <c r="AF201" s="6"/>
      <c r="AG201" s="7"/>
      <c r="AJ201" s="17"/>
      <c r="AK201" s="6"/>
      <c r="AL201" s="84"/>
      <c r="AM201" s="47"/>
      <c r="AN201" s="45"/>
      <c r="AO201" s="47"/>
      <c r="AP201" s="47"/>
    </row>
    <row r="202" spans="1:42">
      <c r="A202" s="3" t="s">
        <v>60</v>
      </c>
      <c r="B202" s="4" t="s">
        <v>61</v>
      </c>
      <c r="C202" s="157">
        <v>91.920111646799995</v>
      </c>
      <c r="D202" s="30">
        <v>91.920111646799995</v>
      </c>
      <c r="E202" s="30" t="s">
        <v>1126</v>
      </c>
      <c r="F202" s="187">
        <v>16.28788229527207</v>
      </c>
      <c r="G202" s="318">
        <v>16.28788229527207</v>
      </c>
      <c r="H202" s="70" t="s">
        <v>1126</v>
      </c>
      <c r="I202" s="187"/>
      <c r="J202" s="318">
        <v>3.713347994663792</v>
      </c>
      <c r="K202" s="70" t="s">
        <v>1126</v>
      </c>
      <c r="L202" s="191">
        <v>-88.206763652136203</v>
      </c>
      <c r="M202" s="276">
        <v>-88.206763652136203</v>
      </c>
      <c r="N202" s="13" t="s">
        <v>2792</v>
      </c>
      <c r="O202" s="187">
        <v>66.954663999999994</v>
      </c>
      <c r="P202" s="318">
        <v>66.954663999999994</v>
      </c>
      <c r="Q202" s="70" t="s">
        <v>2793</v>
      </c>
      <c r="R202" s="187">
        <v>-23.674459999999993</v>
      </c>
      <c r="S202" s="491">
        <v>-23.674459999999993</v>
      </c>
      <c r="T202" s="13" t="s">
        <v>2793</v>
      </c>
      <c r="U202" s="145">
        <v>9.7885222116984263</v>
      </c>
      <c r="V202" s="15">
        <v>9.7885222116984263</v>
      </c>
      <c r="W202" s="320" t="s">
        <v>2792</v>
      </c>
      <c r="X202" s="145">
        <v>6.5433998799999999</v>
      </c>
      <c r="Y202" s="15">
        <v>6.5433998799999999</v>
      </c>
      <c r="Z202" s="320" t="s">
        <v>2792</v>
      </c>
      <c r="AA202" s="145">
        <v>-3.2242527126542679</v>
      </c>
      <c r="AB202" s="371">
        <v>1.4790815549999985</v>
      </c>
      <c r="AC202" s="15">
        <v>-3.2242527126542679</v>
      </c>
      <c r="AD202" s="320" t="s">
        <v>2868</v>
      </c>
      <c r="AE202" s="145">
        <v>-3.0282575700000005</v>
      </c>
      <c r="AF202" s="15">
        <v>-3.0282575700000005</v>
      </c>
      <c r="AG202" s="320" t="s">
        <v>2792</v>
      </c>
      <c r="AH202" s="145">
        <v>-3.3972299300000008</v>
      </c>
      <c r="AI202" s="15">
        <v>-3.3972299300000008</v>
      </c>
      <c r="AJ202" s="229">
        <v>0.1420224192787643</v>
      </c>
      <c r="AK202" s="320" t="s">
        <v>2792</v>
      </c>
      <c r="AL202" s="145">
        <v>3.2136779999999989</v>
      </c>
      <c r="AM202" s="15">
        <v>3.2136779999999989</v>
      </c>
      <c r="AN202" s="320" t="s">
        <v>2871</v>
      </c>
      <c r="AO202" s="47"/>
      <c r="AP202" s="47"/>
    </row>
    <row r="203" spans="1:42">
      <c r="A203" s="3"/>
      <c r="B203" s="171">
        <v>354.476</v>
      </c>
      <c r="C203" s="157">
        <v>12.511154476134301</v>
      </c>
      <c r="D203" s="206">
        <v>111.83832000000001</v>
      </c>
      <c r="E203" s="206" t="s">
        <v>1125</v>
      </c>
      <c r="F203" s="157">
        <v>10.335752604463911</v>
      </c>
      <c r="G203" s="70"/>
      <c r="H203" s="70"/>
      <c r="I203" s="157"/>
      <c r="J203" s="70"/>
      <c r="K203" s="70"/>
      <c r="L203" s="191">
        <v>13.317633589726828</v>
      </c>
      <c r="M203" s="323">
        <v>-88.206763652136203</v>
      </c>
      <c r="N203" s="180" t="s">
        <v>1126</v>
      </c>
      <c r="O203" s="191">
        <v>14.464818655896</v>
      </c>
      <c r="P203" s="323">
        <v>66.954663999999994</v>
      </c>
      <c r="Q203" s="180" t="s">
        <v>1407</v>
      </c>
      <c r="R203" s="191">
        <v>9.7115747580889682</v>
      </c>
      <c r="S203" s="323">
        <v>-23.674459999999993</v>
      </c>
      <c r="T203" s="180" t="s">
        <v>1407</v>
      </c>
      <c r="U203" s="145">
        <v>0.34062099592268186</v>
      </c>
      <c r="V203" s="177">
        <v>9.7885222116984263</v>
      </c>
      <c r="W203" s="460" t="s">
        <v>1126</v>
      </c>
      <c r="X203" s="145">
        <v>0.8269483334345199</v>
      </c>
      <c r="Y203" s="177">
        <v>6.91425</v>
      </c>
      <c r="Z203" s="460" t="s">
        <v>1466</v>
      </c>
      <c r="AA203" s="145">
        <v>0.4074778335725337</v>
      </c>
      <c r="AB203" s="461">
        <v>5.3926822810522932</v>
      </c>
      <c r="AC203" s="177">
        <v>-2.6624399999999997</v>
      </c>
      <c r="AD203" s="222" t="s">
        <v>1709</v>
      </c>
      <c r="AE203" s="145">
        <v>0.31124128478703006</v>
      </c>
      <c r="AF203" s="177">
        <v>-3.0282575700000005</v>
      </c>
      <c r="AG203" s="365" t="s">
        <v>1126</v>
      </c>
      <c r="AH203" s="145">
        <v>0.53878028351842022</v>
      </c>
      <c r="AI203" s="177">
        <v>-3.8625635957228859</v>
      </c>
      <c r="AJ203" s="464">
        <v>0.34015842981659994</v>
      </c>
      <c r="AK203" s="362" t="s">
        <v>1466</v>
      </c>
      <c r="AL203" s="145">
        <v>0.58081123861799977</v>
      </c>
      <c r="AM203" s="154">
        <v>3.2136779999999989</v>
      </c>
      <c r="AN203" s="460" t="s">
        <v>2610</v>
      </c>
      <c r="AO203" s="47"/>
      <c r="AP203" s="47"/>
    </row>
    <row r="204" spans="1:42">
      <c r="A204" s="3"/>
      <c r="B204" s="4"/>
      <c r="C204" s="87"/>
      <c r="D204" s="26"/>
      <c r="E204" s="70"/>
      <c r="F204" s="83"/>
      <c r="G204" s="70"/>
      <c r="H204" s="70"/>
      <c r="I204" s="83"/>
      <c r="J204" s="70"/>
      <c r="K204" s="70"/>
      <c r="L204" s="3"/>
      <c r="M204" s="323">
        <v>-93.013861999999989</v>
      </c>
      <c r="N204" s="180" t="s">
        <v>1408</v>
      </c>
      <c r="O204" s="3"/>
      <c r="P204" s="323">
        <v>75.632229351527926</v>
      </c>
      <c r="Q204" s="180" t="s">
        <v>1126</v>
      </c>
      <c r="R204" s="3"/>
      <c r="S204" s="323">
        <v>-12.574534300608278</v>
      </c>
      <c r="T204" s="180" t="s">
        <v>1126</v>
      </c>
      <c r="U204" s="100"/>
      <c r="V204" s="177">
        <v>9.32118</v>
      </c>
      <c r="W204" s="460" t="s">
        <v>1466</v>
      </c>
      <c r="X204" s="100"/>
      <c r="Y204" s="177">
        <v>6.5433998799999999</v>
      </c>
      <c r="Z204" s="460" t="s">
        <v>1126</v>
      </c>
      <c r="AA204" s="100"/>
      <c r="AB204" s="462">
        <v>2.1206126797597311</v>
      </c>
      <c r="AC204" s="177">
        <v>-3.0677834799999997</v>
      </c>
      <c r="AD204" s="460" t="s">
        <v>1126</v>
      </c>
      <c r="AE204" s="100"/>
      <c r="AF204" s="177">
        <v>-3.785156151952302</v>
      </c>
      <c r="AG204" s="460" t="s">
        <v>1125</v>
      </c>
      <c r="AH204" s="100"/>
      <c r="AI204" s="177">
        <v>-3.3972299300000008</v>
      </c>
      <c r="AJ204" s="465">
        <v>0.1420224192787643</v>
      </c>
      <c r="AK204" s="460" t="s">
        <v>1126</v>
      </c>
      <c r="AL204" s="84"/>
      <c r="AM204" s="177">
        <v>4.0195841032682358</v>
      </c>
      <c r="AN204" s="460" t="s">
        <v>1126</v>
      </c>
      <c r="AO204" s="47"/>
      <c r="AP204" s="47"/>
    </row>
    <row r="205" spans="1:42">
      <c r="A205" s="3"/>
      <c r="B205" s="4"/>
      <c r="C205" s="87"/>
      <c r="D205" s="26"/>
      <c r="E205" s="26"/>
      <c r="F205" s="83"/>
      <c r="G205" s="70"/>
      <c r="H205" s="70"/>
      <c r="I205" s="83"/>
      <c r="J205" s="70"/>
      <c r="K205" s="70"/>
      <c r="L205" s="115"/>
      <c r="M205" s="70"/>
      <c r="N205" s="70"/>
      <c r="O205" s="87"/>
      <c r="P205" s="52"/>
      <c r="Q205" s="47"/>
      <c r="R205" s="3"/>
      <c r="S205" s="9"/>
      <c r="T205" s="4"/>
      <c r="U205" s="100"/>
      <c r="V205" s="177">
        <v>10.193992968783711</v>
      </c>
      <c r="W205" s="460" t="s">
        <v>1125</v>
      </c>
      <c r="X205" s="100"/>
      <c r="Y205" s="177">
        <v>6.68</v>
      </c>
      <c r="Z205" s="460" t="s">
        <v>1125</v>
      </c>
      <c r="AA205" s="100"/>
      <c r="AB205" s="225">
        <v>2.3099999999999969</v>
      </c>
      <c r="AC205" s="177">
        <v>-3.0306328539598097</v>
      </c>
      <c r="AD205" s="460" t="s">
        <v>1125</v>
      </c>
      <c r="AE205" s="100"/>
      <c r="AF205" s="177">
        <v>-4.077840000000001</v>
      </c>
      <c r="AG205" s="460" t="s">
        <v>1710</v>
      </c>
      <c r="AH205" s="100"/>
      <c r="AI205" s="177">
        <v>-4.1500000000000012</v>
      </c>
      <c r="AJ205" s="466">
        <v>2.5094978986535094E-2</v>
      </c>
      <c r="AK205" s="460" t="s">
        <v>1125</v>
      </c>
      <c r="AL205" s="84"/>
      <c r="AM205" s="154">
        <v>2.4471151661480404</v>
      </c>
      <c r="AN205" s="460" t="s">
        <v>2611</v>
      </c>
      <c r="AO205" s="47"/>
      <c r="AP205" s="47"/>
    </row>
    <row r="206" spans="1:42">
      <c r="A206" s="3"/>
      <c r="B206" s="4"/>
      <c r="C206" s="87"/>
      <c r="D206" s="26"/>
      <c r="E206" s="26"/>
      <c r="F206" s="83"/>
      <c r="G206" s="70"/>
      <c r="H206" s="70"/>
      <c r="I206" s="83"/>
      <c r="J206" s="70"/>
      <c r="K206" s="70"/>
      <c r="L206" s="115"/>
      <c r="M206" s="70"/>
      <c r="N206" s="70"/>
      <c r="O206" s="87"/>
      <c r="P206" s="52"/>
      <c r="Q206" s="47"/>
      <c r="R206" s="3"/>
      <c r="S206" s="9"/>
      <c r="T206" s="4"/>
      <c r="U206" s="100"/>
      <c r="V206" s="177">
        <v>9.9191999999999965</v>
      </c>
      <c r="W206" s="460" t="s">
        <v>1705</v>
      </c>
      <c r="X206" s="100"/>
      <c r="Y206" s="177">
        <v>7.1794799999999999</v>
      </c>
      <c r="Z206" s="460" t="s">
        <v>1707</v>
      </c>
      <c r="AA206" s="100"/>
      <c r="AB206" s="461">
        <v>1.5499999999999989</v>
      </c>
      <c r="AC206" s="177">
        <v>-3.2039131356816624</v>
      </c>
      <c r="AD206" s="460" t="s">
        <v>1465</v>
      </c>
      <c r="AE206" s="100"/>
      <c r="AF206" s="177">
        <v>-2.1877553031996309</v>
      </c>
      <c r="AG206" s="460" t="s">
        <v>1465</v>
      </c>
      <c r="AH206" s="100"/>
      <c r="AI206" s="177">
        <v>-2.0148628645031539</v>
      </c>
      <c r="AJ206" s="467">
        <v>3.4255000000000009</v>
      </c>
      <c r="AK206" s="460" t="s">
        <v>1467</v>
      </c>
      <c r="AL206" s="84"/>
      <c r="AM206" s="47"/>
      <c r="AN206" s="45"/>
      <c r="AO206" s="47"/>
      <c r="AP206" s="47"/>
    </row>
    <row r="207" spans="1:42">
      <c r="A207" s="3"/>
      <c r="B207" s="4"/>
      <c r="C207" s="87"/>
      <c r="D207" s="26"/>
      <c r="E207" s="26"/>
      <c r="F207" s="83"/>
      <c r="G207" s="70"/>
      <c r="H207" s="70"/>
      <c r="I207" s="83"/>
      <c r="J207" s="70"/>
      <c r="K207" s="70"/>
      <c r="L207" s="115"/>
      <c r="M207" s="70"/>
      <c r="N207" s="70"/>
      <c r="O207" s="87"/>
      <c r="P207" s="52"/>
      <c r="Q207" s="47"/>
      <c r="R207" s="3"/>
      <c r="S207" s="9"/>
      <c r="T207" s="4"/>
      <c r="U207" s="100"/>
      <c r="V207" s="177">
        <v>9.8464999999999989</v>
      </c>
      <c r="W207" s="460" t="s">
        <v>1706</v>
      </c>
      <c r="X207" s="8"/>
      <c r="Y207" s="177">
        <v>7.6891599999999993</v>
      </c>
      <c r="Z207" s="460" t="s">
        <v>1708</v>
      </c>
      <c r="AA207" s="47"/>
      <c r="AB207" s="463">
        <v>1.4790815549999985</v>
      </c>
      <c r="AC207" s="177">
        <v>-3.2242527126542679</v>
      </c>
      <c r="AD207" s="460" t="s">
        <v>1466</v>
      </c>
      <c r="AE207" s="13"/>
      <c r="AF207" s="177">
        <v>-3.8409150733999526</v>
      </c>
      <c r="AG207" s="460" t="s">
        <v>1466</v>
      </c>
      <c r="AH207" s="84"/>
      <c r="AI207" s="177">
        <v>-1.5871701429128049</v>
      </c>
      <c r="AJ207" s="464">
        <v>9.1709999999999976</v>
      </c>
      <c r="AK207" s="460" t="s">
        <v>1468</v>
      </c>
      <c r="AL207" s="84"/>
      <c r="AM207" s="47"/>
      <c r="AN207" s="45"/>
      <c r="AO207" s="47"/>
      <c r="AP207" s="47"/>
    </row>
    <row r="208" spans="1:42">
      <c r="A208" s="3"/>
      <c r="B208" s="4"/>
      <c r="C208" s="87"/>
      <c r="D208" s="26"/>
      <c r="E208" s="26"/>
      <c r="F208" s="83"/>
      <c r="G208" s="70"/>
      <c r="H208" s="70"/>
      <c r="I208" s="83"/>
      <c r="J208" s="70"/>
      <c r="K208" s="70"/>
      <c r="L208" s="115"/>
      <c r="M208" s="70"/>
      <c r="N208" s="70"/>
      <c r="O208" s="87"/>
      <c r="P208" s="52"/>
      <c r="Q208" s="47"/>
      <c r="R208" s="3"/>
      <c r="S208" s="9"/>
      <c r="T208" s="4"/>
      <c r="U208" s="8"/>
      <c r="V208" s="177">
        <v>10.308999999999999</v>
      </c>
      <c r="W208" s="460" t="s">
        <v>1465</v>
      </c>
      <c r="X208" s="8"/>
      <c r="Y208" s="177">
        <v>6.79</v>
      </c>
      <c r="Z208" s="460" t="s">
        <v>1465</v>
      </c>
      <c r="AA208" s="47"/>
      <c r="AB208" s="47"/>
      <c r="AC208" s="47"/>
      <c r="AD208" s="45"/>
      <c r="AE208" s="13"/>
      <c r="AF208" s="9"/>
      <c r="AG208" s="326"/>
      <c r="AH208" s="47"/>
      <c r="AI208" s="47"/>
      <c r="AJ208" s="47"/>
      <c r="AK208" s="45"/>
      <c r="AL208" s="84"/>
      <c r="AM208" s="47"/>
      <c r="AN208" s="45"/>
      <c r="AO208" s="47"/>
      <c r="AP208" s="47"/>
    </row>
    <row r="209" spans="1:42">
      <c r="A209" s="3"/>
      <c r="B209" s="4" t="s">
        <v>20</v>
      </c>
      <c r="C209" s="87"/>
      <c r="D209" s="4"/>
      <c r="E209" s="4"/>
      <c r="F209" s="3"/>
      <c r="G209" s="4"/>
      <c r="H209" s="4"/>
      <c r="I209" s="3"/>
      <c r="J209" s="4"/>
      <c r="K209" s="4"/>
      <c r="L209" s="115"/>
      <c r="M209" s="4"/>
      <c r="N209" s="4"/>
      <c r="O209" s="87"/>
      <c r="P209" s="4"/>
      <c r="Q209" s="4"/>
      <c r="R209" s="3"/>
      <c r="S209" s="4"/>
      <c r="T209" s="122"/>
      <c r="V209" s="9"/>
      <c r="W209" s="45"/>
      <c r="Y209" s="9"/>
      <c r="Z209" s="45"/>
      <c r="AB209" s="47"/>
      <c r="AC209" s="47"/>
      <c r="AD209" s="45"/>
      <c r="AF209" s="6"/>
      <c r="AG209" s="7"/>
      <c r="AJ209" s="47"/>
      <c r="AK209" s="45"/>
      <c r="AL209" s="84"/>
      <c r="AM209" s="47"/>
      <c r="AN209" s="45"/>
      <c r="AO209" s="47"/>
      <c r="AP209" s="47"/>
    </row>
    <row r="210" spans="1:42">
      <c r="A210" s="3" t="s">
        <v>62</v>
      </c>
      <c r="B210" s="4" t="s">
        <v>63</v>
      </c>
      <c r="C210" s="157">
        <v>81.154323337360012</v>
      </c>
      <c r="D210" s="30">
        <v>81.154323337360012</v>
      </c>
      <c r="E210" s="30" t="s">
        <v>1126</v>
      </c>
      <c r="F210" s="187">
        <v>9.9040810499279814</v>
      </c>
      <c r="G210" s="318">
        <v>9.9040810499279814</v>
      </c>
      <c r="H210" s="70" t="s">
        <v>1126</v>
      </c>
      <c r="I210" s="187"/>
      <c r="J210" s="318">
        <v>4.0864175135843652</v>
      </c>
      <c r="K210" s="70" t="s">
        <v>1126</v>
      </c>
      <c r="L210" s="191">
        <v>-77.067905823775646</v>
      </c>
      <c r="M210" s="276">
        <v>-77.067905823775646</v>
      </c>
      <c r="N210" s="13" t="s">
        <v>2792</v>
      </c>
      <c r="O210" s="187">
        <v>63.624090199999991</v>
      </c>
      <c r="P210" s="318">
        <v>63.624090199999991</v>
      </c>
      <c r="Q210" s="70" t="s">
        <v>2793</v>
      </c>
      <c r="R210" s="187">
        <v>-17.663428</v>
      </c>
      <c r="S210" s="491">
        <v>-17.663428</v>
      </c>
      <c r="T210" s="13" t="s">
        <v>2793</v>
      </c>
      <c r="U210" s="145">
        <v>8.4146727158673915</v>
      </c>
      <c r="V210" s="15">
        <v>8.4146727158673915</v>
      </c>
      <c r="W210" s="320" t="s">
        <v>2792</v>
      </c>
      <c r="X210" s="145">
        <v>5.5898063499999999</v>
      </c>
      <c r="Y210" s="15">
        <v>5.5898063499999999</v>
      </c>
      <c r="Z210" s="320" t="s">
        <v>2792</v>
      </c>
      <c r="AA210" s="145">
        <v>-2.6739947767252037</v>
      </c>
      <c r="AB210" s="371">
        <v>5.2510971975000018</v>
      </c>
      <c r="AC210" s="15">
        <v>-2.6739947767252037</v>
      </c>
      <c r="AD210" s="320" t="s">
        <v>2868</v>
      </c>
      <c r="AE210" s="145">
        <v>-1.6803044100000006</v>
      </c>
      <c r="AF210" s="15">
        <v>-1.6803044100000006</v>
      </c>
      <c r="AG210" s="320" t="s">
        <v>2792</v>
      </c>
      <c r="AH210" s="145">
        <v>-2.4432550300000009</v>
      </c>
      <c r="AI210" s="15">
        <v>-2.4432550300000009</v>
      </c>
      <c r="AJ210" s="229">
        <v>1.3149646340561938</v>
      </c>
      <c r="AK210" s="320" t="s">
        <v>2792</v>
      </c>
      <c r="AL210" s="145">
        <v>3.2225393999999987</v>
      </c>
      <c r="AM210" s="15">
        <v>3.2225393999999987</v>
      </c>
      <c r="AN210" s="320" t="s">
        <v>2871</v>
      </c>
      <c r="AO210" s="6"/>
      <c r="AP210" s="6"/>
    </row>
    <row r="211" spans="1:42">
      <c r="A211" s="3"/>
      <c r="B211" s="171">
        <v>364.89600000000002</v>
      </c>
      <c r="C211" s="157">
        <v>11.045833795124734</v>
      </c>
      <c r="D211" s="206">
        <v>95.269680000000008</v>
      </c>
      <c r="E211" s="206" t="s">
        <v>1125</v>
      </c>
      <c r="F211" s="157">
        <v>6.2848029996096493</v>
      </c>
      <c r="G211" s="70"/>
      <c r="H211" s="70"/>
      <c r="I211" s="157"/>
      <c r="J211" s="70"/>
      <c r="K211" s="70"/>
      <c r="L211" s="191">
        <v>11.635866557085295</v>
      </c>
      <c r="M211" s="323">
        <v>-77.067905823775646</v>
      </c>
      <c r="N211" s="180" t="s">
        <v>1126</v>
      </c>
      <c r="O211" s="191">
        <v>13.745284822717798</v>
      </c>
      <c r="P211" s="323">
        <v>63.624090199999991</v>
      </c>
      <c r="Q211" s="180" t="s">
        <v>1407</v>
      </c>
      <c r="R211" s="191">
        <v>7.2457704000903069</v>
      </c>
      <c r="S211" s="323">
        <v>-17.663428</v>
      </c>
      <c r="T211" s="180" t="s">
        <v>1407</v>
      </c>
      <c r="U211" s="145">
        <v>0.2928137811667535</v>
      </c>
      <c r="V211" s="177">
        <v>8.4146727158673915</v>
      </c>
      <c r="W211" s="460" t="s">
        <v>1126</v>
      </c>
      <c r="X211" s="145">
        <v>0.7064341367066499</v>
      </c>
      <c r="Y211" s="177">
        <v>6.3136599999999996</v>
      </c>
      <c r="Z211" s="460" t="s">
        <v>1466</v>
      </c>
      <c r="AA211" s="145">
        <v>0.3379367858877545</v>
      </c>
      <c r="AB211" s="461">
        <v>27.915334347702323</v>
      </c>
      <c r="AC211" s="177">
        <v>-1.9484020000000002</v>
      </c>
      <c r="AD211" s="222" t="s">
        <v>1709</v>
      </c>
      <c r="AE211" s="145">
        <v>0.17270000695539006</v>
      </c>
      <c r="AF211" s="177">
        <v>-1.6803044100000006</v>
      </c>
      <c r="AG211" s="365" t="s">
        <v>1126</v>
      </c>
      <c r="AH211" s="145">
        <v>0.38748558822782014</v>
      </c>
      <c r="AI211" s="177">
        <v>-4.1204757743744276</v>
      </c>
      <c r="AJ211" s="464">
        <v>0.18783177365676967</v>
      </c>
      <c r="AK211" s="362" t="s">
        <v>1466</v>
      </c>
      <c r="AL211" s="145">
        <v>0.58241276830139976</v>
      </c>
      <c r="AM211" s="154">
        <v>3.2225393999999987</v>
      </c>
      <c r="AN211" s="460" t="s">
        <v>2610</v>
      </c>
      <c r="AO211" s="6"/>
      <c r="AP211" s="6"/>
    </row>
    <row r="212" spans="1:42">
      <c r="A212" s="3"/>
      <c r="B212" s="4"/>
      <c r="C212" s="87"/>
      <c r="D212" s="26"/>
      <c r="E212" s="26"/>
      <c r="F212" s="84"/>
      <c r="G212" s="47"/>
      <c r="H212" s="47"/>
      <c r="I212" s="84"/>
      <c r="J212" s="47"/>
      <c r="K212" s="47"/>
      <c r="L212" s="3"/>
      <c r="M212" s="323">
        <v>-83.673891600000005</v>
      </c>
      <c r="N212" s="180" t="s">
        <v>1408</v>
      </c>
      <c r="O212" s="3"/>
      <c r="P212" s="323">
        <v>71.25024228743203</v>
      </c>
      <c r="Q212" s="180" t="s">
        <v>1126</v>
      </c>
      <c r="R212" s="3"/>
      <c r="S212" s="323">
        <v>-5.8176635363436162</v>
      </c>
      <c r="T212" s="180" t="s">
        <v>1126</v>
      </c>
      <c r="U212" s="100"/>
      <c r="V212" s="177">
        <v>9.3976699999999997</v>
      </c>
      <c r="W212" s="460" t="s">
        <v>1466</v>
      </c>
      <c r="X212" s="100"/>
      <c r="Y212" s="177">
        <v>5.5898063499999999</v>
      </c>
      <c r="Z212" s="460" t="s">
        <v>1126</v>
      </c>
      <c r="AA212" s="100"/>
      <c r="AB212" s="462">
        <v>5.2534454113147433</v>
      </c>
      <c r="AC212" s="177">
        <v>-2.6738006099999998</v>
      </c>
      <c r="AD212" s="460" t="s">
        <v>1126</v>
      </c>
      <c r="AE212" s="100"/>
      <c r="AF212" s="177">
        <v>-2.0199966284162536</v>
      </c>
      <c r="AG212" s="460" t="s">
        <v>1125</v>
      </c>
      <c r="AH212" s="100"/>
      <c r="AI212" s="177">
        <v>-2.4432550300000009</v>
      </c>
      <c r="AJ212" s="465">
        <v>1.3149646340561938</v>
      </c>
      <c r="AK212" s="460" t="s">
        <v>1126</v>
      </c>
      <c r="AL212" s="84"/>
      <c r="AM212" s="177">
        <v>4.3143445941318985</v>
      </c>
      <c r="AN212" s="460" t="s">
        <v>1126</v>
      </c>
      <c r="AO212" s="6"/>
      <c r="AP212" s="6"/>
    </row>
    <row r="213" spans="1:42">
      <c r="A213" s="3"/>
      <c r="B213" s="4"/>
      <c r="C213" s="87"/>
      <c r="D213" s="26"/>
      <c r="E213" s="26"/>
      <c r="F213" s="84"/>
      <c r="G213" s="47"/>
      <c r="H213" s="47"/>
      <c r="I213" s="84"/>
      <c r="J213" s="47"/>
      <c r="K213" s="47"/>
      <c r="L213" s="115"/>
      <c r="M213" s="47"/>
      <c r="N213" s="47"/>
      <c r="O213" s="87"/>
      <c r="P213" s="52"/>
      <c r="Q213" s="47"/>
      <c r="R213" s="3"/>
      <c r="S213" s="9"/>
      <c r="T213" s="4"/>
      <c r="U213" s="100"/>
      <c r="V213" s="177">
        <v>8.8558528946928323</v>
      </c>
      <c r="W213" s="460" t="s">
        <v>1125</v>
      </c>
      <c r="X213" s="100"/>
      <c r="Y213" s="177">
        <v>6.57</v>
      </c>
      <c r="Z213" s="460" t="s">
        <v>1125</v>
      </c>
      <c r="AA213" s="100"/>
      <c r="AB213" s="225">
        <v>45.809999999999995</v>
      </c>
      <c r="AC213" s="177">
        <v>-1.7332845420758702</v>
      </c>
      <c r="AD213" s="460" t="s">
        <v>1125</v>
      </c>
      <c r="AE213" s="100"/>
      <c r="AF213" s="177">
        <v>-2.5841620000000001</v>
      </c>
      <c r="AG213" s="460" t="s">
        <v>1710</v>
      </c>
      <c r="AH213" s="100"/>
      <c r="AI213" s="177">
        <v>-3.68</v>
      </c>
      <c r="AJ213" s="466">
        <v>7.6237580096411531E-2</v>
      </c>
      <c r="AK213" s="460" t="s">
        <v>1125</v>
      </c>
      <c r="AL213" s="84"/>
      <c r="AM213" s="154">
        <v>2.3917731661480452</v>
      </c>
      <c r="AN213" s="460" t="s">
        <v>2611</v>
      </c>
      <c r="AO213" s="6"/>
      <c r="AP213" s="6"/>
    </row>
    <row r="214" spans="1:42">
      <c r="A214" s="3"/>
      <c r="B214" s="4"/>
      <c r="C214" s="87"/>
      <c r="D214" s="26"/>
      <c r="E214" s="26"/>
      <c r="F214" s="84"/>
      <c r="G214" s="47"/>
      <c r="H214" s="47"/>
      <c r="I214" s="84"/>
      <c r="J214" s="47"/>
      <c r="K214" s="47"/>
      <c r="L214" s="115"/>
      <c r="M214" s="47"/>
      <c r="N214" s="47"/>
      <c r="O214" s="87"/>
      <c r="P214" s="52"/>
      <c r="Q214" s="47"/>
      <c r="R214" s="3"/>
      <c r="S214" s="9"/>
      <c r="T214" s="4"/>
      <c r="U214" s="100"/>
      <c r="V214" s="177">
        <v>8.3701799999999995</v>
      </c>
      <c r="W214" s="460" t="s">
        <v>1705</v>
      </c>
      <c r="X214" s="100"/>
      <c r="Y214" s="177">
        <v>6.9055540000000004</v>
      </c>
      <c r="Z214" s="460" t="s">
        <v>1707</v>
      </c>
      <c r="AA214" s="100"/>
      <c r="AB214" s="461">
        <v>39.199999999999996</v>
      </c>
      <c r="AC214" s="177">
        <v>-1.8009587668314966</v>
      </c>
      <c r="AD214" s="460" t="s">
        <v>1465</v>
      </c>
      <c r="AE214" s="100"/>
      <c r="AF214" s="177">
        <v>-1.2773660774661877</v>
      </c>
      <c r="AG214" s="460" t="s">
        <v>1465</v>
      </c>
      <c r="AH214" s="100"/>
      <c r="AI214" s="177">
        <v>-2.1832264040292348</v>
      </c>
      <c r="AJ214" s="467">
        <v>2.3930000000000002</v>
      </c>
      <c r="AK214" s="460" t="s">
        <v>1467</v>
      </c>
      <c r="AL214" s="84"/>
      <c r="AM214" s="47"/>
      <c r="AN214" s="45"/>
      <c r="AO214" s="6"/>
      <c r="AP214" s="6"/>
    </row>
    <row r="215" spans="1:42">
      <c r="A215" s="3"/>
      <c r="B215" s="4"/>
      <c r="C215" s="87"/>
      <c r="D215" s="26"/>
      <c r="E215" s="26"/>
      <c r="F215" s="84"/>
      <c r="G215" s="47"/>
      <c r="H215" s="47"/>
      <c r="I215" s="84"/>
      <c r="J215" s="47"/>
      <c r="K215" s="47"/>
      <c r="L215" s="115"/>
      <c r="M215" s="47"/>
      <c r="N215" s="47"/>
      <c r="O215" s="87"/>
      <c r="P215" s="52"/>
      <c r="Q215" s="47"/>
      <c r="R215" s="3"/>
      <c r="S215" s="9"/>
      <c r="T215" s="4"/>
      <c r="U215" s="100"/>
      <c r="V215" s="177">
        <v>8.4549000000000003</v>
      </c>
      <c r="W215" s="460" t="s">
        <v>1706</v>
      </c>
      <c r="X215" s="8"/>
      <c r="Y215" s="177">
        <v>7.2778479999999979</v>
      </c>
      <c r="Z215" s="460" t="s">
        <v>1708</v>
      </c>
      <c r="AA215" s="47"/>
      <c r="AB215" s="463">
        <v>5.2510971975000018</v>
      </c>
      <c r="AC215" s="177">
        <v>-2.6739947767252037</v>
      </c>
      <c r="AD215" s="460" t="s">
        <v>1466</v>
      </c>
      <c r="AE215" s="13"/>
      <c r="AF215" s="177">
        <v>-1.9325147578737625</v>
      </c>
      <c r="AG215" s="460" t="s">
        <v>1466</v>
      </c>
      <c r="AH215" s="84"/>
      <c r="AI215" s="177">
        <v>-1.4114126627823631</v>
      </c>
      <c r="AJ215" s="464">
        <v>14.149999999999997</v>
      </c>
      <c r="AK215" s="460" t="s">
        <v>1468</v>
      </c>
      <c r="AL215" s="84"/>
      <c r="AM215" s="47"/>
      <c r="AN215" s="45"/>
      <c r="AO215" s="6"/>
      <c r="AP215" s="6"/>
    </row>
    <row r="216" spans="1:42">
      <c r="A216" s="3"/>
      <c r="B216" s="4"/>
      <c r="C216" s="87"/>
      <c r="D216" s="26"/>
      <c r="E216" s="26"/>
      <c r="F216" s="84"/>
      <c r="G216" s="47"/>
      <c r="H216" s="47"/>
      <c r="I216" s="84"/>
      <c r="J216" s="47"/>
      <c r="K216" s="47"/>
      <c r="L216" s="115"/>
      <c r="M216" s="47"/>
      <c r="N216" s="47"/>
      <c r="O216" s="87"/>
      <c r="P216" s="52"/>
      <c r="Q216" s="47"/>
      <c r="R216" s="3"/>
      <c r="S216" s="9"/>
      <c r="T216" s="4"/>
      <c r="U216" s="8"/>
      <c r="V216" s="177">
        <v>9.2449999999999992</v>
      </c>
      <c r="W216" s="460" t="s">
        <v>1465</v>
      </c>
      <c r="X216" s="8"/>
      <c r="Y216" s="177">
        <v>6.75</v>
      </c>
      <c r="Z216" s="460" t="s">
        <v>1465</v>
      </c>
      <c r="AA216" s="47"/>
      <c r="AB216" s="47"/>
      <c r="AC216" s="47"/>
      <c r="AD216" s="45"/>
      <c r="AE216" s="13"/>
      <c r="AF216" s="9"/>
      <c r="AG216" s="326"/>
      <c r="AH216" s="47"/>
      <c r="AI216" s="47"/>
      <c r="AJ216" s="47"/>
      <c r="AK216" s="45"/>
      <c r="AL216" s="84"/>
      <c r="AM216" s="47"/>
      <c r="AN216" s="45"/>
      <c r="AO216" s="6"/>
      <c r="AP216" s="6"/>
    </row>
    <row r="217" spans="1:42">
      <c r="A217" s="3"/>
      <c r="B217" s="4" t="s">
        <v>20</v>
      </c>
      <c r="C217" s="87"/>
      <c r="D217" s="4"/>
      <c r="E217" s="4"/>
      <c r="F217" s="3"/>
      <c r="G217" s="4"/>
      <c r="H217" s="4"/>
      <c r="I217" s="3"/>
      <c r="J217" s="4"/>
      <c r="K217" s="4"/>
      <c r="L217" s="115"/>
      <c r="M217" s="4"/>
      <c r="N217" s="4"/>
      <c r="O217" s="87"/>
      <c r="P217" s="4"/>
      <c r="Q217" s="4"/>
      <c r="R217" s="3"/>
      <c r="S217" s="4"/>
      <c r="T217" s="122"/>
      <c r="V217" s="9"/>
      <c r="W217" s="45"/>
      <c r="Y217" s="9"/>
      <c r="Z217" s="45"/>
      <c r="AB217" s="47"/>
      <c r="AC217" s="47"/>
      <c r="AD217" s="45"/>
      <c r="AH217" s="84"/>
      <c r="AI217" s="47"/>
      <c r="AJ217" s="47"/>
      <c r="AK217" s="45"/>
      <c r="AL217" s="84"/>
      <c r="AM217" s="47"/>
      <c r="AN217" s="45"/>
      <c r="AO217" s="47"/>
      <c r="AP217" s="47"/>
    </row>
    <row r="218" spans="1:42">
      <c r="A218" s="3" t="s">
        <v>64</v>
      </c>
      <c r="B218" s="4" t="s">
        <v>65</v>
      </c>
      <c r="C218" s="157">
        <v>103.39429998352</v>
      </c>
      <c r="D218" s="30">
        <v>103.39429998352</v>
      </c>
      <c r="E218" s="30" t="s">
        <v>1126</v>
      </c>
      <c r="F218" s="187">
        <v>0.27822774122417115</v>
      </c>
      <c r="G218" s="318">
        <v>0.27822774122417115</v>
      </c>
      <c r="H218" s="70" t="s">
        <v>1126</v>
      </c>
      <c r="I218" s="187"/>
      <c r="J218" s="318">
        <v>1.9411756868159955</v>
      </c>
      <c r="K218" s="70" t="s">
        <v>1126</v>
      </c>
      <c r="L218" s="191">
        <v>-101.453124296704</v>
      </c>
      <c r="M218" s="276">
        <v>-101.453124296704</v>
      </c>
      <c r="N218" s="13" t="s">
        <v>2792</v>
      </c>
      <c r="O218" s="187">
        <v>81.15639920000001</v>
      </c>
      <c r="P218" s="318">
        <v>81.15639920000001</v>
      </c>
      <c r="Q218" s="70" t="s">
        <v>2793</v>
      </c>
      <c r="R218" s="187">
        <v>-16.38782800000001</v>
      </c>
      <c r="S218" s="491">
        <v>-16.38782800000001</v>
      </c>
      <c r="T218" s="13" t="s">
        <v>2793</v>
      </c>
      <c r="U218" s="145">
        <v>11.537472845964359</v>
      </c>
      <c r="V218" s="15">
        <v>11.537472845964359</v>
      </c>
      <c r="W218" s="320" t="s">
        <v>2792</v>
      </c>
      <c r="X218" s="145">
        <v>4.6100000000000003</v>
      </c>
      <c r="Y218" s="15">
        <v>4.6100000000000003</v>
      </c>
      <c r="Z218" s="320" t="s">
        <v>2792</v>
      </c>
      <c r="AA218" s="145">
        <v>-2.5242420587327659</v>
      </c>
      <c r="AB218" s="371">
        <v>7.4131497824999979</v>
      </c>
      <c r="AC218" s="15">
        <v>-2.5242420587327659</v>
      </c>
      <c r="AD218" s="320" t="s">
        <v>2868</v>
      </c>
      <c r="AE218" s="145">
        <v>2</v>
      </c>
      <c r="AF218" s="15">
        <v>2</v>
      </c>
      <c r="AG218" s="320" t="s">
        <v>2792</v>
      </c>
      <c r="AH218" s="145">
        <v>-0.92277053000000075</v>
      </c>
      <c r="AI218" s="15">
        <v>-0.92277053000000075</v>
      </c>
      <c r="AJ218" s="229">
        <v>53.064982361957057</v>
      </c>
      <c r="AK218" s="320" t="s">
        <v>2792</v>
      </c>
      <c r="AL218" s="145">
        <v>2.7815664</v>
      </c>
      <c r="AM218" s="15">
        <v>2.7815664</v>
      </c>
      <c r="AN218" s="320" t="s">
        <v>2871</v>
      </c>
      <c r="AO218" s="47"/>
      <c r="AP218" s="47"/>
    </row>
    <row r="219" spans="1:42">
      <c r="A219" s="3"/>
      <c r="B219" s="171">
        <v>444.2</v>
      </c>
      <c r="C219" s="157">
        <v>14.072894776456925</v>
      </c>
      <c r="D219" s="206">
        <v>114.26504</v>
      </c>
      <c r="E219" s="206" t="s">
        <v>1125</v>
      </c>
      <c r="F219" s="157">
        <v>0.17655414306539863</v>
      </c>
      <c r="G219" s="70"/>
      <c r="H219" s="70"/>
      <c r="I219" s="157"/>
      <c r="J219" s="70"/>
      <c r="K219" s="70"/>
      <c r="L219" s="191">
        <v>15.317595612564965</v>
      </c>
      <c r="M219" s="323">
        <v>-101.453124296704</v>
      </c>
      <c r="N219" s="180" t="s">
        <v>1126</v>
      </c>
      <c r="O219" s="191">
        <v>17.532947326768802</v>
      </c>
      <c r="P219" s="323">
        <v>81.15639920000001</v>
      </c>
      <c r="Q219" s="180" t="s">
        <v>1407</v>
      </c>
      <c r="R219" s="191">
        <v>6.7225025088092298</v>
      </c>
      <c r="S219" s="323">
        <v>-16.38782800000001</v>
      </c>
      <c r="T219" s="180" t="s">
        <v>1407</v>
      </c>
      <c r="U219" s="145">
        <v>0.40148098009386779</v>
      </c>
      <c r="V219" s="177">
        <v>11.537472845964359</v>
      </c>
      <c r="W219" s="460" t="s">
        <v>1126</v>
      </c>
      <c r="X219" s="145">
        <v>0.58260719000000005</v>
      </c>
      <c r="Y219" s="177">
        <v>6.09924</v>
      </c>
      <c r="Z219" s="460" t="s">
        <v>1466</v>
      </c>
      <c r="AA219" s="145">
        <v>0.31901118714058818</v>
      </c>
      <c r="AB219" s="461">
        <v>0.22383749341959958</v>
      </c>
      <c r="AC219" s="177">
        <v>-4.0443119999999997</v>
      </c>
      <c r="AD219" s="222" t="s">
        <v>1709</v>
      </c>
      <c r="AE219" s="145">
        <v>0.20555799999999999</v>
      </c>
      <c r="AF219" s="177">
        <v>2</v>
      </c>
      <c r="AG219" s="365" t="s">
        <v>1126</v>
      </c>
      <c r="AH219" s="145">
        <v>0.14634586943482014</v>
      </c>
      <c r="AI219" s="177">
        <v>-3.9003573354263215</v>
      </c>
      <c r="AJ219" s="464">
        <v>0.31180817576989978</v>
      </c>
      <c r="AK219" s="362" t="s">
        <v>1466</v>
      </c>
      <c r="AL219" s="145">
        <v>0.50271527703840002</v>
      </c>
      <c r="AM219" s="154">
        <v>2.7815664</v>
      </c>
      <c r="AN219" s="460" t="s">
        <v>2610</v>
      </c>
      <c r="AO219" s="47"/>
      <c r="AP219" s="47"/>
    </row>
    <row r="220" spans="1:42">
      <c r="A220" s="3"/>
      <c r="B220" s="171"/>
      <c r="C220" s="157"/>
      <c r="D220" s="206"/>
      <c r="E220" s="206"/>
      <c r="F220" s="157"/>
      <c r="G220" s="70"/>
      <c r="H220" s="70"/>
      <c r="I220" s="157"/>
      <c r="J220" s="70"/>
      <c r="K220" s="70"/>
      <c r="L220" s="191"/>
      <c r="M220" s="323">
        <v>-99.928637600000002</v>
      </c>
      <c r="N220" s="180" t="s">
        <v>1408</v>
      </c>
      <c r="O220" s="191"/>
      <c r="P220" s="323">
        <v>103.11607224229583</v>
      </c>
      <c r="Q220" s="180" t="s">
        <v>1126</v>
      </c>
      <c r="R220" s="3"/>
      <c r="S220" s="323">
        <v>1.6629479455918244</v>
      </c>
      <c r="T220" s="180" t="s">
        <v>1126</v>
      </c>
      <c r="U220" s="100"/>
      <c r="V220" s="177">
        <v>10.2601</v>
      </c>
      <c r="W220" s="460" t="s">
        <v>1466</v>
      </c>
      <c r="X220" s="100"/>
      <c r="Y220" s="177">
        <v>4.6100000000000003</v>
      </c>
      <c r="Z220" s="460" t="s">
        <v>1126</v>
      </c>
      <c r="AA220" s="100"/>
      <c r="AB220" s="462">
        <v>2.3107539487241869E-4</v>
      </c>
      <c r="AC220" s="177">
        <v>-7.0304911299999997</v>
      </c>
      <c r="AD220" s="460" t="s">
        <v>1126</v>
      </c>
      <c r="AE220" s="100"/>
      <c r="AF220" s="177">
        <v>-3.7235381958267557</v>
      </c>
      <c r="AG220" s="460" t="s">
        <v>1125</v>
      </c>
      <c r="AH220" s="100"/>
      <c r="AI220" s="177">
        <v>-0.92277053000000075</v>
      </c>
      <c r="AJ220" s="465">
        <v>53.064982361957057</v>
      </c>
      <c r="AK220" s="460" t="s">
        <v>1126</v>
      </c>
      <c r="AL220" s="84"/>
      <c r="AM220" s="177">
        <v>4.0655939365733271</v>
      </c>
      <c r="AN220" s="460" t="s">
        <v>1126</v>
      </c>
      <c r="AO220" s="47"/>
      <c r="AP220" s="47"/>
    </row>
    <row r="221" spans="1:42">
      <c r="A221" s="3"/>
      <c r="B221" s="171"/>
      <c r="C221" s="157"/>
      <c r="D221" s="206"/>
      <c r="E221" s="206"/>
      <c r="F221" s="157"/>
      <c r="G221" s="70"/>
      <c r="H221" s="70"/>
      <c r="I221" s="157"/>
      <c r="J221" s="70"/>
      <c r="K221" s="70"/>
      <c r="L221" s="191"/>
      <c r="M221" s="323"/>
      <c r="N221" s="180"/>
      <c r="O221" s="191"/>
      <c r="P221" s="318"/>
      <c r="Q221" s="70"/>
      <c r="R221" s="3"/>
      <c r="S221" s="9"/>
      <c r="T221" s="4"/>
      <c r="U221" s="100"/>
      <c r="V221" s="177">
        <v>10.610756572702714</v>
      </c>
      <c r="W221" s="460" t="s">
        <v>1125</v>
      </c>
      <c r="X221" s="100"/>
      <c r="Y221" s="177">
        <v>7.02</v>
      </c>
      <c r="Z221" s="460" t="s">
        <v>1125</v>
      </c>
      <c r="AA221" s="100"/>
      <c r="AB221" s="225">
        <v>2.7499999999999987</v>
      </c>
      <c r="AC221" s="177">
        <v>-2.9549121400216913</v>
      </c>
      <c r="AD221" s="460" t="s">
        <v>1125</v>
      </c>
      <c r="AE221" s="100"/>
      <c r="AF221" s="177">
        <v>-4.3956720000000002</v>
      </c>
      <c r="AG221" s="460" t="s">
        <v>1710</v>
      </c>
      <c r="AH221" s="100"/>
      <c r="AI221" s="177">
        <v>-4.160000000000001</v>
      </c>
      <c r="AJ221" s="466">
        <v>3.073113172821907E-2</v>
      </c>
      <c r="AK221" s="460" t="s">
        <v>1125</v>
      </c>
      <c r="AL221" s="84"/>
      <c r="AM221" s="154">
        <v>2.6003031661480449</v>
      </c>
      <c r="AN221" s="460" t="s">
        <v>2611</v>
      </c>
      <c r="AO221" s="47"/>
      <c r="AP221" s="47"/>
    </row>
    <row r="222" spans="1:42">
      <c r="A222" s="3"/>
      <c r="B222" s="171"/>
      <c r="C222" s="157"/>
      <c r="D222" s="206"/>
      <c r="E222" s="206"/>
      <c r="F222" s="157"/>
      <c r="G222" s="70"/>
      <c r="H222" s="70"/>
      <c r="I222" s="157"/>
      <c r="J222" s="70"/>
      <c r="K222" s="70"/>
      <c r="L222" s="191"/>
      <c r="M222" s="323"/>
      <c r="N222" s="180"/>
      <c r="O222" s="191"/>
      <c r="P222" s="318"/>
      <c r="Q222" s="70"/>
      <c r="R222" s="3"/>
      <c r="S222" s="9"/>
      <c r="T222" s="4"/>
      <c r="U222" s="100"/>
      <c r="V222" s="177">
        <v>10.390219999999999</v>
      </c>
      <c r="W222" s="460" t="s">
        <v>1705</v>
      </c>
      <c r="X222" s="100"/>
      <c r="Y222" s="177">
        <v>6.5799240000000001</v>
      </c>
      <c r="Z222" s="460" t="s">
        <v>1707</v>
      </c>
      <c r="AA222" s="100"/>
      <c r="AB222" s="461">
        <v>2.5099999999999993</v>
      </c>
      <c r="AC222" s="177">
        <v>-2.9945711123709158</v>
      </c>
      <c r="AD222" s="460" t="s">
        <v>1465</v>
      </c>
      <c r="AE222" s="100"/>
      <c r="AF222" s="177">
        <v>-2.3233063903751336</v>
      </c>
      <c r="AG222" s="460" t="s">
        <v>1465</v>
      </c>
      <c r="AH222" s="100"/>
      <c r="AI222" s="177">
        <v>-2.5127005090173258</v>
      </c>
      <c r="AJ222" s="467">
        <v>1.3641999999999996</v>
      </c>
      <c r="AK222" s="460" t="s">
        <v>1467</v>
      </c>
      <c r="AL222" s="84"/>
      <c r="AM222" s="47"/>
      <c r="AN222" s="45"/>
      <c r="AO222" s="47"/>
      <c r="AP222" s="47"/>
    </row>
    <row r="223" spans="1:42">
      <c r="A223" s="3"/>
      <c r="B223" s="171"/>
      <c r="C223" s="157"/>
      <c r="D223" s="206"/>
      <c r="E223" s="206"/>
      <c r="F223" s="157"/>
      <c r="G223" s="70"/>
      <c r="H223" s="70"/>
      <c r="I223" s="157"/>
      <c r="J223" s="70"/>
      <c r="K223" s="70"/>
      <c r="L223" s="191"/>
      <c r="M223" s="323"/>
      <c r="N223" s="180"/>
      <c r="O223" s="191"/>
      <c r="P223" s="318"/>
      <c r="Q223" s="70"/>
      <c r="R223" s="3"/>
      <c r="S223" s="9"/>
      <c r="T223" s="4"/>
      <c r="U223" s="100"/>
      <c r="V223" s="177">
        <v>10.627300000000002</v>
      </c>
      <c r="W223" s="460" t="s">
        <v>1706</v>
      </c>
      <c r="X223" s="8"/>
      <c r="Y223" s="177">
        <v>6.8367879999999994</v>
      </c>
      <c r="Z223" s="460" t="s">
        <v>1708</v>
      </c>
      <c r="AA223" s="47"/>
      <c r="AB223" s="463">
        <v>7.4131497824999979</v>
      </c>
      <c r="AC223" s="177">
        <v>-2.5242420587327659</v>
      </c>
      <c r="AD223" s="460" t="s">
        <v>1466</v>
      </c>
      <c r="AE223" s="13"/>
      <c r="AF223" s="177">
        <v>-3.668385612952537</v>
      </c>
      <c r="AG223" s="460" t="s">
        <v>1466</v>
      </c>
      <c r="AH223" s="84"/>
      <c r="AI223" s="177">
        <v>-1.8608271320668941</v>
      </c>
      <c r="AJ223" s="464">
        <v>6.1199999999999974</v>
      </c>
      <c r="AK223" s="460" t="s">
        <v>1468</v>
      </c>
      <c r="AL223" s="84"/>
      <c r="AM223" s="47"/>
      <c r="AN223" s="45"/>
      <c r="AO223" s="47"/>
      <c r="AP223" s="47"/>
    </row>
    <row r="224" spans="1:42">
      <c r="A224" s="3"/>
      <c r="B224" s="171"/>
      <c r="C224" s="157"/>
      <c r="D224" s="206"/>
      <c r="E224" s="206"/>
      <c r="F224" s="157"/>
      <c r="G224" s="70"/>
      <c r="H224" s="70"/>
      <c r="I224" s="157"/>
      <c r="J224" s="70"/>
      <c r="K224" s="70"/>
      <c r="L224" s="191"/>
      <c r="M224" s="323"/>
      <c r="N224" s="180"/>
      <c r="O224" s="191"/>
      <c r="P224" s="318"/>
      <c r="Q224" s="70"/>
      <c r="R224" s="3"/>
      <c r="S224" s="9"/>
      <c r="T224" s="4"/>
      <c r="U224" s="8"/>
      <c r="V224" s="177">
        <v>9.3439999999999994</v>
      </c>
      <c r="W224" s="460" t="s">
        <v>1465</v>
      </c>
      <c r="X224" s="8"/>
      <c r="Y224" s="177">
        <v>6.44</v>
      </c>
      <c r="Z224" s="460" t="s">
        <v>1465</v>
      </c>
      <c r="AA224" s="47"/>
      <c r="AB224" s="47"/>
      <c r="AC224" s="47"/>
      <c r="AD224" s="45"/>
      <c r="AE224" s="13"/>
      <c r="AF224" s="9"/>
      <c r="AG224" s="326"/>
      <c r="AH224" s="47"/>
      <c r="AI224" s="47"/>
      <c r="AJ224" s="47"/>
      <c r="AK224" s="45"/>
      <c r="AL224" s="84"/>
      <c r="AM224" s="47"/>
      <c r="AN224" s="45"/>
      <c r="AO224" s="47"/>
      <c r="AP224" s="47"/>
    </row>
    <row r="225" spans="1:42">
      <c r="A225" s="504" t="s">
        <v>67</v>
      </c>
      <c r="B225" s="504"/>
      <c r="C225" s="504"/>
      <c r="D225" s="504"/>
      <c r="E225" s="504"/>
      <c r="F225" s="504"/>
      <c r="G225" s="504"/>
      <c r="H225" s="504"/>
      <c r="I225" s="504"/>
      <c r="J225" s="504"/>
      <c r="K225" s="504"/>
      <c r="L225" s="504"/>
      <c r="M225" s="504"/>
      <c r="N225" s="504"/>
      <c r="O225" s="504"/>
      <c r="P225" s="504"/>
      <c r="Q225" s="504"/>
      <c r="R225" s="504"/>
      <c r="S225" s="504"/>
      <c r="T225" s="504"/>
      <c r="U225" s="504"/>
      <c r="V225" s="504"/>
      <c r="W225" s="504"/>
      <c r="X225" s="504"/>
      <c r="Y225" s="504"/>
      <c r="Z225" s="504"/>
      <c r="AA225" s="504"/>
      <c r="AB225" s="504"/>
      <c r="AC225" s="504"/>
      <c r="AD225" s="504"/>
      <c r="AE225" s="504"/>
      <c r="AF225" s="504"/>
      <c r="AG225" s="504"/>
      <c r="AH225" s="504"/>
      <c r="AI225" s="504"/>
      <c r="AJ225" s="504"/>
      <c r="AK225" s="504"/>
      <c r="AL225" s="504"/>
      <c r="AM225" s="504"/>
      <c r="AN225" s="504"/>
      <c r="AO225" s="4"/>
      <c r="AP225" s="4"/>
    </row>
    <row r="226" spans="1:42">
      <c r="A226" s="3" t="s">
        <v>68</v>
      </c>
      <c r="B226" s="4" t="s">
        <v>69</v>
      </c>
      <c r="C226" s="157">
        <v>95.825385240160003</v>
      </c>
      <c r="D226" s="30">
        <v>95.825385240160003</v>
      </c>
      <c r="E226" s="30" t="s">
        <v>1126</v>
      </c>
      <c r="F226" s="187">
        <v>8.5991821757841791</v>
      </c>
      <c r="G226" s="318">
        <v>8.5991821757841791</v>
      </c>
      <c r="H226" s="70" t="s">
        <v>1126</v>
      </c>
      <c r="I226" s="187"/>
      <c r="J226" s="318">
        <v>14.416645774624172</v>
      </c>
      <c r="K226" s="70" t="s">
        <v>1126</v>
      </c>
      <c r="L226" s="191">
        <v>-81.408739465535831</v>
      </c>
      <c r="M226" s="276">
        <v>-81.408739465535831</v>
      </c>
      <c r="N226" s="13" t="s">
        <v>2792</v>
      </c>
      <c r="O226" s="187">
        <v>88.651607799999994</v>
      </c>
      <c r="P226" s="318">
        <v>88.651607799999994</v>
      </c>
      <c r="Q226" s="70" t="s">
        <v>2793</v>
      </c>
      <c r="R226" s="187">
        <v>19.752828000000004</v>
      </c>
      <c r="S226" s="491">
        <v>19.752828000000004</v>
      </c>
      <c r="T226" s="13" t="s">
        <v>2793</v>
      </c>
      <c r="U226" s="145">
        <v>8.4139199999999992</v>
      </c>
      <c r="V226" s="15">
        <v>8.4139199999999992</v>
      </c>
      <c r="W226" s="320" t="s">
        <v>2868</v>
      </c>
      <c r="X226" s="145">
        <v>1.52722</v>
      </c>
      <c r="Y226" s="15">
        <v>1.52722</v>
      </c>
      <c r="Z226" s="320" t="s">
        <v>2868</v>
      </c>
      <c r="AA226" s="145">
        <v>-5.9826251278887241</v>
      </c>
      <c r="AB226" s="371">
        <v>2.5799999999999933E-3</v>
      </c>
      <c r="AC226" s="15">
        <v>-5.9826251278887241</v>
      </c>
      <c r="AD226" s="320" t="s">
        <v>2869</v>
      </c>
      <c r="AE226" s="145">
        <v>-0.65757731917779372</v>
      </c>
      <c r="AF226" s="15">
        <v>-0.65757731917779372</v>
      </c>
      <c r="AG226" s="320" t="s">
        <v>2872</v>
      </c>
      <c r="AH226" s="145">
        <v>1.4234703379728786</v>
      </c>
      <c r="AI226" s="15">
        <v>1.4234703379728786</v>
      </c>
      <c r="AJ226" s="229">
        <v>7569.1841034000008</v>
      </c>
      <c r="AK226" s="320" t="s">
        <v>2868</v>
      </c>
      <c r="AL226" s="145">
        <v>2.1740961999999993</v>
      </c>
      <c r="AM226" s="15">
        <v>2.1740961999999993</v>
      </c>
      <c r="AN226" s="320" t="s">
        <v>2871</v>
      </c>
      <c r="AO226" s="6"/>
      <c r="AP226" s="6"/>
    </row>
    <row r="227" spans="1:42">
      <c r="A227" s="3"/>
      <c r="B227" s="171">
        <v>285.48200000000003</v>
      </c>
      <c r="C227" s="157">
        <v>20.449233035635384</v>
      </c>
      <c r="D227" s="206">
        <v>82.550319999999999</v>
      </c>
      <c r="E227" s="206" t="s">
        <v>1125</v>
      </c>
      <c r="F227" s="157">
        <v>12.062760772546531</v>
      </c>
      <c r="G227" s="70"/>
      <c r="H227" s="70"/>
      <c r="I227" s="157"/>
      <c r="J227" s="70"/>
      <c r="K227" s="70"/>
      <c r="L227" s="191">
        <v>8.8781928998929409</v>
      </c>
      <c r="M227" s="323">
        <v>-81.408739465535831</v>
      </c>
      <c r="N227" s="180" t="s">
        <v>1126</v>
      </c>
      <c r="O227" s="191">
        <v>16.6194282626582</v>
      </c>
      <c r="P227" s="323">
        <v>88.651607799999994</v>
      </c>
      <c r="Q227" s="180" t="s">
        <v>1407</v>
      </c>
      <c r="R227" s="191">
        <v>8.1028697510174723</v>
      </c>
      <c r="S227" s="323">
        <v>19.752828000000004</v>
      </c>
      <c r="T227" s="180" t="s">
        <v>1407</v>
      </c>
      <c r="U227" s="145">
        <v>0.55565527679999993</v>
      </c>
      <c r="V227" s="177">
        <v>9.247969136763583</v>
      </c>
      <c r="W227" s="460" t="s">
        <v>1126</v>
      </c>
      <c r="X227" s="145">
        <v>0.71162801285999999</v>
      </c>
      <c r="Y227" s="177">
        <v>1.52722</v>
      </c>
      <c r="Z227" s="460" t="s">
        <v>1466</v>
      </c>
      <c r="AA227" s="145">
        <v>1.6947161678524225</v>
      </c>
      <c r="AB227" s="461">
        <v>1.143212156278325E-4</v>
      </c>
      <c r="AC227" s="177">
        <v>-7.336117999999999</v>
      </c>
      <c r="AD227" s="222" t="s">
        <v>1709</v>
      </c>
      <c r="AE227" s="145">
        <v>0.14761624449562702</v>
      </c>
      <c r="AF227" s="177">
        <v>-3.3205256100000002</v>
      </c>
      <c r="AG227" s="365" t="s">
        <v>1126</v>
      </c>
      <c r="AH227" s="145">
        <v>1.2465400923145395</v>
      </c>
      <c r="AI227" s="177">
        <v>1.4234703379728786</v>
      </c>
      <c r="AJ227" s="464">
        <v>65722.665971669994</v>
      </c>
      <c r="AK227" s="362" t="s">
        <v>1466</v>
      </c>
      <c r="AL227" s="145">
        <v>0.39292658032219985</v>
      </c>
      <c r="AM227" s="154">
        <v>2.1740961999999993</v>
      </c>
      <c r="AN227" s="155" t="s">
        <v>2610</v>
      </c>
      <c r="AO227" s="6"/>
      <c r="AP227" s="6"/>
    </row>
    <row r="228" spans="1:42">
      <c r="A228" s="3"/>
      <c r="B228" s="4"/>
      <c r="C228" s="87"/>
      <c r="D228" s="16"/>
      <c r="F228" s="80"/>
      <c r="G228" s="119"/>
      <c r="H228" s="30"/>
      <c r="I228" s="80"/>
      <c r="J228" s="119"/>
      <c r="K228" s="30"/>
      <c r="L228" s="3"/>
      <c r="M228" s="323">
        <v>-71.279160399999995</v>
      </c>
      <c r="N228" s="180" t="s">
        <v>1408</v>
      </c>
      <c r="O228" s="3"/>
      <c r="P228" s="323">
        <v>87.226203064375824</v>
      </c>
      <c r="Q228" s="180" t="s">
        <v>1126</v>
      </c>
      <c r="R228" s="3"/>
      <c r="S228" s="323">
        <v>5.8174635988399928</v>
      </c>
      <c r="T228" s="180" t="s">
        <v>1126</v>
      </c>
      <c r="U228" s="100"/>
      <c r="V228" s="177">
        <v>8.4139199999999992</v>
      </c>
      <c r="W228" s="460" t="s">
        <v>1466</v>
      </c>
      <c r="X228" s="100"/>
      <c r="Y228" s="177">
        <v>1.79417977</v>
      </c>
      <c r="Z228" s="460" t="s">
        <v>1126</v>
      </c>
      <c r="AA228" s="100"/>
      <c r="AB228" s="462">
        <v>5.7847759618043993E-5</v>
      </c>
      <c r="AC228" s="177">
        <v>-7.63195829</v>
      </c>
      <c r="AD228" s="460" t="s">
        <v>1126</v>
      </c>
      <c r="AE228" s="100"/>
      <c r="AF228" s="177">
        <v>-0.65757731917779372</v>
      </c>
      <c r="AG228" s="460" t="s">
        <v>1125</v>
      </c>
      <c r="AH228" s="100"/>
      <c r="AI228" s="177">
        <v>0.87959267000000008</v>
      </c>
      <c r="AJ228" s="465">
        <v>2163.5722404860394</v>
      </c>
      <c r="AK228" s="460" t="s">
        <v>1126</v>
      </c>
      <c r="AL228" s="84"/>
      <c r="AM228" s="177">
        <v>4.8993574939227313</v>
      </c>
      <c r="AN228" s="460" t="s">
        <v>1126</v>
      </c>
      <c r="AO228" s="52"/>
      <c r="AP228" s="52"/>
    </row>
    <row r="229" spans="1:42">
      <c r="A229" s="3"/>
      <c r="B229" s="4"/>
      <c r="C229" s="87"/>
      <c r="D229" s="119"/>
      <c r="E229" s="4"/>
      <c r="F229" s="80"/>
      <c r="G229" s="119"/>
      <c r="H229" s="4"/>
      <c r="I229" s="80"/>
      <c r="J229" s="119"/>
      <c r="K229" s="4"/>
      <c r="L229" s="115"/>
      <c r="M229" s="119"/>
      <c r="N229" s="4"/>
      <c r="O229" s="80"/>
      <c r="P229" s="119"/>
      <c r="Q229" s="4"/>
      <c r="R229" s="3"/>
      <c r="S229" s="9"/>
      <c r="T229" s="4"/>
      <c r="U229" s="100"/>
      <c r="V229" s="177">
        <v>7.54336609680366</v>
      </c>
      <c r="W229" s="460" t="s">
        <v>1125</v>
      </c>
      <c r="X229" s="100"/>
      <c r="Y229" s="177">
        <v>4.3</v>
      </c>
      <c r="Z229" s="460" t="s">
        <v>1125</v>
      </c>
      <c r="AA229" s="100"/>
      <c r="AB229" s="225">
        <v>5.0599999999999961</v>
      </c>
      <c r="AC229" s="177">
        <v>-2.690094317012155</v>
      </c>
      <c r="AD229" s="460" t="s">
        <v>1125</v>
      </c>
      <c r="AE229" s="100"/>
      <c r="AF229" s="177">
        <v>-3.0360939999999994</v>
      </c>
      <c r="AG229" s="460" t="s">
        <v>1710</v>
      </c>
      <c r="AH229" s="100"/>
      <c r="AI229" s="177">
        <v>-1.3600000000000003</v>
      </c>
      <c r="AJ229" s="466">
        <v>12.461741281958691</v>
      </c>
      <c r="AK229" s="460" t="s">
        <v>1125</v>
      </c>
      <c r="AL229" s="84"/>
      <c r="AM229" s="154">
        <v>2.0472611661480453</v>
      </c>
      <c r="AN229" s="155" t="s">
        <v>2611</v>
      </c>
      <c r="AO229" s="52"/>
      <c r="AP229" s="52"/>
    </row>
    <row r="230" spans="1:42">
      <c r="A230" s="3"/>
      <c r="B230" s="4"/>
      <c r="C230" s="87"/>
      <c r="D230" s="119"/>
      <c r="E230" s="4"/>
      <c r="F230" s="80"/>
      <c r="G230" s="119"/>
      <c r="H230" s="4"/>
      <c r="I230" s="80"/>
      <c r="J230" s="119"/>
      <c r="K230" s="4"/>
      <c r="L230" s="115"/>
      <c r="M230" s="119"/>
      <c r="N230" s="4"/>
      <c r="O230" s="80"/>
      <c r="P230" s="119"/>
      <c r="Q230" s="4"/>
      <c r="R230" s="3"/>
      <c r="S230" s="9"/>
      <c r="T230" s="4"/>
      <c r="U230" s="100"/>
      <c r="V230" s="177">
        <v>8.4775999999999989</v>
      </c>
      <c r="W230" s="460" t="s">
        <v>1705</v>
      </c>
      <c r="X230" s="100"/>
      <c r="Y230" s="177">
        <v>1.5662859999999998</v>
      </c>
      <c r="Z230" s="460" t="s">
        <v>1707</v>
      </c>
      <c r="AA230" s="100"/>
      <c r="AB230" s="461">
        <v>2.5799999999999933E-3</v>
      </c>
      <c r="AC230" s="177">
        <v>-5.9826251278887241</v>
      </c>
      <c r="AD230" s="460" t="s">
        <v>1465</v>
      </c>
      <c r="AE230" s="100"/>
      <c r="AF230" s="177">
        <v>-1.2644011003018201</v>
      </c>
      <c r="AG230" s="460" t="s">
        <v>1465</v>
      </c>
      <c r="AH230" s="100"/>
      <c r="AI230" s="177">
        <v>4.2923532974060405</v>
      </c>
      <c r="AJ230" s="467">
        <v>5596700.0000000093</v>
      </c>
      <c r="AK230" s="460" t="s">
        <v>1467</v>
      </c>
      <c r="AL230" s="84"/>
      <c r="AM230" s="47"/>
      <c r="AN230" s="45"/>
      <c r="AO230" s="52"/>
      <c r="AP230" s="52"/>
    </row>
    <row r="231" spans="1:42">
      <c r="A231" s="3"/>
      <c r="B231" s="4"/>
      <c r="C231" s="87"/>
      <c r="D231" s="119"/>
      <c r="E231" s="4"/>
      <c r="F231" s="80"/>
      <c r="G231" s="119"/>
      <c r="H231" s="4"/>
      <c r="I231" s="80"/>
      <c r="J231" s="119"/>
      <c r="K231" s="4"/>
      <c r="L231" s="115"/>
      <c r="M231" s="119"/>
      <c r="N231" s="4"/>
      <c r="O231" s="80"/>
      <c r="R231" s="3"/>
      <c r="S231" s="9"/>
      <c r="T231" s="4"/>
      <c r="U231" s="100"/>
      <c r="V231" s="177">
        <v>8.9574999999999996</v>
      </c>
      <c r="W231" s="460" t="s">
        <v>1706</v>
      </c>
      <c r="X231" s="8"/>
      <c r="Y231" s="177">
        <v>1.3790319999999998</v>
      </c>
      <c r="Z231" s="460" t="s">
        <v>1708</v>
      </c>
      <c r="AA231" s="47"/>
      <c r="AB231" s="463">
        <v>1.2969903974999976E-2</v>
      </c>
      <c r="AC231" s="177">
        <v>-5.281308073132716</v>
      </c>
      <c r="AD231" s="460" t="s">
        <v>1466</v>
      </c>
      <c r="AE231" s="13"/>
      <c r="AF231" s="177">
        <v>0.66996883270865615</v>
      </c>
      <c r="AG231" s="460" t="s">
        <v>1466</v>
      </c>
      <c r="AH231" s="84"/>
      <c r="AI231" s="177">
        <v>3.4878663183945275</v>
      </c>
      <c r="AJ231" s="464">
        <v>877900.00000000081</v>
      </c>
      <c r="AK231" s="460" t="s">
        <v>1468</v>
      </c>
      <c r="AL231" s="84"/>
      <c r="AM231" s="47"/>
      <c r="AN231" s="45"/>
      <c r="AO231" s="52"/>
      <c r="AP231" s="52"/>
    </row>
    <row r="232" spans="1:42">
      <c r="A232" s="3"/>
      <c r="B232" s="4"/>
      <c r="C232" s="87"/>
      <c r="D232" s="119"/>
      <c r="E232" s="4"/>
      <c r="F232" s="80"/>
      <c r="G232" s="119"/>
      <c r="H232" s="4"/>
      <c r="I232" s="80"/>
      <c r="J232" s="119"/>
      <c r="K232" s="4"/>
      <c r="L232" s="115"/>
      <c r="M232" s="119"/>
      <c r="N232" s="4"/>
      <c r="O232" s="80"/>
      <c r="R232" s="3"/>
      <c r="S232" s="9"/>
      <c r="T232" s="4"/>
      <c r="U232" s="100"/>
      <c r="V232" s="177">
        <v>5.3109999999999999</v>
      </c>
      <c r="W232" s="460" t="s">
        <v>1465</v>
      </c>
      <c r="X232" s="8"/>
      <c r="Y232" s="177">
        <v>1.63</v>
      </c>
      <c r="Z232" s="460" t="s">
        <v>1465</v>
      </c>
      <c r="AA232" s="47"/>
      <c r="AB232" s="47"/>
      <c r="AC232" s="47"/>
      <c r="AD232" s="45"/>
      <c r="AE232" s="13"/>
      <c r="AF232" s="9"/>
      <c r="AG232" s="9"/>
      <c r="AH232" s="84"/>
      <c r="AI232" s="47"/>
      <c r="AJ232" s="47"/>
      <c r="AK232" s="45"/>
      <c r="AL232" s="84"/>
      <c r="AM232" s="47"/>
      <c r="AN232" s="45"/>
      <c r="AO232" s="52"/>
      <c r="AP232" s="52"/>
    </row>
    <row r="233" spans="1:42">
      <c r="A233" s="3"/>
      <c r="B233" s="4"/>
      <c r="C233" s="87"/>
      <c r="D233" s="119"/>
      <c r="E233" s="4"/>
      <c r="F233" s="80"/>
      <c r="G233" s="119"/>
      <c r="H233" s="4"/>
      <c r="I233" s="80"/>
      <c r="J233" s="119"/>
      <c r="K233" s="4"/>
      <c r="L233" s="115"/>
      <c r="M233" s="119"/>
      <c r="N233" s="4"/>
      <c r="O233" s="80"/>
      <c r="R233" s="80"/>
      <c r="S233" s="171"/>
      <c r="T233" s="4"/>
      <c r="U233" s="100"/>
      <c r="V233" s="15"/>
      <c r="W233" s="320"/>
      <c r="AA233" s="78"/>
      <c r="AB233" s="52"/>
      <c r="AC233" s="52"/>
      <c r="AD233" s="42"/>
      <c r="AH233" s="78"/>
      <c r="AJ233" s="52"/>
      <c r="AK233" s="42"/>
      <c r="AL233" s="78"/>
      <c r="AM233" s="52"/>
      <c r="AN233" s="42"/>
      <c r="AO233" s="52"/>
      <c r="AP233" s="52"/>
    </row>
    <row r="234" spans="1:42">
      <c r="A234" s="3" t="s">
        <v>73</v>
      </c>
      <c r="B234" s="4" t="s">
        <v>74</v>
      </c>
      <c r="C234" s="157">
        <v>92.865520169839996</v>
      </c>
      <c r="D234" s="30">
        <v>92.865520169839996</v>
      </c>
      <c r="E234" s="30" t="s">
        <v>1126</v>
      </c>
      <c r="F234" s="187">
        <v>-0.73212846989601132</v>
      </c>
      <c r="G234" s="318">
        <v>-0.73212846989601132</v>
      </c>
      <c r="H234" s="70" t="s">
        <v>1126</v>
      </c>
      <c r="I234" s="187"/>
      <c r="J234" s="318">
        <v>10.523885889296238</v>
      </c>
      <c r="K234" s="70" t="s">
        <v>1126</v>
      </c>
      <c r="L234" s="191">
        <v>-82.341634280543758</v>
      </c>
      <c r="M234" s="276">
        <v>-82.341634280543758</v>
      </c>
      <c r="N234" s="13" t="s">
        <v>2792</v>
      </c>
      <c r="O234" s="187">
        <v>112.60832490000001</v>
      </c>
      <c r="P234" s="318">
        <v>112.60832490000001</v>
      </c>
      <c r="Q234" s="70" t="s">
        <v>2793</v>
      </c>
      <c r="R234" s="187">
        <v>22.089963999999991</v>
      </c>
      <c r="S234" s="491">
        <v>22.089963999999991</v>
      </c>
      <c r="T234" s="13" t="s">
        <v>2793</v>
      </c>
      <c r="U234" s="145">
        <v>8.8471499999999992</v>
      </c>
      <c r="V234" s="15">
        <v>8.8471499999999992</v>
      </c>
      <c r="W234" s="320" t="s">
        <v>2868</v>
      </c>
      <c r="X234" s="145">
        <v>2.71882</v>
      </c>
      <c r="Y234" s="15">
        <v>2.71882</v>
      </c>
      <c r="Z234" s="320" t="s">
        <v>2868</v>
      </c>
      <c r="AA234" s="145">
        <v>-5.613207895230822</v>
      </c>
      <c r="AB234" s="371">
        <v>6.0399999999999968E-3</v>
      </c>
      <c r="AC234" s="15">
        <v>-5.613207895230822</v>
      </c>
      <c r="AD234" s="320" t="s">
        <v>2869</v>
      </c>
      <c r="AE234" s="145">
        <v>-1.3251388592621884</v>
      </c>
      <c r="AF234" s="15">
        <v>-1.3251388592621884</v>
      </c>
      <c r="AG234" s="320" t="s">
        <v>2872</v>
      </c>
      <c r="AH234" s="145">
        <v>0.41964188623855292</v>
      </c>
      <c r="AI234" s="15">
        <v>0.41964188623855292</v>
      </c>
      <c r="AJ234" s="229">
        <v>860.86832030000005</v>
      </c>
      <c r="AK234" s="320" t="s">
        <v>2868</v>
      </c>
      <c r="AL234" s="145">
        <v>2.9175402999999984</v>
      </c>
      <c r="AM234" s="15">
        <v>2.9175402999999984</v>
      </c>
      <c r="AN234" s="320" t="s">
        <v>2871</v>
      </c>
      <c r="AO234" s="6"/>
      <c r="AP234" s="6"/>
    </row>
    <row r="235" spans="1:42">
      <c r="A235" s="3"/>
      <c r="B235" s="171">
        <v>327.56299999999999</v>
      </c>
      <c r="C235" s="157">
        <v>19.817594869764026</v>
      </c>
      <c r="D235" s="206">
        <v>88.324240000000003</v>
      </c>
      <c r="E235" s="206" t="s">
        <v>1125</v>
      </c>
      <c r="F235" s="157">
        <v>1.0270151750007268</v>
      </c>
      <c r="G235" s="70"/>
      <c r="H235" s="70"/>
      <c r="I235" s="157"/>
      <c r="J235" s="70"/>
      <c r="K235" s="70"/>
      <c r="L235" s="191">
        <v>8.97993160973326</v>
      </c>
      <c r="M235" s="323">
        <v>-82.341634280543758</v>
      </c>
      <c r="N235" s="180" t="s">
        <v>1126</v>
      </c>
      <c r="O235" s="191">
        <v>21.110570060678103</v>
      </c>
      <c r="P235" s="323">
        <v>112.60832490000001</v>
      </c>
      <c r="Q235" s="180" t="s">
        <v>1407</v>
      </c>
      <c r="R235" s="191">
        <v>9.0615936663177958</v>
      </c>
      <c r="S235" s="323">
        <v>22.089963999999991</v>
      </c>
      <c r="T235" s="180" t="s">
        <v>1407</v>
      </c>
      <c r="U235" s="145">
        <v>0.58426578600000001</v>
      </c>
      <c r="V235" s="177">
        <v>9.0525488041372473</v>
      </c>
      <c r="W235" s="460" t="s">
        <v>1126</v>
      </c>
      <c r="X235" s="145">
        <v>1.2668695236600001</v>
      </c>
      <c r="Y235" s="177">
        <v>2.71882</v>
      </c>
      <c r="Z235" s="460" t="s">
        <v>1466</v>
      </c>
      <c r="AA235" s="145">
        <v>1.5900702401057205</v>
      </c>
      <c r="AB235" s="461">
        <v>4.5545537724242134E-3</v>
      </c>
      <c r="AC235" s="177">
        <v>-5.7357989999999983</v>
      </c>
      <c r="AD235" s="222" t="s">
        <v>1709</v>
      </c>
      <c r="AE235" s="145">
        <v>0.29747379682147235</v>
      </c>
      <c r="AF235" s="177">
        <v>-2.7382714699999999</v>
      </c>
      <c r="AG235" s="365" t="s">
        <v>1126</v>
      </c>
      <c r="AH235" s="145">
        <v>0.36748249798853194</v>
      </c>
      <c r="AI235" s="177">
        <v>0.41964188623855292</v>
      </c>
      <c r="AJ235" s="464">
        <v>6514.5844767099998</v>
      </c>
      <c r="AK235" s="362" t="s">
        <v>1466</v>
      </c>
      <c r="AL235" s="145">
        <v>0.52728997595929972</v>
      </c>
      <c r="AM235" s="154">
        <v>2.9175402999999984</v>
      </c>
      <c r="AN235" s="155" t="s">
        <v>2610</v>
      </c>
      <c r="AO235" s="6"/>
      <c r="AP235" s="6"/>
    </row>
    <row r="236" spans="1:42">
      <c r="A236" s="3"/>
      <c r="B236" s="4"/>
      <c r="C236" s="87"/>
      <c r="D236" s="119"/>
      <c r="E236" s="30"/>
      <c r="F236" s="80"/>
      <c r="G236" s="119"/>
      <c r="H236" s="30"/>
      <c r="I236" s="80"/>
      <c r="J236" s="119"/>
      <c r="K236" s="30"/>
      <c r="L236" s="3"/>
      <c r="M236" s="323">
        <v>-92.902544200000008</v>
      </c>
      <c r="N236" s="180" t="s">
        <v>1408</v>
      </c>
      <c r="O236" s="3"/>
      <c r="P236" s="323">
        <v>93.597648639736008</v>
      </c>
      <c r="Q236" s="180" t="s">
        <v>1126</v>
      </c>
      <c r="R236" s="3"/>
      <c r="S236" s="323">
        <v>11.25601435919225</v>
      </c>
      <c r="T236" s="180" t="s">
        <v>1126</v>
      </c>
      <c r="U236" s="100"/>
      <c r="V236" s="177">
        <v>8.8471499999999992</v>
      </c>
      <c r="W236" s="460" t="s">
        <v>1466</v>
      </c>
      <c r="X236" s="100"/>
      <c r="Y236" s="177">
        <v>3.1287227999999998</v>
      </c>
      <c r="Z236" s="460" t="s">
        <v>1126</v>
      </c>
      <c r="AA236" s="100"/>
      <c r="AB236" s="462">
        <v>2.4769767712578745E-3</v>
      </c>
      <c r="AC236" s="177">
        <v>-6.0003228999999996</v>
      </c>
      <c r="AD236" s="460" t="s">
        <v>1126</v>
      </c>
      <c r="AE236" s="100"/>
      <c r="AF236" s="177">
        <v>-1.3251388592621884</v>
      </c>
      <c r="AG236" s="460" t="s">
        <v>1125</v>
      </c>
      <c r="AH236" s="100"/>
      <c r="AI236" s="177">
        <v>-0.1740585700000003</v>
      </c>
      <c r="AJ236" s="465">
        <v>219.39982153056502</v>
      </c>
      <c r="AK236" s="460" t="s">
        <v>1126</v>
      </c>
      <c r="AL236" s="84"/>
      <c r="AM236" s="177">
        <v>3.8393151268176555</v>
      </c>
      <c r="AN236" s="460" t="s">
        <v>1126</v>
      </c>
      <c r="AO236" s="52"/>
      <c r="AP236" s="52"/>
    </row>
    <row r="237" spans="1:42">
      <c r="A237" s="3"/>
      <c r="B237" s="4"/>
      <c r="C237" s="87"/>
      <c r="D237" s="119"/>
      <c r="E237" s="4"/>
      <c r="F237" s="80"/>
      <c r="G237" s="119"/>
      <c r="H237" s="4"/>
      <c r="I237" s="80"/>
      <c r="J237" s="119"/>
      <c r="K237" s="4"/>
      <c r="L237" s="115"/>
      <c r="M237" s="119"/>
      <c r="N237" s="4"/>
      <c r="O237" s="80"/>
      <c r="P237" s="119"/>
      <c r="Q237" s="4"/>
      <c r="R237" s="3"/>
      <c r="S237" s="9"/>
      <c r="T237" s="4"/>
      <c r="U237" s="100"/>
      <c r="V237" s="177">
        <v>8.1017741822177687</v>
      </c>
      <c r="W237" s="460" t="s">
        <v>1125</v>
      </c>
      <c r="X237" s="100"/>
      <c r="Y237" s="177">
        <v>6.04</v>
      </c>
      <c r="Z237" s="460" t="s">
        <v>1125</v>
      </c>
      <c r="AA237" s="100"/>
      <c r="AB237" s="225">
        <v>72.77</v>
      </c>
      <c r="AC237" s="177">
        <v>-1.5322924589305023</v>
      </c>
      <c r="AD237" s="460" t="s">
        <v>1125</v>
      </c>
      <c r="AE237" s="100"/>
      <c r="AF237" s="177">
        <v>-2.2959190000000023</v>
      </c>
      <c r="AG237" s="460" t="s">
        <v>1710</v>
      </c>
      <c r="AH237" s="100"/>
      <c r="AI237" s="177">
        <v>-3.1900000000000013</v>
      </c>
      <c r="AJ237" s="466">
        <v>0.21149243622527816</v>
      </c>
      <c r="AK237" s="460" t="s">
        <v>1125</v>
      </c>
      <c r="AL237" s="84"/>
      <c r="AM237" s="154">
        <v>3.8054961661480444</v>
      </c>
      <c r="AN237" s="155" t="s">
        <v>2611</v>
      </c>
      <c r="AO237" s="52"/>
      <c r="AP237" s="52"/>
    </row>
    <row r="238" spans="1:42">
      <c r="A238" s="3"/>
      <c r="B238" s="4"/>
      <c r="C238" s="87"/>
      <c r="D238" s="119"/>
      <c r="E238" s="4"/>
      <c r="F238" s="80"/>
      <c r="G238" s="119"/>
      <c r="H238" s="4"/>
      <c r="I238" s="80"/>
      <c r="J238" s="119"/>
      <c r="K238" s="4"/>
      <c r="L238" s="115"/>
      <c r="M238" s="119"/>
      <c r="N238" s="4"/>
      <c r="O238" s="80"/>
      <c r="P238" s="119"/>
      <c r="Q238" s="4"/>
      <c r="R238" s="3"/>
      <c r="S238" s="9"/>
      <c r="T238" s="4"/>
      <c r="U238" s="100"/>
      <c r="V238" s="177">
        <v>9.4956600000000009</v>
      </c>
      <c r="W238" s="460" t="s">
        <v>1705</v>
      </c>
      <c r="X238" s="100"/>
      <c r="Y238" s="177">
        <v>3.0606729999999986</v>
      </c>
      <c r="Z238" s="460" t="s">
        <v>1707</v>
      </c>
      <c r="AA238" s="100"/>
      <c r="AB238" s="461">
        <v>6.0399999999999968E-3</v>
      </c>
      <c r="AC238" s="177">
        <v>-5.613207895230822</v>
      </c>
      <c r="AD238" s="460" t="s">
        <v>1465</v>
      </c>
      <c r="AE238" s="100"/>
      <c r="AF238" s="177">
        <v>-2.1232050237992994</v>
      </c>
      <c r="AG238" s="460" t="s">
        <v>1465</v>
      </c>
      <c r="AH238" s="100"/>
      <c r="AI238" s="177">
        <v>3.3540307711258635</v>
      </c>
      <c r="AJ238" s="467">
        <v>740160.00000000093</v>
      </c>
      <c r="AK238" s="460" t="s">
        <v>1467</v>
      </c>
      <c r="AL238" s="84"/>
      <c r="AM238" s="47"/>
      <c r="AN238" s="45"/>
      <c r="AO238" s="52"/>
      <c r="AP238" s="52"/>
    </row>
    <row r="239" spans="1:42">
      <c r="A239" s="3"/>
      <c r="B239" s="4"/>
      <c r="C239" s="87"/>
      <c r="D239" s="119"/>
      <c r="E239" s="4"/>
      <c r="F239" s="80"/>
      <c r="G239" s="119"/>
      <c r="H239" s="4"/>
      <c r="I239" s="80"/>
      <c r="J239" s="119"/>
      <c r="K239" s="4"/>
      <c r="L239" s="115"/>
      <c r="M239" s="119"/>
      <c r="N239" s="4"/>
      <c r="O239" s="80"/>
      <c r="R239" s="3"/>
      <c r="S239" s="9"/>
      <c r="T239" s="4"/>
      <c r="U239" s="100"/>
      <c r="V239" s="177">
        <v>9.9535</v>
      </c>
      <c r="W239" s="460" t="s">
        <v>1706</v>
      </c>
      <c r="X239" s="8"/>
      <c r="Y239" s="177">
        <v>2.771625999999999</v>
      </c>
      <c r="Z239" s="460" t="s">
        <v>1708</v>
      </c>
      <c r="AA239" s="47"/>
      <c r="AB239" s="463">
        <v>0.16050994574999961</v>
      </c>
      <c r="AC239" s="177">
        <v>-4.1887428858928786</v>
      </c>
      <c r="AD239" s="460" t="s">
        <v>1466</v>
      </c>
      <c r="AE239" s="13"/>
      <c r="AF239" s="177">
        <v>-0.30072424437468082</v>
      </c>
      <c r="AG239" s="460" t="s">
        <v>1466</v>
      </c>
      <c r="AH239" s="84"/>
      <c r="AI239" s="177">
        <v>2.1994539207603978</v>
      </c>
      <c r="AJ239" s="464">
        <v>51850.000000000015</v>
      </c>
      <c r="AK239" s="460" t="s">
        <v>1468</v>
      </c>
      <c r="AL239" s="84"/>
      <c r="AM239" s="47"/>
      <c r="AN239" s="45"/>
      <c r="AO239" s="52"/>
      <c r="AP239" s="52"/>
    </row>
    <row r="240" spans="1:42">
      <c r="A240" s="3"/>
      <c r="B240" s="4"/>
      <c r="C240" s="87"/>
      <c r="D240" s="119"/>
      <c r="E240" s="4"/>
      <c r="F240" s="80"/>
      <c r="G240" s="119"/>
      <c r="H240" s="4"/>
      <c r="I240" s="80"/>
      <c r="J240" s="119"/>
      <c r="K240" s="4"/>
      <c r="L240" s="115"/>
      <c r="M240" s="119"/>
      <c r="N240" s="4"/>
      <c r="O240" s="80"/>
      <c r="R240" s="3"/>
      <c r="S240" s="9"/>
      <c r="T240" s="4"/>
      <c r="U240" s="100"/>
      <c r="V240" s="177">
        <v>8.2029999999999994</v>
      </c>
      <c r="W240" s="460" t="s">
        <v>1465</v>
      </c>
      <c r="X240" s="8"/>
      <c r="Y240" s="177">
        <v>2.89</v>
      </c>
      <c r="Z240" s="460" t="s">
        <v>1465</v>
      </c>
      <c r="AA240" s="47"/>
      <c r="AB240" s="47"/>
      <c r="AC240" s="47"/>
      <c r="AD240" s="45"/>
      <c r="AE240" s="13"/>
      <c r="AF240" s="9"/>
      <c r="AG240" s="9"/>
      <c r="AH240" s="84"/>
      <c r="AI240" s="47"/>
      <c r="AJ240" s="47"/>
      <c r="AK240" s="45"/>
      <c r="AL240" s="84"/>
      <c r="AM240" s="47"/>
      <c r="AN240" s="45"/>
      <c r="AO240" s="52"/>
      <c r="AP240" s="52"/>
    </row>
    <row r="241" spans="1:42">
      <c r="A241" s="3"/>
      <c r="B241" s="4"/>
      <c r="C241" s="87"/>
      <c r="D241" s="119"/>
      <c r="E241" s="4"/>
      <c r="F241" s="80"/>
      <c r="G241" s="119"/>
      <c r="H241" s="4"/>
      <c r="I241" s="80"/>
      <c r="J241" s="119"/>
      <c r="K241" s="4"/>
      <c r="L241" s="115"/>
      <c r="M241" s="119"/>
      <c r="N241" s="4"/>
      <c r="O241" s="80"/>
      <c r="R241" s="80"/>
      <c r="S241" s="171"/>
      <c r="T241" s="4"/>
      <c r="U241" s="87"/>
      <c r="V241" s="52"/>
      <c r="W241" s="42"/>
      <c r="Y241" s="52"/>
      <c r="Z241" s="42"/>
      <c r="AB241" s="221"/>
      <c r="AC241" s="221"/>
      <c r="AD241" s="222"/>
      <c r="AH241" s="78"/>
      <c r="AJ241" s="52"/>
      <c r="AK241" s="42"/>
      <c r="AL241" s="78"/>
      <c r="AM241" s="52"/>
      <c r="AN241" s="42"/>
      <c r="AO241" s="52"/>
      <c r="AP241" s="52"/>
    </row>
    <row r="242" spans="1:42">
      <c r="A242" s="3" t="s">
        <v>75</v>
      </c>
      <c r="B242" s="4" t="s">
        <v>76</v>
      </c>
      <c r="C242" s="157">
        <v>110.1490670284</v>
      </c>
      <c r="D242" s="30">
        <v>110.1490670284</v>
      </c>
      <c r="E242" s="30" t="s">
        <v>1126</v>
      </c>
      <c r="F242" s="187">
        <v>8.4122944185202044</v>
      </c>
      <c r="G242" s="318">
        <v>8.4122944185202044</v>
      </c>
      <c r="H242" s="70" t="s">
        <v>1126</v>
      </c>
      <c r="I242" s="187"/>
      <c r="J242" s="318">
        <v>11.45452447393582</v>
      </c>
      <c r="K242" s="70" t="s">
        <v>1126</v>
      </c>
      <c r="L242" s="191">
        <v>-98.694542554464178</v>
      </c>
      <c r="M242" s="276">
        <v>-98.694542554464178</v>
      </c>
      <c r="N242" s="13" t="s">
        <v>2792</v>
      </c>
      <c r="O242" s="187">
        <v>117.4782165</v>
      </c>
      <c r="P242" s="318">
        <v>117.4782165</v>
      </c>
      <c r="Q242" s="70" t="s">
        <v>2793</v>
      </c>
      <c r="R242" s="187">
        <v>20.914440000000003</v>
      </c>
      <c r="S242" s="491">
        <v>20.914440000000003</v>
      </c>
      <c r="T242" s="13" t="s">
        <v>2793</v>
      </c>
      <c r="U242" s="145">
        <v>10.255100000000001</v>
      </c>
      <c r="V242" s="15">
        <v>10.255100000000001</v>
      </c>
      <c r="W242" s="320" t="s">
        <v>2868</v>
      </c>
      <c r="X242" s="145">
        <v>3.6442600000000001</v>
      </c>
      <c r="Y242" s="15">
        <v>3.6442600000000001</v>
      </c>
      <c r="Z242" s="320" t="s">
        <v>2868</v>
      </c>
      <c r="AA242" s="145">
        <v>-6.9726409069821225</v>
      </c>
      <c r="AB242" s="371">
        <v>2.6400000000000013E-4</v>
      </c>
      <c r="AC242" s="15">
        <v>-6.9726409069821225</v>
      </c>
      <c r="AD242" s="320" t="s">
        <v>2869</v>
      </c>
      <c r="AE242" s="145">
        <v>-4.4424927980943423</v>
      </c>
      <c r="AF242" s="15">
        <v>-4.4424927980943423</v>
      </c>
      <c r="AG242" s="320" t="s">
        <v>2872</v>
      </c>
      <c r="AH242" s="145">
        <v>-1.3509446987701648</v>
      </c>
      <c r="AI242" s="15">
        <v>-1.3509446987701648</v>
      </c>
      <c r="AJ242" s="229">
        <v>19.205282885700001</v>
      </c>
      <c r="AK242" s="320" t="s">
        <v>2868</v>
      </c>
      <c r="AL242" s="145">
        <v>2.4274862999999964</v>
      </c>
      <c r="AM242" s="15">
        <v>2.4274862999999964</v>
      </c>
      <c r="AN242" s="320" t="s">
        <v>2871</v>
      </c>
      <c r="AO242" s="6"/>
      <c r="AP242" s="6"/>
    </row>
    <row r="243" spans="1:42">
      <c r="A243" s="3"/>
      <c r="B243" s="171">
        <v>430.88900000000001</v>
      </c>
      <c r="C243" s="157">
        <v>23.50592105292759</v>
      </c>
      <c r="D243" s="206">
        <v>121.29416000000001</v>
      </c>
      <c r="E243" s="206" t="s">
        <v>1125</v>
      </c>
      <c r="F243" s="157">
        <v>11.800598364411771</v>
      </c>
      <c r="G243" s="70"/>
      <c r="H243" s="70"/>
      <c r="I243" s="157"/>
      <c r="J243" s="70"/>
      <c r="K243" s="70"/>
      <c r="L243" s="191">
        <v>10.763330727362201</v>
      </c>
      <c r="M243" s="323">
        <v>-98.694542554464178</v>
      </c>
      <c r="N243" s="180" t="s">
        <v>1126</v>
      </c>
      <c r="O243" s="191">
        <v>22.023523769038501</v>
      </c>
      <c r="P243" s="323">
        <v>117.4782165</v>
      </c>
      <c r="Q243" s="180" t="s">
        <v>1407</v>
      </c>
      <c r="R243" s="191">
        <v>8.5793782660118261</v>
      </c>
      <c r="S243" s="323">
        <v>20.914440000000003</v>
      </c>
      <c r="T243" s="180" t="s">
        <v>1407</v>
      </c>
      <c r="U243" s="145">
        <v>0.67724680400000004</v>
      </c>
      <c r="V243" s="177">
        <v>10.968803128349345</v>
      </c>
      <c r="W243" s="460" t="s">
        <v>1126</v>
      </c>
      <c r="X243" s="145">
        <v>1.6980903223800001</v>
      </c>
      <c r="Y243" s="177">
        <v>3.6442600000000001</v>
      </c>
      <c r="Z243" s="460" t="s">
        <v>1466</v>
      </c>
      <c r="AA243" s="145">
        <v>1.9751609076435468</v>
      </c>
      <c r="AB243" s="461">
        <v>2.7550522127163664E-5</v>
      </c>
      <c r="AC243" s="177">
        <v>-7.9541149999999998</v>
      </c>
      <c r="AD243" s="222" t="s">
        <v>1709</v>
      </c>
      <c r="AE243" s="145">
        <v>0.99727299578020834</v>
      </c>
      <c r="AF243" s="177">
        <v>-4.8382842799999999</v>
      </c>
      <c r="AG243" s="365" t="s">
        <v>1126</v>
      </c>
      <c r="AH243" s="145">
        <v>1.1830290274365272</v>
      </c>
      <c r="AI243" s="177">
        <v>-1.3509446987701648</v>
      </c>
      <c r="AJ243" s="464">
        <v>110.48418975183</v>
      </c>
      <c r="AK243" s="362" t="s">
        <v>1466</v>
      </c>
      <c r="AL243" s="145">
        <v>0.43872202648529934</v>
      </c>
      <c r="AM243" s="154">
        <v>2.4274862999999964</v>
      </c>
      <c r="AN243" s="155" t="s">
        <v>2610</v>
      </c>
      <c r="AO243" s="6"/>
      <c r="AP243" s="6"/>
    </row>
    <row r="244" spans="1:42">
      <c r="A244" s="3"/>
      <c r="B244" s="4"/>
      <c r="C244" s="87"/>
      <c r="D244" s="119"/>
      <c r="E244" s="30"/>
      <c r="F244" s="80"/>
      <c r="G244" s="119"/>
      <c r="H244" s="30"/>
      <c r="I244" s="80"/>
      <c r="J244" s="119"/>
      <c r="K244" s="30"/>
      <c r="L244" s="3"/>
      <c r="M244" s="323">
        <v>-98.944387000000006</v>
      </c>
      <c r="N244" s="180" t="s">
        <v>1408</v>
      </c>
      <c r="O244" s="3"/>
      <c r="P244" s="323">
        <v>101.73677260987979</v>
      </c>
      <c r="Q244" s="180" t="s">
        <v>1126</v>
      </c>
      <c r="R244" s="3"/>
      <c r="S244" s="323">
        <v>3.0422300554156152</v>
      </c>
      <c r="T244" s="180" t="s">
        <v>1126</v>
      </c>
      <c r="U244" s="100"/>
      <c r="V244" s="177">
        <v>10.255100000000001</v>
      </c>
      <c r="W244" s="460" t="s">
        <v>1466</v>
      </c>
      <c r="X244" s="100"/>
      <c r="Y244" s="177">
        <v>4.1099148699999999</v>
      </c>
      <c r="Z244" s="460" t="s">
        <v>1126</v>
      </c>
      <c r="AA244" s="100"/>
      <c r="AB244" s="462">
        <v>2.1678959990013624E-4</v>
      </c>
      <c r="AC244" s="177">
        <v>-7.0582063899999996</v>
      </c>
      <c r="AD244" s="460" t="s">
        <v>1126</v>
      </c>
      <c r="AE244" s="100"/>
      <c r="AF244" s="177">
        <v>-4.4424927980943423</v>
      </c>
      <c r="AG244" s="460" t="s">
        <v>1125</v>
      </c>
      <c r="AH244" s="100"/>
      <c r="AI244" s="177">
        <v>-1.2167577300000008</v>
      </c>
      <c r="AJ244" s="465">
        <v>26.158189237622356</v>
      </c>
      <c r="AK244" s="460" t="s">
        <v>1126</v>
      </c>
      <c r="AL244" s="84"/>
      <c r="AM244" s="177">
        <v>3.3503863452289426</v>
      </c>
      <c r="AN244" s="460" t="s">
        <v>1126</v>
      </c>
      <c r="AO244" s="5"/>
      <c r="AP244" s="6"/>
    </row>
    <row r="245" spans="1:42">
      <c r="A245" s="3"/>
      <c r="B245" s="4"/>
      <c r="C245" s="87"/>
      <c r="D245" s="119"/>
      <c r="E245" s="4"/>
      <c r="F245" s="80"/>
      <c r="G245" s="119"/>
      <c r="H245" s="4"/>
      <c r="I245" s="80"/>
      <c r="J245" s="119"/>
      <c r="K245" s="4"/>
      <c r="L245" s="115"/>
      <c r="M245" s="119"/>
      <c r="N245" s="4"/>
      <c r="O245" s="80"/>
      <c r="P245" s="119"/>
      <c r="Q245" s="4"/>
      <c r="R245" s="3"/>
      <c r="S245" s="9"/>
      <c r="T245" s="4"/>
      <c r="U245" s="100"/>
      <c r="V245" s="177">
        <v>11.10428316157167</v>
      </c>
      <c r="W245" s="460" t="s">
        <v>1125</v>
      </c>
      <c r="X245" s="100"/>
      <c r="Y245" s="177">
        <v>6.03</v>
      </c>
      <c r="Z245" s="460" t="s">
        <v>1125</v>
      </c>
      <c r="AA245" s="100"/>
      <c r="AB245" s="225">
        <v>0.12999999999999992</v>
      </c>
      <c r="AC245" s="177">
        <v>-4.2803014815451172</v>
      </c>
      <c r="AD245" s="460" t="s">
        <v>1125</v>
      </c>
      <c r="AE245" s="100"/>
      <c r="AF245" s="177">
        <v>-6.0967829999999994</v>
      </c>
      <c r="AG245" s="460" t="s">
        <v>1710</v>
      </c>
      <c r="AH245" s="100"/>
      <c r="AI245" s="177">
        <v>-3.5500000000000007</v>
      </c>
      <c r="AJ245" s="466">
        <v>0.12144102028696072</v>
      </c>
      <c r="AK245" s="460" t="s">
        <v>1125</v>
      </c>
      <c r="AL245" s="84"/>
      <c r="AM245" s="154">
        <v>1.6902721661480449</v>
      </c>
      <c r="AN245" s="155" t="s">
        <v>2611</v>
      </c>
      <c r="AO245" s="52"/>
      <c r="AP245" s="52"/>
    </row>
    <row r="246" spans="1:42">
      <c r="A246" s="3"/>
      <c r="B246" s="4"/>
      <c r="C246" s="87"/>
      <c r="D246" s="119"/>
      <c r="E246" s="4"/>
      <c r="F246" s="80"/>
      <c r="G246" s="119"/>
      <c r="H246" s="4"/>
      <c r="I246" s="80"/>
      <c r="J246" s="119"/>
      <c r="K246" s="4"/>
      <c r="L246" s="115"/>
      <c r="M246" s="119"/>
      <c r="N246" s="4"/>
      <c r="O246" s="80"/>
      <c r="P246" s="119"/>
      <c r="Q246" s="4"/>
      <c r="R246" s="3"/>
      <c r="S246" s="9"/>
      <c r="T246" s="4"/>
      <c r="U246" s="100"/>
      <c r="V246" s="177">
        <v>11.181299999999998</v>
      </c>
      <c r="W246" s="460" t="s">
        <v>1705</v>
      </c>
      <c r="X246" s="100"/>
      <c r="Y246" s="177">
        <v>3.884104999999999</v>
      </c>
      <c r="Z246" s="460" t="s">
        <v>1707</v>
      </c>
      <c r="AA246" s="100"/>
      <c r="AB246" s="461">
        <v>2.6400000000000013E-4</v>
      </c>
      <c r="AC246" s="177">
        <v>-6.9726409069821225</v>
      </c>
      <c r="AD246" s="460" t="s">
        <v>1465</v>
      </c>
      <c r="AE246" s="100"/>
      <c r="AF246" s="177">
        <v>-4.4001169279263124</v>
      </c>
      <c r="AG246" s="460" t="s">
        <v>1465</v>
      </c>
      <c r="AH246" s="100"/>
      <c r="AI246" s="177">
        <v>1.845195507732214</v>
      </c>
      <c r="AJ246" s="467">
        <v>30169.000000000004</v>
      </c>
      <c r="AK246" s="460" t="s">
        <v>1467</v>
      </c>
      <c r="AL246" s="84"/>
      <c r="AM246" s="47"/>
      <c r="AN246" s="45"/>
      <c r="AO246" s="52"/>
      <c r="AP246" s="52"/>
    </row>
    <row r="247" spans="1:42">
      <c r="A247" s="3"/>
      <c r="B247" s="4" t="s">
        <v>20</v>
      </c>
      <c r="C247" s="87"/>
      <c r="D247" s="119"/>
      <c r="E247" s="4"/>
      <c r="F247" s="80"/>
      <c r="G247" s="119"/>
      <c r="H247" s="4"/>
      <c r="I247" s="80"/>
      <c r="J247" s="119"/>
      <c r="K247" s="4"/>
      <c r="L247" s="115"/>
      <c r="M247" s="119"/>
      <c r="N247" s="4"/>
      <c r="O247" s="80"/>
      <c r="R247" s="3"/>
      <c r="S247" s="9"/>
      <c r="T247" s="4"/>
      <c r="U247" s="100"/>
      <c r="V247" s="177">
        <v>11.7219</v>
      </c>
      <c r="W247" s="460" t="s">
        <v>1706</v>
      </c>
      <c r="X247" s="8"/>
      <c r="Y247" s="177">
        <v>3.7907099999999989</v>
      </c>
      <c r="Z247" s="460" t="s">
        <v>1708</v>
      </c>
      <c r="AA247" s="47"/>
      <c r="AB247" s="463">
        <v>0.17036785499999987</v>
      </c>
      <c r="AC247" s="177">
        <v>-4.1628571783570791</v>
      </c>
      <c r="AD247" s="460" t="s">
        <v>1466</v>
      </c>
      <c r="AE247" s="13"/>
      <c r="AF247" s="177">
        <v>-3.1556293329561678</v>
      </c>
      <c r="AG247" s="460" t="s">
        <v>1466</v>
      </c>
      <c r="AH247" s="84"/>
      <c r="AI247" s="177">
        <v>0.54201528495062923</v>
      </c>
      <c r="AJ247" s="464">
        <v>1501.0000000000005</v>
      </c>
      <c r="AK247" s="460" t="s">
        <v>1468</v>
      </c>
      <c r="AL247" s="84"/>
      <c r="AM247" s="47"/>
      <c r="AN247" s="45"/>
      <c r="AO247" s="47"/>
      <c r="AP247" s="47"/>
    </row>
    <row r="248" spans="1:42">
      <c r="A248" s="3"/>
      <c r="B248" s="4"/>
      <c r="C248" s="87"/>
      <c r="D248" s="119"/>
      <c r="E248" s="4"/>
      <c r="F248" s="80"/>
      <c r="G248" s="119"/>
      <c r="H248" s="4"/>
      <c r="I248" s="80"/>
      <c r="J248" s="119"/>
      <c r="K248" s="4"/>
      <c r="L248" s="115"/>
      <c r="M248" s="119"/>
      <c r="N248" s="4"/>
      <c r="O248" s="80"/>
      <c r="R248" s="3"/>
      <c r="S248" s="9"/>
      <c r="T248" s="4"/>
      <c r="U248" s="100"/>
      <c r="V248" s="177">
        <v>10.622</v>
      </c>
      <c r="W248" s="460" t="s">
        <v>1465</v>
      </c>
      <c r="X248" s="8"/>
      <c r="Y248" s="177">
        <v>3.65</v>
      </c>
      <c r="Z248" s="460" t="s">
        <v>1465</v>
      </c>
      <c r="AA248" s="47"/>
      <c r="AB248" s="47"/>
      <c r="AC248" s="47"/>
      <c r="AD248" s="45"/>
      <c r="AE248" s="13"/>
      <c r="AF248" s="9"/>
      <c r="AG248" s="9"/>
      <c r="AH248" s="84"/>
      <c r="AI248" s="47"/>
      <c r="AJ248" s="47"/>
      <c r="AK248" s="45"/>
      <c r="AL248" s="84"/>
      <c r="AM248" s="47"/>
      <c r="AN248" s="45"/>
      <c r="AO248" s="47"/>
      <c r="AP248" s="47"/>
    </row>
    <row r="249" spans="1:42">
      <c r="A249" s="3"/>
      <c r="B249" s="4"/>
      <c r="C249" s="87"/>
      <c r="D249" s="119"/>
      <c r="E249" s="4"/>
      <c r="F249" s="80"/>
      <c r="G249" s="119"/>
      <c r="H249" s="4"/>
      <c r="I249" s="80"/>
      <c r="J249" s="119"/>
      <c r="K249" s="4"/>
      <c r="L249" s="115"/>
      <c r="M249" s="119"/>
      <c r="N249" s="4"/>
      <c r="O249" s="80"/>
      <c r="R249" s="80"/>
      <c r="S249" s="171"/>
      <c r="T249" s="4"/>
      <c r="U249" s="87"/>
      <c r="V249" s="47"/>
      <c r="W249" s="45"/>
      <c r="Y249" s="47"/>
      <c r="Z249" s="45"/>
      <c r="AB249" s="175"/>
      <c r="AC249" s="175"/>
      <c r="AD249" s="155"/>
      <c r="AF249" s="6"/>
      <c r="AG249" s="6"/>
      <c r="AH249" s="78"/>
      <c r="AJ249" s="47"/>
      <c r="AK249" s="45"/>
      <c r="AL249" s="84"/>
      <c r="AM249" s="47"/>
      <c r="AN249" s="45"/>
      <c r="AO249" s="47"/>
      <c r="AP249" s="47"/>
    </row>
    <row r="250" spans="1:42">
      <c r="A250" s="3" t="s">
        <v>77</v>
      </c>
      <c r="B250" s="4" t="s">
        <v>78</v>
      </c>
      <c r="C250" s="157">
        <v>104.69210711992</v>
      </c>
      <c r="D250" s="30">
        <v>104.69210711992</v>
      </c>
      <c r="E250" s="30" t="s">
        <v>1126</v>
      </c>
      <c r="F250" s="187">
        <v>16.749474442736073</v>
      </c>
      <c r="G250" s="318">
        <v>16.749474442736073</v>
      </c>
      <c r="H250" s="70" t="s">
        <v>1126</v>
      </c>
      <c r="I250" s="187"/>
      <c r="J250" s="318">
        <v>7.2887838306799324</v>
      </c>
      <c r="K250" s="70" t="s">
        <v>1126</v>
      </c>
      <c r="L250" s="191">
        <v>-97.403323289240063</v>
      </c>
      <c r="M250" s="276">
        <v>-97.403323289240063</v>
      </c>
      <c r="N250" s="13" t="s">
        <v>2792</v>
      </c>
      <c r="O250" s="187">
        <v>109.47182520000001</v>
      </c>
      <c r="P250" s="318">
        <v>109.47182520000001</v>
      </c>
      <c r="Q250" s="70" t="s">
        <v>2793</v>
      </c>
      <c r="R250" s="187">
        <v>2.4292000000000646E-2</v>
      </c>
      <c r="S250" s="491">
        <v>2.4292000000000646E-2</v>
      </c>
      <c r="T250" s="13" t="s">
        <v>2793</v>
      </c>
      <c r="U250" s="145">
        <v>10.797700000000001</v>
      </c>
      <c r="V250" s="15">
        <v>10.797700000000001</v>
      </c>
      <c r="W250" s="320" t="s">
        <v>2868</v>
      </c>
      <c r="X250" s="145">
        <v>4.5887799999999999</v>
      </c>
      <c r="Y250" s="15">
        <v>4.5887799999999999</v>
      </c>
      <c r="Z250" s="320" t="s">
        <v>2868</v>
      </c>
      <c r="AA250" s="145">
        <v>-5.7889397877108442</v>
      </c>
      <c r="AB250" s="371">
        <v>4.0299999999999945E-3</v>
      </c>
      <c r="AC250" s="15">
        <v>-5.7889397877108442</v>
      </c>
      <c r="AD250" s="320" t="s">
        <v>2869</v>
      </c>
      <c r="AE250" s="145">
        <v>-4.1630432629404499</v>
      </c>
      <c r="AF250" s="15">
        <v>-4.1630432629404499</v>
      </c>
      <c r="AG250" s="320" t="s">
        <v>2872</v>
      </c>
      <c r="AH250" s="145">
        <v>-2.2401562072795489</v>
      </c>
      <c r="AI250" s="15">
        <v>-2.2401562072795489</v>
      </c>
      <c r="AJ250" s="229">
        <v>1.8769162510399995</v>
      </c>
      <c r="AK250" s="320" t="s">
        <v>2868</v>
      </c>
      <c r="AL250" s="145">
        <v>2.3427773999999992</v>
      </c>
      <c r="AM250" s="15">
        <v>2.3427773999999992</v>
      </c>
      <c r="AN250" s="320" t="s">
        <v>2871</v>
      </c>
      <c r="AO250" s="47"/>
      <c r="AP250" s="47"/>
    </row>
    <row r="251" spans="1:42">
      <c r="A251" s="3"/>
      <c r="B251" s="171">
        <v>326.28800000000001</v>
      </c>
      <c r="C251" s="157">
        <v>22.341400351498049</v>
      </c>
      <c r="D251" s="206">
        <v>112.46592</v>
      </c>
      <c r="E251" s="206" t="s">
        <v>1125</v>
      </c>
      <c r="F251" s="157">
        <v>23.495827758781306</v>
      </c>
      <c r="G251" s="70"/>
      <c r="H251" s="70"/>
      <c r="I251" s="157"/>
      <c r="J251" s="70"/>
      <c r="K251" s="70"/>
      <c r="L251" s="191">
        <v>10.622514227954653</v>
      </c>
      <c r="M251" s="323">
        <v>-97.403323289240063</v>
      </c>
      <c r="N251" s="180" t="s">
        <v>1126</v>
      </c>
      <c r="O251" s="191">
        <v>20.522573598418802</v>
      </c>
      <c r="P251" s="323">
        <v>109.47182520000001</v>
      </c>
      <c r="Q251" s="180" t="s">
        <v>1407</v>
      </c>
      <c r="R251" s="191">
        <v>9.9648977853561849E-3</v>
      </c>
      <c r="S251" s="323">
        <v>2.4292000000000646E-2</v>
      </c>
      <c r="T251" s="180" t="s">
        <v>1407</v>
      </c>
      <c r="U251" s="145">
        <v>0.7130801080000001</v>
      </c>
      <c r="V251" s="177">
        <v>11.210166249605786</v>
      </c>
      <c r="W251" s="460" t="s">
        <v>1126</v>
      </c>
      <c r="X251" s="145">
        <v>2.1382016951399998</v>
      </c>
      <c r="Y251" s="177">
        <v>4.5887799999999999</v>
      </c>
      <c r="Z251" s="460" t="s">
        <v>1466</v>
      </c>
      <c r="AA251" s="145">
        <v>1.639850340484214</v>
      </c>
      <c r="AB251" s="461">
        <v>4.311246292026415E-4</v>
      </c>
      <c r="AC251" s="177">
        <v>-6.7596419999999995</v>
      </c>
      <c r="AD251" s="222" t="s">
        <v>1709</v>
      </c>
      <c r="AE251" s="145">
        <v>0.93454076688118681</v>
      </c>
      <c r="AF251" s="177">
        <v>-4.577996370000001</v>
      </c>
      <c r="AG251" s="365" t="s">
        <v>1126</v>
      </c>
      <c r="AH251" s="145">
        <v>1.9617159914957372</v>
      </c>
      <c r="AI251" s="177">
        <v>-2.2401562072795489</v>
      </c>
      <c r="AJ251" s="464">
        <v>14.258985473502994</v>
      </c>
      <c r="AK251" s="362" t="s">
        <v>1466</v>
      </c>
      <c r="AL251" s="145">
        <v>0.42341250227939986</v>
      </c>
      <c r="AM251" s="154">
        <v>2.3427773999999992</v>
      </c>
      <c r="AN251" s="155" t="s">
        <v>2610</v>
      </c>
      <c r="AO251" s="47"/>
      <c r="AP251" s="47"/>
    </row>
    <row r="252" spans="1:42">
      <c r="A252" s="3"/>
      <c r="B252" s="4"/>
      <c r="C252" s="87"/>
      <c r="D252" s="119"/>
      <c r="E252" s="26"/>
      <c r="F252" s="80"/>
      <c r="G252" s="119"/>
      <c r="H252" s="30"/>
      <c r="I252" s="80"/>
      <c r="J252" s="119"/>
      <c r="K252" s="70"/>
      <c r="L252" s="3"/>
      <c r="M252" s="323">
        <v>-111.8300646</v>
      </c>
      <c r="N252" s="180" t="s">
        <v>1408</v>
      </c>
      <c r="O252" s="3"/>
      <c r="P252" s="323">
        <v>87.942632677183923</v>
      </c>
      <c r="Q252" s="180" t="s">
        <v>1126</v>
      </c>
      <c r="R252" s="3"/>
      <c r="S252" s="323">
        <v>-9.4606906120561405</v>
      </c>
      <c r="T252" s="180" t="s">
        <v>1126</v>
      </c>
      <c r="U252" s="100"/>
      <c r="V252" s="177">
        <v>10.797700000000001</v>
      </c>
      <c r="W252" s="460" t="s">
        <v>1466</v>
      </c>
      <c r="X252" s="100"/>
      <c r="Y252" s="177">
        <v>5.7425169399999998</v>
      </c>
      <c r="Z252" s="460" t="s">
        <v>1126</v>
      </c>
      <c r="AA252" s="100"/>
      <c r="AB252" s="462">
        <v>7.4324975351614227E-3</v>
      </c>
      <c r="AC252" s="177">
        <v>-5.5231100599999996</v>
      </c>
      <c r="AD252" s="460" t="s">
        <v>1126</v>
      </c>
      <c r="AE252" s="100"/>
      <c r="AF252" s="177">
        <v>-4.1630432629404499</v>
      </c>
      <c r="AG252" s="460" t="s">
        <v>1125</v>
      </c>
      <c r="AH252" s="100"/>
      <c r="AI252" s="177">
        <v>-2.4916359200000011</v>
      </c>
      <c r="AJ252" s="465">
        <v>1.0518775396779934</v>
      </c>
      <c r="AK252" s="460" t="s">
        <v>1126</v>
      </c>
      <c r="AL252" s="84"/>
      <c r="AM252" s="177">
        <v>3.7764705300563937</v>
      </c>
      <c r="AN252" s="460" t="s">
        <v>1126</v>
      </c>
      <c r="AO252" s="47"/>
      <c r="AP252" s="47"/>
    </row>
    <row r="253" spans="1:42">
      <c r="A253" s="3"/>
      <c r="B253" s="4"/>
      <c r="C253" s="87"/>
      <c r="D253" s="119"/>
      <c r="E253" s="30"/>
      <c r="F253" s="80"/>
      <c r="G253" s="119"/>
      <c r="H253" s="47"/>
      <c r="I253" s="80"/>
      <c r="J253" s="119"/>
      <c r="K253" s="47"/>
      <c r="L253" s="115"/>
      <c r="M253" s="119"/>
      <c r="N253" s="47"/>
      <c r="O253" s="80"/>
      <c r="P253" s="119"/>
      <c r="Q253" s="47"/>
      <c r="R253" s="3"/>
      <c r="S253" s="9"/>
      <c r="T253" s="4"/>
      <c r="U253" s="100"/>
      <c r="V253" s="177">
        <v>10.643820645781089</v>
      </c>
      <c r="W253" s="460" t="s">
        <v>1125</v>
      </c>
      <c r="X253" s="100"/>
      <c r="Y253" s="177">
        <v>7.43</v>
      </c>
      <c r="Z253" s="460" t="s">
        <v>1125</v>
      </c>
      <c r="AA253" s="100"/>
      <c r="AB253" s="225">
        <v>3.12</v>
      </c>
      <c r="AC253" s="177">
        <v>-2.9000902398335109</v>
      </c>
      <c r="AD253" s="460" t="s">
        <v>1125</v>
      </c>
      <c r="AE253" s="100"/>
      <c r="AF253" s="177">
        <v>-4.9596020000000012</v>
      </c>
      <c r="AG253" s="460" t="s">
        <v>1710</v>
      </c>
      <c r="AH253" s="100"/>
      <c r="AI253" s="177">
        <v>-4.660000000000001</v>
      </c>
      <c r="AJ253" s="466">
        <v>7.1384036475524923E-3</v>
      </c>
      <c r="AK253" s="460" t="s">
        <v>1125</v>
      </c>
      <c r="AL253" s="84"/>
      <c r="AM253" s="154">
        <v>3.4499131661480451</v>
      </c>
      <c r="AN253" s="155" t="s">
        <v>2611</v>
      </c>
      <c r="AO253" s="47"/>
      <c r="AP253" s="47"/>
    </row>
    <row r="254" spans="1:42">
      <c r="A254" s="3"/>
      <c r="B254" s="4"/>
      <c r="C254" s="87"/>
      <c r="D254" s="16"/>
      <c r="F254" s="80"/>
      <c r="G254" s="119"/>
      <c r="H254" s="47"/>
      <c r="I254" s="80"/>
      <c r="J254" s="119"/>
      <c r="K254" s="47"/>
      <c r="L254" s="115"/>
      <c r="M254" s="119"/>
      <c r="N254" s="47"/>
      <c r="O254" s="80"/>
      <c r="P254" s="119"/>
      <c r="Q254" s="47"/>
      <c r="R254" s="3"/>
      <c r="S254" s="9"/>
      <c r="T254" s="4"/>
      <c r="U254" s="100"/>
      <c r="V254" s="177">
        <v>11.80376</v>
      </c>
      <c r="W254" s="460" t="s">
        <v>1705</v>
      </c>
      <c r="X254" s="100"/>
      <c r="Y254" s="177">
        <v>4.6008339999999999</v>
      </c>
      <c r="Z254" s="460" t="s">
        <v>1707</v>
      </c>
      <c r="AA254" s="100"/>
      <c r="AB254" s="461">
        <v>4.0299999999999945E-3</v>
      </c>
      <c r="AC254" s="177">
        <v>-5.7889397877108442</v>
      </c>
      <c r="AD254" s="460" t="s">
        <v>1465</v>
      </c>
      <c r="AE254" s="100"/>
      <c r="AF254" s="177">
        <v>-3.9469215565165805</v>
      </c>
      <c r="AG254" s="460" t="s">
        <v>1465</v>
      </c>
      <c r="AH254" s="100"/>
      <c r="AI254" s="177">
        <v>1.15604114513371</v>
      </c>
      <c r="AJ254" s="467">
        <v>4673.5000000000027</v>
      </c>
      <c r="AK254" s="460" t="s">
        <v>1467</v>
      </c>
      <c r="AL254" s="84"/>
      <c r="AM254" s="47"/>
      <c r="AN254" s="45"/>
      <c r="AO254" s="47"/>
      <c r="AP254" s="47"/>
    </row>
    <row r="255" spans="1:42">
      <c r="A255" s="3"/>
      <c r="B255" s="4"/>
      <c r="C255" s="87"/>
      <c r="D255" s="119"/>
      <c r="E255" s="26"/>
      <c r="F255" s="80"/>
      <c r="G255" s="119"/>
      <c r="H255" s="47"/>
      <c r="I255" s="80"/>
      <c r="J255" s="119"/>
      <c r="K255" s="47"/>
      <c r="L255" s="115"/>
      <c r="M255" s="119"/>
      <c r="N255" s="47"/>
      <c r="O255" s="80"/>
      <c r="P255" s="119"/>
      <c r="Q255" s="47"/>
      <c r="R255" s="3"/>
      <c r="S255" s="9"/>
      <c r="T255" s="4"/>
      <c r="U255" s="100"/>
      <c r="V255" s="177">
        <v>12.30485</v>
      </c>
      <c r="W255" s="460" t="s">
        <v>1706</v>
      </c>
      <c r="X255" s="8"/>
      <c r="Y255" s="177">
        <v>4.4836079999999994</v>
      </c>
      <c r="Z255" s="460" t="s">
        <v>1708</v>
      </c>
      <c r="AA255" s="47"/>
      <c r="AB255" s="463">
        <v>0.17990456399999991</v>
      </c>
      <c r="AC255" s="177">
        <v>-4.1392026527472421</v>
      </c>
      <c r="AD255" s="460" t="s">
        <v>1466</v>
      </c>
      <c r="AE255" s="13"/>
      <c r="AF255" s="177">
        <v>-3.0658725629220207</v>
      </c>
      <c r="AG255" s="460" t="s">
        <v>1466</v>
      </c>
      <c r="AH255" s="84"/>
      <c r="AI255" s="177">
        <v>0.50091943686589557</v>
      </c>
      <c r="AJ255" s="464">
        <v>1034</v>
      </c>
      <c r="AK255" s="460" t="s">
        <v>1468</v>
      </c>
      <c r="AL255" s="84"/>
      <c r="AM255" s="47"/>
      <c r="AN255" s="45"/>
      <c r="AO255" s="47"/>
      <c r="AP255" s="47"/>
    </row>
    <row r="256" spans="1:42">
      <c r="A256" s="3"/>
      <c r="B256" s="4"/>
      <c r="C256" s="87"/>
      <c r="D256" s="119"/>
      <c r="E256" s="26"/>
      <c r="F256" s="80"/>
      <c r="G256" s="119"/>
      <c r="H256" s="47"/>
      <c r="I256" s="80"/>
      <c r="J256" s="119"/>
      <c r="K256" s="47"/>
      <c r="L256" s="115"/>
      <c r="M256" s="119"/>
      <c r="N256" s="47"/>
      <c r="O256" s="80"/>
      <c r="P256" s="119"/>
      <c r="Q256" s="47"/>
      <c r="R256" s="3"/>
      <c r="S256" s="9"/>
      <c r="T256" s="4"/>
      <c r="U256" s="100"/>
      <c r="V256" s="177">
        <v>8.4589999999999996</v>
      </c>
      <c r="W256" s="460" t="s">
        <v>1465</v>
      </c>
      <c r="X256" s="8"/>
      <c r="Y256" s="177">
        <v>4.7</v>
      </c>
      <c r="Z256" s="460" t="s">
        <v>1465</v>
      </c>
      <c r="AA256" s="47"/>
      <c r="AB256" s="47"/>
      <c r="AC256" s="47"/>
      <c r="AD256" s="45"/>
      <c r="AE256" s="13"/>
      <c r="AF256" s="9"/>
      <c r="AG256" s="9"/>
      <c r="AH256" s="84"/>
      <c r="AI256" s="47"/>
      <c r="AJ256" s="47"/>
      <c r="AK256" s="45"/>
      <c r="AL256" s="84"/>
      <c r="AM256" s="47"/>
      <c r="AN256" s="45"/>
      <c r="AO256" s="47"/>
      <c r="AP256" s="47"/>
    </row>
    <row r="257" spans="1:42">
      <c r="A257" s="3"/>
      <c r="B257" s="4" t="s">
        <v>20</v>
      </c>
      <c r="C257" s="87"/>
      <c r="D257" s="119"/>
      <c r="E257" s="4"/>
      <c r="F257" s="80"/>
      <c r="G257" s="119"/>
      <c r="H257" s="4"/>
      <c r="I257" s="80"/>
      <c r="J257" s="119"/>
      <c r="K257" s="4"/>
      <c r="L257" s="115"/>
      <c r="M257" s="119"/>
      <c r="N257" s="4"/>
      <c r="O257" s="80"/>
      <c r="R257" s="80"/>
      <c r="S257" s="171"/>
      <c r="T257" s="4"/>
      <c r="U257" s="87"/>
      <c r="V257" s="47"/>
      <c r="W257" s="45"/>
      <c r="Y257" s="47"/>
      <c r="Z257" s="45"/>
      <c r="AB257" s="47"/>
      <c r="AC257" s="47"/>
      <c r="AD257" s="45"/>
      <c r="AF257" s="6"/>
      <c r="AG257" s="6"/>
      <c r="AH257" s="78"/>
      <c r="AJ257" s="47"/>
      <c r="AK257" s="45"/>
      <c r="AL257" s="84"/>
      <c r="AM257" s="47"/>
      <c r="AN257" s="45"/>
      <c r="AO257" s="47"/>
      <c r="AP257" s="47"/>
    </row>
    <row r="258" spans="1:42">
      <c r="A258" s="3" t="s">
        <v>79</v>
      </c>
      <c r="B258" s="4" t="s">
        <v>80</v>
      </c>
      <c r="C258" s="157">
        <v>115.93789127319999</v>
      </c>
      <c r="D258" s="30">
        <v>115.93789127319999</v>
      </c>
      <c r="E258" s="30" t="s">
        <v>1126</v>
      </c>
      <c r="F258" s="187">
        <v>11.646784604791947</v>
      </c>
      <c r="G258" s="318">
        <v>11.646784604791947</v>
      </c>
      <c r="H258" s="70" t="s">
        <v>1126</v>
      </c>
      <c r="I258" s="187"/>
      <c r="J258" s="318">
        <v>6.7868184388082824</v>
      </c>
      <c r="K258" s="70" t="s">
        <v>1126</v>
      </c>
      <c r="L258" s="191">
        <v>-109.15107283439171</v>
      </c>
      <c r="M258" s="276">
        <v>-109.15107283439171</v>
      </c>
      <c r="N258" s="13" t="s">
        <v>2792</v>
      </c>
      <c r="O258" s="187">
        <v>136.38984429999999</v>
      </c>
      <c r="P258" s="318">
        <v>136.38984429999999</v>
      </c>
      <c r="Q258" s="70" t="s">
        <v>2793</v>
      </c>
      <c r="R258" s="187">
        <v>3.1020880000000073</v>
      </c>
      <c r="S258" s="491">
        <v>3.1020880000000073</v>
      </c>
      <c r="T258" s="13" t="s">
        <v>2793</v>
      </c>
      <c r="U258" s="145">
        <v>11.703099999999999</v>
      </c>
      <c r="V258" s="15">
        <v>11.703099999999999</v>
      </c>
      <c r="W258" s="320" t="s">
        <v>2868</v>
      </c>
      <c r="X258" s="145">
        <v>5.1369400000000001</v>
      </c>
      <c r="Y258" s="15">
        <v>5.1369400000000001</v>
      </c>
      <c r="Z258" s="320" t="s">
        <v>2868</v>
      </c>
      <c r="AA258" s="145">
        <v>-5.6602455473135667</v>
      </c>
      <c r="AB258" s="371">
        <v>5.4200000000000029E-3</v>
      </c>
      <c r="AC258" s="15">
        <v>-5.6602455473135667</v>
      </c>
      <c r="AD258" s="320" t="s">
        <v>2869</v>
      </c>
      <c r="AE258" s="145">
        <v>-5.6161846340195689</v>
      </c>
      <c r="AF258" s="15">
        <v>-5.6161846340195689</v>
      </c>
      <c r="AG258" s="320" t="s">
        <v>2872</v>
      </c>
      <c r="AH258" s="145">
        <v>-3.3293905311605743</v>
      </c>
      <c r="AI258" s="15">
        <v>-3.3293905311605743</v>
      </c>
      <c r="AJ258" s="229">
        <v>0.17254109264799999</v>
      </c>
      <c r="AK258" s="320" t="s">
        <v>2868</v>
      </c>
      <c r="AL258" s="145">
        <v>2.0676830999999991</v>
      </c>
      <c r="AM258" s="15">
        <v>2.0676830999999991</v>
      </c>
      <c r="AN258" s="320" t="s">
        <v>2871</v>
      </c>
      <c r="AO258" s="47"/>
      <c r="AP258" s="47"/>
    </row>
    <row r="259" spans="1:42">
      <c r="A259" s="3"/>
      <c r="B259" s="171">
        <v>368.36900000000003</v>
      </c>
      <c r="C259" s="157">
        <v>24.741261935592153</v>
      </c>
      <c r="D259" s="206">
        <v>127.36096000000001</v>
      </c>
      <c r="E259" s="206" t="s">
        <v>1125</v>
      </c>
      <c r="F259" s="157">
        <v>16.337876507910046</v>
      </c>
      <c r="G259" s="70"/>
      <c r="H259" s="70"/>
      <c r="I259" s="157"/>
      <c r="J259" s="70"/>
      <c r="K259" s="70"/>
      <c r="L259" s="191">
        <v>11.903688550100258</v>
      </c>
      <c r="M259" s="323">
        <v>-109.15107283439171</v>
      </c>
      <c r="N259" s="180" t="s">
        <v>1126</v>
      </c>
      <c r="O259" s="191">
        <v>25.5688677210767</v>
      </c>
      <c r="P259" s="323">
        <v>136.38984429999999</v>
      </c>
      <c r="Q259" s="180" t="s">
        <v>1407</v>
      </c>
      <c r="R259" s="191">
        <v>1.2725172831046947</v>
      </c>
      <c r="S259" s="323">
        <v>3.1020880000000073</v>
      </c>
      <c r="T259" s="180" t="s">
        <v>1407</v>
      </c>
      <c r="U259" s="145">
        <v>0.77287272399999996</v>
      </c>
      <c r="V259" s="177">
        <v>12.406699591097075</v>
      </c>
      <c r="W259" s="460" t="s">
        <v>1126</v>
      </c>
      <c r="X259" s="145">
        <v>2.39362397322</v>
      </c>
      <c r="Y259" s="177">
        <v>5.1369400000000001</v>
      </c>
      <c r="Z259" s="460" t="s">
        <v>1466</v>
      </c>
      <c r="AA259" s="145">
        <v>1.6033947369241559</v>
      </c>
      <c r="AB259" s="461">
        <v>4.5996187306985751E-6</v>
      </c>
      <c r="AC259" s="177">
        <v>-8.7315229999999993</v>
      </c>
      <c r="AD259" s="222" t="s">
        <v>1709</v>
      </c>
      <c r="AE259" s="145">
        <v>1.2607492075678828</v>
      </c>
      <c r="AF259" s="177">
        <v>-5.7688676300000008</v>
      </c>
      <c r="AG259" s="365" t="s">
        <v>1126</v>
      </c>
      <c r="AH259" s="145">
        <v>2.9155639350899705</v>
      </c>
      <c r="AI259" s="177">
        <v>-3.3293905311605743</v>
      </c>
      <c r="AJ259" s="464">
        <v>1.1610590358871997</v>
      </c>
      <c r="AK259" s="362" t="s">
        <v>1466</v>
      </c>
      <c r="AL259" s="145">
        <v>0.37369443434609984</v>
      </c>
      <c r="AM259" s="154">
        <v>2.0676830999999991</v>
      </c>
      <c r="AN259" s="155" t="s">
        <v>2610</v>
      </c>
      <c r="AO259" s="47"/>
      <c r="AP259" s="47"/>
    </row>
    <row r="260" spans="1:42">
      <c r="A260" s="3"/>
      <c r="B260" s="4"/>
      <c r="C260" s="87"/>
      <c r="D260" s="119"/>
      <c r="E260" s="26"/>
      <c r="F260" s="80"/>
      <c r="G260" s="119"/>
      <c r="H260" s="47"/>
      <c r="I260" s="80"/>
      <c r="J260" s="119"/>
      <c r="K260" s="47"/>
      <c r="L260" s="3"/>
      <c r="M260" s="323">
        <v>-135.6690304</v>
      </c>
      <c r="N260" s="180" t="s">
        <v>1408</v>
      </c>
      <c r="O260" s="3"/>
      <c r="P260" s="323">
        <v>104.29110666840805</v>
      </c>
      <c r="Q260" s="180" t="s">
        <v>1126</v>
      </c>
      <c r="R260" s="3"/>
      <c r="S260" s="323">
        <v>-4.8599661659836642</v>
      </c>
      <c r="T260" s="180" t="s">
        <v>1126</v>
      </c>
      <c r="U260" s="100"/>
      <c r="V260" s="177">
        <v>11.703099999999999</v>
      </c>
      <c r="W260" s="460" t="s">
        <v>1466</v>
      </c>
      <c r="X260" s="100"/>
      <c r="Y260" s="177">
        <v>7.3329873599999997</v>
      </c>
      <c r="Z260" s="460" t="s">
        <v>1126</v>
      </c>
      <c r="AA260" s="100"/>
      <c r="AB260" s="462">
        <v>2.2046636613898135E-2</v>
      </c>
      <c r="AC260" s="177">
        <v>-5.0509024899999995</v>
      </c>
      <c r="AD260" s="460" t="s">
        <v>1126</v>
      </c>
      <c r="AE260" s="100"/>
      <c r="AF260" s="177">
        <v>-5.6161846340195689</v>
      </c>
      <c r="AG260" s="460" t="s">
        <v>1125</v>
      </c>
      <c r="AH260" s="100"/>
      <c r="AI260" s="177">
        <v>-4.1547215600000005</v>
      </c>
      <c r="AJ260" s="465">
        <v>2.5796543305905202E-2</v>
      </c>
      <c r="AK260" s="460" t="s">
        <v>1126</v>
      </c>
      <c r="AL260" s="84"/>
      <c r="AM260" s="177">
        <v>3.1846382718794133</v>
      </c>
      <c r="AN260" s="460" t="s">
        <v>1126</v>
      </c>
      <c r="AO260" s="47"/>
      <c r="AP260" s="47"/>
    </row>
    <row r="261" spans="1:42">
      <c r="A261" s="3"/>
      <c r="B261" s="4"/>
      <c r="C261" s="87"/>
      <c r="D261" s="119"/>
      <c r="E261" s="26"/>
      <c r="F261" s="80"/>
      <c r="G261" s="119"/>
      <c r="H261" s="47"/>
      <c r="I261" s="80"/>
      <c r="J261" s="119"/>
      <c r="K261" s="47"/>
      <c r="L261" s="213"/>
      <c r="M261" s="119"/>
      <c r="N261" s="47"/>
      <c r="O261" s="80"/>
      <c r="P261" s="119"/>
      <c r="Q261" s="47"/>
      <c r="R261" s="3"/>
      <c r="S261" s="9"/>
      <c r="T261" s="4"/>
      <c r="U261" s="100"/>
      <c r="V261" s="177">
        <v>12.002699531920845</v>
      </c>
      <c r="W261" s="460" t="s">
        <v>1125</v>
      </c>
      <c r="X261" s="100"/>
      <c r="Y261" s="177">
        <v>8.9</v>
      </c>
      <c r="Z261" s="460" t="s">
        <v>1125</v>
      </c>
      <c r="AA261" s="100"/>
      <c r="AB261" s="225">
        <v>4.6599999999999975</v>
      </c>
      <c r="AC261" s="177">
        <v>-2.7258589171619536</v>
      </c>
      <c r="AD261" s="460" t="s">
        <v>1125</v>
      </c>
      <c r="AE261" s="100"/>
      <c r="AF261" s="177">
        <v>-7.0515629999999971</v>
      </c>
      <c r="AG261" s="460" t="s">
        <v>1710</v>
      </c>
      <c r="AH261" s="100"/>
      <c r="AI261" s="177">
        <v>-6.28</v>
      </c>
      <c r="AJ261" s="466">
        <v>1.9332279932474808E-4</v>
      </c>
      <c r="AK261" s="460" t="s">
        <v>1125</v>
      </c>
      <c r="AL261" s="84"/>
      <c r="AM261" s="154">
        <v>3.9002721661480475</v>
      </c>
      <c r="AN261" s="155" t="s">
        <v>2611</v>
      </c>
      <c r="AO261" s="47"/>
      <c r="AP261" s="47"/>
    </row>
    <row r="262" spans="1:42">
      <c r="A262" s="3"/>
      <c r="B262" s="4" t="s">
        <v>20</v>
      </c>
      <c r="C262" s="87"/>
      <c r="D262" s="119"/>
      <c r="E262" s="26"/>
      <c r="F262" s="80"/>
      <c r="G262" s="119"/>
      <c r="H262" s="47"/>
      <c r="I262" s="80"/>
      <c r="J262" s="119"/>
      <c r="K262" s="47"/>
      <c r="L262" s="213"/>
      <c r="M262" s="119"/>
      <c r="N262" s="47"/>
      <c r="O262" s="80"/>
      <c r="P262" s="119"/>
      <c r="Q262" s="47"/>
      <c r="R262" s="3"/>
      <c r="S262" s="9"/>
      <c r="T262" s="4"/>
      <c r="U262" s="100"/>
      <c r="V262" s="177">
        <v>14.346079999999999</v>
      </c>
      <c r="W262" s="460" t="s">
        <v>1705</v>
      </c>
      <c r="X262" s="100"/>
      <c r="Y262" s="177">
        <v>4.789420999999999</v>
      </c>
      <c r="Z262" s="460" t="s">
        <v>1707</v>
      </c>
      <c r="AA262" s="100"/>
      <c r="AB262" s="461">
        <v>5.4200000000000029E-3</v>
      </c>
      <c r="AC262" s="177">
        <v>-5.6602455473135667</v>
      </c>
      <c r="AD262" s="460" t="s">
        <v>1465</v>
      </c>
      <c r="AE262" s="100"/>
      <c r="AF262" s="177">
        <v>-4.8326826652518236</v>
      </c>
      <c r="AG262" s="460" t="s">
        <v>1465</v>
      </c>
      <c r="AH262" s="100"/>
      <c r="AI262" s="177">
        <v>-0.42003097302732068</v>
      </c>
      <c r="AJ262" s="467">
        <v>140.03999999999996</v>
      </c>
      <c r="AK262" s="460" t="s">
        <v>1467</v>
      </c>
      <c r="AL262" s="84"/>
      <c r="AM262" s="47"/>
      <c r="AN262" s="45"/>
      <c r="AO262" s="47"/>
      <c r="AP262" s="47"/>
    </row>
    <row r="263" spans="1:42">
      <c r="A263" s="3"/>
      <c r="B263" s="4"/>
      <c r="C263" s="87"/>
      <c r="D263" s="119"/>
      <c r="E263" s="26"/>
      <c r="F263" s="80"/>
      <c r="G263" s="119"/>
      <c r="H263" s="47"/>
      <c r="I263" s="80"/>
      <c r="J263" s="119"/>
      <c r="K263" s="47"/>
      <c r="L263" s="213"/>
      <c r="M263" s="119"/>
      <c r="N263" s="47"/>
      <c r="O263" s="80"/>
      <c r="P263" s="119"/>
      <c r="Q263" s="47"/>
      <c r="R263" s="3"/>
      <c r="S263" s="9"/>
      <c r="T263" s="4"/>
      <c r="U263" s="100"/>
      <c r="V263" s="177">
        <v>15.020149999999999</v>
      </c>
      <c r="W263" s="460" t="s">
        <v>1706</v>
      </c>
      <c r="X263" s="8"/>
      <c r="Y263" s="177">
        <v>4.5346019999999987</v>
      </c>
      <c r="Z263" s="460" t="s">
        <v>1708</v>
      </c>
      <c r="AA263" s="47"/>
      <c r="AB263" s="463">
        <v>5.6587580699999984</v>
      </c>
      <c r="AC263" s="177">
        <v>-2.6415237069973805</v>
      </c>
      <c r="AD263" s="460" t="s">
        <v>1466</v>
      </c>
      <c r="AE263" s="13"/>
      <c r="AF263" s="177">
        <v>-5.5070289618516153</v>
      </c>
      <c r="AG263" s="460" t="s">
        <v>1466</v>
      </c>
      <c r="AH263" s="84"/>
      <c r="AI263" s="177">
        <v>-1.3021739188145074</v>
      </c>
      <c r="AJ263" s="464">
        <v>18.36999999999999</v>
      </c>
      <c r="AK263" s="460" t="s">
        <v>1468</v>
      </c>
      <c r="AL263" s="84"/>
      <c r="AM263" s="47"/>
      <c r="AN263" s="45"/>
      <c r="AO263" s="47"/>
      <c r="AP263" s="47"/>
    </row>
    <row r="264" spans="1:42">
      <c r="A264" s="3"/>
      <c r="B264" s="4"/>
      <c r="C264" s="87"/>
      <c r="D264" s="119"/>
      <c r="E264" s="26"/>
      <c r="F264" s="80"/>
      <c r="G264" s="119"/>
      <c r="H264" s="47"/>
      <c r="I264" s="80"/>
      <c r="J264" s="119"/>
      <c r="K264" s="47"/>
      <c r="L264" s="213"/>
      <c r="M264" s="119"/>
      <c r="N264" s="47"/>
      <c r="O264" s="80"/>
      <c r="P264" s="119"/>
      <c r="Q264" s="47"/>
      <c r="R264" s="3"/>
      <c r="S264" s="9"/>
      <c r="T264" s="4"/>
      <c r="U264" s="100"/>
      <c r="V264" s="177">
        <v>8.8089999999999993</v>
      </c>
      <c r="W264" s="460" t="s">
        <v>1465</v>
      </c>
      <c r="X264" s="8"/>
      <c r="Y264" s="177">
        <v>6.34</v>
      </c>
      <c r="Z264" s="460" t="s">
        <v>1465</v>
      </c>
      <c r="AA264" s="47"/>
      <c r="AB264" s="47"/>
      <c r="AC264" s="47"/>
      <c r="AD264" s="45"/>
      <c r="AE264" s="13"/>
      <c r="AF264" s="9"/>
      <c r="AG264" s="9"/>
      <c r="AH264" s="84"/>
      <c r="AI264" s="47"/>
      <c r="AJ264" s="47"/>
      <c r="AK264" s="45"/>
      <c r="AL264" s="84"/>
      <c r="AM264" s="47"/>
      <c r="AN264" s="45"/>
      <c r="AO264" s="47"/>
      <c r="AP264" s="47"/>
    </row>
    <row r="265" spans="1:42">
      <c r="A265" s="3"/>
      <c r="B265" s="4"/>
      <c r="C265" s="87"/>
      <c r="D265" s="119"/>
      <c r="E265" s="30"/>
      <c r="F265" s="80"/>
      <c r="G265" s="119"/>
      <c r="H265" s="70"/>
      <c r="I265" s="80"/>
      <c r="J265" s="119"/>
      <c r="K265" s="70"/>
      <c r="L265" s="213"/>
      <c r="M265" s="119"/>
      <c r="N265" s="70"/>
      <c r="O265" s="80"/>
      <c r="R265" s="80"/>
      <c r="S265" s="171"/>
      <c r="T265" s="70"/>
      <c r="U265" s="87"/>
      <c r="V265" s="8"/>
      <c r="W265" s="45"/>
      <c r="Y265" s="8"/>
      <c r="Z265" s="45"/>
      <c r="AB265" s="47"/>
      <c r="AC265" s="47"/>
      <c r="AD265" s="45"/>
      <c r="AF265" s="6"/>
      <c r="AG265" s="6"/>
      <c r="AH265" s="78"/>
      <c r="AJ265" s="47"/>
      <c r="AK265" s="45"/>
      <c r="AL265" s="84"/>
      <c r="AM265" s="47"/>
      <c r="AN265" s="45"/>
      <c r="AO265" s="47"/>
      <c r="AP265" s="47"/>
    </row>
    <row r="266" spans="1:42">
      <c r="A266" s="3" t="s">
        <v>81</v>
      </c>
      <c r="B266" s="4" t="s">
        <v>82</v>
      </c>
      <c r="C266" s="157">
        <v>110.11935983344</v>
      </c>
      <c r="D266" s="30">
        <v>110.11935983344</v>
      </c>
      <c r="E266" s="30" t="s">
        <v>1126</v>
      </c>
      <c r="F266" s="187">
        <v>11.919418940071921</v>
      </c>
      <c r="G266" s="318">
        <v>11.919418940071921</v>
      </c>
      <c r="H266" s="70" t="s">
        <v>1126</v>
      </c>
      <c r="I266" s="187"/>
      <c r="J266" s="318">
        <v>6.4092891357116315</v>
      </c>
      <c r="K266" s="70" t="s">
        <v>1126</v>
      </c>
      <c r="L266" s="191">
        <v>-103.71007069772837</v>
      </c>
      <c r="M266" s="276">
        <v>-103.71007069772837</v>
      </c>
      <c r="N266" s="13" t="s">
        <v>2792</v>
      </c>
      <c r="O266" s="187">
        <v>136.38984429999999</v>
      </c>
      <c r="P266" s="318">
        <v>136.38984429999999</v>
      </c>
      <c r="Q266" s="70" t="s">
        <v>2793</v>
      </c>
      <c r="R266" s="187">
        <v>3.1020880000000073</v>
      </c>
      <c r="S266" s="491">
        <v>3.1020880000000073</v>
      </c>
      <c r="T266" s="13" t="s">
        <v>2793</v>
      </c>
      <c r="U266" s="145">
        <v>11.703099999999999</v>
      </c>
      <c r="V266" s="15">
        <v>11.703099999999999</v>
      </c>
      <c r="W266" s="320" t="s">
        <v>2868</v>
      </c>
      <c r="X266" s="145">
        <v>5.1511899999999997</v>
      </c>
      <c r="Y266" s="15">
        <v>5.1511899999999997</v>
      </c>
      <c r="Z266" s="320" t="s">
        <v>2868</v>
      </c>
      <c r="AA266" s="145">
        <v>-5.6602455473135667</v>
      </c>
      <c r="AB266" s="371">
        <v>5.4200000000000029E-3</v>
      </c>
      <c r="AC266" s="15">
        <v>-5.6602455473135667</v>
      </c>
      <c r="AD266" s="320" t="s">
        <v>2869</v>
      </c>
      <c r="AE266" s="145">
        <v>-5.8664610916297821</v>
      </c>
      <c r="AF266" s="15">
        <v>-5.8664610916297821</v>
      </c>
      <c r="AG266" s="320" t="s">
        <v>2872</v>
      </c>
      <c r="AH266" s="145">
        <v>-3.7484347763553725</v>
      </c>
      <c r="AI266" s="15">
        <v>-3.7484347763553725</v>
      </c>
      <c r="AJ266" s="229">
        <v>6.5742815429999921E-2</v>
      </c>
      <c r="AK266" s="320" t="s">
        <v>2868</v>
      </c>
      <c r="AL266" s="145">
        <v>2.0676830999999991</v>
      </c>
      <c r="AM266" s="15">
        <v>2.0676830999999991</v>
      </c>
      <c r="AN266" s="320" t="s">
        <v>2871</v>
      </c>
      <c r="AO266" s="47"/>
      <c r="AP266" s="47"/>
    </row>
    <row r="267" spans="1:42">
      <c r="A267" s="3"/>
      <c r="B267" s="171">
        <v>368.36900000000003</v>
      </c>
      <c r="C267" s="157">
        <v>23.499581507815929</v>
      </c>
      <c r="D267" s="206">
        <v>129.62032000000002</v>
      </c>
      <c r="E267" s="206" t="s">
        <v>1125</v>
      </c>
      <c r="F267" s="157">
        <v>16.72032250075409</v>
      </c>
      <c r="G267" s="70"/>
      <c r="H267" s="70"/>
      <c r="I267" s="157"/>
      <c r="J267" s="70"/>
      <c r="K267" s="70"/>
      <c r="L267" s="191">
        <v>11.310309180082163</v>
      </c>
      <c r="M267" s="323">
        <v>-103.71007069772837</v>
      </c>
      <c r="N267" s="180" t="s">
        <v>1126</v>
      </c>
      <c r="O267" s="191">
        <v>25.5688677210767</v>
      </c>
      <c r="P267" s="323">
        <v>136.38984429999999</v>
      </c>
      <c r="Q267" s="180" t="s">
        <v>1407</v>
      </c>
      <c r="R267" s="191">
        <v>1.2725172831046947</v>
      </c>
      <c r="S267" s="323">
        <v>3.1020880000000073</v>
      </c>
      <c r="T267" s="180" t="s">
        <v>1407</v>
      </c>
      <c r="U267" s="145">
        <v>0.77287272399999996</v>
      </c>
      <c r="V267" s="177">
        <v>11.962062990779446</v>
      </c>
      <c r="W267" s="460" t="s">
        <v>1126</v>
      </c>
      <c r="X267" s="145">
        <v>2.4002639459699999</v>
      </c>
      <c r="Y267" s="177">
        <v>5.1511899999999997</v>
      </c>
      <c r="Z267" s="460" t="s">
        <v>1466</v>
      </c>
      <c r="AA267" s="145">
        <v>1.6033947369241559</v>
      </c>
      <c r="AB267" s="461">
        <v>4.5996187306985751E-6</v>
      </c>
      <c r="AC267" s="177">
        <v>-8.7315229999999993</v>
      </c>
      <c r="AD267" s="222" t="s">
        <v>1709</v>
      </c>
      <c r="AE267" s="145">
        <v>1.3169325181545115</v>
      </c>
      <c r="AF267" s="177">
        <v>-5.2164101599999997</v>
      </c>
      <c r="AG267" s="365" t="s">
        <v>1126</v>
      </c>
      <c r="AH267" s="145">
        <v>3.2825230758282813</v>
      </c>
      <c r="AI267" s="177">
        <v>-3.7484347763553725</v>
      </c>
      <c r="AJ267" s="464">
        <v>0.44239484477699942</v>
      </c>
      <c r="AK267" s="362" t="s">
        <v>1466</v>
      </c>
      <c r="AL267" s="145">
        <v>0.37369443434609984</v>
      </c>
      <c r="AM267" s="154">
        <v>2.0676830999999991</v>
      </c>
      <c r="AN267" s="155" t="s">
        <v>2610</v>
      </c>
      <c r="AO267" s="47"/>
      <c r="AP267" s="47"/>
    </row>
    <row r="268" spans="1:42">
      <c r="A268" s="3"/>
      <c r="B268" s="4"/>
      <c r="C268" s="87"/>
      <c r="D268" s="119"/>
      <c r="E268" s="30"/>
      <c r="F268" s="80"/>
      <c r="G268" s="119"/>
      <c r="H268" s="70"/>
      <c r="I268" s="80"/>
      <c r="J268" s="119"/>
      <c r="K268" s="70"/>
      <c r="L268" s="3"/>
      <c r="M268" s="323">
        <v>-135.6690304</v>
      </c>
      <c r="N268" s="180" t="s">
        <v>1408</v>
      </c>
      <c r="O268" s="3"/>
      <c r="P268" s="323">
        <v>98.19994089336808</v>
      </c>
      <c r="Q268" s="180" t="s">
        <v>1126</v>
      </c>
      <c r="R268" s="3"/>
      <c r="S268" s="323">
        <v>-5.5101298043602895</v>
      </c>
      <c r="T268" s="180" t="s">
        <v>1126</v>
      </c>
      <c r="U268" s="100"/>
      <c r="V268" s="177">
        <v>11.703099999999999</v>
      </c>
      <c r="W268" s="460" t="s">
        <v>1466</v>
      </c>
      <c r="X268" s="100"/>
      <c r="Y268" s="177">
        <v>6.5680483799999996</v>
      </c>
      <c r="Z268" s="460" t="s">
        <v>1126</v>
      </c>
      <c r="AA268" s="100"/>
      <c r="AB268" s="462">
        <v>9.9024179787716542E-3</v>
      </c>
      <c r="AC268" s="177">
        <v>-5.3985035799999999</v>
      </c>
      <c r="AD268" s="460" t="s">
        <v>1126</v>
      </c>
      <c r="AE268" s="100"/>
      <c r="AF268" s="177">
        <v>-5.8664610916297821</v>
      </c>
      <c r="AG268" s="460" t="s">
        <v>1125</v>
      </c>
      <c r="AH268" s="100"/>
      <c r="AI268" s="177">
        <v>-3.2546618000000005</v>
      </c>
      <c r="AJ268" s="465">
        <v>0.20493742502056717</v>
      </c>
      <c r="AK268" s="460" t="s">
        <v>1126</v>
      </c>
      <c r="AL268" s="84"/>
      <c r="AM268" s="177">
        <v>3.1155491718898936</v>
      </c>
      <c r="AN268" s="460" t="s">
        <v>1126</v>
      </c>
      <c r="AO268" s="47"/>
      <c r="AP268" s="47"/>
    </row>
    <row r="269" spans="1:42">
      <c r="A269" s="3"/>
      <c r="B269" s="4"/>
      <c r="C269" s="87"/>
      <c r="D269" s="119"/>
      <c r="E269" s="30"/>
      <c r="F269" s="80"/>
      <c r="G269" s="119"/>
      <c r="H269" s="70"/>
      <c r="I269" s="80"/>
      <c r="J269" s="119"/>
      <c r="K269" s="70"/>
      <c r="L269" s="115"/>
      <c r="M269" s="119"/>
      <c r="N269" s="70"/>
      <c r="O269" s="80"/>
      <c r="P269" s="119"/>
      <c r="Q269" s="70"/>
      <c r="R269" s="3"/>
      <c r="S269" s="9"/>
      <c r="T269" s="4"/>
      <c r="U269" s="100"/>
      <c r="V269" s="177">
        <v>12.191919793362725</v>
      </c>
      <c r="W269" s="460" t="s">
        <v>1125</v>
      </c>
      <c r="X269" s="100"/>
      <c r="Y269" s="177">
        <v>8.66</v>
      </c>
      <c r="Z269" s="460" t="s">
        <v>1125</v>
      </c>
      <c r="AA269" s="100"/>
      <c r="AB269" s="225">
        <v>1.6999999999999986</v>
      </c>
      <c r="AC269" s="177">
        <v>-3.1637959124736801</v>
      </c>
      <c r="AD269" s="460" t="s">
        <v>1125</v>
      </c>
      <c r="AE269" s="100"/>
      <c r="AF269" s="177">
        <v>-7.0515629999999971</v>
      </c>
      <c r="AG269" s="460" t="s">
        <v>1710</v>
      </c>
      <c r="AH269" s="100"/>
      <c r="AI269" s="177">
        <v>-6.1000000000000005</v>
      </c>
      <c r="AJ269" s="466">
        <v>2.9260589749714825E-4</v>
      </c>
      <c r="AK269" s="460" t="s">
        <v>1125</v>
      </c>
      <c r="AL269" s="84"/>
      <c r="AM269" s="154">
        <v>3.9002721661480475</v>
      </c>
      <c r="AN269" s="155" t="s">
        <v>2611</v>
      </c>
      <c r="AO269" s="47"/>
      <c r="AP269" s="47"/>
    </row>
    <row r="270" spans="1:42">
      <c r="A270" s="3"/>
      <c r="B270" s="4"/>
      <c r="C270" s="87"/>
      <c r="D270" s="119"/>
      <c r="E270" s="30"/>
      <c r="F270" s="80"/>
      <c r="G270" s="119"/>
      <c r="H270" s="70"/>
      <c r="I270" s="80"/>
      <c r="J270" s="119"/>
      <c r="K270" s="70"/>
      <c r="L270" s="115"/>
      <c r="M270" s="119"/>
      <c r="N270" s="70"/>
      <c r="O270" s="80"/>
      <c r="P270" s="119"/>
      <c r="Q270" s="70"/>
      <c r="R270" s="3"/>
      <c r="S270" s="9"/>
      <c r="T270" s="4"/>
      <c r="U270" s="100"/>
      <c r="V270" s="177">
        <v>14.346079999999999</v>
      </c>
      <c r="W270" s="460" t="s">
        <v>1705</v>
      </c>
      <c r="X270" s="100"/>
      <c r="Y270" s="177">
        <v>4.789420999999999</v>
      </c>
      <c r="Z270" s="460" t="s">
        <v>1707</v>
      </c>
      <c r="AA270" s="100"/>
      <c r="AB270" s="461">
        <v>5.4200000000000029E-3</v>
      </c>
      <c r="AC270" s="177">
        <v>-5.6602455473135667</v>
      </c>
      <c r="AD270" s="460" t="s">
        <v>1465</v>
      </c>
      <c r="AE270" s="100"/>
      <c r="AF270" s="177">
        <v>0.23044892137827391</v>
      </c>
      <c r="AG270" s="460" t="s">
        <v>1465</v>
      </c>
      <c r="AH270" s="100"/>
      <c r="AI270" s="177">
        <v>-0.42003097302732068</v>
      </c>
      <c r="AJ270" s="467">
        <v>140.03999999999996</v>
      </c>
      <c r="AK270" s="460" t="s">
        <v>1467</v>
      </c>
      <c r="AL270" s="84"/>
      <c r="AM270" s="47"/>
      <c r="AN270" s="45"/>
      <c r="AO270" s="47"/>
      <c r="AP270" s="47"/>
    </row>
    <row r="271" spans="1:42">
      <c r="A271" s="3"/>
      <c r="B271" s="4"/>
      <c r="C271" s="87"/>
      <c r="D271" s="119"/>
      <c r="E271" s="30"/>
      <c r="F271" s="80"/>
      <c r="G271" s="119"/>
      <c r="H271" s="70"/>
      <c r="I271" s="80"/>
      <c r="J271" s="119"/>
      <c r="K271" s="70"/>
      <c r="L271" s="115"/>
      <c r="M271" s="119"/>
      <c r="N271" s="70"/>
      <c r="O271" s="80"/>
      <c r="P271" s="119"/>
      <c r="Q271" s="70"/>
      <c r="R271" s="3"/>
      <c r="S271" s="9"/>
      <c r="T271" s="4"/>
      <c r="U271" s="100"/>
      <c r="V271" s="177">
        <v>15.020149999999999</v>
      </c>
      <c r="W271" s="460" t="s">
        <v>1706</v>
      </c>
      <c r="X271" s="8"/>
      <c r="Y271" s="177">
        <v>4.5346019999999987</v>
      </c>
      <c r="Z271" s="460" t="s">
        <v>1708</v>
      </c>
      <c r="AA271" s="47"/>
      <c r="AB271" s="463">
        <v>2.051821117499999</v>
      </c>
      <c r="AC271" s="177">
        <v>-3.0821053385569397</v>
      </c>
      <c r="AD271" s="460" t="s">
        <v>1466</v>
      </c>
      <c r="AE271" s="13"/>
      <c r="AF271" s="177">
        <v>-5.4201375235601255</v>
      </c>
      <c r="AG271" s="460" t="s">
        <v>1466</v>
      </c>
      <c r="AH271" s="84"/>
      <c r="AI271" s="177">
        <v>-0.24968377302645481</v>
      </c>
      <c r="AJ271" s="464">
        <v>207.3</v>
      </c>
      <c r="AK271" s="460" t="s">
        <v>1468</v>
      </c>
      <c r="AL271" s="84"/>
      <c r="AM271" s="47"/>
      <c r="AN271" s="45"/>
      <c r="AO271" s="47"/>
      <c r="AP271" s="47"/>
    </row>
    <row r="272" spans="1:42">
      <c r="A272" s="3"/>
      <c r="B272" s="4"/>
      <c r="C272" s="87"/>
      <c r="D272" s="119"/>
      <c r="E272" s="30"/>
      <c r="F272" s="80"/>
      <c r="G272" s="119"/>
      <c r="H272" s="70"/>
      <c r="I272" s="80"/>
      <c r="J272" s="119"/>
      <c r="K272" s="70"/>
      <c r="L272" s="115"/>
      <c r="M272" s="119"/>
      <c r="N272" s="70"/>
      <c r="O272" s="80"/>
      <c r="P272" s="119"/>
      <c r="Q272" s="70"/>
      <c r="R272" s="3"/>
      <c r="S272" s="9"/>
      <c r="T272" s="4"/>
      <c r="U272" s="100"/>
      <c r="V272" s="177">
        <v>9.5909999999999993</v>
      </c>
      <c r="W272" s="460" t="s">
        <v>1465</v>
      </c>
      <c r="X272" s="8"/>
      <c r="Y272" s="177">
        <v>6.34</v>
      </c>
      <c r="Z272" s="460" t="s">
        <v>1465</v>
      </c>
      <c r="AA272" s="47"/>
      <c r="AB272" s="47"/>
      <c r="AC272" s="47"/>
      <c r="AD272" s="45"/>
      <c r="AE272" s="13"/>
      <c r="AF272" s="9"/>
      <c r="AG272" s="9"/>
      <c r="AH272" s="84"/>
      <c r="AI272" s="47"/>
      <c r="AJ272" s="47"/>
      <c r="AK272" s="45"/>
      <c r="AL272" s="84"/>
      <c r="AM272" s="47"/>
      <c r="AN272" s="45"/>
      <c r="AO272" s="47"/>
      <c r="AP272" s="47"/>
    </row>
    <row r="273" spans="1:42">
      <c r="A273" s="3"/>
      <c r="B273" s="4"/>
      <c r="C273" s="87"/>
      <c r="D273" s="119"/>
      <c r="E273" s="30"/>
      <c r="F273" s="80"/>
      <c r="G273" s="119"/>
      <c r="H273" s="70"/>
      <c r="I273" s="80"/>
      <c r="J273" s="119"/>
      <c r="K273" s="70"/>
      <c r="L273" s="115"/>
      <c r="M273" s="119"/>
      <c r="N273" s="70"/>
      <c r="O273" s="80"/>
      <c r="R273" s="80"/>
      <c r="S273" s="171"/>
      <c r="T273" s="70"/>
      <c r="U273" s="87"/>
      <c r="V273" s="8"/>
      <c r="W273" s="45"/>
      <c r="Y273" s="8"/>
      <c r="Z273" s="45"/>
      <c r="AB273" s="47"/>
      <c r="AC273" s="47"/>
      <c r="AD273" s="45"/>
      <c r="AF273" s="6"/>
      <c r="AG273" s="6"/>
      <c r="AH273" s="78"/>
      <c r="AJ273" s="47"/>
      <c r="AK273" s="45"/>
      <c r="AL273" s="84"/>
      <c r="AM273" s="47"/>
      <c r="AN273" s="45"/>
      <c r="AO273" s="47"/>
      <c r="AP273" s="47"/>
    </row>
    <row r="274" spans="1:42">
      <c r="A274" s="3" t="s">
        <v>83</v>
      </c>
      <c r="B274" s="4" t="s">
        <v>84</v>
      </c>
      <c r="C274" s="157">
        <v>117.30446634072001</v>
      </c>
      <c r="D274" s="30">
        <v>117.30446634072001</v>
      </c>
      <c r="E274" s="30" t="s">
        <v>1126</v>
      </c>
      <c r="F274" s="187">
        <v>10.954777397464071</v>
      </c>
      <c r="G274" s="318">
        <v>10.954777397464071</v>
      </c>
      <c r="H274" s="70" t="s">
        <v>1126</v>
      </c>
      <c r="I274" s="187"/>
      <c r="J274" s="318">
        <v>7.1739603940400798</v>
      </c>
      <c r="K274" s="70" t="s">
        <v>1126</v>
      </c>
      <c r="L274" s="191">
        <v>-110.13050594667993</v>
      </c>
      <c r="M274" s="276">
        <v>-110.13050594667993</v>
      </c>
      <c r="N274" s="13" t="s">
        <v>2792</v>
      </c>
      <c r="O274" s="187">
        <v>136.38984429999999</v>
      </c>
      <c r="P274" s="318">
        <v>136.38984429999999</v>
      </c>
      <c r="Q274" s="70" t="s">
        <v>2793</v>
      </c>
      <c r="R274" s="187">
        <v>3.1020880000000073</v>
      </c>
      <c r="S274" s="491">
        <v>3.1020880000000073</v>
      </c>
      <c r="T274" s="13" t="s">
        <v>2793</v>
      </c>
      <c r="U274" s="145">
        <v>11.703099999999999</v>
      </c>
      <c r="V274" s="15">
        <v>11.703099999999999</v>
      </c>
      <c r="W274" s="320" t="s">
        <v>2868</v>
      </c>
      <c r="X274" s="145">
        <v>5.1328800000000001</v>
      </c>
      <c r="Y274" s="15">
        <v>5.1328800000000001</v>
      </c>
      <c r="Z274" s="320" t="s">
        <v>2868</v>
      </c>
      <c r="AA274" s="145">
        <v>-5.6602455473135667</v>
      </c>
      <c r="AB274" s="371">
        <v>5.4200000000000029E-3</v>
      </c>
      <c r="AC274" s="15">
        <v>-5.6602455473135667</v>
      </c>
      <c r="AD274" s="320" t="s">
        <v>2869</v>
      </c>
      <c r="AE274" s="145">
        <v>-5.8096683018297082</v>
      </c>
      <c r="AF274" s="15">
        <v>-5.8096683018297082</v>
      </c>
      <c r="AG274" s="320" t="s">
        <v>2872</v>
      </c>
      <c r="AH274" s="145">
        <v>-3.2681083817604986</v>
      </c>
      <c r="AI274" s="15">
        <v>-3.2681083817604986</v>
      </c>
      <c r="AJ274" s="229">
        <v>0.19868939774399988</v>
      </c>
      <c r="AK274" s="320" t="s">
        <v>2868</v>
      </c>
      <c r="AL274" s="145">
        <v>2.0676830999999991</v>
      </c>
      <c r="AM274" s="15">
        <v>2.0676830999999991</v>
      </c>
      <c r="AN274" s="320" t="s">
        <v>2871</v>
      </c>
      <c r="AO274" s="47"/>
      <c r="AP274" s="47"/>
    </row>
    <row r="275" spans="1:42">
      <c r="A275" s="3"/>
      <c r="B275" s="171">
        <v>368.36900000000003</v>
      </c>
      <c r="C275" s="157">
        <v>25.032890421575992</v>
      </c>
      <c r="D275" s="206">
        <v>129.28559999999999</v>
      </c>
      <c r="E275" s="206" t="s">
        <v>1125</v>
      </c>
      <c r="F275" s="157">
        <v>15.367142637614648</v>
      </c>
      <c r="G275" s="70"/>
      <c r="H275" s="70"/>
      <c r="I275" s="157"/>
      <c r="J275" s="70"/>
      <c r="K275" s="70"/>
      <c r="L275" s="191">
        <v>12.010502587027073</v>
      </c>
      <c r="M275" s="323">
        <v>-110.13050594667993</v>
      </c>
      <c r="N275" s="180" t="s">
        <v>1126</v>
      </c>
      <c r="O275" s="191">
        <v>25.5688677210767</v>
      </c>
      <c r="P275" s="323">
        <v>136.38984429999999</v>
      </c>
      <c r="Q275" s="180" t="s">
        <v>1407</v>
      </c>
      <c r="R275" s="191">
        <v>1.2725172831046947</v>
      </c>
      <c r="S275" s="323">
        <v>3.1020880000000073</v>
      </c>
      <c r="T275" s="180" t="s">
        <v>1407</v>
      </c>
      <c r="U275" s="145">
        <v>0.77287272399999996</v>
      </c>
      <c r="V275" s="177">
        <v>12.713903851818277</v>
      </c>
      <c r="W275" s="460" t="s">
        <v>1126</v>
      </c>
      <c r="X275" s="145">
        <v>2.3917321634399999</v>
      </c>
      <c r="Y275" s="177">
        <v>5.1328800000000001</v>
      </c>
      <c r="Z275" s="460" t="s">
        <v>1466</v>
      </c>
      <c r="AA275" s="145">
        <v>1.6033947369241559</v>
      </c>
      <c r="AB275" s="461">
        <v>4.5996187306985751E-6</v>
      </c>
      <c r="AC275" s="177">
        <v>-8.7315229999999993</v>
      </c>
      <c r="AD275" s="222" t="s">
        <v>1709</v>
      </c>
      <c r="AE275" s="145">
        <v>1.304183388736242</v>
      </c>
      <c r="AF275" s="177">
        <v>-6.0776061699999993</v>
      </c>
      <c r="AG275" s="365" t="s">
        <v>1126</v>
      </c>
      <c r="AH275" s="145">
        <v>2.861898850449577</v>
      </c>
      <c r="AI275" s="177">
        <v>-3.2681083817604986</v>
      </c>
      <c r="AJ275" s="464">
        <v>1.337015530881599</v>
      </c>
      <c r="AK275" s="362" t="s">
        <v>1466</v>
      </c>
      <c r="AL275" s="145">
        <v>0.37369443434609984</v>
      </c>
      <c r="AM275" s="154">
        <v>2.0676830999999991</v>
      </c>
      <c r="AN275" s="155" t="s">
        <v>2610</v>
      </c>
      <c r="AO275" s="47"/>
      <c r="AP275" s="47"/>
    </row>
    <row r="276" spans="1:42">
      <c r="A276" s="3"/>
      <c r="B276" s="4"/>
      <c r="C276" s="87"/>
      <c r="D276" s="119"/>
      <c r="E276" s="26"/>
      <c r="F276" s="80"/>
      <c r="G276" s="119"/>
      <c r="H276" s="70"/>
      <c r="I276" s="80"/>
      <c r="J276" s="119"/>
      <c r="K276" s="70"/>
      <c r="L276" s="3"/>
      <c r="M276" s="323">
        <v>-135.6690304</v>
      </c>
      <c r="N276" s="180" t="s">
        <v>1408</v>
      </c>
      <c r="O276" s="3"/>
      <c r="P276" s="323">
        <v>106.34968894325594</v>
      </c>
      <c r="Q276" s="180" t="s">
        <v>1126</v>
      </c>
      <c r="R276" s="3"/>
      <c r="S276" s="323">
        <v>-3.7808170034239907</v>
      </c>
      <c r="T276" s="180" t="s">
        <v>1126</v>
      </c>
      <c r="U276" s="100"/>
      <c r="V276" s="177">
        <v>11.703099999999999</v>
      </c>
      <c r="W276" s="460" t="s">
        <v>1466</v>
      </c>
      <c r="X276" s="100"/>
      <c r="Y276" s="177">
        <v>6.9911471199999999</v>
      </c>
      <c r="Z276" s="460" t="s">
        <v>1126</v>
      </c>
      <c r="AA276" s="100"/>
      <c r="AB276" s="462">
        <v>4.3750768285206231E-3</v>
      </c>
      <c r="AC276" s="177">
        <v>-5.7532591499999999</v>
      </c>
      <c r="AD276" s="460" t="s">
        <v>1126</v>
      </c>
      <c r="AE276" s="100"/>
      <c r="AF276" s="177">
        <v>-5.8096683018297082</v>
      </c>
      <c r="AG276" s="460" t="s">
        <v>1125</v>
      </c>
      <c r="AH276" s="100"/>
      <c r="AI276" s="177">
        <v>-3.7611031400000012</v>
      </c>
      <c r="AJ276" s="465">
        <v>6.3852798370667999E-2</v>
      </c>
      <c r="AK276" s="460" t="s">
        <v>1126</v>
      </c>
      <c r="AL276" s="84"/>
      <c r="AM276" s="177">
        <v>3.1754105986098948</v>
      </c>
      <c r="AN276" s="460" t="s">
        <v>1126</v>
      </c>
      <c r="AO276" s="47"/>
      <c r="AP276" s="47"/>
    </row>
    <row r="277" spans="1:42">
      <c r="A277" s="3"/>
      <c r="B277" s="4"/>
      <c r="C277" s="87"/>
      <c r="D277" s="119"/>
      <c r="E277" s="30"/>
      <c r="F277" s="80"/>
      <c r="G277" s="119"/>
      <c r="H277" s="70"/>
      <c r="I277" s="80"/>
      <c r="J277" s="119"/>
      <c r="K277" s="70"/>
      <c r="L277" s="115"/>
      <c r="M277" s="119"/>
      <c r="N277" s="70"/>
      <c r="O277" s="80"/>
      <c r="P277" s="119"/>
      <c r="Q277" s="70"/>
      <c r="R277" s="3"/>
      <c r="S277" s="9"/>
      <c r="T277" s="4"/>
      <c r="U277" s="100"/>
      <c r="V277" s="177">
        <v>12.173123814250088</v>
      </c>
      <c r="W277" s="460" t="s">
        <v>1125</v>
      </c>
      <c r="X277" s="100"/>
      <c r="Y277" s="177">
        <v>8.9</v>
      </c>
      <c r="Z277" s="460" t="s">
        <v>1125</v>
      </c>
      <c r="AA277" s="100"/>
      <c r="AB277" s="225">
        <v>3.18</v>
      </c>
      <c r="AC277" s="177">
        <v>-2.8918177138675212</v>
      </c>
      <c r="AD277" s="460" t="s">
        <v>1125</v>
      </c>
      <c r="AE277" s="100"/>
      <c r="AF277" s="177">
        <v>-7.0515629999999971</v>
      </c>
      <c r="AG277" s="460" t="s">
        <v>1710</v>
      </c>
      <c r="AH277" s="100"/>
      <c r="AI277" s="177">
        <v>-6.3100000000000014</v>
      </c>
      <c r="AJ277" s="466">
        <v>1.804193339119342E-4</v>
      </c>
      <c r="AK277" s="460" t="s">
        <v>1125</v>
      </c>
      <c r="AL277" s="84"/>
      <c r="AM277" s="154">
        <v>3.9002721661480475</v>
      </c>
      <c r="AN277" s="155" t="s">
        <v>2611</v>
      </c>
      <c r="AO277" s="47"/>
      <c r="AP277" s="47"/>
    </row>
    <row r="278" spans="1:42">
      <c r="A278" s="3"/>
      <c r="B278" s="4"/>
      <c r="C278" s="87"/>
      <c r="D278" s="119"/>
      <c r="E278" s="30"/>
      <c r="F278" s="80"/>
      <c r="G278" s="119"/>
      <c r="H278" s="70"/>
      <c r="I278" s="80"/>
      <c r="J278" s="119"/>
      <c r="K278" s="70"/>
      <c r="L278" s="115"/>
      <c r="M278" s="119"/>
      <c r="N278" s="70"/>
      <c r="O278" s="80"/>
      <c r="P278" s="119"/>
      <c r="Q278" s="70"/>
      <c r="R278" s="3"/>
      <c r="S278" s="9"/>
      <c r="T278" s="4"/>
      <c r="U278" s="100"/>
      <c r="V278" s="177">
        <v>14.346079999999999</v>
      </c>
      <c r="W278" s="460" t="s">
        <v>1705</v>
      </c>
      <c r="X278" s="100"/>
      <c r="Y278" s="177">
        <v>4.789420999999999</v>
      </c>
      <c r="Z278" s="460" t="s">
        <v>1707</v>
      </c>
      <c r="AA278" s="100"/>
      <c r="AB278" s="461">
        <v>5.4200000000000029E-3</v>
      </c>
      <c r="AC278" s="177">
        <v>-5.6602455473135667</v>
      </c>
      <c r="AD278" s="460" t="s">
        <v>1465</v>
      </c>
      <c r="AE278" s="100"/>
      <c r="AF278" s="177">
        <v>-4.8326826652518236</v>
      </c>
      <c r="AG278" s="460" t="s">
        <v>1465</v>
      </c>
      <c r="AH278" s="100"/>
      <c r="AI278" s="177">
        <v>-0.42003097302732068</v>
      </c>
      <c r="AJ278" s="467">
        <v>140.03999999999996</v>
      </c>
      <c r="AK278" s="460" t="s">
        <v>1467</v>
      </c>
      <c r="AL278" s="84"/>
      <c r="AM278" s="47"/>
      <c r="AN278" s="45"/>
      <c r="AO278" s="47"/>
      <c r="AP278" s="47"/>
    </row>
    <row r="279" spans="1:42">
      <c r="A279" s="3"/>
      <c r="B279" s="4" t="s">
        <v>20</v>
      </c>
      <c r="C279" s="87"/>
      <c r="D279" s="119"/>
      <c r="F279" s="80"/>
      <c r="G279" s="119"/>
      <c r="H279" s="70"/>
      <c r="I279" s="80"/>
      <c r="J279" s="119"/>
      <c r="K279" s="70"/>
      <c r="L279" s="115"/>
      <c r="M279" s="119"/>
      <c r="N279" s="70"/>
      <c r="O279" s="80"/>
      <c r="P279" s="119"/>
      <c r="Q279" s="70"/>
      <c r="R279" s="3"/>
      <c r="S279" s="9"/>
      <c r="T279" s="4"/>
      <c r="U279" s="100"/>
      <c r="V279" s="177">
        <v>15.020149999999999</v>
      </c>
      <c r="W279" s="460" t="s">
        <v>1706</v>
      </c>
      <c r="X279" s="8"/>
      <c r="Y279" s="177">
        <v>4.5346019999999987</v>
      </c>
      <c r="Z279" s="460" t="s">
        <v>1708</v>
      </c>
      <c r="AA279" s="47"/>
      <c r="AB279" s="463">
        <v>2.5916401874999964</v>
      </c>
      <c r="AC279" s="177">
        <v>-2.9806701281002845</v>
      </c>
      <c r="AD279" s="460" t="s">
        <v>1466</v>
      </c>
      <c r="AE279" s="13"/>
      <c r="AF279" s="177">
        <v>-5.5151925334690963</v>
      </c>
      <c r="AG279" s="460" t="s">
        <v>1466</v>
      </c>
      <c r="AH279" s="84"/>
      <c r="AI279" s="177">
        <v>-1.3021739188145074</v>
      </c>
      <c r="AJ279" s="464">
        <v>18.36999999999999</v>
      </c>
      <c r="AK279" s="460" t="s">
        <v>1468</v>
      </c>
      <c r="AL279" s="84"/>
      <c r="AM279" s="47"/>
      <c r="AN279" s="45"/>
      <c r="AO279" s="47"/>
      <c r="AP279" s="47"/>
    </row>
    <row r="280" spans="1:42">
      <c r="A280" s="3"/>
      <c r="B280" s="4"/>
      <c r="C280" s="87"/>
      <c r="D280" s="119"/>
      <c r="F280" s="80"/>
      <c r="G280" s="119"/>
      <c r="H280" s="70"/>
      <c r="I280" s="80"/>
      <c r="J280" s="119"/>
      <c r="K280" s="70"/>
      <c r="L280" s="115"/>
      <c r="M280" s="119"/>
      <c r="N280" s="70"/>
      <c r="O280" s="80"/>
      <c r="P280" s="119"/>
      <c r="Q280" s="70"/>
      <c r="R280" s="3"/>
      <c r="S280" s="9"/>
      <c r="T280" s="4"/>
      <c r="U280" s="100"/>
      <c r="V280" s="177">
        <v>12</v>
      </c>
      <c r="W280" s="460" t="s">
        <v>1465</v>
      </c>
      <c r="X280" s="8"/>
      <c r="Y280" s="177">
        <v>6.34</v>
      </c>
      <c r="Z280" s="460" t="s">
        <v>1465</v>
      </c>
      <c r="AA280" s="47"/>
      <c r="AB280" s="47"/>
      <c r="AC280" s="47"/>
      <c r="AD280" s="45"/>
      <c r="AE280" s="13"/>
      <c r="AF280" s="9"/>
      <c r="AG280" s="9"/>
      <c r="AH280" s="84"/>
      <c r="AI280" s="47"/>
      <c r="AJ280" s="47"/>
      <c r="AK280" s="45"/>
      <c r="AL280" s="84"/>
      <c r="AM280" s="47"/>
      <c r="AN280" s="45"/>
      <c r="AO280" s="47"/>
      <c r="AP280" s="47"/>
    </row>
    <row r="281" spans="1:42">
      <c r="A281" s="3"/>
      <c r="B281" s="4"/>
      <c r="C281" s="87"/>
      <c r="D281" s="119"/>
      <c r="E281" s="30"/>
      <c r="F281" s="80"/>
      <c r="G281" s="119"/>
      <c r="H281" s="70"/>
      <c r="I281" s="80"/>
      <c r="J281" s="119"/>
      <c r="K281" s="70"/>
      <c r="L281" s="115"/>
      <c r="M281" s="119"/>
      <c r="N281" s="70"/>
      <c r="O281" s="80"/>
      <c r="P281" s="119"/>
      <c r="Q281" s="70"/>
      <c r="R281" s="80"/>
      <c r="S281" s="171"/>
      <c r="T281" s="70"/>
      <c r="U281" s="87"/>
      <c r="V281" s="8"/>
      <c r="W281" s="45"/>
      <c r="Y281" s="8"/>
      <c r="Z281" s="45"/>
      <c r="AB281" s="47"/>
      <c r="AC281" s="47"/>
      <c r="AD281" s="45"/>
      <c r="AH281" s="78"/>
      <c r="AJ281" s="47"/>
      <c r="AK281" s="45"/>
      <c r="AL281" s="84"/>
      <c r="AM281" s="47"/>
      <c r="AN281" s="45"/>
      <c r="AO281" s="47"/>
      <c r="AP281" s="47"/>
    </row>
    <row r="282" spans="1:42">
      <c r="A282" s="3" t="s">
        <v>85</v>
      </c>
      <c r="B282" s="4" t="s">
        <v>86</v>
      </c>
      <c r="C282" s="157">
        <v>121.93324763224</v>
      </c>
      <c r="D282" s="30">
        <v>121.93324763224</v>
      </c>
      <c r="E282" s="30" t="s">
        <v>1126</v>
      </c>
      <c r="F282" s="187">
        <v>-25.078541008080165</v>
      </c>
      <c r="G282" s="318">
        <v>-25.078541008080165</v>
      </c>
      <c r="H282" s="70" t="s">
        <v>1126</v>
      </c>
      <c r="I282" s="187"/>
      <c r="J282" s="318">
        <v>4.8328781671361156</v>
      </c>
      <c r="K282" s="70" t="s">
        <v>1126</v>
      </c>
      <c r="L282" s="191">
        <v>-117.10036946510388</v>
      </c>
      <c r="M282" s="276">
        <v>-117.10036946510388</v>
      </c>
      <c r="N282" s="13" t="s">
        <v>2792</v>
      </c>
      <c r="O282" s="187">
        <v>161.93206889999999</v>
      </c>
      <c r="P282" s="318">
        <v>161.93206889999999</v>
      </c>
      <c r="Q282" s="70" t="s">
        <v>2793</v>
      </c>
      <c r="R282" s="187">
        <v>30.219663999999998</v>
      </c>
      <c r="S282" s="491">
        <v>30.219663999999998</v>
      </c>
      <c r="T282" s="13" t="s">
        <v>2793</v>
      </c>
      <c r="U282" s="145">
        <v>11.726599999999999</v>
      </c>
      <c r="V282" s="15">
        <v>11.726599999999999</v>
      </c>
      <c r="W282" s="320" t="s">
        <v>2868</v>
      </c>
      <c r="X282" s="145">
        <v>3.6139899999999998</v>
      </c>
      <c r="Y282" s="15">
        <v>3.6139899999999998</v>
      </c>
      <c r="Z282" s="320" t="s">
        <v>2868</v>
      </c>
      <c r="AA282" s="145">
        <v>-9.3114594635355044</v>
      </c>
      <c r="AB282" s="371">
        <v>1.2099999999999967E-6</v>
      </c>
      <c r="AC282" s="15">
        <v>-9.3114594635355044</v>
      </c>
      <c r="AD282" s="320" t="s">
        <v>2869</v>
      </c>
      <c r="AE282" s="145">
        <v>-4.795880017344075</v>
      </c>
      <c r="AF282" s="15">
        <v>-4.795880017344075</v>
      </c>
      <c r="AG282" s="320" t="s">
        <v>2872</v>
      </c>
      <c r="AH282" s="145">
        <v>0.36510781086883315</v>
      </c>
      <c r="AI282" s="15">
        <v>0.36510781086883315</v>
      </c>
      <c r="AJ282" s="229">
        <v>923.65773169000011</v>
      </c>
      <c r="AK282" s="320" t="s">
        <v>2868</v>
      </c>
      <c r="AL282" s="145">
        <v>3.3537672999999995</v>
      </c>
      <c r="AM282" s="15">
        <v>3.3537672999999995</v>
      </c>
      <c r="AN282" s="320" t="s">
        <v>2871</v>
      </c>
      <c r="AO282" s="6"/>
      <c r="AP282" s="6"/>
    </row>
    <row r="283" spans="1:42">
      <c r="A283" s="3"/>
      <c r="B283" s="171">
        <v>398.47699999999998</v>
      </c>
      <c r="C283" s="157">
        <v>26.02067697796765</v>
      </c>
      <c r="D283" s="206">
        <v>124.43216</v>
      </c>
      <c r="E283" s="206" t="s">
        <v>1125</v>
      </c>
      <c r="F283" s="157">
        <v>35.17967575531469</v>
      </c>
      <c r="G283" s="70"/>
      <c r="H283" s="70"/>
      <c r="I283" s="157"/>
      <c r="J283" s="70"/>
      <c r="K283" s="70"/>
      <c r="L283" s="191">
        <v>12.770614992755835</v>
      </c>
      <c r="M283" s="323">
        <v>-117.10036946510388</v>
      </c>
      <c r="N283" s="180" t="s">
        <v>1126</v>
      </c>
      <c r="O283" s="191">
        <v>30.357243024614096</v>
      </c>
      <c r="P283" s="323">
        <v>161.93206889999999</v>
      </c>
      <c r="Q283" s="180" t="s">
        <v>1407</v>
      </c>
      <c r="R283" s="191">
        <v>12.396503493652231</v>
      </c>
      <c r="S283" s="323">
        <v>30.219663999999998</v>
      </c>
      <c r="T283" s="180" t="s">
        <v>1407</v>
      </c>
      <c r="U283" s="145">
        <v>0.77442466399999998</v>
      </c>
      <c r="V283" s="177">
        <v>13.017309919510391</v>
      </c>
      <c r="W283" s="460" t="s">
        <v>1126</v>
      </c>
      <c r="X283" s="145">
        <v>1.68398562237</v>
      </c>
      <c r="Y283" s="177">
        <v>3.6139899999999998</v>
      </c>
      <c r="Z283" s="460" t="s">
        <v>1466</v>
      </c>
      <c r="AA283" s="145">
        <v>2.6376850566140928</v>
      </c>
      <c r="AB283" s="461">
        <v>1.1184996018865442E-4</v>
      </c>
      <c r="AC283" s="177">
        <v>-7.3456089999999996</v>
      </c>
      <c r="AD283" s="222" t="s">
        <v>1709</v>
      </c>
      <c r="AE283" s="145">
        <v>1.0766031256934847</v>
      </c>
      <c r="AF283" s="177">
        <v>-5.8120652700000015</v>
      </c>
      <c r="AG283" s="365" t="s">
        <v>1126</v>
      </c>
      <c r="AH283" s="145">
        <v>0.31972673551689151</v>
      </c>
      <c r="AI283" s="177">
        <v>0.36510781086883315</v>
      </c>
      <c r="AJ283" s="464">
        <v>5745.8283092270003</v>
      </c>
      <c r="AK283" s="362" t="s">
        <v>1466</v>
      </c>
      <c r="AL283" s="145">
        <v>0.60612971789629988</v>
      </c>
      <c r="AM283" s="154">
        <v>3.3537672999999995</v>
      </c>
      <c r="AN283" s="155" t="s">
        <v>2610</v>
      </c>
      <c r="AO283" s="6"/>
      <c r="AP283" s="6"/>
    </row>
    <row r="284" spans="1:42">
      <c r="A284" s="3"/>
      <c r="B284" s="4"/>
      <c r="C284" s="87"/>
      <c r="D284" s="119"/>
      <c r="E284" s="30"/>
      <c r="F284" s="80"/>
      <c r="G284" s="119"/>
      <c r="H284" s="30"/>
      <c r="I284" s="80"/>
      <c r="J284" s="119"/>
      <c r="K284" s="30"/>
      <c r="L284" s="3"/>
      <c r="M284" s="323">
        <v>-134.09602519999999</v>
      </c>
      <c r="N284" s="180" t="s">
        <v>1408</v>
      </c>
      <c r="O284" s="3"/>
      <c r="P284" s="323">
        <v>147.01178864032016</v>
      </c>
      <c r="Q284" s="180" t="s">
        <v>1126</v>
      </c>
      <c r="R284" s="3"/>
      <c r="S284" s="323">
        <v>29.911419175216281</v>
      </c>
      <c r="T284" s="180" t="s">
        <v>1126</v>
      </c>
      <c r="U284" s="100"/>
      <c r="V284" s="177">
        <v>11.726599999999999</v>
      </c>
      <c r="W284" s="460" t="s">
        <v>1466</v>
      </c>
      <c r="X284" s="100"/>
      <c r="Y284" s="177">
        <v>5.7495184200000002</v>
      </c>
      <c r="Z284" s="460" t="s">
        <v>1126</v>
      </c>
      <c r="AA284" s="100"/>
      <c r="AB284" s="462">
        <v>9.9064765046795689E-5</v>
      </c>
      <c r="AC284" s="177">
        <v>-7.3983256199999996</v>
      </c>
      <c r="AD284" s="460" t="s">
        <v>1126</v>
      </c>
      <c r="AE284" s="100"/>
      <c r="AF284" s="177">
        <v>-4.795880017344075</v>
      </c>
      <c r="AG284" s="460" t="s">
        <v>1125</v>
      </c>
      <c r="AH284" s="100"/>
      <c r="AI284" s="177">
        <v>-1.8504559900000008</v>
      </c>
      <c r="AJ284" s="465">
        <v>5.6227305129502243</v>
      </c>
      <c r="AK284" s="460" t="s">
        <v>1126</v>
      </c>
      <c r="AL284" s="84"/>
      <c r="AM284" s="177" t="s">
        <v>2705</v>
      </c>
      <c r="AN284" s="460" t="s">
        <v>1126</v>
      </c>
      <c r="AO284" s="52"/>
      <c r="AP284" s="52"/>
    </row>
    <row r="285" spans="1:42">
      <c r="A285" s="3"/>
      <c r="B285" s="4" t="s">
        <v>20</v>
      </c>
      <c r="C285" s="87"/>
      <c r="D285" s="16"/>
      <c r="F285" s="80"/>
      <c r="G285" s="119"/>
      <c r="H285" s="4"/>
      <c r="I285" s="80"/>
      <c r="J285" s="119"/>
      <c r="K285" s="4"/>
      <c r="L285" s="115"/>
      <c r="M285" s="119"/>
      <c r="N285" s="4"/>
      <c r="O285" s="80"/>
      <c r="P285" s="119"/>
      <c r="Q285" s="4"/>
      <c r="R285" s="3"/>
      <c r="S285" s="9"/>
      <c r="T285" s="4"/>
      <c r="U285" s="100"/>
      <c r="V285" s="177">
        <v>11.601062454024499</v>
      </c>
      <c r="W285" s="460" t="s">
        <v>1125</v>
      </c>
      <c r="X285" s="100"/>
      <c r="Y285" s="177">
        <v>5.95</v>
      </c>
      <c r="Z285" s="460" t="s">
        <v>1125</v>
      </c>
      <c r="AA285" s="100"/>
      <c r="AB285" s="225">
        <v>5.5399999999999972E-3</v>
      </c>
      <c r="AC285" s="177">
        <v>-5.6507350691235239</v>
      </c>
      <c r="AD285" s="460" t="s">
        <v>1125</v>
      </c>
      <c r="AE285" s="100"/>
      <c r="AF285" s="177">
        <v>-6.021929000000001</v>
      </c>
      <c r="AG285" s="460" t="s">
        <v>1710</v>
      </c>
      <c r="AH285" s="100"/>
      <c r="AI285" s="177">
        <v>-2.5400000000000009</v>
      </c>
      <c r="AJ285" s="466">
        <v>1.1492202212713778</v>
      </c>
      <c r="AK285" s="460" t="s">
        <v>1125</v>
      </c>
      <c r="AL285" s="84"/>
      <c r="AM285" s="154">
        <v>4.3659261661480429</v>
      </c>
      <c r="AN285" s="155" t="s">
        <v>2611</v>
      </c>
      <c r="AO285" s="47"/>
      <c r="AP285" s="47"/>
    </row>
    <row r="286" spans="1:42">
      <c r="A286" s="3"/>
      <c r="B286" s="4"/>
      <c r="C286" s="87"/>
      <c r="D286" s="119"/>
      <c r="E286" s="4"/>
      <c r="F286" s="80"/>
      <c r="G286" s="119"/>
      <c r="H286" s="4"/>
      <c r="I286" s="80"/>
      <c r="J286" s="119"/>
      <c r="K286" s="4"/>
      <c r="L286" s="115"/>
      <c r="M286" s="119"/>
      <c r="N286" s="4"/>
      <c r="O286" s="80"/>
      <c r="P286" s="119"/>
      <c r="Q286" s="4"/>
      <c r="R286" s="3"/>
      <c r="S286" s="9"/>
      <c r="T286" s="4"/>
      <c r="U286" s="100"/>
      <c r="V286" s="177">
        <v>13.782099999999998</v>
      </c>
      <c r="W286" s="460" t="s">
        <v>1705</v>
      </c>
      <c r="X286" s="100"/>
      <c r="Y286" s="177">
        <v>4.8688429999999991</v>
      </c>
      <c r="Z286" s="460" t="s">
        <v>1707</v>
      </c>
      <c r="AA286" s="100"/>
      <c r="AB286" s="461">
        <v>1.2099999999999967E-6</v>
      </c>
      <c r="AC286" s="177">
        <v>-9.3114594635355044</v>
      </c>
      <c r="AD286" s="460" t="s">
        <v>1465</v>
      </c>
      <c r="AE286" s="100"/>
      <c r="AF286" s="177">
        <v>-3.7825160557860937</v>
      </c>
      <c r="AG286" s="460" t="s">
        <v>1465</v>
      </c>
      <c r="AH286" s="100"/>
      <c r="AI286" s="177">
        <v>3.1807487092031579</v>
      </c>
      <c r="AJ286" s="467">
        <v>604160.0000000007</v>
      </c>
      <c r="AK286" s="460" t="s">
        <v>1467</v>
      </c>
      <c r="AL286" s="84"/>
      <c r="AM286" s="47"/>
      <c r="AN286" s="45"/>
      <c r="AO286" s="47"/>
      <c r="AP286" s="47"/>
    </row>
    <row r="287" spans="1:42">
      <c r="A287" s="3"/>
      <c r="B287" s="4" t="s">
        <v>20</v>
      </c>
      <c r="C287" s="87"/>
      <c r="D287" s="119"/>
      <c r="E287" s="4"/>
      <c r="F287" s="80"/>
      <c r="G287" s="119"/>
      <c r="H287" s="4"/>
      <c r="I287" s="80"/>
      <c r="J287" s="119"/>
      <c r="K287" s="4"/>
      <c r="L287" s="115"/>
      <c r="M287" s="119"/>
      <c r="N287" s="4"/>
      <c r="O287" s="80"/>
      <c r="P287" s="119"/>
      <c r="Q287" s="4"/>
      <c r="R287" s="3"/>
      <c r="S287" s="9"/>
      <c r="T287" s="4"/>
      <c r="U287" s="100"/>
      <c r="V287" s="177">
        <v>14.236649999999997</v>
      </c>
      <c r="W287" s="460" t="s">
        <v>1706</v>
      </c>
      <c r="X287" s="8"/>
      <c r="Y287" s="177">
        <v>4.5904659999999993</v>
      </c>
      <c r="Z287" s="460" t="s">
        <v>1708</v>
      </c>
      <c r="AA287" s="47"/>
      <c r="AB287" s="463">
        <v>0.73429923524999885</v>
      </c>
      <c r="AC287" s="177">
        <v>-3.5283717579482086</v>
      </c>
      <c r="AD287" s="460" t="s">
        <v>1466</v>
      </c>
      <c r="AE287" s="13"/>
      <c r="AF287" s="177">
        <v>-2.6422544803685191</v>
      </c>
      <c r="AG287" s="460" t="s">
        <v>1466</v>
      </c>
      <c r="AH287" s="84"/>
      <c r="AI287" s="177">
        <v>0.69251704052120777</v>
      </c>
      <c r="AJ287" s="464">
        <v>1963.0000000000005</v>
      </c>
      <c r="AK287" s="460" t="s">
        <v>1468</v>
      </c>
      <c r="AL287" s="84"/>
      <c r="AM287" s="47"/>
      <c r="AN287" s="45"/>
      <c r="AO287" s="47"/>
      <c r="AP287" s="47"/>
    </row>
    <row r="288" spans="1:42">
      <c r="A288" s="3"/>
      <c r="B288" s="4"/>
      <c r="C288" s="87"/>
      <c r="D288" s="119"/>
      <c r="E288" s="4"/>
      <c r="F288" s="80"/>
      <c r="G288" s="119"/>
      <c r="H288" s="4"/>
      <c r="I288" s="80"/>
      <c r="J288" s="119"/>
      <c r="K288" s="4"/>
      <c r="L288" s="115"/>
      <c r="M288" s="119"/>
      <c r="N288" s="4"/>
      <c r="O288" s="80"/>
      <c r="P288" s="119"/>
      <c r="Q288" s="4"/>
      <c r="R288" s="3"/>
      <c r="S288" s="9"/>
      <c r="T288" s="4"/>
      <c r="U288" s="100"/>
      <c r="V288" s="177">
        <v>13.058999999999999</v>
      </c>
      <c r="W288" s="460" t="s">
        <v>1465</v>
      </c>
      <c r="X288" s="8"/>
      <c r="Y288" s="177">
        <v>3</v>
      </c>
      <c r="Z288" s="460" t="s">
        <v>1465</v>
      </c>
      <c r="AA288" s="47"/>
      <c r="AB288" s="47"/>
      <c r="AC288" s="47"/>
      <c r="AD288" s="45"/>
      <c r="AE288" s="13"/>
      <c r="AF288" s="9"/>
      <c r="AG288" s="9"/>
      <c r="AH288" s="84"/>
      <c r="AI288" s="47"/>
      <c r="AJ288" s="47"/>
      <c r="AK288" s="45"/>
      <c r="AL288" s="84"/>
      <c r="AM288" s="47"/>
      <c r="AN288" s="45"/>
      <c r="AO288" s="47"/>
      <c r="AP288" s="47"/>
    </row>
    <row r="289" spans="1:42">
      <c r="A289" s="3"/>
      <c r="B289" s="4"/>
      <c r="C289" s="87"/>
      <c r="D289" s="119"/>
      <c r="E289" s="4"/>
      <c r="F289" s="80"/>
      <c r="G289" s="119"/>
      <c r="H289" s="4"/>
      <c r="I289" s="80"/>
      <c r="J289" s="119"/>
      <c r="K289" s="4"/>
      <c r="L289" s="115"/>
      <c r="M289" s="119"/>
      <c r="N289" s="4"/>
      <c r="O289" s="80"/>
      <c r="R289" s="80"/>
      <c r="S289" s="171"/>
      <c r="T289" s="4"/>
      <c r="U289" s="87"/>
      <c r="V289" s="8"/>
      <c r="W289" s="45"/>
      <c r="Y289" s="8"/>
      <c r="Z289" s="45"/>
      <c r="AB289" s="47"/>
      <c r="AC289" s="47"/>
      <c r="AD289" s="45"/>
      <c r="AF289" s="135"/>
      <c r="AG289" s="135"/>
      <c r="AH289" s="78"/>
      <c r="AJ289" s="47"/>
      <c r="AK289" s="45"/>
      <c r="AL289" s="84"/>
      <c r="AM289" s="47"/>
      <c r="AN289" s="45"/>
      <c r="AO289" s="47"/>
      <c r="AP289" s="47"/>
    </row>
    <row r="290" spans="1:42">
      <c r="A290" s="3" t="s">
        <v>87</v>
      </c>
      <c r="B290" s="4" t="s">
        <v>88</v>
      </c>
      <c r="C290" s="157">
        <v>115.16421222688001</v>
      </c>
      <c r="D290" s="30">
        <v>115.16421222688001</v>
      </c>
      <c r="E290" s="30" t="s">
        <v>1126</v>
      </c>
      <c r="F290" s="187">
        <v>-1.2870326288639831</v>
      </c>
      <c r="G290" s="318">
        <v>-1.2870326288639831</v>
      </c>
      <c r="H290" s="70" t="s">
        <v>1126</v>
      </c>
      <c r="I290" s="187"/>
      <c r="J290" s="318">
        <v>3.4477632265923148</v>
      </c>
      <c r="K290" s="70" t="s">
        <v>1126</v>
      </c>
      <c r="L290" s="191">
        <v>-111.7164490002877</v>
      </c>
      <c r="M290" s="276">
        <v>-111.7164490002877</v>
      </c>
      <c r="N290" s="13" t="s">
        <v>2792</v>
      </c>
      <c r="O290" s="187">
        <v>152.94250580000002</v>
      </c>
      <c r="P290" s="318">
        <v>152.94250580000002</v>
      </c>
      <c r="Q290" s="70" t="s">
        <v>2793</v>
      </c>
      <c r="R290" s="187">
        <v>9.7376280000000062</v>
      </c>
      <c r="S290" s="491">
        <v>9.7376280000000062</v>
      </c>
      <c r="T290" s="13" t="s">
        <v>2793</v>
      </c>
      <c r="U290" s="145">
        <v>11.6938</v>
      </c>
      <c r="V290" s="15">
        <v>11.6938</v>
      </c>
      <c r="W290" s="320" t="s">
        <v>2868</v>
      </c>
      <c r="X290" s="145">
        <v>9.2030399999999997</v>
      </c>
      <c r="Y290" s="15">
        <v>9.2030399999999997</v>
      </c>
      <c r="Z290" s="320" t="s">
        <v>2868</v>
      </c>
      <c r="AA290" s="145">
        <v>-2.4079210568011886</v>
      </c>
      <c r="AB290" s="371">
        <v>9.6899999999999942</v>
      </c>
      <c r="AC290" s="15">
        <v>-2.4079210568011886</v>
      </c>
      <c r="AD290" s="320" t="s">
        <v>2869</v>
      </c>
      <c r="AE290" s="145">
        <v>-6.1343039400839299</v>
      </c>
      <c r="AF290" s="15">
        <v>-6.1343039400839299</v>
      </c>
      <c r="AG290" s="320" t="s">
        <v>2872</v>
      </c>
      <c r="AH290" s="145">
        <v>-3.2327580259420876</v>
      </c>
      <c r="AI290" s="15">
        <v>-3.2327580259420876</v>
      </c>
      <c r="AJ290" s="229">
        <v>0.25431598847199982</v>
      </c>
      <c r="AK290" s="320" t="s">
        <v>2868</v>
      </c>
      <c r="AL290" s="145">
        <v>4.8651235999999987</v>
      </c>
      <c r="AM290" s="15">
        <v>4.8651235999999987</v>
      </c>
      <c r="AN290" s="320" t="s">
        <v>2871</v>
      </c>
      <c r="AO290" s="6"/>
      <c r="AP290" s="6"/>
    </row>
    <row r="291" spans="1:42">
      <c r="A291" s="3"/>
      <c r="B291" s="171">
        <v>434.642</v>
      </c>
      <c r="C291" s="157">
        <v>24.576158053428422</v>
      </c>
      <c r="D291" s="206">
        <v>131.16840000000002</v>
      </c>
      <c r="E291" s="206" t="s">
        <v>1125</v>
      </c>
      <c r="F291" s="157">
        <v>1.805423631117818</v>
      </c>
      <c r="G291" s="70"/>
      <c r="H291" s="70"/>
      <c r="I291" s="157"/>
      <c r="J291" s="70"/>
      <c r="K291" s="70"/>
      <c r="L291" s="191">
        <v>12.183460778624376</v>
      </c>
      <c r="M291" s="323">
        <v>-111.7164490002877</v>
      </c>
      <c r="N291" s="180" t="s">
        <v>1126</v>
      </c>
      <c r="O291" s="191">
        <v>28.671978619820205</v>
      </c>
      <c r="P291" s="323">
        <v>152.94250580000002</v>
      </c>
      <c r="Q291" s="180" t="s">
        <v>1407</v>
      </c>
      <c r="R291" s="191">
        <v>3.9945030335838898</v>
      </c>
      <c r="S291" s="323">
        <v>9.7376280000000062</v>
      </c>
      <c r="T291" s="180" t="s">
        <v>1407</v>
      </c>
      <c r="U291" s="145">
        <v>0.77225855199999993</v>
      </c>
      <c r="V291" s="177">
        <v>11.782594225243182</v>
      </c>
      <c r="W291" s="460" t="s">
        <v>1126</v>
      </c>
      <c r="X291" s="145">
        <v>4.2882761275199996</v>
      </c>
      <c r="Y291" s="177">
        <v>9.2030399999999997</v>
      </c>
      <c r="Z291" s="460" t="s">
        <v>1466</v>
      </c>
      <c r="AA291" s="145">
        <v>0.68209902152324309</v>
      </c>
      <c r="AB291" s="461">
        <v>1.9527958067721778</v>
      </c>
      <c r="AC291" s="177">
        <v>-3.1035880000000007</v>
      </c>
      <c r="AD291" s="222" t="s">
        <v>1709</v>
      </c>
      <c r="AE291" s="145">
        <v>1.3770592199897409</v>
      </c>
      <c r="AF291" s="177">
        <v>-4.7945195900000011</v>
      </c>
      <c r="AG291" s="365" t="s">
        <v>1126</v>
      </c>
      <c r="AH291" s="145">
        <v>2.8309423671076157</v>
      </c>
      <c r="AI291" s="177">
        <v>-3.2327580259420876</v>
      </c>
      <c r="AJ291" s="464">
        <v>1.4503967165155986</v>
      </c>
      <c r="AK291" s="362" t="s">
        <v>1466</v>
      </c>
      <c r="AL291" s="145">
        <v>0.87927865335159983</v>
      </c>
      <c r="AM291" s="154">
        <v>4.8651235999999987</v>
      </c>
      <c r="AN291" s="155" t="s">
        <v>2610</v>
      </c>
      <c r="AO291" s="6"/>
      <c r="AP291" s="6"/>
    </row>
    <row r="292" spans="1:42">
      <c r="A292" s="3"/>
      <c r="B292" s="4"/>
      <c r="C292" s="87"/>
      <c r="D292" s="119"/>
      <c r="E292" s="30"/>
      <c r="F292" s="80"/>
      <c r="G292" s="119"/>
      <c r="H292" s="30"/>
      <c r="I292" s="80"/>
      <c r="J292" s="119"/>
      <c r="K292" s="30"/>
      <c r="L292" s="3"/>
      <c r="M292" s="323">
        <v>-145.59214740000002</v>
      </c>
      <c r="N292" s="180" t="s">
        <v>1408</v>
      </c>
      <c r="O292" s="3"/>
      <c r="P292" s="323">
        <v>116.45124485574399</v>
      </c>
      <c r="Q292" s="180" t="s">
        <v>1126</v>
      </c>
      <c r="R292" s="3"/>
      <c r="S292" s="323">
        <v>4.7347958554562979</v>
      </c>
      <c r="T292" s="180" t="s">
        <v>1126</v>
      </c>
      <c r="U292" s="100"/>
      <c r="V292" s="177">
        <v>11.6938</v>
      </c>
      <c r="W292" s="460" t="s">
        <v>1466</v>
      </c>
      <c r="X292" s="100"/>
      <c r="Y292" s="177">
        <v>10.63087722</v>
      </c>
      <c r="Z292" s="460" t="s">
        <v>1126</v>
      </c>
      <c r="AA292" s="100"/>
      <c r="AB292" s="462">
        <v>331.38830206410813</v>
      </c>
      <c r="AC292" s="177">
        <v>-0.87390765999999998</v>
      </c>
      <c r="AD292" s="460" t="s">
        <v>1126</v>
      </c>
      <c r="AE292" s="100"/>
      <c r="AF292" s="177">
        <v>-6.1343039400839299</v>
      </c>
      <c r="AG292" s="460" t="s">
        <v>1125</v>
      </c>
      <c r="AH292" s="100"/>
      <c r="AI292" s="177">
        <v>-7.3573686699999996</v>
      </c>
      <c r="AJ292" s="465">
        <v>1.9088114015775436E-5</v>
      </c>
      <c r="AK292" s="460" t="s">
        <v>1126</v>
      </c>
      <c r="AL292" s="84"/>
      <c r="AM292" s="177">
        <v>2.0924718300247998</v>
      </c>
      <c r="AN292" s="460" t="s">
        <v>1126</v>
      </c>
      <c r="AO292" s="52"/>
      <c r="AP292" s="52"/>
    </row>
    <row r="293" spans="1:42">
      <c r="A293" s="3"/>
      <c r="B293" s="4" t="s">
        <v>20</v>
      </c>
      <c r="C293" s="87"/>
      <c r="D293" s="230"/>
      <c r="E293" s="30"/>
      <c r="F293" s="80"/>
      <c r="G293" s="119"/>
      <c r="H293" s="4"/>
      <c r="I293" s="80"/>
      <c r="J293" s="119"/>
      <c r="K293" s="4"/>
      <c r="L293" s="115"/>
      <c r="M293" s="119"/>
      <c r="N293" s="4"/>
      <c r="O293" s="80"/>
      <c r="P293" s="119"/>
      <c r="Q293" s="4"/>
      <c r="R293" s="3"/>
      <c r="S293" s="9"/>
      <c r="T293" s="4"/>
      <c r="U293" s="100"/>
      <c r="V293" s="177">
        <v>12.690882438298789</v>
      </c>
      <c r="W293" s="460" t="s">
        <v>1125</v>
      </c>
      <c r="X293" s="100"/>
      <c r="Y293" s="177">
        <v>11.06</v>
      </c>
      <c r="Z293" s="460" t="s">
        <v>1125</v>
      </c>
      <c r="AA293" s="100"/>
      <c r="AB293" s="225">
        <v>280.7</v>
      </c>
      <c r="AC293" s="177">
        <v>-0.94600242121751477</v>
      </c>
      <c r="AD293" s="460" t="s">
        <v>1125</v>
      </c>
      <c r="AE293" s="100"/>
      <c r="AF293" s="177">
        <v>-7.2702280000000004</v>
      </c>
      <c r="AG293" s="460" t="s">
        <v>1710</v>
      </c>
      <c r="AH293" s="100"/>
      <c r="AI293" s="177">
        <v>-8.5800000000000018</v>
      </c>
      <c r="AJ293" s="466">
        <v>1.1432249405333847E-6</v>
      </c>
      <c r="AK293" s="460" t="s">
        <v>1125</v>
      </c>
      <c r="AL293" s="84"/>
      <c r="AM293" s="154">
        <v>3.8842071661480428</v>
      </c>
      <c r="AN293" s="155" t="s">
        <v>2611</v>
      </c>
      <c r="AO293" s="47"/>
      <c r="AP293" s="47"/>
    </row>
    <row r="294" spans="1:42">
      <c r="A294" s="3"/>
      <c r="B294" s="4"/>
      <c r="C294" s="87"/>
      <c r="D294" s="119"/>
      <c r="E294" s="4"/>
      <c r="F294" s="80"/>
      <c r="G294" s="119"/>
      <c r="H294" s="4"/>
      <c r="I294" s="80"/>
      <c r="J294" s="119"/>
      <c r="K294" s="4"/>
      <c r="L294" s="115"/>
      <c r="M294" s="119"/>
      <c r="N294" s="4"/>
      <c r="O294" s="80"/>
      <c r="P294" s="119"/>
      <c r="Q294" s="4"/>
      <c r="R294" s="3"/>
      <c r="S294" s="9"/>
      <c r="T294" s="4"/>
      <c r="U294" s="100"/>
      <c r="V294" s="177">
        <v>14.548679999999997</v>
      </c>
      <c r="W294" s="460" t="s">
        <v>1705</v>
      </c>
      <c r="X294" s="100"/>
      <c r="Y294" s="177">
        <v>9.7006759999999996</v>
      </c>
      <c r="Z294" s="460" t="s">
        <v>1707</v>
      </c>
      <c r="AA294" s="100"/>
      <c r="AB294" s="461">
        <v>9.6899999999999942</v>
      </c>
      <c r="AC294" s="177">
        <v>-2.4079210568011886</v>
      </c>
      <c r="AD294" s="460" t="s">
        <v>1465</v>
      </c>
      <c r="AE294" s="100"/>
      <c r="AF294" s="177">
        <v>-4.0746879085003505</v>
      </c>
      <c r="AG294" s="460" t="s">
        <v>1465</v>
      </c>
      <c r="AH294" s="100"/>
      <c r="AI294" s="177">
        <v>-3.1924185380512062</v>
      </c>
      <c r="AJ294" s="467">
        <v>0.27906999999999965</v>
      </c>
      <c r="AK294" s="460" t="s">
        <v>1467</v>
      </c>
      <c r="AL294" s="84"/>
      <c r="AM294" s="47"/>
      <c r="AN294" s="45"/>
      <c r="AO294" s="47"/>
      <c r="AP294" s="47"/>
    </row>
    <row r="295" spans="1:42">
      <c r="A295" s="3"/>
      <c r="B295" s="4"/>
      <c r="C295" s="87"/>
      <c r="D295" s="119"/>
      <c r="E295" s="4"/>
      <c r="F295" s="80"/>
      <c r="G295" s="119"/>
      <c r="H295" s="4"/>
      <c r="I295" s="80"/>
      <c r="J295" s="119"/>
      <c r="K295" s="4"/>
      <c r="L295" s="115"/>
      <c r="M295" s="119"/>
      <c r="N295" s="4"/>
      <c r="O295" s="80"/>
      <c r="P295" s="119"/>
      <c r="Q295" s="4"/>
      <c r="R295" s="3"/>
      <c r="S295" s="9"/>
      <c r="T295" s="4"/>
      <c r="U295" s="100"/>
      <c r="V295" s="177">
        <v>14.383949999999999</v>
      </c>
      <c r="W295" s="460" t="s">
        <v>1706</v>
      </c>
      <c r="X295" s="8"/>
      <c r="Y295" s="177">
        <v>10.112311999999999</v>
      </c>
      <c r="Z295" s="460" t="s">
        <v>1708</v>
      </c>
      <c r="AA295" s="47"/>
      <c r="AB295" s="463">
        <v>0.24407875275000002</v>
      </c>
      <c r="AC295" s="177">
        <v>-4.006714858470211</v>
      </c>
      <c r="AD295" s="460" t="s">
        <v>1466</v>
      </c>
      <c r="AE295" s="13"/>
      <c r="AF295" s="177">
        <v>-4.8124785961372982</v>
      </c>
      <c r="AG295" s="460" t="s">
        <v>1466</v>
      </c>
      <c r="AH295" s="84"/>
      <c r="AI295" s="177">
        <v>-4.4734814744968654</v>
      </c>
      <c r="AJ295" s="464">
        <v>1.4609999999999974E-2</v>
      </c>
      <c r="AK295" s="460" t="s">
        <v>1468</v>
      </c>
      <c r="AL295" s="84"/>
      <c r="AM295" s="47"/>
      <c r="AN295" s="45"/>
      <c r="AO295" s="47"/>
      <c r="AP295" s="47"/>
    </row>
    <row r="296" spans="1:42">
      <c r="A296" s="3"/>
      <c r="B296" s="4"/>
      <c r="C296" s="87"/>
      <c r="D296" s="119"/>
      <c r="E296" s="4"/>
      <c r="F296" s="80"/>
      <c r="G296" s="119"/>
      <c r="H296" s="4"/>
      <c r="I296" s="80"/>
      <c r="J296" s="119"/>
      <c r="K296" s="4"/>
      <c r="L296" s="115"/>
      <c r="M296" s="119"/>
      <c r="N296" s="4"/>
      <c r="O296" s="80"/>
      <c r="P296" s="119"/>
      <c r="Q296" s="4"/>
      <c r="R296" s="3"/>
      <c r="S296" s="9"/>
      <c r="T296" s="4"/>
      <c r="U296" s="100"/>
      <c r="V296" s="177">
        <v>14.983000000000001</v>
      </c>
      <c r="W296" s="460" t="s">
        <v>1465</v>
      </c>
      <c r="X296" s="8"/>
      <c r="Y296" s="177">
        <v>9.49</v>
      </c>
      <c r="Z296" s="460" t="s">
        <v>1465</v>
      </c>
      <c r="AA296" s="47"/>
      <c r="AB296" s="47"/>
      <c r="AC296" s="47"/>
      <c r="AD296" s="45"/>
      <c r="AE296" s="13"/>
      <c r="AF296" s="9"/>
      <c r="AG296" s="9"/>
      <c r="AH296" s="84"/>
      <c r="AI296" s="47"/>
      <c r="AJ296" s="47"/>
      <c r="AK296" s="45"/>
      <c r="AL296" s="84"/>
      <c r="AM296" s="47"/>
      <c r="AN296" s="45"/>
      <c r="AO296" s="47"/>
      <c r="AP296" s="47"/>
    </row>
    <row r="297" spans="1:42">
      <c r="A297" s="3"/>
      <c r="B297" s="4"/>
      <c r="C297" s="87"/>
      <c r="D297" s="119"/>
      <c r="E297" s="4"/>
      <c r="F297" s="80"/>
      <c r="G297" s="119"/>
      <c r="H297" s="4"/>
      <c r="I297" s="80"/>
      <c r="J297" s="119"/>
      <c r="K297" s="4"/>
      <c r="L297" s="115"/>
      <c r="M297" s="119"/>
      <c r="N297" s="4"/>
      <c r="O297" s="80"/>
      <c r="R297" s="80"/>
      <c r="S297" s="171"/>
      <c r="T297" s="4"/>
      <c r="U297" s="87"/>
      <c r="V297" s="8"/>
      <c r="W297" s="45"/>
      <c r="Y297" s="8"/>
      <c r="Z297" s="45"/>
      <c r="AB297" s="47"/>
      <c r="AC297" s="47"/>
      <c r="AD297" s="45"/>
      <c r="AH297" s="78"/>
      <c r="AJ297" s="47"/>
      <c r="AK297" s="45"/>
      <c r="AL297" s="84"/>
      <c r="AM297" s="47"/>
      <c r="AN297" s="45"/>
      <c r="AO297" s="47"/>
      <c r="AP297" s="47"/>
    </row>
    <row r="298" spans="1:42">
      <c r="A298" s="3" t="s">
        <v>89</v>
      </c>
      <c r="B298" s="4" t="s">
        <v>90</v>
      </c>
      <c r="C298" s="157">
        <v>145.89736243784</v>
      </c>
      <c r="D298" s="30">
        <v>145.89736243784</v>
      </c>
      <c r="E298" s="30" t="s">
        <v>1126</v>
      </c>
      <c r="F298" s="187">
        <v>11.415015016767995</v>
      </c>
      <c r="G298" s="318">
        <v>11.415015016767995</v>
      </c>
      <c r="H298" s="70" t="s">
        <v>1126</v>
      </c>
      <c r="I298" s="187"/>
      <c r="J298" s="318">
        <v>7.1788619249362284</v>
      </c>
      <c r="K298" s="70" t="s">
        <v>1126</v>
      </c>
      <c r="L298" s="191">
        <v>-138.71850051290377</v>
      </c>
      <c r="M298" s="276">
        <v>-138.71850051290377</v>
      </c>
      <c r="N298" s="13" t="s">
        <v>2792</v>
      </c>
      <c r="O298" s="187">
        <v>168.94886359999998</v>
      </c>
      <c r="P298" s="318">
        <v>168.94886359999998</v>
      </c>
      <c r="Q298" s="70" t="s">
        <v>2793</v>
      </c>
      <c r="R298" s="187">
        <v>2.1688360000000042</v>
      </c>
      <c r="S298" s="491">
        <v>2.1688360000000042</v>
      </c>
      <c r="T298" s="13" t="s">
        <v>2793</v>
      </c>
      <c r="U298" s="145">
        <v>11.6783</v>
      </c>
      <c r="V298" s="15">
        <v>11.6783</v>
      </c>
      <c r="W298" s="320" t="s">
        <v>2868</v>
      </c>
      <c r="X298" s="145">
        <v>8.5659399999999994</v>
      </c>
      <c r="Y298" s="15">
        <v>8.5659399999999994</v>
      </c>
      <c r="Z298" s="320" t="s">
        <v>2868</v>
      </c>
      <c r="AA298" s="145">
        <v>-4.5528853633970989</v>
      </c>
      <c r="AB298" s="371">
        <v>6.939999999999992E-2</v>
      </c>
      <c r="AC298" s="15">
        <v>-4.5528853633970989</v>
      </c>
      <c r="AD298" s="320" t="s">
        <v>2869</v>
      </c>
      <c r="AE298" s="145">
        <v>-8.9788107009300617</v>
      </c>
      <c r="AF298" s="15">
        <v>-8.9788107009300617</v>
      </c>
      <c r="AG298" s="320" t="s">
        <v>2872</v>
      </c>
      <c r="AH298" s="145">
        <v>-5.1955273046673671</v>
      </c>
      <c r="AI298" s="15">
        <v>-5.1955273046673671</v>
      </c>
      <c r="AJ298" s="229">
        <v>2.8671663189725975E-3</v>
      </c>
      <c r="AK298" s="320" t="s">
        <v>2868</v>
      </c>
      <c r="AL298" s="145">
        <v>3.2175101999999995</v>
      </c>
      <c r="AM298" s="15">
        <v>3.2175101999999995</v>
      </c>
      <c r="AN298" s="320" t="s">
        <v>2871</v>
      </c>
      <c r="AO298" s="47"/>
      <c r="AP298" s="47"/>
    </row>
    <row r="299" spans="1:42">
      <c r="A299" s="3"/>
      <c r="B299" s="171">
        <v>449.75934000000001</v>
      </c>
      <c r="C299" s="157">
        <v>31.134643041597496</v>
      </c>
      <c r="D299" s="206">
        <v>159.41040000000001</v>
      </c>
      <c r="E299" s="206" t="s">
        <v>1125</v>
      </c>
      <c r="F299" s="157">
        <v>16.012754765221807</v>
      </c>
      <c r="G299" s="70"/>
      <c r="H299" s="70"/>
      <c r="I299" s="157"/>
      <c r="J299" s="70"/>
      <c r="K299" s="70"/>
      <c r="L299" s="191">
        <v>15.128223510435747</v>
      </c>
      <c r="M299" s="323">
        <v>-138.71850051290377</v>
      </c>
      <c r="N299" s="180" t="s">
        <v>1126</v>
      </c>
      <c r="O299" s="191">
        <v>31.672674510228397</v>
      </c>
      <c r="P299" s="323">
        <v>168.94886359999998</v>
      </c>
      <c r="Q299" s="180" t="s">
        <v>1407</v>
      </c>
      <c r="R299" s="191">
        <v>0.88968504253253056</v>
      </c>
      <c r="S299" s="323">
        <v>2.1688360000000042</v>
      </c>
      <c r="T299" s="180" t="s">
        <v>1407</v>
      </c>
      <c r="U299" s="145">
        <v>0.77123493200000004</v>
      </c>
      <c r="V299" s="177">
        <v>15.746783948688494</v>
      </c>
      <c r="W299" s="460" t="s">
        <v>1126</v>
      </c>
      <c r="X299" s="145">
        <v>3.9914111002199997</v>
      </c>
      <c r="Y299" s="177">
        <v>8.5659399999999994</v>
      </c>
      <c r="Z299" s="460" t="s">
        <v>1466</v>
      </c>
      <c r="AA299" s="145">
        <v>1.2897094955455863</v>
      </c>
      <c r="AB299" s="461">
        <v>6.0405826908020012E-5</v>
      </c>
      <c r="AC299" s="177">
        <v>-7.6131659999999979</v>
      </c>
      <c r="AD299" s="222" t="s">
        <v>1709</v>
      </c>
      <c r="AE299" s="145">
        <v>2.0156083201982846</v>
      </c>
      <c r="AF299" s="177">
        <v>-9.1148266200000023</v>
      </c>
      <c r="AG299" s="365" t="s">
        <v>1126</v>
      </c>
      <c r="AH299" s="145">
        <v>4.5497492383337361</v>
      </c>
      <c r="AI299" s="177">
        <v>-5.1955273046673671</v>
      </c>
      <c r="AJ299" s="464">
        <v>1.5802199092398984E-2</v>
      </c>
      <c r="AK299" s="362" t="s">
        <v>1466</v>
      </c>
      <c r="AL299" s="145">
        <v>0.58150383595619992</v>
      </c>
      <c r="AM299" s="154">
        <v>3.2175101999999995</v>
      </c>
      <c r="AN299" s="155" t="s">
        <v>2610</v>
      </c>
      <c r="AO299" s="47"/>
      <c r="AP299" s="47"/>
    </row>
    <row r="300" spans="1:42">
      <c r="A300" s="3"/>
      <c r="B300" s="171"/>
      <c r="C300" s="150"/>
      <c r="D300" s="119"/>
      <c r="E300" s="4"/>
      <c r="F300" s="80"/>
      <c r="G300" s="119"/>
      <c r="H300" s="4"/>
      <c r="I300" s="80"/>
      <c r="J300" s="119"/>
      <c r="K300" s="4"/>
      <c r="L300" s="3"/>
      <c r="M300" s="323">
        <v>-169.16294979999998</v>
      </c>
      <c r="N300" s="180" t="s">
        <v>1408</v>
      </c>
      <c r="O300" s="3"/>
      <c r="P300" s="323">
        <v>134.48234742107201</v>
      </c>
      <c r="Q300" s="180" t="s">
        <v>1126</v>
      </c>
      <c r="R300" s="3"/>
      <c r="S300" s="323">
        <v>-4.2361530918317669</v>
      </c>
      <c r="T300" s="180" t="s">
        <v>1126</v>
      </c>
      <c r="U300" s="100"/>
      <c r="V300" s="177">
        <v>11.6783</v>
      </c>
      <c r="W300" s="460" t="s">
        <v>1466</v>
      </c>
      <c r="X300" s="100"/>
      <c r="Y300" s="177">
        <v>10.650955140000001</v>
      </c>
      <c r="Z300" s="460" t="s">
        <v>1126</v>
      </c>
      <c r="AA300" s="100"/>
      <c r="AB300" s="462">
        <v>2.8405408799362049E-2</v>
      </c>
      <c r="AC300" s="177">
        <v>-4.9408437899999997</v>
      </c>
      <c r="AD300" s="460" t="s">
        <v>1126</v>
      </c>
      <c r="AE300" s="100"/>
      <c r="AF300" s="177">
        <v>-8.9788107009300617</v>
      </c>
      <c r="AG300" s="460" t="s">
        <v>1125</v>
      </c>
      <c r="AH300" s="100"/>
      <c r="AI300" s="177">
        <v>-7.6107393600000011</v>
      </c>
      <c r="AJ300" s="465">
        <v>1.1021503196883645E-5</v>
      </c>
      <c r="AK300" s="460" t="s">
        <v>1126</v>
      </c>
      <c r="AL300" s="84"/>
      <c r="AM300" s="177">
        <v>2.1695989899370938</v>
      </c>
      <c r="AN300" s="460" t="s">
        <v>1126</v>
      </c>
      <c r="AO300" s="47"/>
      <c r="AP300" s="47"/>
    </row>
    <row r="301" spans="1:42">
      <c r="A301" s="3"/>
      <c r="B301" s="171"/>
      <c r="C301" s="150"/>
      <c r="D301" s="119"/>
      <c r="E301" s="4"/>
      <c r="F301" s="80"/>
      <c r="G301" s="119"/>
      <c r="H301" s="4"/>
      <c r="I301" s="80"/>
      <c r="J301" s="119"/>
      <c r="K301" s="4"/>
      <c r="L301" s="115"/>
      <c r="M301" s="119"/>
      <c r="N301" s="4"/>
      <c r="O301" s="80"/>
      <c r="P301" s="119"/>
      <c r="Q301" s="4"/>
      <c r="R301" s="3"/>
      <c r="S301" s="9"/>
      <c r="T301" s="4"/>
      <c r="U301" s="100"/>
      <c r="V301" s="177">
        <v>15.319960862237274</v>
      </c>
      <c r="W301" s="460" t="s">
        <v>1125</v>
      </c>
      <c r="X301" s="100"/>
      <c r="Y301" s="177">
        <v>12.35</v>
      </c>
      <c r="Z301" s="460" t="s">
        <v>1125</v>
      </c>
      <c r="AA301" s="100"/>
      <c r="AB301" s="225">
        <v>11.13</v>
      </c>
      <c r="AC301" s="177">
        <v>-2.3477496695172455</v>
      </c>
      <c r="AD301" s="460" t="s">
        <v>1125</v>
      </c>
      <c r="AE301" s="100"/>
      <c r="AF301" s="177">
        <v>-11.025246000000003</v>
      </c>
      <c r="AG301" s="460" t="s">
        <v>1710</v>
      </c>
      <c r="AH301" s="100"/>
      <c r="AI301" s="177">
        <v>-10.029999999999999</v>
      </c>
      <c r="AJ301" s="466">
        <v>4.1973983837861606E-8</v>
      </c>
      <c r="AK301" s="460" t="s">
        <v>1125</v>
      </c>
      <c r="AL301" s="84"/>
      <c r="AM301" s="154">
        <v>3.1903091661480421</v>
      </c>
      <c r="AN301" s="155" t="s">
        <v>2611</v>
      </c>
      <c r="AO301" s="47"/>
      <c r="AP301" s="47"/>
    </row>
    <row r="302" spans="1:42">
      <c r="A302" s="3"/>
      <c r="B302" s="171"/>
      <c r="C302" s="150"/>
      <c r="D302" s="119"/>
      <c r="E302" s="4"/>
      <c r="F302" s="80"/>
      <c r="G302" s="119"/>
      <c r="H302" s="4"/>
      <c r="I302" s="80"/>
      <c r="J302" s="119"/>
      <c r="K302" s="4"/>
      <c r="L302" s="115"/>
      <c r="M302" s="119"/>
      <c r="N302" s="4"/>
      <c r="O302" s="80"/>
      <c r="P302" s="119"/>
      <c r="Q302" s="4"/>
      <c r="R302" s="3"/>
      <c r="S302" s="9"/>
      <c r="T302" s="4"/>
      <c r="U302" s="100"/>
      <c r="V302" s="177">
        <v>17.6098</v>
      </c>
      <c r="W302" s="460" t="s">
        <v>1705</v>
      </c>
      <c r="X302" s="100"/>
      <c r="Y302" s="177">
        <v>9.2998820000000002</v>
      </c>
      <c r="Z302" s="460" t="s">
        <v>1707</v>
      </c>
      <c r="AA302" s="100"/>
      <c r="AB302" s="461">
        <v>6.939999999999992E-2</v>
      </c>
      <c r="AC302" s="177">
        <v>-4.5528853633970989</v>
      </c>
      <c r="AD302" s="460" t="s">
        <v>1465</v>
      </c>
      <c r="AE302" s="100"/>
      <c r="AF302" s="177">
        <v>-4.9318141382538387</v>
      </c>
      <c r="AG302" s="460" t="s">
        <v>1465</v>
      </c>
      <c r="AH302" s="100"/>
      <c r="AI302" s="177">
        <v>-4.0384415212477069</v>
      </c>
      <c r="AJ302" s="467">
        <v>4.1166000000000008E-2</v>
      </c>
      <c r="AK302" s="460" t="s">
        <v>1467</v>
      </c>
      <c r="AL302" s="84"/>
      <c r="AM302" s="47"/>
      <c r="AN302" s="45"/>
      <c r="AO302" s="47"/>
      <c r="AP302" s="47"/>
    </row>
    <row r="303" spans="1:42">
      <c r="A303" s="3"/>
      <c r="B303" s="171"/>
      <c r="C303" s="150"/>
      <c r="D303" s="119"/>
      <c r="E303" s="4"/>
      <c r="F303" s="80"/>
      <c r="G303" s="119"/>
      <c r="H303" s="4"/>
      <c r="I303" s="80"/>
      <c r="J303" s="119"/>
      <c r="K303" s="4"/>
      <c r="L303" s="115"/>
      <c r="M303" s="119"/>
      <c r="N303" s="4"/>
      <c r="O303" s="80"/>
      <c r="P303" s="119"/>
      <c r="Q303" s="4"/>
      <c r="R303" s="3"/>
      <c r="S303" s="9"/>
      <c r="T303" s="4"/>
      <c r="U303" s="100"/>
      <c r="V303" s="177">
        <v>18.025049999999997</v>
      </c>
      <c r="W303" s="460" t="s">
        <v>1706</v>
      </c>
      <c r="X303" s="8"/>
      <c r="Y303" s="177">
        <v>9.4668840000000003</v>
      </c>
      <c r="Z303" s="460" t="s">
        <v>1708</v>
      </c>
      <c r="AA303" s="47"/>
      <c r="AB303" s="463">
        <v>1.3544112749999988E-2</v>
      </c>
      <c r="AC303" s="177">
        <v>-5.2624942733864106</v>
      </c>
      <c r="AD303" s="460" t="s">
        <v>1466</v>
      </c>
      <c r="AE303" s="13"/>
      <c r="AF303" s="177">
        <v>-6.010059384037997</v>
      </c>
      <c r="AG303" s="460" t="s">
        <v>1466</v>
      </c>
      <c r="AH303" s="84"/>
      <c r="AI303" s="177">
        <v>-5.6699857362990977</v>
      </c>
      <c r="AJ303" s="464">
        <v>9.6159999999999757E-4</v>
      </c>
      <c r="AK303" s="460" t="s">
        <v>1468</v>
      </c>
      <c r="AL303" s="84"/>
      <c r="AM303" s="47"/>
      <c r="AN303" s="45"/>
      <c r="AO303" s="47"/>
      <c r="AP303" s="47"/>
    </row>
    <row r="304" spans="1:42">
      <c r="A304" s="3"/>
      <c r="B304" s="171"/>
      <c r="C304" s="150"/>
      <c r="D304" s="119"/>
      <c r="E304" s="4"/>
      <c r="F304" s="80"/>
      <c r="G304" s="119"/>
      <c r="H304" s="4"/>
      <c r="I304" s="80"/>
      <c r="J304" s="119"/>
      <c r="K304" s="4"/>
      <c r="L304" s="115"/>
      <c r="M304" s="119"/>
      <c r="N304" s="4"/>
      <c r="O304" s="80"/>
      <c r="P304" s="119"/>
      <c r="Q304" s="4"/>
      <c r="R304" s="3"/>
      <c r="S304" s="9"/>
      <c r="T304" s="4"/>
      <c r="U304" s="100"/>
      <c r="V304" s="177">
        <v>14.983000000000001</v>
      </c>
      <c r="W304" s="460" t="s">
        <v>1465</v>
      </c>
      <c r="X304" s="8"/>
      <c r="Y304" s="177">
        <v>10.43</v>
      </c>
      <c r="Z304" s="460" t="s">
        <v>1465</v>
      </c>
      <c r="AA304" s="47"/>
      <c r="AB304" s="47"/>
      <c r="AC304" s="47"/>
      <c r="AD304" s="45"/>
      <c r="AE304" s="13"/>
      <c r="AF304" s="9"/>
      <c r="AG304" s="9"/>
      <c r="AH304" s="84"/>
      <c r="AI304" s="47"/>
      <c r="AJ304" s="47"/>
      <c r="AK304" s="45"/>
      <c r="AL304" s="84"/>
      <c r="AM304" s="47"/>
      <c r="AN304" s="45"/>
      <c r="AO304" s="47"/>
      <c r="AP304" s="47"/>
    </row>
    <row r="305" spans="1:42">
      <c r="A305" s="3"/>
      <c r="B305" s="171"/>
      <c r="C305" s="87"/>
      <c r="D305" s="119"/>
      <c r="E305" s="4"/>
      <c r="F305" s="80"/>
      <c r="G305" s="119"/>
      <c r="H305" s="4"/>
      <c r="I305" s="80"/>
      <c r="J305" s="119"/>
      <c r="K305" s="4"/>
      <c r="L305" s="115"/>
      <c r="M305" s="119"/>
      <c r="N305" s="4"/>
      <c r="O305" s="80"/>
      <c r="R305" s="80"/>
      <c r="S305" s="171"/>
      <c r="T305" s="4"/>
      <c r="U305" s="87"/>
      <c r="V305" s="8"/>
      <c r="W305" s="45"/>
      <c r="Y305" s="8"/>
      <c r="Z305" s="45"/>
      <c r="AB305" s="47"/>
      <c r="AC305" s="47"/>
      <c r="AD305" s="45"/>
      <c r="AF305" s="6"/>
      <c r="AG305" s="6"/>
      <c r="AH305" s="78"/>
      <c r="AJ305" s="47"/>
      <c r="AK305" s="45"/>
      <c r="AL305" s="84"/>
      <c r="AM305" s="47"/>
      <c r="AN305" s="45"/>
      <c r="AO305" s="47"/>
      <c r="AP305" s="47"/>
    </row>
    <row r="306" spans="1:42">
      <c r="A306" s="18" t="s">
        <v>91</v>
      </c>
      <c r="B306" s="19" t="s">
        <v>92</v>
      </c>
      <c r="C306" s="157">
        <v>117.7731867648</v>
      </c>
      <c r="D306" s="30">
        <v>117.7731867648</v>
      </c>
      <c r="E306" s="30" t="s">
        <v>1126</v>
      </c>
      <c r="F306" s="187">
        <v>13.571716907400017</v>
      </c>
      <c r="G306" s="318">
        <v>13.571716907400017</v>
      </c>
      <c r="H306" s="70" t="s">
        <v>1126</v>
      </c>
      <c r="I306" s="187"/>
      <c r="J306" s="318">
        <v>5.2379786369601931</v>
      </c>
      <c r="K306" s="70" t="s">
        <v>1126</v>
      </c>
      <c r="L306" s="191">
        <v>-112.53520812783981</v>
      </c>
      <c r="M306" s="276">
        <v>-112.53520812783981</v>
      </c>
      <c r="N306" s="13" t="s">
        <v>2792</v>
      </c>
      <c r="O306" s="187">
        <v>159.06712350000001</v>
      </c>
      <c r="P306" s="318">
        <v>159.06712350000001</v>
      </c>
      <c r="Q306" s="70" t="s">
        <v>2793</v>
      </c>
      <c r="R306" s="187">
        <v>0.71806000000001347</v>
      </c>
      <c r="S306" s="491">
        <v>0.71806000000001347</v>
      </c>
      <c r="T306" s="13" t="s">
        <v>2793</v>
      </c>
      <c r="U306" s="145">
        <v>11.6806</v>
      </c>
      <c r="V306" s="15">
        <v>11.6806</v>
      </c>
      <c r="W306" s="320" t="s">
        <v>2868</v>
      </c>
      <c r="X306" s="145">
        <v>6.0075900000000004</v>
      </c>
      <c r="Y306" s="15">
        <v>6.0075900000000004</v>
      </c>
      <c r="Z306" s="320" t="s">
        <v>2868</v>
      </c>
      <c r="AA306" s="145">
        <v>-4.9214883845347419</v>
      </c>
      <c r="AB306" s="371">
        <v>2.9699999999999935E-2</v>
      </c>
      <c r="AC306" s="15">
        <v>-4.9214883845347419</v>
      </c>
      <c r="AD306" s="320" t="s">
        <v>2869</v>
      </c>
      <c r="AE306" s="145">
        <v>-7.7055337738384067</v>
      </c>
      <c r="AF306" s="15">
        <v>-7.7055337738384067</v>
      </c>
      <c r="AG306" s="320" t="s">
        <v>2872</v>
      </c>
      <c r="AH306" s="145">
        <v>-4.947844932800435</v>
      </c>
      <c r="AI306" s="15">
        <v>-4.947844932800435</v>
      </c>
      <c r="AJ306" s="229">
        <v>5.1027395559999954E-3</v>
      </c>
      <c r="AK306" s="320" t="s">
        <v>2868</v>
      </c>
      <c r="AL306" s="145">
        <v>2.7322344999999979</v>
      </c>
      <c r="AM306" s="15">
        <v>2.7322344999999979</v>
      </c>
      <c r="AN306" s="320" t="s">
        <v>2871</v>
      </c>
      <c r="AO306" s="47"/>
      <c r="AP306" s="47"/>
    </row>
    <row r="307" spans="1:42">
      <c r="A307" s="18"/>
      <c r="B307" s="171">
        <v>452.53100000000001</v>
      </c>
      <c r="C307" s="157">
        <v>25.132915828795085</v>
      </c>
      <c r="D307" s="206">
        <v>147.0676</v>
      </c>
      <c r="E307" s="206" t="s">
        <v>1125</v>
      </c>
      <c r="F307" s="157">
        <v>19.038133043362595</v>
      </c>
      <c r="G307" s="70"/>
      <c r="H307" s="70"/>
      <c r="I307" s="157"/>
      <c r="J307" s="70"/>
      <c r="K307" s="70"/>
      <c r="L307" s="191">
        <v>12.272752192797826</v>
      </c>
      <c r="M307" s="323">
        <v>-112.53520812783981</v>
      </c>
      <c r="N307" s="180" t="s">
        <v>1126</v>
      </c>
      <c r="O307" s="191">
        <v>29.820154575421501</v>
      </c>
      <c r="P307" s="323">
        <v>159.06712350000001</v>
      </c>
      <c r="Q307" s="180" t="s">
        <v>1407</v>
      </c>
      <c r="R307" s="191">
        <v>0.29455765287966429</v>
      </c>
      <c r="S307" s="323">
        <v>0.71806000000001347</v>
      </c>
      <c r="T307" s="180" t="s">
        <v>1407</v>
      </c>
      <c r="U307" s="145">
        <v>0.77138682400000003</v>
      </c>
      <c r="V307" s="177">
        <v>12.62253509146116</v>
      </c>
      <c r="W307" s="460" t="s">
        <v>1126</v>
      </c>
      <c r="X307" s="145">
        <v>2.7993146591700002</v>
      </c>
      <c r="Y307" s="177">
        <v>6.0075900000000004</v>
      </c>
      <c r="Z307" s="460" t="s">
        <v>1466</v>
      </c>
      <c r="AA307" s="145">
        <v>1.3941247791523099</v>
      </c>
      <c r="AB307" s="461">
        <v>1.2423953974672367E-5</v>
      </c>
      <c r="AC307" s="177">
        <v>-8.2999849999999995</v>
      </c>
      <c r="AD307" s="222" t="s">
        <v>1709</v>
      </c>
      <c r="AE307" s="145">
        <v>1.7297767492201146</v>
      </c>
      <c r="AF307" s="177">
        <v>-5.8717108100000006</v>
      </c>
      <c r="AG307" s="365" t="s">
        <v>1126</v>
      </c>
      <c r="AH307" s="145">
        <v>4.332852546878005</v>
      </c>
      <c r="AI307" s="177">
        <v>-4.947844932800435</v>
      </c>
      <c r="AJ307" s="464">
        <v>2.7951164171599974E-2</v>
      </c>
      <c r="AK307" s="362" t="s">
        <v>1466</v>
      </c>
      <c r="AL307" s="145">
        <v>0.49379947341949965</v>
      </c>
      <c r="AM307" s="154">
        <v>2.7322344999999979</v>
      </c>
      <c r="AN307" s="155" t="s">
        <v>2610</v>
      </c>
      <c r="AO307" s="47"/>
      <c r="AP307" s="47"/>
    </row>
    <row r="308" spans="1:42">
      <c r="A308" s="18"/>
      <c r="B308" s="19" t="s">
        <v>20</v>
      </c>
      <c r="C308" s="87"/>
      <c r="D308" s="16"/>
      <c r="F308" s="80"/>
      <c r="G308" s="119"/>
      <c r="H308" s="19"/>
      <c r="I308" s="80"/>
      <c r="J308" s="119"/>
      <c r="K308" s="19"/>
      <c r="L308" s="3"/>
      <c r="M308" s="323">
        <v>-160.73106299999998</v>
      </c>
      <c r="N308" s="180" t="s">
        <v>1408</v>
      </c>
      <c r="O308" s="3"/>
      <c r="P308" s="323">
        <v>104.20146985739999</v>
      </c>
      <c r="Q308" s="180" t="s">
        <v>1126</v>
      </c>
      <c r="R308" s="3"/>
      <c r="S308" s="323">
        <v>-8.3337382704398237</v>
      </c>
      <c r="T308" s="180" t="s">
        <v>1126</v>
      </c>
      <c r="U308" s="100"/>
      <c r="V308" s="177">
        <v>11.6806</v>
      </c>
      <c r="W308" s="460" t="s">
        <v>1466</v>
      </c>
      <c r="X308" s="100"/>
      <c r="Y308" s="177">
        <v>9.2983248599999992</v>
      </c>
      <c r="Z308" s="460" t="s">
        <v>1126</v>
      </c>
      <c r="AA308" s="100"/>
      <c r="AB308" s="462">
        <v>1.6624866396955797</v>
      </c>
      <c r="AC308" s="177">
        <v>-3.17348667</v>
      </c>
      <c r="AD308" s="460" t="s">
        <v>1126</v>
      </c>
      <c r="AE308" s="100"/>
      <c r="AF308" s="177">
        <v>-7.7055337738384067</v>
      </c>
      <c r="AG308" s="460" t="s">
        <v>1125</v>
      </c>
      <c r="AH308" s="100"/>
      <c r="AI308" s="177">
        <v>-6.13498082</v>
      </c>
      <c r="AJ308" s="465">
        <v>3.3164046491336065E-4</v>
      </c>
      <c r="AK308" s="460" t="s">
        <v>1126</v>
      </c>
      <c r="AL308" s="84"/>
      <c r="AM308" s="177">
        <v>2.332255790441367</v>
      </c>
      <c r="AN308" s="460" t="s">
        <v>1126</v>
      </c>
      <c r="AO308" s="47"/>
      <c r="AP308" s="47"/>
    </row>
    <row r="309" spans="1:42">
      <c r="A309" s="18"/>
      <c r="B309" s="19"/>
      <c r="C309" s="87"/>
      <c r="D309" s="119"/>
      <c r="E309" s="19"/>
      <c r="F309" s="80"/>
      <c r="G309" s="119"/>
      <c r="H309" s="19"/>
      <c r="I309" s="80"/>
      <c r="J309" s="119"/>
      <c r="K309" s="19"/>
      <c r="L309" s="115"/>
      <c r="M309" s="119"/>
      <c r="N309" s="19"/>
      <c r="O309" s="80"/>
      <c r="R309" s="3"/>
      <c r="S309" s="9"/>
      <c r="T309" s="4"/>
      <c r="U309" s="100"/>
      <c r="V309" s="177">
        <v>14.062944411529019</v>
      </c>
      <c r="W309" s="460" t="s">
        <v>1125</v>
      </c>
      <c r="X309" s="100"/>
      <c r="Y309" s="177">
        <v>10.81</v>
      </c>
      <c r="Z309" s="460" t="s">
        <v>1125</v>
      </c>
      <c r="AA309" s="100"/>
      <c r="AB309" s="225">
        <v>4.6599999999999975</v>
      </c>
      <c r="AC309" s="177">
        <v>-2.7258589171619536</v>
      </c>
      <c r="AD309" s="460" t="s">
        <v>1125</v>
      </c>
      <c r="AE309" s="100"/>
      <c r="AF309" s="177">
        <v>-9.9179850000000016</v>
      </c>
      <c r="AG309" s="460" t="s">
        <v>1710</v>
      </c>
      <c r="AH309" s="100"/>
      <c r="AI309" s="177">
        <v>-8.370000000000001</v>
      </c>
      <c r="AJ309" s="466">
        <v>1.9304045622280251E-6</v>
      </c>
      <c r="AK309" s="460" t="s">
        <v>1125</v>
      </c>
      <c r="AL309" s="84"/>
      <c r="AM309" s="154">
        <v>3.5611701661480399</v>
      </c>
      <c r="AN309" s="155" t="s">
        <v>2611</v>
      </c>
      <c r="AO309" s="47"/>
      <c r="AP309" s="47"/>
    </row>
    <row r="310" spans="1:42">
      <c r="A310" s="18"/>
      <c r="B310" s="19"/>
      <c r="C310" s="87"/>
      <c r="D310" s="119"/>
      <c r="E310" s="19"/>
      <c r="F310" s="80"/>
      <c r="G310" s="119"/>
      <c r="H310" s="19"/>
      <c r="I310" s="80"/>
      <c r="J310" s="119"/>
      <c r="K310" s="19"/>
      <c r="L310" s="115"/>
      <c r="M310" s="119"/>
      <c r="N310" s="19"/>
      <c r="O310" s="80"/>
      <c r="R310" s="3"/>
      <c r="S310" s="9"/>
      <c r="T310" s="4"/>
      <c r="U310" s="100"/>
      <c r="V310" s="177">
        <v>16.873399999999997</v>
      </c>
      <c r="W310" s="460" t="s">
        <v>1705</v>
      </c>
      <c r="X310" s="100"/>
      <c r="Y310" s="177">
        <v>7.6909949999999991</v>
      </c>
      <c r="Z310" s="460" t="s">
        <v>1707</v>
      </c>
      <c r="AA310" s="100"/>
      <c r="AB310" s="461">
        <v>2.9699999999999935E-2</v>
      </c>
      <c r="AC310" s="177">
        <v>-4.9214883845347419</v>
      </c>
      <c r="AD310" s="460" t="s">
        <v>1465</v>
      </c>
      <c r="AE310" s="100"/>
      <c r="AF310" s="177">
        <v>-4.9318141382538387</v>
      </c>
      <c r="AG310" s="460" t="s">
        <v>1465</v>
      </c>
      <c r="AH310" s="100"/>
      <c r="AI310" s="177">
        <v>-2.9694143768349943</v>
      </c>
      <c r="AJ310" s="467">
        <v>0.48554999999999987</v>
      </c>
      <c r="AK310" s="460" t="s">
        <v>1467</v>
      </c>
      <c r="AL310" s="84"/>
      <c r="AM310" s="47"/>
      <c r="AN310" s="45"/>
      <c r="AO310" s="47"/>
      <c r="AP310" s="47"/>
    </row>
    <row r="311" spans="1:42">
      <c r="A311" s="18"/>
      <c r="B311" s="19"/>
      <c r="C311" s="87"/>
      <c r="D311" s="119"/>
      <c r="E311" s="19"/>
      <c r="F311" s="80"/>
      <c r="G311" s="119"/>
      <c r="H311" s="19"/>
      <c r="I311" s="80"/>
      <c r="J311" s="119"/>
      <c r="K311" s="19"/>
      <c r="L311" s="115"/>
      <c r="M311" s="119"/>
      <c r="N311" s="19"/>
      <c r="O311" s="80"/>
      <c r="R311" s="3"/>
      <c r="S311" s="9"/>
      <c r="T311" s="4"/>
      <c r="U311" s="100"/>
      <c r="V311" s="177">
        <v>17.384600000000002</v>
      </c>
      <c r="W311" s="460" t="s">
        <v>1706</v>
      </c>
      <c r="X311" s="8"/>
      <c r="Y311" s="177">
        <v>7.7038899999999986</v>
      </c>
      <c r="Z311" s="460" t="s">
        <v>1708</v>
      </c>
      <c r="AA311" s="47"/>
      <c r="AB311" s="463">
        <v>0.37237140150000009</v>
      </c>
      <c r="AC311" s="177">
        <v>-3.8232685145170562</v>
      </c>
      <c r="AD311" s="460" t="s">
        <v>1466</v>
      </c>
      <c r="AE311" s="13"/>
      <c r="AF311" s="177">
        <v>-6.3090202933987483</v>
      </c>
      <c r="AG311" s="460" t="s">
        <v>1466</v>
      </c>
      <c r="AH311" s="84"/>
      <c r="AI311" s="177">
        <v>-4.243019814748874</v>
      </c>
      <c r="AJ311" s="464">
        <v>2.5859999999999949E-2</v>
      </c>
      <c r="AK311" s="460" t="s">
        <v>1468</v>
      </c>
      <c r="AL311" s="84"/>
      <c r="AM311" s="47"/>
      <c r="AN311" s="45"/>
      <c r="AO311" s="47"/>
      <c r="AP311" s="47"/>
    </row>
    <row r="312" spans="1:42">
      <c r="A312" s="18"/>
      <c r="B312" s="19"/>
      <c r="C312" s="87"/>
      <c r="D312" s="119"/>
      <c r="E312" s="19"/>
      <c r="F312" s="80"/>
      <c r="G312" s="119"/>
      <c r="H312" s="19"/>
      <c r="I312" s="80"/>
      <c r="J312" s="119"/>
      <c r="K312" s="19"/>
      <c r="L312" s="115"/>
      <c r="M312" s="119"/>
      <c r="N312" s="19"/>
      <c r="O312" s="80"/>
      <c r="R312" s="3"/>
      <c r="S312" s="9"/>
      <c r="T312" s="4"/>
      <c r="U312" s="100"/>
      <c r="V312" s="177">
        <v>13.992000000000001</v>
      </c>
      <c r="W312" s="460" t="s">
        <v>1465</v>
      </c>
      <c r="X312" s="8"/>
      <c r="Y312" s="177">
        <v>9.07</v>
      </c>
      <c r="Z312" s="460" t="s">
        <v>1465</v>
      </c>
      <c r="AA312" s="47"/>
      <c r="AB312" s="47"/>
      <c r="AC312" s="47"/>
      <c r="AD312" s="45"/>
      <c r="AE312" s="13"/>
      <c r="AF312" s="9"/>
      <c r="AG312" s="9"/>
      <c r="AH312" s="84"/>
      <c r="AI312" s="47"/>
      <c r="AJ312" s="47"/>
      <c r="AK312" s="45"/>
      <c r="AL312" s="84"/>
      <c r="AM312" s="47"/>
      <c r="AN312" s="45"/>
      <c r="AO312" s="47"/>
      <c r="AP312" s="47"/>
    </row>
    <row r="313" spans="1:42">
      <c r="A313" s="18"/>
      <c r="B313" s="19"/>
      <c r="C313" s="87"/>
      <c r="D313" s="119"/>
      <c r="E313" s="19"/>
      <c r="F313" s="80"/>
      <c r="G313" s="119"/>
      <c r="H313" s="19"/>
      <c r="I313" s="80"/>
      <c r="J313" s="119"/>
      <c r="K313" s="19"/>
      <c r="L313" s="115"/>
      <c r="M313" s="119"/>
      <c r="N313" s="19"/>
      <c r="O313" s="80"/>
      <c r="R313" s="80"/>
      <c r="S313" s="171"/>
      <c r="T313" s="19"/>
      <c r="U313" s="100"/>
      <c r="V313" s="15"/>
      <c r="W313" s="320"/>
      <c r="Y313" s="8"/>
      <c r="Z313" s="45"/>
      <c r="AB313" s="47"/>
      <c r="AC313" s="47"/>
      <c r="AD313" s="45"/>
      <c r="AF313" s="135"/>
      <c r="AG313" s="135"/>
      <c r="AH313" s="78"/>
      <c r="AJ313" s="47"/>
      <c r="AK313" s="45"/>
      <c r="AL313" s="47"/>
      <c r="AM313" s="47"/>
      <c r="AN313" s="45"/>
      <c r="AO313" s="47"/>
      <c r="AP313" s="47"/>
    </row>
    <row r="314" spans="1:42">
      <c r="A314" s="18" t="s">
        <v>410</v>
      </c>
      <c r="B314" s="19" t="s">
        <v>437</v>
      </c>
      <c r="C314" s="157">
        <v>108.02268705856</v>
      </c>
      <c r="D314" s="30">
        <v>108.02268705856</v>
      </c>
      <c r="E314" s="30" t="s">
        <v>1126</v>
      </c>
      <c r="F314" s="187">
        <v>12.004375829927909</v>
      </c>
      <c r="G314" s="318">
        <v>12.004375829927909</v>
      </c>
      <c r="H314" s="70" t="s">
        <v>1126</v>
      </c>
      <c r="I314" s="187"/>
      <c r="J314" s="318">
        <v>5.8272615858800378</v>
      </c>
      <c r="K314" s="70" t="s">
        <v>1126</v>
      </c>
      <c r="L314" s="191">
        <v>-102.19542547267996</v>
      </c>
      <c r="M314" s="276">
        <v>-102.19542547267996</v>
      </c>
      <c r="N314" s="13" t="s">
        <v>2792</v>
      </c>
      <c r="O314" s="187">
        <v>135.47459039999998</v>
      </c>
      <c r="P314" s="318">
        <v>135.47459039999998</v>
      </c>
      <c r="Q314" s="70" t="s">
        <v>2793</v>
      </c>
      <c r="R314" s="187">
        <v>8.2935040000000111</v>
      </c>
      <c r="S314" s="491">
        <v>8.2935040000000111</v>
      </c>
      <c r="T314" s="13" t="s">
        <v>2793</v>
      </c>
      <c r="U314" s="145">
        <v>11.7254</v>
      </c>
      <c r="V314" s="15">
        <v>11.7254</v>
      </c>
      <c r="W314" s="320" t="s">
        <v>2868</v>
      </c>
      <c r="X314" s="145">
        <v>5.7038000000000002</v>
      </c>
      <c r="Y314" s="15">
        <v>5.7038000000000002</v>
      </c>
      <c r="Z314" s="320" t="s">
        <v>2868</v>
      </c>
      <c r="AA314" s="145">
        <v>-4.9945711123709158</v>
      </c>
      <c r="AB314" s="371">
        <v>2.5099999999999976E-2</v>
      </c>
      <c r="AC314" s="15">
        <v>-4.9945711123709158</v>
      </c>
      <c r="AD314" s="320" t="s">
        <v>2869</v>
      </c>
      <c r="AE314" s="145">
        <v>-4.5686362358410131</v>
      </c>
      <c r="AF314" s="15">
        <v>-4.5686362358410131</v>
      </c>
      <c r="AG314" s="320" t="s">
        <v>2872</v>
      </c>
      <c r="AH314" s="145">
        <v>-2.505713189007861</v>
      </c>
      <c r="AI314" s="15">
        <v>-2.505713189007861</v>
      </c>
      <c r="AJ314" s="229">
        <v>1.1310510056999994</v>
      </c>
      <c r="AK314" s="320" t="s">
        <v>2868</v>
      </c>
      <c r="AL314" s="145">
        <v>2.6897827999999979</v>
      </c>
      <c r="AM314" s="15">
        <v>2.6897827999999979</v>
      </c>
      <c r="AN314" s="320" t="s">
        <v>2871</v>
      </c>
      <c r="AO314" s="47"/>
      <c r="AP314" s="47"/>
    </row>
    <row r="315" spans="1:42">
      <c r="A315" s="18"/>
      <c r="B315" s="171">
        <v>362.40600000000001</v>
      </c>
      <c r="C315" s="157">
        <v>23.052149440983762</v>
      </c>
      <c r="D315" s="206">
        <v>116.18968000000001</v>
      </c>
      <c r="E315" s="206" t="s">
        <v>1125</v>
      </c>
      <c r="F315" s="157">
        <v>16.83949832670627</v>
      </c>
      <c r="G315" s="70"/>
      <c r="H315" s="70"/>
      <c r="I315" s="157"/>
      <c r="J315" s="70"/>
      <c r="K315" s="70"/>
      <c r="L315" s="191">
        <v>11.145126515774058</v>
      </c>
      <c r="M315" s="323">
        <v>-102.19542547267996</v>
      </c>
      <c r="N315" s="180" t="s">
        <v>1126</v>
      </c>
      <c r="O315" s="191">
        <v>25.397285987697597</v>
      </c>
      <c r="P315" s="323">
        <v>135.47459039999998</v>
      </c>
      <c r="Q315" s="180" t="s">
        <v>1407</v>
      </c>
      <c r="R315" s="191">
        <v>3.402104381789913</v>
      </c>
      <c r="S315" s="323">
        <v>8.2935040000000111</v>
      </c>
      <c r="T315" s="180" t="s">
        <v>1407</v>
      </c>
      <c r="U315" s="145">
        <v>0.77434541600000006</v>
      </c>
      <c r="V315" s="177">
        <v>11.449339295346096</v>
      </c>
      <c r="W315" s="460" t="s">
        <v>1126</v>
      </c>
      <c r="X315" s="145">
        <v>2.6577597594000002</v>
      </c>
      <c r="Y315" s="177">
        <v>5.7038000000000002</v>
      </c>
      <c r="Z315" s="460" t="s">
        <v>1466</v>
      </c>
      <c r="AA315" s="145">
        <v>1.4148271427146464</v>
      </c>
      <c r="AB315" s="461">
        <v>1.0174681747051531E-4</v>
      </c>
      <c r="AC315" s="177">
        <v>-7.3867239999999992</v>
      </c>
      <c r="AD315" s="222" t="s">
        <v>1709</v>
      </c>
      <c r="AE315" s="145">
        <v>1.0255903054027697</v>
      </c>
      <c r="AF315" s="177">
        <v>-4.6689120400000013</v>
      </c>
      <c r="AG315" s="365" t="s">
        <v>1126</v>
      </c>
      <c r="AH315" s="145">
        <v>2.1942655681801289</v>
      </c>
      <c r="AI315" s="177">
        <v>-2.505713189007861</v>
      </c>
      <c r="AJ315" s="464">
        <v>7.7362704701449951</v>
      </c>
      <c r="AK315" s="362" t="s">
        <v>1466</v>
      </c>
      <c r="AL315" s="145">
        <v>0.48612713522679962</v>
      </c>
      <c r="AM315" s="154">
        <v>2.6897827999999979</v>
      </c>
      <c r="AN315" s="155" t="s">
        <v>2610</v>
      </c>
      <c r="AO315" s="47"/>
      <c r="AP315" s="47"/>
    </row>
    <row r="316" spans="1:42">
      <c r="A316" s="18"/>
      <c r="B316" s="19"/>
      <c r="C316" s="87"/>
      <c r="D316" s="119"/>
      <c r="E316" s="19"/>
      <c r="F316" s="80"/>
      <c r="G316" s="119"/>
      <c r="H316" s="19"/>
      <c r="I316" s="80"/>
      <c r="J316" s="119"/>
      <c r="K316" s="19"/>
      <c r="L316" s="3"/>
      <c r="M316" s="323">
        <v>-129.56361720000001</v>
      </c>
      <c r="N316" s="180" t="s">
        <v>1408</v>
      </c>
      <c r="O316" s="3"/>
      <c r="P316" s="323">
        <v>96.018311228632086</v>
      </c>
      <c r="Q316" s="180" t="s">
        <v>1126</v>
      </c>
      <c r="R316" s="3"/>
      <c r="S316" s="323">
        <v>-6.1771142440478712</v>
      </c>
      <c r="T316" s="180" t="s">
        <v>1126</v>
      </c>
      <c r="U316" s="100"/>
      <c r="V316" s="177">
        <v>11.7254</v>
      </c>
      <c r="W316" s="460" t="s">
        <v>1466</v>
      </c>
      <c r="X316" s="100"/>
      <c r="Y316" s="177">
        <v>7.6600617399999997</v>
      </c>
      <c r="Z316" s="460" t="s">
        <v>1126</v>
      </c>
      <c r="AA316" s="100"/>
      <c r="AB316" s="462">
        <v>0.50291696249877627</v>
      </c>
      <c r="AC316" s="177">
        <v>-3.6927485499999997</v>
      </c>
      <c r="AD316" s="460" t="s">
        <v>1126</v>
      </c>
      <c r="AE316" s="100"/>
      <c r="AF316" s="177">
        <v>-4.5686362358410131</v>
      </c>
      <c r="AG316" s="460" t="s">
        <v>1125</v>
      </c>
      <c r="AH316" s="100"/>
      <c r="AI316" s="177">
        <v>-4.4129200000000006</v>
      </c>
      <c r="AJ316" s="465">
        <v>1.4004750601431895E-2</v>
      </c>
      <c r="AK316" s="460" t="s">
        <v>1126</v>
      </c>
      <c r="AL316" s="84"/>
      <c r="AM316" s="177">
        <v>2.9778197774825093</v>
      </c>
      <c r="AN316" s="460" t="s">
        <v>1126</v>
      </c>
      <c r="AO316" s="47"/>
      <c r="AP316" s="47"/>
    </row>
    <row r="317" spans="1:42">
      <c r="A317" s="18"/>
      <c r="B317" s="19"/>
      <c r="C317" s="87"/>
      <c r="D317" s="119"/>
      <c r="E317" s="19"/>
      <c r="F317" s="80"/>
      <c r="G317" s="119"/>
      <c r="H317" s="19"/>
      <c r="I317" s="80"/>
      <c r="J317" s="119"/>
      <c r="K317" s="19"/>
      <c r="L317" s="115"/>
      <c r="M317" s="119"/>
      <c r="N317" s="19"/>
      <c r="O317" s="80"/>
      <c r="P317" s="119"/>
      <c r="Q317" s="19"/>
      <c r="R317" s="3"/>
      <c r="S317" s="9"/>
      <c r="T317" s="4"/>
      <c r="U317" s="100"/>
      <c r="V317" s="177">
        <v>11.138996346439429</v>
      </c>
      <c r="W317" s="460" t="s">
        <v>1125</v>
      </c>
      <c r="X317" s="100"/>
      <c r="Y317" s="177">
        <v>8.84</v>
      </c>
      <c r="Z317" s="460" t="s">
        <v>1125</v>
      </c>
      <c r="AA317" s="100"/>
      <c r="AB317" s="225">
        <v>39.819999999999986</v>
      </c>
      <c r="AC317" s="177">
        <v>-1.7941435781605632</v>
      </c>
      <c r="AD317" s="460" t="s">
        <v>1125</v>
      </c>
      <c r="AE317" s="100"/>
      <c r="AF317" s="177">
        <v>-6.3606439999999997</v>
      </c>
      <c r="AG317" s="460" t="s">
        <v>1710</v>
      </c>
      <c r="AH317" s="100"/>
      <c r="AI317" s="177">
        <v>-6.16</v>
      </c>
      <c r="AJ317" s="466">
        <v>2.5072369484684771E-4</v>
      </c>
      <c r="AK317" s="460" t="s">
        <v>1125</v>
      </c>
      <c r="AL317" s="84"/>
      <c r="AM317" s="154">
        <v>3.8443111661480458</v>
      </c>
      <c r="AN317" s="155" t="s">
        <v>2611</v>
      </c>
      <c r="AO317" s="47"/>
      <c r="AP317" s="47"/>
    </row>
    <row r="318" spans="1:42">
      <c r="A318" s="18"/>
      <c r="B318" s="19"/>
      <c r="C318" s="87"/>
      <c r="D318" s="119"/>
      <c r="E318" s="19"/>
      <c r="F318" s="80"/>
      <c r="G318" s="119"/>
      <c r="H318" s="19"/>
      <c r="I318" s="80"/>
      <c r="J318" s="119"/>
      <c r="K318" s="19"/>
      <c r="L318" s="115"/>
      <c r="M318" s="119"/>
      <c r="N318" s="19"/>
      <c r="O318" s="80"/>
      <c r="P318" s="119"/>
      <c r="Q318" s="19"/>
      <c r="R318" s="3"/>
      <c r="S318" s="9"/>
      <c r="T318" s="4"/>
      <c r="U318" s="100"/>
      <c r="V318" s="177">
        <v>13.5992</v>
      </c>
      <c r="W318" s="460" t="s">
        <v>1705</v>
      </c>
      <c r="X318" s="100"/>
      <c r="Y318" s="177">
        <v>5.2157480000000005</v>
      </c>
      <c r="Z318" s="460" t="s">
        <v>1707</v>
      </c>
      <c r="AA318" s="100"/>
      <c r="AB318" s="461">
        <v>2.5099999999999976E-2</v>
      </c>
      <c r="AC318" s="177">
        <v>-4.9945711123709158</v>
      </c>
      <c r="AD318" s="460" t="s">
        <v>1465</v>
      </c>
      <c r="AE318" s="100"/>
      <c r="AF318" s="177">
        <v>-2.3334820194451193</v>
      </c>
      <c r="AG318" s="460" t="s">
        <v>1465</v>
      </c>
      <c r="AH318" s="100"/>
      <c r="AI318" s="177">
        <v>-0.29343446253363492</v>
      </c>
      <c r="AJ318" s="467">
        <v>184.40000000000003</v>
      </c>
      <c r="AK318" s="460" t="s">
        <v>1467</v>
      </c>
      <c r="AL318" s="84"/>
      <c r="AM318" s="47"/>
      <c r="AN318" s="45"/>
      <c r="AO318" s="47"/>
      <c r="AP318" s="47"/>
    </row>
    <row r="319" spans="1:42">
      <c r="A319" s="18"/>
      <c r="B319" s="19"/>
      <c r="C319" s="87"/>
      <c r="D319" s="119"/>
      <c r="E319" s="19"/>
      <c r="F319" s="80"/>
      <c r="G319" s="119"/>
      <c r="H319" s="19"/>
      <c r="I319" s="80"/>
      <c r="J319" s="119"/>
      <c r="K319" s="19"/>
      <c r="L319" s="115"/>
      <c r="M319" s="119"/>
      <c r="N319" s="19"/>
      <c r="O319" s="80"/>
      <c r="P319" s="119"/>
      <c r="Q319" s="19"/>
      <c r="R319" s="3"/>
      <c r="S319" s="9"/>
      <c r="T319" s="4"/>
      <c r="U319" s="100"/>
      <c r="V319" s="177">
        <v>14.0785</v>
      </c>
      <c r="W319" s="460" t="s">
        <v>1706</v>
      </c>
      <c r="X319" s="8"/>
      <c r="Y319" s="177">
        <v>5.0745759999999995</v>
      </c>
      <c r="Z319" s="460" t="s">
        <v>1708</v>
      </c>
      <c r="AA319" s="47"/>
      <c r="AB319" s="463">
        <v>4.2464699549999994</v>
      </c>
      <c r="AC319" s="177">
        <v>-2.7662167781790488</v>
      </c>
      <c r="AD319" s="460" t="s">
        <v>1466</v>
      </c>
      <c r="AE319" s="13"/>
      <c r="AF319" s="177">
        <v>-2.3215246074063223</v>
      </c>
      <c r="AG319" s="460" t="s">
        <v>1466</v>
      </c>
      <c r="AH319" s="84"/>
      <c r="AI319" s="177">
        <v>-0.73578636435870082</v>
      </c>
      <c r="AJ319" s="464">
        <v>66.590000000000018</v>
      </c>
      <c r="AK319" s="460" t="s">
        <v>1468</v>
      </c>
      <c r="AL319" s="84"/>
      <c r="AM319" s="47"/>
      <c r="AN319" s="45"/>
      <c r="AO319" s="47"/>
      <c r="AP319" s="47"/>
    </row>
    <row r="320" spans="1:42">
      <c r="A320" s="18"/>
      <c r="B320" s="19"/>
      <c r="C320" s="87"/>
      <c r="D320" s="119"/>
      <c r="E320" s="19"/>
      <c r="F320" s="80"/>
      <c r="G320" s="119"/>
      <c r="H320" s="19"/>
      <c r="I320" s="80"/>
      <c r="J320" s="119"/>
      <c r="K320" s="19"/>
      <c r="L320" s="115"/>
      <c r="M320" s="119"/>
      <c r="N320" s="19"/>
      <c r="O320" s="80"/>
      <c r="P320" s="119"/>
      <c r="Q320" s="19"/>
      <c r="R320" s="3"/>
      <c r="S320" s="9"/>
      <c r="T320" s="4"/>
      <c r="U320" s="100"/>
      <c r="V320" s="177">
        <v>8.3840000000000003</v>
      </c>
      <c r="W320" s="460" t="s">
        <v>1465</v>
      </c>
      <c r="X320" s="8"/>
      <c r="Y320" s="177">
        <v>6.3</v>
      </c>
      <c r="Z320" s="460" t="s">
        <v>1465</v>
      </c>
      <c r="AA320" s="47"/>
      <c r="AB320" s="47"/>
      <c r="AC320" s="47"/>
      <c r="AD320" s="45"/>
      <c r="AE320" s="13"/>
      <c r="AF320" s="9"/>
      <c r="AG320" s="9"/>
      <c r="AH320" s="84"/>
      <c r="AI320" s="47"/>
      <c r="AJ320" s="47"/>
      <c r="AK320" s="45"/>
      <c r="AL320" s="84"/>
      <c r="AM320" s="47"/>
      <c r="AN320" s="45"/>
      <c r="AO320" s="47"/>
      <c r="AP320" s="47"/>
    </row>
    <row r="321" spans="1:42">
      <c r="A321" s="18"/>
      <c r="B321" s="19"/>
      <c r="C321" s="87"/>
      <c r="D321" s="119"/>
      <c r="E321" s="19"/>
      <c r="F321" s="80"/>
      <c r="G321" s="119"/>
      <c r="H321" s="19"/>
      <c r="I321" s="80"/>
      <c r="J321" s="119"/>
      <c r="K321" s="19"/>
      <c r="L321" s="115"/>
      <c r="M321" s="119"/>
      <c r="N321" s="19"/>
      <c r="O321" s="187"/>
      <c r="R321" s="187"/>
      <c r="S321" s="318"/>
      <c r="T321" s="70"/>
      <c r="U321" s="87"/>
      <c r="V321" s="8"/>
      <c r="W321" s="45"/>
      <c r="Y321" s="8"/>
      <c r="Z321" s="45"/>
      <c r="AB321" s="47"/>
      <c r="AC321" s="47"/>
      <c r="AD321" s="45"/>
      <c r="AF321" s="134"/>
      <c r="AG321" s="134"/>
      <c r="AH321" s="78"/>
      <c r="AJ321" s="47"/>
      <c r="AK321" s="45"/>
      <c r="AL321" s="84"/>
      <c r="AM321" s="47"/>
      <c r="AN321" s="45"/>
      <c r="AO321" s="47"/>
      <c r="AP321" s="47"/>
    </row>
    <row r="322" spans="1:42">
      <c r="A322" s="3" t="s">
        <v>93</v>
      </c>
      <c r="B322" s="4" t="s">
        <v>94</v>
      </c>
      <c r="C322" s="157">
        <v>140.91485214648</v>
      </c>
      <c r="D322" s="30">
        <v>140.91485214648</v>
      </c>
      <c r="E322" s="30" t="s">
        <v>1126</v>
      </c>
      <c r="F322" s="187">
        <v>8.5225134635762458</v>
      </c>
      <c r="G322" s="318">
        <v>8.5225134635762458</v>
      </c>
      <c r="H322" s="70" t="s">
        <v>1126</v>
      </c>
      <c r="I322" s="187"/>
      <c r="J322" s="318">
        <v>13.007027706688376</v>
      </c>
      <c r="K322" s="70" t="s">
        <v>1126</v>
      </c>
      <c r="L322" s="191">
        <v>-127.90782443979163</v>
      </c>
      <c r="M322" s="276">
        <v>-127.90782443979163</v>
      </c>
      <c r="N322" s="13" t="s">
        <v>2792</v>
      </c>
      <c r="O322" s="187">
        <v>139.24704929999999</v>
      </c>
      <c r="P322" s="318">
        <v>139.24704929999999</v>
      </c>
      <c r="Q322" s="70" t="s">
        <v>2793</v>
      </c>
      <c r="R322" s="187">
        <v>12.569867999999998</v>
      </c>
      <c r="S322" s="491">
        <v>12.569867999999998</v>
      </c>
      <c r="T322" s="13" t="s">
        <v>2793</v>
      </c>
      <c r="U322" s="145">
        <v>11.689500000000001</v>
      </c>
      <c r="V322" s="15">
        <v>11.689500000000001</v>
      </c>
      <c r="W322" s="320" t="s">
        <v>2868</v>
      </c>
      <c r="X322" s="145">
        <v>4.2579700000000003</v>
      </c>
      <c r="Y322" s="15">
        <v>4.2579700000000003</v>
      </c>
      <c r="Z322" s="320" t="s">
        <v>2868</v>
      </c>
      <c r="AA322" s="145">
        <v>-9.8836998236453422</v>
      </c>
      <c r="AB322" s="371">
        <v>3.2399999999999904E-7</v>
      </c>
      <c r="AC322" s="15">
        <v>-9.8836998236453422</v>
      </c>
      <c r="AD322" s="320" t="s">
        <v>2869</v>
      </c>
      <c r="AE322" s="145">
        <v>-7.6716203965612619</v>
      </c>
      <c r="AF322" s="15">
        <v>-7.6716203965612619</v>
      </c>
      <c r="AG322" s="320" t="s">
        <v>2872</v>
      </c>
      <c r="AH322" s="145">
        <v>-1.8537789111881195</v>
      </c>
      <c r="AI322" s="15">
        <v>-1.8537789111881195</v>
      </c>
      <c r="AJ322" s="229">
        <v>9.7686748390000027</v>
      </c>
      <c r="AK322" s="320" t="s">
        <v>2868</v>
      </c>
      <c r="AL322" s="145">
        <v>1.7478950999999965</v>
      </c>
      <c r="AM322" s="15">
        <v>1.7478950999999965</v>
      </c>
      <c r="AN322" s="320" t="s">
        <v>2871</v>
      </c>
      <c r="AO322" s="47"/>
      <c r="AP322" s="47"/>
    </row>
    <row r="323" spans="1:42">
      <c r="A323" s="3"/>
      <c r="B323" s="171">
        <v>697.61300000000006</v>
      </c>
      <c r="C323" s="157">
        <v>30.071370362910979</v>
      </c>
      <c r="D323" s="206">
        <v>151.96288000000001</v>
      </c>
      <c r="E323" s="206" t="s">
        <v>1125</v>
      </c>
      <c r="F323" s="157">
        <v>11.955211436435485</v>
      </c>
      <c r="G323" s="70"/>
      <c r="H323" s="70"/>
      <c r="I323" s="157"/>
      <c r="J323" s="70"/>
      <c r="K323" s="70"/>
      <c r="L323" s="191">
        <v>13.949243609930356</v>
      </c>
      <c r="M323" s="323">
        <v>-127.90782443979163</v>
      </c>
      <c r="N323" s="180" t="s">
        <v>1126</v>
      </c>
      <c r="O323" s="191">
        <v>26.104505085221696</v>
      </c>
      <c r="P323" s="323">
        <v>139.24704929999999</v>
      </c>
      <c r="Q323" s="180" t="s">
        <v>1407</v>
      </c>
      <c r="R323" s="191">
        <v>5.1563251191921706</v>
      </c>
      <c r="S323" s="323">
        <v>12.569867999999998</v>
      </c>
      <c r="T323" s="180" t="s">
        <v>1407</v>
      </c>
      <c r="U323" s="145">
        <v>0.77197458000000008</v>
      </c>
      <c r="V323" s="177">
        <v>14.565426956573072</v>
      </c>
      <c r="W323" s="460" t="s">
        <v>1126</v>
      </c>
      <c r="X323" s="145">
        <v>1.9840564751100003</v>
      </c>
      <c r="Y323" s="177">
        <v>4.2579700000000003</v>
      </c>
      <c r="Z323" s="460" t="s">
        <v>1466</v>
      </c>
      <c r="AA323" s="145">
        <v>2.7997853001434869</v>
      </c>
      <c r="AB323" s="461">
        <v>5.7777910770479454E-7</v>
      </c>
      <c r="AC323" s="177">
        <v>-9.6324829999999988</v>
      </c>
      <c r="AD323" s="222" t="s">
        <v>1709</v>
      </c>
      <c r="AE323" s="145">
        <v>1.7221637047220548</v>
      </c>
      <c r="AF323" s="177">
        <v>-8.6010561800000005</v>
      </c>
      <c r="AG323" s="365" t="s">
        <v>1126</v>
      </c>
      <c r="AH323" s="145">
        <v>1.6233634614219921</v>
      </c>
      <c r="AI323" s="177">
        <v>-1.8537789111881195</v>
      </c>
      <c r="AJ323" s="464">
        <v>34.710903857300003</v>
      </c>
      <c r="AK323" s="362" t="s">
        <v>1466</v>
      </c>
      <c r="AL323" s="145">
        <v>0.31589882931809937</v>
      </c>
      <c r="AM323" s="154">
        <v>1.7478950999999965</v>
      </c>
      <c r="AN323" s="155" t="s">
        <v>2610</v>
      </c>
      <c r="AO323" s="47"/>
      <c r="AP323" s="47"/>
    </row>
    <row r="324" spans="1:42">
      <c r="A324" s="3"/>
      <c r="B324" s="171"/>
      <c r="C324" s="157"/>
      <c r="D324" s="206"/>
      <c r="E324" s="206"/>
      <c r="F324" s="157"/>
      <c r="G324" s="70"/>
      <c r="H324" s="70"/>
      <c r="I324" s="157"/>
      <c r="J324" s="70"/>
      <c r="K324" s="70"/>
      <c r="L324" s="191"/>
      <c r="M324" s="323">
        <v>-129.05768740000002</v>
      </c>
      <c r="N324" s="180" t="s">
        <v>1408</v>
      </c>
      <c r="O324" s="191"/>
      <c r="P324" s="323">
        <v>132.39233868290376</v>
      </c>
      <c r="Q324" s="180" t="s">
        <v>1126</v>
      </c>
      <c r="R324" s="3"/>
      <c r="S324" s="323">
        <v>4.4845142431121303</v>
      </c>
      <c r="T324" s="180" t="s">
        <v>1126</v>
      </c>
      <c r="U324" s="100"/>
      <c r="V324" s="177">
        <v>11.689500000000001</v>
      </c>
      <c r="W324" s="460" t="s">
        <v>1466</v>
      </c>
      <c r="X324" s="100"/>
      <c r="Y324" s="177">
        <v>4.9912293300000004</v>
      </c>
      <c r="Z324" s="460" t="s">
        <v>1126</v>
      </c>
      <c r="AA324" s="100"/>
      <c r="AB324" s="462">
        <v>4.2404512412997258E-7</v>
      </c>
      <c r="AC324" s="177">
        <v>-9.7668327599999998</v>
      </c>
      <c r="AD324" s="460" t="s">
        <v>1126</v>
      </c>
      <c r="AE324" s="100"/>
      <c r="AF324" s="177">
        <v>-7.6716203965612619</v>
      </c>
      <c r="AG324" s="460" t="s">
        <v>1125</v>
      </c>
      <c r="AH324" s="100"/>
      <c r="AI324" s="177">
        <v>-2.2709702900000006</v>
      </c>
      <c r="AJ324" s="465">
        <v>3.7380428464070543</v>
      </c>
      <c r="AK324" s="460" t="s">
        <v>1126</v>
      </c>
      <c r="AL324" s="84"/>
      <c r="AM324" s="177">
        <v>3.2507817279669191</v>
      </c>
      <c r="AN324" s="460" t="s">
        <v>1126</v>
      </c>
      <c r="AO324" s="47"/>
      <c r="AP324" s="47"/>
    </row>
    <row r="325" spans="1:42">
      <c r="A325" s="3"/>
      <c r="B325" s="171"/>
      <c r="C325" s="157"/>
      <c r="D325" s="206"/>
      <c r="E325" s="206"/>
      <c r="F325" s="157"/>
      <c r="G325" s="70"/>
      <c r="H325" s="70"/>
      <c r="I325" s="157"/>
      <c r="J325" s="70"/>
      <c r="K325" s="70"/>
      <c r="L325" s="191"/>
      <c r="M325" s="323"/>
      <c r="N325" s="180"/>
      <c r="O325" s="191"/>
      <c r="P325" s="323"/>
      <c r="Q325" s="180"/>
      <c r="R325" s="3"/>
      <c r="S325" s="9"/>
      <c r="T325" s="4"/>
      <c r="U325" s="100"/>
      <c r="V325" s="177">
        <v>13.769408567272579</v>
      </c>
      <c r="W325" s="460" t="s">
        <v>1125</v>
      </c>
      <c r="X325" s="100"/>
      <c r="Y325" s="177">
        <v>7.04</v>
      </c>
      <c r="Z325" s="460" t="s">
        <v>1125</v>
      </c>
      <c r="AA325" s="100"/>
      <c r="AB325" s="225">
        <v>4.0899999999999912E-3</v>
      </c>
      <c r="AC325" s="177">
        <v>-5.7825215258446123</v>
      </c>
      <c r="AD325" s="460" t="s">
        <v>1125</v>
      </c>
      <c r="AE325" s="100"/>
      <c r="AF325" s="177">
        <v>-7.9705230000000009</v>
      </c>
      <c r="AG325" s="460" t="s">
        <v>1710</v>
      </c>
      <c r="AH325" s="100"/>
      <c r="AI325" s="177">
        <v>-5.2799999999999994</v>
      </c>
      <c r="AJ325" s="466">
        <v>3.6611250676722483E-3</v>
      </c>
      <c r="AK325" s="460" t="s">
        <v>1125</v>
      </c>
      <c r="AL325" s="84"/>
      <c r="AM325" s="154">
        <v>2.4589321661480419</v>
      </c>
      <c r="AN325" s="155" t="s">
        <v>2611</v>
      </c>
      <c r="AO325" s="47"/>
      <c r="AP325" s="47"/>
    </row>
    <row r="326" spans="1:42">
      <c r="A326" s="3"/>
      <c r="B326" s="171"/>
      <c r="C326" s="157"/>
      <c r="D326" s="206"/>
      <c r="E326" s="206"/>
      <c r="F326" s="157"/>
      <c r="G326" s="70"/>
      <c r="H326" s="70"/>
      <c r="I326" s="157"/>
      <c r="J326" s="70"/>
      <c r="K326" s="70"/>
      <c r="L326" s="191"/>
      <c r="M326" s="323"/>
      <c r="N326" s="180"/>
      <c r="O326" s="191"/>
      <c r="P326" s="323"/>
      <c r="Q326" s="180"/>
      <c r="R326" s="3"/>
      <c r="S326" s="9"/>
      <c r="T326" s="4"/>
      <c r="U326" s="100"/>
      <c r="V326" s="177">
        <v>13.823699999999999</v>
      </c>
      <c r="W326" s="460" t="s">
        <v>1705</v>
      </c>
      <c r="X326" s="100"/>
      <c r="Y326" s="177">
        <v>4.9023409999999998</v>
      </c>
      <c r="Z326" s="460" t="s">
        <v>1707</v>
      </c>
      <c r="AA326" s="100"/>
      <c r="AB326" s="461">
        <v>3.2399999999999904E-7</v>
      </c>
      <c r="AC326" s="177">
        <v>-9.8836998236453422</v>
      </c>
      <c r="AD326" s="460" t="s">
        <v>1465</v>
      </c>
      <c r="AE326" s="100"/>
      <c r="AF326" s="177">
        <v>-4.9318141382538387</v>
      </c>
      <c r="AG326" s="460" t="s">
        <v>1465</v>
      </c>
      <c r="AH326" s="100"/>
      <c r="AI326" s="177">
        <v>0.1554115241065043</v>
      </c>
      <c r="AJ326" s="467">
        <v>997.76</v>
      </c>
      <c r="AK326" s="460" t="s">
        <v>1467</v>
      </c>
      <c r="AL326" s="84"/>
      <c r="AM326" s="47"/>
      <c r="AN326" s="45"/>
      <c r="AO326" s="47"/>
      <c r="AP326" s="47"/>
    </row>
    <row r="327" spans="1:42">
      <c r="A327" s="3"/>
      <c r="B327" s="171"/>
      <c r="C327" s="157"/>
      <c r="D327" s="206"/>
      <c r="E327" s="206"/>
      <c r="F327" s="157"/>
      <c r="G327" s="70"/>
      <c r="H327" s="70"/>
      <c r="I327" s="157"/>
      <c r="J327" s="70"/>
      <c r="K327" s="70"/>
      <c r="L327" s="191"/>
      <c r="M327" s="323"/>
      <c r="N327" s="180"/>
      <c r="O327" s="191"/>
      <c r="P327" s="323"/>
      <c r="Q327" s="180"/>
      <c r="R327" s="3"/>
      <c r="S327" s="9"/>
      <c r="T327" s="4"/>
      <c r="U327" s="100"/>
      <c r="V327" s="177">
        <v>14.748299999999999</v>
      </c>
      <c r="W327" s="460" t="s">
        <v>1706</v>
      </c>
      <c r="X327" s="8"/>
      <c r="Y327" s="177">
        <v>4.6026419999999968</v>
      </c>
      <c r="Z327" s="460" t="s">
        <v>1708</v>
      </c>
      <c r="AA327" s="47"/>
      <c r="AB327" s="463">
        <v>2.9680828274999995</v>
      </c>
      <c r="AC327" s="177">
        <v>-2.9217688176276182</v>
      </c>
      <c r="AD327" s="460" t="s">
        <v>1466</v>
      </c>
      <c r="AE327" s="13"/>
      <c r="AF327" s="177">
        <v>-1.7365144657888172</v>
      </c>
      <c r="AG327" s="460" t="s">
        <v>1466</v>
      </c>
      <c r="AH327" s="84"/>
      <c r="AI327" s="177">
        <v>-1.946317443006728</v>
      </c>
      <c r="AJ327" s="464">
        <v>7.8939999999999957</v>
      </c>
      <c r="AK327" s="460" t="s">
        <v>1468</v>
      </c>
      <c r="AL327" s="84"/>
      <c r="AM327" s="47"/>
      <c r="AN327" s="45"/>
      <c r="AO327" s="47"/>
      <c r="AP327" s="47"/>
    </row>
    <row r="328" spans="1:42">
      <c r="A328" s="3"/>
      <c r="B328" s="171"/>
      <c r="C328" s="157"/>
      <c r="D328" s="206"/>
      <c r="E328" s="206"/>
      <c r="F328" s="157"/>
      <c r="G328" s="70"/>
      <c r="H328" s="70"/>
      <c r="I328" s="157"/>
      <c r="J328" s="70"/>
      <c r="K328" s="70"/>
      <c r="L328" s="191"/>
      <c r="M328" s="323"/>
      <c r="N328" s="180"/>
      <c r="O328" s="191"/>
      <c r="P328" s="323"/>
      <c r="Q328" s="180"/>
      <c r="R328" s="3"/>
      <c r="S328" s="9"/>
      <c r="T328" s="4"/>
      <c r="U328" s="100"/>
      <c r="V328" s="177">
        <v>7.34</v>
      </c>
      <c r="W328" s="460" t="s">
        <v>1465</v>
      </c>
      <c r="X328" s="8"/>
      <c r="Y328" s="177">
        <v>4.1900000000000004</v>
      </c>
      <c r="Z328" s="460" t="s">
        <v>1465</v>
      </c>
      <c r="AA328" s="47"/>
      <c r="AB328" s="47"/>
      <c r="AC328" s="47"/>
      <c r="AD328" s="45"/>
      <c r="AE328" s="13"/>
      <c r="AF328" s="9"/>
      <c r="AG328" s="9"/>
      <c r="AH328" s="84"/>
      <c r="AI328" s="47"/>
      <c r="AJ328" s="47"/>
      <c r="AK328" s="45"/>
      <c r="AL328" s="84"/>
      <c r="AM328" s="47"/>
      <c r="AN328" s="45"/>
      <c r="AO328" s="47"/>
      <c r="AP328" s="47"/>
    </row>
    <row r="329" spans="1:42">
      <c r="A329" s="504" t="s">
        <v>95</v>
      </c>
      <c r="B329" s="504"/>
      <c r="C329" s="504"/>
      <c r="D329" s="504"/>
      <c r="E329" s="504"/>
      <c r="F329" s="504"/>
      <c r="G329" s="504"/>
      <c r="H329" s="504"/>
      <c r="I329" s="504"/>
      <c r="J329" s="504"/>
      <c r="K329" s="504"/>
      <c r="L329" s="504"/>
      <c r="M329" s="504"/>
      <c r="N329" s="504"/>
      <c r="O329" s="504"/>
      <c r="P329" s="504"/>
      <c r="Q329" s="504"/>
      <c r="R329" s="504"/>
      <c r="S329" s="504"/>
      <c r="T329" s="504"/>
      <c r="U329" s="504"/>
      <c r="V329" s="504"/>
      <c r="W329" s="504"/>
      <c r="X329" s="504"/>
      <c r="Y329" s="504"/>
      <c r="Z329" s="504"/>
      <c r="AA329" s="504"/>
      <c r="AB329" s="504"/>
      <c r="AC329" s="504"/>
      <c r="AD329" s="504"/>
      <c r="AE329" s="504"/>
      <c r="AF329" s="504"/>
      <c r="AG329" s="504"/>
      <c r="AH329" s="504"/>
      <c r="AI329" s="504"/>
      <c r="AJ329" s="504"/>
      <c r="AK329" s="504"/>
      <c r="AL329" s="504"/>
      <c r="AM329" s="504"/>
      <c r="AN329" s="504"/>
      <c r="AO329" s="4"/>
      <c r="AP329" s="4"/>
    </row>
    <row r="330" spans="1:42">
      <c r="A330" s="3" t="s">
        <v>96</v>
      </c>
      <c r="B330" s="4" t="s">
        <v>97</v>
      </c>
      <c r="C330" s="157">
        <v>94.065444509040006</v>
      </c>
      <c r="D330" s="30">
        <v>94.065444509040006</v>
      </c>
      <c r="E330" s="30" t="s">
        <v>1126</v>
      </c>
      <c r="F330" s="187">
        <v>25.035906325104079</v>
      </c>
      <c r="G330" s="318">
        <v>25.035906325104079</v>
      </c>
      <c r="H330" s="70" t="s">
        <v>1126</v>
      </c>
      <c r="I330" s="187"/>
      <c r="J330" s="318">
        <v>4.35653215620016</v>
      </c>
      <c r="K330" s="70" t="s">
        <v>1126</v>
      </c>
      <c r="L330" s="191">
        <v>-89.708912352839846</v>
      </c>
      <c r="M330" s="276">
        <v>-89.708912352839846</v>
      </c>
      <c r="N330" s="13" t="s">
        <v>2792</v>
      </c>
      <c r="O330" s="187">
        <v>73.989164799999998</v>
      </c>
      <c r="P330" s="318">
        <v>73.989164799999998</v>
      </c>
      <c r="Q330" s="70" t="s">
        <v>2793</v>
      </c>
      <c r="R330" s="187">
        <v>-32.722792000000005</v>
      </c>
      <c r="S330" s="491">
        <v>-32.722792000000005</v>
      </c>
      <c r="T330" s="13" t="s">
        <v>2793</v>
      </c>
      <c r="U330" s="145">
        <v>10.287642610354304</v>
      </c>
      <c r="V330" s="15">
        <v>10.287642610354304</v>
      </c>
      <c r="W330" s="320" t="s">
        <v>2792</v>
      </c>
      <c r="X330" s="145">
        <v>6.12852</v>
      </c>
      <c r="Y330" s="15">
        <v>6.12852</v>
      </c>
      <c r="Z330" s="320" t="s">
        <v>2868</v>
      </c>
      <c r="AA330" s="145">
        <v>-4.4799016767325135</v>
      </c>
      <c r="AB330" s="371">
        <v>8.2099999999999923E-2</v>
      </c>
      <c r="AC330" s="15">
        <v>-4.4799016767325135</v>
      </c>
      <c r="AD330" s="320" t="s">
        <v>2869</v>
      </c>
      <c r="AE330" s="145">
        <v>-3.5584980500000003</v>
      </c>
      <c r="AF330" s="15">
        <v>-3.5584980500000003</v>
      </c>
      <c r="AG330" s="320" t="s">
        <v>2792</v>
      </c>
      <c r="AH330" s="145">
        <v>-4.5137143999999996</v>
      </c>
      <c r="AI330" s="15">
        <v>-4.5137143999999996</v>
      </c>
      <c r="AJ330" s="229">
        <v>7.7309059713185713E-3</v>
      </c>
      <c r="AK330" s="320" t="e">
        <v>#N/A</v>
      </c>
      <c r="AL330" s="145">
        <v>1.5543775999999996</v>
      </c>
      <c r="AM330" s="15">
        <v>1.5543775999999996</v>
      </c>
      <c r="AN330" s="320" t="s">
        <v>2871</v>
      </c>
      <c r="AO330" s="47"/>
      <c r="AP330" s="47"/>
    </row>
    <row r="331" spans="1:42">
      <c r="A331" s="3"/>
      <c r="B331" s="171">
        <v>252.316</v>
      </c>
      <c r="C331" s="157">
        <v>17.000541851563309</v>
      </c>
      <c r="D331" s="206">
        <v>115.18552000000001</v>
      </c>
      <c r="E331" s="206" t="s">
        <v>1125</v>
      </c>
      <c r="F331" s="157">
        <v>35.119868674729496</v>
      </c>
      <c r="G331" s="70"/>
      <c r="H331" s="70"/>
      <c r="I331" s="157"/>
      <c r="J331" s="70"/>
      <c r="K331" s="70"/>
      <c r="L331" s="191">
        <v>17.120497377977721</v>
      </c>
      <c r="M331" s="323">
        <v>-89.708912352839846</v>
      </c>
      <c r="N331" s="180" t="s">
        <v>1126</v>
      </c>
      <c r="O331" s="191">
        <v>13.8706747358912</v>
      </c>
      <c r="P331" s="323">
        <v>73.989164799999998</v>
      </c>
      <c r="Q331" s="180" t="s">
        <v>1407</v>
      </c>
      <c r="R331" s="191">
        <v>13.423319509775336</v>
      </c>
      <c r="S331" s="323">
        <v>-32.722792000000005</v>
      </c>
      <c r="T331" s="180" t="s">
        <v>1407</v>
      </c>
      <c r="U331" s="145">
        <v>0.952095604481765</v>
      </c>
      <c r="V331" s="177">
        <v>10.287642610354304</v>
      </c>
      <c r="W331" s="460" t="s">
        <v>1126</v>
      </c>
      <c r="X331" s="145">
        <v>1.14032145936</v>
      </c>
      <c r="Y331" s="177">
        <v>6.12852</v>
      </c>
      <c r="Z331" s="460" t="s">
        <v>1466</v>
      </c>
      <c r="AA331" s="145">
        <v>1.4837389554321319</v>
      </c>
      <c r="AB331" s="461">
        <v>1.6193354888782902E-3</v>
      </c>
      <c r="AC331" s="177">
        <v>-6.1849079999999983</v>
      </c>
      <c r="AD331" s="222" t="s">
        <v>1709</v>
      </c>
      <c r="AE331" s="145">
        <v>1.0451344357830501</v>
      </c>
      <c r="AF331" s="177">
        <v>-3.5584980500000003</v>
      </c>
      <c r="AG331" s="365" t="s">
        <v>1126</v>
      </c>
      <c r="AH331" s="145">
        <v>1.1685495511006008</v>
      </c>
      <c r="AI331" s="177">
        <v>-5.3383661784298084</v>
      </c>
      <c r="AJ331" s="467">
        <v>1.1373094700900987E-2</v>
      </c>
      <c r="AK331" s="362" t="s">
        <v>1466</v>
      </c>
      <c r="AL331" s="145">
        <v>0.28092421802559991</v>
      </c>
      <c r="AM331" s="154">
        <v>1.5543775999999996</v>
      </c>
      <c r="AN331" s="468" t="s">
        <v>2610</v>
      </c>
      <c r="AO331" s="47"/>
      <c r="AP331" s="47"/>
    </row>
    <row r="332" spans="1:42">
      <c r="A332" s="3"/>
      <c r="B332" s="4"/>
      <c r="D332" s="113"/>
      <c r="E332" s="30"/>
      <c r="F332" s="83"/>
      <c r="G332" s="70"/>
      <c r="H332" s="70"/>
      <c r="I332" s="83"/>
      <c r="J332" s="70"/>
      <c r="K332" s="70"/>
      <c r="L332" s="3"/>
      <c r="M332" s="323">
        <v>-109.09411040000001</v>
      </c>
      <c r="N332" s="180" t="s">
        <v>1408</v>
      </c>
      <c r="O332" s="77"/>
      <c r="P332" s="323">
        <v>69.029538183935927</v>
      </c>
      <c r="Q332" s="180" t="s">
        <v>1126</v>
      </c>
      <c r="R332" s="3"/>
      <c r="S332" s="323">
        <v>-20.679374168903919</v>
      </c>
      <c r="T332" s="180" t="s">
        <v>1126</v>
      </c>
      <c r="U332" s="100"/>
      <c r="V332" s="177">
        <v>10.343500000000001</v>
      </c>
      <c r="W332" s="460" t="s">
        <v>1466</v>
      </c>
      <c r="X332" s="100"/>
      <c r="Y332" s="177">
        <v>5.8754893800000003</v>
      </c>
      <c r="Z332" s="460" t="s">
        <v>1126</v>
      </c>
      <c r="AA332" s="100"/>
      <c r="AB332" s="462">
        <v>0.12474058425523306</v>
      </c>
      <c r="AC332" s="177">
        <v>-4.2982370599999999</v>
      </c>
      <c r="AD332" s="460" t="s">
        <v>1126</v>
      </c>
      <c r="AE332" s="100"/>
      <c r="AF332" s="177">
        <v>-4.6252516539898965</v>
      </c>
      <c r="AG332" s="460" t="s">
        <v>1125</v>
      </c>
      <c r="AH332" s="100"/>
      <c r="AI332" s="177">
        <v>-2.6970137900000002</v>
      </c>
      <c r="AJ332" s="465">
        <v>0.506910166110348</v>
      </c>
      <c r="AK332" s="460" t="s">
        <v>1126</v>
      </c>
      <c r="AL332" s="84"/>
      <c r="AM332" s="177">
        <v>4.7191341159713494</v>
      </c>
      <c r="AN332" s="469" t="s">
        <v>1126</v>
      </c>
      <c r="AO332" s="47"/>
      <c r="AP332" s="47"/>
    </row>
    <row r="333" spans="1:42">
      <c r="A333" s="3"/>
      <c r="B333" s="4"/>
      <c r="D333" s="113"/>
      <c r="E333" s="30"/>
      <c r="F333" s="83"/>
      <c r="G333" s="70"/>
      <c r="H333" s="70"/>
      <c r="I333" s="83"/>
      <c r="J333" s="70"/>
      <c r="K333" s="70"/>
      <c r="L333" s="83"/>
      <c r="M333" s="70"/>
      <c r="N333" s="70"/>
      <c r="O333" s="77"/>
      <c r="P333" s="147"/>
      <c r="Q333" s="70"/>
      <c r="R333" s="3"/>
      <c r="S333" s="9"/>
      <c r="T333" s="4"/>
      <c r="U333" s="100"/>
      <c r="V333" s="177">
        <v>10.759858079815194</v>
      </c>
      <c r="W333" s="460" t="s">
        <v>1125</v>
      </c>
      <c r="X333" s="100"/>
      <c r="Y333" s="177">
        <v>6.54</v>
      </c>
      <c r="Z333" s="460" t="s">
        <v>1125</v>
      </c>
      <c r="AA333" s="100"/>
      <c r="AB333" s="225">
        <v>0.28999999999999959</v>
      </c>
      <c r="AC333" s="177">
        <v>-3.9318468359529981</v>
      </c>
      <c r="AD333" s="460" t="s">
        <v>1125</v>
      </c>
      <c r="AE333" s="100"/>
      <c r="AF333" s="177">
        <v>-5.4901480000000005</v>
      </c>
      <c r="AG333" s="460" t="s">
        <v>1710</v>
      </c>
      <c r="AH333" s="100"/>
      <c r="AI333" s="177">
        <v>-4.09</v>
      </c>
      <c r="AJ333" s="466">
        <v>2.0509014451646084E-2</v>
      </c>
      <c r="AK333" s="460" t="s">
        <v>1125</v>
      </c>
      <c r="AL333" s="84"/>
      <c r="AM333" s="154">
        <v>2.6739471661480465</v>
      </c>
      <c r="AN333" s="468" t="s">
        <v>2611</v>
      </c>
      <c r="AO333" s="47"/>
      <c r="AP333" s="47"/>
    </row>
    <row r="334" spans="1:42">
      <c r="A334" s="3"/>
      <c r="B334" s="4"/>
      <c r="D334" s="113"/>
      <c r="E334" s="30"/>
      <c r="F334" s="83"/>
      <c r="G334" s="70"/>
      <c r="H334" s="70"/>
      <c r="I334" s="83"/>
      <c r="J334" s="70"/>
      <c r="K334" s="70"/>
      <c r="L334" s="83"/>
      <c r="M334" s="70"/>
      <c r="N334" s="70"/>
      <c r="O334" s="77"/>
      <c r="P334" s="147"/>
      <c r="Q334" s="70"/>
      <c r="R334" s="3"/>
      <c r="S334" s="9"/>
      <c r="T334" s="4"/>
      <c r="U334" s="100"/>
      <c r="V334" s="177">
        <v>11.558340000000001</v>
      </c>
      <c r="W334" s="460" t="s">
        <v>1705</v>
      </c>
      <c r="X334" s="100"/>
      <c r="Y334" s="177">
        <v>5.9646160000000004</v>
      </c>
      <c r="Z334" s="460" t="s">
        <v>1707</v>
      </c>
      <c r="AA334" s="100"/>
      <c r="AB334" s="461">
        <v>8.2099999999999923E-2</v>
      </c>
      <c r="AC334" s="177">
        <v>-4.4799016767325135</v>
      </c>
      <c r="AD334" s="460" t="s">
        <v>1465</v>
      </c>
      <c r="AE334" s="100"/>
      <c r="AF334" s="177">
        <v>-3.2479515521805613</v>
      </c>
      <c r="AG334" s="460" t="s">
        <v>1465</v>
      </c>
      <c r="AH334" s="100"/>
      <c r="AI334" s="177">
        <v>-2.1007845266404712</v>
      </c>
      <c r="AJ334" s="467">
        <v>2.0005999999999986</v>
      </c>
      <c r="AK334" s="460" t="s">
        <v>1467</v>
      </c>
      <c r="AL334" s="84"/>
      <c r="AM334" s="47"/>
      <c r="AN334" s="45"/>
      <c r="AO334" s="47"/>
      <c r="AP334" s="47"/>
    </row>
    <row r="335" spans="1:42">
      <c r="A335" s="3"/>
      <c r="B335" s="4"/>
      <c r="D335" s="113"/>
      <c r="E335" s="30"/>
      <c r="F335" s="83"/>
      <c r="G335" s="70"/>
      <c r="H335" s="70"/>
      <c r="I335" s="83"/>
      <c r="J335" s="70"/>
      <c r="K335" s="70"/>
      <c r="L335" s="83"/>
      <c r="M335" s="70"/>
      <c r="N335" s="70"/>
      <c r="O335" s="77"/>
      <c r="P335" s="147"/>
      <c r="Q335" s="70"/>
      <c r="R335" s="3"/>
      <c r="S335" s="9"/>
      <c r="T335" s="4"/>
      <c r="U335" s="100"/>
      <c r="V335" s="177">
        <v>12.119499999999999</v>
      </c>
      <c r="W335" s="460" t="s">
        <v>1706</v>
      </c>
      <c r="X335" s="8"/>
      <c r="Y335" s="177">
        <v>6.0680919999999992</v>
      </c>
      <c r="Z335" s="460" t="s">
        <v>1708</v>
      </c>
      <c r="AA335" s="47"/>
      <c r="AB335" s="463">
        <v>5.7818679449999959E-2</v>
      </c>
      <c r="AC335" s="177">
        <v>-4.6321766654748959</v>
      </c>
      <c r="AD335" s="460" t="s">
        <v>1466</v>
      </c>
      <c r="AE335" s="13"/>
      <c r="AF335" s="177">
        <v>-5.9230597492163692</v>
      </c>
      <c r="AG335" s="460" t="s">
        <v>1466</v>
      </c>
      <c r="AH335" s="84"/>
      <c r="AI335" s="177">
        <v>-1.3857474375972403</v>
      </c>
      <c r="AJ335" s="464">
        <v>10.379999999999999</v>
      </c>
      <c r="AK335" s="460" t="s">
        <v>1468</v>
      </c>
      <c r="AL335" s="84"/>
      <c r="AM335" s="47"/>
      <c r="AN335" s="45"/>
      <c r="AO335" s="47"/>
      <c r="AP335" s="47"/>
    </row>
    <row r="336" spans="1:42">
      <c r="A336" s="3"/>
      <c r="B336" s="4"/>
      <c r="D336" s="113"/>
      <c r="E336" s="30"/>
      <c r="F336" s="83"/>
      <c r="G336" s="70"/>
      <c r="H336" s="70"/>
      <c r="I336" s="83"/>
      <c r="J336" s="70"/>
      <c r="K336" s="70"/>
      <c r="L336" s="83"/>
      <c r="M336" s="70"/>
      <c r="N336" s="70"/>
      <c r="O336" s="77"/>
      <c r="P336" s="147"/>
      <c r="Q336" s="70"/>
      <c r="R336" s="3"/>
      <c r="S336" s="9"/>
      <c r="T336" s="4"/>
      <c r="U336" s="100"/>
      <c r="V336" s="177">
        <v>10.859</v>
      </c>
      <c r="W336" s="460" t="s">
        <v>1465</v>
      </c>
      <c r="X336" s="8"/>
      <c r="Y336" s="177">
        <v>6.11</v>
      </c>
      <c r="Z336" s="460" t="s">
        <v>1465</v>
      </c>
      <c r="AA336" s="47"/>
      <c r="AB336" s="1"/>
      <c r="AC336" s="1"/>
      <c r="AD336" s="1"/>
      <c r="AE336" s="13"/>
      <c r="AF336" s="9"/>
      <c r="AG336" s="9"/>
      <c r="AH336" s="84"/>
      <c r="AI336" s="47"/>
      <c r="AJ336" s="47"/>
      <c r="AK336" s="45"/>
      <c r="AL336" s="84"/>
      <c r="AM336" s="47"/>
      <c r="AN336" s="45"/>
      <c r="AO336" s="47"/>
      <c r="AP336" s="47"/>
    </row>
    <row r="337" spans="1:42">
      <c r="A337" s="3"/>
      <c r="B337" s="4" t="s">
        <v>20</v>
      </c>
      <c r="C337" s="3"/>
      <c r="D337" s="4"/>
      <c r="E337" s="4"/>
      <c r="F337" s="3"/>
      <c r="G337" s="4"/>
      <c r="H337" s="4"/>
      <c r="I337" s="3"/>
      <c r="J337" s="4"/>
      <c r="K337" s="4"/>
      <c r="L337" s="3"/>
      <c r="M337" s="4"/>
      <c r="N337" s="4"/>
      <c r="O337" s="3"/>
      <c r="P337" s="4"/>
      <c r="Q337" s="4"/>
      <c r="R337" s="3"/>
      <c r="S337" s="4"/>
      <c r="T337" s="4"/>
      <c r="U337" s="100"/>
      <c r="V337" s="8"/>
      <c r="W337" s="45"/>
      <c r="X337" s="8"/>
      <c r="Y337" s="8"/>
      <c r="Z337" s="45"/>
      <c r="AA337" s="47"/>
      <c r="AB337" s="47"/>
      <c r="AC337" s="47"/>
      <c r="AD337" s="45"/>
      <c r="AH337" s="84"/>
      <c r="AI337" s="47"/>
      <c r="AJ337" s="228"/>
      <c r="AK337" s="45"/>
      <c r="AL337" s="84"/>
      <c r="AM337" s="47"/>
      <c r="AN337" s="45"/>
      <c r="AO337" s="47"/>
      <c r="AP337" s="47"/>
    </row>
    <row r="338" spans="1:42">
      <c r="A338" s="3" t="s">
        <v>99</v>
      </c>
      <c r="B338" s="4" t="s">
        <v>100</v>
      </c>
      <c r="C338" s="157">
        <v>93.282659488800007</v>
      </c>
      <c r="D338" s="30">
        <v>93.282659488800007</v>
      </c>
      <c r="E338" s="30" t="s">
        <v>1126</v>
      </c>
      <c r="F338" s="187">
        <v>24.695982056704011</v>
      </c>
      <c r="G338" s="318">
        <v>24.695982056704011</v>
      </c>
      <c r="H338" s="70" t="s">
        <v>1126</v>
      </c>
      <c r="I338" s="187"/>
      <c r="J338" s="318">
        <v>4.2101512426480525</v>
      </c>
      <c r="K338" s="70" t="s">
        <v>1126</v>
      </c>
      <c r="L338" s="191">
        <v>-89.072508246151955</v>
      </c>
      <c r="M338" s="276">
        <v>-89.072508246151955</v>
      </c>
      <c r="N338" s="13" t="s">
        <v>2792</v>
      </c>
      <c r="O338" s="187">
        <v>68.0877488</v>
      </c>
      <c r="P338" s="318">
        <v>68.0877488</v>
      </c>
      <c r="Q338" s="70" t="s">
        <v>2793</v>
      </c>
      <c r="R338" s="187">
        <v>-35.839772000000004</v>
      </c>
      <c r="S338" s="491">
        <v>-35.839772000000004</v>
      </c>
      <c r="T338" s="13" t="s">
        <v>2793</v>
      </c>
      <c r="U338" s="145">
        <v>10.211022562034907</v>
      </c>
      <c r="V338" s="15">
        <v>10.211022562034907</v>
      </c>
      <c r="W338" s="320" t="s">
        <v>2792</v>
      </c>
      <c r="X338" s="145">
        <v>6.1246099999999997</v>
      </c>
      <c r="Y338" s="15">
        <v>6.1246099999999997</v>
      </c>
      <c r="Z338" s="320" t="s">
        <v>2868</v>
      </c>
      <c r="AA338" s="145">
        <v>-4.4799016767325135</v>
      </c>
      <c r="AB338" s="371">
        <v>8.2099999999999923E-2</v>
      </c>
      <c r="AC338" s="15">
        <v>-4.4799016767325135</v>
      </c>
      <c r="AD338" s="320" t="s">
        <v>2869</v>
      </c>
      <c r="AE338" s="145">
        <v>-3.4633076500000008</v>
      </c>
      <c r="AF338" s="15">
        <v>-3.4633076500000008</v>
      </c>
      <c r="AG338" s="320" t="s">
        <v>2792</v>
      </c>
      <c r="AH338" s="145">
        <v>-4.6856443999999993</v>
      </c>
      <c r="AI338" s="15">
        <v>-4.6856443999999993</v>
      </c>
      <c r="AJ338" s="229">
        <v>5.2035578974768456E-3</v>
      </c>
      <c r="AK338" s="320" t="e">
        <v>#N/A</v>
      </c>
      <c r="AL338" s="145">
        <v>1.9273476</v>
      </c>
      <c r="AM338" s="15">
        <v>1.9273476</v>
      </c>
      <c r="AN338" s="320" t="s">
        <v>2871</v>
      </c>
      <c r="AO338" s="47"/>
      <c r="AP338" s="47"/>
    </row>
    <row r="339" spans="1:42">
      <c r="A339" s="3"/>
      <c r="B339" s="171">
        <v>252.316</v>
      </c>
      <c r="C339" s="157">
        <v>16.859068332070315</v>
      </c>
      <c r="D339" s="206">
        <v>118.36536</v>
      </c>
      <c r="E339" s="206" t="s">
        <v>1125</v>
      </c>
      <c r="F339" s="157">
        <v>34.643029709503253</v>
      </c>
      <c r="G339" s="70"/>
      <c r="H339" s="70"/>
      <c r="I339" s="157"/>
      <c r="J339" s="70"/>
      <c r="K339" s="70"/>
      <c r="L339" s="191">
        <v>16.999042836236868</v>
      </c>
      <c r="M339" s="323">
        <v>-89.072508246151955</v>
      </c>
      <c r="N339" s="180" t="s">
        <v>1126</v>
      </c>
      <c r="O339" s="191">
        <v>12.764342179787199</v>
      </c>
      <c r="P339" s="323">
        <v>68.0877488</v>
      </c>
      <c r="Q339" s="180" t="s">
        <v>1407</v>
      </c>
      <c r="R339" s="191">
        <v>14.701945687076449</v>
      </c>
      <c r="S339" s="323">
        <v>-35.839772000000004</v>
      </c>
      <c r="T339" s="180" t="s">
        <v>1407</v>
      </c>
      <c r="U339" s="145">
        <v>0.94500461055992568</v>
      </c>
      <c r="V339" s="177">
        <v>10.211022562034907</v>
      </c>
      <c r="W339" s="460" t="s">
        <v>1126</v>
      </c>
      <c r="X339" s="145">
        <v>1.13959393348</v>
      </c>
      <c r="Y339" s="177">
        <v>6.1246099999999997</v>
      </c>
      <c r="Z339" s="460" t="s">
        <v>1466</v>
      </c>
      <c r="AA339" s="145">
        <v>1.4837389554321319</v>
      </c>
      <c r="AB339" s="461">
        <v>2.0712705670440031E-2</v>
      </c>
      <c r="AC339" s="177">
        <v>-5.0780079999999987</v>
      </c>
      <c r="AD339" s="222" t="s">
        <v>1709</v>
      </c>
      <c r="AE339" s="145">
        <v>1.0171769201126502</v>
      </c>
      <c r="AF339" s="177">
        <v>-3.4633076500000008</v>
      </c>
      <c r="AG339" s="365" t="s">
        <v>1126</v>
      </c>
      <c r="AH339" s="145">
        <v>1.2130602814030598</v>
      </c>
      <c r="AI339" s="177">
        <v>-5.3365817877473205</v>
      </c>
      <c r="AJ339" s="467">
        <v>1.1419919593699977E-2</v>
      </c>
      <c r="AK339" s="362" t="s">
        <v>1466</v>
      </c>
      <c r="AL339" s="145">
        <v>0.34833145909560004</v>
      </c>
      <c r="AM339" s="154">
        <v>1.9273476</v>
      </c>
      <c r="AN339" s="468" t="s">
        <v>2610</v>
      </c>
      <c r="AO339" s="47"/>
      <c r="AP339" s="47"/>
    </row>
    <row r="340" spans="1:42">
      <c r="A340" s="3"/>
      <c r="B340" s="171"/>
      <c r="C340" s="16"/>
      <c r="D340" s="30"/>
      <c r="E340" s="30"/>
      <c r="F340" s="83"/>
      <c r="G340" s="70"/>
      <c r="H340" s="70"/>
      <c r="I340" s="83"/>
      <c r="J340" s="70"/>
      <c r="K340" s="70"/>
      <c r="L340" s="3"/>
      <c r="M340" s="323">
        <v>-106.3104944</v>
      </c>
      <c r="N340" s="180" t="s">
        <v>1408</v>
      </c>
      <c r="O340" s="77"/>
      <c r="P340" s="323">
        <v>68.586677432095996</v>
      </c>
      <c r="Q340" s="180" t="s">
        <v>1126</v>
      </c>
      <c r="R340" s="3"/>
      <c r="S340" s="323">
        <v>-20.485830814055959</v>
      </c>
      <c r="T340" s="180" t="s">
        <v>1126</v>
      </c>
      <c r="U340" s="100"/>
      <c r="V340" s="177">
        <v>10.343500000000001</v>
      </c>
      <c r="W340" s="460" t="s">
        <v>1466</v>
      </c>
      <c r="X340" s="100"/>
      <c r="Y340" s="177">
        <v>6.0478919199999996</v>
      </c>
      <c r="Z340" s="460" t="s">
        <v>1126</v>
      </c>
      <c r="AA340" s="100"/>
      <c r="AB340" s="462">
        <v>0.22417464663289852</v>
      </c>
      <c r="AC340" s="177">
        <v>-4.0436583399999995</v>
      </c>
      <c r="AD340" s="460" t="s">
        <v>1126</v>
      </c>
      <c r="AE340" s="100"/>
      <c r="AF340" s="177">
        <v>-4.9586073148417746</v>
      </c>
      <c r="AG340" s="460" t="s">
        <v>1125</v>
      </c>
      <c r="AH340" s="100"/>
      <c r="AI340" s="177">
        <v>-2.8564031600000011</v>
      </c>
      <c r="AJ340" s="465">
        <v>0.35118958764608482</v>
      </c>
      <c r="AK340" s="460" t="s">
        <v>1126</v>
      </c>
      <c r="AL340" s="84"/>
      <c r="AM340" s="177">
        <v>4.6557230714351991</v>
      </c>
      <c r="AN340" s="469" t="s">
        <v>1126</v>
      </c>
      <c r="AO340" s="47"/>
      <c r="AP340" s="47"/>
    </row>
    <row r="341" spans="1:42">
      <c r="A341" s="3"/>
      <c r="B341" s="4"/>
      <c r="D341" s="113"/>
      <c r="F341" s="3"/>
      <c r="G341" s="4"/>
      <c r="H341" s="4"/>
      <c r="I341" s="3"/>
      <c r="J341" s="4"/>
      <c r="K341" s="4"/>
      <c r="L341" s="3"/>
      <c r="M341" s="4"/>
      <c r="N341" s="4"/>
      <c r="O341" s="3"/>
      <c r="P341" s="4"/>
      <c r="Q341" s="4"/>
      <c r="R341" s="3"/>
      <c r="S341" s="9"/>
      <c r="T341" s="4"/>
      <c r="U341" s="100"/>
      <c r="V341" s="177">
        <v>11.182656973754497</v>
      </c>
      <c r="W341" s="460" t="s">
        <v>1125</v>
      </c>
      <c r="X341" s="100"/>
      <c r="Y341" s="177">
        <v>6.5</v>
      </c>
      <c r="Z341" s="460" t="s">
        <v>1125</v>
      </c>
      <c r="AA341" s="100"/>
      <c r="AB341" s="225">
        <v>9.2699999999999852E-2</v>
      </c>
      <c r="AC341" s="177">
        <v>-4.427165099707457</v>
      </c>
      <c r="AD341" s="460" t="s">
        <v>1125</v>
      </c>
      <c r="AE341" s="100"/>
      <c r="AF341" s="177">
        <v>-4.9796480000000001</v>
      </c>
      <c r="AG341" s="460" t="s">
        <v>1710</v>
      </c>
      <c r="AH341" s="100"/>
      <c r="AI341" s="177">
        <v>-3.9300000000000006</v>
      </c>
      <c r="AJ341" s="466">
        <v>2.9644545147212192E-2</v>
      </c>
      <c r="AK341" s="460" t="s">
        <v>1125</v>
      </c>
      <c r="AL341" s="84"/>
      <c r="AM341" s="154">
        <v>2.8367671661480447</v>
      </c>
      <c r="AN341" s="468" t="s">
        <v>2611</v>
      </c>
      <c r="AO341" s="47"/>
      <c r="AP341" s="47"/>
    </row>
    <row r="342" spans="1:42">
      <c r="A342" s="3"/>
      <c r="B342" s="4"/>
      <c r="D342" s="113"/>
      <c r="F342" s="3"/>
      <c r="G342" s="4"/>
      <c r="H342" s="4"/>
      <c r="I342" s="3"/>
      <c r="J342" s="4"/>
      <c r="K342" s="4"/>
      <c r="L342" s="3"/>
      <c r="M342" s="4"/>
      <c r="N342" s="4"/>
      <c r="O342" s="3"/>
      <c r="P342" s="4"/>
      <c r="Q342" s="4"/>
      <c r="R342" s="3"/>
      <c r="S342" s="9"/>
      <c r="T342" s="4"/>
      <c r="U342" s="100"/>
      <c r="V342" s="177">
        <v>11.210659999999999</v>
      </c>
      <c r="W342" s="460" t="s">
        <v>1705</v>
      </c>
      <c r="X342" s="100"/>
      <c r="Y342" s="177">
        <v>6.3878160000000008</v>
      </c>
      <c r="Z342" s="460" t="s">
        <v>1707</v>
      </c>
      <c r="AA342" s="100"/>
      <c r="AB342" s="461">
        <v>8.2099999999999923E-2</v>
      </c>
      <c r="AC342" s="177">
        <v>-4.4799016767325135</v>
      </c>
      <c r="AD342" s="460" t="s">
        <v>1465</v>
      </c>
      <c r="AE342" s="100"/>
      <c r="AF342" s="177">
        <v>-4.9956786262173578</v>
      </c>
      <c r="AG342" s="460" t="s">
        <v>1465</v>
      </c>
      <c r="AH342" s="100"/>
      <c r="AI342" s="177">
        <v>-2.1007845266404712</v>
      </c>
      <c r="AJ342" s="467">
        <v>2.0005999999999986</v>
      </c>
      <c r="AK342" s="460" t="s">
        <v>1467</v>
      </c>
      <c r="AL342" s="84"/>
      <c r="AM342" s="47"/>
      <c r="AN342" s="45"/>
      <c r="AO342" s="47"/>
      <c r="AP342" s="47"/>
    </row>
    <row r="343" spans="1:42">
      <c r="A343" s="3"/>
      <c r="B343" s="4"/>
      <c r="D343" s="113"/>
      <c r="F343" s="3"/>
      <c r="G343" s="4"/>
      <c r="H343" s="4"/>
      <c r="I343" s="3"/>
      <c r="J343" s="4"/>
      <c r="K343" s="4"/>
      <c r="L343" s="3"/>
      <c r="M343" s="4"/>
      <c r="N343" s="4"/>
      <c r="O343" s="3"/>
      <c r="P343" s="4"/>
      <c r="Q343" s="4"/>
      <c r="R343" s="3"/>
      <c r="S343" s="9"/>
      <c r="T343" s="4"/>
      <c r="U343" s="100"/>
      <c r="V343" s="177">
        <v>11.587</v>
      </c>
      <c r="W343" s="460" t="s">
        <v>1706</v>
      </c>
      <c r="X343" s="8"/>
      <c r="Y343" s="177">
        <v>6.6129919999999993</v>
      </c>
      <c r="Z343" s="460" t="s">
        <v>1708</v>
      </c>
      <c r="AA343" s="47"/>
      <c r="AB343" s="463">
        <v>7.2082604999999883E-2</v>
      </c>
      <c r="AC343" s="177">
        <v>-4.5364143605884619</v>
      </c>
      <c r="AD343" s="460" t="s">
        <v>1466</v>
      </c>
      <c r="AE343" s="13"/>
      <c r="AF343" s="177">
        <v>-6.0944209055582714</v>
      </c>
      <c r="AG343" s="460" t="s">
        <v>1466</v>
      </c>
      <c r="AH343" s="84"/>
      <c r="AI343" s="177">
        <v>-1.3689233464267687</v>
      </c>
      <c r="AJ343" s="464">
        <v>10.789999999999996</v>
      </c>
      <c r="AK343" s="460" t="s">
        <v>1468</v>
      </c>
      <c r="AL343" s="84"/>
      <c r="AM343" s="47"/>
      <c r="AN343" s="45"/>
      <c r="AO343" s="47"/>
      <c r="AP343" s="47"/>
    </row>
    <row r="344" spans="1:42">
      <c r="A344" s="3"/>
      <c r="B344" s="4"/>
      <c r="D344" s="113"/>
      <c r="F344" s="3"/>
      <c r="G344" s="4"/>
      <c r="H344" s="4"/>
      <c r="I344" s="3"/>
      <c r="J344" s="4"/>
      <c r="K344" s="4"/>
      <c r="L344" s="3"/>
      <c r="M344" s="4"/>
      <c r="N344" s="4"/>
      <c r="O344" s="3"/>
      <c r="P344" s="4"/>
      <c r="Q344" s="4"/>
      <c r="R344" s="3"/>
      <c r="S344" s="9"/>
      <c r="T344" s="4"/>
      <c r="U344" s="100"/>
      <c r="V344" s="177">
        <v>10.731999999999999</v>
      </c>
      <c r="W344" s="460" t="s">
        <v>1465</v>
      </c>
      <c r="X344" s="8"/>
      <c r="Y344" s="177">
        <v>6.11</v>
      </c>
      <c r="Z344" s="460" t="s">
        <v>1465</v>
      </c>
      <c r="AA344" s="47"/>
      <c r="AB344" s="1"/>
      <c r="AC344" s="1"/>
      <c r="AD344" s="1"/>
      <c r="AE344" s="13"/>
      <c r="AF344" s="9"/>
      <c r="AG344" s="9"/>
      <c r="AH344" s="84"/>
      <c r="AI344" s="47"/>
      <c r="AJ344" s="47"/>
      <c r="AK344" s="45"/>
      <c r="AL344" s="84"/>
      <c r="AM344" s="47"/>
      <c r="AN344" s="45"/>
      <c r="AO344" s="47"/>
      <c r="AP344" s="47"/>
    </row>
    <row r="345" spans="1:42">
      <c r="A345" s="504" t="s">
        <v>102</v>
      </c>
      <c r="B345" s="504"/>
      <c r="C345" s="504"/>
      <c r="D345" s="504"/>
      <c r="E345" s="504"/>
      <c r="F345" s="504"/>
      <c r="G345" s="504"/>
      <c r="H345" s="504"/>
      <c r="I345" s="504"/>
      <c r="J345" s="504"/>
      <c r="K345" s="504"/>
      <c r="L345" s="504"/>
      <c r="M345" s="504"/>
      <c r="N345" s="504"/>
      <c r="O345" s="504"/>
      <c r="P345" s="504"/>
      <c r="Q345" s="504"/>
      <c r="R345" s="504"/>
      <c r="S345" s="504"/>
      <c r="T345" s="504"/>
      <c r="U345" s="504"/>
      <c r="V345" s="504"/>
      <c r="W345" s="504"/>
      <c r="X345" s="504"/>
      <c r="Y345" s="504"/>
      <c r="Z345" s="504"/>
      <c r="AA345" s="504"/>
      <c r="AB345" s="504"/>
      <c r="AC345" s="504"/>
      <c r="AD345" s="504"/>
      <c r="AE345" s="504"/>
      <c r="AF345" s="504"/>
      <c r="AG345" s="504"/>
      <c r="AH345" s="504"/>
      <c r="AI345" s="504"/>
      <c r="AJ345" s="504"/>
      <c r="AK345" s="504"/>
      <c r="AL345" s="504"/>
      <c r="AM345" s="504"/>
      <c r="AN345" s="504"/>
      <c r="AO345" s="4"/>
      <c r="AP345" s="4"/>
    </row>
    <row r="346" spans="1:42">
      <c r="A346" s="3" t="s">
        <v>103</v>
      </c>
      <c r="B346" s="4" t="s">
        <v>104</v>
      </c>
      <c r="C346" s="157">
        <v>101.43600698368002</v>
      </c>
      <c r="D346" s="30">
        <v>101.43600698368002</v>
      </c>
      <c r="E346" s="30" t="s">
        <v>1126</v>
      </c>
      <c r="F346" s="187">
        <v>15.716826603447913</v>
      </c>
      <c r="G346" s="318">
        <v>15.716826603447913</v>
      </c>
      <c r="H346" s="70" t="s">
        <v>1126</v>
      </c>
      <c r="I346" s="187"/>
      <c r="J346" s="318">
        <v>4.2967974015840014</v>
      </c>
      <c r="K346" s="70" t="s">
        <v>1126</v>
      </c>
      <c r="L346" s="191">
        <v>-97.139209582096015</v>
      </c>
      <c r="M346" s="276">
        <v>-97.139209582096015</v>
      </c>
      <c r="N346" s="13" t="s">
        <v>2792</v>
      </c>
      <c r="O346" s="187">
        <v>70.758807699999991</v>
      </c>
      <c r="P346" s="318">
        <v>70.758807699999991</v>
      </c>
      <c r="Q346" s="70" t="s">
        <v>2793</v>
      </c>
      <c r="R346" s="187">
        <v>-27.635148000000004</v>
      </c>
      <c r="S346" s="491">
        <v>-27.635148000000004</v>
      </c>
      <c r="T346" s="13" t="s">
        <v>2793</v>
      </c>
      <c r="U346" s="145">
        <v>10.572900000000001</v>
      </c>
      <c r="V346" s="15">
        <v>10.572900000000001</v>
      </c>
      <c r="W346" s="320" t="s">
        <v>2868</v>
      </c>
      <c r="X346" s="145">
        <v>7.16</v>
      </c>
      <c r="Y346" s="15">
        <v>7.16</v>
      </c>
      <c r="Z346" s="320" t="s">
        <v>2872</v>
      </c>
      <c r="AA346" s="145">
        <v>-3.3186978724594232</v>
      </c>
      <c r="AB346" s="371">
        <v>1.1899999999999991</v>
      </c>
      <c r="AC346" s="15">
        <v>-3.3186978724594232</v>
      </c>
      <c r="AD346" s="320" t="s">
        <v>2872</v>
      </c>
      <c r="AE346" s="145">
        <v>-3.9963469999999992</v>
      </c>
      <c r="AF346" s="15">
        <v>-3.9963469999999992</v>
      </c>
      <c r="AG346" s="320" t="s">
        <v>2873</v>
      </c>
      <c r="AH346" s="145">
        <v>-3.4840722300000002</v>
      </c>
      <c r="AI346" s="15">
        <v>-3.4840722300000002</v>
      </c>
      <c r="AJ346" s="229">
        <v>0.15936054654949486</v>
      </c>
      <c r="AK346" s="320" t="s">
        <v>2792</v>
      </c>
      <c r="AL346" s="145">
        <v>2.6982638999999988</v>
      </c>
      <c r="AM346" s="15">
        <v>2.6982638999999988</v>
      </c>
      <c r="AN346" s="320" t="s">
        <v>2871</v>
      </c>
      <c r="AO346" s="47"/>
      <c r="AP346" s="47"/>
    </row>
    <row r="347" spans="1:42">
      <c r="A347" s="3"/>
      <c r="B347" s="171">
        <v>485.79500000000002</v>
      </c>
      <c r="C347" s="157">
        <v>11.461457301099973</v>
      </c>
      <c r="D347" s="206">
        <v>123.13512</v>
      </c>
      <c r="E347" s="206" t="s">
        <v>1125</v>
      </c>
      <c r="F347" s="157">
        <v>22.047250022784663</v>
      </c>
      <c r="G347" s="70"/>
      <c r="H347" s="70"/>
      <c r="I347" s="157"/>
      <c r="J347" s="70"/>
      <c r="K347" s="70"/>
      <c r="L347" s="191">
        <v>16.564760853196507</v>
      </c>
      <c r="M347" s="323">
        <v>-97.139209582096015</v>
      </c>
      <c r="N347" s="180" t="s">
        <v>1126</v>
      </c>
      <c r="O347" s="191">
        <v>13.265082920711299</v>
      </c>
      <c r="P347" s="323">
        <v>70.758807699999991</v>
      </c>
      <c r="Q347" s="180" t="s">
        <v>1407</v>
      </c>
      <c r="R347" s="191">
        <v>11.33630104985934</v>
      </c>
      <c r="S347" s="323">
        <v>-27.635148000000004</v>
      </c>
      <c r="T347" s="180" t="s">
        <v>1407</v>
      </c>
      <c r="U347" s="145">
        <v>0.28054132860000003</v>
      </c>
      <c r="V347" s="177">
        <v>10.709090923677422</v>
      </c>
      <c r="W347" s="460" t="s">
        <v>1126</v>
      </c>
      <c r="X347" s="145">
        <v>0.50640532000000005</v>
      </c>
      <c r="Y347" s="177">
        <v>6.6298599999999999</v>
      </c>
      <c r="Z347" s="460" t="s">
        <v>1466</v>
      </c>
      <c r="AA347" s="145">
        <v>0.38418905920526514</v>
      </c>
      <c r="AB347" s="461">
        <v>0.6715182712910085</v>
      </c>
      <c r="AC347" s="177">
        <v>-3.5671869999999992</v>
      </c>
      <c r="AD347" s="222" t="s">
        <v>1709</v>
      </c>
      <c r="AE347" s="145">
        <v>0.46919511588199991</v>
      </c>
      <c r="AF347" s="177">
        <v>-4.0222764300000007</v>
      </c>
      <c r="AG347" s="365" t="s">
        <v>1126</v>
      </c>
      <c r="AH347" s="145">
        <v>0.34130668379526002</v>
      </c>
      <c r="AI347" s="15">
        <v>-4.1428316013712099</v>
      </c>
      <c r="AJ347" s="372">
        <v>0.17840755132047967</v>
      </c>
      <c r="AK347" s="40" t="s">
        <v>1466</v>
      </c>
      <c r="AL347" s="145">
        <v>0.48765993291089982</v>
      </c>
      <c r="AM347" s="17">
        <v>2.6982638999999988</v>
      </c>
      <c r="AN347" s="45" t="s">
        <v>2610</v>
      </c>
      <c r="AO347" s="47"/>
      <c r="AP347" s="47"/>
    </row>
    <row r="348" spans="1:42">
      <c r="A348" s="3"/>
      <c r="C348" s="266"/>
      <c r="D348" s="30"/>
      <c r="E348" s="30"/>
      <c r="F348" s="83"/>
      <c r="G348" s="70"/>
      <c r="H348" s="70"/>
      <c r="I348" s="267"/>
      <c r="J348" s="268"/>
      <c r="K348" s="70"/>
      <c r="L348" s="3"/>
      <c r="M348" s="323">
        <v>-100.7785586</v>
      </c>
      <c r="N348" s="180" t="s">
        <v>1408</v>
      </c>
      <c r="O348" s="29"/>
      <c r="P348" s="323">
        <v>85.719180380232103</v>
      </c>
      <c r="Q348" s="180" t="s">
        <v>1126</v>
      </c>
      <c r="R348" s="3"/>
      <c r="S348" s="323">
        <v>-11.420029201863912</v>
      </c>
      <c r="T348" s="180" t="s">
        <v>1126</v>
      </c>
      <c r="U348" s="100"/>
      <c r="V348" s="177">
        <v>10.572900000000001</v>
      </c>
      <c r="W348" s="460" t="s">
        <v>1466</v>
      </c>
      <c r="X348" s="100"/>
      <c r="Y348" s="177">
        <v>6.5501760100000004</v>
      </c>
      <c r="Z348" s="460" t="s">
        <v>1126</v>
      </c>
      <c r="AA348" s="100"/>
      <c r="AB348" s="462">
        <v>0.26259393056420666</v>
      </c>
      <c r="AC348" s="177">
        <v>-3.9749601499999998</v>
      </c>
      <c r="AD348" s="460" t="s">
        <v>1126</v>
      </c>
      <c r="AE348" s="100"/>
      <c r="AF348" s="177">
        <v>-5.1771783546968955</v>
      </c>
      <c r="AG348" s="460" t="s">
        <v>1125</v>
      </c>
      <c r="AH348" s="100"/>
      <c r="AI348" s="15">
        <v>-3.4840722300000002</v>
      </c>
      <c r="AJ348" s="229">
        <v>0.15936054654949486</v>
      </c>
      <c r="AK348" s="320" t="s">
        <v>1126</v>
      </c>
      <c r="AL348" s="84"/>
      <c r="AM348" s="15">
        <v>4.5965727702158956</v>
      </c>
      <c r="AN348" s="320" t="s">
        <v>1126</v>
      </c>
      <c r="AO348" s="47"/>
      <c r="AP348" s="47"/>
    </row>
    <row r="349" spans="1:42">
      <c r="A349" s="3"/>
      <c r="B349" s="4" t="s">
        <v>20</v>
      </c>
      <c r="C349" s="87"/>
      <c r="D349" s="30"/>
      <c r="E349" s="30"/>
      <c r="F349" s="29"/>
      <c r="G349" s="30"/>
      <c r="H349" s="30"/>
      <c r="I349" s="29"/>
      <c r="J349" s="30"/>
      <c r="K349" s="30"/>
      <c r="L349" s="115"/>
      <c r="M349" s="255"/>
      <c r="N349" s="255"/>
      <c r="O349" s="29"/>
      <c r="P349" s="30"/>
      <c r="Q349" s="30"/>
      <c r="R349" s="3"/>
      <c r="S349" s="9"/>
      <c r="T349" s="4"/>
      <c r="U349" s="100"/>
      <c r="V349" s="177">
        <v>10.842488874940432</v>
      </c>
      <c r="W349" s="460" t="s">
        <v>1125</v>
      </c>
      <c r="X349" s="100"/>
      <c r="Y349" s="177">
        <v>7.16</v>
      </c>
      <c r="Z349" s="460" t="s">
        <v>1125</v>
      </c>
      <c r="AA349" s="100"/>
      <c r="AB349" s="225">
        <v>1.1899999999999991</v>
      </c>
      <c r="AC349" s="177">
        <v>-3.3186978724594232</v>
      </c>
      <c r="AD349" s="460" t="s">
        <v>1125</v>
      </c>
      <c r="AE349" s="100"/>
      <c r="AF349" s="177">
        <v>-3.9963469999999992</v>
      </c>
      <c r="AG349" s="460" t="s">
        <v>1710</v>
      </c>
      <c r="AH349" s="100"/>
      <c r="AI349" s="15">
        <v>-5.2500000000000009</v>
      </c>
      <c r="AJ349" s="373">
        <v>2.731826040708448E-3</v>
      </c>
      <c r="AK349" s="320" t="s">
        <v>1125</v>
      </c>
      <c r="AL349" s="84"/>
      <c r="AM349" s="17">
        <v>3.0323081661480469</v>
      </c>
      <c r="AN349" s="45" t="s">
        <v>2611</v>
      </c>
      <c r="AO349" s="47"/>
      <c r="AP349" s="47"/>
    </row>
    <row r="350" spans="1:42">
      <c r="A350" s="3"/>
      <c r="B350" s="4" t="s">
        <v>20</v>
      </c>
      <c r="C350" s="87"/>
      <c r="D350" s="234"/>
      <c r="E350" s="30"/>
      <c r="F350" s="29"/>
      <c r="G350" s="30"/>
      <c r="H350" s="30"/>
      <c r="I350" s="29"/>
      <c r="J350" s="30"/>
      <c r="K350" s="30"/>
      <c r="L350" s="115"/>
      <c r="M350" s="255"/>
      <c r="N350" s="255"/>
      <c r="O350" s="29"/>
      <c r="P350" s="30"/>
      <c r="Q350" s="30"/>
      <c r="R350" s="3"/>
      <c r="S350" s="9"/>
      <c r="T350" s="4"/>
      <c r="U350" s="100"/>
      <c r="V350" s="177">
        <v>10.4229</v>
      </c>
      <c r="W350" s="460" t="s">
        <v>1705</v>
      </c>
      <c r="X350" s="100"/>
      <c r="Y350" s="177">
        <v>6.6989490000000007</v>
      </c>
      <c r="Z350" s="460" t="s">
        <v>1707</v>
      </c>
      <c r="AA350" s="100"/>
      <c r="AB350" s="461">
        <v>0.30099999999999955</v>
      </c>
      <c r="AC350" s="177">
        <v>-3.9156783382581106</v>
      </c>
      <c r="AD350" s="460" t="s">
        <v>1465</v>
      </c>
      <c r="AE350" s="100"/>
      <c r="AF350" s="177">
        <v>-3.140861702705469</v>
      </c>
      <c r="AG350" s="460" t="s">
        <v>1465</v>
      </c>
      <c r="AH350" s="100"/>
      <c r="AI350" s="15">
        <v>-0.95218140377975957</v>
      </c>
      <c r="AJ350" s="124">
        <v>54.23399999999998</v>
      </c>
      <c r="AK350" s="320" t="s">
        <v>1467</v>
      </c>
      <c r="AL350" s="84"/>
      <c r="AM350" s="47"/>
      <c r="AN350" s="45"/>
      <c r="AO350" s="47"/>
      <c r="AP350" s="47"/>
    </row>
    <row r="351" spans="1:42">
      <c r="A351" s="3"/>
      <c r="B351" s="4"/>
      <c r="C351" s="87"/>
      <c r="D351" s="234"/>
      <c r="E351" s="30"/>
      <c r="F351" s="29"/>
      <c r="G351" s="30"/>
      <c r="H351" s="30"/>
      <c r="I351" s="29"/>
      <c r="J351" s="30"/>
      <c r="K351" s="30"/>
      <c r="L351" s="115"/>
      <c r="M351" s="30"/>
      <c r="N351" s="30"/>
      <c r="O351" s="29"/>
      <c r="P351" s="30"/>
      <c r="Q351" s="30"/>
      <c r="R351" s="3"/>
      <c r="S351" s="9"/>
      <c r="T351" s="4"/>
      <c r="U351" s="100"/>
      <c r="V351" s="177">
        <v>10.579699999999999</v>
      </c>
      <c r="W351" s="460" t="s">
        <v>1706</v>
      </c>
      <c r="X351" s="8"/>
      <c r="Y351" s="177">
        <v>7.010737999999999</v>
      </c>
      <c r="Z351" s="460" t="s">
        <v>1708</v>
      </c>
      <c r="AA351" s="47"/>
      <c r="AB351" s="463">
        <v>1.0356732224999989</v>
      </c>
      <c r="AC351" s="177">
        <v>-3.3790220862147144</v>
      </c>
      <c r="AD351" s="460" t="s">
        <v>1466</v>
      </c>
      <c r="AE351" s="13"/>
      <c r="AF351" s="177">
        <v>-4.885224953680475</v>
      </c>
      <c r="AG351" s="460" t="s">
        <v>1466</v>
      </c>
      <c r="AH351" s="84"/>
      <c r="AI351" s="15">
        <v>-2.5218028246221258</v>
      </c>
      <c r="AJ351" s="372">
        <v>1.4610000000000001</v>
      </c>
      <c r="AK351" s="320" t="s">
        <v>1468</v>
      </c>
      <c r="AL351" s="84"/>
      <c r="AM351" s="47"/>
      <c r="AN351" s="45"/>
      <c r="AO351" s="47"/>
      <c r="AP351" s="47"/>
    </row>
    <row r="352" spans="1:42">
      <c r="A352" s="3"/>
      <c r="B352" s="4"/>
      <c r="C352" s="87"/>
      <c r="D352" s="234"/>
      <c r="E352" s="30"/>
      <c r="F352" s="29"/>
      <c r="G352" s="30"/>
      <c r="H352" s="30"/>
      <c r="I352" s="29"/>
      <c r="J352" s="30"/>
      <c r="K352" s="30"/>
      <c r="L352" s="115"/>
      <c r="M352" s="30"/>
      <c r="N352" s="30"/>
      <c r="O352" s="29"/>
      <c r="P352" s="30"/>
      <c r="Q352" s="30"/>
      <c r="R352" s="3"/>
      <c r="S352" s="9"/>
      <c r="T352" s="4"/>
      <c r="U352" s="100"/>
      <c r="V352" s="177">
        <v>10.686</v>
      </c>
      <c r="W352" s="460" t="s">
        <v>1465</v>
      </c>
      <c r="X352" s="8"/>
      <c r="Y352" s="177">
        <v>6.77</v>
      </c>
      <c r="Z352" s="460" t="s">
        <v>1465</v>
      </c>
      <c r="AA352" s="47"/>
      <c r="AB352" s="47"/>
      <c r="AC352" s="47"/>
      <c r="AD352" s="45"/>
      <c r="AE352" s="13"/>
      <c r="AF352" s="9"/>
      <c r="AG352" s="326"/>
      <c r="AH352" s="47"/>
      <c r="AI352" s="47"/>
      <c r="AJ352" s="47"/>
      <c r="AK352" s="45"/>
      <c r="AL352" s="84"/>
      <c r="AM352" s="47"/>
      <c r="AN352" s="45"/>
      <c r="AO352" s="47"/>
      <c r="AP352" s="47"/>
    </row>
    <row r="353" spans="1:42">
      <c r="A353" s="3"/>
      <c r="B353" s="4"/>
      <c r="C353" s="87"/>
      <c r="D353" s="234"/>
      <c r="E353" s="30"/>
      <c r="F353" s="29"/>
      <c r="G353" s="30"/>
      <c r="H353" s="30"/>
      <c r="I353" s="29"/>
      <c r="J353" s="30"/>
      <c r="K353" s="30"/>
      <c r="L353" s="115"/>
      <c r="M353" s="30"/>
      <c r="N353" s="30"/>
      <c r="O353" s="29"/>
      <c r="P353" s="30"/>
      <c r="Q353" s="30"/>
      <c r="R353" s="29"/>
      <c r="S353" s="172"/>
      <c r="T353" s="30"/>
      <c r="U353" s="87"/>
      <c r="V353" s="9"/>
      <c r="W353" s="45"/>
      <c r="X353" s="9"/>
      <c r="Y353" s="273"/>
      <c r="Z353" s="155"/>
      <c r="AA353" s="47"/>
      <c r="AB353" s="261"/>
      <c r="AC353" s="175"/>
      <c r="AD353" s="155"/>
      <c r="AF353" s="16"/>
      <c r="AG353" s="275"/>
      <c r="AH353" s="47"/>
      <c r="AI353" s="47"/>
      <c r="AJ353" s="47"/>
      <c r="AK353" s="45"/>
      <c r="AL353" s="84"/>
      <c r="AM353" s="47"/>
      <c r="AN353" s="45"/>
      <c r="AO353" s="47"/>
      <c r="AP353" s="47"/>
    </row>
    <row r="354" spans="1:42">
      <c r="A354" s="3" t="s">
        <v>108</v>
      </c>
      <c r="B354" s="4" t="s">
        <v>109</v>
      </c>
      <c r="C354" s="157">
        <v>102.18169871008001</v>
      </c>
      <c r="D354" s="30">
        <v>102.18169871008001</v>
      </c>
      <c r="E354" s="30" t="s">
        <v>1126</v>
      </c>
      <c r="F354" s="187">
        <v>16.357400538928019</v>
      </c>
      <c r="G354" s="318">
        <v>16.357400538928019</v>
      </c>
      <c r="H354" s="70" t="s">
        <v>1126</v>
      </c>
      <c r="I354" s="187"/>
      <c r="J354" s="318">
        <v>4.6010027029921474</v>
      </c>
      <c r="K354" s="70" t="s">
        <v>1126</v>
      </c>
      <c r="L354" s="191">
        <v>-97.580696007087866</v>
      </c>
      <c r="M354" s="276">
        <v>-97.580696007087866</v>
      </c>
      <c r="N354" s="13" t="s">
        <v>2792</v>
      </c>
      <c r="O354" s="187">
        <v>67.159043699999984</v>
      </c>
      <c r="P354" s="318">
        <v>67.159043699999984</v>
      </c>
      <c r="Q354" s="70" t="s">
        <v>2793</v>
      </c>
      <c r="R354" s="187">
        <v>-32.069367999999997</v>
      </c>
      <c r="S354" s="491">
        <v>-32.069367999999997</v>
      </c>
      <c r="T354" s="13" t="s">
        <v>2793</v>
      </c>
      <c r="U354" s="145">
        <v>10.572900000000001</v>
      </c>
      <c r="V354" s="15">
        <v>10.572900000000001</v>
      </c>
      <c r="W354" s="320" t="s">
        <v>2868</v>
      </c>
      <c r="X354" s="145">
        <v>7.24</v>
      </c>
      <c r="Y354" s="15">
        <v>7.24</v>
      </c>
      <c r="Z354" s="320" t="s">
        <v>2872</v>
      </c>
      <c r="AA354" s="145">
        <v>-3.4597463826083863</v>
      </c>
      <c r="AB354" s="371">
        <v>0.85999999999999954</v>
      </c>
      <c r="AC354" s="15">
        <v>-3.4597463826083863</v>
      </c>
      <c r="AD354" s="320" t="s">
        <v>2872</v>
      </c>
      <c r="AE354" s="145">
        <v>-4.9634469999999995</v>
      </c>
      <c r="AF354" s="15">
        <v>-4.9634469999999995</v>
      </c>
      <c r="AG354" s="320" t="s">
        <v>2873</v>
      </c>
      <c r="AH354" s="145">
        <v>-3.5659663600000004</v>
      </c>
      <c r="AI354" s="15">
        <v>-3.5659663600000004</v>
      </c>
      <c r="AJ354" s="229">
        <v>0.13197348359378547</v>
      </c>
      <c r="AK354" s="320" t="s">
        <v>2792</v>
      </c>
      <c r="AL354" s="145">
        <v>2.4449938999999983</v>
      </c>
      <c r="AM354" s="15">
        <v>2.4449938999999983</v>
      </c>
      <c r="AN354" s="320" t="s">
        <v>2871</v>
      </c>
      <c r="AO354" s="47"/>
      <c r="AP354" s="47"/>
    </row>
    <row r="355" spans="1:42">
      <c r="A355" s="3"/>
      <c r="B355" s="171">
        <v>485.79500000000002</v>
      </c>
      <c r="C355" s="157">
        <v>11.54571450064936</v>
      </c>
      <c r="D355" s="206">
        <v>125.98024000000001</v>
      </c>
      <c r="E355" s="206" t="s">
        <v>1125</v>
      </c>
      <c r="F355" s="157">
        <v>22.945834327997446</v>
      </c>
      <c r="G355" s="70"/>
      <c r="H355" s="70"/>
      <c r="I355" s="157"/>
      <c r="J355" s="70"/>
      <c r="K355" s="70"/>
      <c r="L355" s="191">
        <v>16.640045767304667</v>
      </c>
      <c r="M355" s="323">
        <v>-97.580696007087866</v>
      </c>
      <c r="N355" s="180" t="s">
        <v>1126</v>
      </c>
      <c r="O355" s="191">
        <v>12.590238763395297</v>
      </c>
      <c r="P355" s="323">
        <v>67.159043699999984</v>
      </c>
      <c r="Q355" s="180" t="s">
        <v>1407</v>
      </c>
      <c r="R355" s="191">
        <v>13.155276393914209</v>
      </c>
      <c r="S355" s="323">
        <v>-32.069367999999997</v>
      </c>
      <c r="T355" s="180" t="s">
        <v>1407</v>
      </c>
      <c r="U355" s="145">
        <v>0.28054132860000003</v>
      </c>
      <c r="V355" s="177">
        <v>10.823228898512415</v>
      </c>
      <c r="W355" s="460" t="s">
        <v>1126</v>
      </c>
      <c r="X355" s="145">
        <v>0.51206348000000002</v>
      </c>
      <c r="Y355" s="177">
        <v>6.4740399999999996</v>
      </c>
      <c r="Z355" s="460" t="s">
        <v>1466</v>
      </c>
      <c r="AA355" s="145">
        <v>0.40051753998265988</v>
      </c>
      <c r="AB355" s="461">
        <v>9.7714234448205248E-2</v>
      </c>
      <c r="AC355" s="177">
        <v>-4.4042870000000001</v>
      </c>
      <c r="AD355" s="222" t="s">
        <v>1709</v>
      </c>
      <c r="AE355" s="145">
        <v>0.5827384584819999</v>
      </c>
      <c r="AF355" s="177">
        <v>-4.1648135399999999</v>
      </c>
      <c r="AG355" s="365" t="s">
        <v>1126</v>
      </c>
      <c r="AH355" s="145">
        <v>0.34932919655832001</v>
      </c>
      <c r="AI355" s="15">
        <v>-4.1449541621209534</v>
      </c>
      <c r="AJ355" s="372">
        <v>0.17753773369828971</v>
      </c>
      <c r="AK355" s="40" t="s">
        <v>1466</v>
      </c>
      <c r="AL355" s="145">
        <v>0.44188619254089967</v>
      </c>
      <c r="AM355" s="17">
        <v>2.4449938999999983</v>
      </c>
      <c r="AN355" s="45" t="s">
        <v>2610</v>
      </c>
      <c r="AO355" s="47"/>
      <c r="AP355" s="47"/>
    </row>
    <row r="356" spans="1:42">
      <c r="A356" s="3"/>
      <c r="C356" s="87"/>
      <c r="D356" s="30"/>
      <c r="E356" s="30"/>
      <c r="F356" s="83"/>
      <c r="G356" s="70"/>
      <c r="H356" s="70"/>
      <c r="I356" s="83"/>
      <c r="J356" s="70"/>
      <c r="K356" s="70"/>
      <c r="L356" s="3"/>
      <c r="M356" s="323">
        <v>-101.6112746</v>
      </c>
      <c r="N356" s="180" t="s">
        <v>1408</v>
      </c>
      <c r="O356" s="29"/>
      <c r="P356" s="323">
        <v>85.824298171151995</v>
      </c>
      <c r="Q356" s="180" t="s">
        <v>1126</v>
      </c>
      <c r="R356" s="3"/>
      <c r="S356" s="323">
        <v>-11.756397835935871</v>
      </c>
      <c r="T356" s="180" t="s">
        <v>1126</v>
      </c>
      <c r="U356" s="100"/>
      <c r="V356" s="177">
        <v>10.572900000000001</v>
      </c>
      <c r="W356" s="460" t="s">
        <v>1466</v>
      </c>
      <c r="X356" s="100"/>
      <c r="Y356" s="177">
        <v>6.6016115400000004</v>
      </c>
      <c r="Z356" s="460" t="s">
        <v>1126</v>
      </c>
      <c r="AA356" s="100"/>
      <c r="AB356" s="462">
        <v>0.22837139977215637</v>
      </c>
      <c r="AC356" s="177">
        <v>-4.0356031199999993</v>
      </c>
      <c r="AD356" s="460" t="s">
        <v>1126</v>
      </c>
      <c r="AE356" s="100"/>
      <c r="AF356" s="177">
        <v>-5.4723700991286615</v>
      </c>
      <c r="AG356" s="460" t="s">
        <v>1125</v>
      </c>
      <c r="AH356" s="100"/>
      <c r="AI356" s="15">
        <v>-3.5659663600000004</v>
      </c>
      <c r="AJ356" s="229">
        <v>0.13197348359378547</v>
      </c>
      <c r="AK356" s="320" t="s">
        <v>1126</v>
      </c>
      <c r="AL356" s="84"/>
      <c r="AM356" s="15">
        <v>4.6164691745377731</v>
      </c>
      <c r="AN356" s="320" t="s">
        <v>1126</v>
      </c>
      <c r="AO356" s="47"/>
      <c r="AP356" s="47"/>
    </row>
    <row r="357" spans="1:42">
      <c r="A357" s="3"/>
      <c r="B357" s="4" t="s">
        <v>20</v>
      </c>
      <c r="C357" s="87"/>
      <c r="D357" s="234"/>
      <c r="E357" s="30"/>
      <c r="F357" s="29"/>
      <c r="G357" s="30"/>
      <c r="H357" s="30"/>
      <c r="I357" s="29"/>
      <c r="J357" s="30"/>
      <c r="K357" s="30"/>
      <c r="L357" s="115"/>
      <c r="M357" s="30"/>
      <c r="N357" s="30"/>
      <c r="O357" s="29"/>
      <c r="P357" s="30"/>
      <c r="Q357" s="30"/>
      <c r="R357" s="3"/>
      <c r="S357" s="9"/>
      <c r="T357" s="4"/>
      <c r="U357" s="100"/>
      <c r="V357" s="177">
        <v>11.044248286514486</v>
      </c>
      <c r="W357" s="460" t="s">
        <v>1125</v>
      </c>
      <c r="X357" s="100"/>
      <c r="Y357" s="177">
        <v>7.24</v>
      </c>
      <c r="Z357" s="460" t="s">
        <v>1125</v>
      </c>
      <c r="AA357" s="100"/>
      <c r="AB357" s="225">
        <v>0.85999999999999954</v>
      </c>
      <c r="AC357" s="177">
        <v>-3.4597463826083863</v>
      </c>
      <c r="AD357" s="460" t="s">
        <v>1125</v>
      </c>
      <c r="AE357" s="100"/>
      <c r="AF357" s="177">
        <v>-4.9634469999999995</v>
      </c>
      <c r="AG357" s="460" t="s">
        <v>1710</v>
      </c>
      <c r="AH357" s="100"/>
      <c r="AI357" s="15">
        <v>-5.41</v>
      </c>
      <c r="AJ357" s="373">
        <v>1.8899618621249627E-3</v>
      </c>
      <c r="AK357" s="320" t="s">
        <v>1125</v>
      </c>
      <c r="AL357" s="84"/>
      <c r="AM357" s="17">
        <v>2.7122881661480456</v>
      </c>
      <c r="AN357" s="45" t="s">
        <v>2611</v>
      </c>
      <c r="AO357" s="47"/>
      <c r="AP357" s="47"/>
    </row>
    <row r="358" spans="1:42">
      <c r="A358" s="3"/>
      <c r="B358" s="4"/>
      <c r="C358" s="87"/>
      <c r="D358" s="234"/>
      <c r="E358" s="30"/>
      <c r="F358" s="29"/>
      <c r="G358" s="30"/>
      <c r="H358" s="30"/>
      <c r="I358" s="29"/>
      <c r="J358" s="30"/>
      <c r="K358" s="30"/>
      <c r="L358" s="115"/>
      <c r="M358" s="30"/>
      <c r="N358" s="30"/>
      <c r="O358" s="29"/>
      <c r="P358" s="30"/>
      <c r="Q358" s="30"/>
      <c r="R358" s="3"/>
      <c r="S358" s="9"/>
      <c r="T358" s="4"/>
      <c r="U358" s="100"/>
      <c r="V358" s="177">
        <v>11.069979999999999</v>
      </c>
      <c r="W358" s="460" t="s">
        <v>1705</v>
      </c>
      <c r="X358" s="100"/>
      <c r="Y358" s="177">
        <v>6.5007490000000008</v>
      </c>
      <c r="Z358" s="460" t="s">
        <v>1707</v>
      </c>
      <c r="AA358" s="100"/>
      <c r="AB358" s="461">
        <v>0.30099999999999955</v>
      </c>
      <c r="AC358" s="177">
        <v>-3.9156783382581106</v>
      </c>
      <c r="AD358" s="460" t="s">
        <v>1465</v>
      </c>
      <c r="AE358" s="100"/>
      <c r="AF358" s="177">
        <v>-3.0893755951107988</v>
      </c>
      <c r="AG358" s="460" t="s">
        <v>1465</v>
      </c>
      <c r="AH358" s="100"/>
      <c r="AI358" s="15">
        <v>-0.95218140377975957</v>
      </c>
      <c r="AJ358" s="124">
        <v>54.23399999999998</v>
      </c>
      <c r="AK358" s="320" t="s">
        <v>1467</v>
      </c>
      <c r="AL358" s="84"/>
      <c r="AM358" s="47"/>
      <c r="AN358" s="45"/>
      <c r="AO358" s="47"/>
      <c r="AP358" s="47"/>
    </row>
    <row r="359" spans="1:42">
      <c r="A359" s="3"/>
      <c r="B359" s="4"/>
      <c r="C359" s="87"/>
      <c r="D359" s="234"/>
      <c r="E359" s="30"/>
      <c r="F359" s="29"/>
      <c r="G359" s="30"/>
      <c r="H359" s="30"/>
      <c r="I359" s="29"/>
      <c r="J359" s="30"/>
      <c r="K359" s="30"/>
      <c r="L359" s="115"/>
      <c r="M359" s="30"/>
      <c r="N359" s="30"/>
      <c r="O359" s="29"/>
      <c r="P359" s="30"/>
      <c r="Q359" s="30"/>
      <c r="R359" s="3"/>
      <c r="S359" s="9"/>
      <c r="T359" s="4"/>
      <c r="U359" s="100"/>
      <c r="V359" s="177">
        <v>11.182799999999999</v>
      </c>
      <c r="W359" s="460" t="s">
        <v>1706</v>
      </c>
      <c r="X359" s="8"/>
      <c r="Y359" s="177">
        <v>6.8882379999999994</v>
      </c>
      <c r="Z359" s="460" t="s">
        <v>1708</v>
      </c>
      <c r="AA359" s="47"/>
      <c r="AB359" s="463">
        <v>1.1033177924999986</v>
      </c>
      <c r="AC359" s="177">
        <v>-3.3515442120276449</v>
      </c>
      <c r="AD359" s="460" t="s">
        <v>1466</v>
      </c>
      <c r="AE359" s="13"/>
      <c r="AF359" s="177">
        <v>-4.8459458170856395</v>
      </c>
      <c r="AG359" s="460" t="s">
        <v>1466</v>
      </c>
      <c r="AH359" s="84"/>
      <c r="AI359" s="15">
        <v>-2.5218028246221258</v>
      </c>
      <c r="AJ359" s="372">
        <v>1.4610000000000001</v>
      </c>
      <c r="AK359" s="320" t="s">
        <v>1468</v>
      </c>
      <c r="AL359" s="84"/>
      <c r="AM359" s="47"/>
      <c r="AN359" s="45"/>
      <c r="AO359" s="47"/>
      <c r="AP359" s="47"/>
    </row>
    <row r="360" spans="1:42">
      <c r="A360" s="3"/>
      <c r="B360" s="4"/>
      <c r="C360" s="87"/>
      <c r="D360" s="234"/>
      <c r="E360" s="30"/>
      <c r="F360" s="29"/>
      <c r="G360" s="30"/>
      <c r="H360" s="30"/>
      <c r="I360" s="29"/>
      <c r="J360" s="30"/>
      <c r="K360" s="30"/>
      <c r="L360" s="115"/>
      <c r="M360" s="30"/>
      <c r="N360" s="30"/>
      <c r="O360" s="29"/>
      <c r="P360" s="30"/>
      <c r="Q360" s="30"/>
      <c r="R360" s="3"/>
      <c r="S360" s="9"/>
      <c r="T360" s="4"/>
      <c r="U360" s="100"/>
      <c r="V360" s="177">
        <v>10.686</v>
      </c>
      <c r="W360" s="460" t="s">
        <v>1465</v>
      </c>
      <c r="X360" s="8"/>
      <c r="Y360" s="177">
        <v>6.77</v>
      </c>
      <c r="Z360" s="460" t="s">
        <v>1465</v>
      </c>
      <c r="AA360" s="47"/>
      <c r="AB360" s="47"/>
      <c r="AC360" s="47"/>
      <c r="AD360" s="45"/>
      <c r="AE360" s="13"/>
      <c r="AF360" s="9"/>
      <c r="AG360" s="326"/>
      <c r="AH360" s="47"/>
      <c r="AI360" s="47"/>
      <c r="AJ360" s="47"/>
      <c r="AK360" s="45"/>
      <c r="AL360" s="84"/>
      <c r="AM360" s="47"/>
      <c r="AN360" s="45"/>
      <c r="AO360" s="47"/>
      <c r="AP360" s="47"/>
    </row>
    <row r="361" spans="1:42">
      <c r="A361" s="3"/>
      <c r="B361" s="4"/>
      <c r="C361" s="87"/>
      <c r="D361" s="234"/>
      <c r="E361" s="30"/>
      <c r="F361" s="29"/>
      <c r="G361" s="30"/>
      <c r="H361" s="30"/>
      <c r="I361" s="29"/>
      <c r="J361" s="30"/>
      <c r="K361" s="30"/>
      <c r="L361" s="115"/>
      <c r="M361" s="30"/>
      <c r="N361" s="30"/>
      <c r="O361" s="29"/>
      <c r="P361" s="30"/>
      <c r="Q361" s="30"/>
      <c r="R361" s="29"/>
      <c r="S361" s="172"/>
      <c r="T361" s="30"/>
      <c r="U361" s="87"/>
      <c r="V361" s="9"/>
      <c r="W361" s="47"/>
      <c r="X361" s="273"/>
      <c r="Y361" s="273"/>
      <c r="Z361" s="45"/>
      <c r="AA361" s="47"/>
      <c r="AB361" s="47"/>
      <c r="AC361" s="47"/>
      <c r="AD361" s="45"/>
      <c r="AF361" s="17"/>
      <c r="AG361" s="45"/>
      <c r="AH361" s="84"/>
      <c r="AI361" s="47"/>
      <c r="AJ361" s="1"/>
      <c r="AK361" s="1"/>
      <c r="AL361" s="84"/>
      <c r="AM361" s="47"/>
      <c r="AN361" s="45"/>
      <c r="AO361" s="47"/>
      <c r="AP361" s="47"/>
    </row>
    <row r="362" spans="1:42">
      <c r="A362" s="3" t="s">
        <v>110</v>
      </c>
      <c r="B362" s="4" t="s">
        <v>111</v>
      </c>
      <c r="C362" s="157">
        <v>99.130845865360016</v>
      </c>
      <c r="D362" s="30">
        <v>99.130845865360016</v>
      </c>
      <c r="E362" s="30" t="s">
        <v>1126</v>
      </c>
      <c r="F362" s="187">
        <v>15.360580442263995</v>
      </c>
      <c r="G362" s="318">
        <v>15.360580442263995</v>
      </c>
      <c r="H362" s="70" t="s">
        <v>1126</v>
      </c>
      <c r="I362" s="187"/>
      <c r="J362" s="318">
        <v>4.7805045747598029</v>
      </c>
      <c r="K362" s="70" t="s">
        <v>1126</v>
      </c>
      <c r="L362" s="191">
        <v>-94.350341290600213</v>
      </c>
      <c r="M362" s="276">
        <v>-94.350341290600213</v>
      </c>
      <c r="N362" s="13" t="s">
        <v>2792</v>
      </c>
      <c r="O362" s="187">
        <v>67.783638699999997</v>
      </c>
      <c r="P362" s="318">
        <v>67.783638699999997</v>
      </c>
      <c r="Q362" s="70" t="s">
        <v>2793</v>
      </c>
      <c r="R362" s="187">
        <v>-32.865367999999989</v>
      </c>
      <c r="S362" s="491">
        <v>-32.865367999999989</v>
      </c>
      <c r="T362" s="13" t="s">
        <v>2793</v>
      </c>
      <c r="U362" s="145">
        <v>10.1791</v>
      </c>
      <c r="V362" s="15">
        <v>10.1791</v>
      </c>
      <c r="W362" s="320" t="s">
        <v>2868</v>
      </c>
      <c r="X362" s="145">
        <v>7.25</v>
      </c>
      <c r="Y362" s="15">
        <v>7.25</v>
      </c>
      <c r="Z362" s="320" t="s">
        <v>2872</v>
      </c>
      <c r="AA362" s="145">
        <v>-3.608914998841187</v>
      </c>
      <c r="AB362" s="371">
        <v>0.60999999999999943</v>
      </c>
      <c r="AC362" s="15">
        <v>-3.608914998841187</v>
      </c>
      <c r="AD362" s="320" t="s">
        <v>2872</v>
      </c>
      <c r="AE362" s="145">
        <v>-4.9155469999999992</v>
      </c>
      <c r="AF362" s="15">
        <v>-4.9155469999999992</v>
      </c>
      <c r="AG362" s="320" t="s">
        <v>2873</v>
      </c>
      <c r="AH362" s="145">
        <v>-3.2173176400000005</v>
      </c>
      <c r="AI362" s="15">
        <v>-3.2173176400000005</v>
      </c>
      <c r="AJ362" s="229">
        <v>0.29453397630832667</v>
      </c>
      <c r="AK362" s="320" t="s">
        <v>2792</v>
      </c>
      <c r="AL362" s="145">
        <v>2.4542238999999997</v>
      </c>
      <c r="AM362" s="15">
        <v>2.4542238999999997</v>
      </c>
      <c r="AN362" s="320" t="s">
        <v>2871</v>
      </c>
      <c r="AO362" s="47"/>
      <c r="AP362" s="47"/>
    </row>
    <row r="363" spans="1:42">
      <c r="A363" s="3"/>
      <c r="B363" s="171">
        <v>485.79500000000002</v>
      </c>
      <c r="C363" s="157">
        <v>11.200992536018758</v>
      </c>
      <c r="D363" s="206">
        <v>128.40696</v>
      </c>
      <c r="E363" s="206" t="s">
        <v>1125</v>
      </c>
      <c r="F363" s="157">
        <v>21.547515032799087</v>
      </c>
      <c r="G363" s="70"/>
      <c r="H363" s="70"/>
      <c r="I363" s="157"/>
      <c r="J363" s="70"/>
      <c r="K363" s="70"/>
      <c r="L363" s="191">
        <v>16.089186298920893</v>
      </c>
      <c r="M363" s="323">
        <v>-94.350341290600213</v>
      </c>
      <c r="N363" s="180" t="s">
        <v>1126</v>
      </c>
      <c r="O363" s="191">
        <v>12.7073309634503</v>
      </c>
      <c r="P363" s="323">
        <v>67.783638699999997</v>
      </c>
      <c r="Q363" s="180" t="s">
        <v>1407</v>
      </c>
      <c r="R363" s="191">
        <v>13.481806059530182</v>
      </c>
      <c r="S363" s="323">
        <v>-32.865367999999989</v>
      </c>
      <c r="T363" s="180" t="s">
        <v>1407</v>
      </c>
      <c r="U363" s="145">
        <v>0.27009223939999999</v>
      </c>
      <c r="V363" s="177">
        <v>10.495721127288061</v>
      </c>
      <c r="W363" s="460" t="s">
        <v>1126</v>
      </c>
      <c r="X363" s="145">
        <v>0.51277074999999994</v>
      </c>
      <c r="Y363" s="177">
        <v>6.48041</v>
      </c>
      <c r="Z363" s="460" t="s">
        <v>1466</v>
      </c>
      <c r="AA363" s="145">
        <v>0.41778604484085002</v>
      </c>
      <c r="AB363" s="461">
        <v>0.10089225615631765</v>
      </c>
      <c r="AC363" s="177">
        <v>-4.3903869999999987</v>
      </c>
      <c r="AD363" s="222" t="s">
        <v>1709</v>
      </c>
      <c r="AE363" s="145">
        <v>0.57711471108199985</v>
      </c>
      <c r="AF363" s="177">
        <v>-3.8534335200000007</v>
      </c>
      <c r="AG363" s="365" t="s">
        <v>1126</v>
      </c>
      <c r="AH363" s="145">
        <v>0.31517487064968003</v>
      </c>
      <c r="AI363" s="15">
        <v>-4.1416998643851031</v>
      </c>
      <c r="AJ363" s="372">
        <v>0.17887307354745968</v>
      </c>
      <c r="AK363" s="40" t="s">
        <v>1466</v>
      </c>
      <c r="AL363" s="145">
        <v>0.44355433967089997</v>
      </c>
      <c r="AM363" s="17">
        <v>2.4542238999999997</v>
      </c>
      <c r="AN363" s="45" t="s">
        <v>2610</v>
      </c>
      <c r="AO363" s="47"/>
      <c r="AP363" s="47"/>
    </row>
    <row r="364" spans="1:42">
      <c r="A364" s="3"/>
      <c r="B364" s="171"/>
      <c r="C364" s="157"/>
      <c r="D364" s="206"/>
      <c r="E364" s="206"/>
      <c r="F364" s="157"/>
      <c r="G364" s="70"/>
      <c r="H364" s="70"/>
      <c r="I364" s="157"/>
      <c r="J364" s="70"/>
      <c r="K364" s="70"/>
      <c r="L364" s="191"/>
      <c r="M364" s="323">
        <v>-103.0319296</v>
      </c>
      <c r="N364" s="180" t="s">
        <v>1408</v>
      </c>
      <c r="O364" s="191"/>
      <c r="P364" s="323">
        <v>83.770265423096021</v>
      </c>
      <c r="Q364" s="180" t="s">
        <v>1126</v>
      </c>
      <c r="R364" s="3"/>
      <c r="S364" s="323">
        <v>-10.580075867504192</v>
      </c>
      <c r="T364" s="180" t="s">
        <v>1126</v>
      </c>
      <c r="U364" s="100"/>
      <c r="V364" s="177">
        <v>10.1791</v>
      </c>
      <c r="W364" s="460" t="s">
        <v>1466</v>
      </c>
      <c r="X364" s="100"/>
      <c r="Y364" s="177">
        <v>6.2622857700000001</v>
      </c>
      <c r="Z364" s="460" t="s">
        <v>1126</v>
      </c>
      <c r="AA364" s="100"/>
      <c r="AB364" s="462">
        <v>0.20959148939746158</v>
      </c>
      <c r="AC364" s="177">
        <v>-4.0728711899999999</v>
      </c>
      <c r="AD364" s="460" t="s">
        <v>1126</v>
      </c>
      <c r="AE364" s="100"/>
      <c r="AF364" s="177">
        <v>-5.7399286120149249</v>
      </c>
      <c r="AG364" s="460" t="s">
        <v>1125</v>
      </c>
      <c r="AH364" s="100"/>
      <c r="AI364" s="15">
        <v>-3.2173176400000005</v>
      </c>
      <c r="AJ364" s="229">
        <v>0.29453397630832667</v>
      </c>
      <c r="AK364" s="320" t="s">
        <v>1126</v>
      </c>
      <c r="AL364" s="84"/>
      <c r="AM364" s="15">
        <v>4.5498983067983838</v>
      </c>
      <c r="AN364" s="320" t="s">
        <v>1126</v>
      </c>
      <c r="AO364" s="47"/>
      <c r="AP364" s="47"/>
    </row>
    <row r="365" spans="1:42">
      <c r="A365" s="3"/>
      <c r="B365" s="171"/>
      <c r="C365" s="157"/>
      <c r="D365" s="206"/>
      <c r="E365" s="206"/>
      <c r="F365" s="157"/>
      <c r="G365" s="70"/>
      <c r="H365" s="70"/>
      <c r="I365" s="157"/>
      <c r="J365" s="70"/>
      <c r="K365" s="70"/>
      <c r="L365" s="191"/>
      <c r="M365" s="323"/>
      <c r="N365" s="180"/>
      <c r="O365" s="191"/>
      <c r="P365" s="318"/>
      <c r="Q365" s="70"/>
      <c r="R365" s="3"/>
      <c r="S365" s="9"/>
      <c r="T365" s="4"/>
      <c r="U365" s="100"/>
      <c r="V365" s="177">
        <v>11.317927610294184</v>
      </c>
      <c r="W365" s="460" t="s">
        <v>1125</v>
      </c>
      <c r="X365" s="100"/>
      <c r="Y365" s="177">
        <v>7.25</v>
      </c>
      <c r="Z365" s="460" t="s">
        <v>1125</v>
      </c>
      <c r="AA365" s="100"/>
      <c r="AB365" s="225">
        <v>0.60999999999999943</v>
      </c>
      <c r="AC365" s="177">
        <v>-3.608914998841187</v>
      </c>
      <c r="AD365" s="460" t="s">
        <v>1125</v>
      </c>
      <c r="AE365" s="100"/>
      <c r="AF365" s="177">
        <v>-4.9155469999999992</v>
      </c>
      <c r="AG365" s="460" t="s">
        <v>1710</v>
      </c>
      <c r="AH365" s="100"/>
      <c r="AI365" s="15">
        <v>-5.5200000000000005</v>
      </c>
      <c r="AJ365" s="373">
        <v>1.4670774460126942E-3</v>
      </c>
      <c r="AK365" s="320" t="s">
        <v>1125</v>
      </c>
      <c r="AL365" s="84"/>
      <c r="AM365" s="17">
        <v>2.8760881661480457</v>
      </c>
      <c r="AN365" s="45" t="s">
        <v>2611</v>
      </c>
      <c r="AO365" s="47"/>
      <c r="AP365" s="47"/>
    </row>
    <row r="366" spans="1:42">
      <c r="A366" s="3"/>
      <c r="B366" s="171"/>
      <c r="C366" s="157"/>
      <c r="D366" s="206"/>
      <c r="E366" s="206"/>
      <c r="F366" s="157"/>
      <c r="G366" s="70"/>
      <c r="H366" s="70"/>
      <c r="I366" s="157"/>
      <c r="J366" s="70"/>
      <c r="K366" s="70"/>
      <c r="L366" s="191"/>
      <c r="M366" s="323"/>
      <c r="N366" s="180"/>
      <c r="O366" s="191"/>
      <c r="P366" s="318"/>
      <c r="Q366" s="70"/>
      <c r="R366" s="3"/>
      <c r="S366" s="9"/>
      <c r="T366" s="4"/>
      <c r="U366" s="100"/>
      <c r="V366" s="177">
        <v>11.185879999999999</v>
      </c>
      <c r="W366" s="460" t="s">
        <v>1705</v>
      </c>
      <c r="X366" s="100"/>
      <c r="Y366" s="177">
        <v>6.4815490000000002</v>
      </c>
      <c r="Z366" s="460" t="s">
        <v>1707</v>
      </c>
      <c r="AA366" s="100"/>
      <c r="AB366" s="461">
        <v>0.30099999999999955</v>
      </c>
      <c r="AC366" s="177">
        <v>-3.9156783382581106</v>
      </c>
      <c r="AD366" s="460" t="s">
        <v>1465</v>
      </c>
      <c r="AE366" s="100"/>
      <c r="AF366" s="177">
        <v>-3.0893755951107988</v>
      </c>
      <c r="AG366" s="460" t="s">
        <v>1465</v>
      </c>
      <c r="AH366" s="100"/>
      <c r="AI366" s="15">
        <v>-0.95218140377975957</v>
      </c>
      <c r="AJ366" s="124">
        <v>54.23399999999998</v>
      </c>
      <c r="AK366" s="320" t="s">
        <v>1467</v>
      </c>
      <c r="AL366" s="84"/>
      <c r="AM366" s="47"/>
      <c r="AN366" s="45"/>
      <c r="AO366" s="47"/>
      <c r="AP366" s="47"/>
    </row>
    <row r="367" spans="1:42">
      <c r="A367" s="3"/>
      <c r="B367" s="171"/>
      <c r="C367" s="157"/>
      <c r="D367" s="206"/>
      <c r="E367" s="206"/>
      <c r="F367" s="157"/>
      <c r="G367" s="70"/>
      <c r="H367" s="70"/>
      <c r="I367" s="157"/>
      <c r="J367" s="70"/>
      <c r="K367" s="70"/>
      <c r="L367" s="191"/>
      <c r="M367" s="323"/>
      <c r="N367" s="180"/>
      <c r="O367" s="191"/>
      <c r="P367" s="318"/>
      <c r="Q367" s="70"/>
      <c r="R367" s="3"/>
      <c r="S367" s="9"/>
      <c r="T367" s="4"/>
      <c r="U367" s="100"/>
      <c r="V367" s="177">
        <v>11.28895</v>
      </c>
      <c r="W367" s="460" t="s">
        <v>1706</v>
      </c>
      <c r="X367" s="8"/>
      <c r="Y367" s="177">
        <v>6.8617379999999999</v>
      </c>
      <c r="Z367" s="460" t="s">
        <v>1708</v>
      </c>
      <c r="AA367" s="47"/>
      <c r="AB367" s="463">
        <v>1.1030138174999986</v>
      </c>
      <c r="AC367" s="177">
        <v>-3.3516638809526365</v>
      </c>
      <c r="AD367" s="460" t="s">
        <v>1466</v>
      </c>
      <c r="AE367" s="13"/>
      <c r="AF367" s="177">
        <v>-4.5264039897260986</v>
      </c>
      <c r="AG367" s="460" t="s">
        <v>1466</v>
      </c>
      <c r="AH367" s="84"/>
      <c r="AI367" s="15">
        <v>-2.5218028246221258</v>
      </c>
      <c r="AJ367" s="372">
        <v>1.4610000000000001</v>
      </c>
      <c r="AK367" s="320" t="s">
        <v>1468</v>
      </c>
      <c r="AL367" s="84"/>
      <c r="AM367" s="47"/>
      <c r="AN367" s="45"/>
      <c r="AO367" s="47"/>
      <c r="AP367" s="47"/>
    </row>
    <row r="368" spans="1:42">
      <c r="A368" s="3"/>
      <c r="B368" s="171"/>
      <c r="C368" s="157"/>
      <c r="D368" s="206"/>
      <c r="E368" s="206"/>
      <c r="F368" s="157"/>
      <c r="G368" s="70"/>
      <c r="H368" s="70"/>
      <c r="I368" s="157"/>
      <c r="J368" s="70"/>
      <c r="K368" s="70"/>
      <c r="L368" s="191"/>
      <c r="M368" s="323"/>
      <c r="N368" s="180"/>
      <c r="O368" s="191"/>
      <c r="P368" s="318"/>
      <c r="Q368" s="70"/>
      <c r="R368" s="3"/>
      <c r="S368" s="9"/>
      <c r="T368" s="4"/>
      <c r="U368" s="100"/>
      <c r="V368" s="177">
        <v>10.686</v>
      </c>
      <c r="W368" s="460" t="s">
        <v>1465</v>
      </c>
      <c r="X368" s="8"/>
      <c r="Y368" s="177">
        <v>6.77</v>
      </c>
      <c r="Z368" s="460" t="s">
        <v>1465</v>
      </c>
      <c r="AA368" s="47"/>
      <c r="AB368" s="47"/>
      <c r="AC368" s="47"/>
      <c r="AD368" s="45"/>
      <c r="AE368" s="13"/>
      <c r="AF368" s="9"/>
      <c r="AG368" s="326"/>
      <c r="AH368" s="47"/>
      <c r="AI368" s="47"/>
      <c r="AJ368" s="47"/>
      <c r="AK368" s="45"/>
      <c r="AL368" s="84"/>
      <c r="AM368" s="47"/>
      <c r="AN368" s="45"/>
      <c r="AO368" s="47"/>
      <c r="AP368" s="47"/>
    </row>
    <row r="369" spans="1:42">
      <c r="A369" s="3"/>
      <c r="B369" s="171"/>
      <c r="C369" s="87"/>
      <c r="D369" s="234"/>
      <c r="E369" s="30"/>
      <c r="F369" s="29"/>
      <c r="G369" s="30"/>
      <c r="H369" s="30"/>
      <c r="I369" s="29"/>
      <c r="J369" s="30"/>
      <c r="K369" s="30"/>
      <c r="L369" s="3"/>
      <c r="M369" s="4"/>
      <c r="N369" s="4"/>
      <c r="O369" s="29"/>
      <c r="P369" s="30"/>
      <c r="Q369" s="30"/>
      <c r="R369" s="29"/>
      <c r="S369" s="172"/>
      <c r="T369" s="30"/>
      <c r="U369" s="87"/>
      <c r="V369" s="8"/>
      <c r="W369" s="45"/>
      <c r="X369" s="112"/>
      <c r="Y369" s="273"/>
      <c r="Z369" s="220"/>
      <c r="AA369" s="47"/>
      <c r="AB369" s="47"/>
      <c r="AC369" s="47"/>
      <c r="AD369" s="45"/>
      <c r="AF369" s="6"/>
      <c r="AG369" s="7"/>
      <c r="AH369" s="84"/>
      <c r="AI369" s="47"/>
      <c r="AJ369" s="47"/>
      <c r="AK369" s="45"/>
      <c r="AL369" s="84"/>
      <c r="AM369" s="47"/>
      <c r="AN369" s="45"/>
      <c r="AO369" s="47"/>
      <c r="AP369" s="47"/>
    </row>
    <row r="370" spans="1:42">
      <c r="A370" s="3" t="s">
        <v>112</v>
      </c>
      <c r="B370" s="4" t="s">
        <v>113</v>
      </c>
      <c r="C370" s="157">
        <v>107.62747934712002</v>
      </c>
      <c r="D370" s="30">
        <v>107.62747934712002</v>
      </c>
      <c r="E370" s="30" t="s">
        <v>1126</v>
      </c>
      <c r="F370" s="187">
        <v>15.645735560719942</v>
      </c>
      <c r="G370" s="318">
        <v>15.645735560719942</v>
      </c>
      <c r="H370" s="70" t="s">
        <v>1126</v>
      </c>
      <c r="I370" s="187"/>
      <c r="J370" s="318">
        <v>4.4621379019357761</v>
      </c>
      <c r="K370" s="70" t="s">
        <v>1126</v>
      </c>
      <c r="L370" s="191">
        <v>-103.16534144518424</v>
      </c>
      <c r="M370" s="276">
        <v>-103.16534144518424</v>
      </c>
      <c r="N370" s="13" t="s">
        <v>2792</v>
      </c>
      <c r="O370" s="187">
        <v>77.959482699999995</v>
      </c>
      <c r="P370" s="318">
        <v>77.959482699999995</v>
      </c>
      <c r="Q370" s="70" t="s">
        <v>2793</v>
      </c>
      <c r="R370" s="187">
        <v>-28.546148000000013</v>
      </c>
      <c r="S370" s="491">
        <v>-28.546148000000013</v>
      </c>
      <c r="T370" s="13" t="s">
        <v>2793</v>
      </c>
      <c r="U370" s="145">
        <v>11.540100000000001</v>
      </c>
      <c r="V370" s="15">
        <v>11.540100000000001</v>
      </c>
      <c r="W370" s="320" t="s">
        <v>2868</v>
      </c>
      <c r="X370" s="145">
        <v>7.97</v>
      </c>
      <c r="Y370" s="15">
        <v>7.97</v>
      </c>
      <c r="Z370" s="320" t="s">
        <v>2872</v>
      </c>
      <c r="AA370" s="145">
        <v>-3.7507921573657663</v>
      </c>
      <c r="AB370" s="371">
        <v>0.44000000000000011</v>
      </c>
      <c r="AC370" s="15">
        <v>-3.7507921573657663</v>
      </c>
      <c r="AD370" s="320" t="s">
        <v>2872</v>
      </c>
      <c r="AE370" s="145">
        <v>-4.8837969999999986</v>
      </c>
      <c r="AF370" s="15">
        <v>-4.8837969999999986</v>
      </c>
      <c r="AG370" s="320" t="s">
        <v>2873</v>
      </c>
      <c r="AH370" s="145">
        <v>-4.0227169000000007</v>
      </c>
      <c r="AI370" s="15">
        <v>-4.0227169000000007</v>
      </c>
      <c r="AJ370" s="229">
        <v>5.3591259759541286E-2</v>
      </c>
      <c r="AK370" s="320" t="s">
        <v>2792</v>
      </c>
      <c r="AL370" s="145">
        <v>2.6197388999999971</v>
      </c>
      <c r="AM370" s="15">
        <v>2.6197388999999971</v>
      </c>
      <c r="AN370" s="320" t="s">
        <v>2871</v>
      </c>
      <c r="AO370" s="47"/>
      <c r="AP370" s="47"/>
    </row>
    <row r="371" spans="1:42">
      <c r="A371" s="3"/>
      <c r="B371" s="171">
        <v>564.69100000000003</v>
      </c>
      <c r="C371" s="157">
        <v>12.161044146389784</v>
      </c>
      <c r="D371" s="206">
        <v>138.6996</v>
      </c>
      <c r="E371" s="206" t="s">
        <v>1125</v>
      </c>
      <c r="F371" s="157">
        <v>21.94752492986672</v>
      </c>
      <c r="G371" s="70"/>
      <c r="H371" s="70"/>
      <c r="I371" s="157"/>
      <c r="J371" s="70"/>
      <c r="K371" s="70"/>
      <c r="L371" s="191">
        <v>17.592373015281488</v>
      </c>
      <c r="M371" s="323">
        <v>-103.16534144518424</v>
      </c>
      <c r="N371" s="180" t="s">
        <v>1126</v>
      </c>
      <c r="O371" s="191">
        <v>14.614986262286299</v>
      </c>
      <c r="P371" s="323">
        <v>77.959482699999995</v>
      </c>
      <c r="Q371" s="180" t="s">
        <v>1407</v>
      </c>
      <c r="R371" s="191">
        <v>11.71000522746758</v>
      </c>
      <c r="S371" s="323">
        <v>-28.546148000000013</v>
      </c>
      <c r="T371" s="180" t="s">
        <v>1407</v>
      </c>
      <c r="U371" s="145">
        <v>0.3062050134</v>
      </c>
      <c r="V371" s="177">
        <v>11.389407121657326</v>
      </c>
      <c r="W371" s="460" t="s">
        <v>1126</v>
      </c>
      <c r="X371" s="145">
        <v>0.56369418999999998</v>
      </c>
      <c r="Y371" s="177">
        <v>7.2618299999999998</v>
      </c>
      <c r="Z371" s="460" t="s">
        <v>1466</v>
      </c>
      <c r="AA371" s="145">
        <v>0.43421045409744796</v>
      </c>
      <c r="AB371" s="461">
        <v>0.27102405190685097</v>
      </c>
      <c r="AC371" s="177">
        <v>-3.9612370000000001</v>
      </c>
      <c r="AD371" s="222" t="s">
        <v>1709</v>
      </c>
      <c r="AE371" s="145">
        <v>0.57338707058199978</v>
      </c>
      <c r="AF371" s="177">
        <v>-4.73716603</v>
      </c>
      <c r="AG371" s="365" t="s">
        <v>1126</v>
      </c>
      <c r="AH371" s="145">
        <v>0.39407339295780003</v>
      </c>
      <c r="AI371" s="15">
        <v>-5.1476517786106344</v>
      </c>
      <c r="AJ371" s="372">
        <v>1.7643837742743994E-2</v>
      </c>
      <c r="AK371" s="40" t="s">
        <v>1466</v>
      </c>
      <c r="AL371" s="145">
        <v>0.47346803113589947</v>
      </c>
      <c r="AM371" s="17">
        <v>2.6197388999999971</v>
      </c>
      <c r="AN371" s="45" t="s">
        <v>2610</v>
      </c>
      <c r="AO371" s="47"/>
      <c r="AP371" s="47"/>
    </row>
    <row r="372" spans="1:42">
      <c r="A372" s="3"/>
      <c r="C372" s="87"/>
      <c r="D372" s="30"/>
      <c r="E372" s="30"/>
      <c r="F372" s="83"/>
      <c r="G372" s="70"/>
      <c r="H372" s="70"/>
      <c r="I372" s="83"/>
      <c r="J372" s="70"/>
      <c r="K372" s="70"/>
      <c r="L372" s="3"/>
      <c r="M372" s="323">
        <v>-108.89014859999999</v>
      </c>
      <c r="N372" s="180" t="s">
        <v>1408</v>
      </c>
      <c r="O372" s="29"/>
      <c r="P372" s="323">
        <v>91.981743786400074</v>
      </c>
      <c r="Q372" s="180" t="s">
        <v>1126</v>
      </c>
      <c r="R372" s="3"/>
      <c r="S372" s="323">
        <v>-11.183597658784166</v>
      </c>
      <c r="T372" s="180" t="s">
        <v>1126</v>
      </c>
      <c r="U372" s="100"/>
      <c r="V372" s="177">
        <v>11.540100000000001</v>
      </c>
      <c r="W372" s="460" t="s">
        <v>1466</v>
      </c>
      <c r="X372" s="100"/>
      <c r="Y372" s="177">
        <v>7.0358729599999998</v>
      </c>
      <c r="Z372" s="460" t="s">
        <v>1126</v>
      </c>
      <c r="AA372" s="100"/>
      <c r="AB372" s="462">
        <v>0.17500048965459317</v>
      </c>
      <c r="AC372" s="177">
        <v>-4.1512055700000001</v>
      </c>
      <c r="AD372" s="460" t="s">
        <v>1126</v>
      </c>
      <c r="AE372" s="100"/>
      <c r="AF372" s="177">
        <v>-6.804100347590766</v>
      </c>
      <c r="AG372" s="460" t="s">
        <v>1125</v>
      </c>
      <c r="AH372" s="100"/>
      <c r="AI372" s="15">
        <v>-4.0227169000000007</v>
      </c>
      <c r="AJ372" s="229">
        <v>5.3591259759541286E-2</v>
      </c>
      <c r="AK372" s="320" t="s">
        <v>1126</v>
      </c>
      <c r="AL372" s="84"/>
      <c r="AM372" s="15">
        <v>4.2477799434614223</v>
      </c>
      <c r="AN372" s="320" t="s">
        <v>1126</v>
      </c>
      <c r="AO372" s="47"/>
      <c r="AP372" s="47"/>
    </row>
    <row r="373" spans="1:42">
      <c r="A373" s="3"/>
      <c r="B373" s="4"/>
      <c r="C373" s="87"/>
      <c r="D373" s="255"/>
      <c r="E373" s="30"/>
      <c r="F373" s="29"/>
      <c r="G373" s="30"/>
      <c r="H373" s="30"/>
      <c r="I373" s="29"/>
      <c r="J373" s="30"/>
      <c r="K373" s="30"/>
      <c r="L373" s="115"/>
      <c r="M373" s="268"/>
      <c r="N373" s="268"/>
      <c r="O373" s="29"/>
      <c r="P373" s="30"/>
      <c r="Q373" s="30"/>
      <c r="R373" s="3"/>
      <c r="S373" s="9"/>
      <c r="T373" s="4"/>
      <c r="U373" s="100"/>
      <c r="V373" s="177">
        <v>12.135083011380797</v>
      </c>
      <c r="W373" s="460" t="s">
        <v>1125</v>
      </c>
      <c r="X373" s="100"/>
      <c r="Y373" s="177">
        <v>7.97</v>
      </c>
      <c r="Z373" s="460" t="s">
        <v>1125</v>
      </c>
      <c r="AA373" s="100"/>
      <c r="AB373" s="225">
        <v>0.44000000000000011</v>
      </c>
      <c r="AC373" s="177">
        <v>-3.7507921573657663</v>
      </c>
      <c r="AD373" s="460" t="s">
        <v>1125</v>
      </c>
      <c r="AE373" s="100"/>
      <c r="AF373" s="177">
        <v>-4.8837969999999986</v>
      </c>
      <c r="AG373" s="460" t="s">
        <v>1710</v>
      </c>
      <c r="AH373" s="100"/>
      <c r="AI373" s="15">
        <v>-6.4500000000000011</v>
      </c>
      <c r="AJ373" s="373">
        <v>2.0035992757969618E-4</v>
      </c>
      <c r="AK373" s="320" t="s">
        <v>1125</v>
      </c>
      <c r="AL373" s="84"/>
      <c r="AM373" s="17">
        <v>2.9198581661480461</v>
      </c>
      <c r="AN373" s="45" t="s">
        <v>2611</v>
      </c>
      <c r="AO373" s="47"/>
      <c r="AP373" s="47"/>
    </row>
    <row r="374" spans="1:42">
      <c r="A374" s="3"/>
      <c r="B374" s="4" t="s">
        <v>20</v>
      </c>
      <c r="C374" s="87"/>
      <c r="D374" s="234"/>
      <c r="E374" s="255"/>
      <c r="F374" s="265"/>
      <c r="G374" s="30"/>
      <c r="H374" s="30"/>
      <c r="I374" s="29"/>
      <c r="J374" s="30"/>
      <c r="K374" s="30"/>
      <c r="L374" s="115"/>
      <c r="M374" s="30"/>
      <c r="N374" s="30"/>
      <c r="O374" s="29"/>
      <c r="P374" s="30"/>
      <c r="Q374" s="30"/>
      <c r="R374" s="3"/>
      <c r="S374" s="9"/>
      <c r="T374" s="4"/>
      <c r="U374" s="100"/>
      <c r="V374" s="177">
        <v>11.197899999999999</v>
      </c>
      <c r="W374" s="460" t="s">
        <v>1705</v>
      </c>
      <c r="X374" s="100"/>
      <c r="Y374" s="177">
        <v>7.2655989999999999</v>
      </c>
      <c r="Z374" s="460" t="s">
        <v>1707</v>
      </c>
      <c r="AA374" s="100"/>
      <c r="AB374" s="461">
        <v>0.11999999999999995</v>
      </c>
      <c r="AC374" s="177">
        <v>-4.3150635878043291</v>
      </c>
      <c r="AD374" s="460" t="s">
        <v>1465</v>
      </c>
      <c r="AE374" s="100"/>
      <c r="AF374" s="177">
        <v>-3.8416375079047502</v>
      </c>
      <c r="AG374" s="460" t="s">
        <v>1465</v>
      </c>
      <c r="AH374" s="100"/>
      <c r="AI374" s="15">
        <v>-1.7224270883561059</v>
      </c>
      <c r="AJ374" s="124">
        <v>10.699999999999996</v>
      </c>
      <c r="AK374" s="320" t="s">
        <v>1467</v>
      </c>
      <c r="AL374" s="84"/>
      <c r="AM374" s="47"/>
      <c r="AN374" s="45"/>
      <c r="AO374" s="47"/>
      <c r="AP374" s="47"/>
    </row>
    <row r="375" spans="1:42">
      <c r="A375" s="3"/>
      <c r="B375" s="4"/>
      <c r="C375" s="87"/>
      <c r="D375" s="234"/>
      <c r="E375" s="30"/>
      <c r="F375" s="29"/>
      <c r="G375" s="30"/>
      <c r="H375" s="30"/>
      <c r="I375" s="29"/>
      <c r="J375" s="30"/>
      <c r="K375" s="30"/>
      <c r="L375" s="115"/>
      <c r="M375" s="1"/>
      <c r="N375" s="1"/>
      <c r="O375" s="29"/>
      <c r="P375" s="30"/>
      <c r="Q375" s="30"/>
      <c r="R375" s="3"/>
      <c r="S375" s="9"/>
      <c r="T375" s="4"/>
      <c r="U375" s="100"/>
      <c r="V375" s="177">
        <v>11.4292</v>
      </c>
      <c r="W375" s="460" t="s">
        <v>1706</v>
      </c>
      <c r="X375" s="8"/>
      <c r="Y375" s="177">
        <v>7.5731379999999975</v>
      </c>
      <c r="Z375" s="460" t="s">
        <v>1708</v>
      </c>
      <c r="AA375" s="47"/>
      <c r="AB375" s="463">
        <v>1.3611899174999988</v>
      </c>
      <c r="AC375" s="177">
        <v>-3.2603261102885486</v>
      </c>
      <c r="AD375" s="460" t="s">
        <v>1466</v>
      </c>
      <c r="AE375" s="13"/>
      <c r="AF375" s="177">
        <v>-5.409910209854214</v>
      </c>
      <c r="AG375" s="460" t="s">
        <v>1466</v>
      </c>
      <c r="AH375" s="84"/>
      <c r="AI375" s="15">
        <v>-3.8563330697656006</v>
      </c>
      <c r="AJ375" s="372">
        <v>7.8609999999999944E-2</v>
      </c>
      <c r="AK375" s="320" t="s">
        <v>1468</v>
      </c>
      <c r="AL375" s="84"/>
      <c r="AM375" s="47"/>
      <c r="AN375" s="45"/>
      <c r="AO375" s="47"/>
      <c r="AP375" s="47"/>
    </row>
    <row r="376" spans="1:42">
      <c r="A376" s="3"/>
      <c r="B376" s="4"/>
      <c r="C376" s="87"/>
      <c r="D376" s="234"/>
      <c r="E376" s="30"/>
      <c r="F376" s="29"/>
      <c r="G376" s="30"/>
      <c r="H376" s="30"/>
      <c r="I376" s="29"/>
      <c r="J376" s="30"/>
      <c r="K376" s="30"/>
      <c r="L376" s="115"/>
      <c r="M376" s="1"/>
      <c r="N376" s="1"/>
      <c r="O376" s="29"/>
      <c r="P376" s="30"/>
      <c r="Q376" s="30"/>
      <c r="R376" s="3"/>
      <c r="S376" s="9"/>
      <c r="T376" s="4"/>
      <c r="U376" s="100"/>
      <c r="V376" s="177">
        <v>11.977</v>
      </c>
      <c r="W376" s="460" t="s">
        <v>1465</v>
      </c>
      <c r="X376" s="8"/>
      <c r="Y376" s="177">
        <v>7.66</v>
      </c>
      <c r="Z376" s="460" t="s">
        <v>1465</v>
      </c>
      <c r="AA376" s="47"/>
      <c r="AB376" s="47"/>
      <c r="AC376" s="47"/>
      <c r="AD376" s="45"/>
      <c r="AE376" s="13"/>
      <c r="AF376" s="9"/>
      <c r="AG376" s="326"/>
      <c r="AH376" s="47"/>
      <c r="AI376" s="47"/>
      <c r="AJ376" s="47"/>
      <c r="AK376" s="45"/>
      <c r="AL376" s="84"/>
      <c r="AM376" s="47"/>
      <c r="AN376" s="45"/>
      <c r="AO376" s="47"/>
      <c r="AP376" s="47"/>
    </row>
    <row r="377" spans="1:42">
      <c r="A377" s="91"/>
      <c r="B377" s="25"/>
      <c r="C377" s="87"/>
      <c r="D377" s="235"/>
      <c r="E377" s="94"/>
      <c r="F377" s="93"/>
      <c r="G377" s="94"/>
      <c r="H377" s="94"/>
      <c r="I377" s="93"/>
      <c r="J377" s="94"/>
      <c r="K377" s="94"/>
      <c r="L377" s="115"/>
      <c r="M377" s="94"/>
      <c r="N377" s="94"/>
      <c r="O377" s="93"/>
      <c r="P377" s="94"/>
      <c r="Q377" s="94"/>
      <c r="R377" s="93"/>
      <c r="S377" s="172"/>
      <c r="T377" s="94"/>
      <c r="U377" s="87"/>
      <c r="W377" s="45"/>
      <c r="X377" s="1"/>
      <c r="Y377" s="1"/>
      <c r="Z377" s="275"/>
      <c r="AA377" s="47"/>
      <c r="AB377" s="47"/>
      <c r="AC377" s="47"/>
      <c r="AD377" s="45"/>
      <c r="AF377" s="133"/>
      <c r="AG377" s="98"/>
      <c r="AH377" s="84"/>
      <c r="AI377" s="47"/>
      <c r="AJ377" s="47"/>
      <c r="AK377" s="220"/>
      <c r="AL377" s="219"/>
      <c r="AM377" s="47"/>
      <c r="AN377" s="45"/>
      <c r="AO377" s="47"/>
      <c r="AP377" s="47"/>
    </row>
    <row r="378" spans="1:42">
      <c r="A378" s="3" t="s">
        <v>115</v>
      </c>
      <c r="B378" s="4" t="s">
        <v>116</v>
      </c>
      <c r="C378" s="157">
        <v>110.46741185656001</v>
      </c>
      <c r="D378" s="30">
        <v>110.46741185656001</v>
      </c>
      <c r="E378" s="30" t="s">
        <v>1126</v>
      </c>
      <c r="F378" s="187">
        <v>15.517719239880037</v>
      </c>
      <c r="G378" s="318">
        <v>15.517719239880037</v>
      </c>
      <c r="H378" s="70" t="s">
        <v>1126</v>
      </c>
      <c r="I378" s="187"/>
      <c r="J378" s="318">
        <v>4.8293702345921474</v>
      </c>
      <c r="K378" s="70" t="s">
        <v>1126</v>
      </c>
      <c r="L378" s="191">
        <v>-105.63804162196786</v>
      </c>
      <c r="M378" s="276">
        <v>-105.63804162196786</v>
      </c>
      <c r="N378" s="13" t="s">
        <v>2792</v>
      </c>
      <c r="O378" s="187">
        <v>79.564132699999988</v>
      </c>
      <c r="P378" s="318">
        <v>79.564132699999988</v>
      </c>
      <c r="Q378" s="70" t="s">
        <v>2793</v>
      </c>
      <c r="R378" s="187">
        <v>-29.258548000000015</v>
      </c>
      <c r="S378" s="491">
        <v>-29.258548000000015</v>
      </c>
      <c r="T378" s="13" t="s">
        <v>2793</v>
      </c>
      <c r="U378" s="145">
        <v>11.547800000000001</v>
      </c>
      <c r="V378" s="15">
        <v>11.547800000000001</v>
      </c>
      <c r="W378" s="320" t="s">
        <v>2868</v>
      </c>
      <c r="X378" s="145">
        <v>7.95</v>
      </c>
      <c r="Y378" s="15">
        <v>7.95</v>
      </c>
      <c r="Z378" s="320" t="s">
        <v>2872</v>
      </c>
      <c r="AA378" s="145">
        <v>-3.8501767895016785</v>
      </c>
      <c r="AB378" s="371">
        <v>0.34999999999999981</v>
      </c>
      <c r="AC378" s="15">
        <v>-3.8501767895016785</v>
      </c>
      <c r="AD378" s="320" t="s">
        <v>2872</v>
      </c>
      <c r="AE378" s="145">
        <v>-4.9300969999999991</v>
      </c>
      <c r="AF378" s="15">
        <v>-4.9300969999999991</v>
      </c>
      <c r="AG378" s="320" t="s">
        <v>2873</v>
      </c>
      <c r="AH378" s="145">
        <v>-4.184635290000001</v>
      </c>
      <c r="AI378" s="15">
        <v>-4.184635290000001</v>
      </c>
      <c r="AJ378" s="229">
        <v>3.6912679853901453E-2</v>
      </c>
      <c r="AK378" s="320" t="s">
        <v>2792</v>
      </c>
      <c r="AL378" s="145">
        <v>2.5778088999999973</v>
      </c>
      <c r="AM378" s="15">
        <v>2.5778088999999973</v>
      </c>
      <c r="AN378" s="320" t="s">
        <v>2871</v>
      </c>
      <c r="AO378" s="47"/>
      <c r="AP378" s="47"/>
    </row>
    <row r="379" spans="1:42">
      <c r="A379" s="3"/>
      <c r="B379" s="171">
        <v>564.69100000000003</v>
      </c>
      <c r="C379" s="157">
        <v>12.481933800496428</v>
      </c>
      <c r="D379" s="206">
        <v>139.53640000000001</v>
      </c>
      <c r="E379" s="206" t="s">
        <v>1125</v>
      </c>
      <c r="F379" s="157">
        <v>21.767946195318917</v>
      </c>
      <c r="G379" s="70"/>
      <c r="H379" s="70"/>
      <c r="I379" s="157"/>
      <c r="J379" s="70"/>
      <c r="K379" s="70"/>
      <c r="L379" s="191">
        <v>18.014032685627694</v>
      </c>
      <c r="M379" s="323">
        <v>-105.63804162196786</v>
      </c>
      <c r="N379" s="180" t="s">
        <v>1126</v>
      </c>
      <c r="O379" s="191">
        <v>14.915808393136297</v>
      </c>
      <c r="P379" s="323">
        <v>79.564132699999988</v>
      </c>
      <c r="Q379" s="180" t="s">
        <v>1407</v>
      </c>
      <c r="R379" s="191">
        <v>12.002241073930925</v>
      </c>
      <c r="S379" s="323">
        <v>-29.258548000000015</v>
      </c>
      <c r="T379" s="180" t="s">
        <v>1407</v>
      </c>
      <c r="U379" s="145">
        <v>0.30640932519999997</v>
      </c>
      <c r="V379" s="177">
        <v>11.725208294153143</v>
      </c>
      <c r="W379" s="460" t="s">
        <v>1126</v>
      </c>
      <c r="X379" s="145">
        <v>0.56227965000000002</v>
      </c>
      <c r="Y379" s="177">
        <v>7.3551799999999998</v>
      </c>
      <c r="Z379" s="460" t="s">
        <v>1466</v>
      </c>
      <c r="AA379" s="145">
        <v>0.44571571603666182</v>
      </c>
      <c r="AB379" s="461">
        <v>0.17278571475053181</v>
      </c>
      <c r="AC379" s="177">
        <v>-4.1567369999999997</v>
      </c>
      <c r="AD379" s="222" t="s">
        <v>1709</v>
      </c>
      <c r="AE379" s="145">
        <v>0.57882296838199987</v>
      </c>
      <c r="AF379" s="177">
        <v>-5.1111189500000016</v>
      </c>
      <c r="AG379" s="365" t="s">
        <v>1126</v>
      </c>
      <c r="AH379" s="145">
        <v>0.40993524227898009</v>
      </c>
      <c r="AI379" s="15">
        <v>-5.154317297000472</v>
      </c>
      <c r="AJ379" s="372">
        <v>1.7375108964112974E-2</v>
      </c>
      <c r="AK379" s="40" t="s">
        <v>1466</v>
      </c>
      <c r="AL379" s="145">
        <v>0.46588998030589951</v>
      </c>
      <c r="AM379" s="17">
        <v>2.5778088999999973</v>
      </c>
      <c r="AN379" s="45" t="s">
        <v>2610</v>
      </c>
      <c r="AO379" s="47"/>
      <c r="AP379" s="47"/>
    </row>
    <row r="380" spans="1:42">
      <c r="A380" s="3"/>
      <c r="B380" s="171"/>
      <c r="C380" s="87"/>
      <c r="D380" s="30"/>
      <c r="E380" s="30"/>
      <c r="F380" s="83"/>
      <c r="G380" s="70"/>
      <c r="H380" s="70"/>
      <c r="I380" s="83"/>
      <c r="J380" s="70"/>
      <c r="K380" s="70"/>
      <c r="L380" s="3"/>
      <c r="M380" s="323">
        <v>-111.2070186</v>
      </c>
      <c r="N380" s="180" t="s">
        <v>1408</v>
      </c>
      <c r="O380" s="29"/>
      <c r="P380" s="323">
        <v>94.949692616679968</v>
      </c>
      <c r="Q380" s="180" t="s">
        <v>1126</v>
      </c>
      <c r="R380" s="3"/>
      <c r="S380" s="323">
        <v>-10.68834900528789</v>
      </c>
      <c r="T380" s="180" t="s">
        <v>1126</v>
      </c>
      <c r="U380" s="100"/>
      <c r="V380" s="177">
        <v>11.547800000000001</v>
      </c>
      <c r="W380" s="460" t="s">
        <v>1466</v>
      </c>
      <c r="X380" s="100"/>
      <c r="Y380" s="177">
        <v>7.1516160099999997</v>
      </c>
      <c r="Z380" s="460" t="s">
        <v>1126</v>
      </c>
      <c r="AA380" s="100"/>
      <c r="AB380" s="462">
        <v>0.10740009458852401</v>
      </c>
      <c r="AC380" s="177">
        <v>-4.3632401700000001</v>
      </c>
      <c r="AD380" s="460" t="s">
        <v>1126</v>
      </c>
      <c r="AE380" s="100"/>
      <c r="AF380" s="177">
        <v>-6.8696662315049934</v>
      </c>
      <c r="AG380" s="460" t="s">
        <v>1125</v>
      </c>
      <c r="AH380" s="100"/>
      <c r="AI380" s="15">
        <v>-4.184635290000001</v>
      </c>
      <c r="AJ380" s="229">
        <v>3.6912679853901453E-2</v>
      </c>
      <c r="AK380" s="320" t="s">
        <v>1126</v>
      </c>
      <c r="AL380" s="84"/>
      <c r="AM380" s="15">
        <v>4.2805995352674486</v>
      </c>
      <c r="AN380" s="320" t="s">
        <v>1126</v>
      </c>
      <c r="AO380" s="47"/>
      <c r="AP380" s="47"/>
    </row>
    <row r="381" spans="1:42">
      <c r="A381" s="3"/>
      <c r="B381" s="171"/>
      <c r="C381" s="87"/>
      <c r="D381" s="30"/>
      <c r="E381" s="30"/>
      <c r="F381" s="83"/>
      <c r="G381" s="70"/>
      <c r="H381" s="70"/>
      <c r="I381" s="83"/>
      <c r="J381" s="70"/>
      <c r="K381" s="70"/>
      <c r="L381" s="115"/>
      <c r="M381" s="70"/>
      <c r="N381" s="70"/>
      <c r="O381" s="29"/>
      <c r="P381" s="30"/>
      <c r="Q381" s="30"/>
      <c r="R381" s="3"/>
      <c r="S381" s="9"/>
      <c r="T381" s="4"/>
      <c r="U381" s="100"/>
      <c r="V381" s="177">
        <v>12.22307563014231</v>
      </c>
      <c r="W381" s="460" t="s">
        <v>1125</v>
      </c>
      <c r="X381" s="100"/>
      <c r="Y381" s="177">
        <v>7.95</v>
      </c>
      <c r="Z381" s="460" t="s">
        <v>1125</v>
      </c>
      <c r="AA381" s="100"/>
      <c r="AB381" s="225">
        <v>0.34999999999999981</v>
      </c>
      <c r="AC381" s="177">
        <v>-3.8501767895016785</v>
      </c>
      <c r="AD381" s="460" t="s">
        <v>1125</v>
      </c>
      <c r="AE381" s="100"/>
      <c r="AF381" s="177">
        <v>-4.9300969999999991</v>
      </c>
      <c r="AG381" s="460" t="s">
        <v>1710</v>
      </c>
      <c r="AH381" s="100"/>
      <c r="AI381" s="15">
        <v>-6.410000000000001</v>
      </c>
      <c r="AJ381" s="373">
        <v>2.1969029197196433E-4</v>
      </c>
      <c r="AK381" s="320" t="s">
        <v>1125</v>
      </c>
      <c r="AL381" s="84"/>
      <c r="AM381" s="17">
        <v>3.1332581661480461</v>
      </c>
      <c r="AN381" s="45" t="s">
        <v>2611</v>
      </c>
      <c r="AO381" s="47"/>
      <c r="AP381" s="47"/>
    </row>
    <row r="382" spans="1:42">
      <c r="A382" s="3"/>
      <c r="B382" s="171"/>
      <c r="C382" s="87"/>
      <c r="D382" s="30"/>
      <c r="E382" s="30"/>
      <c r="F382" s="83"/>
      <c r="G382" s="70"/>
      <c r="H382" s="70"/>
      <c r="I382" s="83"/>
      <c r="J382" s="70"/>
      <c r="K382" s="70"/>
      <c r="L382" s="115"/>
      <c r="M382" s="70"/>
      <c r="N382" s="70"/>
      <c r="O382" s="29"/>
      <c r="P382" s="30"/>
      <c r="Q382" s="30"/>
      <c r="R382" s="3"/>
      <c r="S382" s="9"/>
      <c r="T382" s="4"/>
      <c r="U382" s="100"/>
      <c r="V382" s="177">
        <v>11.457599999999999</v>
      </c>
      <c r="W382" s="460" t="s">
        <v>1705</v>
      </c>
      <c r="X382" s="100"/>
      <c r="Y382" s="177">
        <v>7.1190990000000003</v>
      </c>
      <c r="Z382" s="460" t="s">
        <v>1707</v>
      </c>
      <c r="AA382" s="100"/>
      <c r="AB382" s="461">
        <v>0.11999999999999995</v>
      </c>
      <c r="AC382" s="177">
        <v>-4.3150635878043291</v>
      </c>
      <c r="AD382" s="460" t="s">
        <v>1465</v>
      </c>
      <c r="AE382" s="100"/>
      <c r="AF382" s="177">
        <v>-3.9281179926938745</v>
      </c>
      <c r="AG382" s="460" t="s">
        <v>1465</v>
      </c>
      <c r="AH382" s="100"/>
      <c r="AI382" s="15">
        <v>-1.7224270883561059</v>
      </c>
      <c r="AJ382" s="124">
        <v>10.699999999999996</v>
      </c>
      <c r="AK382" s="320" t="s">
        <v>1467</v>
      </c>
      <c r="AL382" s="84"/>
      <c r="AM382" s="47"/>
      <c r="AN382" s="45"/>
      <c r="AO382" s="47"/>
      <c r="AP382" s="47"/>
    </row>
    <row r="383" spans="1:42">
      <c r="A383" s="3"/>
      <c r="B383" s="171"/>
      <c r="C383" s="87"/>
      <c r="D383" s="30"/>
      <c r="E383" s="30"/>
      <c r="F383" s="83"/>
      <c r="G383" s="70"/>
      <c r="H383" s="70"/>
      <c r="I383" s="83"/>
      <c r="J383" s="70"/>
      <c r="K383" s="70"/>
      <c r="L383" s="115"/>
      <c r="M383" s="70"/>
      <c r="N383" s="70"/>
      <c r="O383" s="29"/>
      <c r="P383" s="30"/>
      <c r="Q383" s="30"/>
      <c r="R383" s="3"/>
      <c r="S383" s="9"/>
      <c r="T383" s="4"/>
      <c r="U383" s="100"/>
      <c r="V383" s="177">
        <v>11.6883</v>
      </c>
      <c r="W383" s="460" t="s">
        <v>1706</v>
      </c>
      <c r="X383" s="8"/>
      <c r="Y383" s="177">
        <v>7.4049379999999978</v>
      </c>
      <c r="Z383" s="460" t="s">
        <v>1708</v>
      </c>
      <c r="AA383" s="47"/>
      <c r="AB383" s="463">
        <v>1.1026997099999987</v>
      </c>
      <c r="AC383" s="177">
        <v>-3.3517875734931191</v>
      </c>
      <c r="AD383" s="460" t="s">
        <v>1466</v>
      </c>
      <c r="AE383" s="13"/>
      <c r="AF383" s="177">
        <v>-5.353775691099945</v>
      </c>
      <c r="AG383" s="460" t="s">
        <v>1466</v>
      </c>
      <c r="AH383" s="84"/>
      <c r="AI383" s="15">
        <v>-3.1563146442157413</v>
      </c>
      <c r="AJ383" s="372">
        <v>0.39399999999999996</v>
      </c>
      <c r="AK383" s="320" t="s">
        <v>1468</v>
      </c>
      <c r="AL383" s="84"/>
      <c r="AM383" s="47"/>
      <c r="AN383" s="45"/>
      <c r="AO383" s="47"/>
      <c r="AP383" s="47"/>
    </row>
    <row r="384" spans="1:42">
      <c r="A384" s="3"/>
      <c r="B384" s="171"/>
      <c r="C384" s="87"/>
      <c r="D384" s="30"/>
      <c r="E384" s="30"/>
      <c r="F384" s="83"/>
      <c r="G384" s="70"/>
      <c r="H384" s="70"/>
      <c r="I384" s="83"/>
      <c r="J384" s="70"/>
      <c r="K384" s="70"/>
      <c r="L384" s="115"/>
      <c r="M384" s="70"/>
      <c r="N384" s="70"/>
      <c r="O384" s="29"/>
      <c r="P384" s="30"/>
      <c r="Q384" s="30"/>
      <c r="R384" s="3"/>
      <c r="S384" s="9"/>
      <c r="T384" s="4"/>
      <c r="U384" s="100"/>
      <c r="V384" s="177">
        <v>11.157</v>
      </c>
      <c r="W384" s="460" t="s">
        <v>1465</v>
      </c>
      <c r="X384" s="8"/>
      <c r="Y384" s="177">
        <v>7.66</v>
      </c>
      <c r="Z384" s="460" t="s">
        <v>1465</v>
      </c>
      <c r="AA384" s="47"/>
      <c r="AB384" s="47"/>
      <c r="AC384" s="47"/>
      <c r="AD384" s="45"/>
      <c r="AE384" s="13"/>
      <c r="AF384" s="9"/>
      <c r="AG384" s="326"/>
      <c r="AH384" s="47"/>
      <c r="AI384" s="47"/>
      <c r="AJ384" s="47"/>
      <c r="AK384" s="45"/>
      <c r="AL384" s="84"/>
      <c r="AM384" s="47"/>
      <c r="AN384" s="45"/>
      <c r="AO384" s="47"/>
      <c r="AP384" s="47"/>
    </row>
    <row r="385" spans="1:42">
      <c r="A385" s="504" t="s">
        <v>117</v>
      </c>
      <c r="B385" s="504"/>
      <c r="C385" s="504"/>
      <c r="D385" s="504"/>
      <c r="E385" s="504"/>
      <c r="F385" s="504"/>
      <c r="G385" s="504"/>
      <c r="H385" s="504"/>
      <c r="I385" s="504"/>
      <c r="J385" s="504"/>
      <c r="K385" s="504"/>
      <c r="L385" s="504"/>
      <c r="M385" s="504"/>
      <c r="N385" s="504"/>
      <c r="O385" s="504"/>
      <c r="P385" s="504"/>
      <c r="Q385" s="504"/>
      <c r="R385" s="504"/>
      <c r="S385" s="504"/>
      <c r="T385" s="504"/>
      <c r="U385" s="504"/>
      <c r="V385" s="504"/>
      <c r="W385" s="504"/>
      <c r="X385" s="504"/>
      <c r="Y385" s="504"/>
      <c r="Z385" s="504"/>
      <c r="AA385" s="504"/>
      <c r="AB385" s="504"/>
      <c r="AC385" s="504"/>
      <c r="AD385" s="504"/>
      <c r="AE385" s="504"/>
      <c r="AF385" s="504"/>
      <c r="AG385" s="504"/>
      <c r="AH385" s="504"/>
      <c r="AI385" s="504"/>
      <c r="AJ385" s="504"/>
      <c r="AK385" s="504"/>
      <c r="AL385" s="504"/>
      <c r="AM385" s="504"/>
      <c r="AN385" s="504"/>
      <c r="AO385" s="4"/>
      <c r="AP385" s="4"/>
    </row>
    <row r="386" spans="1:42">
      <c r="A386" s="20" t="s">
        <v>118</v>
      </c>
      <c r="B386" s="21" t="s">
        <v>119</v>
      </c>
      <c r="C386" s="157">
        <v>72.207279828880004</v>
      </c>
      <c r="D386" s="30">
        <v>72.207279828880004</v>
      </c>
      <c r="E386" s="30" t="s">
        <v>1126</v>
      </c>
      <c r="F386" s="187">
        <v>14.152538109616003</v>
      </c>
      <c r="G386" s="318">
        <v>14.152538109616003</v>
      </c>
      <c r="H386" s="70" t="s">
        <v>1126</v>
      </c>
      <c r="I386" s="187"/>
      <c r="J386" s="318">
        <v>3.431115592671901</v>
      </c>
      <c r="K386" s="70" t="s">
        <v>1126</v>
      </c>
      <c r="L386" s="191">
        <v>-68.776164236208103</v>
      </c>
      <c r="M386" s="276">
        <v>-68.776164236208103</v>
      </c>
      <c r="N386" s="13" t="s">
        <v>2792</v>
      </c>
      <c r="O386" s="187">
        <v>51.928700200000002</v>
      </c>
      <c r="P386" s="318">
        <v>51.928700200000002</v>
      </c>
      <c r="Q386" s="70" t="s">
        <v>2793</v>
      </c>
      <c r="R386" s="187">
        <v>-13.497807999999997</v>
      </c>
      <c r="S386" s="491">
        <v>-13.497807999999997</v>
      </c>
      <c r="T386" s="13" t="s">
        <v>2793</v>
      </c>
      <c r="U386" s="145">
        <v>7.4760481374496131</v>
      </c>
      <c r="V386" s="15">
        <v>7.4760481374496131</v>
      </c>
      <c r="W386" s="320" t="s">
        <v>2792</v>
      </c>
      <c r="X386" s="145">
        <v>5.5865600000000004</v>
      </c>
      <c r="Y386" s="15">
        <v>5.5865600000000004</v>
      </c>
      <c r="Z386" s="320" t="s">
        <v>2868</v>
      </c>
      <c r="AA386" s="145">
        <v>-2.4051255499999997</v>
      </c>
      <c r="AB386" s="371">
        <v>9.7525746633951478</v>
      </c>
      <c r="AC386" s="15">
        <v>-2.4051255499999997</v>
      </c>
      <c r="AD386" s="320" t="s">
        <v>2792</v>
      </c>
      <c r="AE386" s="145">
        <v>-1.2095669058744722</v>
      </c>
      <c r="AF386" s="15">
        <v>-1.2095669058744722</v>
      </c>
      <c r="AG386" s="320" t="s">
        <v>2868</v>
      </c>
      <c r="AH386" s="145">
        <v>-3.0960737161166447</v>
      </c>
      <c r="AI386" s="15">
        <v>-1.6869137400000001</v>
      </c>
      <c r="AJ386" s="229">
        <v>5.2957512659929602</v>
      </c>
      <c r="AK386" s="320" t="s">
        <v>2792</v>
      </c>
      <c r="AL386" s="145">
        <v>2.9278073999999989</v>
      </c>
      <c r="AM386" s="15">
        <v>2.9278073999999989</v>
      </c>
      <c r="AN386" s="320" t="s">
        <v>2871</v>
      </c>
      <c r="AO386" s="47"/>
      <c r="AP386" s="47"/>
    </row>
    <row r="387" spans="1:42">
      <c r="A387" s="20"/>
      <c r="B387" s="171">
        <v>257.53800000000001</v>
      </c>
      <c r="C387" s="157">
        <v>4.8638101619935288</v>
      </c>
      <c r="D387" s="206">
        <v>91.880640000000014</v>
      </c>
      <c r="E387" s="206" t="s">
        <v>1125</v>
      </c>
      <c r="F387" s="157">
        <v>8.6593153575972082</v>
      </c>
      <c r="G387" s="70"/>
      <c r="H387" s="70"/>
      <c r="I387" s="157"/>
      <c r="J387" s="70"/>
      <c r="K387" s="70"/>
      <c r="L387" s="191">
        <v>6.2746557917619734</v>
      </c>
      <c r="M387" s="323">
        <v>-68.776164236208103</v>
      </c>
      <c r="N387" s="180" t="s">
        <v>1126</v>
      </c>
      <c r="O387" s="191">
        <v>15.522059705482199</v>
      </c>
      <c r="P387" s="323">
        <v>51.928700200000002</v>
      </c>
      <c r="Q387" s="180" t="s">
        <v>1407</v>
      </c>
      <c r="R387" s="191">
        <v>5.5369783075234391</v>
      </c>
      <c r="S387" s="323">
        <v>-13.497807999999997</v>
      </c>
      <c r="T387" s="180" t="s">
        <v>1407</v>
      </c>
      <c r="U387" s="145">
        <v>0.20663049447096984</v>
      </c>
      <c r="V387" s="177">
        <v>7.4760481374496131</v>
      </c>
      <c r="W387" s="460" t="s">
        <v>1126</v>
      </c>
      <c r="X387" s="145">
        <v>0.39512062912000001</v>
      </c>
      <c r="Y387" s="177">
        <v>5.5865600000000004</v>
      </c>
      <c r="Z387" s="460" t="s">
        <v>1466</v>
      </c>
      <c r="AA387" s="145">
        <v>0.53496005045874995</v>
      </c>
      <c r="AB387" s="461">
        <v>7.461099536828546</v>
      </c>
      <c r="AC387" s="177">
        <v>-2.521442</v>
      </c>
      <c r="AD387" s="222" t="s">
        <v>1709</v>
      </c>
      <c r="AE387" s="145">
        <v>0.18791105709522274</v>
      </c>
      <c r="AF387" s="177">
        <v>-0.65530970000000044</v>
      </c>
      <c r="AG387" s="365" t="s">
        <v>1126</v>
      </c>
      <c r="AH387" s="145">
        <v>0.67597815873461153</v>
      </c>
      <c r="AI387" s="177">
        <v>-3.0960737161166447</v>
      </c>
      <c r="AJ387" s="464">
        <v>1.9868776190521991</v>
      </c>
      <c r="AK387" s="362" t="s">
        <v>1466</v>
      </c>
      <c r="AL387" s="145">
        <v>0.52914555920939976</v>
      </c>
      <c r="AM387" s="154">
        <v>2.9278073999999989</v>
      </c>
      <c r="AN387" s="155" t="s">
        <v>2610</v>
      </c>
      <c r="AO387" s="47"/>
      <c r="AP387" s="47"/>
    </row>
    <row r="388" spans="1:42">
      <c r="A388" s="20"/>
      <c r="B388" s="171"/>
      <c r="C388" s="87"/>
      <c r="D388" s="21"/>
      <c r="E388" s="21"/>
      <c r="F388" s="20"/>
      <c r="G388" s="21"/>
      <c r="H388" s="21"/>
      <c r="I388" s="20"/>
      <c r="J388" s="21"/>
      <c r="K388" s="21"/>
      <c r="L388" s="3"/>
      <c r="M388" s="323">
        <v>-67.811459600000006</v>
      </c>
      <c r="N388" s="180" t="s">
        <v>1408</v>
      </c>
      <c r="O388" s="20"/>
      <c r="P388" s="323">
        <v>58.054741719264001</v>
      </c>
      <c r="Q388" s="180" t="s">
        <v>1126</v>
      </c>
      <c r="R388" s="3"/>
      <c r="S388" s="323">
        <v>-10.721422516944102</v>
      </c>
      <c r="T388" s="180" t="s">
        <v>1126</v>
      </c>
      <c r="U388" s="100"/>
      <c r="V388" s="177">
        <v>7.9268799999999997</v>
      </c>
      <c r="W388" s="460" t="s">
        <v>1466</v>
      </c>
      <c r="X388" s="100"/>
      <c r="Y388" s="177">
        <v>4.9618624000000002</v>
      </c>
      <c r="Z388" s="460" t="s">
        <v>1126</v>
      </c>
      <c r="AA388" s="100"/>
      <c r="AB388" s="462">
        <v>9.7525746633951478</v>
      </c>
      <c r="AC388" s="177">
        <v>-2.4051255499999997</v>
      </c>
      <c r="AD388" s="460" t="s">
        <v>1126</v>
      </c>
      <c r="AE388" s="100"/>
      <c r="AF388" s="177">
        <v>-1.9065783148377649</v>
      </c>
      <c r="AG388" s="460" t="s">
        <v>1125</v>
      </c>
      <c r="AH388" s="100"/>
      <c r="AI388" s="177">
        <v>-1.6869137400000001</v>
      </c>
      <c r="AJ388" s="465">
        <v>5.2957512659929602</v>
      </c>
      <c r="AK388" s="460" t="s">
        <v>1126</v>
      </c>
      <c r="AL388" s="84"/>
      <c r="AM388" s="177">
        <v>5.2109910829199082</v>
      </c>
      <c r="AN388" s="460" t="s">
        <v>1126</v>
      </c>
      <c r="AO388" s="47"/>
      <c r="AP388" s="47"/>
    </row>
    <row r="389" spans="1:42">
      <c r="A389" s="20"/>
      <c r="B389" s="171"/>
      <c r="C389" s="87"/>
      <c r="D389" s="21"/>
      <c r="E389" s="21"/>
      <c r="F389" s="20"/>
      <c r="G389" s="21"/>
      <c r="H389" s="21"/>
      <c r="I389" s="20"/>
      <c r="J389" s="21"/>
      <c r="K389" s="21"/>
      <c r="L389" s="3"/>
      <c r="M389" s="4"/>
      <c r="N389" s="4"/>
      <c r="O389" s="20"/>
      <c r="P389" s="21"/>
      <c r="Q389" s="21"/>
      <c r="R389" s="3"/>
      <c r="S389" s="9"/>
      <c r="T389" s="4"/>
      <c r="U389" s="100"/>
      <c r="V389" s="177">
        <v>8.296745395211266</v>
      </c>
      <c r="W389" s="460" t="s">
        <v>1125</v>
      </c>
      <c r="X389" s="100"/>
      <c r="Y389" s="177">
        <v>5.8</v>
      </c>
      <c r="Z389" s="460" t="s">
        <v>1125</v>
      </c>
      <c r="AA389" s="100"/>
      <c r="AB389" s="225">
        <v>18.659999999999986</v>
      </c>
      <c r="AC389" s="177">
        <v>-2.1233331944414728</v>
      </c>
      <c r="AD389" s="460" t="s">
        <v>1125</v>
      </c>
      <c r="AE389" s="100"/>
      <c r="AF389" s="177">
        <v>-1.9176019999999996</v>
      </c>
      <c r="AG389" s="460" t="s">
        <v>1710</v>
      </c>
      <c r="AH389" s="100"/>
      <c r="AI389" s="177">
        <v>-3.1800000000000006</v>
      </c>
      <c r="AJ389" s="466">
        <v>0.17015366921297986</v>
      </c>
      <c r="AK389" s="460" t="s">
        <v>1125</v>
      </c>
      <c r="AL389" s="84"/>
      <c r="AM389" s="154">
        <v>1.9074131661480456</v>
      </c>
      <c r="AN389" s="155" t="s">
        <v>2611</v>
      </c>
      <c r="AO389" s="47"/>
      <c r="AP389" s="47"/>
    </row>
    <row r="390" spans="1:42">
      <c r="A390" s="20"/>
      <c r="B390" s="171"/>
      <c r="C390" s="87"/>
      <c r="D390" s="21"/>
      <c r="E390" s="21"/>
      <c r="F390" s="20"/>
      <c r="G390" s="21"/>
      <c r="H390" s="21"/>
      <c r="I390" s="20"/>
      <c r="J390" s="21"/>
      <c r="K390" s="21"/>
      <c r="L390" s="3"/>
      <c r="M390" s="4"/>
      <c r="N390" s="4"/>
      <c r="O390" s="20"/>
      <c r="P390" s="21"/>
      <c r="Q390" s="21"/>
      <c r="R390" s="3"/>
      <c r="S390" s="9"/>
      <c r="T390" s="4"/>
      <c r="U390" s="100"/>
      <c r="V390" s="177">
        <v>7.2192599999999993</v>
      </c>
      <c r="W390" s="460" t="s">
        <v>1705</v>
      </c>
      <c r="X390" s="100"/>
      <c r="Y390" s="177">
        <v>5.4917339999999992</v>
      </c>
      <c r="Z390" s="460" t="s">
        <v>1707</v>
      </c>
      <c r="AA390" s="100"/>
      <c r="AB390" s="461">
        <v>17.099999999999994</v>
      </c>
      <c r="AC390" s="177">
        <v>-2.1612487234598001</v>
      </c>
      <c r="AD390" s="460" t="s">
        <v>1465</v>
      </c>
      <c r="AE390" s="100"/>
      <c r="AF390" s="177">
        <v>-1.5346171485515816</v>
      </c>
      <c r="AG390" s="460" t="s">
        <v>1465</v>
      </c>
      <c r="AH390" s="100"/>
      <c r="AI390" s="177">
        <v>-0.26499256211762134</v>
      </c>
      <c r="AJ390" s="467">
        <v>139.91</v>
      </c>
      <c r="AK390" s="460" t="s">
        <v>1467</v>
      </c>
      <c r="AL390" s="84"/>
      <c r="AM390" s="1"/>
      <c r="AN390" s="1"/>
      <c r="AO390" s="47"/>
      <c r="AP390" s="47"/>
    </row>
    <row r="391" spans="1:42">
      <c r="A391" s="20"/>
      <c r="B391" s="171"/>
      <c r="C391" s="87"/>
      <c r="D391" s="21"/>
      <c r="E391" s="21"/>
      <c r="F391" s="20"/>
      <c r="G391" s="21"/>
      <c r="H391" s="21"/>
      <c r="I391" s="20"/>
      <c r="J391" s="21"/>
      <c r="K391" s="21"/>
      <c r="L391" s="3"/>
      <c r="M391" s="4"/>
      <c r="N391" s="4"/>
      <c r="O391" s="20"/>
      <c r="P391" s="21"/>
      <c r="Q391" s="21"/>
      <c r="R391" s="3"/>
      <c r="S391" s="9"/>
      <c r="T391" s="4"/>
      <c r="U391" s="100"/>
      <c r="V391" s="177">
        <v>7.3228</v>
      </c>
      <c r="W391" s="460" t="s">
        <v>1706</v>
      </c>
      <c r="X391" s="8"/>
      <c r="Y391" s="177">
        <v>5.8257079999999997</v>
      </c>
      <c r="Z391" s="460" t="s">
        <v>1708</v>
      </c>
      <c r="AA391" s="47"/>
      <c r="AB391" s="463">
        <v>20.976504150000004</v>
      </c>
      <c r="AC391" s="177">
        <v>-2.0725117215324556</v>
      </c>
      <c r="AD391" s="460" t="s">
        <v>1466</v>
      </c>
      <c r="AE391" s="13"/>
      <c r="AF391" s="177">
        <v>-1.2095669058744722</v>
      </c>
      <c r="AG391" s="460" t="s">
        <v>1466</v>
      </c>
      <c r="AH391" s="84"/>
      <c r="AI391" s="177">
        <v>0.24111475082490916</v>
      </c>
      <c r="AJ391" s="464">
        <v>448.7</v>
      </c>
      <c r="AK391" s="460" t="s">
        <v>1468</v>
      </c>
      <c r="AL391" s="84"/>
      <c r="AM391" s="47"/>
      <c r="AN391" s="45"/>
      <c r="AO391" s="47"/>
      <c r="AP391" s="47"/>
    </row>
    <row r="392" spans="1:42">
      <c r="A392" s="20"/>
      <c r="B392" s="171"/>
      <c r="C392" s="87"/>
      <c r="D392" s="21"/>
      <c r="E392" s="21"/>
      <c r="F392" s="20"/>
      <c r="G392" s="21"/>
      <c r="H392" s="21"/>
      <c r="I392" s="20"/>
      <c r="J392" s="21"/>
      <c r="K392" s="21"/>
      <c r="L392" s="3"/>
      <c r="M392" s="4"/>
      <c r="N392" s="4"/>
      <c r="O392" s="20"/>
      <c r="P392" s="21"/>
      <c r="Q392" s="21"/>
      <c r="R392" s="20"/>
      <c r="S392" s="21"/>
      <c r="T392" s="21"/>
      <c r="U392" s="87"/>
      <c r="V392" s="177">
        <v>7.5069999999999997</v>
      </c>
      <c r="W392" s="460" t="s">
        <v>1465</v>
      </c>
      <c r="X392" s="8"/>
      <c r="Y392" s="177">
        <v>5.69</v>
      </c>
      <c r="Z392" s="460" t="s">
        <v>1465</v>
      </c>
      <c r="AA392" s="47"/>
      <c r="AB392" s="47"/>
      <c r="AC392" s="47"/>
      <c r="AD392" s="45"/>
      <c r="AE392" s="5"/>
      <c r="AF392" s="6"/>
      <c r="AG392" s="7"/>
      <c r="AH392" s="84"/>
      <c r="AI392" s="47"/>
      <c r="AJ392" s="47"/>
      <c r="AK392" s="45"/>
      <c r="AL392" s="84"/>
      <c r="AM392" s="47"/>
      <c r="AN392" s="45"/>
      <c r="AO392" s="47"/>
      <c r="AP392" s="47"/>
    </row>
    <row r="393" spans="1:42">
      <c r="A393" s="20"/>
      <c r="B393" s="171"/>
      <c r="C393" s="87"/>
      <c r="D393" s="21"/>
      <c r="E393" s="21"/>
      <c r="F393" s="20"/>
      <c r="G393" s="21"/>
      <c r="H393" s="21"/>
      <c r="I393" s="20"/>
      <c r="J393" s="21"/>
      <c r="K393" s="21"/>
      <c r="L393" s="3"/>
      <c r="M393" s="4"/>
      <c r="N393" s="4"/>
      <c r="O393" s="20"/>
      <c r="P393" s="21"/>
      <c r="Q393" s="21"/>
      <c r="R393" s="20"/>
      <c r="S393" s="21"/>
      <c r="T393" s="21"/>
      <c r="U393" s="87"/>
      <c r="V393" s="8"/>
      <c r="W393" s="45"/>
      <c r="X393" s="8"/>
      <c r="Y393" s="8"/>
      <c r="Z393" s="45"/>
      <c r="AA393" s="47"/>
      <c r="AB393" s="47"/>
      <c r="AC393" s="47"/>
      <c r="AD393" s="45"/>
      <c r="AE393" s="5"/>
      <c r="AF393" s="6"/>
      <c r="AG393" s="6"/>
      <c r="AH393" s="84"/>
      <c r="AI393" s="47"/>
      <c r="AJ393" s="47"/>
      <c r="AK393" s="47"/>
      <c r="AL393" s="84"/>
      <c r="AM393" s="47"/>
      <c r="AN393" s="45"/>
      <c r="AO393" s="47"/>
      <c r="AP393" s="47"/>
    </row>
    <row r="394" spans="1:42">
      <c r="A394" s="20" t="s">
        <v>120</v>
      </c>
      <c r="B394" s="21" t="s">
        <v>121</v>
      </c>
      <c r="C394" s="157">
        <v>76.598929154800004</v>
      </c>
      <c r="D394" s="30">
        <v>76.598929154800004</v>
      </c>
      <c r="E394" s="30" t="s">
        <v>1126</v>
      </c>
      <c r="F394" s="187">
        <v>16.093591803544058</v>
      </c>
      <c r="G394" s="318">
        <v>16.093591803544058</v>
      </c>
      <c r="H394" s="70" t="s">
        <v>1126</v>
      </c>
      <c r="I394" s="187"/>
      <c r="J394" s="318">
        <v>3.2927695071998926</v>
      </c>
      <c r="K394" s="70" t="s">
        <v>1126</v>
      </c>
      <c r="L394" s="191">
        <v>-73.306159647600111</v>
      </c>
      <c r="M394" s="276">
        <v>-73.306159647600111</v>
      </c>
      <c r="N394" s="13" t="s">
        <v>2792</v>
      </c>
      <c r="O394" s="187">
        <v>51.739082200000006</v>
      </c>
      <c r="P394" s="318">
        <v>51.739082200000006</v>
      </c>
      <c r="Q394" s="70" t="s">
        <v>2793</v>
      </c>
      <c r="R394" s="187">
        <v>-18.204648000000006</v>
      </c>
      <c r="S394" s="491">
        <v>-18.204648000000006</v>
      </c>
      <c r="T394" s="13" t="s">
        <v>2793</v>
      </c>
      <c r="U394" s="145">
        <v>7.9337609800895894</v>
      </c>
      <c r="V394" s="15">
        <v>7.9337609800895894</v>
      </c>
      <c r="W394" s="320" t="s">
        <v>2792</v>
      </c>
      <c r="X394" s="145">
        <v>5.6198499999999996</v>
      </c>
      <c r="Y394" s="15">
        <v>5.6198499999999996</v>
      </c>
      <c r="Z394" s="320" t="s">
        <v>2868</v>
      </c>
      <c r="AA394" s="145">
        <v>-2.2077182799999999</v>
      </c>
      <c r="AB394" s="371">
        <v>15.36478734616337</v>
      </c>
      <c r="AC394" s="15">
        <v>-2.2077182799999999</v>
      </c>
      <c r="AD394" s="320" t="s">
        <v>2792</v>
      </c>
      <c r="AE394" s="145">
        <v>-1.3247927617960389</v>
      </c>
      <c r="AF394" s="15">
        <v>-1.3247927617960389</v>
      </c>
      <c r="AG394" s="320" t="s">
        <v>2868</v>
      </c>
      <c r="AH394" s="145">
        <v>-3.1701818125611223</v>
      </c>
      <c r="AI394" s="15">
        <v>-2.3521975800000012</v>
      </c>
      <c r="AJ394" s="229">
        <v>1.1445736373658972</v>
      </c>
      <c r="AK394" s="320" t="s">
        <v>2792</v>
      </c>
      <c r="AL394" s="145">
        <v>2.9341074000000003</v>
      </c>
      <c r="AM394" s="15">
        <v>2.9341074000000003</v>
      </c>
      <c r="AN394" s="320" t="s">
        <v>2871</v>
      </c>
      <c r="AO394" s="47"/>
      <c r="AP394" s="47"/>
    </row>
    <row r="395" spans="1:42">
      <c r="A395" s="20"/>
      <c r="B395" s="171">
        <v>257.53800000000001</v>
      </c>
      <c r="C395" s="157">
        <v>5.1596272689381735</v>
      </c>
      <c r="D395" s="206">
        <v>91.796960000000013</v>
      </c>
      <c r="E395" s="206" t="s">
        <v>1125</v>
      </c>
      <c r="F395" s="157">
        <v>9.8469607065492522</v>
      </c>
      <c r="G395" s="70"/>
      <c r="H395" s="70"/>
      <c r="I395" s="157"/>
      <c r="J395" s="70"/>
      <c r="K395" s="70"/>
      <c r="L395" s="191">
        <v>6.6879408631295005</v>
      </c>
      <c r="M395" s="323">
        <v>-73.306159647600111</v>
      </c>
      <c r="N395" s="180" t="s">
        <v>1126</v>
      </c>
      <c r="O395" s="191">
        <v>15.465380799484201</v>
      </c>
      <c r="P395" s="323">
        <v>51.739082200000006</v>
      </c>
      <c r="Q395" s="180" t="s">
        <v>1407</v>
      </c>
      <c r="R395" s="191">
        <v>7.4677859599203078</v>
      </c>
      <c r="S395" s="323">
        <v>-18.204648000000006</v>
      </c>
      <c r="T395" s="180" t="s">
        <v>1407</v>
      </c>
      <c r="U395" s="145">
        <v>0.21928121972869616</v>
      </c>
      <c r="V395" s="177">
        <v>7.9337609800895894</v>
      </c>
      <c r="W395" s="460" t="s">
        <v>1126</v>
      </c>
      <c r="X395" s="145">
        <v>0.39747513094999998</v>
      </c>
      <c r="Y395" s="177">
        <v>5.6198499999999996</v>
      </c>
      <c r="Z395" s="460" t="s">
        <v>1466</v>
      </c>
      <c r="AA395" s="145">
        <v>0.49105173842900002</v>
      </c>
      <c r="AB395" s="461">
        <v>9.4537221466668466</v>
      </c>
      <c r="AC395" s="177">
        <v>-2.4186419999999997</v>
      </c>
      <c r="AD395" s="222" t="s">
        <v>1709</v>
      </c>
      <c r="AE395" s="145">
        <v>0.20581185471606181</v>
      </c>
      <c r="AF395" s="177">
        <v>-1.1231661800000006</v>
      </c>
      <c r="AG395" s="365" t="s">
        <v>1126</v>
      </c>
      <c r="AH395" s="145">
        <v>0.69215847586372004</v>
      </c>
      <c r="AI395" s="177">
        <v>-3.1701818125611223</v>
      </c>
      <c r="AJ395" s="464">
        <v>1.6751859477800002</v>
      </c>
      <c r="AK395" s="362" t="s">
        <v>1466</v>
      </c>
      <c r="AL395" s="145">
        <v>0.53028416450940008</v>
      </c>
      <c r="AM395" s="154">
        <v>2.9341074000000003</v>
      </c>
      <c r="AN395" s="155" t="s">
        <v>2610</v>
      </c>
      <c r="AO395" s="47"/>
      <c r="AP395" s="47"/>
    </row>
    <row r="396" spans="1:42">
      <c r="A396" s="20"/>
      <c r="B396" s="171"/>
      <c r="C396" s="87"/>
      <c r="D396" s="21"/>
      <c r="E396" s="21"/>
      <c r="F396" s="20"/>
      <c r="G396" s="21"/>
      <c r="H396" s="21"/>
      <c r="I396" s="20"/>
      <c r="J396" s="21"/>
      <c r="K396" s="21"/>
      <c r="L396" s="3"/>
      <c r="M396" s="323">
        <v>-72.328801599999991</v>
      </c>
      <c r="N396" s="180" t="s">
        <v>1408</v>
      </c>
      <c r="O396" s="20"/>
      <c r="P396" s="323">
        <v>60.505337351255946</v>
      </c>
      <c r="Q396" s="180" t="s">
        <v>1126</v>
      </c>
      <c r="R396" s="3"/>
      <c r="S396" s="323">
        <v>-12.800822296344165</v>
      </c>
      <c r="T396" s="180" t="s">
        <v>1126</v>
      </c>
      <c r="U396" s="100"/>
      <c r="V396" s="177">
        <v>7.9268799999999997</v>
      </c>
      <c r="W396" s="460" t="s">
        <v>1466</v>
      </c>
      <c r="X396" s="100"/>
      <c r="Y396" s="177">
        <v>5.5807998300000001</v>
      </c>
      <c r="Z396" s="460" t="s">
        <v>1126</v>
      </c>
      <c r="AA396" s="100"/>
      <c r="AB396" s="462">
        <v>15.36478734616337</v>
      </c>
      <c r="AC396" s="177">
        <v>-2.2077182799999999</v>
      </c>
      <c r="AD396" s="460" t="s">
        <v>1126</v>
      </c>
      <c r="AE396" s="100"/>
      <c r="AF396" s="177">
        <v>-1.8696662315049939</v>
      </c>
      <c r="AG396" s="460" t="s">
        <v>1125</v>
      </c>
      <c r="AH396" s="100"/>
      <c r="AI396" s="177">
        <v>-2.3521975800000012</v>
      </c>
      <c r="AJ396" s="465">
        <v>1.1445736373658972</v>
      </c>
      <c r="AK396" s="460" t="s">
        <v>1126</v>
      </c>
      <c r="AL396" s="84"/>
      <c r="AM396" s="177">
        <v>5.3148950108997077</v>
      </c>
      <c r="AN396" s="460" t="s">
        <v>1126</v>
      </c>
      <c r="AO396" s="47"/>
      <c r="AP396" s="47"/>
    </row>
    <row r="397" spans="1:42">
      <c r="A397" s="20"/>
      <c r="B397" s="171"/>
      <c r="C397" s="87"/>
      <c r="D397" s="21"/>
      <c r="E397" s="21"/>
      <c r="F397" s="20"/>
      <c r="G397" s="21"/>
      <c r="H397" s="21"/>
      <c r="I397" s="20"/>
      <c r="J397" s="21"/>
      <c r="K397" s="21"/>
      <c r="L397" s="3"/>
      <c r="M397" s="4"/>
      <c r="N397" s="4"/>
      <c r="O397" s="20"/>
      <c r="P397" s="21"/>
      <c r="Q397" s="21"/>
      <c r="R397" s="3"/>
      <c r="S397" s="9"/>
      <c r="T397" s="4"/>
      <c r="U397" s="100"/>
      <c r="V397" s="177">
        <v>8.309803947085344</v>
      </c>
      <c r="W397" s="460" t="s">
        <v>1125</v>
      </c>
      <c r="X397" s="100"/>
      <c r="Y397" s="177">
        <v>5.7</v>
      </c>
      <c r="Z397" s="460" t="s">
        <v>1125</v>
      </c>
      <c r="AA397" s="100"/>
      <c r="AB397" s="225">
        <v>14.599999999999987</v>
      </c>
      <c r="AC397" s="177">
        <v>-2.229891978067517</v>
      </c>
      <c r="AD397" s="460" t="s">
        <v>1125</v>
      </c>
      <c r="AE397" s="100"/>
      <c r="AF397" s="177">
        <v>-1.920802000000001</v>
      </c>
      <c r="AG397" s="460" t="s">
        <v>1710</v>
      </c>
      <c r="AH397" s="100"/>
      <c r="AI397" s="177">
        <v>-3.0300000000000002</v>
      </c>
      <c r="AJ397" s="466">
        <v>0.24034844611865519</v>
      </c>
      <c r="AK397" s="460" t="s">
        <v>1125</v>
      </c>
      <c r="AL397" s="84"/>
      <c r="AM397" s="154">
        <v>2.3109731661480444</v>
      </c>
      <c r="AN397" s="155" t="s">
        <v>2611</v>
      </c>
      <c r="AO397" s="47"/>
      <c r="AP397" s="47"/>
    </row>
    <row r="398" spans="1:42">
      <c r="A398" s="20"/>
      <c r="B398" s="171"/>
      <c r="C398" s="87"/>
      <c r="D398" s="21"/>
      <c r="E398" s="21"/>
      <c r="F398" s="20"/>
      <c r="G398" s="21"/>
      <c r="H398" s="21"/>
      <c r="I398" s="20"/>
      <c r="J398" s="21"/>
      <c r="K398" s="21"/>
      <c r="L398" s="3"/>
      <c r="M398" s="4"/>
      <c r="N398" s="4"/>
      <c r="O398" s="20"/>
      <c r="P398" s="21"/>
      <c r="Q398" s="21"/>
      <c r="R398" s="3"/>
      <c r="S398" s="9"/>
      <c r="T398" s="4"/>
      <c r="U398" s="100"/>
      <c r="V398" s="177">
        <v>7.6260199999999996</v>
      </c>
      <c r="W398" s="460" t="s">
        <v>1705</v>
      </c>
      <c r="X398" s="100"/>
      <c r="Y398" s="177">
        <v>5.6155340000000002</v>
      </c>
      <c r="Z398" s="460" t="s">
        <v>1707</v>
      </c>
      <c r="AA398" s="100"/>
      <c r="AB398" s="461">
        <v>17.099999999999994</v>
      </c>
      <c r="AC398" s="177">
        <v>-2.1612487234598001</v>
      </c>
      <c r="AD398" s="460" t="s">
        <v>1465</v>
      </c>
      <c r="AE398" s="100"/>
      <c r="AF398" s="177">
        <v>-1.5346171485515816</v>
      </c>
      <c r="AG398" s="460" t="s">
        <v>1465</v>
      </c>
      <c r="AH398" s="100"/>
      <c r="AI398" s="177">
        <v>-0.26499256211762134</v>
      </c>
      <c r="AJ398" s="467">
        <v>139.91</v>
      </c>
      <c r="AK398" s="460" t="s">
        <v>1467</v>
      </c>
      <c r="AL398" s="84"/>
      <c r="AM398" s="1"/>
      <c r="AN398" s="1"/>
      <c r="AO398" s="47"/>
      <c r="AP398" s="47"/>
    </row>
    <row r="399" spans="1:42">
      <c r="A399" s="20"/>
      <c r="B399" s="171"/>
      <c r="C399" s="87"/>
      <c r="D399" s="21"/>
      <c r="E399" s="21"/>
      <c r="F399" s="20"/>
      <c r="G399" s="21"/>
      <c r="H399" s="21"/>
      <c r="I399" s="20"/>
      <c r="J399" s="21"/>
      <c r="K399" s="21"/>
      <c r="L399" s="3"/>
      <c r="M399" s="4"/>
      <c r="N399" s="4"/>
      <c r="O399" s="20"/>
      <c r="P399" s="21"/>
      <c r="Q399" s="21"/>
      <c r="R399" s="3"/>
      <c r="S399" s="9"/>
      <c r="T399" s="4"/>
      <c r="U399" s="100"/>
      <c r="V399" s="177">
        <v>7.6875</v>
      </c>
      <c r="W399" s="460" t="s">
        <v>1706</v>
      </c>
      <c r="X399" s="8"/>
      <c r="Y399" s="177">
        <v>5.9607080000000003</v>
      </c>
      <c r="Z399" s="460" t="s">
        <v>1708</v>
      </c>
      <c r="AA399" s="47"/>
      <c r="AB399" s="463">
        <v>20.112708524999977</v>
      </c>
      <c r="AC399" s="177">
        <v>-2.0907742740332522</v>
      </c>
      <c r="AD399" s="460" t="s">
        <v>1466</v>
      </c>
      <c r="AE399" s="13"/>
      <c r="AF399" s="177">
        <v>-1.3247927617960389</v>
      </c>
      <c r="AG399" s="460" t="s">
        <v>1466</v>
      </c>
      <c r="AH399" s="84"/>
      <c r="AI399" s="177">
        <v>6.1329827984198108E-2</v>
      </c>
      <c r="AJ399" s="464">
        <v>296.59999999999997</v>
      </c>
      <c r="AK399" s="460" t="s">
        <v>1468</v>
      </c>
      <c r="AL399" s="84"/>
      <c r="AM399" s="47"/>
      <c r="AN399" s="45"/>
      <c r="AO399" s="47"/>
      <c r="AP399" s="47"/>
    </row>
    <row r="400" spans="1:42">
      <c r="A400" s="20"/>
      <c r="B400" s="171"/>
      <c r="C400" s="87"/>
      <c r="D400" s="21"/>
      <c r="E400" s="21"/>
      <c r="F400" s="20"/>
      <c r="G400" s="21"/>
      <c r="H400" s="21"/>
      <c r="I400" s="20"/>
      <c r="J400" s="21"/>
      <c r="K400" s="21"/>
      <c r="L400" s="3"/>
      <c r="M400" s="4"/>
      <c r="N400" s="4"/>
      <c r="O400" s="20"/>
      <c r="P400" s="21"/>
      <c r="Q400" s="21"/>
      <c r="R400" s="3"/>
      <c r="S400" s="9"/>
      <c r="T400" s="4"/>
      <c r="U400" s="87"/>
      <c r="V400" s="177">
        <v>7.7770000000000001</v>
      </c>
      <c r="W400" s="460" t="s">
        <v>1465</v>
      </c>
      <c r="X400" s="8"/>
      <c r="Y400" s="177">
        <v>5.69</v>
      </c>
      <c r="Z400" s="460" t="s">
        <v>1465</v>
      </c>
      <c r="AA400" s="47"/>
      <c r="AB400" s="47"/>
      <c r="AC400" s="47"/>
      <c r="AD400" s="45"/>
      <c r="AE400" s="5"/>
      <c r="AF400" s="6"/>
      <c r="AG400" s="7"/>
      <c r="AH400" s="84"/>
      <c r="AI400" s="47"/>
      <c r="AJ400" s="47"/>
      <c r="AK400" s="45"/>
      <c r="AL400" s="84"/>
      <c r="AM400" s="47"/>
      <c r="AN400" s="45"/>
      <c r="AO400" s="47"/>
      <c r="AP400" s="47"/>
    </row>
    <row r="401" spans="1:42">
      <c r="A401" s="20"/>
      <c r="B401" s="171"/>
      <c r="C401" s="87"/>
      <c r="D401" s="21"/>
      <c r="E401" s="21"/>
      <c r="F401" s="20"/>
      <c r="G401" s="21"/>
      <c r="H401" s="21"/>
      <c r="I401" s="20"/>
      <c r="J401" s="21"/>
      <c r="K401" s="21"/>
      <c r="L401" s="3"/>
      <c r="M401" s="4"/>
      <c r="N401" s="4"/>
      <c r="O401" s="20"/>
      <c r="P401" s="21"/>
      <c r="Q401" s="21"/>
      <c r="R401" s="20"/>
      <c r="S401" s="21"/>
      <c r="T401" s="21"/>
      <c r="U401" s="87"/>
      <c r="V401" s="8"/>
      <c r="W401" s="45"/>
      <c r="X401" s="8"/>
      <c r="Y401" s="8"/>
      <c r="Z401" s="45"/>
      <c r="AA401" s="47"/>
      <c r="AB401" s="47"/>
      <c r="AC401" s="47"/>
      <c r="AD401" s="45"/>
      <c r="AE401" s="6"/>
      <c r="AF401" s="6"/>
      <c r="AG401" s="7"/>
      <c r="AH401" s="84"/>
      <c r="AI401" s="47"/>
      <c r="AJ401" s="47"/>
      <c r="AK401" s="45"/>
      <c r="AL401" s="84"/>
      <c r="AM401" s="47"/>
      <c r="AN401" s="45"/>
      <c r="AO401" s="47"/>
      <c r="AP401" s="47"/>
    </row>
    <row r="402" spans="1:42">
      <c r="A402" s="20" t="s">
        <v>122</v>
      </c>
      <c r="B402" s="21" t="s">
        <v>123</v>
      </c>
      <c r="C402" s="157">
        <v>84.83594539472</v>
      </c>
      <c r="D402" s="30">
        <v>84.83594539472</v>
      </c>
      <c r="E402" s="30" t="s">
        <v>1126</v>
      </c>
      <c r="F402" s="187">
        <v>13.659852122648019</v>
      </c>
      <c r="G402" s="318">
        <v>13.659852122648019</v>
      </c>
      <c r="H402" s="70" t="s">
        <v>1126</v>
      </c>
      <c r="I402" s="187"/>
      <c r="J402" s="318">
        <v>2.8348884338479081</v>
      </c>
      <c r="K402" s="70" t="s">
        <v>1126</v>
      </c>
      <c r="L402" s="191">
        <v>-82.001056960872091</v>
      </c>
      <c r="M402" s="276">
        <v>-82.001056960872091</v>
      </c>
      <c r="N402" s="13" t="s">
        <v>2792</v>
      </c>
      <c r="O402" s="187">
        <v>56.590070599999997</v>
      </c>
      <c r="P402" s="318">
        <v>56.590070599999997</v>
      </c>
      <c r="Q402" s="70" t="s">
        <v>2793</v>
      </c>
      <c r="R402" s="187">
        <v>-22.709944000000011</v>
      </c>
      <c r="S402" s="491">
        <v>-22.709944000000011</v>
      </c>
      <c r="T402" s="13" t="s">
        <v>2793</v>
      </c>
      <c r="U402" s="145">
        <v>8.8936872058818839</v>
      </c>
      <c r="V402" s="15">
        <v>8.8936872058818839</v>
      </c>
      <c r="W402" s="320" t="s">
        <v>2792</v>
      </c>
      <c r="X402" s="145">
        <v>6.6498200000000001</v>
      </c>
      <c r="Y402" s="15">
        <v>6.6498200000000001</v>
      </c>
      <c r="Z402" s="320" t="s">
        <v>2868</v>
      </c>
      <c r="AA402" s="145">
        <v>-2.37173254</v>
      </c>
      <c r="AB402" s="371">
        <v>10.532035004135354</v>
      </c>
      <c r="AC402" s="15">
        <v>-2.37173254</v>
      </c>
      <c r="AD402" s="320" t="s">
        <v>2792</v>
      </c>
      <c r="AE402" s="145">
        <v>-2.7210547997344965</v>
      </c>
      <c r="AF402" s="15">
        <v>-2.7210547997344965</v>
      </c>
      <c r="AG402" s="320" t="s">
        <v>2868</v>
      </c>
      <c r="AH402" s="145">
        <v>-4.5180860666497695</v>
      </c>
      <c r="AI402" s="15">
        <v>-3.1067462100000007</v>
      </c>
      <c r="AJ402" s="229">
        <v>0.25528965204604542</v>
      </c>
      <c r="AK402" s="320" t="s">
        <v>2792</v>
      </c>
      <c r="AL402" s="145">
        <v>2.8537641999999988</v>
      </c>
      <c r="AM402" s="15">
        <v>2.8537641999999988</v>
      </c>
      <c r="AN402" s="320" t="s">
        <v>2871</v>
      </c>
      <c r="AO402" s="47"/>
      <c r="AP402" s="47"/>
    </row>
    <row r="403" spans="1:42">
      <c r="A403" s="20"/>
      <c r="B403" s="171">
        <v>326.42200000000003</v>
      </c>
      <c r="C403" s="157">
        <v>5.7144644458429443</v>
      </c>
      <c r="D403" s="206">
        <v>111.67096000000001</v>
      </c>
      <c r="E403" s="206" t="s">
        <v>1125</v>
      </c>
      <c r="F403" s="157">
        <v>8.3578624803549264</v>
      </c>
      <c r="G403" s="70"/>
      <c r="H403" s="70"/>
      <c r="I403" s="157"/>
      <c r="J403" s="70"/>
      <c r="K403" s="70"/>
      <c r="L403" s="191">
        <v>7.4812024297112432</v>
      </c>
      <c r="M403" s="323">
        <v>-82.001056960872091</v>
      </c>
      <c r="N403" s="180" t="s">
        <v>1126</v>
      </c>
      <c r="O403" s="191">
        <v>16.915394593116599</v>
      </c>
      <c r="P403" s="323">
        <v>56.590070599999997</v>
      </c>
      <c r="Q403" s="180" t="s">
        <v>1407</v>
      </c>
      <c r="R403" s="191">
        <v>9.3159176136652828</v>
      </c>
      <c r="S403" s="323">
        <v>-22.709944000000011</v>
      </c>
      <c r="T403" s="180" t="s">
        <v>1407</v>
      </c>
      <c r="U403" s="145">
        <v>0.2458126206833694</v>
      </c>
      <c r="V403" s="177">
        <v>8.8936872058818839</v>
      </c>
      <c r="W403" s="460" t="s">
        <v>1126</v>
      </c>
      <c r="X403" s="145">
        <v>0.47032181913999999</v>
      </c>
      <c r="Y403" s="177">
        <v>6.6498200000000001</v>
      </c>
      <c r="Z403" s="460" t="s">
        <v>1466</v>
      </c>
      <c r="AA403" s="145">
        <v>0.52753261020950004</v>
      </c>
      <c r="AB403" s="461">
        <v>2.7086870651475787</v>
      </c>
      <c r="AC403" s="177">
        <v>-2.9614859999999994</v>
      </c>
      <c r="AD403" s="222" t="s">
        <v>1709</v>
      </c>
      <c r="AE403" s="145">
        <v>0.42272674735795296</v>
      </c>
      <c r="AF403" s="177">
        <v>-2.0417236599999997</v>
      </c>
      <c r="AG403" s="365" t="s">
        <v>1126</v>
      </c>
      <c r="AH403" s="145">
        <v>0.98645180327591075</v>
      </c>
      <c r="AI403" s="177">
        <v>-4.5180860666497695</v>
      </c>
      <c r="AJ403" s="464">
        <v>7.5189771878389933E-2</v>
      </c>
      <c r="AK403" s="362" t="s">
        <v>1466</v>
      </c>
      <c r="AL403" s="145">
        <v>0.51576365763019982</v>
      </c>
      <c r="AM403" s="154">
        <v>2.8537641999999988</v>
      </c>
      <c r="AN403" s="155" t="s">
        <v>2610</v>
      </c>
      <c r="AO403" s="47"/>
      <c r="AP403" s="47"/>
    </row>
    <row r="404" spans="1:42">
      <c r="A404" s="20"/>
      <c r="B404" s="171"/>
      <c r="C404" s="87"/>
      <c r="D404" s="21"/>
      <c r="E404" s="21"/>
      <c r="F404" s="20"/>
      <c r="G404" s="21"/>
      <c r="H404" s="21"/>
      <c r="I404" s="20"/>
      <c r="J404" s="21"/>
      <c r="K404" s="21"/>
      <c r="L404" s="3"/>
      <c r="M404" s="323">
        <v>-81.684250800000001</v>
      </c>
      <c r="N404" s="180" t="s">
        <v>1408</v>
      </c>
      <c r="O404" s="20"/>
      <c r="P404" s="323">
        <v>71.176093272071981</v>
      </c>
      <c r="Q404" s="180" t="s">
        <v>1126</v>
      </c>
      <c r="R404" s="3"/>
      <c r="S404" s="323">
        <v>-10.824963688800111</v>
      </c>
      <c r="T404" s="180" t="s">
        <v>1126</v>
      </c>
      <c r="U404" s="100"/>
      <c r="V404" s="177">
        <v>9.3435400000000008</v>
      </c>
      <c r="W404" s="460" t="s">
        <v>1466</v>
      </c>
      <c r="X404" s="100"/>
      <c r="Y404" s="177">
        <v>6.3345454500000002</v>
      </c>
      <c r="Z404" s="460" t="s">
        <v>1126</v>
      </c>
      <c r="AA404" s="100"/>
      <c r="AB404" s="462">
        <v>10.532035004135354</v>
      </c>
      <c r="AC404" s="177">
        <v>-2.37173254</v>
      </c>
      <c r="AD404" s="460" t="s">
        <v>1126</v>
      </c>
      <c r="AE404" s="100"/>
      <c r="AF404" s="177">
        <v>-3.8996294548824371</v>
      </c>
      <c r="AG404" s="460" t="s">
        <v>1125</v>
      </c>
      <c r="AH404" s="100"/>
      <c r="AI404" s="177">
        <v>-3.1067462100000007</v>
      </c>
      <c r="AJ404" s="465">
        <v>0.25528965204604542</v>
      </c>
      <c r="AK404" s="460" t="s">
        <v>1126</v>
      </c>
      <c r="AL404" s="84"/>
      <c r="AM404" s="177">
        <v>4.651867541316272</v>
      </c>
      <c r="AN404" s="460" t="s">
        <v>1126</v>
      </c>
      <c r="AO404" s="47"/>
      <c r="AP404" s="47"/>
    </row>
    <row r="405" spans="1:42">
      <c r="A405" s="20"/>
      <c r="B405" s="171"/>
      <c r="C405" s="87"/>
      <c r="D405" s="21"/>
      <c r="E405" s="21"/>
      <c r="F405" s="20"/>
      <c r="G405" s="21"/>
      <c r="H405" s="21"/>
      <c r="I405" s="20"/>
      <c r="J405" s="21"/>
      <c r="K405" s="21"/>
      <c r="L405" s="3"/>
      <c r="M405" s="4"/>
      <c r="N405" s="4"/>
      <c r="O405" s="20"/>
      <c r="P405" s="21"/>
      <c r="Q405" s="21"/>
      <c r="R405" s="3"/>
      <c r="S405" s="9"/>
      <c r="T405" s="4"/>
      <c r="U405" s="100"/>
      <c r="V405" s="177">
        <v>10.037594484264542</v>
      </c>
      <c r="W405" s="460" t="s">
        <v>1125</v>
      </c>
      <c r="X405" s="100"/>
      <c r="Y405" s="177">
        <v>7.06</v>
      </c>
      <c r="Z405" s="460" t="s">
        <v>1125</v>
      </c>
      <c r="AA405" s="100"/>
      <c r="AB405" s="225">
        <v>5.870000000000001</v>
      </c>
      <c r="AC405" s="177">
        <v>-2.6256067326043393</v>
      </c>
      <c r="AD405" s="460" t="s">
        <v>1125</v>
      </c>
      <c r="AE405" s="100"/>
      <c r="AF405" s="177">
        <v>-3.5113659999999998</v>
      </c>
      <c r="AG405" s="460" t="s">
        <v>1710</v>
      </c>
      <c r="AH405" s="100"/>
      <c r="AI405" s="177">
        <v>-4.6700000000000008</v>
      </c>
      <c r="AJ405" s="466">
        <v>6.9787786117949538E-3</v>
      </c>
      <c r="AK405" s="460" t="s">
        <v>1125</v>
      </c>
      <c r="AL405" s="84"/>
      <c r="AM405" s="154">
        <v>1.9395891661480462</v>
      </c>
      <c r="AN405" s="155" t="s">
        <v>2611</v>
      </c>
      <c r="AO405" s="47"/>
      <c r="AP405" s="47"/>
    </row>
    <row r="406" spans="1:42">
      <c r="A406" s="20"/>
      <c r="B406" s="171"/>
      <c r="C406" s="87"/>
      <c r="D406" s="21"/>
      <c r="E406" s="21"/>
      <c r="F406" s="20"/>
      <c r="G406" s="21"/>
      <c r="H406" s="21"/>
      <c r="I406" s="20"/>
      <c r="J406" s="21"/>
      <c r="K406" s="21"/>
      <c r="L406" s="3"/>
      <c r="M406" s="4"/>
      <c r="N406" s="4"/>
      <c r="O406" s="20"/>
      <c r="P406" s="21"/>
      <c r="Q406" s="21"/>
      <c r="R406" s="3"/>
      <c r="S406" s="9"/>
      <c r="T406" s="4"/>
      <c r="U406" s="100"/>
      <c r="V406" s="177">
        <v>8.8452000000000002</v>
      </c>
      <c r="W406" s="460" t="s">
        <v>1705</v>
      </c>
      <c r="X406" s="100"/>
      <c r="Y406" s="177">
        <v>6.4634219999999987</v>
      </c>
      <c r="Z406" s="460" t="s">
        <v>1707</v>
      </c>
      <c r="AA406" s="100"/>
      <c r="AB406" s="461">
        <v>9.3599999999999959</v>
      </c>
      <c r="AC406" s="177">
        <v>-2.4229689851138487</v>
      </c>
      <c r="AD406" s="460" t="s">
        <v>1465</v>
      </c>
      <c r="AE406" s="100"/>
      <c r="AF406" s="177">
        <v>-2.4282911681913126</v>
      </c>
      <c r="AG406" s="460" t="s">
        <v>1465</v>
      </c>
      <c r="AH406" s="100"/>
      <c r="AI406" s="177">
        <v>-1.6487821078816178</v>
      </c>
      <c r="AJ406" s="467">
        <v>7.3281999999999954</v>
      </c>
      <c r="AK406" s="460" t="s">
        <v>1467</v>
      </c>
      <c r="AL406" s="84"/>
      <c r="AM406" s="1"/>
      <c r="AN406" s="1"/>
      <c r="AO406" s="47"/>
      <c r="AP406" s="47"/>
    </row>
    <row r="407" spans="1:42">
      <c r="A407" s="20"/>
      <c r="B407" s="171"/>
      <c r="C407" s="87"/>
      <c r="D407" s="21"/>
      <c r="E407" s="21"/>
      <c r="F407" s="20"/>
      <c r="G407" s="21"/>
      <c r="H407" s="21"/>
      <c r="I407" s="20"/>
      <c r="J407" s="21"/>
      <c r="K407" s="21"/>
      <c r="L407" s="3"/>
      <c r="M407" s="4"/>
      <c r="N407" s="4"/>
      <c r="O407" s="20"/>
      <c r="P407" s="21"/>
      <c r="Q407" s="21"/>
      <c r="R407" s="3"/>
      <c r="S407" s="9"/>
      <c r="T407" s="4"/>
      <c r="U407" s="100"/>
      <c r="V407" s="177">
        <v>8.8980999999999995</v>
      </c>
      <c r="W407" s="460" t="s">
        <v>1706</v>
      </c>
      <c r="X407" s="8"/>
      <c r="Y407" s="177">
        <v>6.909863999999998</v>
      </c>
      <c r="Z407" s="460" t="s">
        <v>1708</v>
      </c>
      <c r="AA407" s="47"/>
      <c r="AB407" s="463">
        <v>7.8043656075000021</v>
      </c>
      <c r="AC407" s="177">
        <v>-2.5019072274605141</v>
      </c>
      <c r="AD407" s="460" t="s">
        <v>1466</v>
      </c>
      <c r="AE407" s="13"/>
      <c r="AF407" s="177">
        <v>-2.7210547997344965</v>
      </c>
      <c r="AG407" s="460" t="s">
        <v>1466</v>
      </c>
      <c r="AH407" s="84"/>
      <c r="AI407" s="177">
        <v>-1.5409288655477706</v>
      </c>
      <c r="AJ407" s="464">
        <v>9.3939999999999984</v>
      </c>
      <c r="AK407" s="460" t="s">
        <v>1468</v>
      </c>
      <c r="AL407" s="84"/>
      <c r="AM407" s="47"/>
      <c r="AN407" s="45"/>
      <c r="AO407" s="47"/>
      <c r="AP407" s="47"/>
    </row>
    <row r="408" spans="1:42">
      <c r="A408" s="20"/>
      <c r="B408" s="171"/>
      <c r="C408" s="87"/>
      <c r="D408" s="21"/>
      <c r="E408" s="21"/>
      <c r="F408" s="20"/>
      <c r="G408" s="21"/>
      <c r="H408" s="21"/>
      <c r="I408" s="20"/>
      <c r="J408" s="21"/>
      <c r="K408" s="21"/>
      <c r="L408" s="3"/>
      <c r="M408" s="4"/>
      <c r="N408" s="4"/>
      <c r="O408" s="20"/>
      <c r="P408" s="21"/>
      <c r="Q408" s="21"/>
      <c r="R408" s="3"/>
      <c r="S408" s="9"/>
      <c r="T408" s="4"/>
      <c r="U408" s="87"/>
      <c r="V408" s="177">
        <v>9.4990000000000006</v>
      </c>
      <c r="W408" s="460" t="s">
        <v>1465</v>
      </c>
      <c r="X408" s="8"/>
      <c r="Y408" s="177">
        <v>6.98</v>
      </c>
      <c r="Z408" s="460" t="s">
        <v>1465</v>
      </c>
      <c r="AA408" s="47"/>
      <c r="AB408" s="47"/>
      <c r="AC408" s="47"/>
      <c r="AD408" s="45"/>
      <c r="AE408" s="5"/>
      <c r="AF408" s="6"/>
      <c r="AG408" s="7"/>
      <c r="AH408" s="84"/>
      <c r="AI408" s="47"/>
      <c r="AJ408" s="47"/>
      <c r="AK408" s="45"/>
      <c r="AL408" s="84"/>
      <c r="AM408" s="47"/>
      <c r="AN408" s="45"/>
      <c r="AO408" s="47"/>
      <c r="AP408" s="47"/>
    </row>
    <row r="409" spans="1:42">
      <c r="A409" s="20"/>
      <c r="B409" s="171"/>
      <c r="C409" s="87"/>
      <c r="D409" s="21"/>
      <c r="E409" s="21"/>
      <c r="F409" s="20"/>
      <c r="G409" s="21"/>
      <c r="H409" s="21"/>
      <c r="I409" s="20"/>
      <c r="J409" s="21"/>
      <c r="K409" s="21"/>
      <c r="L409" s="3"/>
      <c r="M409" s="4"/>
      <c r="N409" s="4"/>
      <c r="O409" s="20"/>
      <c r="P409" s="21"/>
      <c r="Q409" s="21"/>
      <c r="R409" s="20"/>
      <c r="S409" s="21"/>
      <c r="T409" s="21"/>
      <c r="U409" s="87"/>
      <c r="V409" s="8"/>
      <c r="W409" s="45"/>
      <c r="X409" s="8"/>
      <c r="Y409" s="8"/>
      <c r="Z409" s="45"/>
      <c r="AA409" s="47"/>
      <c r="AB409" s="47"/>
      <c r="AC409" s="47"/>
      <c r="AD409" s="45"/>
      <c r="AF409" s="6"/>
      <c r="AG409" s="7"/>
      <c r="AH409" s="84"/>
      <c r="AI409" s="47"/>
      <c r="AJ409" s="47"/>
      <c r="AK409" s="45"/>
      <c r="AL409" s="84"/>
      <c r="AM409" s="47"/>
      <c r="AN409" s="45"/>
      <c r="AO409" s="47"/>
      <c r="AP409" s="47"/>
    </row>
    <row r="410" spans="1:42">
      <c r="A410" s="20" t="s">
        <v>125</v>
      </c>
      <c r="B410" s="21" t="s">
        <v>126</v>
      </c>
      <c r="C410" s="157">
        <v>74.077507954880005</v>
      </c>
      <c r="D410" s="30">
        <v>74.077507954880005</v>
      </c>
      <c r="E410" s="30" t="s">
        <v>1126</v>
      </c>
      <c r="F410" s="187">
        <v>17.427305216247994</v>
      </c>
      <c r="G410" s="318">
        <v>17.427305216247994</v>
      </c>
      <c r="H410" s="70" t="s">
        <v>1126</v>
      </c>
      <c r="I410" s="187"/>
      <c r="J410" s="318">
        <v>3.6011771303441691</v>
      </c>
      <c r="K410" s="70" t="s">
        <v>1126</v>
      </c>
      <c r="L410" s="191">
        <v>-70.476330824535836</v>
      </c>
      <c r="M410" s="276">
        <v>-70.476330824535836</v>
      </c>
      <c r="N410" s="13" t="s">
        <v>2792</v>
      </c>
      <c r="O410" s="187">
        <v>57.033388800000004</v>
      </c>
      <c r="P410" s="318">
        <v>57.033388800000004</v>
      </c>
      <c r="Q410" s="70" t="s">
        <v>2793</v>
      </c>
      <c r="R410" s="187">
        <v>-33.734671999999989</v>
      </c>
      <c r="S410" s="491">
        <v>-33.734671999999989</v>
      </c>
      <c r="T410" s="13" t="s">
        <v>2793</v>
      </c>
      <c r="U410" s="145">
        <v>7.6757755441306408</v>
      </c>
      <c r="V410" s="15">
        <v>7.6757755441306408</v>
      </c>
      <c r="W410" s="320" t="s">
        <v>2792</v>
      </c>
      <c r="X410" s="145">
        <v>5.1927300000000001</v>
      </c>
      <c r="Y410" s="15">
        <v>5.1927300000000001</v>
      </c>
      <c r="Z410" s="320" t="s">
        <v>2868</v>
      </c>
      <c r="AA410" s="145">
        <v>-2.4469041999999996</v>
      </c>
      <c r="AB410" s="371">
        <v>8.8581011234523555</v>
      </c>
      <c r="AC410" s="15">
        <v>-2.4469041999999996</v>
      </c>
      <c r="AD410" s="320" t="s">
        <v>2792</v>
      </c>
      <c r="AE410" s="145">
        <v>-0.86041386665546948</v>
      </c>
      <c r="AF410" s="15">
        <v>-0.86041386665546948</v>
      </c>
      <c r="AG410" s="320" t="s">
        <v>2868</v>
      </c>
      <c r="AH410" s="145">
        <v>-2.9017093901072992</v>
      </c>
      <c r="AI410" s="15">
        <v>-1.8718314700000007</v>
      </c>
      <c r="AJ410" s="229">
        <v>4.8474360546064883</v>
      </c>
      <c r="AK410" s="320" t="s">
        <v>2792</v>
      </c>
      <c r="AL410" s="145">
        <v>2.9694425999999989</v>
      </c>
      <c r="AM410" s="15">
        <v>2.9694425999999989</v>
      </c>
      <c r="AN410" s="320" t="s">
        <v>2871</v>
      </c>
      <c r="AO410" s="47"/>
      <c r="AP410" s="47"/>
    </row>
    <row r="411" spans="1:42">
      <c r="A411" s="20"/>
      <c r="B411" s="171">
        <v>360.86399999999998</v>
      </c>
      <c r="C411" s="157">
        <v>4.9897868583327627</v>
      </c>
      <c r="D411" s="206">
        <v>122.13096000000002</v>
      </c>
      <c r="E411" s="206" t="s">
        <v>1125</v>
      </c>
      <c r="F411" s="157">
        <v>10.663001260392631</v>
      </c>
      <c r="G411" s="70"/>
      <c r="H411" s="70"/>
      <c r="I411" s="157"/>
      <c r="J411" s="70"/>
      <c r="K411" s="70"/>
      <c r="L411" s="191">
        <v>6.4297670901148773</v>
      </c>
      <c r="M411" s="323">
        <v>-70.476330824535836</v>
      </c>
      <c r="N411" s="180" t="s">
        <v>1126</v>
      </c>
      <c r="O411" s="191">
        <v>17.047907279596799</v>
      </c>
      <c r="P411" s="323">
        <v>57.033388800000004</v>
      </c>
      <c r="Q411" s="180" t="s">
        <v>1407</v>
      </c>
      <c r="R411" s="191">
        <v>13.838405989729468</v>
      </c>
      <c r="S411" s="323">
        <v>-33.734671999999989</v>
      </c>
      <c r="T411" s="180" t="s">
        <v>1407</v>
      </c>
      <c r="U411" s="145">
        <v>0.21215076026422677</v>
      </c>
      <c r="V411" s="177">
        <v>7.6757755441306408</v>
      </c>
      <c r="W411" s="460" t="s">
        <v>1126</v>
      </c>
      <c r="X411" s="145">
        <v>0.36726621470999998</v>
      </c>
      <c r="Y411" s="177">
        <v>5.1927300000000001</v>
      </c>
      <c r="Z411" s="460" t="s">
        <v>1466</v>
      </c>
      <c r="AA411" s="145">
        <v>0.54425266668499994</v>
      </c>
      <c r="AB411" s="461">
        <v>6.171444587118156</v>
      </c>
      <c r="AC411" s="177">
        <v>-2.6038579999999998</v>
      </c>
      <c r="AD411" s="222" t="s">
        <v>1709</v>
      </c>
      <c r="AE411" s="145">
        <v>0.13366873584039379</v>
      </c>
      <c r="AF411" s="177">
        <v>-0.88199746000000023</v>
      </c>
      <c r="AG411" s="365" t="s">
        <v>1126</v>
      </c>
      <c r="AH411" s="145">
        <v>0.63354181797968712</v>
      </c>
      <c r="AI411" s="177">
        <v>-2.9017093901072992</v>
      </c>
      <c r="AJ411" s="464">
        <v>3.1083895750179997</v>
      </c>
      <c r="AK411" s="362" t="s">
        <v>1466</v>
      </c>
      <c r="AL411" s="145">
        <v>0.53667033054059976</v>
      </c>
      <c r="AM411" s="154">
        <v>2.9694425999999989</v>
      </c>
      <c r="AN411" s="155" t="s">
        <v>2610</v>
      </c>
      <c r="AO411" s="47"/>
      <c r="AP411" s="47"/>
    </row>
    <row r="412" spans="1:42">
      <c r="A412" s="20"/>
      <c r="B412" s="171"/>
      <c r="C412" s="87"/>
      <c r="D412" s="21"/>
      <c r="E412" s="21"/>
      <c r="F412" s="20"/>
      <c r="G412" s="21"/>
      <c r="H412" s="21"/>
      <c r="I412" s="20"/>
      <c r="J412" s="21"/>
      <c r="K412" s="21"/>
      <c r="L412" s="3"/>
      <c r="M412" s="323">
        <v>-93.152539400000009</v>
      </c>
      <c r="N412" s="180" t="s">
        <v>1408</v>
      </c>
      <c r="O412" s="20"/>
      <c r="P412" s="323">
        <v>56.650202738632011</v>
      </c>
      <c r="Q412" s="180" t="s">
        <v>1126</v>
      </c>
      <c r="R412" s="3"/>
      <c r="S412" s="323">
        <v>-13.826128085903825</v>
      </c>
      <c r="T412" s="180" t="s">
        <v>1126</v>
      </c>
      <c r="U412" s="100"/>
      <c r="V412" s="177">
        <v>7.3848900000000004</v>
      </c>
      <c r="W412" s="460" t="s">
        <v>1466</v>
      </c>
      <c r="X412" s="100"/>
      <c r="Y412" s="177">
        <v>5.1058177499999999</v>
      </c>
      <c r="Z412" s="460" t="s">
        <v>1126</v>
      </c>
      <c r="AA412" s="100"/>
      <c r="AB412" s="462">
        <v>8.8581011234523555</v>
      </c>
      <c r="AC412" s="177">
        <v>-2.4469041999999996</v>
      </c>
      <c r="AD412" s="460" t="s">
        <v>1126</v>
      </c>
      <c r="AE412" s="100"/>
      <c r="AF412" s="177">
        <v>-4.9665762445130506</v>
      </c>
      <c r="AG412" s="460" t="s">
        <v>1125</v>
      </c>
      <c r="AH412" s="100"/>
      <c r="AI412" s="177">
        <v>-1.8718314700000007</v>
      </c>
      <c r="AJ412" s="465">
        <v>4.8474360546064883</v>
      </c>
      <c r="AK412" s="460" t="s">
        <v>1126</v>
      </c>
      <c r="AL412" s="84"/>
      <c r="AM412" s="177">
        <v>5.7461600712332874</v>
      </c>
      <c r="AN412" s="460" t="s">
        <v>1126</v>
      </c>
      <c r="AO412" s="47"/>
      <c r="AP412" s="47"/>
    </row>
    <row r="413" spans="1:42">
      <c r="A413" s="20"/>
      <c r="B413" s="171"/>
      <c r="C413" s="87"/>
      <c r="D413" s="21"/>
      <c r="E413" s="21"/>
      <c r="F413" s="20"/>
      <c r="G413" s="21"/>
      <c r="H413" s="21"/>
      <c r="I413" s="20"/>
      <c r="J413" s="21"/>
      <c r="K413" s="21"/>
      <c r="L413" s="3"/>
      <c r="M413" s="4"/>
      <c r="N413" s="4"/>
      <c r="O413" s="20"/>
      <c r="P413" s="21"/>
      <c r="Q413" s="21"/>
      <c r="R413" s="3"/>
      <c r="S413" s="9"/>
      <c r="T413" s="4"/>
      <c r="U413" s="100"/>
      <c r="V413" s="177">
        <v>11.032780762481394</v>
      </c>
      <c r="W413" s="460" t="s">
        <v>1125</v>
      </c>
      <c r="X413" s="100"/>
      <c r="Y413" s="177">
        <v>7.75</v>
      </c>
      <c r="Z413" s="460" t="s">
        <v>1125</v>
      </c>
      <c r="AA413" s="100"/>
      <c r="AB413" s="225">
        <v>3.4899999999999989</v>
      </c>
      <c r="AC413" s="177">
        <v>-2.8514194068927741</v>
      </c>
      <c r="AD413" s="460" t="s">
        <v>1125</v>
      </c>
      <c r="AE413" s="100"/>
      <c r="AF413" s="177">
        <v>-4.0536979999999998</v>
      </c>
      <c r="AG413" s="460" t="s">
        <v>1710</v>
      </c>
      <c r="AH413" s="100"/>
      <c r="AI413" s="177">
        <v>-5.51</v>
      </c>
      <c r="AJ413" s="466">
        <v>1.1151763709585836E-3</v>
      </c>
      <c r="AK413" s="460" t="s">
        <v>1125</v>
      </c>
      <c r="AL413" s="84"/>
      <c r="AM413" s="154">
        <v>2.5251171661480445</v>
      </c>
      <c r="AN413" s="155" t="s">
        <v>2611</v>
      </c>
      <c r="AO413" s="47"/>
      <c r="AP413" s="47"/>
    </row>
    <row r="414" spans="1:42">
      <c r="A414" s="20"/>
      <c r="B414" s="171"/>
      <c r="C414" s="87"/>
      <c r="D414" s="21"/>
      <c r="E414" s="21"/>
      <c r="F414" s="20"/>
      <c r="G414" s="21"/>
      <c r="H414" s="21"/>
      <c r="I414" s="20"/>
      <c r="J414" s="21"/>
      <c r="K414" s="21"/>
      <c r="L414" s="3"/>
      <c r="M414" s="4"/>
      <c r="N414" s="4"/>
      <c r="O414" s="20"/>
      <c r="P414" s="21"/>
      <c r="Q414" s="21"/>
      <c r="R414" s="3"/>
      <c r="S414" s="9"/>
      <c r="T414" s="4"/>
      <c r="U414" s="100"/>
      <c r="V414" s="177">
        <v>9.9730599999999985</v>
      </c>
      <c r="W414" s="460" t="s">
        <v>1705</v>
      </c>
      <c r="X414" s="100"/>
      <c r="Y414" s="177">
        <v>7.2744660000000003</v>
      </c>
      <c r="Z414" s="460" t="s">
        <v>1707</v>
      </c>
      <c r="AA414" s="100"/>
      <c r="AB414" s="461">
        <v>5.139999999999997</v>
      </c>
      <c r="AC414" s="177">
        <v>-2.6832817148566783</v>
      </c>
      <c r="AD414" s="460" t="s">
        <v>1465</v>
      </c>
      <c r="AE414" s="100"/>
      <c r="AF414" s="177">
        <v>-3.3353580244438743</v>
      </c>
      <c r="AG414" s="460" t="s">
        <v>1465</v>
      </c>
      <c r="AH414" s="100"/>
      <c r="AI414" s="177">
        <v>-2.9929852781031694</v>
      </c>
      <c r="AJ414" s="467">
        <v>0.36673999999999951</v>
      </c>
      <c r="AK414" s="460" t="s">
        <v>1467</v>
      </c>
      <c r="AL414" s="84"/>
      <c r="AM414" s="1"/>
      <c r="AN414" s="1"/>
      <c r="AO414" s="47"/>
      <c r="AP414" s="47"/>
    </row>
    <row r="415" spans="1:42">
      <c r="A415" s="20"/>
      <c r="B415" s="171"/>
      <c r="C415" s="87"/>
      <c r="D415" s="21"/>
      <c r="E415" s="21"/>
      <c r="F415" s="20"/>
      <c r="G415" s="21"/>
      <c r="H415" s="21"/>
      <c r="I415" s="20"/>
      <c r="J415" s="21"/>
      <c r="K415" s="21"/>
      <c r="L415" s="3"/>
      <c r="M415" s="4"/>
      <c r="N415" s="4"/>
      <c r="O415" s="20"/>
      <c r="P415" s="21"/>
      <c r="Q415" s="21"/>
      <c r="R415" s="3"/>
      <c r="S415" s="9"/>
      <c r="T415" s="4"/>
      <c r="U415" s="100"/>
      <c r="V415" s="177">
        <v>9.8949499999999997</v>
      </c>
      <c r="W415" s="460" t="s">
        <v>1706</v>
      </c>
      <c r="X415" s="8"/>
      <c r="Y415" s="177">
        <v>7.823792000000001</v>
      </c>
      <c r="Z415" s="460" t="s">
        <v>1708</v>
      </c>
      <c r="AA415" s="47"/>
      <c r="AB415" s="463">
        <v>23.799925274999989</v>
      </c>
      <c r="AC415" s="177">
        <v>-2.0176692403545222</v>
      </c>
      <c r="AD415" s="460" t="s">
        <v>1466</v>
      </c>
      <c r="AE415" s="13"/>
      <c r="AF415" s="177">
        <v>-0.86041386665546948</v>
      </c>
      <c r="AG415" s="460" t="s">
        <v>1466</v>
      </c>
      <c r="AH415" s="84"/>
      <c r="AI415" s="177">
        <v>-2.4899007159770004</v>
      </c>
      <c r="AJ415" s="464">
        <v>1.1679999999999988</v>
      </c>
      <c r="AK415" s="460" t="s">
        <v>1468</v>
      </c>
      <c r="AL415" s="84"/>
      <c r="AM415" s="47"/>
      <c r="AN415" s="45"/>
      <c r="AO415" s="47"/>
      <c r="AP415" s="47"/>
    </row>
    <row r="416" spans="1:42">
      <c r="A416" s="20"/>
      <c r="B416" s="171"/>
      <c r="C416" s="87"/>
      <c r="D416" s="21"/>
      <c r="E416" s="21"/>
      <c r="F416" s="20"/>
      <c r="G416" s="21"/>
      <c r="H416" s="21"/>
      <c r="I416" s="20"/>
      <c r="J416" s="21"/>
      <c r="K416" s="21"/>
      <c r="L416" s="3"/>
      <c r="M416" s="4"/>
      <c r="N416" s="4"/>
      <c r="O416" s="20"/>
      <c r="P416" s="21"/>
      <c r="Q416" s="21"/>
      <c r="R416" s="3"/>
      <c r="S416" s="9"/>
      <c r="T416" s="4"/>
      <c r="U416" s="87"/>
      <c r="V416" s="177">
        <v>9.4120000000000008</v>
      </c>
      <c r="W416" s="460" t="s">
        <v>1465</v>
      </c>
      <c r="X416" s="8"/>
      <c r="Y416" s="177">
        <v>8.27</v>
      </c>
      <c r="Z416" s="460" t="s">
        <v>1465</v>
      </c>
      <c r="AA416" s="47"/>
      <c r="AB416" s="47"/>
      <c r="AC416" s="47"/>
      <c r="AD416" s="45"/>
      <c r="AE416" s="5"/>
      <c r="AF416" s="6"/>
      <c r="AG416" s="7"/>
      <c r="AH416" s="84"/>
      <c r="AI416" s="47"/>
      <c r="AJ416" s="47"/>
      <c r="AK416" s="45"/>
      <c r="AL416" s="84"/>
      <c r="AM416" s="47"/>
      <c r="AN416" s="45"/>
      <c r="AO416" s="47"/>
      <c r="AP416" s="47"/>
    </row>
    <row r="417" spans="1:42">
      <c r="A417" s="20"/>
      <c r="B417" s="171"/>
      <c r="C417" s="87"/>
      <c r="D417" s="21"/>
      <c r="E417" s="21"/>
      <c r="F417" s="20"/>
      <c r="G417" s="21"/>
      <c r="H417" s="21"/>
      <c r="I417" s="20"/>
      <c r="J417" s="21"/>
      <c r="K417" s="21"/>
      <c r="L417" s="3"/>
      <c r="M417" s="4"/>
      <c r="N417" s="4"/>
      <c r="O417" s="20"/>
      <c r="P417" s="21"/>
      <c r="Q417" s="21"/>
      <c r="R417" s="20"/>
      <c r="S417" s="21"/>
      <c r="T417" s="21"/>
      <c r="U417" s="87"/>
      <c r="V417" s="8"/>
      <c r="W417" s="45"/>
      <c r="X417" s="8"/>
      <c r="Y417" s="8"/>
      <c r="Z417" s="45"/>
      <c r="AA417" s="47"/>
      <c r="AB417" s="47"/>
      <c r="AC417" s="47"/>
      <c r="AD417" s="45"/>
      <c r="AF417" s="6"/>
      <c r="AG417" s="7"/>
      <c r="AH417" s="84"/>
      <c r="AI417" s="47"/>
      <c r="AJ417" s="47"/>
      <c r="AK417" s="45"/>
      <c r="AL417" s="84"/>
      <c r="AM417" s="47"/>
      <c r="AN417" s="45"/>
      <c r="AO417" s="47"/>
      <c r="AP417" s="47"/>
    </row>
    <row r="418" spans="1:42">
      <c r="A418" s="3" t="s">
        <v>127</v>
      </c>
      <c r="B418" s="4" t="s">
        <v>128</v>
      </c>
      <c r="C418" s="157">
        <v>88.922766429999996</v>
      </c>
      <c r="D418" s="30">
        <v>88.922766429999996</v>
      </c>
      <c r="E418" s="30" t="s">
        <v>1126</v>
      </c>
      <c r="F418" s="187">
        <v>12.778028014968001</v>
      </c>
      <c r="G418" s="318">
        <v>12.778028014968001</v>
      </c>
      <c r="H418" s="70" t="s">
        <v>1126</v>
      </c>
      <c r="I418" s="187"/>
      <c r="J418" s="318">
        <v>3.375780711535981</v>
      </c>
      <c r="K418" s="70" t="s">
        <v>1126</v>
      </c>
      <c r="L418" s="191">
        <v>-85.546985718464015</v>
      </c>
      <c r="M418" s="276">
        <v>-85.546985718464015</v>
      </c>
      <c r="N418" s="13" t="s">
        <v>2792</v>
      </c>
      <c r="O418" s="187">
        <v>58.2108378</v>
      </c>
      <c r="P418" s="318">
        <v>58.2108378</v>
      </c>
      <c r="Q418" s="70" t="s">
        <v>2793</v>
      </c>
      <c r="R418" s="187">
        <v>-23.136451999999995</v>
      </c>
      <c r="S418" s="491">
        <v>-23.136451999999995</v>
      </c>
      <c r="T418" s="13" t="s">
        <v>2793</v>
      </c>
      <c r="U418" s="145">
        <v>9.3682502183595577</v>
      </c>
      <c r="V418" s="15">
        <v>9.3682502183595577</v>
      </c>
      <c r="W418" s="320" t="s">
        <v>2792</v>
      </c>
      <c r="X418" s="145">
        <v>7.2935400000000001</v>
      </c>
      <c r="Y418" s="15">
        <v>7.2935400000000001</v>
      </c>
      <c r="Z418" s="320" t="s">
        <v>2868</v>
      </c>
      <c r="AA418" s="145">
        <v>-2.7410652999999998</v>
      </c>
      <c r="AB418" s="371">
        <v>4.4996582871149995</v>
      </c>
      <c r="AC418" s="15">
        <v>-2.7410652999999998</v>
      </c>
      <c r="AD418" s="320" t="s">
        <v>2792</v>
      </c>
      <c r="AE418" s="145">
        <v>-3.5844181745737766</v>
      </c>
      <c r="AF418" s="15">
        <v>-3.5844181745737766</v>
      </c>
      <c r="AG418" s="320" t="s">
        <v>2868</v>
      </c>
      <c r="AH418" s="145">
        <v>-5.5448657068039005</v>
      </c>
      <c r="AI418" s="15">
        <v>-3.2702041800000008</v>
      </c>
      <c r="AJ418" s="229">
        <v>0.1937043522369066</v>
      </c>
      <c r="AK418" s="320" t="s">
        <v>2792</v>
      </c>
      <c r="AL418" s="145">
        <v>2.8283425999999992</v>
      </c>
      <c r="AM418" s="15">
        <v>2.8283425999999992</v>
      </c>
      <c r="AN418" s="320" t="s">
        <v>2871</v>
      </c>
      <c r="AO418" s="47"/>
      <c r="AP418" s="47"/>
    </row>
    <row r="419" spans="1:42">
      <c r="A419" s="3"/>
      <c r="B419" s="171">
        <v>360.86399999999998</v>
      </c>
      <c r="C419" s="157">
        <v>5.9897486239583699</v>
      </c>
      <c r="D419" s="206">
        <v>121.46152000000001</v>
      </c>
      <c r="E419" s="206" t="s">
        <v>1125</v>
      </c>
      <c r="F419" s="157">
        <v>7.8183131091262608</v>
      </c>
      <c r="G419" s="70"/>
      <c r="H419" s="70"/>
      <c r="I419" s="157"/>
      <c r="J419" s="70"/>
      <c r="K419" s="70"/>
      <c r="L419" s="191">
        <v>7.8047081480526268</v>
      </c>
      <c r="M419" s="323">
        <v>-85.546985718464015</v>
      </c>
      <c r="N419" s="180" t="s">
        <v>1126</v>
      </c>
      <c r="O419" s="191">
        <v>17.399859737635801</v>
      </c>
      <c r="P419" s="323">
        <v>58.2108378</v>
      </c>
      <c r="Q419" s="180" t="s">
        <v>1407</v>
      </c>
      <c r="R419" s="191">
        <v>9.4908768028895718</v>
      </c>
      <c r="S419" s="323">
        <v>-23.136451999999995</v>
      </c>
      <c r="T419" s="180" t="s">
        <v>1407</v>
      </c>
      <c r="U419" s="145">
        <v>0.25892906778523983</v>
      </c>
      <c r="V419" s="177">
        <v>9.3682502183595577</v>
      </c>
      <c r="W419" s="460" t="s">
        <v>1126</v>
      </c>
      <c r="X419" s="145">
        <v>0.51585020358</v>
      </c>
      <c r="Y419" s="177">
        <v>7.2935400000000001</v>
      </c>
      <c r="Z419" s="460" t="s">
        <v>1466</v>
      </c>
      <c r="AA419" s="145">
        <v>0.60968144935250002</v>
      </c>
      <c r="AB419" s="461">
        <v>1.6884446715246382</v>
      </c>
      <c r="AC419" s="177">
        <v>-3.1667580000000002</v>
      </c>
      <c r="AD419" s="222" t="s">
        <v>1709</v>
      </c>
      <c r="AE419" s="145">
        <v>0.55685370109273447</v>
      </c>
      <c r="AF419" s="177">
        <v>-2.5745139900000003</v>
      </c>
      <c r="AG419" s="365" t="s">
        <v>1126</v>
      </c>
      <c r="AH419" s="145">
        <v>1.2106327092293228</v>
      </c>
      <c r="AI419" s="177">
        <v>-5.5448657068039005</v>
      </c>
      <c r="AJ419" s="464">
        <v>7.0693441912900003E-3</v>
      </c>
      <c r="AK419" s="362" t="s">
        <v>1466</v>
      </c>
      <c r="AL419" s="145">
        <v>0.51116918644059983</v>
      </c>
      <c r="AM419" s="154">
        <v>2.8283425999999992</v>
      </c>
      <c r="AN419" s="155" t="s">
        <v>2610</v>
      </c>
      <c r="AO419" s="47"/>
      <c r="AP419" s="47"/>
    </row>
    <row r="420" spans="1:42">
      <c r="A420" s="3"/>
      <c r="B420" s="4" t="s">
        <v>20</v>
      </c>
      <c r="C420" s="87"/>
      <c r="D420" s="4"/>
      <c r="E420" s="4"/>
      <c r="F420" s="3"/>
      <c r="G420" s="4"/>
      <c r="H420" s="4"/>
      <c r="I420" s="3"/>
      <c r="J420" s="4"/>
      <c r="K420" s="4"/>
      <c r="L420" s="3"/>
      <c r="M420" s="323">
        <v>-83.731168400000001</v>
      </c>
      <c r="N420" s="180" t="s">
        <v>1408</v>
      </c>
      <c r="O420" s="3"/>
      <c r="P420" s="323">
        <v>76.144738415031995</v>
      </c>
      <c r="Q420" s="180" t="s">
        <v>1126</v>
      </c>
      <c r="R420" s="3"/>
      <c r="S420" s="323">
        <v>-9.40224730343202</v>
      </c>
      <c r="T420" s="180" t="s">
        <v>1126</v>
      </c>
      <c r="U420" s="100"/>
      <c r="V420" s="177">
        <v>9.2925000000000004</v>
      </c>
      <c r="W420" s="460" t="s">
        <v>1466</v>
      </c>
      <c r="X420" s="100"/>
      <c r="Y420" s="177">
        <v>6.43827456</v>
      </c>
      <c r="Z420" s="460" t="s">
        <v>1126</v>
      </c>
      <c r="AA420" s="100"/>
      <c r="AB420" s="462">
        <v>4.4996582871149995</v>
      </c>
      <c r="AC420" s="177">
        <v>-2.7410652999999998</v>
      </c>
      <c r="AD420" s="460" t="s">
        <v>1126</v>
      </c>
      <c r="AE420" s="100"/>
      <c r="AF420" s="177">
        <v>-4.9208187539523749</v>
      </c>
      <c r="AG420" s="460" t="s">
        <v>1125</v>
      </c>
      <c r="AH420" s="100"/>
      <c r="AI420" s="177">
        <v>-3.2702041800000008</v>
      </c>
      <c r="AJ420" s="465">
        <v>0.1937043522369066</v>
      </c>
      <c r="AK420" s="460" t="s">
        <v>1126</v>
      </c>
      <c r="AL420" s="84"/>
      <c r="AM420" s="177">
        <v>4.3429456060272216</v>
      </c>
      <c r="AN420" s="460" t="s">
        <v>1126</v>
      </c>
      <c r="AO420" s="47"/>
      <c r="AP420" s="47"/>
    </row>
    <row r="421" spans="1:42">
      <c r="A421" s="3"/>
      <c r="B421" s="4"/>
      <c r="C421" s="87"/>
      <c r="D421" s="4"/>
      <c r="E421" s="4"/>
      <c r="F421" s="3"/>
      <c r="G421" s="4"/>
      <c r="H421" s="4"/>
      <c r="I421" s="3"/>
      <c r="J421" s="4"/>
      <c r="K421" s="4"/>
      <c r="L421" s="3"/>
      <c r="M421" s="4"/>
      <c r="N421" s="4"/>
      <c r="O421" s="3"/>
      <c r="P421" s="4"/>
      <c r="Q421" s="4"/>
      <c r="R421" s="3"/>
      <c r="S421" s="9"/>
      <c r="T421" s="4"/>
      <c r="U421" s="100"/>
      <c r="V421" s="177">
        <v>10.922129918827636</v>
      </c>
      <c r="W421" s="460" t="s">
        <v>1125</v>
      </c>
      <c r="X421" s="100"/>
      <c r="Y421" s="177">
        <v>7.77</v>
      </c>
      <c r="Z421" s="460" t="s">
        <v>1125</v>
      </c>
      <c r="AA421" s="100"/>
      <c r="AB421" s="225">
        <v>4.3900000000000006</v>
      </c>
      <c r="AC421" s="177">
        <v>-2.7517803136098324</v>
      </c>
      <c r="AD421" s="460" t="s">
        <v>1125</v>
      </c>
      <c r="AE421" s="100"/>
      <c r="AF421" s="177">
        <v>-4.2899980000000015</v>
      </c>
      <c r="AG421" s="460" t="s">
        <v>1710</v>
      </c>
      <c r="AH421" s="100"/>
      <c r="AI421" s="177">
        <v>-5.5600000000000014</v>
      </c>
      <c r="AJ421" s="466">
        <v>9.9390198680142025E-4</v>
      </c>
      <c r="AK421" s="460" t="s">
        <v>1125</v>
      </c>
      <c r="AL421" s="84"/>
      <c r="AM421" s="154">
        <v>1.5035371661480426</v>
      </c>
      <c r="AN421" s="155" t="s">
        <v>2611</v>
      </c>
      <c r="AO421" s="47"/>
      <c r="AP421" s="47"/>
    </row>
    <row r="422" spans="1:42">
      <c r="A422" s="3"/>
      <c r="B422" s="4"/>
      <c r="C422" s="87"/>
      <c r="D422" s="4"/>
      <c r="E422" s="4"/>
      <c r="F422" s="3"/>
      <c r="G422" s="4"/>
      <c r="H422" s="4"/>
      <c r="I422" s="3"/>
      <c r="J422" s="4"/>
      <c r="K422" s="4"/>
      <c r="L422" s="3"/>
      <c r="M422" s="4"/>
      <c r="N422" s="4"/>
      <c r="O422" s="3"/>
      <c r="P422" s="4"/>
      <c r="Q422" s="4"/>
      <c r="R422" s="3"/>
      <c r="S422" s="9"/>
      <c r="T422" s="4"/>
      <c r="U422" s="100"/>
      <c r="V422" s="177">
        <v>9.1877799999999983</v>
      </c>
      <c r="W422" s="460" t="s">
        <v>1705</v>
      </c>
      <c r="X422" s="100"/>
      <c r="Y422" s="177">
        <v>6.9352660000000004</v>
      </c>
      <c r="Z422" s="460" t="s">
        <v>1707</v>
      </c>
      <c r="AA422" s="100"/>
      <c r="AB422" s="461">
        <v>6.94</v>
      </c>
      <c r="AC422" s="177">
        <v>-2.5528853633970989</v>
      </c>
      <c r="AD422" s="460" t="s">
        <v>1465</v>
      </c>
      <c r="AE422" s="100"/>
      <c r="AF422" s="177">
        <v>-2.87942606879415</v>
      </c>
      <c r="AG422" s="460" t="s">
        <v>1465</v>
      </c>
      <c r="AH422" s="100"/>
      <c r="AI422" s="177">
        <v>-2.340122903108862</v>
      </c>
      <c r="AJ422" s="467">
        <v>1.6489999999999996</v>
      </c>
      <c r="AK422" s="460" t="s">
        <v>1467</v>
      </c>
      <c r="AL422" s="84"/>
      <c r="AM422" s="1"/>
      <c r="AN422" s="1"/>
      <c r="AO422" s="47"/>
      <c r="AP422" s="47"/>
    </row>
    <row r="423" spans="1:42">
      <c r="A423" s="3"/>
      <c r="B423" s="4"/>
      <c r="C423" s="87"/>
      <c r="D423" s="4"/>
      <c r="E423" s="4"/>
      <c r="F423" s="3"/>
      <c r="G423" s="4"/>
      <c r="H423" s="4"/>
      <c r="I423" s="3"/>
      <c r="J423" s="4"/>
      <c r="K423" s="4"/>
      <c r="L423" s="3"/>
      <c r="M423" s="4"/>
      <c r="N423" s="4"/>
      <c r="O423" s="3"/>
      <c r="P423" s="4"/>
      <c r="Q423" s="4"/>
      <c r="R423" s="3"/>
      <c r="S423" s="9"/>
      <c r="T423" s="4"/>
      <c r="U423" s="100"/>
      <c r="V423" s="177">
        <v>9.2533999999999992</v>
      </c>
      <c r="W423" s="460" t="s">
        <v>1706</v>
      </c>
      <c r="X423" s="8"/>
      <c r="Y423" s="177">
        <v>7.4396920000000009</v>
      </c>
      <c r="Z423" s="460" t="s">
        <v>1708</v>
      </c>
      <c r="AA423" s="47"/>
      <c r="AB423" s="463">
        <v>3.9271644824999994</v>
      </c>
      <c r="AC423" s="177">
        <v>-2.8001657425264916</v>
      </c>
      <c r="AD423" s="460" t="s">
        <v>1466</v>
      </c>
      <c r="AE423" s="13"/>
      <c r="AF423" s="177">
        <v>-3.5844181745737766</v>
      </c>
      <c r="AG423" s="460" t="s">
        <v>1466</v>
      </c>
      <c r="AH423" s="84"/>
      <c r="AI423" s="177">
        <v>-2.0226829829249366</v>
      </c>
      <c r="AJ423" s="464">
        <v>3.4249999999999976</v>
      </c>
      <c r="AK423" s="460" t="s">
        <v>1468</v>
      </c>
      <c r="AL423" s="84"/>
      <c r="AM423" s="47"/>
      <c r="AN423" s="45"/>
      <c r="AO423" s="47"/>
      <c r="AP423" s="47"/>
    </row>
    <row r="424" spans="1:42">
      <c r="A424" s="3"/>
      <c r="B424" s="4"/>
      <c r="C424" s="87"/>
      <c r="D424" s="4"/>
      <c r="E424" s="4"/>
      <c r="F424" s="3"/>
      <c r="G424" s="4"/>
      <c r="H424" s="4"/>
      <c r="I424" s="3"/>
      <c r="J424" s="4"/>
      <c r="K424" s="4"/>
      <c r="L424" s="3"/>
      <c r="M424" s="4"/>
      <c r="N424" s="4"/>
      <c r="O424" s="3"/>
      <c r="P424" s="4"/>
      <c r="Q424" s="4"/>
      <c r="R424" s="3"/>
      <c r="S424" s="9"/>
      <c r="T424" s="4"/>
      <c r="U424" s="87"/>
      <c r="V424" s="177">
        <v>10.047000000000001</v>
      </c>
      <c r="W424" s="460" t="s">
        <v>1465</v>
      </c>
      <c r="X424" s="8"/>
      <c r="Y424" s="177">
        <v>7.62</v>
      </c>
      <c r="Z424" s="460" t="s">
        <v>1465</v>
      </c>
      <c r="AA424" s="47"/>
      <c r="AB424" s="47"/>
      <c r="AC424" s="47"/>
      <c r="AD424" s="45"/>
      <c r="AE424" s="5"/>
      <c r="AF424" s="6"/>
      <c r="AG424" s="7"/>
      <c r="AH424" s="84"/>
      <c r="AI424" s="47"/>
      <c r="AJ424" s="47"/>
      <c r="AK424" s="45"/>
      <c r="AL424" s="84"/>
      <c r="AM424" s="47"/>
      <c r="AN424" s="45"/>
      <c r="AO424" s="47"/>
      <c r="AP424" s="47"/>
    </row>
    <row r="425" spans="1:42">
      <c r="A425" s="3"/>
      <c r="B425" s="4"/>
      <c r="C425" s="87"/>
      <c r="D425" s="4"/>
      <c r="E425" s="4"/>
      <c r="F425" s="3"/>
      <c r="G425" s="4"/>
      <c r="H425" s="4"/>
      <c r="I425" s="3"/>
      <c r="J425" s="4"/>
      <c r="K425" s="4"/>
      <c r="L425" s="3"/>
      <c r="M425" s="4"/>
      <c r="N425" s="4"/>
      <c r="O425" s="3"/>
      <c r="P425" s="4"/>
      <c r="Q425" s="4"/>
      <c r="R425" s="3"/>
      <c r="S425" s="4"/>
      <c r="T425" s="4"/>
      <c r="U425" s="100"/>
      <c r="V425" s="15"/>
      <c r="W425" s="320"/>
      <c r="X425" s="8"/>
      <c r="Y425" s="8"/>
      <c r="Z425" s="45"/>
      <c r="AA425" s="47"/>
      <c r="AB425" s="47"/>
      <c r="AC425" s="47"/>
      <c r="AD425" s="45"/>
      <c r="AF425" s="6"/>
      <c r="AG425" s="7"/>
      <c r="AH425" s="84"/>
      <c r="AI425" s="47"/>
      <c r="AJ425" s="47"/>
      <c r="AK425" s="45"/>
      <c r="AL425" s="84"/>
      <c r="AM425" s="47"/>
      <c r="AN425" s="45"/>
      <c r="AO425" s="47"/>
      <c r="AP425" s="47"/>
    </row>
    <row r="426" spans="1:42">
      <c r="A426" s="3" t="s">
        <v>129</v>
      </c>
      <c r="B426" s="22" t="s">
        <v>130</v>
      </c>
      <c r="C426" s="157">
        <v>79.362671442640007</v>
      </c>
      <c r="D426" s="30">
        <v>79.362671442640007</v>
      </c>
      <c r="E426" s="30" t="s">
        <v>1126</v>
      </c>
      <c r="F426" s="187">
        <v>15.196514421784059</v>
      </c>
      <c r="G426" s="318">
        <v>15.196514421784059</v>
      </c>
      <c r="H426" s="70" t="s">
        <v>1126</v>
      </c>
      <c r="I426" s="187"/>
      <c r="J426" s="318">
        <v>2.9175220740240775</v>
      </c>
      <c r="K426" s="70" t="s">
        <v>1126</v>
      </c>
      <c r="L426" s="191">
        <v>-76.44514936861593</v>
      </c>
      <c r="M426" s="276">
        <v>-76.44514936861593</v>
      </c>
      <c r="N426" s="13" t="s">
        <v>2792</v>
      </c>
      <c r="O426" s="187">
        <v>54.406700399999998</v>
      </c>
      <c r="P426" s="318">
        <v>54.406700399999998</v>
      </c>
      <c r="Q426" s="70" t="s">
        <v>2793</v>
      </c>
      <c r="R426" s="187">
        <v>-18.97117600000001</v>
      </c>
      <c r="S426" s="491">
        <v>-18.97117600000001</v>
      </c>
      <c r="T426" s="13" t="s">
        <v>2793</v>
      </c>
      <c r="U426" s="145">
        <v>8.2707328628674404</v>
      </c>
      <c r="V426" s="15">
        <v>8.2707328628674404</v>
      </c>
      <c r="W426" s="320" t="s">
        <v>2792</v>
      </c>
      <c r="X426" s="145">
        <v>6.2374499999999999</v>
      </c>
      <c r="Y426" s="15">
        <v>6.2374499999999999</v>
      </c>
      <c r="Z426" s="320" t="s">
        <v>2868</v>
      </c>
      <c r="AA426" s="145">
        <v>-2.2874867699999997</v>
      </c>
      <c r="AB426" s="371">
        <v>12.786687867352653</v>
      </c>
      <c r="AC426" s="15">
        <v>-2.2874867699999997</v>
      </c>
      <c r="AD426" s="320" t="s">
        <v>2792</v>
      </c>
      <c r="AE426" s="145">
        <v>-2.3166644296424117</v>
      </c>
      <c r="AF426" s="15">
        <v>-2.3166644296424117</v>
      </c>
      <c r="AG426" s="320" t="s">
        <v>2868</v>
      </c>
      <c r="AH426" s="145">
        <v>-3.926288979580407</v>
      </c>
      <c r="AI426" s="15">
        <v>-2.5697397800000004</v>
      </c>
      <c r="AJ426" s="229">
        <v>0.97186015896260824</v>
      </c>
      <c r="AK426" s="320" t="s">
        <v>2792</v>
      </c>
      <c r="AL426" s="145">
        <v>2.8884657999999988</v>
      </c>
      <c r="AM426" s="15">
        <v>2.8884657999999988</v>
      </c>
      <c r="AN426" s="320" t="s">
        <v>2871</v>
      </c>
      <c r="AO426" s="14"/>
      <c r="AP426" s="14"/>
    </row>
    <row r="427" spans="1:42">
      <c r="A427" s="3"/>
      <c r="B427" s="171">
        <v>360.86399999999998</v>
      </c>
      <c r="C427" s="157">
        <v>5.3457901857047885</v>
      </c>
      <c r="D427" s="206">
        <v>119.0348</v>
      </c>
      <c r="E427" s="206" t="s">
        <v>1125</v>
      </c>
      <c r="F427" s="157">
        <v>9.2980785280551057</v>
      </c>
      <c r="G427" s="70"/>
      <c r="H427" s="70"/>
      <c r="I427" s="157"/>
      <c r="J427" s="70"/>
      <c r="K427" s="70"/>
      <c r="L427" s="191">
        <v>6.9743203123469364</v>
      </c>
      <c r="M427" s="323">
        <v>-76.44514936861593</v>
      </c>
      <c r="N427" s="180" t="s">
        <v>1126</v>
      </c>
      <c r="O427" s="191">
        <v>16.262761223264398</v>
      </c>
      <c r="P427" s="323">
        <v>54.406700399999998</v>
      </c>
      <c r="Q427" s="180" t="s">
        <v>1407</v>
      </c>
      <c r="R427" s="191">
        <v>7.7822258236455406</v>
      </c>
      <c r="S427" s="323">
        <v>-18.97117600000001</v>
      </c>
      <c r="T427" s="180" t="s">
        <v>1407</v>
      </c>
      <c r="U427" s="145">
        <v>0.22859478559679319</v>
      </c>
      <c r="V427" s="177">
        <v>8.2707328628674404</v>
      </c>
      <c r="W427" s="460" t="s">
        <v>1126</v>
      </c>
      <c r="X427" s="145">
        <v>0.44115612614999999</v>
      </c>
      <c r="Y427" s="177">
        <v>6.2374499999999999</v>
      </c>
      <c r="Z427" s="460" t="s">
        <v>1466</v>
      </c>
      <c r="AA427" s="145">
        <v>0.50879424481725</v>
      </c>
      <c r="AB427" s="461">
        <v>4.4650963408572277</v>
      </c>
      <c r="AC427" s="177">
        <v>-2.7444139999999999</v>
      </c>
      <c r="AD427" s="222" t="s">
        <v>1709</v>
      </c>
      <c r="AE427" s="145">
        <v>0.35990308580266722</v>
      </c>
      <c r="AF427" s="177">
        <v>-1.4204744300000003</v>
      </c>
      <c r="AG427" s="365" t="s">
        <v>1126</v>
      </c>
      <c r="AH427" s="145">
        <v>0.85724237806770853</v>
      </c>
      <c r="AI427" s="177">
        <v>-3.926288979580407</v>
      </c>
      <c r="AJ427" s="464">
        <v>0.29373510571179967</v>
      </c>
      <c r="AK427" s="362" t="s">
        <v>1466</v>
      </c>
      <c r="AL427" s="145">
        <v>0.52203531249979973</v>
      </c>
      <c r="AM427" s="154">
        <v>2.8884657999999988</v>
      </c>
      <c r="AN427" s="155" t="s">
        <v>2610</v>
      </c>
      <c r="AO427" s="14"/>
      <c r="AP427" s="14"/>
    </row>
    <row r="428" spans="1:42">
      <c r="A428" s="3"/>
      <c r="B428" s="4" t="s">
        <v>20</v>
      </c>
      <c r="C428" s="87"/>
      <c r="D428" s="4"/>
      <c r="E428" s="4"/>
      <c r="F428" s="83"/>
      <c r="G428" s="70"/>
      <c r="H428" s="70"/>
      <c r="I428" s="83"/>
      <c r="J428" s="70"/>
      <c r="K428" s="70"/>
      <c r="L428" s="3"/>
      <c r="M428" s="323">
        <v>-75.762470199999996</v>
      </c>
      <c r="N428" s="180" t="s">
        <v>1408</v>
      </c>
      <c r="O428" s="3"/>
      <c r="P428" s="323">
        <v>64.166157020855948</v>
      </c>
      <c r="Q428" s="180" t="s">
        <v>1126</v>
      </c>
      <c r="R428" s="3"/>
      <c r="S428" s="323">
        <v>-12.278992347759981</v>
      </c>
      <c r="T428" s="180" t="s">
        <v>1126</v>
      </c>
      <c r="U428" s="100"/>
      <c r="V428" s="177">
        <v>8.5273299999999992</v>
      </c>
      <c r="W428" s="460" t="s">
        <v>1466</v>
      </c>
      <c r="X428" s="100"/>
      <c r="Y428" s="177">
        <v>5.8237712300000002</v>
      </c>
      <c r="Z428" s="460" t="s">
        <v>1126</v>
      </c>
      <c r="AA428" s="100"/>
      <c r="AB428" s="462">
        <v>12.786687867352653</v>
      </c>
      <c r="AC428" s="177">
        <v>-2.2874867699999997</v>
      </c>
      <c r="AD428" s="460" t="s">
        <v>1126</v>
      </c>
      <c r="AE428" s="100"/>
      <c r="AF428" s="177">
        <v>-4.6126101736612704</v>
      </c>
      <c r="AG428" s="460" t="s">
        <v>1125</v>
      </c>
      <c r="AH428" s="100"/>
      <c r="AI428" s="177">
        <v>-2.5697397800000004</v>
      </c>
      <c r="AJ428" s="465">
        <v>0.97186015896260824</v>
      </c>
      <c r="AK428" s="460" t="s">
        <v>1126</v>
      </c>
      <c r="AL428" s="84"/>
      <c r="AM428" s="177">
        <v>4.9465440396008136</v>
      </c>
      <c r="AN428" s="460" t="s">
        <v>1126</v>
      </c>
      <c r="AO428" s="47"/>
      <c r="AP428" s="47"/>
    </row>
    <row r="429" spans="1:42">
      <c r="A429" s="3"/>
      <c r="B429" s="4"/>
      <c r="C429" s="87"/>
      <c r="D429" s="4"/>
      <c r="E429" s="4"/>
      <c r="F429" s="3"/>
      <c r="G429" s="4"/>
      <c r="H429" s="4"/>
      <c r="I429" s="3"/>
      <c r="J429" s="4"/>
      <c r="K429" s="4"/>
      <c r="L429" s="115"/>
      <c r="M429" s="4"/>
      <c r="N429" s="4"/>
      <c r="O429" s="3"/>
      <c r="P429" s="4"/>
      <c r="Q429" s="4"/>
      <c r="R429" s="3"/>
      <c r="S429" s="9"/>
      <c r="T429" s="4"/>
      <c r="U429" s="100"/>
      <c r="V429" s="177">
        <v>10.935472539100708</v>
      </c>
      <c r="W429" s="460" t="s">
        <v>1125</v>
      </c>
      <c r="X429" s="100"/>
      <c r="Y429" s="177">
        <v>7.66</v>
      </c>
      <c r="Z429" s="460" t="s">
        <v>1125</v>
      </c>
      <c r="AA429" s="100"/>
      <c r="AB429" s="225">
        <v>4.43</v>
      </c>
      <c r="AC429" s="177">
        <v>-2.7478411076288842</v>
      </c>
      <c r="AD429" s="460" t="s">
        <v>1125</v>
      </c>
      <c r="AE429" s="100"/>
      <c r="AF429" s="177">
        <v>-2.7181339999999983</v>
      </c>
      <c r="AG429" s="460" t="s">
        <v>1710</v>
      </c>
      <c r="AH429" s="100"/>
      <c r="AI429" s="177">
        <v>-5.2600000000000016</v>
      </c>
      <c r="AJ429" s="466">
        <v>1.9830951790375689E-3</v>
      </c>
      <c r="AK429" s="460" t="s">
        <v>1125</v>
      </c>
      <c r="AL429" s="84"/>
      <c r="AM429" s="154">
        <v>2.0175011661480458</v>
      </c>
      <c r="AN429" s="155" t="s">
        <v>2611</v>
      </c>
      <c r="AO429" s="47"/>
      <c r="AP429" s="47"/>
    </row>
    <row r="430" spans="1:42">
      <c r="A430" s="3"/>
      <c r="B430" s="4"/>
      <c r="C430" s="87"/>
      <c r="D430" s="4"/>
      <c r="E430" s="4"/>
      <c r="F430" s="3"/>
      <c r="G430" s="4"/>
      <c r="H430" s="4"/>
      <c r="I430" s="3"/>
      <c r="J430" s="4"/>
      <c r="K430" s="4"/>
      <c r="L430" s="115"/>
      <c r="M430" s="4"/>
      <c r="N430" s="4"/>
      <c r="O430" s="3"/>
      <c r="P430" s="4"/>
      <c r="Q430" s="4"/>
      <c r="R430" s="3"/>
      <c r="S430" s="9"/>
      <c r="T430" s="4"/>
      <c r="U430" s="100"/>
      <c r="V430" s="177">
        <v>8.1298799999999982</v>
      </c>
      <c r="W430" s="460" t="s">
        <v>1705</v>
      </c>
      <c r="X430" s="100"/>
      <c r="Y430" s="177">
        <v>5.980378</v>
      </c>
      <c r="Z430" s="460" t="s">
        <v>1707</v>
      </c>
      <c r="AA430" s="100"/>
      <c r="AB430" s="461">
        <v>12.599999999999993</v>
      </c>
      <c r="AC430" s="177">
        <v>-2.2938742887343913</v>
      </c>
      <c r="AD430" s="460" t="s">
        <v>1465</v>
      </c>
      <c r="AE430" s="100"/>
      <c r="AF430" s="177">
        <v>-2.9100948885606019</v>
      </c>
      <c r="AG430" s="460" t="s">
        <v>1465</v>
      </c>
      <c r="AH430" s="100"/>
      <c r="AI430" s="177">
        <v>-1.0488811774800202</v>
      </c>
      <c r="AJ430" s="467">
        <v>32.24499999999999</v>
      </c>
      <c r="AK430" s="460" t="s">
        <v>1467</v>
      </c>
      <c r="AL430" s="84"/>
      <c r="AM430" s="1"/>
      <c r="AN430" s="1"/>
      <c r="AO430" s="47"/>
      <c r="AP430" s="47"/>
    </row>
    <row r="431" spans="1:42">
      <c r="A431" s="3"/>
      <c r="B431" s="4"/>
      <c r="C431" s="87"/>
      <c r="D431" s="4"/>
      <c r="E431" s="4"/>
      <c r="F431" s="3"/>
      <c r="G431" s="4"/>
      <c r="H431" s="4"/>
      <c r="I431" s="3"/>
      <c r="J431" s="4"/>
      <c r="K431" s="4"/>
      <c r="L431" s="115"/>
      <c r="M431" s="4"/>
      <c r="N431" s="4"/>
      <c r="O431" s="3"/>
      <c r="P431" s="4"/>
      <c r="Q431" s="4"/>
      <c r="R431" s="3"/>
      <c r="S431" s="9"/>
      <c r="T431" s="4"/>
      <c r="U431" s="100"/>
      <c r="V431" s="177">
        <v>8.2001500000000007</v>
      </c>
      <c r="W431" s="460" t="s">
        <v>1706</v>
      </c>
      <c r="X431" s="8"/>
      <c r="Y431" s="177">
        <v>6.3702359999999993</v>
      </c>
      <c r="Z431" s="460" t="s">
        <v>1708</v>
      </c>
      <c r="AA431" s="47"/>
      <c r="AB431" s="463">
        <v>17.230113599999999</v>
      </c>
      <c r="AC431" s="177">
        <v>-2.1579566930440586</v>
      </c>
      <c r="AD431" s="460" t="s">
        <v>1466</v>
      </c>
      <c r="AE431" s="13"/>
      <c r="AF431" s="177">
        <v>-2.3166644296424117</v>
      </c>
      <c r="AG431" s="460" t="s">
        <v>1466</v>
      </c>
      <c r="AH431" s="84"/>
      <c r="AI431" s="177">
        <v>-0.79331695106134359</v>
      </c>
      <c r="AJ431" s="464">
        <v>58.079999999999977</v>
      </c>
      <c r="AK431" s="460" t="s">
        <v>1468</v>
      </c>
      <c r="AL431" s="84"/>
      <c r="AM431" s="47"/>
      <c r="AN431" s="45"/>
      <c r="AO431" s="47"/>
      <c r="AP431" s="47"/>
    </row>
    <row r="432" spans="1:42">
      <c r="A432" s="3"/>
      <c r="B432" s="4"/>
      <c r="C432" s="87"/>
      <c r="D432" s="4"/>
      <c r="E432" s="4"/>
      <c r="F432" s="3"/>
      <c r="G432" s="4"/>
      <c r="H432" s="4"/>
      <c r="I432" s="3"/>
      <c r="J432" s="4"/>
      <c r="K432" s="4"/>
      <c r="L432" s="115"/>
      <c r="M432" s="4"/>
      <c r="N432" s="4"/>
      <c r="O432" s="3"/>
      <c r="P432" s="4"/>
      <c r="Q432" s="4"/>
      <c r="R432" s="3"/>
      <c r="S432" s="9"/>
      <c r="T432" s="4"/>
      <c r="U432" s="87"/>
      <c r="V432" s="177">
        <v>8.4</v>
      </c>
      <c r="W432" s="460" t="s">
        <v>1465</v>
      </c>
      <c r="X432" s="8"/>
      <c r="Y432" s="177">
        <v>6.34</v>
      </c>
      <c r="Z432" s="460" t="s">
        <v>1465</v>
      </c>
      <c r="AA432" s="47"/>
      <c r="AB432" s="47"/>
      <c r="AC432" s="47"/>
      <c r="AD432" s="45"/>
      <c r="AE432" s="5"/>
      <c r="AF432" s="6"/>
      <c r="AG432" s="7"/>
      <c r="AH432" s="84"/>
      <c r="AI432" s="47"/>
      <c r="AJ432" s="47"/>
      <c r="AK432" s="45"/>
      <c r="AL432" s="84"/>
      <c r="AM432" s="47"/>
      <c r="AN432" s="45"/>
      <c r="AO432" s="47"/>
      <c r="AP432" s="47"/>
    </row>
    <row r="433" spans="1:42">
      <c r="A433" s="3"/>
      <c r="B433" s="4"/>
      <c r="C433" s="87"/>
      <c r="D433" s="4"/>
      <c r="E433" s="4"/>
      <c r="F433" s="3"/>
      <c r="G433" s="4"/>
      <c r="H433" s="4"/>
      <c r="I433" s="3"/>
      <c r="J433" s="4"/>
      <c r="K433" s="4"/>
      <c r="L433" s="115"/>
      <c r="M433" s="4"/>
      <c r="N433" s="4"/>
      <c r="O433" s="3"/>
      <c r="P433" s="4"/>
      <c r="Q433" s="4"/>
      <c r="R433" s="3"/>
      <c r="S433" s="4"/>
      <c r="T433" s="4"/>
      <c r="U433" s="87"/>
      <c r="V433" s="8"/>
      <c r="W433" s="45"/>
      <c r="X433" s="8"/>
      <c r="Y433" s="8"/>
      <c r="Z433" s="45"/>
      <c r="AA433" s="47"/>
      <c r="AB433" s="47"/>
      <c r="AC433" s="47"/>
      <c r="AD433" s="45"/>
      <c r="AF433" s="6"/>
      <c r="AG433" s="7"/>
      <c r="AH433" s="84"/>
      <c r="AI433" s="47"/>
      <c r="AJ433" s="47"/>
      <c r="AK433" s="45"/>
      <c r="AL433" s="84"/>
      <c r="AM433" s="47"/>
      <c r="AN433" s="45"/>
      <c r="AO433" s="47"/>
      <c r="AP433" s="47"/>
    </row>
    <row r="434" spans="1:42">
      <c r="A434" s="3" t="s">
        <v>131</v>
      </c>
      <c r="B434" s="4" t="s">
        <v>132</v>
      </c>
      <c r="C434" s="157">
        <v>94.930413163520015</v>
      </c>
      <c r="D434" s="30">
        <v>94.930413163520015</v>
      </c>
      <c r="E434" s="30" t="s">
        <v>1126</v>
      </c>
      <c r="F434" s="187">
        <v>12.597595609048</v>
      </c>
      <c r="G434" s="318">
        <v>12.597595609048</v>
      </c>
      <c r="H434" s="70" t="s">
        <v>1126</v>
      </c>
      <c r="I434" s="187"/>
      <c r="J434" s="318">
        <v>4.1899954586160675</v>
      </c>
      <c r="K434" s="70" t="s">
        <v>1126</v>
      </c>
      <c r="L434" s="191">
        <v>-90.740417704903948</v>
      </c>
      <c r="M434" s="276">
        <v>-90.740417704903948</v>
      </c>
      <c r="N434" s="13" t="s">
        <v>2792</v>
      </c>
      <c r="O434" s="187">
        <v>60.488209000000005</v>
      </c>
      <c r="P434" s="318">
        <v>60.488209000000005</v>
      </c>
      <c r="Q434" s="70" t="s">
        <v>2793</v>
      </c>
      <c r="R434" s="187">
        <v>-27.428640000000012</v>
      </c>
      <c r="S434" s="491">
        <v>-27.428640000000012</v>
      </c>
      <c r="T434" s="13" t="s">
        <v>2793</v>
      </c>
      <c r="U434" s="145">
        <v>9.9911135083395219</v>
      </c>
      <c r="V434" s="15">
        <v>9.9911135083395219</v>
      </c>
      <c r="W434" s="320" t="s">
        <v>2792</v>
      </c>
      <c r="X434" s="145">
        <v>7.8893899999999997</v>
      </c>
      <c r="Y434" s="15">
        <v>7.8893899999999997</v>
      </c>
      <c r="Z434" s="320" t="s">
        <v>2868</v>
      </c>
      <c r="AA434" s="145">
        <v>-2.9551184799999999</v>
      </c>
      <c r="AB434" s="371">
        <v>2.748693743101037</v>
      </c>
      <c r="AC434" s="15">
        <v>-2.9551184799999999</v>
      </c>
      <c r="AD434" s="320" t="s">
        <v>2792</v>
      </c>
      <c r="AE434" s="145">
        <v>-4.0190299920206343</v>
      </c>
      <c r="AF434" s="15">
        <v>-4.0190299920206343</v>
      </c>
      <c r="AG434" s="320" t="s">
        <v>2868</v>
      </c>
      <c r="AH434" s="145">
        <v>-5.6201997228685121</v>
      </c>
      <c r="AI434" s="15">
        <v>-3.778515510000001</v>
      </c>
      <c r="AJ434" s="229">
        <v>6.582909675688528E-2</v>
      </c>
      <c r="AK434" s="320" t="s">
        <v>2792</v>
      </c>
      <c r="AL434" s="145">
        <v>2.793641</v>
      </c>
      <c r="AM434" s="15">
        <v>2.793641</v>
      </c>
      <c r="AN434" s="320" t="s">
        <v>2871</v>
      </c>
      <c r="AO434" s="47"/>
      <c r="AP434" s="47"/>
    </row>
    <row r="435" spans="1:42">
      <c r="A435" s="3"/>
      <c r="B435" s="171">
        <v>395.30599999999998</v>
      </c>
      <c r="C435" s="157">
        <v>6.3944177002815445</v>
      </c>
      <c r="D435" s="206">
        <v>131.87968000000001</v>
      </c>
      <c r="E435" s="206" t="s">
        <v>1125</v>
      </c>
      <c r="F435" s="157">
        <v>7.7079144589696726</v>
      </c>
      <c r="G435" s="70"/>
      <c r="H435" s="70"/>
      <c r="I435" s="157"/>
      <c r="J435" s="70"/>
      <c r="K435" s="70"/>
      <c r="L435" s="191">
        <v>8.2785205284715015</v>
      </c>
      <c r="M435" s="323">
        <v>-90.740417704903948</v>
      </c>
      <c r="N435" s="180" t="s">
        <v>1126</v>
      </c>
      <c r="O435" s="191">
        <v>18.080591040399</v>
      </c>
      <c r="P435" s="323">
        <v>60.488209000000005</v>
      </c>
      <c r="Q435" s="180" t="s">
        <v>1407</v>
      </c>
      <c r="R435" s="191">
        <v>11.251588753141977</v>
      </c>
      <c r="S435" s="323">
        <v>-27.428640000000012</v>
      </c>
      <c r="T435" s="180" t="s">
        <v>1407</v>
      </c>
      <c r="U435" s="145">
        <v>0.27614438625699606</v>
      </c>
      <c r="V435" s="177">
        <v>9.9911135083395219</v>
      </c>
      <c r="W435" s="460" t="s">
        <v>1126</v>
      </c>
      <c r="X435" s="145">
        <v>0.55799288653000001</v>
      </c>
      <c r="Y435" s="177">
        <v>7.8893899999999997</v>
      </c>
      <c r="Z435" s="460" t="s">
        <v>1466</v>
      </c>
      <c r="AA435" s="145">
        <v>0.65729222791399999</v>
      </c>
      <c r="AB435" s="461">
        <v>1.0242708987323006</v>
      </c>
      <c r="AC435" s="177">
        <v>-3.3838300000000001</v>
      </c>
      <c r="AD435" s="222" t="s">
        <v>1709</v>
      </c>
      <c r="AE435" s="145">
        <v>0.62437238538037354</v>
      </c>
      <c r="AF435" s="177">
        <v>-3.2968778100000002</v>
      </c>
      <c r="AG435" s="365" t="s">
        <v>1126</v>
      </c>
      <c r="AH435" s="145">
        <v>1.2270806862927737</v>
      </c>
      <c r="AI435" s="177">
        <v>-5.6201997228685121</v>
      </c>
      <c r="AJ435" s="464">
        <v>5.943538920642988E-3</v>
      </c>
      <c r="AK435" s="362" t="s">
        <v>1466</v>
      </c>
      <c r="AL435" s="145">
        <v>0.50489753157100004</v>
      </c>
      <c r="AM435" s="154">
        <v>2.793641</v>
      </c>
      <c r="AN435" s="155" t="s">
        <v>2610</v>
      </c>
      <c r="AO435" s="47"/>
      <c r="AP435" s="47"/>
    </row>
    <row r="436" spans="1:42">
      <c r="A436" s="3"/>
      <c r="B436" s="171"/>
      <c r="C436" s="87"/>
      <c r="D436" s="4"/>
      <c r="E436" s="4"/>
      <c r="F436" s="3"/>
      <c r="G436" s="4"/>
      <c r="H436" s="4"/>
      <c r="I436" s="3"/>
      <c r="J436" s="4"/>
      <c r="K436" s="4"/>
      <c r="L436" s="3"/>
      <c r="M436" s="323">
        <v>-90.300370000000001</v>
      </c>
      <c r="N436" s="180" t="s">
        <v>1408</v>
      </c>
      <c r="O436" s="3"/>
      <c r="P436" s="323">
        <v>82.332817554472015</v>
      </c>
      <c r="Q436" s="180" t="s">
        <v>1126</v>
      </c>
      <c r="R436" s="3"/>
      <c r="S436" s="323">
        <v>-8.4076001504319322</v>
      </c>
      <c r="T436" s="180" t="s">
        <v>1126</v>
      </c>
      <c r="U436" s="100"/>
      <c r="V436" s="177">
        <v>10.63</v>
      </c>
      <c r="W436" s="460" t="s">
        <v>1466</v>
      </c>
      <c r="X436" s="100"/>
      <c r="Y436" s="177">
        <v>6.8287165700000001</v>
      </c>
      <c r="Z436" s="460" t="s">
        <v>1126</v>
      </c>
      <c r="AA436" s="100"/>
      <c r="AB436" s="462">
        <v>2.748693743101037</v>
      </c>
      <c r="AC436" s="177">
        <v>-2.9551184799999999</v>
      </c>
      <c r="AD436" s="460" t="s">
        <v>1126</v>
      </c>
      <c r="AE436" s="100"/>
      <c r="AF436" s="177">
        <v>-6.0305840876460186</v>
      </c>
      <c r="AG436" s="460" t="s">
        <v>1125</v>
      </c>
      <c r="AH436" s="100"/>
      <c r="AI436" s="177">
        <v>-3.778515510000001</v>
      </c>
      <c r="AJ436" s="465">
        <v>6.582909675688528E-2</v>
      </c>
      <c r="AK436" s="460" t="s">
        <v>1126</v>
      </c>
      <c r="AL436" s="84"/>
      <c r="AM436" s="177">
        <v>4.1064989867101929</v>
      </c>
      <c r="AN436" s="460" t="s">
        <v>1126</v>
      </c>
      <c r="AO436" s="47"/>
      <c r="AP436" s="47"/>
    </row>
    <row r="437" spans="1:42">
      <c r="A437" s="3"/>
      <c r="B437" s="171"/>
      <c r="C437" s="87"/>
      <c r="D437" s="4"/>
      <c r="E437" s="4"/>
      <c r="F437" s="3"/>
      <c r="G437" s="4"/>
      <c r="H437" s="4"/>
      <c r="I437" s="3"/>
      <c r="J437" s="4"/>
      <c r="K437" s="4"/>
      <c r="L437" s="3"/>
      <c r="M437" s="4"/>
      <c r="N437" s="4"/>
      <c r="O437" s="3"/>
      <c r="P437" s="4"/>
      <c r="Q437" s="4"/>
      <c r="R437" s="3"/>
      <c r="S437" s="9"/>
      <c r="T437" s="4"/>
      <c r="U437" s="100"/>
      <c r="V437" s="177">
        <v>11.915702355948891</v>
      </c>
      <c r="W437" s="460" t="s">
        <v>1125</v>
      </c>
      <c r="X437" s="100"/>
      <c r="Y437" s="177">
        <v>8.5</v>
      </c>
      <c r="Z437" s="460" t="s">
        <v>1125</v>
      </c>
      <c r="AA437" s="100"/>
      <c r="AB437" s="225">
        <v>3.26</v>
      </c>
      <c r="AC437" s="177">
        <v>-2.8810272337840148</v>
      </c>
      <c r="AD437" s="460" t="s">
        <v>1125</v>
      </c>
      <c r="AE437" s="100"/>
      <c r="AF437" s="177">
        <v>-5.0832299999999995</v>
      </c>
      <c r="AG437" s="460" t="s">
        <v>1710</v>
      </c>
      <c r="AH437" s="100"/>
      <c r="AI437" s="177">
        <v>-6.5400000000000009</v>
      </c>
      <c r="AJ437" s="466">
        <v>1.1400749573749624E-4</v>
      </c>
      <c r="AK437" s="460" t="s">
        <v>1125</v>
      </c>
      <c r="AL437" s="84"/>
      <c r="AM437" s="154">
        <v>1.4886051661480479</v>
      </c>
      <c r="AN437" s="155" t="s">
        <v>2611</v>
      </c>
      <c r="AO437" s="47"/>
      <c r="AP437" s="47"/>
    </row>
    <row r="438" spans="1:42">
      <c r="A438" s="3"/>
      <c r="B438" s="171"/>
      <c r="C438" s="87"/>
      <c r="D438" s="4"/>
      <c r="E438" s="4"/>
      <c r="F438" s="3"/>
      <c r="G438" s="4"/>
      <c r="H438" s="4"/>
      <c r="I438" s="3"/>
      <c r="J438" s="4"/>
      <c r="K438" s="4"/>
      <c r="L438" s="3"/>
      <c r="M438" s="4"/>
      <c r="N438" s="4"/>
      <c r="O438" s="3"/>
      <c r="P438" s="4"/>
      <c r="Q438" s="4"/>
      <c r="R438" s="3"/>
      <c r="S438" s="9"/>
      <c r="T438" s="4"/>
      <c r="U438" s="100"/>
      <c r="V438" s="177">
        <v>9.9660800000000016</v>
      </c>
      <c r="W438" s="460" t="s">
        <v>1705</v>
      </c>
      <c r="X438" s="100"/>
      <c r="Y438" s="177">
        <v>7.41831</v>
      </c>
      <c r="Z438" s="460" t="s">
        <v>1707</v>
      </c>
      <c r="AA438" s="100"/>
      <c r="AB438" s="461">
        <v>5.139999999999997</v>
      </c>
      <c r="AC438" s="177">
        <v>-2.6832817148566783</v>
      </c>
      <c r="AD438" s="460" t="s">
        <v>1465</v>
      </c>
      <c r="AE438" s="100"/>
      <c r="AF438" s="177">
        <v>-3.3353580244438743</v>
      </c>
      <c r="AG438" s="460" t="s">
        <v>1465</v>
      </c>
      <c r="AH438" s="100"/>
      <c r="AI438" s="177">
        <v>-3.032575125514454</v>
      </c>
      <c r="AJ438" s="467">
        <v>0.3667399999999999</v>
      </c>
      <c r="AK438" s="460" t="s">
        <v>1467</v>
      </c>
      <c r="AL438" s="84"/>
      <c r="AM438" s="1"/>
      <c r="AN438" s="1"/>
      <c r="AO438" s="47"/>
      <c r="AP438" s="47"/>
    </row>
    <row r="439" spans="1:42">
      <c r="A439" s="3"/>
      <c r="B439" s="171"/>
      <c r="C439" s="87"/>
      <c r="D439" s="4"/>
      <c r="E439" s="4"/>
      <c r="F439" s="3"/>
      <c r="G439" s="4"/>
      <c r="H439" s="4"/>
      <c r="I439" s="3"/>
      <c r="J439" s="4"/>
      <c r="K439" s="4"/>
      <c r="L439" s="3"/>
      <c r="M439" s="4"/>
      <c r="N439" s="4"/>
      <c r="O439" s="3"/>
      <c r="P439" s="4"/>
      <c r="Q439" s="4"/>
      <c r="R439" s="3"/>
      <c r="S439" s="9"/>
      <c r="T439" s="4"/>
      <c r="U439" s="100"/>
      <c r="V439" s="177">
        <v>10.0083</v>
      </c>
      <c r="W439" s="460" t="s">
        <v>1706</v>
      </c>
      <c r="X439" s="8"/>
      <c r="Y439" s="177">
        <v>7.9793200000000004</v>
      </c>
      <c r="Z439" s="460" t="s">
        <v>1708</v>
      </c>
      <c r="AA439" s="47"/>
      <c r="AB439" s="463">
        <v>1.3584642749999991</v>
      </c>
      <c r="AC439" s="177">
        <v>-3.2611966120582019</v>
      </c>
      <c r="AD439" s="460" t="s">
        <v>1466</v>
      </c>
      <c r="AE439" s="13"/>
      <c r="AF439" s="177">
        <v>-4.0190299920206343</v>
      </c>
      <c r="AG439" s="460" t="s">
        <v>1466</v>
      </c>
      <c r="AH439" s="84"/>
      <c r="AI439" s="177">
        <v>-3.1433093325732147</v>
      </c>
      <c r="AJ439" s="464">
        <v>0.2841999999999999</v>
      </c>
      <c r="AK439" s="460" t="s">
        <v>1468</v>
      </c>
      <c r="AL439" s="84"/>
      <c r="AM439" s="47"/>
      <c r="AN439" s="45"/>
      <c r="AO439" s="47"/>
      <c r="AP439" s="47"/>
    </row>
    <row r="440" spans="1:42">
      <c r="A440" s="3"/>
      <c r="B440" s="171"/>
      <c r="C440" s="87"/>
      <c r="D440" s="4"/>
      <c r="E440" s="4"/>
      <c r="F440" s="3"/>
      <c r="G440" s="4"/>
      <c r="H440" s="4"/>
      <c r="I440" s="3"/>
      <c r="J440" s="4"/>
      <c r="K440" s="4"/>
      <c r="L440" s="3"/>
      <c r="M440" s="4"/>
      <c r="N440" s="4"/>
      <c r="O440" s="3"/>
      <c r="P440" s="4"/>
      <c r="Q440" s="4"/>
      <c r="R440" s="3"/>
      <c r="S440" s="9"/>
      <c r="T440" s="4"/>
      <c r="U440" s="87"/>
      <c r="V440" s="177">
        <v>11.512</v>
      </c>
      <c r="W440" s="460" t="s">
        <v>1465</v>
      </c>
      <c r="X440" s="8"/>
      <c r="Y440" s="177">
        <v>8.27</v>
      </c>
      <c r="Z440" s="460" t="s">
        <v>1465</v>
      </c>
      <c r="AA440" s="47"/>
      <c r="AB440" s="47"/>
      <c r="AC440" s="47"/>
      <c r="AD440" s="45"/>
      <c r="AE440" s="5"/>
      <c r="AF440" s="6"/>
      <c r="AG440" s="7"/>
      <c r="AH440" s="84"/>
      <c r="AI440" s="47"/>
      <c r="AJ440" s="47"/>
      <c r="AK440" s="45"/>
      <c r="AL440" s="84"/>
      <c r="AM440" s="47"/>
      <c r="AN440" s="45"/>
      <c r="AO440" s="47"/>
      <c r="AP440" s="47"/>
    </row>
    <row r="441" spans="1:42">
      <c r="A441" s="3"/>
      <c r="B441" s="171"/>
      <c r="C441" s="87"/>
      <c r="D441" s="4"/>
      <c r="E441" s="4"/>
      <c r="F441" s="3"/>
      <c r="G441" s="4"/>
      <c r="H441" s="4"/>
      <c r="I441" s="3"/>
      <c r="J441" s="4"/>
      <c r="K441" s="4"/>
      <c r="L441" s="3"/>
      <c r="M441" s="4"/>
      <c r="N441" s="4"/>
      <c r="O441" s="3"/>
      <c r="P441" s="4"/>
      <c r="Q441" s="4"/>
      <c r="R441" s="3"/>
      <c r="S441" s="4"/>
      <c r="T441" s="4"/>
      <c r="U441" s="100"/>
      <c r="V441" s="15"/>
      <c r="W441" s="320"/>
      <c r="X441" s="8"/>
      <c r="Y441" s="8"/>
      <c r="Z441" s="45"/>
      <c r="AA441" s="47"/>
      <c r="AB441" s="47"/>
      <c r="AC441" s="47"/>
      <c r="AD441" s="45"/>
      <c r="AF441" s="6"/>
      <c r="AG441" s="7"/>
      <c r="AH441" s="84"/>
      <c r="AI441" s="47"/>
      <c r="AJ441" s="47"/>
      <c r="AK441" s="45"/>
      <c r="AL441" s="84"/>
      <c r="AM441" s="47"/>
      <c r="AN441" s="45"/>
      <c r="AO441" s="47"/>
      <c r="AP441" s="47"/>
    </row>
    <row r="442" spans="1:42">
      <c r="A442" s="3" t="s">
        <v>133</v>
      </c>
      <c r="B442" s="4" t="s">
        <v>134</v>
      </c>
      <c r="C442" s="157">
        <v>91.134331970399998</v>
      </c>
      <c r="D442" s="30">
        <v>91.134331970399998</v>
      </c>
      <c r="E442" s="30" t="s">
        <v>1126</v>
      </c>
      <c r="F442" s="187">
        <v>11.734174130824016</v>
      </c>
      <c r="G442" s="318">
        <v>11.734174130824016</v>
      </c>
      <c r="H442" s="70" t="s">
        <v>1126</v>
      </c>
      <c r="I442" s="187"/>
      <c r="J442" s="318">
        <v>2.9918111487838956</v>
      </c>
      <c r="K442" s="70" t="s">
        <v>1126</v>
      </c>
      <c r="L442" s="191">
        <v>-88.142520821616102</v>
      </c>
      <c r="M442" s="276">
        <v>-88.142520821616102</v>
      </c>
      <c r="N442" s="13" t="s">
        <v>2792</v>
      </c>
      <c r="O442" s="187">
        <v>59.783903000000002</v>
      </c>
      <c r="P442" s="318">
        <v>59.783903000000002</v>
      </c>
      <c r="Q442" s="70" t="s">
        <v>2793</v>
      </c>
      <c r="R442" s="187">
        <v>-23.282120000000003</v>
      </c>
      <c r="S442" s="491">
        <v>-23.282120000000003</v>
      </c>
      <c r="T442" s="13" t="s">
        <v>2793</v>
      </c>
      <c r="U442" s="145">
        <v>9.6352878439699214</v>
      </c>
      <c r="V442" s="15">
        <v>9.6352878439699214</v>
      </c>
      <c r="W442" s="320" t="s">
        <v>2792</v>
      </c>
      <c r="X442" s="145">
        <v>7.6351599999999999</v>
      </c>
      <c r="Y442" s="15">
        <v>7.6351599999999999</v>
      </c>
      <c r="Z442" s="320" t="s">
        <v>2868</v>
      </c>
      <c r="AA442" s="145">
        <v>-2.5978923299999996</v>
      </c>
      <c r="AB442" s="371">
        <v>6.2568033275719008</v>
      </c>
      <c r="AC442" s="15">
        <v>-2.5978923299999996</v>
      </c>
      <c r="AD442" s="320" t="s">
        <v>2792</v>
      </c>
      <c r="AE442" s="145">
        <v>-3.8500628087177553</v>
      </c>
      <c r="AF442" s="15">
        <v>-3.8500628087177553</v>
      </c>
      <c r="AG442" s="320" t="s">
        <v>2868</v>
      </c>
      <c r="AH442" s="145">
        <v>-5.2089110444470483</v>
      </c>
      <c r="AI442" s="15">
        <v>-3.6389152900000004</v>
      </c>
      <c r="AJ442" s="229">
        <v>9.0785839980333682E-2</v>
      </c>
      <c r="AK442" s="320" t="s">
        <v>2792</v>
      </c>
      <c r="AL442" s="145">
        <v>2.793641</v>
      </c>
      <c r="AM442" s="15">
        <v>2.793641</v>
      </c>
      <c r="AN442" s="320" t="s">
        <v>2871</v>
      </c>
      <c r="AO442" s="47"/>
      <c r="AP442" s="47"/>
    </row>
    <row r="443" spans="1:42">
      <c r="A443" s="3"/>
      <c r="B443" s="171">
        <v>395.30599999999998</v>
      </c>
      <c r="C443" s="157">
        <v>6.1387174671941738</v>
      </c>
      <c r="D443" s="206">
        <v>130.62448000000001</v>
      </c>
      <c r="E443" s="206" t="s">
        <v>1125</v>
      </c>
      <c r="F443" s="157">
        <v>7.1796248469894586</v>
      </c>
      <c r="G443" s="70"/>
      <c r="H443" s="70"/>
      <c r="I443" s="157"/>
      <c r="J443" s="70"/>
      <c r="K443" s="70"/>
      <c r="L443" s="191">
        <v>8.0415066021185009</v>
      </c>
      <c r="M443" s="323">
        <v>-88.142520821616102</v>
      </c>
      <c r="N443" s="180" t="s">
        <v>1126</v>
      </c>
      <c r="O443" s="191">
        <v>17.870066229633</v>
      </c>
      <c r="P443" s="323">
        <v>59.783903000000002</v>
      </c>
      <c r="Q443" s="180" t="s">
        <v>1407</v>
      </c>
      <c r="R443" s="191">
        <v>9.5506317316972993</v>
      </c>
      <c r="S443" s="323">
        <v>-23.282120000000003</v>
      </c>
      <c r="T443" s="180" t="s">
        <v>1407</v>
      </c>
      <c r="U443" s="145">
        <v>0.26630972071948467</v>
      </c>
      <c r="V443" s="177">
        <v>9.6352878439699214</v>
      </c>
      <c r="W443" s="460" t="s">
        <v>1126</v>
      </c>
      <c r="X443" s="145">
        <v>0.54001196131999996</v>
      </c>
      <c r="Y443" s="177">
        <v>7.6351599999999999</v>
      </c>
      <c r="Z443" s="460" t="s">
        <v>1466</v>
      </c>
      <c r="AA443" s="145">
        <v>0.57783620150024995</v>
      </c>
      <c r="AB443" s="461">
        <v>1.0242708987323006</v>
      </c>
      <c r="AC443" s="177">
        <v>-3.3838300000000001</v>
      </c>
      <c r="AD443" s="222" t="s">
        <v>1709</v>
      </c>
      <c r="AE443" s="145">
        <v>0.59812265758553818</v>
      </c>
      <c r="AF443" s="177">
        <v>-2.80005156</v>
      </c>
      <c r="AG443" s="365" t="s">
        <v>1126</v>
      </c>
      <c r="AH443" s="145">
        <v>1.1372823839783019</v>
      </c>
      <c r="AI443" s="177">
        <v>-5.2089110444470483</v>
      </c>
      <c r="AJ443" s="464">
        <v>1.5322646749312975E-2</v>
      </c>
      <c r="AK443" s="362" t="s">
        <v>1466</v>
      </c>
      <c r="AL443" s="145">
        <v>0.50489753157100004</v>
      </c>
      <c r="AM443" s="154">
        <v>2.793641</v>
      </c>
      <c r="AN443" s="155" t="s">
        <v>2610</v>
      </c>
      <c r="AO443" s="47"/>
      <c r="AP443" s="47"/>
    </row>
    <row r="444" spans="1:42">
      <c r="A444" s="3"/>
      <c r="B444" s="4"/>
      <c r="C444" s="87"/>
      <c r="D444" s="4"/>
      <c r="E444" s="4"/>
      <c r="F444" s="3"/>
      <c r="G444" s="4"/>
      <c r="H444" s="4"/>
      <c r="I444" s="3"/>
      <c r="J444" s="4"/>
      <c r="K444" s="4"/>
      <c r="L444" s="3"/>
      <c r="M444" s="323">
        <v>-85.449544000000003</v>
      </c>
      <c r="N444" s="180" t="s">
        <v>1408</v>
      </c>
      <c r="O444" s="3"/>
      <c r="P444" s="323">
        <v>79.400157839575982</v>
      </c>
      <c r="Q444" s="180" t="s">
        <v>1126</v>
      </c>
      <c r="R444" s="3"/>
      <c r="S444" s="323">
        <v>-8.7423629820401203</v>
      </c>
      <c r="T444" s="180" t="s">
        <v>1126</v>
      </c>
      <c r="U444" s="100"/>
      <c r="V444" s="177">
        <v>10.357699999999999</v>
      </c>
      <c r="W444" s="460" t="s">
        <v>1466</v>
      </c>
      <c r="X444" s="100"/>
      <c r="Y444" s="177">
        <v>6.8223771900000001</v>
      </c>
      <c r="Z444" s="460" t="s">
        <v>1126</v>
      </c>
      <c r="AA444" s="100"/>
      <c r="AB444" s="462">
        <v>6.2568033275719008</v>
      </c>
      <c r="AC444" s="177">
        <v>-2.5978923299999996</v>
      </c>
      <c r="AD444" s="460" t="s">
        <v>1126</v>
      </c>
      <c r="AE444" s="100"/>
      <c r="AF444" s="177">
        <v>-5.856985199745905</v>
      </c>
      <c r="AG444" s="460" t="s">
        <v>1125</v>
      </c>
      <c r="AH444" s="100"/>
      <c r="AI444" s="177">
        <v>-3.6389152900000004</v>
      </c>
      <c r="AJ444" s="465">
        <v>9.0785839980333682E-2</v>
      </c>
      <c r="AK444" s="460" t="s">
        <v>1126</v>
      </c>
      <c r="AL444" s="84"/>
      <c r="AM444" s="177">
        <v>4.087257223111469</v>
      </c>
      <c r="AN444" s="460" t="s">
        <v>1126</v>
      </c>
      <c r="AO444" s="47"/>
      <c r="AP444" s="47"/>
    </row>
    <row r="445" spans="1:42">
      <c r="A445" s="3"/>
      <c r="B445" s="4"/>
      <c r="C445" s="87"/>
      <c r="D445" s="4"/>
      <c r="E445" s="4"/>
      <c r="F445" s="3"/>
      <c r="G445" s="4"/>
      <c r="H445" s="4"/>
      <c r="I445" s="3"/>
      <c r="J445" s="4"/>
      <c r="K445" s="4"/>
      <c r="L445" s="3"/>
      <c r="M445" s="4"/>
      <c r="N445" s="4"/>
      <c r="O445" s="3"/>
      <c r="P445" s="4"/>
      <c r="Q445" s="4"/>
      <c r="R445" s="3"/>
      <c r="S445" s="9"/>
      <c r="T445" s="4"/>
      <c r="U445" s="100"/>
      <c r="V445" s="177">
        <v>11.759905998517057</v>
      </c>
      <c r="W445" s="460" t="s">
        <v>1125</v>
      </c>
      <c r="X445" s="100"/>
      <c r="Y445" s="177">
        <v>8.39</v>
      </c>
      <c r="Z445" s="460" t="s">
        <v>1125</v>
      </c>
      <c r="AA445" s="100"/>
      <c r="AB445" s="225">
        <v>2.8099999999999992</v>
      </c>
      <c r="AC445" s="177">
        <v>-2.9455385139468739</v>
      </c>
      <c r="AD445" s="460" t="s">
        <v>1125</v>
      </c>
      <c r="AE445" s="100"/>
      <c r="AF445" s="177">
        <v>-5.0832299999999995</v>
      </c>
      <c r="AG445" s="460" t="s">
        <v>1710</v>
      </c>
      <c r="AH445" s="100"/>
      <c r="AI445" s="177">
        <v>-6.3100000000000014</v>
      </c>
      <c r="AJ445" s="466">
        <v>1.9361250596926195E-4</v>
      </c>
      <c r="AK445" s="460" t="s">
        <v>1125</v>
      </c>
      <c r="AL445" s="84"/>
      <c r="AM445" s="154">
        <v>1.0167251661480474</v>
      </c>
      <c r="AN445" s="155" t="s">
        <v>2611</v>
      </c>
      <c r="AO445" s="47"/>
      <c r="AP445" s="47"/>
    </row>
    <row r="446" spans="1:42">
      <c r="A446" s="3"/>
      <c r="B446" s="4"/>
      <c r="C446" s="87"/>
      <c r="D446" s="4"/>
      <c r="E446" s="4"/>
      <c r="F446" s="3"/>
      <c r="G446" s="4"/>
      <c r="H446" s="4"/>
      <c r="I446" s="3"/>
      <c r="J446" s="4"/>
      <c r="K446" s="4"/>
      <c r="L446" s="3"/>
      <c r="M446" s="4"/>
      <c r="N446" s="4"/>
      <c r="O446" s="3"/>
      <c r="P446" s="4"/>
      <c r="Q446" s="4"/>
      <c r="R446" s="3"/>
      <c r="S446" s="9"/>
      <c r="T446" s="4"/>
      <c r="U446" s="100"/>
      <c r="V446" s="177">
        <v>9.4942000000000011</v>
      </c>
      <c r="W446" s="460" t="s">
        <v>1705</v>
      </c>
      <c r="X446" s="100"/>
      <c r="Y446" s="177">
        <v>7.41831</v>
      </c>
      <c r="Z446" s="460" t="s">
        <v>1707</v>
      </c>
      <c r="AA446" s="100"/>
      <c r="AB446" s="461">
        <v>5.139999999999997</v>
      </c>
      <c r="AC446" s="177">
        <v>-2.6832817148566783</v>
      </c>
      <c r="AD446" s="460" t="s">
        <v>1465</v>
      </c>
      <c r="AE446" s="100"/>
      <c r="AF446" s="177">
        <v>-3.3353580244438743</v>
      </c>
      <c r="AG446" s="460" t="s">
        <v>1465</v>
      </c>
      <c r="AH446" s="100"/>
      <c r="AI446" s="177">
        <v>-3.032575125514454</v>
      </c>
      <c r="AJ446" s="467">
        <v>0.3667399999999999</v>
      </c>
      <c r="AK446" s="460" t="s">
        <v>1467</v>
      </c>
      <c r="AL446" s="84"/>
      <c r="AM446" s="1"/>
      <c r="AN446" s="1"/>
      <c r="AO446" s="47"/>
      <c r="AP446" s="47"/>
    </row>
    <row r="447" spans="1:42">
      <c r="A447" s="3"/>
      <c r="B447" s="4"/>
      <c r="C447" s="87"/>
      <c r="D447" s="4"/>
      <c r="E447" s="4"/>
      <c r="F447" s="3"/>
      <c r="G447" s="4"/>
      <c r="H447" s="4"/>
      <c r="I447" s="3"/>
      <c r="J447" s="4"/>
      <c r="K447" s="4"/>
      <c r="L447" s="3"/>
      <c r="M447" s="4"/>
      <c r="N447" s="4"/>
      <c r="O447" s="3"/>
      <c r="P447" s="4"/>
      <c r="Q447" s="4"/>
      <c r="R447" s="3"/>
      <c r="S447" s="9"/>
      <c r="T447" s="4"/>
      <c r="U447" s="100"/>
      <c r="V447" s="177">
        <v>9.5815999999999999</v>
      </c>
      <c r="W447" s="460" t="s">
        <v>1706</v>
      </c>
      <c r="X447" s="8"/>
      <c r="Y447" s="177">
        <v>7.9793200000000004</v>
      </c>
      <c r="Z447" s="460" t="s">
        <v>1708</v>
      </c>
      <c r="AA447" s="47"/>
      <c r="AB447" s="463">
        <v>1.0527363524999986</v>
      </c>
      <c r="AC447" s="177">
        <v>-3.3719252138450089</v>
      </c>
      <c r="AD447" s="460" t="s">
        <v>1466</v>
      </c>
      <c r="AE447" s="13"/>
      <c r="AF447" s="177">
        <v>-3.8500628087177553</v>
      </c>
      <c r="AG447" s="460" t="s">
        <v>1466</v>
      </c>
      <c r="AH447" s="84"/>
      <c r="AI447" s="177">
        <v>-3.1433093325732147</v>
      </c>
      <c r="AJ447" s="464">
        <v>0.2841999999999999</v>
      </c>
      <c r="AK447" s="460" t="s">
        <v>1468</v>
      </c>
      <c r="AL447" s="84"/>
      <c r="AM447" s="47"/>
      <c r="AN447" s="45"/>
      <c r="AO447" s="47"/>
      <c r="AP447" s="47"/>
    </row>
    <row r="448" spans="1:42">
      <c r="A448" s="3"/>
      <c r="B448" s="4"/>
      <c r="C448" s="87"/>
      <c r="D448" s="4"/>
      <c r="E448" s="4"/>
      <c r="F448" s="3"/>
      <c r="G448" s="4"/>
      <c r="H448" s="4"/>
      <c r="I448" s="3"/>
      <c r="J448" s="4"/>
      <c r="K448" s="4"/>
      <c r="L448" s="3"/>
      <c r="M448" s="4"/>
      <c r="N448" s="4"/>
      <c r="O448" s="3"/>
      <c r="P448" s="4"/>
      <c r="Q448" s="4"/>
      <c r="R448" s="3"/>
      <c r="S448" s="9"/>
      <c r="T448" s="4"/>
      <c r="U448" s="87"/>
      <c r="V448" s="177">
        <v>10.952999999999999</v>
      </c>
      <c r="W448" s="460" t="s">
        <v>1465</v>
      </c>
      <c r="X448" s="8"/>
      <c r="Y448" s="177">
        <v>8.27</v>
      </c>
      <c r="Z448" s="460" t="s">
        <v>1465</v>
      </c>
      <c r="AA448" s="47"/>
      <c r="AB448" s="47"/>
      <c r="AC448" s="47"/>
      <c r="AD448" s="45"/>
      <c r="AE448" s="5"/>
      <c r="AF448" s="6"/>
      <c r="AG448" s="7"/>
      <c r="AH448" s="84"/>
      <c r="AI448" s="47"/>
      <c r="AJ448" s="47"/>
      <c r="AK448" s="45"/>
      <c r="AL448" s="84"/>
      <c r="AM448" s="47"/>
      <c r="AN448" s="45"/>
      <c r="AO448" s="47"/>
      <c r="AP448" s="47"/>
    </row>
    <row r="449" spans="1:43">
      <c r="A449" s="3"/>
      <c r="B449" s="4"/>
      <c r="C449" s="87"/>
      <c r="D449" s="4"/>
      <c r="E449" s="4"/>
      <c r="F449" s="3"/>
      <c r="G449" s="4"/>
      <c r="H449" s="4"/>
      <c r="I449" s="3"/>
      <c r="J449" s="4"/>
      <c r="K449" s="4"/>
      <c r="L449" s="3"/>
      <c r="M449" s="4"/>
      <c r="N449" s="4"/>
      <c r="O449" s="3"/>
      <c r="P449" s="4"/>
      <c r="Q449" s="4"/>
      <c r="R449" s="3"/>
      <c r="S449" s="4"/>
      <c r="T449" s="4"/>
      <c r="U449" s="87"/>
      <c r="V449" s="8"/>
      <c r="W449" s="45"/>
      <c r="X449" s="8"/>
      <c r="Y449" s="8"/>
      <c r="Z449" s="45"/>
      <c r="AA449" s="47"/>
      <c r="AB449" s="47"/>
      <c r="AC449" s="47"/>
      <c r="AD449" s="45"/>
      <c r="AE449" s="5"/>
      <c r="AF449" s="6"/>
      <c r="AG449" s="7"/>
      <c r="AH449" s="84"/>
      <c r="AI449" s="47"/>
      <c r="AJ449" s="47"/>
      <c r="AK449" s="45"/>
      <c r="AL449" s="84"/>
      <c r="AM449" s="47"/>
      <c r="AN449" s="45"/>
      <c r="AO449" s="47"/>
      <c r="AP449" s="47"/>
    </row>
    <row r="450" spans="1:43">
      <c r="A450" s="3" t="s">
        <v>135</v>
      </c>
      <c r="B450" s="4" t="s">
        <v>136</v>
      </c>
      <c r="C450" s="157">
        <v>108.10795856848002</v>
      </c>
      <c r="D450" s="30">
        <v>108.10795856848002</v>
      </c>
      <c r="E450" s="30" t="s">
        <v>1126</v>
      </c>
      <c r="F450" s="187">
        <v>14.248691061304086</v>
      </c>
      <c r="G450" s="318">
        <v>14.248691061304086</v>
      </c>
      <c r="H450" s="70" t="s">
        <v>1126</v>
      </c>
      <c r="I450" s="187"/>
      <c r="J450" s="318">
        <v>5.8868070856240564</v>
      </c>
      <c r="K450" s="70" t="s">
        <v>1126</v>
      </c>
      <c r="L450" s="191">
        <v>-102.22115148285596</v>
      </c>
      <c r="M450" s="276">
        <v>-102.22115148285596</v>
      </c>
      <c r="N450" s="13" t="s">
        <v>2792</v>
      </c>
      <c r="O450" s="187">
        <v>65.77873559999999</v>
      </c>
      <c r="P450" s="318">
        <v>65.77873559999999</v>
      </c>
      <c r="Q450" s="70" t="s">
        <v>2793</v>
      </c>
      <c r="R450" s="187">
        <v>-34.130763999999999</v>
      </c>
      <c r="S450" s="491">
        <v>-34.130763999999999</v>
      </c>
      <c r="T450" s="13" t="s">
        <v>2793</v>
      </c>
      <c r="U450" s="145">
        <v>11.239799310382352</v>
      </c>
      <c r="V450" s="15">
        <v>11.239799310382352</v>
      </c>
      <c r="W450" s="320" t="s">
        <v>2792</v>
      </c>
      <c r="X450" s="145">
        <v>8.3227200000000003</v>
      </c>
      <c r="Y450" s="15">
        <v>8.3227200000000003</v>
      </c>
      <c r="Z450" s="320" t="s">
        <v>2868</v>
      </c>
      <c r="AA450" s="145">
        <v>-2.7664286699999998</v>
      </c>
      <c r="AB450" s="371">
        <v>4.24439861211928</v>
      </c>
      <c r="AC450" s="15">
        <v>-2.7664286699999998</v>
      </c>
      <c r="AD450" s="320" t="s">
        <v>2792</v>
      </c>
      <c r="AE450" s="145">
        <v>-4.9454611399476276</v>
      </c>
      <c r="AF450" s="15">
        <v>-4.9454611399476276</v>
      </c>
      <c r="AG450" s="320" t="s">
        <v>2868</v>
      </c>
      <c r="AH450" s="145">
        <v>-7.8368237113201964</v>
      </c>
      <c r="AI450" s="15">
        <v>-5.450167640000001</v>
      </c>
      <c r="AJ450" s="229">
        <v>1.7685303050446761E-3</v>
      </c>
      <c r="AK450" s="320" t="s">
        <v>2792</v>
      </c>
      <c r="AL450" s="145">
        <v>2.7179462000000001</v>
      </c>
      <c r="AM450" s="15">
        <v>2.7179462000000001</v>
      </c>
      <c r="AN450" s="320" t="s">
        <v>2871</v>
      </c>
      <c r="AO450" s="47"/>
      <c r="AP450" s="47"/>
    </row>
    <row r="451" spans="1:43">
      <c r="A451" s="3"/>
      <c r="B451" s="171">
        <v>498.63200000000001</v>
      </c>
      <c r="C451" s="157">
        <v>7.2820439812142457</v>
      </c>
      <c r="D451" s="206">
        <v>159.74512000000001</v>
      </c>
      <c r="E451" s="206" t="s">
        <v>1125</v>
      </c>
      <c r="F451" s="157">
        <v>8.7181471180052732</v>
      </c>
      <c r="G451" s="70"/>
      <c r="H451" s="70"/>
      <c r="I451" s="157"/>
      <c r="J451" s="70"/>
      <c r="K451" s="70"/>
      <c r="L451" s="191">
        <v>9.3259423132353962</v>
      </c>
      <c r="M451" s="323">
        <v>-102.22115148285596</v>
      </c>
      <c r="N451" s="180" t="s">
        <v>1126</v>
      </c>
      <c r="O451" s="191">
        <v>19.661987636931595</v>
      </c>
      <c r="P451" s="323">
        <v>65.77873559999999</v>
      </c>
      <c r="Q451" s="180" t="s">
        <v>1407</v>
      </c>
      <c r="R451" s="191">
        <v>14.000888135851536</v>
      </c>
      <c r="S451" s="323">
        <v>-34.130763999999999</v>
      </c>
      <c r="T451" s="180" t="s">
        <v>1407</v>
      </c>
      <c r="U451" s="145">
        <v>0.31065681313965782</v>
      </c>
      <c r="V451" s="177">
        <v>11.239799310382352</v>
      </c>
      <c r="W451" s="460" t="s">
        <v>1126</v>
      </c>
      <c r="X451" s="145">
        <v>0.58864101743999997</v>
      </c>
      <c r="Y451" s="177">
        <v>8.3227200000000003</v>
      </c>
      <c r="Z451" s="460" t="s">
        <v>1466</v>
      </c>
      <c r="AA451" s="145">
        <v>0.61532289692474995</v>
      </c>
      <c r="AB451" s="461">
        <v>0.26680799169363301</v>
      </c>
      <c r="AC451" s="177">
        <v>-3.9680459999999997</v>
      </c>
      <c r="AD451" s="222" t="s">
        <v>1709</v>
      </c>
      <c r="AE451" s="145">
        <v>0.76829716993542374</v>
      </c>
      <c r="AF451" s="177">
        <v>-4.7798397799999996</v>
      </c>
      <c r="AG451" s="365" t="s">
        <v>1126</v>
      </c>
      <c r="AH451" s="145">
        <v>1.7110450681873837</v>
      </c>
      <c r="AI451" s="177">
        <v>-7.8368237113201964</v>
      </c>
      <c r="AJ451" s="464">
        <v>3.609284550555002E-5</v>
      </c>
      <c r="AK451" s="362" t="s">
        <v>1466</v>
      </c>
      <c r="AL451" s="145">
        <v>0.49121713467220002</v>
      </c>
      <c r="AM451" s="154">
        <v>2.7179462000000001</v>
      </c>
      <c r="AN451" s="155" t="s">
        <v>2610</v>
      </c>
      <c r="AO451" s="47"/>
      <c r="AP451" s="47"/>
    </row>
    <row r="452" spans="1:43">
      <c r="A452" s="3"/>
      <c r="B452" s="171"/>
      <c r="C452" s="157"/>
      <c r="D452" s="206"/>
      <c r="E452" s="206"/>
      <c r="F452" s="157"/>
      <c r="G452" s="70"/>
      <c r="H452" s="70"/>
      <c r="I452" s="157"/>
      <c r="J452" s="70"/>
      <c r="K452" s="70"/>
      <c r="L452" s="191"/>
      <c r="M452" s="323">
        <v>-102.29196779999999</v>
      </c>
      <c r="N452" s="180" t="s">
        <v>1408</v>
      </c>
      <c r="O452" s="191"/>
      <c r="P452" s="323">
        <v>93.859267507175929</v>
      </c>
      <c r="Q452" s="180" t="s">
        <v>1126</v>
      </c>
      <c r="R452" s="3"/>
      <c r="S452" s="323">
        <v>-8.3618839756800298</v>
      </c>
      <c r="T452" s="180" t="s">
        <v>1126</v>
      </c>
      <c r="U452" s="100"/>
      <c r="V452" s="177">
        <v>11.700699999999999</v>
      </c>
      <c r="W452" s="460" t="s">
        <v>1466</v>
      </c>
      <c r="X452" s="100"/>
      <c r="Y452" s="177">
        <v>8.1972607400000008</v>
      </c>
      <c r="Z452" s="460" t="s">
        <v>1126</v>
      </c>
      <c r="AA452" s="100"/>
      <c r="AB452" s="462">
        <v>4.24439861211928</v>
      </c>
      <c r="AC452" s="177">
        <v>-2.7664286699999998</v>
      </c>
      <c r="AD452" s="460" t="s">
        <v>1126</v>
      </c>
      <c r="AE452" s="100"/>
      <c r="AF452" s="177">
        <v>-8.9393021596463882</v>
      </c>
      <c r="AG452" s="460" t="s">
        <v>1125</v>
      </c>
      <c r="AH452" s="100"/>
      <c r="AI452" s="177">
        <v>-5.450167640000001</v>
      </c>
      <c r="AJ452" s="465">
        <v>1.7685303050446761E-3</v>
      </c>
      <c r="AK452" s="460" t="s">
        <v>1126</v>
      </c>
      <c r="AL452" s="84"/>
      <c r="AM452" s="177">
        <v>3.5105591909590546</v>
      </c>
      <c r="AN452" s="460" t="s">
        <v>1126</v>
      </c>
      <c r="AO452" s="47"/>
      <c r="AP452" s="47"/>
    </row>
    <row r="453" spans="1:43">
      <c r="A453" s="3"/>
      <c r="B453" s="171"/>
      <c r="C453" s="157"/>
      <c r="D453" s="206"/>
      <c r="E453" s="206"/>
      <c r="F453" s="157"/>
      <c r="G453" s="70"/>
      <c r="H453" s="70"/>
      <c r="I453" s="157"/>
      <c r="J453" s="70"/>
      <c r="K453" s="70"/>
      <c r="L453" s="191"/>
      <c r="M453" s="323"/>
      <c r="N453" s="180"/>
      <c r="O453" s="191"/>
      <c r="P453" s="318"/>
      <c r="Q453" s="70"/>
      <c r="R453" s="3"/>
      <c r="S453" s="9"/>
      <c r="T453" s="4"/>
      <c r="U453" s="100"/>
      <c r="V453" s="177">
        <v>14.332352401291315</v>
      </c>
      <c r="W453" s="460" t="s">
        <v>1125</v>
      </c>
      <c r="X453" s="100"/>
      <c r="Y453" s="177">
        <v>10.54</v>
      </c>
      <c r="Z453" s="460" t="s">
        <v>1125</v>
      </c>
      <c r="AA453" s="100"/>
      <c r="AB453" s="225">
        <v>1.6499999999999995</v>
      </c>
      <c r="AC453" s="177">
        <v>-3.1767608896380475</v>
      </c>
      <c r="AD453" s="460" t="s">
        <v>1125</v>
      </c>
      <c r="AE453" s="100"/>
      <c r="AF453" s="177">
        <v>-7.4337259999999974</v>
      </c>
      <c r="AG453" s="460" t="s">
        <v>1710</v>
      </c>
      <c r="AH453" s="100"/>
      <c r="AI453" s="177">
        <v>-9.1600000000000019</v>
      </c>
      <c r="AJ453" s="466">
        <v>3.4496906069124948E-7</v>
      </c>
      <c r="AK453" s="460" t="s">
        <v>1125</v>
      </c>
      <c r="AL453" s="84"/>
      <c r="AM453" s="154">
        <v>0.73224916614804769</v>
      </c>
      <c r="AN453" s="155" t="s">
        <v>2611</v>
      </c>
      <c r="AO453" s="47"/>
      <c r="AP453" s="47"/>
    </row>
    <row r="454" spans="1:43">
      <c r="A454" s="3"/>
      <c r="B454" s="171"/>
      <c r="C454" s="157"/>
      <c r="D454" s="206"/>
      <c r="E454" s="206"/>
      <c r="F454" s="157"/>
      <c r="G454" s="70"/>
      <c r="H454" s="70"/>
      <c r="I454" s="157"/>
      <c r="J454" s="70"/>
      <c r="K454" s="70"/>
      <c r="L454" s="191"/>
      <c r="M454" s="323"/>
      <c r="N454" s="180"/>
      <c r="O454" s="191"/>
      <c r="P454" s="318"/>
      <c r="Q454" s="70"/>
      <c r="R454" s="3"/>
      <c r="S454" s="9"/>
      <c r="T454" s="4"/>
      <c r="U454" s="100"/>
      <c r="V454" s="177">
        <v>11.560220000000001</v>
      </c>
      <c r="W454" s="460" t="s">
        <v>1705</v>
      </c>
      <c r="X454" s="100"/>
      <c r="Y454" s="177">
        <v>8.8796420000000005</v>
      </c>
      <c r="Z454" s="460" t="s">
        <v>1707</v>
      </c>
      <c r="AA454" s="100"/>
      <c r="AB454" s="461">
        <v>2.0899999999999981</v>
      </c>
      <c r="AC454" s="177">
        <v>-3.0740985477409</v>
      </c>
      <c r="AD454" s="460" t="s">
        <v>1465</v>
      </c>
      <c r="AE454" s="100"/>
      <c r="AF454" s="177">
        <v>-4.8386319977650247</v>
      </c>
      <c r="AG454" s="460" t="s">
        <v>1465</v>
      </c>
      <c r="AH454" s="100"/>
      <c r="AI454" s="177">
        <v>-5.1082549987267551</v>
      </c>
      <c r="AJ454" s="467">
        <v>3.886200000000002E-3</v>
      </c>
      <c r="AK454" s="460" t="s">
        <v>1467</v>
      </c>
      <c r="AL454" s="84"/>
      <c r="AM454" s="1"/>
      <c r="AN454" s="1"/>
      <c r="AO454" s="47"/>
      <c r="AP454" s="47"/>
    </row>
    <row r="455" spans="1:43">
      <c r="A455" s="3"/>
      <c r="B455" s="171"/>
      <c r="C455" s="157"/>
      <c r="D455" s="206"/>
      <c r="E455" s="206"/>
      <c r="F455" s="157"/>
      <c r="G455" s="70"/>
      <c r="H455" s="70"/>
      <c r="I455" s="157"/>
      <c r="J455" s="70"/>
      <c r="K455" s="70"/>
      <c r="L455" s="191"/>
      <c r="M455" s="323"/>
      <c r="N455" s="180"/>
      <c r="O455" s="191"/>
      <c r="P455" s="318"/>
      <c r="Q455" s="70"/>
      <c r="R455" s="3"/>
      <c r="S455" s="9"/>
      <c r="T455" s="4"/>
      <c r="U455" s="100"/>
      <c r="V455" s="177">
        <v>11.58395</v>
      </c>
      <c r="W455" s="460" t="s">
        <v>1706</v>
      </c>
      <c r="X455" s="8"/>
      <c r="Y455" s="177">
        <v>9.621004000000001</v>
      </c>
      <c r="Z455" s="460" t="s">
        <v>1708</v>
      </c>
      <c r="AA455" s="47"/>
      <c r="AB455" s="463">
        <v>1.1023957349999993</v>
      </c>
      <c r="AC455" s="177">
        <v>-3.3519073095038863</v>
      </c>
      <c r="AD455" s="460" t="s">
        <v>1466</v>
      </c>
      <c r="AE455" s="13"/>
      <c r="AF455" s="177">
        <v>-4.9454611399476276</v>
      </c>
      <c r="AG455" s="460" t="s">
        <v>1466</v>
      </c>
      <c r="AH455" s="84"/>
      <c r="AI455" s="177">
        <v>-3.8967882849041211</v>
      </c>
      <c r="AJ455" s="464">
        <v>6.3239999999999935E-2</v>
      </c>
      <c r="AK455" s="460" t="s">
        <v>1468</v>
      </c>
      <c r="AL455" s="84"/>
      <c r="AM455" s="47"/>
      <c r="AN455" s="45"/>
      <c r="AO455" s="47"/>
      <c r="AP455" s="47"/>
    </row>
    <row r="456" spans="1:43">
      <c r="A456" s="3"/>
      <c r="B456" s="171"/>
      <c r="C456" s="157"/>
      <c r="D456" s="206"/>
      <c r="E456" s="206"/>
      <c r="F456" s="157"/>
      <c r="G456" s="70"/>
      <c r="H456" s="70"/>
      <c r="I456" s="157"/>
      <c r="J456" s="70"/>
      <c r="K456" s="70"/>
      <c r="L456" s="191"/>
      <c r="M456" s="323"/>
      <c r="N456" s="180"/>
      <c r="O456" s="191"/>
      <c r="P456" s="318"/>
      <c r="Q456" s="70"/>
      <c r="R456" s="3"/>
      <c r="S456" s="9"/>
      <c r="T456" s="4"/>
      <c r="U456" s="87"/>
      <c r="V456" s="177">
        <v>8.6850000000000005</v>
      </c>
      <c r="W456" s="460" t="s">
        <v>1465</v>
      </c>
      <c r="X456" s="8"/>
      <c r="Y456" s="177">
        <v>10.199999999999999</v>
      </c>
      <c r="Z456" s="460" t="s">
        <v>1465</v>
      </c>
      <c r="AA456" s="47"/>
      <c r="AB456" s="47"/>
      <c r="AC456" s="47"/>
      <c r="AD456" s="45"/>
      <c r="AE456" s="5"/>
      <c r="AF456" s="6"/>
      <c r="AG456" s="7"/>
      <c r="AH456" s="84"/>
      <c r="AI456" s="47"/>
      <c r="AJ456" s="47"/>
      <c r="AK456" s="45"/>
      <c r="AL456" s="84"/>
      <c r="AM456" s="47"/>
      <c r="AN456" s="45"/>
      <c r="AO456" s="47"/>
      <c r="AP456" s="47"/>
    </row>
    <row r="457" spans="1:43" customFormat="1">
      <c r="A457" s="505" t="s">
        <v>2028</v>
      </c>
      <c r="B457" s="505"/>
      <c r="C457" s="505"/>
      <c r="D457" s="505"/>
      <c r="E457" s="505"/>
      <c r="F457" s="505"/>
      <c r="G457" s="505"/>
      <c r="H457" s="505"/>
      <c r="I457" s="505"/>
      <c r="J457" s="505"/>
      <c r="K457" s="505"/>
      <c r="L457" s="505"/>
      <c r="M457" s="505"/>
      <c r="N457" s="505"/>
      <c r="O457" s="505"/>
      <c r="P457" s="505"/>
      <c r="Q457" s="505"/>
      <c r="R457" s="505"/>
      <c r="S457" s="505"/>
      <c r="T457" s="505"/>
      <c r="U457" s="505"/>
      <c r="V457" s="505"/>
      <c r="W457" s="505"/>
      <c r="X457" s="505"/>
      <c r="Y457" s="505"/>
      <c r="Z457" s="505"/>
      <c r="AA457" s="505"/>
      <c r="AB457" s="505"/>
      <c r="AC457" s="505"/>
      <c r="AD457" s="505"/>
      <c r="AE457" s="505"/>
      <c r="AF457" s="506"/>
      <c r="AG457" s="505"/>
      <c r="AH457" s="505"/>
      <c r="AI457" s="505"/>
      <c r="AJ457" s="505"/>
      <c r="AK457" s="505"/>
      <c r="AL457" s="505"/>
      <c r="AM457" s="505"/>
      <c r="AN457" s="505"/>
      <c r="AO457" s="505"/>
      <c r="AP457" s="51"/>
      <c r="AQ457" s="51"/>
    </row>
    <row r="458" spans="1:43" customFormat="1">
      <c r="A458" s="391" t="s">
        <v>2027</v>
      </c>
      <c r="B458" s="396" t="s">
        <v>2026</v>
      </c>
      <c r="C458" s="157">
        <v>69.34</v>
      </c>
      <c r="D458" s="318">
        <v>69.34</v>
      </c>
      <c r="E458" s="30" t="s">
        <v>1126</v>
      </c>
      <c r="F458" s="187">
        <v>-1.3400000000000034</v>
      </c>
      <c r="G458" s="318">
        <v>-1.3400000000000034</v>
      </c>
      <c r="H458" s="70" t="s">
        <v>1126</v>
      </c>
      <c r="I458" s="187"/>
      <c r="J458" s="318">
        <v>8.5500000000000043</v>
      </c>
      <c r="K458" s="70" t="s">
        <v>1126</v>
      </c>
      <c r="L458" s="191">
        <v>-60.79</v>
      </c>
      <c r="M458" s="276">
        <v>-60.79</v>
      </c>
      <c r="N458" s="13" t="s">
        <v>2792</v>
      </c>
      <c r="O458" s="187">
        <v>79.281399399999998</v>
      </c>
      <c r="P458" s="318">
        <v>79.281399399999998</v>
      </c>
      <c r="Q458" s="70" t="s">
        <v>2793</v>
      </c>
      <c r="R458" s="187">
        <v>13.732444000000006</v>
      </c>
      <c r="S458" s="491">
        <v>13.732444000000006</v>
      </c>
      <c r="T458" s="13" t="s">
        <v>2793</v>
      </c>
      <c r="U458" s="145">
        <v>6.694</v>
      </c>
      <c r="V458" s="15">
        <v>6.694</v>
      </c>
      <c r="W458" s="320" t="s">
        <v>2869</v>
      </c>
      <c r="X458" s="145">
        <v>1.71</v>
      </c>
      <c r="Y458" s="15">
        <v>1.71</v>
      </c>
      <c r="Z458" s="320" t="s">
        <v>2792</v>
      </c>
      <c r="AA458" s="145">
        <v>-5.22</v>
      </c>
      <c r="AB458" s="371">
        <v>1.4936362108492121E-2</v>
      </c>
      <c r="AC458" s="15">
        <v>-5.22</v>
      </c>
      <c r="AD458" s="320" t="s">
        <v>2792</v>
      </c>
      <c r="AE458" s="145">
        <v>-0.39999819567249156</v>
      </c>
      <c r="AF458" s="15">
        <v>-0.39999819567249156</v>
      </c>
      <c r="AG458" s="320" t="s">
        <v>2868</v>
      </c>
      <c r="AH458" s="145">
        <v>1.55</v>
      </c>
      <c r="AI458" s="15">
        <v>1.55</v>
      </c>
      <c r="AJ458" s="229">
        <v>6889.7663921375706</v>
      </c>
      <c r="AK458" s="320" t="s">
        <v>2792</v>
      </c>
      <c r="AL458" s="145">
        <v>2.4956207999999984</v>
      </c>
      <c r="AM458" s="15">
        <v>2.4956207999999984</v>
      </c>
      <c r="AN458" s="320" t="s">
        <v>2871</v>
      </c>
      <c r="AO458" s="220" t="s">
        <v>1941</v>
      </c>
      <c r="AP458" s="51"/>
      <c r="AQ458" s="51"/>
    </row>
    <row r="459" spans="1:43" customFormat="1">
      <c r="A459" s="391" t="s">
        <v>2024</v>
      </c>
      <c r="B459" s="396">
        <v>194.18</v>
      </c>
      <c r="C459" s="157">
        <v>7.2844443600000002</v>
      </c>
      <c r="D459" s="318">
        <v>91.922479999999993</v>
      </c>
      <c r="E459" s="206" t="s">
        <v>1125</v>
      </c>
      <c r="F459" s="157">
        <v>1.8797252000000046</v>
      </c>
      <c r="G459" s="70"/>
      <c r="H459" s="70"/>
      <c r="I459" s="157"/>
      <c r="J459" s="70"/>
      <c r="K459" s="70"/>
      <c r="L459" s="191">
        <v>11.601467549999999</v>
      </c>
      <c r="M459" s="323">
        <v>-60.79</v>
      </c>
      <c r="N459" s="180" t="s">
        <v>1126</v>
      </c>
      <c r="O459" s="191">
        <v>14.862804664118599</v>
      </c>
      <c r="P459" s="323">
        <v>79.281399399999998</v>
      </c>
      <c r="Q459" s="180" t="s">
        <v>1407</v>
      </c>
      <c r="R459" s="191">
        <v>5.6332290796609685</v>
      </c>
      <c r="S459" s="323">
        <v>13.732444000000006</v>
      </c>
      <c r="T459" s="180" t="s">
        <v>1407</v>
      </c>
      <c r="U459" s="145">
        <v>0.45409418399999996</v>
      </c>
      <c r="V459" s="177">
        <v>6.73</v>
      </c>
      <c r="W459" s="460" t="s">
        <v>1126</v>
      </c>
      <c r="X459" s="145">
        <v>0.14554151999999998</v>
      </c>
      <c r="Y459" s="177">
        <v>1.76725</v>
      </c>
      <c r="Z459" s="460" t="s">
        <v>1466</v>
      </c>
      <c r="AA459" s="145">
        <v>1.05409548</v>
      </c>
      <c r="AB459" s="461">
        <v>2.1017489244924019E-2</v>
      </c>
      <c r="AC459" s="177">
        <v>-5.0716640000000002</v>
      </c>
      <c r="AD459" s="222" t="s">
        <v>1709</v>
      </c>
      <c r="AE459" s="145">
        <v>6.1903720762274801E-2</v>
      </c>
      <c r="AF459" s="177">
        <v>-0.29599999999999999</v>
      </c>
      <c r="AG459" s="365" t="s">
        <v>1126</v>
      </c>
      <c r="AH459" s="145">
        <v>0.42731639999999999</v>
      </c>
      <c r="AI459" s="177">
        <v>0.75239574450480207</v>
      </c>
      <c r="AJ459" s="464">
        <v>14016.532177331999</v>
      </c>
      <c r="AK459" s="362" t="s">
        <v>1466</v>
      </c>
      <c r="AL459" s="145">
        <v>0.4510360428047997</v>
      </c>
      <c r="AM459" s="154">
        <v>2.4956207999999984</v>
      </c>
      <c r="AN459" s="155" t="s">
        <v>2610</v>
      </c>
      <c r="AO459" s="220" t="s">
        <v>2018</v>
      </c>
      <c r="AP459" s="51"/>
      <c r="AQ459" s="51"/>
    </row>
    <row r="460" spans="1:43" customFormat="1">
      <c r="A460" s="391"/>
      <c r="B460" s="396"/>
      <c r="C460" s="395"/>
      <c r="D460" s="255"/>
      <c r="E460" s="255"/>
      <c r="F460" s="267"/>
      <c r="G460" s="268"/>
      <c r="H460" s="268"/>
      <c r="I460" s="267"/>
      <c r="J460" s="268"/>
      <c r="K460" s="268"/>
      <c r="L460" s="338"/>
      <c r="M460" s="323">
        <v>-65.541584200000003</v>
      </c>
      <c r="N460" s="180" t="s">
        <v>1408</v>
      </c>
      <c r="O460" s="393"/>
      <c r="P460" s="323">
        <v>70.680000000000007</v>
      </c>
      <c r="Q460" s="180" t="s">
        <v>1126</v>
      </c>
      <c r="R460" s="3"/>
      <c r="S460" s="323">
        <v>9.8900000000000077</v>
      </c>
      <c r="T460" s="180" t="s">
        <v>1126</v>
      </c>
      <c r="U460" s="100"/>
      <c r="V460" s="177">
        <v>5.6764999999999999</v>
      </c>
      <c r="W460" s="460" t="s">
        <v>1466</v>
      </c>
      <c r="X460" s="100"/>
      <c r="Y460" s="177">
        <v>1.71</v>
      </c>
      <c r="Z460" s="460" t="s">
        <v>1126</v>
      </c>
      <c r="AA460" s="100"/>
      <c r="AB460" s="462">
        <v>1.4936362108492121E-2</v>
      </c>
      <c r="AC460" s="177">
        <v>-5.22</v>
      </c>
      <c r="AD460" s="460" t="s">
        <v>1126</v>
      </c>
      <c r="AE460" s="100"/>
      <c r="AF460" s="177">
        <v>-1.2464169411070933</v>
      </c>
      <c r="AG460" s="460" t="s">
        <v>1125</v>
      </c>
      <c r="AH460" s="100"/>
      <c r="AI460" s="177">
        <v>1.55</v>
      </c>
      <c r="AJ460" s="465">
        <v>6889.7663921375706</v>
      </c>
      <c r="AK460" s="460" t="s">
        <v>1126</v>
      </c>
      <c r="AL460" s="84"/>
      <c r="AM460" s="177" t="s">
        <v>652</v>
      </c>
      <c r="AN460" s="460" t="s">
        <v>1126</v>
      </c>
      <c r="AO460" s="220" t="s">
        <v>2022</v>
      </c>
      <c r="AP460" s="51"/>
      <c r="AQ460" s="51"/>
    </row>
    <row r="461" spans="1:43" customFormat="1">
      <c r="A461" s="391"/>
      <c r="B461" s="396"/>
      <c r="C461" s="395"/>
      <c r="D461" s="255"/>
      <c r="E461" s="255"/>
      <c r="F461" s="267"/>
      <c r="G461" s="268"/>
      <c r="H461" s="268"/>
      <c r="I461" s="267"/>
      <c r="J461" s="268"/>
      <c r="K461" s="268"/>
      <c r="L461" s="338"/>
      <c r="M461" s="268"/>
      <c r="N461" s="268"/>
      <c r="O461" s="393"/>
      <c r="P461" s="394"/>
      <c r="Q461" s="268"/>
      <c r="R461" s="3"/>
      <c r="S461" s="9"/>
      <c r="T461" s="4"/>
      <c r="U461" s="100"/>
      <c r="V461" s="177">
        <v>7.8440404984876411</v>
      </c>
      <c r="W461" s="460" t="s">
        <v>1125</v>
      </c>
      <c r="X461" s="100"/>
      <c r="Y461" s="177">
        <v>1.32</v>
      </c>
      <c r="Z461" s="460" t="s">
        <v>1125</v>
      </c>
      <c r="AA461" s="100"/>
      <c r="AB461" s="225">
        <v>1.569999999999997E-3</v>
      </c>
      <c r="AC461" s="177">
        <v>-6.1983451814427202</v>
      </c>
      <c r="AD461" s="460" t="s">
        <v>1125</v>
      </c>
      <c r="AE461" s="100"/>
      <c r="AF461" s="177">
        <v>-0.14798400000000012</v>
      </c>
      <c r="AG461" s="460" t="s">
        <v>1710</v>
      </c>
      <c r="AH461" s="100"/>
      <c r="AI461" s="177">
        <v>1.56</v>
      </c>
      <c r="AJ461" s="466">
        <v>7050.2496675258326</v>
      </c>
      <c r="AK461" s="460" t="s">
        <v>1125</v>
      </c>
      <c r="AL461" s="84"/>
      <c r="AM461" s="154">
        <v>3.4080711661480465</v>
      </c>
      <c r="AN461" s="155" t="s">
        <v>2611</v>
      </c>
      <c r="AO461" s="220" t="s">
        <v>2020</v>
      </c>
      <c r="AP461" s="51"/>
      <c r="AQ461" s="51"/>
    </row>
    <row r="462" spans="1:43" customFormat="1">
      <c r="A462" s="391"/>
      <c r="B462" s="396"/>
      <c r="C462" s="287"/>
      <c r="D462" s="255"/>
      <c r="E462" s="255"/>
      <c r="F462" s="267"/>
      <c r="G462" s="268"/>
      <c r="H462" s="268"/>
      <c r="I462" s="267"/>
      <c r="J462" s="268"/>
      <c r="K462" s="268"/>
      <c r="L462" s="338"/>
      <c r="M462" s="268"/>
      <c r="N462" s="268"/>
      <c r="O462" s="393"/>
      <c r="P462" s="394"/>
      <c r="Q462" s="268"/>
      <c r="R462" s="3"/>
      <c r="S462" s="9"/>
      <c r="T462" s="4"/>
      <c r="U462" s="100"/>
      <c r="V462" s="177">
        <v>6.9503000000000004</v>
      </c>
      <c r="W462" s="460" t="s">
        <v>1705</v>
      </c>
      <c r="X462" s="100"/>
      <c r="Y462" s="177">
        <v>1.6027280000000004</v>
      </c>
      <c r="Z462" s="460" t="s">
        <v>1707</v>
      </c>
      <c r="AA462" s="100"/>
      <c r="AB462" s="461">
        <v>2.2696799999999993E-2</v>
      </c>
      <c r="AC462" s="177">
        <v>-5.0382802031040601</v>
      </c>
      <c r="AD462" s="460" t="s">
        <v>1465</v>
      </c>
      <c r="AE462" s="100"/>
      <c r="AF462" s="177">
        <v>-0.21041928783557454</v>
      </c>
      <c r="AG462" s="460" t="s">
        <v>1465</v>
      </c>
      <c r="AH462" s="100"/>
      <c r="AI462" s="177">
        <v>4.5844935773161533</v>
      </c>
      <c r="AJ462" s="467">
        <v>7459300.0000000177</v>
      </c>
      <c r="AK462" s="460" t="s">
        <v>1467</v>
      </c>
      <c r="AL462" s="84"/>
      <c r="AM462" s="47"/>
      <c r="AN462" s="45"/>
      <c r="AO462" s="220" t="s">
        <v>2018</v>
      </c>
      <c r="AP462" s="51"/>
      <c r="AQ462" s="51"/>
    </row>
    <row r="463" spans="1:43" customFormat="1">
      <c r="A463" s="391"/>
      <c r="B463" s="396"/>
      <c r="C463" s="395"/>
      <c r="D463" s="255"/>
      <c r="E463" s="255"/>
      <c r="F463" s="267"/>
      <c r="G463" s="268"/>
      <c r="H463" s="268"/>
      <c r="I463" s="267"/>
      <c r="J463" s="268"/>
      <c r="K463" s="268"/>
      <c r="L463" s="338"/>
      <c r="M463" s="268"/>
      <c r="N463" s="268"/>
      <c r="O463" s="393"/>
      <c r="P463" s="394"/>
      <c r="Q463" s="268"/>
      <c r="R463" s="3"/>
      <c r="S463" s="9"/>
      <c r="T463" s="4"/>
      <c r="U463" s="100"/>
      <c r="V463" s="177">
        <v>7.3683500000000004</v>
      </c>
      <c r="W463" s="460" t="s">
        <v>1706</v>
      </c>
      <c r="X463" s="8"/>
      <c r="Y463" s="177">
        <v>1.3401359999999995</v>
      </c>
      <c r="Z463" s="460" t="s">
        <v>1708</v>
      </c>
      <c r="AA463" s="47"/>
      <c r="AB463" s="463">
        <v>9.4817199224999857E-3</v>
      </c>
      <c r="AC463" s="177">
        <v>-5.4173577111657067</v>
      </c>
      <c r="AD463" s="460" t="s">
        <v>1466</v>
      </c>
      <c r="AE463" s="13"/>
      <c r="AF463" s="177">
        <v>-0.39999819567249156</v>
      </c>
      <c r="AG463" s="460" t="s">
        <v>1466</v>
      </c>
      <c r="AH463" s="84"/>
      <c r="AI463" s="177">
        <v>4.0158549694660763</v>
      </c>
      <c r="AJ463" s="464">
        <v>2014000.0000000016</v>
      </c>
      <c r="AK463" s="460" t="s">
        <v>1468</v>
      </c>
      <c r="AL463" s="84"/>
      <c r="AM463" s="47"/>
      <c r="AN463" s="45"/>
      <c r="AO463" s="220" t="s">
        <v>2016</v>
      </c>
      <c r="AP463" s="51"/>
      <c r="AQ463" s="51"/>
    </row>
    <row r="464" spans="1:43" customFormat="1">
      <c r="A464" s="391"/>
      <c r="B464" s="396"/>
      <c r="C464" s="395"/>
      <c r="D464" s="255"/>
      <c r="E464" s="255"/>
      <c r="F464" s="267"/>
      <c r="G464" s="268"/>
      <c r="H464" s="268"/>
      <c r="I464" s="267"/>
      <c r="J464" s="268"/>
      <c r="K464" s="268"/>
      <c r="L464" s="338"/>
      <c r="M464" s="268"/>
      <c r="N464" s="268"/>
      <c r="O464" s="393"/>
      <c r="P464" s="394"/>
      <c r="Q464" s="268"/>
      <c r="R464" s="3"/>
      <c r="S464" s="9"/>
      <c r="T464" s="4"/>
      <c r="U464" s="100"/>
      <c r="V464" s="177">
        <v>6.694</v>
      </c>
      <c r="W464" s="460" t="s">
        <v>1465</v>
      </c>
      <c r="X464" s="8"/>
      <c r="Y464" s="177">
        <v>1.66</v>
      </c>
      <c r="Z464" s="460" t="s">
        <v>1465</v>
      </c>
      <c r="AA464" s="47"/>
      <c r="AB464" s="47"/>
      <c r="AC464" s="47"/>
      <c r="AD464" s="45"/>
      <c r="AE464" s="13"/>
      <c r="AF464" s="9"/>
      <c r="AG464" s="9"/>
      <c r="AH464" s="84"/>
      <c r="AI464" s="47"/>
      <c r="AJ464" s="47"/>
      <c r="AK464" s="47"/>
      <c r="AL464" s="84"/>
      <c r="AM464" s="47"/>
      <c r="AN464" s="47"/>
      <c r="AO464" s="220"/>
      <c r="AP464" s="51"/>
      <c r="AQ464" s="51"/>
    </row>
    <row r="465" spans="1:43" customFormat="1">
      <c r="A465" s="391"/>
      <c r="B465" s="396"/>
      <c r="C465" s="395"/>
      <c r="D465" s="255"/>
      <c r="E465" s="255"/>
      <c r="F465" s="267"/>
      <c r="G465" s="268"/>
      <c r="H465" s="268"/>
      <c r="I465" s="267"/>
      <c r="J465" s="268"/>
      <c r="K465" s="268"/>
      <c r="L465" s="338"/>
      <c r="M465" s="268"/>
      <c r="N465" s="268"/>
      <c r="O465" s="393"/>
      <c r="P465" s="394"/>
      <c r="Q465" s="268"/>
      <c r="R465" s="393"/>
      <c r="S465" s="392"/>
      <c r="T465" s="268"/>
      <c r="U465" s="319"/>
      <c r="V465" s="274"/>
      <c r="W465" s="220"/>
      <c r="X465" s="274"/>
      <c r="Y465" s="274"/>
      <c r="Z465" s="220"/>
      <c r="AA465" s="51"/>
      <c r="AB465" s="51"/>
      <c r="AC465" s="51"/>
      <c r="AD465" s="220"/>
      <c r="AE465" s="389"/>
      <c r="AF465" s="1"/>
      <c r="AG465" s="1"/>
      <c r="AH465" s="219"/>
      <c r="AI465" s="260"/>
      <c r="AJ465" s="263"/>
      <c r="AK465" s="51"/>
      <c r="AL465" s="219"/>
      <c r="AM465" s="51"/>
      <c r="AN465" s="51"/>
      <c r="AO465" s="220"/>
      <c r="AP465" s="51"/>
      <c r="AQ465" s="51"/>
    </row>
    <row r="466" spans="1:43" customFormat="1">
      <c r="A466" s="391" t="s">
        <v>2011</v>
      </c>
      <c r="B466" s="396" t="s">
        <v>2010</v>
      </c>
      <c r="C466" s="157">
        <v>76.569999999999993</v>
      </c>
      <c r="D466" s="318">
        <v>76.569999999999993</v>
      </c>
      <c r="E466" s="30" t="s">
        <v>1126</v>
      </c>
      <c r="F466" s="187">
        <v>-7.0300000000000011</v>
      </c>
      <c r="G466" s="318">
        <v>-7.0300000000000011</v>
      </c>
      <c r="H466" s="70" t="s">
        <v>1126</v>
      </c>
      <c r="I466" s="187"/>
      <c r="J466" s="318">
        <v>7.289999999999992</v>
      </c>
      <c r="K466" s="70" t="s">
        <v>1126</v>
      </c>
      <c r="L466" s="191">
        <v>-69.28</v>
      </c>
      <c r="M466" s="276">
        <v>-69.28</v>
      </c>
      <c r="N466" s="13" t="s">
        <v>2792</v>
      </c>
      <c r="O466" s="187">
        <v>86.346859800000004</v>
      </c>
      <c r="P466" s="318">
        <v>86.346859800000004</v>
      </c>
      <c r="Q466" s="70" t="s">
        <v>2793</v>
      </c>
      <c r="R466" s="187">
        <v>11.982088000000003</v>
      </c>
      <c r="S466" s="491">
        <v>11.982088000000003</v>
      </c>
      <c r="T466" s="13" t="s">
        <v>2793</v>
      </c>
      <c r="U466" s="145">
        <v>7.5049999999999999</v>
      </c>
      <c r="V466" s="15">
        <v>7.5049999999999999</v>
      </c>
      <c r="W466" s="320" t="s">
        <v>2869</v>
      </c>
      <c r="X466" s="145">
        <v>2.59</v>
      </c>
      <c r="Y466" s="15">
        <v>2.59</v>
      </c>
      <c r="Z466" s="320" t="s">
        <v>2792</v>
      </c>
      <c r="AA466" s="145">
        <v>-5.26</v>
      </c>
      <c r="AB466" s="371">
        <v>1.3622124143489686E-2</v>
      </c>
      <c r="AC466" s="15">
        <v>-5.26</v>
      </c>
      <c r="AD466" s="320" t="s">
        <v>2792</v>
      </c>
      <c r="AE466" s="145">
        <v>-0.56710395199844876</v>
      </c>
      <c r="AF466" s="15">
        <v>-0.56710395199844876</v>
      </c>
      <c r="AG466" s="320" t="s">
        <v>2868</v>
      </c>
      <c r="AH466" s="145">
        <v>0.7799999999999998</v>
      </c>
      <c r="AI466" s="15">
        <v>0.7799999999999998</v>
      </c>
      <c r="AJ466" s="229">
        <v>1339.1284240916523</v>
      </c>
      <c r="AK466" s="320" t="s">
        <v>2792</v>
      </c>
      <c r="AL466" s="145">
        <v>2.7502045999999996</v>
      </c>
      <c r="AM466" s="15">
        <v>2.7502045999999996</v>
      </c>
      <c r="AN466" s="320" t="s">
        <v>2871</v>
      </c>
      <c r="AO466" s="220" t="s">
        <v>1941</v>
      </c>
      <c r="AP466" s="51"/>
      <c r="AQ466" s="51"/>
    </row>
    <row r="467" spans="1:43" customFormat="1">
      <c r="A467" s="391" t="s">
        <v>2009</v>
      </c>
      <c r="B467" s="396">
        <v>222.24</v>
      </c>
      <c r="C467" s="157">
        <v>8.0439847799999988</v>
      </c>
      <c r="D467" s="318">
        <v>97.403520000000015</v>
      </c>
      <c r="E467" s="206" t="s">
        <v>1125</v>
      </c>
      <c r="F467" s="157">
        <v>9.8615434000000004</v>
      </c>
      <c r="G467" s="70"/>
      <c r="H467" s="70"/>
      <c r="I467" s="157"/>
      <c r="J467" s="70"/>
      <c r="K467" s="70"/>
      <c r="L467" s="191">
        <v>13.2217416</v>
      </c>
      <c r="M467" s="323">
        <v>-69.28</v>
      </c>
      <c r="N467" s="180" t="s">
        <v>1126</v>
      </c>
      <c r="O467" s="191">
        <v>16.187359459846199</v>
      </c>
      <c r="P467" s="323">
        <v>86.346859800000004</v>
      </c>
      <c r="Q467" s="180" t="s">
        <v>1407</v>
      </c>
      <c r="R467" s="191">
        <v>4.9152100352025263</v>
      </c>
      <c r="S467" s="323">
        <v>11.982088000000003</v>
      </c>
      <c r="T467" s="180" t="s">
        <v>1407</v>
      </c>
      <c r="U467" s="145">
        <v>0.50910917999999994</v>
      </c>
      <c r="V467" s="177">
        <v>7.66</v>
      </c>
      <c r="W467" s="460" t="s">
        <v>1126</v>
      </c>
      <c r="X467" s="145">
        <v>0.22044007999999998</v>
      </c>
      <c r="Y467" s="177">
        <v>2.3652600000000001</v>
      </c>
      <c r="Z467" s="460" t="s">
        <v>1466</v>
      </c>
      <c r="AA467" s="145">
        <v>1.0621728399999999</v>
      </c>
      <c r="AB467" s="461">
        <v>3.4564225818720637E-2</v>
      </c>
      <c r="AC467" s="177">
        <v>-4.8556179999999998</v>
      </c>
      <c r="AD467" s="222" t="s">
        <v>1709</v>
      </c>
      <c r="AE467" s="145">
        <v>8.7765007611279935E-2</v>
      </c>
      <c r="AF467" s="177">
        <v>-1.0840000000000001</v>
      </c>
      <c r="AG467" s="365" t="s">
        <v>1126</v>
      </c>
      <c r="AH467" s="145">
        <v>0.21503663999999995</v>
      </c>
      <c r="AI467" s="177">
        <v>0.56374324417820698</v>
      </c>
      <c r="AJ467" s="464">
        <v>9077.9560962110008</v>
      </c>
      <c r="AK467" s="362" t="s">
        <v>1466</v>
      </c>
      <c r="AL467" s="145">
        <v>0.49704722756259995</v>
      </c>
      <c r="AM467" s="154">
        <v>2.7502045999999996</v>
      </c>
      <c r="AN467" s="155" t="s">
        <v>2610</v>
      </c>
      <c r="AO467" s="220" t="s">
        <v>1943</v>
      </c>
      <c r="AP467" s="51"/>
      <c r="AQ467" s="51"/>
    </row>
    <row r="468" spans="1:43" customFormat="1">
      <c r="A468" s="391"/>
      <c r="B468" s="396"/>
      <c r="C468" s="395"/>
      <c r="D468" s="255"/>
      <c r="E468" s="255"/>
      <c r="F468" s="267"/>
      <c r="G468" s="268"/>
      <c r="H468" s="268"/>
      <c r="I468" s="267"/>
      <c r="J468" s="268"/>
      <c r="K468" s="268"/>
      <c r="L468" s="338"/>
      <c r="M468" s="323">
        <v>-74.357642399999989</v>
      </c>
      <c r="N468" s="180" t="s">
        <v>1408</v>
      </c>
      <c r="O468" s="393"/>
      <c r="P468" s="323">
        <v>83.6</v>
      </c>
      <c r="Q468" s="180" t="s">
        <v>1126</v>
      </c>
      <c r="R468" s="3"/>
      <c r="S468" s="323">
        <v>14.319999999999993</v>
      </c>
      <c r="T468" s="180" t="s">
        <v>1126</v>
      </c>
      <c r="U468" s="100"/>
      <c r="V468" s="177">
        <v>6.7479800000000001</v>
      </c>
      <c r="W468" s="460" t="s">
        <v>1466</v>
      </c>
      <c r="X468" s="100"/>
      <c r="Y468" s="177">
        <v>2.59</v>
      </c>
      <c r="Z468" s="460" t="s">
        <v>1126</v>
      </c>
      <c r="AA468" s="100"/>
      <c r="AB468" s="462">
        <v>1.3622124143489686E-2</v>
      </c>
      <c r="AC468" s="177">
        <v>-5.26</v>
      </c>
      <c r="AD468" s="460" t="s">
        <v>1126</v>
      </c>
      <c r="AE468" s="100"/>
      <c r="AF468" s="177">
        <v>-1.826813731587726</v>
      </c>
      <c r="AG468" s="460" t="s">
        <v>1125</v>
      </c>
      <c r="AH468" s="100"/>
      <c r="AI468" s="177">
        <v>0.7799999999999998</v>
      </c>
      <c r="AJ468" s="465">
        <v>1339.1284240916523</v>
      </c>
      <c r="AK468" s="460" t="s">
        <v>1126</v>
      </c>
      <c r="AL468" s="84"/>
      <c r="AM468" s="177" t="s">
        <v>652</v>
      </c>
      <c r="AN468" s="460" t="s">
        <v>1126</v>
      </c>
      <c r="AO468" s="220" t="s">
        <v>2008</v>
      </c>
      <c r="AP468" s="51"/>
      <c r="AQ468" s="51"/>
    </row>
    <row r="469" spans="1:43" customFormat="1">
      <c r="A469" s="391"/>
      <c r="B469" s="396"/>
      <c r="C469" s="395"/>
      <c r="D469" s="255"/>
      <c r="E469" s="255"/>
      <c r="F469" s="267"/>
      <c r="G469" s="268"/>
      <c r="H469" s="268"/>
      <c r="I469" s="267"/>
      <c r="J469" s="268"/>
      <c r="K469" s="268"/>
      <c r="L469" s="338"/>
      <c r="M469" s="268"/>
      <c r="N469" s="268"/>
      <c r="O469" s="393"/>
      <c r="P469" s="394"/>
      <c r="Q469" s="268"/>
      <c r="R469" s="3"/>
      <c r="S469" s="9"/>
      <c r="T469" s="4"/>
      <c r="U469" s="100"/>
      <c r="V469" s="177">
        <v>8.5914951262507593</v>
      </c>
      <c r="W469" s="460" t="s">
        <v>1125</v>
      </c>
      <c r="X469" s="100"/>
      <c r="Y469" s="177">
        <v>2.41</v>
      </c>
      <c r="Z469" s="460" t="s">
        <v>1125</v>
      </c>
      <c r="AA469" s="100"/>
      <c r="AB469" s="225">
        <v>3.9499999999999943E-3</v>
      </c>
      <c r="AC469" s="177">
        <v>-5.7976477382254936</v>
      </c>
      <c r="AD469" s="460" t="s">
        <v>1125</v>
      </c>
      <c r="AE469" s="100"/>
      <c r="AF469" s="177">
        <v>-1.0780579999999995</v>
      </c>
      <c r="AG469" s="460" t="s">
        <v>1710</v>
      </c>
      <c r="AH469" s="100"/>
      <c r="AI469" s="177">
        <v>0.58000000000000007</v>
      </c>
      <c r="AJ469" s="466">
        <v>844.9329143828154</v>
      </c>
      <c r="AK469" s="460" t="s">
        <v>1125</v>
      </c>
      <c r="AL469" s="84"/>
      <c r="AM469" s="154">
        <v>3.3861571661480454</v>
      </c>
      <c r="AN469" s="155" t="s">
        <v>2611</v>
      </c>
      <c r="AO469" s="220" t="s">
        <v>2007</v>
      </c>
      <c r="AP469" s="51"/>
      <c r="AQ469" s="51"/>
    </row>
    <row r="470" spans="1:43" customFormat="1">
      <c r="A470" s="391"/>
      <c r="B470" s="396"/>
      <c r="C470" s="395"/>
      <c r="D470" s="255"/>
      <c r="E470" s="255"/>
      <c r="F470" s="267"/>
      <c r="G470" s="268"/>
      <c r="H470" s="268"/>
      <c r="I470" s="267"/>
      <c r="J470" s="268"/>
      <c r="K470" s="268"/>
      <c r="L470" s="338"/>
      <c r="M470" s="268"/>
      <c r="N470" s="268"/>
      <c r="O470" s="393"/>
      <c r="P470" s="394"/>
      <c r="Q470" s="268"/>
      <c r="R470" s="3"/>
      <c r="S470" s="9"/>
      <c r="T470" s="4"/>
      <c r="U470" s="100"/>
      <c r="V470" s="177">
        <v>7.8584599999999991</v>
      </c>
      <c r="W470" s="460" t="s">
        <v>1705</v>
      </c>
      <c r="X470" s="100"/>
      <c r="Y470" s="177">
        <v>2.579186</v>
      </c>
      <c r="Z470" s="460" t="s">
        <v>1707</v>
      </c>
      <c r="AA470" s="100"/>
      <c r="AB470" s="461">
        <v>3.9922049999999931E-2</v>
      </c>
      <c r="AC470" s="177">
        <v>-4.7930319996126496</v>
      </c>
      <c r="AD470" s="460" t="s">
        <v>1465</v>
      </c>
      <c r="AE470" s="100"/>
      <c r="AF470" s="177">
        <v>-0.46980030179691779</v>
      </c>
      <c r="AG470" s="460" t="s">
        <v>1465</v>
      </c>
      <c r="AH470" s="100"/>
      <c r="AI470" s="177">
        <v>3.5104378795915396</v>
      </c>
      <c r="AJ470" s="467">
        <v>719880.0000000007</v>
      </c>
      <c r="AK470" s="460" t="s">
        <v>1467</v>
      </c>
      <c r="AL470" s="84"/>
      <c r="AM470" s="47"/>
      <c r="AN470" s="45"/>
      <c r="AO470" s="220" t="s">
        <v>2006</v>
      </c>
      <c r="AP470" s="51"/>
      <c r="AQ470" s="51"/>
    </row>
    <row r="471" spans="1:43" customFormat="1">
      <c r="A471" s="391"/>
      <c r="B471" s="396"/>
      <c r="C471" s="395"/>
      <c r="D471" s="255"/>
      <c r="E471" s="255"/>
      <c r="F471" s="267"/>
      <c r="G471" s="268"/>
      <c r="H471" s="268"/>
      <c r="I471" s="267"/>
      <c r="J471" s="268"/>
      <c r="K471" s="268"/>
      <c r="L471" s="338"/>
      <c r="M471" s="268"/>
      <c r="N471" s="268"/>
      <c r="O471" s="393"/>
      <c r="P471" s="394"/>
      <c r="Q471" s="268"/>
      <c r="R471" s="3"/>
      <c r="S471" s="9"/>
      <c r="T471" s="4"/>
      <c r="U471" s="100"/>
      <c r="V471" s="177">
        <v>8.1915999999999993</v>
      </c>
      <c r="W471" s="460" t="s">
        <v>1706</v>
      </c>
      <c r="X471" s="8"/>
      <c r="Y471" s="177">
        <v>2.4200319999999991</v>
      </c>
      <c r="Z471" s="460" t="s">
        <v>1708</v>
      </c>
      <c r="AA471" s="47"/>
      <c r="AB471" s="463">
        <v>2.4117680474999969E-3</v>
      </c>
      <c r="AC471" s="177">
        <v>-6.0119092967747196</v>
      </c>
      <c r="AD471" s="460" t="s">
        <v>1466</v>
      </c>
      <c r="AE471" s="13"/>
      <c r="AF471" s="177">
        <v>-0.56710395199844876</v>
      </c>
      <c r="AG471" s="460" t="s">
        <v>1466</v>
      </c>
      <c r="AH471" s="84"/>
      <c r="AI471" s="177">
        <v>3.1113622071767222</v>
      </c>
      <c r="AJ471" s="464">
        <v>287200.00000000006</v>
      </c>
      <c r="AK471" s="460" t="s">
        <v>1468</v>
      </c>
      <c r="AL471" s="84"/>
      <c r="AM471" s="47"/>
      <c r="AN471" s="45"/>
      <c r="AO471" s="220" t="s">
        <v>2004</v>
      </c>
      <c r="AP471" s="51"/>
      <c r="AQ471" s="51"/>
    </row>
    <row r="472" spans="1:43" customFormat="1">
      <c r="A472" s="391"/>
      <c r="B472" s="396"/>
      <c r="C472" s="395"/>
      <c r="D472" s="255"/>
      <c r="E472" s="255"/>
      <c r="F472" s="267"/>
      <c r="G472" s="268"/>
      <c r="H472" s="268"/>
      <c r="I472" s="267"/>
      <c r="J472" s="268"/>
      <c r="K472" s="268"/>
      <c r="L472" s="338"/>
      <c r="M472" s="268"/>
      <c r="N472" s="268"/>
      <c r="O472" s="393"/>
      <c r="P472" s="394"/>
      <c r="Q472" s="268"/>
      <c r="R472" s="3"/>
      <c r="S472" s="9"/>
      <c r="T472" s="4"/>
      <c r="U472" s="100"/>
      <c r="V472" s="177">
        <v>7.5049999999999999</v>
      </c>
      <c r="W472" s="460" t="s">
        <v>1465</v>
      </c>
      <c r="X472" s="8"/>
      <c r="Y472" s="177">
        <v>2.65</v>
      </c>
      <c r="Z472" s="460" t="s">
        <v>1465</v>
      </c>
      <c r="AA472" s="47"/>
      <c r="AB472" s="47"/>
      <c r="AC472" s="47"/>
      <c r="AD472" s="45"/>
      <c r="AE472" s="13"/>
      <c r="AF472" s="9"/>
      <c r="AG472" s="9"/>
      <c r="AH472" s="84"/>
      <c r="AI472" s="47"/>
      <c r="AJ472" s="47"/>
      <c r="AK472" s="47"/>
      <c r="AL472" s="84"/>
      <c r="AM472" s="47"/>
      <c r="AN472" s="47"/>
      <c r="AO472" s="220"/>
      <c r="AP472" s="51"/>
      <c r="AQ472" s="51"/>
    </row>
    <row r="473" spans="1:43" customFormat="1" ht="18">
      <c r="A473" s="391"/>
      <c r="B473" s="396"/>
      <c r="C473" s="395"/>
      <c r="D473" s="255"/>
      <c r="E473" s="255"/>
      <c r="F473" s="267"/>
      <c r="G473" s="268"/>
      <c r="H473" s="268"/>
      <c r="I473" s="267"/>
      <c r="J473" s="268"/>
      <c r="K473" s="268"/>
      <c r="L473" s="338"/>
      <c r="M473" s="268"/>
      <c r="N473" s="268"/>
      <c r="O473" s="393"/>
      <c r="P473" s="394"/>
      <c r="Q473" s="268"/>
      <c r="R473" s="393"/>
      <c r="S473" s="392"/>
      <c r="T473" s="268"/>
      <c r="U473" s="319"/>
      <c r="V473" s="274"/>
      <c r="W473" s="220"/>
      <c r="X473" s="274"/>
      <c r="Y473" s="274"/>
      <c r="Z473" s="220"/>
      <c r="AA473" s="51"/>
      <c r="AB473" s="51"/>
      <c r="AC473" s="51"/>
      <c r="AD473" s="220"/>
      <c r="AE473" s="389"/>
      <c r="AF473" s="257">
        <v>-1.0074139360526486</v>
      </c>
      <c r="AG473" s="269" t="s">
        <v>2003</v>
      </c>
      <c r="AH473" s="219"/>
      <c r="AI473" s="260">
        <v>0.73052235469000315</v>
      </c>
      <c r="AJ473" s="263">
        <v>0</v>
      </c>
      <c r="AK473" s="51" t="s">
        <v>2094</v>
      </c>
      <c r="AL473" s="219"/>
      <c r="AM473" s="51"/>
      <c r="AN473" s="51"/>
      <c r="AO473" s="220" t="s">
        <v>2002</v>
      </c>
      <c r="AP473" s="51"/>
      <c r="AQ473" s="51"/>
    </row>
    <row r="474" spans="1:43" customFormat="1">
      <c r="A474" s="391" t="s">
        <v>1997</v>
      </c>
      <c r="B474" s="396" t="s">
        <v>1996</v>
      </c>
      <c r="C474" s="157">
        <v>81.180000000000007</v>
      </c>
      <c r="D474" s="318">
        <v>81.180000000000007</v>
      </c>
      <c r="E474" s="30" t="s">
        <v>1126</v>
      </c>
      <c r="F474" s="187">
        <v>-5.6399999999999864</v>
      </c>
      <c r="G474" s="318">
        <v>-5.6399999999999864</v>
      </c>
      <c r="H474" s="70" t="s">
        <v>1126</v>
      </c>
      <c r="I474" s="187"/>
      <c r="J474" s="318">
        <v>6.6300000000000097</v>
      </c>
      <c r="K474" s="70" t="s">
        <v>1126</v>
      </c>
      <c r="L474" s="191">
        <v>-74.55</v>
      </c>
      <c r="M474" s="276">
        <v>-74.55</v>
      </c>
      <c r="N474" s="13" t="s">
        <v>2792</v>
      </c>
      <c r="O474" s="187">
        <v>94.4325142</v>
      </c>
      <c r="P474" s="318">
        <v>94.4325142</v>
      </c>
      <c r="Q474" s="70" t="s">
        <v>2793</v>
      </c>
      <c r="R474" s="187">
        <v>10.048651999999995</v>
      </c>
      <c r="S474" s="491">
        <v>10.048651999999995</v>
      </c>
      <c r="T474" s="13" t="s">
        <v>2793</v>
      </c>
      <c r="U474" s="145">
        <v>8.0530000000000008</v>
      </c>
      <c r="V474" s="15">
        <v>8.0530000000000008</v>
      </c>
      <c r="W474" s="320" t="s">
        <v>2869</v>
      </c>
      <c r="X474" s="145">
        <v>3.65</v>
      </c>
      <c r="Y474" s="15">
        <v>3.65</v>
      </c>
      <c r="Z474" s="320" t="s">
        <v>2792</v>
      </c>
      <c r="AA474" s="145">
        <v>-4.8</v>
      </c>
      <c r="AB474" s="371">
        <v>3.9286635169325825E-2</v>
      </c>
      <c r="AC474" s="15">
        <v>-4.8</v>
      </c>
      <c r="AD474" s="320" t="s">
        <v>2792</v>
      </c>
      <c r="AE474" s="145">
        <v>-1.8220197365082198</v>
      </c>
      <c r="AF474" s="15">
        <v>-1.8220197365082198</v>
      </c>
      <c r="AG474" s="320" t="s">
        <v>2868</v>
      </c>
      <c r="AH474" s="145">
        <v>-0.25</v>
      </c>
      <c r="AI474" s="15">
        <v>-0.25</v>
      </c>
      <c r="AJ474" s="229">
        <v>140.74841028189246</v>
      </c>
      <c r="AK474" s="320" t="s">
        <v>2792</v>
      </c>
      <c r="AL474" s="145">
        <v>2.9567283999999998</v>
      </c>
      <c r="AM474" s="15">
        <v>2.9567283999999998</v>
      </c>
      <c r="AN474" s="320" t="s">
        <v>2871</v>
      </c>
      <c r="AO474" s="269" t="s">
        <v>1941</v>
      </c>
      <c r="AP474" s="51"/>
      <c r="AQ474" s="51"/>
    </row>
    <row r="475" spans="1:43" customFormat="1">
      <c r="A475" s="391" t="s">
        <v>1995</v>
      </c>
      <c r="B475" s="396">
        <v>250.29</v>
      </c>
      <c r="C475" s="157">
        <v>8.528283720000001</v>
      </c>
      <c r="D475" s="318">
        <v>104.64184000000002</v>
      </c>
      <c r="E475" s="206" t="s">
        <v>1125</v>
      </c>
      <c r="F475" s="157">
        <v>7.9116791999999805</v>
      </c>
      <c r="G475" s="70"/>
      <c r="H475" s="70"/>
      <c r="I475" s="157"/>
      <c r="J475" s="70"/>
      <c r="K475" s="70"/>
      <c r="L475" s="191">
        <v>14.227494749999998</v>
      </c>
      <c r="M475" s="323">
        <v>-74.55</v>
      </c>
      <c r="N475" s="180" t="s">
        <v>1126</v>
      </c>
      <c r="O475" s="191">
        <v>17.7031690045598</v>
      </c>
      <c r="P475" s="323">
        <v>94.4325142</v>
      </c>
      <c r="Q475" s="180" t="s">
        <v>1407</v>
      </c>
      <c r="R475" s="191">
        <v>4.1220891676524074</v>
      </c>
      <c r="S475" s="323">
        <v>10.048651999999995</v>
      </c>
      <c r="T475" s="180" t="s">
        <v>1407</v>
      </c>
      <c r="U475" s="145">
        <v>0.54628330800000002</v>
      </c>
      <c r="V475" s="177">
        <v>8.32</v>
      </c>
      <c r="W475" s="460" t="s">
        <v>1126</v>
      </c>
      <c r="X475" s="145">
        <v>0.31065879999999996</v>
      </c>
      <c r="Y475" s="177">
        <v>3.1816499999999999</v>
      </c>
      <c r="Z475" s="460" t="s">
        <v>1466</v>
      </c>
      <c r="AA475" s="145">
        <v>0.96928320000000001</v>
      </c>
      <c r="AB475" s="461">
        <v>3.9698384505613069E-2</v>
      </c>
      <c r="AC475" s="177">
        <v>-4.7954720000000002</v>
      </c>
      <c r="AD475" s="222" t="s">
        <v>1709</v>
      </c>
      <c r="AE475" s="145">
        <v>0.2819757744220121</v>
      </c>
      <c r="AF475" s="177">
        <v>-1.663</v>
      </c>
      <c r="AG475" s="365" t="s">
        <v>1126</v>
      </c>
      <c r="AH475" s="145">
        <v>6.8921999999999997E-2</v>
      </c>
      <c r="AI475" s="177">
        <v>-0.26179200968800703</v>
      </c>
      <c r="AJ475" s="464">
        <v>1356.6031594098001</v>
      </c>
      <c r="AK475" s="362" t="s">
        <v>1466</v>
      </c>
      <c r="AL475" s="145">
        <v>0.53437248046039998</v>
      </c>
      <c r="AM475" s="154">
        <v>2.9567283999999998</v>
      </c>
      <c r="AN475" s="155" t="s">
        <v>2610</v>
      </c>
      <c r="AO475" s="220"/>
      <c r="AP475" s="51"/>
      <c r="AQ475" s="51"/>
    </row>
    <row r="476" spans="1:43" customFormat="1">
      <c r="A476" s="391"/>
      <c r="B476" s="396"/>
      <c r="C476" s="395"/>
      <c r="D476" s="255"/>
      <c r="E476" s="255"/>
      <c r="F476" s="267"/>
      <c r="G476" s="268"/>
      <c r="H476" s="268"/>
      <c r="I476" s="267"/>
      <c r="J476" s="268"/>
      <c r="K476" s="268"/>
      <c r="L476" s="338"/>
      <c r="M476" s="323">
        <v>-84.376854600000001</v>
      </c>
      <c r="N476" s="180" t="s">
        <v>1408</v>
      </c>
      <c r="O476" s="393"/>
      <c r="P476" s="323">
        <v>86.82</v>
      </c>
      <c r="Q476" s="180" t="s">
        <v>1126</v>
      </c>
      <c r="R476" s="3"/>
      <c r="S476" s="323">
        <v>12.269999999999996</v>
      </c>
      <c r="T476" s="180" t="s">
        <v>1126</v>
      </c>
      <c r="U476" s="100"/>
      <c r="V476" s="177">
        <v>7.3801899999999998</v>
      </c>
      <c r="W476" s="460" t="s">
        <v>1466</v>
      </c>
      <c r="X476" s="100"/>
      <c r="Y476" s="177">
        <v>3.65</v>
      </c>
      <c r="Z476" s="460" t="s">
        <v>1126</v>
      </c>
      <c r="AA476" s="100"/>
      <c r="AB476" s="462">
        <v>3.9286635169325825E-2</v>
      </c>
      <c r="AC476" s="177">
        <v>-4.8</v>
      </c>
      <c r="AD476" s="460" t="s">
        <v>1126</v>
      </c>
      <c r="AE476" s="100"/>
      <c r="AF476" s="177">
        <v>-2.5900668766687054</v>
      </c>
      <c r="AG476" s="460" t="s">
        <v>1125</v>
      </c>
      <c r="AH476" s="100"/>
      <c r="AI476" s="177">
        <v>-0.25</v>
      </c>
      <c r="AJ476" s="465">
        <v>140.74841028189246</v>
      </c>
      <c r="AK476" s="460" t="s">
        <v>1126</v>
      </c>
      <c r="AL476" s="84"/>
      <c r="AM476" s="177" t="s">
        <v>652</v>
      </c>
      <c r="AN476" s="460" t="s">
        <v>1126</v>
      </c>
      <c r="AO476" s="220"/>
      <c r="AP476" s="51"/>
      <c r="AQ476" s="51"/>
    </row>
    <row r="477" spans="1:43" customFormat="1">
      <c r="A477" s="391"/>
      <c r="B477" s="396"/>
      <c r="C477" s="395"/>
      <c r="D477" s="255"/>
      <c r="E477" s="255"/>
      <c r="F477" s="267"/>
      <c r="G477" s="268"/>
      <c r="H477" s="268"/>
      <c r="I477" s="267"/>
      <c r="J477" s="268"/>
      <c r="K477" s="268"/>
      <c r="L477" s="338"/>
      <c r="M477" s="268"/>
      <c r="N477" s="268"/>
      <c r="O477" s="393"/>
      <c r="P477" s="394"/>
      <c r="Q477" s="268"/>
      <c r="R477" s="3"/>
      <c r="S477" s="9"/>
      <c r="T477" s="4"/>
      <c r="U477" s="100"/>
      <c r="V477" s="177">
        <v>9.4216032592766243</v>
      </c>
      <c r="W477" s="460" t="s">
        <v>1125</v>
      </c>
      <c r="X477" s="100"/>
      <c r="Y477" s="177">
        <v>3.46</v>
      </c>
      <c r="Z477" s="460" t="s">
        <v>1125</v>
      </c>
      <c r="AA477" s="100"/>
      <c r="AB477" s="225">
        <v>7.3399999999999984E-3</v>
      </c>
      <c r="AC477" s="177">
        <v>-5.5285487739358832</v>
      </c>
      <c r="AD477" s="460" t="s">
        <v>1125</v>
      </c>
      <c r="AE477" s="100"/>
      <c r="AF477" s="177">
        <v>-2.0706319999999989</v>
      </c>
      <c r="AG477" s="460" t="s">
        <v>1710</v>
      </c>
      <c r="AH477" s="100"/>
      <c r="AI477" s="177">
        <v>-0.45999999999999996</v>
      </c>
      <c r="AJ477" s="466">
        <v>86.784766299764144</v>
      </c>
      <c r="AK477" s="460" t="s">
        <v>1125</v>
      </c>
      <c r="AL477" s="84"/>
      <c r="AM477" s="154">
        <v>3.4325631661480447</v>
      </c>
      <c r="AN477" s="155" t="s">
        <v>2611</v>
      </c>
      <c r="AO477" s="220"/>
      <c r="AP477" s="51"/>
      <c r="AQ477" s="51"/>
    </row>
    <row r="478" spans="1:43" customFormat="1">
      <c r="A478" s="391"/>
      <c r="B478" s="396"/>
      <c r="C478" s="395"/>
      <c r="D478" s="255"/>
      <c r="E478" s="255"/>
      <c r="F478" s="267"/>
      <c r="G478" s="268"/>
      <c r="H478" s="268"/>
      <c r="I478" s="267"/>
      <c r="J478" s="268"/>
      <c r="K478" s="268"/>
      <c r="L478" s="338"/>
      <c r="M478" s="268"/>
      <c r="N478" s="268"/>
      <c r="O478" s="393"/>
      <c r="P478" s="394"/>
      <c r="Q478" s="268"/>
      <c r="R478" s="3"/>
      <c r="S478" s="9"/>
      <c r="T478" s="4"/>
      <c r="U478" s="100"/>
      <c r="V478" s="177">
        <v>8.8974399999999978</v>
      </c>
      <c r="W478" s="460" t="s">
        <v>1705</v>
      </c>
      <c r="X478" s="100"/>
      <c r="Y478" s="177">
        <v>3.4822440000000001</v>
      </c>
      <c r="Z478" s="460" t="s">
        <v>1707</v>
      </c>
      <c r="AA478" s="100"/>
      <c r="AB478" s="461">
        <v>7.0420874999999869E-2</v>
      </c>
      <c r="AC478" s="177">
        <v>-4.5465434168481096</v>
      </c>
      <c r="AD478" s="460" t="s">
        <v>1465</v>
      </c>
      <c r="AE478" s="100"/>
      <c r="AF478" s="177">
        <v>-0.99139982823808248</v>
      </c>
      <c r="AG478" s="460" t="s">
        <v>1465</v>
      </c>
      <c r="AH478" s="100"/>
      <c r="AI478" s="177">
        <v>2.4364093771696367</v>
      </c>
      <c r="AJ478" s="467">
        <v>68368.000000000015</v>
      </c>
      <c r="AK478" s="460" t="s">
        <v>1467</v>
      </c>
      <c r="AL478" s="84"/>
      <c r="AM478" s="47"/>
      <c r="AN478" s="45"/>
      <c r="AO478" s="220"/>
      <c r="AP478" s="51"/>
      <c r="AQ478" s="51"/>
    </row>
    <row r="479" spans="1:43" customFormat="1">
      <c r="A479" s="391"/>
      <c r="B479" s="396"/>
      <c r="C479" s="395"/>
      <c r="D479" s="255"/>
      <c r="E479" s="255"/>
      <c r="F479" s="267"/>
      <c r="G479" s="268"/>
      <c r="H479" s="268"/>
      <c r="I479" s="267"/>
      <c r="J479" s="268"/>
      <c r="K479" s="268"/>
      <c r="L479" s="338"/>
      <c r="M479" s="268"/>
      <c r="N479" s="268"/>
      <c r="O479" s="393"/>
      <c r="P479" s="394"/>
      <c r="Q479" s="268"/>
      <c r="R479" s="3"/>
      <c r="S479" s="9"/>
      <c r="T479" s="4"/>
      <c r="U479" s="100"/>
      <c r="V479" s="177">
        <v>9.1614500000000003</v>
      </c>
      <c r="W479" s="460" t="s">
        <v>1706</v>
      </c>
      <c r="X479" s="8"/>
      <c r="Y479" s="177">
        <v>3.4090280000000006</v>
      </c>
      <c r="Z479" s="460" t="s">
        <v>1708</v>
      </c>
      <c r="AA479" s="47"/>
      <c r="AB479" s="463">
        <v>1.1255586299999992E-2</v>
      </c>
      <c r="AC479" s="177">
        <v>-5.3428767116613143</v>
      </c>
      <c r="AD479" s="460" t="s">
        <v>1466</v>
      </c>
      <c r="AE479" s="13"/>
      <c r="AF479" s="177">
        <v>-1.8220197365082198</v>
      </c>
      <c r="AG479" s="460" t="s">
        <v>1466</v>
      </c>
      <c r="AH479" s="84"/>
      <c r="AI479" s="177">
        <v>2.1812257952512359</v>
      </c>
      <c r="AJ479" s="464">
        <v>37990</v>
      </c>
      <c r="AK479" s="460" t="s">
        <v>1468</v>
      </c>
      <c r="AL479" s="84"/>
      <c r="AM479" s="47"/>
      <c r="AN479" s="45"/>
      <c r="AO479" s="220"/>
      <c r="AP479" s="51"/>
      <c r="AQ479" s="51"/>
    </row>
    <row r="480" spans="1:43" customFormat="1">
      <c r="A480" s="391"/>
      <c r="B480" s="396"/>
      <c r="C480" s="395"/>
      <c r="D480" s="255"/>
      <c r="E480" s="255"/>
      <c r="F480" s="267"/>
      <c r="G480" s="268"/>
      <c r="H480" s="268"/>
      <c r="I480" s="267"/>
      <c r="J480" s="268"/>
      <c r="K480" s="268"/>
      <c r="L480" s="338"/>
      <c r="M480" s="268"/>
      <c r="N480" s="268"/>
      <c r="O480" s="393"/>
      <c r="P480" s="394"/>
      <c r="Q480" s="268"/>
      <c r="R480" s="3"/>
      <c r="S480" s="9"/>
      <c r="T480" s="4"/>
      <c r="U480" s="100"/>
      <c r="V480" s="177">
        <v>8.0530000000000008</v>
      </c>
      <c r="W480" s="460" t="s">
        <v>1465</v>
      </c>
      <c r="X480" s="8"/>
      <c r="Y480" s="177">
        <v>3.63</v>
      </c>
      <c r="Z480" s="460" t="s">
        <v>1465</v>
      </c>
      <c r="AA480" s="47"/>
      <c r="AB480" s="47"/>
      <c r="AC480" s="47"/>
      <c r="AD480" s="45"/>
      <c r="AE480" s="13"/>
      <c r="AF480" s="9"/>
      <c r="AG480" s="9"/>
      <c r="AH480" s="84"/>
      <c r="AI480" s="47"/>
      <c r="AJ480" s="47"/>
      <c r="AK480" s="47"/>
      <c r="AL480" s="84"/>
      <c r="AM480" s="47"/>
      <c r="AN480" s="47"/>
      <c r="AO480" s="220"/>
      <c r="AP480" s="51"/>
      <c r="AQ480" s="51"/>
    </row>
    <row r="481" spans="1:43" customFormat="1">
      <c r="A481" s="391"/>
      <c r="B481" s="396"/>
      <c r="C481" s="395"/>
      <c r="D481" s="255"/>
      <c r="E481" s="255"/>
      <c r="F481" s="267"/>
      <c r="G481" s="268"/>
      <c r="H481" s="268"/>
      <c r="I481" s="267"/>
      <c r="J481" s="268"/>
      <c r="K481" s="268"/>
      <c r="L481" s="338"/>
      <c r="M481" s="268"/>
      <c r="N481" s="268"/>
      <c r="O481" s="393"/>
      <c r="P481" s="394"/>
      <c r="Q481" s="268"/>
      <c r="R481" s="393"/>
      <c r="S481" s="392"/>
      <c r="T481" s="268"/>
      <c r="U481" s="319"/>
      <c r="V481" s="274"/>
      <c r="W481" s="220"/>
      <c r="X481" s="274"/>
      <c r="Y481" s="274"/>
      <c r="Z481" s="220"/>
      <c r="AA481" s="51"/>
      <c r="AB481" s="51"/>
      <c r="AC481" s="51"/>
      <c r="AD481" s="220"/>
      <c r="AE481" s="389"/>
      <c r="AF481" s="257"/>
      <c r="AG481" s="269"/>
      <c r="AH481" s="219"/>
      <c r="AI481" s="39"/>
      <c r="AJ481" s="263"/>
      <c r="AK481" s="39"/>
      <c r="AL481" s="219"/>
      <c r="AM481" s="51"/>
      <c r="AN481" s="51"/>
      <c r="AO481" s="220"/>
      <c r="AP481" s="51"/>
      <c r="AQ481" s="51"/>
    </row>
    <row r="482" spans="1:43" customFormat="1">
      <c r="A482" s="391" t="s">
        <v>1992</v>
      </c>
      <c r="B482" s="396" t="s">
        <v>1991</v>
      </c>
      <c r="C482" s="157">
        <v>85.59</v>
      </c>
      <c r="D482" s="318">
        <v>85.59</v>
      </c>
      <c r="E482" s="30" t="s">
        <v>1126</v>
      </c>
      <c r="F482" s="187">
        <v>-7.0499999999999972</v>
      </c>
      <c r="G482" s="318">
        <v>-7.0499999999999972</v>
      </c>
      <c r="H482" s="70" t="s">
        <v>1126</v>
      </c>
      <c r="I482" s="187"/>
      <c r="J482" s="318">
        <v>5.9300000000000068</v>
      </c>
      <c r="K482" s="70" t="s">
        <v>1126</v>
      </c>
      <c r="L482" s="191">
        <v>-79.66</v>
      </c>
      <c r="M482" s="276">
        <v>-79.66</v>
      </c>
      <c r="N482" s="13" t="s">
        <v>2792</v>
      </c>
      <c r="O482" s="187">
        <v>100.65146460000001</v>
      </c>
      <c r="P482" s="318">
        <v>100.65146460000001</v>
      </c>
      <c r="Q482" s="70" t="s">
        <v>2793</v>
      </c>
      <c r="R482" s="187">
        <v>10.309695999999986</v>
      </c>
      <c r="S482" s="491">
        <v>10.309695999999986</v>
      </c>
      <c r="T482" s="13" t="s">
        <v>2793</v>
      </c>
      <c r="U482" s="145">
        <v>8.4120000000000008</v>
      </c>
      <c r="V482" s="15">
        <v>8.4120000000000008</v>
      </c>
      <c r="W482" s="320" t="s">
        <v>2869</v>
      </c>
      <c r="X482" s="145">
        <v>4.6399999999999997</v>
      </c>
      <c r="Y482" s="15">
        <v>4.6399999999999997</v>
      </c>
      <c r="Z482" s="320" t="s">
        <v>2792</v>
      </c>
      <c r="AA482" s="145">
        <v>-4.2</v>
      </c>
      <c r="AB482" s="371">
        <v>0.15640291167827813</v>
      </c>
      <c r="AC482" s="15">
        <v>-4.2</v>
      </c>
      <c r="AD482" s="320" t="s">
        <v>2792</v>
      </c>
      <c r="AE482" s="145">
        <v>-2.3081188943770345</v>
      </c>
      <c r="AF482" s="15">
        <v>-2.3081188943770345</v>
      </c>
      <c r="AG482" s="320" t="s">
        <v>2868</v>
      </c>
      <c r="AH482" s="145">
        <v>-1.2300000000000004</v>
      </c>
      <c r="AI482" s="15">
        <v>-1.2300000000000004</v>
      </c>
      <c r="AJ482" s="229">
        <v>16.389874303167446</v>
      </c>
      <c r="AK482" s="320" t="s">
        <v>2792</v>
      </c>
      <c r="AL482" s="145">
        <v>3.2624221999999987</v>
      </c>
      <c r="AM482" s="15">
        <v>3.2624221999999987</v>
      </c>
      <c r="AN482" s="320" t="s">
        <v>2871</v>
      </c>
      <c r="AO482" s="220" t="s">
        <v>1943</v>
      </c>
      <c r="AP482" s="51"/>
      <c r="AQ482" s="51"/>
    </row>
    <row r="483" spans="1:43" customFormat="1" ht="18">
      <c r="A483" s="391" t="s">
        <v>1989</v>
      </c>
      <c r="B483" s="396">
        <v>278.33999999999997</v>
      </c>
      <c r="C483" s="157">
        <v>8.9915718600000005</v>
      </c>
      <c r="D483" s="318">
        <v>112.00568</v>
      </c>
      <c r="E483" s="206" t="s">
        <v>1125</v>
      </c>
      <c r="F483" s="157">
        <v>9.8895989999999951</v>
      </c>
      <c r="G483" s="70"/>
      <c r="H483" s="70"/>
      <c r="I483" s="157"/>
      <c r="J483" s="70"/>
      <c r="K483" s="70"/>
      <c r="L483" s="191">
        <v>15.202712699999998</v>
      </c>
      <c r="M483" s="323">
        <v>-79.66</v>
      </c>
      <c r="N483" s="180" t="s">
        <v>1126</v>
      </c>
      <c r="O483" s="191">
        <v>18.869029417097401</v>
      </c>
      <c r="P483" s="323">
        <v>100.65146460000001</v>
      </c>
      <c r="Q483" s="180" t="s">
        <v>1407</v>
      </c>
      <c r="R483" s="191">
        <v>4.229172848595943</v>
      </c>
      <c r="S483" s="323">
        <v>10.309695999999986</v>
      </c>
      <c r="T483" s="180" t="s">
        <v>1407</v>
      </c>
      <c r="U483" s="145">
        <v>0.57063643200000003</v>
      </c>
      <c r="V483" s="177">
        <v>8.74</v>
      </c>
      <c r="W483" s="460" t="s">
        <v>1126</v>
      </c>
      <c r="X483" s="145">
        <v>0.39491967999999994</v>
      </c>
      <c r="Y483" s="177">
        <v>4.2284199999999998</v>
      </c>
      <c r="Z483" s="460" t="s">
        <v>1466</v>
      </c>
      <c r="AA483" s="145">
        <v>0.84812280000000007</v>
      </c>
      <c r="AB483" s="461">
        <v>0.10624752787559121</v>
      </c>
      <c r="AC483" s="177">
        <v>-4.3679260000000006</v>
      </c>
      <c r="AD483" s="222" t="s">
        <v>1709</v>
      </c>
      <c r="AE483" s="145">
        <v>0.35720448009378991</v>
      </c>
      <c r="AF483" s="177">
        <v>-2.0409999999999999</v>
      </c>
      <c r="AG483" s="365" t="s">
        <v>1126</v>
      </c>
      <c r="AH483" s="145">
        <v>0.3390962400000001</v>
      </c>
      <c r="AI483" s="177">
        <v>-1.5947783273920966</v>
      </c>
      <c r="AJ483" s="464">
        <v>63.018274333569998</v>
      </c>
      <c r="AK483" s="362" t="s">
        <v>1466</v>
      </c>
      <c r="AL483" s="145">
        <v>0.58962082662819981</v>
      </c>
      <c r="AM483" s="154">
        <v>3.2624221999999987</v>
      </c>
      <c r="AN483" s="155" t="s">
        <v>2610</v>
      </c>
      <c r="AO483" s="220" t="s">
        <v>1987</v>
      </c>
      <c r="AP483" s="51"/>
      <c r="AQ483" s="51"/>
    </row>
    <row r="484" spans="1:43" customFormat="1">
      <c r="A484" s="391"/>
      <c r="B484" s="396"/>
      <c r="C484" s="395"/>
      <c r="D484" s="255"/>
      <c r="E484" s="255"/>
      <c r="F484" s="267"/>
      <c r="G484" s="268"/>
      <c r="H484" s="268"/>
      <c r="I484" s="267"/>
      <c r="J484" s="268"/>
      <c r="K484" s="268"/>
      <c r="L484" s="338"/>
      <c r="M484" s="323">
        <v>-90.335302800000008</v>
      </c>
      <c r="N484" s="180" t="s">
        <v>1408</v>
      </c>
      <c r="O484" s="393"/>
      <c r="P484" s="323">
        <v>92.64</v>
      </c>
      <c r="Q484" s="180" t="s">
        <v>1126</v>
      </c>
      <c r="R484" s="3"/>
      <c r="S484" s="323">
        <v>12.980000000000004</v>
      </c>
      <c r="T484" s="180" t="s">
        <v>1126</v>
      </c>
      <c r="U484" s="100"/>
      <c r="V484" s="177">
        <v>8.2083600000000008</v>
      </c>
      <c r="W484" s="460" t="s">
        <v>1466</v>
      </c>
      <c r="X484" s="100"/>
      <c r="Y484" s="177">
        <v>4.6399999999999997</v>
      </c>
      <c r="Z484" s="460" t="s">
        <v>1126</v>
      </c>
      <c r="AA484" s="100"/>
      <c r="AB484" s="462">
        <v>0.15640291167827813</v>
      </c>
      <c r="AC484" s="177">
        <v>-4.2</v>
      </c>
      <c r="AD484" s="460" t="s">
        <v>1126</v>
      </c>
      <c r="AE484" s="100"/>
      <c r="AF484" s="177">
        <v>-3.2932822176632413</v>
      </c>
      <c r="AG484" s="460" t="s">
        <v>1125</v>
      </c>
      <c r="AH484" s="100"/>
      <c r="AI484" s="177">
        <v>-1.2300000000000004</v>
      </c>
      <c r="AJ484" s="465">
        <v>16.389874303167446</v>
      </c>
      <c r="AK484" s="460" t="s">
        <v>1126</v>
      </c>
      <c r="AL484" s="84"/>
      <c r="AM484" s="177" t="s">
        <v>652</v>
      </c>
      <c r="AN484" s="460" t="s">
        <v>1126</v>
      </c>
      <c r="AO484" s="220" t="s">
        <v>1986</v>
      </c>
      <c r="AP484" s="51"/>
      <c r="AQ484" s="51"/>
    </row>
    <row r="485" spans="1:43" customFormat="1">
      <c r="A485" s="391"/>
      <c r="B485" s="396"/>
      <c r="C485" s="395"/>
      <c r="D485" s="255"/>
      <c r="E485" s="255"/>
      <c r="F485" s="267"/>
      <c r="G485" s="268"/>
      <c r="H485" s="268"/>
      <c r="I485" s="267"/>
      <c r="J485" s="268"/>
      <c r="K485" s="268"/>
      <c r="L485" s="338"/>
      <c r="M485" s="268"/>
      <c r="N485" s="268"/>
      <c r="O485" s="393"/>
      <c r="P485" s="394"/>
      <c r="Q485" s="268"/>
      <c r="R485" s="3"/>
      <c r="S485" s="9"/>
      <c r="T485" s="4"/>
      <c r="U485" s="100"/>
      <c r="V485" s="177">
        <v>10.084638684116836</v>
      </c>
      <c r="W485" s="460" t="s">
        <v>1125</v>
      </c>
      <c r="X485" s="100"/>
      <c r="Y485" s="177">
        <v>4.07</v>
      </c>
      <c r="Z485" s="460" t="s">
        <v>1125</v>
      </c>
      <c r="AA485" s="100"/>
      <c r="AB485" s="225">
        <v>6.9599999999999896E-3</v>
      </c>
      <c r="AC485" s="177">
        <v>-5.5516355942413922</v>
      </c>
      <c r="AD485" s="460" t="s">
        <v>1125</v>
      </c>
      <c r="AE485" s="100"/>
      <c r="AF485" s="177">
        <v>-2.8732060000000006</v>
      </c>
      <c r="AG485" s="460" t="s">
        <v>1710</v>
      </c>
      <c r="AH485" s="100"/>
      <c r="AI485" s="177">
        <v>-1.1399999999999997</v>
      </c>
      <c r="AJ485" s="466">
        <v>20.163950512727286</v>
      </c>
      <c r="AK485" s="460" t="s">
        <v>1125</v>
      </c>
      <c r="AL485" s="84"/>
      <c r="AM485" s="154">
        <v>3.1770491661480467</v>
      </c>
      <c r="AN485" s="155" t="s">
        <v>2611</v>
      </c>
      <c r="AO485" s="220" t="s">
        <v>1933</v>
      </c>
      <c r="AP485" s="51"/>
      <c r="AQ485" s="51"/>
    </row>
    <row r="486" spans="1:43" customFormat="1">
      <c r="A486" s="391"/>
      <c r="B486" s="396"/>
      <c r="C486" s="395"/>
      <c r="D486" s="255"/>
      <c r="E486" s="255"/>
      <c r="F486" s="267"/>
      <c r="G486" s="268"/>
      <c r="H486" s="268"/>
      <c r="I486" s="267"/>
      <c r="J486" s="268"/>
      <c r="K486" s="268"/>
      <c r="L486" s="338"/>
      <c r="M486" s="268"/>
      <c r="N486" s="268"/>
      <c r="O486" s="393"/>
      <c r="P486" s="394"/>
      <c r="Q486" s="268"/>
      <c r="R486" s="3"/>
      <c r="S486" s="9"/>
      <c r="T486" s="4"/>
      <c r="U486" s="100"/>
      <c r="V486" s="177">
        <v>9.4445000000000014</v>
      </c>
      <c r="W486" s="460" t="s">
        <v>1705</v>
      </c>
      <c r="X486" s="100"/>
      <c r="Y486" s="177">
        <v>4.5780019999999997</v>
      </c>
      <c r="Z486" s="460" t="s">
        <v>1707</v>
      </c>
      <c r="AA486" s="100"/>
      <c r="AB486" s="461">
        <v>6.5151974999999931E-2</v>
      </c>
      <c r="AC486" s="177">
        <v>-4.5803172485140013</v>
      </c>
      <c r="AD486" s="460" t="s">
        <v>1465</v>
      </c>
      <c r="AE486" s="100"/>
      <c r="AF486" s="177">
        <v>-0.50445566245355156</v>
      </c>
      <c r="AG486" s="460" t="s">
        <v>1465</v>
      </c>
      <c r="AH486" s="100"/>
      <c r="AI486" s="177">
        <v>1.8108657416677634</v>
      </c>
      <c r="AJ486" s="467">
        <v>18007.000000000007</v>
      </c>
      <c r="AK486" s="460" t="s">
        <v>1467</v>
      </c>
      <c r="AL486" s="84"/>
      <c r="AM486" s="47"/>
      <c r="AN486" s="45"/>
      <c r="AO486" s="220" t="s">
        <v>1924</v>
      </c>
      <c r="AP486" s="51"/>
      <c r="AQ486" s="51"/>
    </row>
    <row r="487" spans="1:43" customFormat="1">
      <c r="A487" s="391"/>
      <c r="B487" s="396"/>
      <c r="C487" s="395"/>
      <c r="D487" s="255"/>
      <c r="E487" s="255"/>
      <c r="F487" s="267"/>
      <c r="G487" s="268"/>
      <c r="H487" s="268"/>
      <c r="I487" s="267"/>
      <c r="J487" s="268"/>
      <c r="K487" s="268"/>
      <c r="L487" s="338"/>
      <c r="M487" s="268"/>
      <c r="N487" s="268"/>
      <c r="O487" s="393"/>
      <c r="P487" s="394"/>
      <c r="Q487" s="268"/>
      <c r="R487" s="3"/>
      <c r="S487" s="9"/>
      <c r="T487" s="4"/>
      <c r="U487" s="100"/>
      <c r="V487" s="177">
        <v>9.642199999999999</v>
      </c>
      <c r="W487" s="460" t="s">
        <v>1706</v>
      </c>
      <c r="X487" s="8"/>
      <c r="Y487" s="177">
        <v>4.613923999999999</v>
      </c>
      <c r="Z487" s="460" t="s">
        <v>1708</v>
      </c>
      <c r="AA487" s="47"/>
      <c r="AB487" s="463">
        <v>3.1741069499999983E-2</v>
      </c>
      <c r="AC487" s="177">
        <v>-4.8926232778438639</v>
      </c>
      <c r="AD487" s="460" t="s">
        <v>1466</v>
      </c>
      <c r="AE487" s="13"/>
      <c r="AF487" s="177">
        <v>-2.3081188943770345</v>
      </c>
      <c r="AG487" s="460" t="s">
        <v>1466</v>
      </c>
      <c r="AH487" s="84"/>
      <c r="AI487" s="177">
        <v>1.2596607144063845</v>
      </c>
      <c r="AJ487" s="464">
        <v>5061.0000000000027</v>
      </c>
      <c r="AK487" s="460" t="s">
        <v>1468</v>
      </c>
      <c r="AL487" s="84"/>
      <c r="AM487" s="47"/>
      <c r="AN487" s="45"/>
      <c r="AO487" s="220" t="s">
        <v>1934</v>
      </c>
      <c r="AP487" s="51"/>
      <c r="AQ487" s="51"/>
    </row>
    <row r="488" spans="1:43" customFormat="1">
      <c r="A488" s="391"/>
      <c r="B488" s="396"/>
      <c r="C488" s="395"/>
      <c r="D488" s="255"/>
      <c r="E488" s="255"/>
      <c r="F488" s="267"/>
      <c r="G488" s="268"/>
      <c r="H488" s="268"/>
      <c r="I488" s="267"/>
      <c r="J488" s="268"/>
      <c r="K488" s="268"/>
      <c r="L488" s="338"/>
      <c r="M488" s="268"/>
      <c r="N488" s="268"/>
      <c r="O488" s="393"/>
      <c r="P488" s="394"/>
      <c r="Q488" s="268"/>
      <c r="R488" s="3"/>
      <c r="S488" s="9"/>
      <c r="T488" s="4"/>
      <c r="U488" s="100"/>
      <c r="V488" s="177">
        <v>8.4120000000000008</v>
      </c>
      <c r="W488" s="460" t="s">
        <v>1465</v>
      </c>
      <c r="X488" s="8"/>
      <c r="Y488" s="177">
        <v>4.46</v>
      </c>
      <c r="Z488" s="460" t="s">
        <v>1465</v>
      </c>
      <c r="AA488" s="47"/>
      <c r="AB488" s="47"/>
      <c r="AC488" s="47"/>
      <c r="AD488" s="45"/>
      <c r="AE488" s="13"/>
      <c r="AF488" s="9"/>
      <c r="AG488" s="9"/>
      <c r="AH488" s="84"/>
      <c r="AI488" s="47"/>
      <c r="AJ488" s="47"/>
      <c r="AK488" s="47"/>
      <c r="AL488" s="84"/>
      <c r="AM488" s="47"/>
      <c r="AN488" s="47"/>
      <c r="AO488" s="220"/>
      <c r="AP488" s="51"/>
      <c r="AQ488" s="51"/>
    </row>
    <row r="489" spans="1:43" customFormat="1">
      <c r="A489" s="391"/>
      <c r="B489" s="396"/>
      <c r="C489" s="395"/>
      <c r="D489" s="255"/>
      <c r="E489" s="255"/>
      <c r="F489" s="267"/>
      <c r="G489" s="268"/>
      <c r="H489" s="268"/>
      <c r="I489" s="267"/>
      <c r="J489" s="268"/>
      <c r="K489" s="268"/>
      <c r="L489" s="338"/>
      <c r="M489" s="268"/>
      <c r="N489" s="268"/>
      <c r="O489" s="393"/>
      <c r="P489" s="394"/>
      <c r="Q489" s="268"/>
      <c r="R489" s="393"/>
      <c r="S489" s="392"/>
      <c r="T489" s="268"/>
      <c r="U489" s="319"/>
      <c r="V489" s="274"/>
      <c r="W489" s="220"/>
      <c r="X489" s="274"/>
      <c r="Y489" s="274"/>
      <c r="Z489" s="220"/>
      <c r="AA489" s="51"/>
      <c r="AB489" s="51"/>
      <c r="AC489" s="51"/>
      <c r="AD489" s="220"/>
      <c r="AE489" s="389"/>
      <c r="AF489" s="257"/>
      <c r="AG489" s="269"/>
      <c r="AH489" s="219"/>
      <c r="AI489" s="39"/>
      <c r="AJ489" s="263"/>
      <c r="AK489" s="39"/>
      <c r="AL489" s="219"/>
      <c r="AM489" s="51"/>
      <c r="AN489" s="51"/>
      <c r="AO489" s="220"/>
      <c r="AP489" s="51"/>
      <c r="AQ489" s="51"/>
    </row>
    <row r="490" spans="1:43" customFormat="1">
      <c r="A490" s="391" t="s">
        <v>1982</v>
      </c>
      <c r="B490" s="396" t="s">
        <v>1981</v>
      </c>
      <c r="C490" s="157">
        <v>88.62</v>
      </c>
      <c r="D490" s="318">
        <v>88.62</v>
      </c>
      <c r="E490" s="30" t="s">
        <v>1126</v>
      </c>
      <c r="F490" s="187">
        <v>-3.7599999999999909</v>
      </c>
      <c r="G490" s="318">
        <v>-3.7599999999999909</v>
      </c>
      <c r="H490" s="70" t="s">
        <v>1126</v>
      </c>
      <c r="I490" s="187"/>
      <c r="J490" s="318">
        <v>6.0300000000000011</v>
      </c>
      <c r="K490" s="70" t="s">
        <v>1126</v>
      </c>
      <c r="L490" s="191">
        <v>-82.59</v>
      </c>
      <c r="M490" s="276">
        <v>-82.59</v>
      </c>
      <c r="N490" s="13" t="s">
        <v>2792</v>
      </c>
      <c r="O490" s="187">
        <v>100.7339346</v>
      </c>
      <c r="P490" s="318">
        <v>100.7339346</v>
      </c>
      <c r="Q490" s="70" t="s">
        <v>2793</v>
      </c>
      <c r="R490" s="187">
        <v>9.8848959999999888</v>
      </c>
      <c r="S490" s="491">
        <v>9.8848959999999888</v>
      </c>
      <c r="T490" s="13" t="s">
        <v>2793</v>
      </c>
      <c r="U490" s="145">
        <v>8.6310000000000002</v>
      </c>
      <c r="V490" s="15">
        <v>8.6310000000000002</v>
      </c>
      <c r="W490" s="320" t="s">
        <v>2869</v>
      </c>
      <c r="X490" s="145">
        <v>4.82</v>
      </c>
      <c r="Y490" s="15">
        <v>4.82</v>
      </c>
      <c r="Z490" s="320" t="s">
        <v>2792</v>
      </c>
      <c r="AA490" s="145">
        <v>-4.3899999999999997</v>
      </c>
      <c r="AB490" s="371">
        <v>0.100982201358414</v>
      </c>
      <c r="AC490" s="15">
        <v>-4.3899999999999997</v>
      </c>
      <c r="AD490" s="320" t="s">
        <v>2792</v>
      </c>
      <c r="AE490" s="145">
        <v>-2.4896563617750562</v>
      </c>
      <c r="AF490" s="15">
        <v>-2.4896563617750562</v>
      </c>
      <c r="AG490" s="320" t="s">
        <v>2868</v>
      </c>
      <c r="AH490" s="145">
        <v>-1.42</v>
      </c>
      <c r="AI490" s="15">
        <v>-1.42</v>
      </c>
      <c r="AJ490" s="229">
        <v>10.582191657186497</v>
      </c>
      <c r="AK490" s="320" t="s">
        <v>2792</v>
      </c>
      <c r="AL490" s="145">
        <v>3.2098221999999987</v>
      </c>
      <c r="AM490" s="15">
        <v>3.2098221999999987</v>
      </c>
      <c r="AN490" s="320" t="s">
        <v>2871</v>
      </c>
      <c r="AO490" s="220" t="s">
        <v>1943</v>
      </c>
      <c r="AP490" s="51"/>
      <c r="AQ490" s="51"/>
    </row>
    <row r="491" spans="1:43" customFormat="1" ht="18">
      <c r="A491" s="391" t="s">
        <v>1980</v>
      </c>
      <c r="B491" s="396">
        <v>278.33999999999997</v>
      </c>
      <c r="C491" s="157">
        <v>9.3098854800000002</v>
      </c>
      <c r="D491" s="318">
        <v>113.05168</v>
      </c>
      <c r="E491" s="206" t="s">
        <v>1125</v>
      </c>
      <c r="F491" s="157">
        <v>5.2744527999999873</v>
      </c>
      <c r="G491" s="70"/>
      <c r="H491" s="70"/>
      <c r="I491" s="157"/>
      <c r="J491" s="70"/>
      <c r="K491" s="70"/>
      <c r="L491" s="191">
        <v>15.76188855</v>
      </c>
      <c r="M491" s="323">
        <v>-82.59</v>
      </c>
      <c r="N491" s="180" t="s">
        <v>1126</v>
      </c>
      <c r="O491" s="191">
        <v>18.884489985527399</v>
      </c>
      <c r="P491" s="323">
        <v>100.7339346</v>
      </c>
      <c r="Q491" s="180" t="s">
        <v>1407</v>
      </c>
      <c r="R491" s="191">
        <v>4.0549143034280206</v>
      </c>
      <c r="S491" s="323">
        <v>9.8848959999999888</v>
      </c>
      <c r="T491" s="180" t="s">
        <v>1407</v>
      </c>
      <c r="U491" s="145">
        <v>0.58549251599999996</v>
      </c>
      <c r="V491" s="177">
        <v>9.11</v>
      </c>
      <c r="W491" s="460" t="s">
        <v>1126</v>
      </c>
      <c r="X491" s="145">
        <v>0.41023983999999997</v>
      </c>
      <c r="Y491" s="177">
        <v>4.5098000000000003</v>
      </c>
      <c r="Z491" s="460" t="s">
        <v>1466</v>
      </c>
      <c r="AA491" s="145">
        <v>0.88649025999999997</v>
      </c>
      <c r="AB491" s="461">
        <v>7.2496799426411865E-2</v>
      </c>
      <c r="AC491" s="177">
        <v>-4.5339259999999992</v>
      </c>
      <c r="AD491" s="222" t="s">
        <v>1709</v>
      </c>
      <c r="AE491" s="145">
        <v>0.38529921854830773</v>
      </c>
      <c r="AF491" s="177">
        <v>-2.4089999999999998</v>
      </c>
      <c r="AG491" s="365" t="s">
        <v>1126</v>
      </c>
      <c r="AH491" s="145">
        <v>0.39147695999999998</v>
      </c>
      <c r="AI491" s="177">
        <v>-1.4414270176922166</v>
      </c>
      <c r="AJ491" s="464">
        <v>89.705240764169957</v>
      </c>
      <c r="AK491" s="362" t="s">
        <v>1466</v>
      </c>
      <c r="AL491" s="145">
        <v>0.58011437602819982</v>
      </c>
      <c r="AM491" s="154">
        <v>3.2098221999999987</v>
      </c>
      <c r="AN491" s="155" t="s">
        <v>2610</v>
      </c>
      <c r="AO491" s="220" t="s">
        <v>1979</v>
      </c>
      <c r="AP491" s="51"/>
      <c r="AQ491" s="51"/>
    </row>
    <row r="492" spans="1:43" customFormat="1">
      <c r="A492" s="391"/>
      <c r="B492" s="396"/>
      <c r="C492" s="395"/>
      <c r="D492" s="255"/>
      <c r="E492" s="255"/>
      <c r="F492" s="267"/>
      <c r="G492" s="268"/>
      <c r="H492" s="268"/>
      <c r="I492" s="267"/>
      <c r="J492" s="268"/>
      <c r="K492" s="268"/>
      <c r="L492" s="338"/>
      <c r="M492" s="323">
        <v>-90.842332800000008</v>
      </c>
      <c r="N492" s="180" t="s">
        <v>1408</v>
      </c>
      <c r="O492" s="393"/>
      <c r="P492" s="323">
        <v>92.38</v>
      </c>
      <c r="Q492" s="180" t="s">
        <v>1126</v>
      </c>
      <c r="R492" s="3"/>
      <c r="S492" s="323">
        <v>9.789999999999992</v>
      </c>
      <c r="T492" s="180" t="s">
        <v>1126</v>
      </c>
      <c r="U492" s="100"/>
      <c r="V492" s="177">
        <v>8.8434699999999999</v>
      </c>
      <c r="W492" s="460" t="s">
        <v>1466</v>
      </c>
      <c r="X492" s="100"/>
      <c r="Y492" s="177">
        <v>4.82</v>
      </c>
      <c r="Z492" s="460" t="s">
        <v>1126</v>
      </c>
      <c r="AA492" s="100"/>
      <c r="AB492" s="462">
        <v>0.100982201358414</v>
      </c>
      <c r="AC492" s="177">
        <v>-4.3899999999999997</v>
      </c>
      <c r="AD492" s="460" t="s">
        <v>1126</v>
      </c>
      <c r="AE492" s="100"/>
      <c r="AF492" s="177">
        <v>-3.4659738939438651</v>
      </c>
      <c r="AG492" s="460" t="s">
        <v>1125</v>
      </c>
      <c r="AH492" s="100"/>
      <c r="AI492" s="177">
        <v>-1.42</v>
      </c>
      <c r="AJ492" s="465">
        <v>10.582191657186497</v>
      </c>
      <c r="AK492" s="460" t="s">
        <v>1126</v>
      </c>
      <c r="AL492" s="84"/>
      <c r="AM492" s="177" t="s">
        <v>652</v>
      </c>
      <c r="AN492" s="460" t="s">
        <v>1126</v>
      </c>
      <c r="AO492" s="220" t="s">
        <v>1941</v>
      </c>
      <c r="AP492" s="51"/>
      <c r="AQ492" s="51"/>
    </row>
    <row r="493" spans="1:43" customFormat="1">
      <c r="A493" s="391"/>
      <c r="B493" s="396"/>
      <c r="C493" s="395"/>
      <c r="D493" s="255"/>
      <c r="E493" s="255"/>
      <c r="F493" s="267"/>
      <c r="G493" s="268"/>
      <c r="H493" s="268"/>
      <c r="I493" s="267"/>
      <c r="J493" s="268"/>
      <c r="K493" s="268"/>
      <c r="L493" s="338"/>
      <c r="M493" s="268"/>
      <c r="N493" s="268"/>
      <c r="O493" s="393"/>
      <c r="P493" s="394"/>
      <c r="Q493" s="268"/>
      <c r="R493" s="3"/>
      <c r="S493" s="9"/>
      <c r="T493" s="4"/>
      <c r="U493" s="100"/>
      <c r="V493" s="177">
        <v>10.31508760549511</v>
      </c>
      <c r="W493" s="460" t="s">
        <v>1125</v>
      </c>
      <c r="X493" s="100"/>
      <c r="Y493" s="177">
        <v>4.46</v>
      </c>
      <c r="Z493" s="460" t="s">
        <v>1125</v>
      </c>
      <c r="AA493" s="100"/>
      <c r="AB493" s="225">
        <v>1.0499999999999982E-2</v>
      </c>
      <c r="AC493" s="177">
        <v>-5.3730555347820159</v>
      </c>
      <c r="AD493" s="460" t="s">
        <v>1125</v>
      </c>
      <c r="AE493" s="100"/>
      <c r="AF493" s="177">
        <v>-3.0096059999999989</v>
      </c>
      <c r="AG493" s="460" t="s">
        <v>1710</v>
      </c>
      <c r="AH493" s="100"/>
      <c r="AI493" s="177">
        <v>-1.4900000000000002</v>
      </c>
      <c r="AJ493" s="466">
        <v>9.0069058469792651</v>
      </c>
      <c r="AK493" s="460" t="s">
        <v>1125</v>
      </c>
      <c r="AL493" s="84"/>
      <c r="AM493" s="154">
        <v>3.1546491661480474</v>
      </c>
      <c r="AN493" s="155" t="s">
        <v>2611</v>
      </c>
      <c r="AO493" s="398" t="s">
        <v>1977</v>
      </c>
      <c r="AP493" s="51"/>
      <c r="AQ493" s="51"/>
    </row>
    <row r="494" spans="1:43" customFormat="1">
      <c r="A494" s="391"/>
      <c r="B494" s="396"/>
      <c r="C494" s="395"/>
      <c r="D494" s="255"/>
      <c r="E494" s="255"/>
      <c r="F494" s="267"/>
      <c r="G494" s="268"/>
      <c r="H494" s="268"/>
      <c r="I494" s="267"/>
      <c r="J494" s="268"/>
      <c r="K494" s="268"/>
      <c r="L494" s="338"/>
      <c r="M494" s="268"/>
      <c r="N494" s="268"/>
      <c r="O494" s="393"/>
      <c r="P494" s="394"/>
      <c r="Q494" s="268"/>
      <c r="R494" s="3"/>
      <c r="S494" s="9"/>
      <c r="T494" s="4"/>
      <c r="U494" s="100"/>
      <c r="V494" s="177">
        <v>9.5585000000000004</v>
      </c>
      <c r="W494" s="460" t="s">
        <v>1705</v>
      </c>
      <c r="X494" s="100"/>
      <c r="Y494" s="177">
        <v>4.5262020000000005</v>
      </c>
      <c r="Z494" s="460" t="s">
        <v>1707</v>
      </c>
      <c r="AA494" s="100"/>
      <c r="AB494" s="461">
        <v>4.5089625000000001E-2</v>
      </c>
      <c r="AC494" s="177">
        <v>-4.7401682104572913</v>
      </c>
      <c r="AD494" s="460" t="s">
        <v>1465</v>
      </c>
      <c r="AE494" s="100"/>
      <c r="AF494" s="177">
        <v>-1.518557371497695</v>
      </c>
      <c r="AG494" s="460" t="s">
        <v>1465</v>
      </c>
      <c r="AH494" s="100"/>
      <c r="AI494" s="177">
        <v>1.362377249968479</v>
      </c>
      <c r="AJ494" s="467">
        <v>6411.4000000000042</v>
      </c>
      <c r="AK494" s="460" t="s">
        <v>1467</v>
      </c>
      <c r="AL494" s="84"/>
      <c r="AM494" s="47"/>
      <c r="AN494" s="45"/>
      <c r="AO494" s="220" t="s">
        <v>1976</v>
      </c>
      <c r="AP494" s="51"/>
      <c r="AQ494" s="51"/>
    </row>
    <row r="495" spans="1:43" customFormat="1">
      <c r="A495" s="391"/>
      <c r="B495" s="396"/>
      <c r="C495" s="395"/>
      <c r="D495" s="255"/>
      <c r="E495" s="255"/>
      <c r="F495" s="267"/>
      <c r="G495" s="268"/>
      <c r="H495" s="268"/>
      <c r="I495" s="267"/>
      <c r="J495" s="268"/>
      <c r="K495" s="268"/>
      <c r="L495" s="338"/>
      <c r="M495" s="268"/>
      <c r="N495" s="268"/>
      <c r="O495" s="393"/>
      <c r="P495" s="394"/>
      <c r="Q495" s="268"/>
      <c r="R495" s="3"/>
      <c r="S495" s="9"/>
      <c r="T495" s="4"/>
      <c r="U495" s="100"/>
      <c r="V495" s="177">
        <v>9.7624999999999993</v>
      </c>
      <c r="W495" s="460" t="s">
        <v>1706</v>
      </c>
      <c r="X495" s="8"/>
      <c r="Y495" s="177">
        <v>4.561323999999999</v>
      </c>
      <c r="Z495" s="460" t="s">
        <v>1708</v>
      </c>
      <c r="AA495" s="47"/>
      <c r="AB495" s="463">
        <v>0.1214491582499999</v>
      </c>
      <c r="AC495" s="177">
        <v>-4.30985032474495</v>
      </c>
      <c r="AD495" s="460" t="s">
        <v>1466</v>
      </c>
      <c r="AE495" s="13"/>
      <c r="AF495" s="177">
        <v>-2.4896563617750562</v>
      </c>
      <c r="AG495" s="460" t="s">
        <v>1466</v>
      </c>
      <c r="AH495" s="84"/>
      <c r="AI495" s="177">
        <v>0.92667700622253613</v>
      </c>
      <c r="AJ495" s="464">
        <v>2351.0000000000005</v>
      </c>
      <c r="AK495" s="460" t="s">
        <v>1468</v>
      </c>
      <c r="AL495" s="84"/>
      <c r="AM495" s="47"/>
      <c r="AN495" s="45"/>
      <c r="AO495" s="220"/>
      <c r="AP495" s="51"/>
      <c r="AQ495" s="51"/>
    </row>
    <row r="496" spans="1:43" customFormat="1">
      <c r="A496" s="391"/>
      <c r="B496" s="396"/>
      <c r="C496" s="395"/>
      <c r="D496" s="255"/>
      <c r="E496" s="255"/>
      <c r="F496" s="267"/>
      <c r="G496" s="268"/>
      <c r="H496" s="268"/>
      <c r="I496" s="267"/>
      <c r="J496" s="268"/>
      <c r="K496" s="268"/>
      <c r="L496" s="338"/>
      <c r="M496" s="268"/>
      <c r="N496" s="268"/>
      <c r="O496" s="393"/>
      <c r="P496" s="394"/>
      <c r="Q496" s="268"/>
      <c r="R496" s="3"/>
      <c r="S496" s="9"/>
      <c r="T496" s="4"/>
      <c r="U496" s="100"/>
      <c r="V496" s="177">
        <v>8.6310000000000002</v>
      </c>
      <c r="W496" s="460" t="s">
        <v>1465</v>
      </c>
      <c r="X496" s="8"/>
      <c r="Y496" s="177">
        <v>4.6100000000000003</v>
      </c>
      <c r="Z496" s="460" t="s">
        <v>1465</v>
      </c>
      <c r="AA496" s="47"/>
      <c r="AB496" s="47"/>
      <c r="AC496" s="47"/>
      <c r="AD496" s="45"/>
      <c r="AE496" s="13"/>
      <c r="AF496" s="9"/>
      <c r="AG496" s="9"/>
      <c r="AH496" s="84"/>
      <c r="AI496" s="47"/>
      <c r="AJ496" s="47"/>
      <c r="AK496" s="47"/>
      <c r="AL496" s="84"/>
      <c r="AM496" s="47"/>
      <c r="AN496" s="47"/>
      <c r="AO496" s="220"/>
      <c r="AP496" s="51"/>
      <c r="AQ496" s="51"/>
    </row>
    <row r="497" spans="1:43" customFormat="1" ht="18">
      <c r="A497" s="391"/>
      <c r="B497" s="396"/>
      <c r="C497" s="395"/>
      <c r="D497" s="255"/>
      <c r="E497" s="255"/>
      <c r="F497" s="267"/>
      <c r="G497" s="268"/>
      <c r="H497" s="268"/>
      <c r="I497" s="267"/>
      <c r="J497" s="268"/>
      <c r="K497" s="268"/>
      <c r="L497" s="338"/>
      <c r="M497" s="268"/>
      <c r="N497" s="268"/>
      <c r="O497" s="393"/>
      <c r="P497" s="394"/>
      <c r="Q497" s="268"/>
      <c r="R497" s="393"/>
      <c r="S497" s="392"/>
      <c r="T497" s="268"/>
      <c r="U497" s="319"/>
      <c r="V497" s="274"/>
      <c r="W497" s="220"/>
      <c r="X497" s="274"/>
      <c r="Y497" s="274"/>
      <c r="Z497" s="220"/>
      <c r="AA497" s="51"/>
      <c r="AB497" s="51"/>
      <c r="AC497" s="51"/>
      <c r="AD497" s="220"/>
      <c r="AE497" s="389"/>
      <c r="AF497" s="257">
        <v>-2.4045616372429981</v>
      </c>
      <c r="AG497" s="269" t="s">
        <v>2086</v>
      </c>
      <c r="AH497" s="219"/>
      <c r="AI497" s="260">
        <v>-1.2802227671179662</v>
      </c>
      <c r="AJ497" s="263">
        <v>14.6</v>
      </c>
      <c r="AK497" s="51" t="s">
        <v>2096</v>
      </c>
      <c r="AL497" s="219"/>
      <c r="AM497" s="51"/>
      <c r="AN497" s="51"/>
      <c r="AO497" s="220"/>
      <c r="AP497" s="51"/>
      <c r="AQ497" s="51"/>
    </row>
    <row r="498" spans="1:43" customFormat="1" ht="18">
      <c r="A498" s="391" t="s">
        <v>1972</v>
      </c>
      <c r="B498" s="396" t="s">
        <v>1971</v>
      </c>
      <c r="C498" s="157">
        <v>102.72</v>
      </c>
      <c r="D498" s="318">
        <v>102.72</v>
      </c>
      <c r="E498" s="30" t="s">
        <v>1126</v>
      </c>
      <c r="F498" s="187">
        <v>4.5799999999999983</v>
      </c>
      <c r="G498" s="318">
        <v>4.5799999999999983</v>
      </c>
      <c r="H498" s="70" t="s">
        <v>1126</v>
      </c>
      <c r="I498" s="187"/>
      <c r="J498" s="318">
        <v>7.75</v>
      </c>
      <c r="K498" s="70" t="s">
        <v>1126</v>
      </c>
      <c r="L498" s="191">
        <v>-94.97</v>
      </c>
      <c r="M498" s="276">
        <v>-94.97</v>
      </c>
      <c r="N498" s="13" t="s">
        <v>2792</v>
      </c>
      <c r="O498" s="187">
        <v>114.1820809</v>
      </c>
      <c r="P498" s="318">
        <v>114.1820809</v>
      </c>
      <c r="Q498" s="70" t="s">
        <v>2793</v>
      </c>
      <c r="R498" s="187">
        <v>5.5415839999999914</v>
      </c>
      <c r="S498" s="491">
        <v>5.5415839999999914</v>
      </c>
      <c r="T498" s="13" t="s">
        <v>2793</v>
      </c>
      <c r="U498" s="145">
        <v>9.0180000000000007</v>
      </c>
      <c r="V498" s="15">
        <v>9.0180000000000007</v>
      </c>
      <c r="W498" s="320" t="s">
        <v>2869</v>
      </c>
      <c r="X498" s="145">
        <v>5.21</v>
      </c>
      <c r="Y498" s="15">
        <v>5.21</v>
      </c>
      <c r="Z498" s="320" t="s">
        <v>2792</v>
      </c>
      <c r="AA498" s="145">
        <v>-5.64</v>
      </c>
      <c r="AB498" s="371">
        <v>5.6786464932529167E-3</v>
      </c>
      <c r="AC498" s="15">
        <v>-5.64</v>
      </c>
      <c r="AD498" s="320" t="s">
        <v>2792</v>
      </c>
      <c r="AE498" s="145">
        <v>-3.2243808451937057</v>
      </c>
      <c r="AF498" s="15">
        <v>-3.2243808451937057</v>
      </c>
      <c r="AG498" s="320" t="s">
        <v>2868</v>
      </c>
      <c r="AH498" s="145">
        <v>-2.0099999999999998</v>
      </c>
      <c r="AI498" s="15">
        <v>-2.0099999999999998</v>
      </c>
      <c r="AJ498" s="229">
        <v>3.0528890782659519</v>
      </c>
      <c r="AK498" s="320" t="s">
        <v>2792</v>
      </c>
      <c r="AL498" s="145">
        <v>2.7457662999999988</v>
      </c>
      <c r="AM498" s="15">
        <v>2.7457662999999988</v>
      </c>
      <c r="AN498" s="320" t="s">
        <v>2871</v>
      </c>
      <c r="AO498" s="220" t="s">
        <v>1970</v>
      </c>
      <c r="AP498" s="51"/>
      <c r="AQ498" s="51"/>
    </row>
    <row r="499" spans="1:43" customFormat="1">
      <c r="A499" s="391" t="s">
        <v>1969</v>
      </c>
      <c r="B499" s="396">
        <v>312.39999999999998</v>
      </c>
      <c r="C499" s="157">
        <v>10.791146879999999</v>
      </c>
      <c r="D499" s="318">
        <v>133.00936000000002</v>
      </c>
      <c r="E499" s="206" t="s">
        <v>1125</v>
      </c>
      <c r="F499" s="157">
        <v>6.4247323999999972</v>
      </c>
      <c r="G499" s="70"/>
      <c r="H499" s="70"/>
      <c r="I499" s="157"/>
      <c r="J499" s="70"/>
      <c r="K499" s="70"/>
      <c r="L499" s="191">
        <v>18.124549649999999</v>
      </c>
      <c r="M499" s="323">
        <v>-94.97</v>
      </c>
      <c r="N499" s="180" t="s">
        <v>1126</v>
      </c>
      <c r="O499" s="191">
        <v>21.4056005242421</v>
      </c>
      <c r="P499" s="323">
        <v>114.1820809</v>
      </c>
      <c r="Q499" s="180" t="s">
        <v>1407</v>
      </c>
      <c r="R499" s="191">
        <v>2.2732306162096045</v>
      </c>
      <c r="S499" s="323">
        <v>5.5415839999999914</v>
      </c>
      <c r="T499" s="180" t="s">
        <v>1407</v>
      </c>
      <c r="U499" s="145">
        <v>0.61174504799999996</v>
      </c>
      <c r="V499" s="177">
        <v>10.75</v>
      </c>
      <c r="W499" s="460" t="s">
        <v>1126</v>
      </c>
      <c r="X499" s="145">
        <v>0.44343351999999997</v>
      </c>
      <c r="Y499" s="177">
        <v>4.4600900000000001</v>
      </c>
      <c r="Z499" s="460" t="s">
        <v>1466</v>
      </c>
      <c r="AA499" s="145">
        <v>1.1389077599999999</v>
      </c>
      <c r="AB499" s="461">
        <v>1.9402863743196595E-3</v>
      </c>
      <c r="AC499" s="177">
        <v>-6.1063789999999987</v>
      </c>
      <c r="AD499" s="222" t="s">
        <v>1709</v>
      </c>
      <c r="AE499" s="145">
        <v>0.49900517960217794</v>
      </c>
      <c r="AF499" s="177">
        <v>-4.26</v>
      </c>
      <c r="AG499" s="365" t="s">
        <v>1126</v>
      </c>
      <c r="AH499" s="145">
        <v>0.55413287999999994</v>
      </c>
      <c r="AI499" s="177">
        <v>-2.0418888024306798</v>
      </c>
      <c r="AJ499" s="464">
        <v>22.508991202122974</v>
      </c>
      <c r="AK499" s="362" t="s">
        <v>1466</v>
      </c>
      <c r="AL499" s="145">
        <v>0.4962450891652998</v>
      </c>
      <c r="AM499" s="154">
        <v>2.7457662999999988</v>
      </c>
      <c r="AN499" s="155" t="s">
        <v>2610</v>
      </c>
      <c r="AO499" s="220" t="s">
        <v>1968</v>
      </c>
      <c r="AP499" s="51"/>
      <c r="AQ499" s="51"/>
    </row>
    <row r="500" spans="1:43" customFormat="1">
      <c r="A500" s="391"/>
      <c r="B500" s="396"/>
      <c r="C500" s="395"/>
      <c r="D500" s="255"/>
      <c r="E500" s="255"/>
      <c r="F500" s="267"/>
      <c r="G500" s="268"/>
      <c r="H500" s="268"/>
      <c r="I500" s="267"/>
      <c r="J500" s="268"/>
      <c r="K500" s="268"/>
      <c r="L500" s="338"/>
      <c r="M500" s="323">
        <v>-108.63265620000001</v>
      </c>
      <c r="N500" s="180" t="s">
        <v>1408</v>
      </c>
      <c r="O500" s="393"/>
      <c r="P500" s="323">
        <v>98.14</v>
      </c>
      <c r="Q500" s="180" t="s">
        <v>1126</v>
      </c>
      <c r="R500" s="3"/>
      <c r="S500" s="323">
        <v>3.1700000000000017</v>
      </c>
      <c r="T500" s="180" t="s">
        <v>1126</v>
      </c>
      <c r="U500" s="100"/>
      <c r="V500" s="177">
        <v>9.82606</v>
      </c>
      <c r="W500" s="460" t="s">
        <v>1466</v>
      </c>
      <c r="X500" s="100"/>
      <c r="Y500" s="177">
        <v>5.21</v>
      </c>
      <c r="Z500" s="460" t="s">
        <v>1126</v>
      </c>
      <c r="AA500" s="100"/>
      <c r="AB500" s="462">
        <v>5.6786464932529167E-3</v>
      </c>
      <c r="AC500" s="177">
        <v>-5.64</v>
      </c>
      <c r="AD500" s="460" t="s">
        <v>1126</v>
      </c>
      <c r="AE500" s="100"/>
      <c r="AF500" s="177">
        <v>-5.4388986163509436</v>
      </c>
      <c r="AG500" s="460" t="s">
        <v>1125</v>
      </c>
      <c r="AH500" s="100"/>
      <c r="AI500" s="177">
        <v>-2.0099999999999998</v>
      </c>
      <c r="AJ500" s="465">
        <v>3.0528890782659519</v>
      </c>
      <c r="AK500" s="460" t="s">
        <v>1126</v>
      </c>
      <c r="AL500" s="84"/>
      <c r="AM500" s="177" t="s">
        <v>652</v>
      </c>
      <c r="AN500" s="460" t="s">
        <v>1126</v>
      </c>
      <c r="AO500" s="220" t="s">
        <v>1967</v>
      </c>
      <c r="AP500" s="51"/>
      <c r="AQ500" s="51"/>
    </row>
    <row r="501" spans="1:43" customFormat="1">
      <c r="A501" s="391"/>
      <c r="B501" s="396"/>
      <c r="C501" s="395"/>
      <c r="D501" s="255"/>
      <c r="E501" s="255"/>
      <c r="F501" s="267"/>
      <c r="G501" s="268"/>
      <c r="H501" s="268"/>
      <c r="I501" s="267"/>
      <c r="J501" s="268"/>
      <c r="K501" s="268"/>
      <c r="L501" s="338"/>
      <c r="M501" s="268"/>
      <c r="N501" s="268"/>
      <c r="O501" s="393"/>
      <c r="P501" s="394"/>
      <c r="Q501" s="268"/>
      <c r="R501" s="3"/>
      <c r="S501" s="9"/>
      <c r="T501" s="4"/>
      <c r="U501" s="100"/>
      <c r="V501" s="177">
        <v>12.091072794122248</v>
      </c>
      <c r="W501" s="460" t="s">
        <v>1125</v>
      </c>
      <c r="X501" s="100"/>
      <c r="Y501" s="177">
        <v>4.83</v>
      </c>
      <c r="Z501" s="460" t="s">
        <v>1125</v>
      </c>
      <c r="AA501" s="100"/>
      <c r="AB501" s="225">
        <v>4.2699999999999932E-4</v>
      </c>
      <c r="AC501" s="177">
        <v>-6.7638169588269301</v>
      </c>
      <c r="AD501" s="460" t="s">
        <v>1125</v>
      </c>
      <c r="AE501" s="100"/>
      <c r="AF501" s="177">
        <v>-4.5696990000000008</v>
      </c>
      <c r="AG501" s="460" t="s">
        <v>1710</v>
      </c>
      <c r="AH501" s="100"/>
      <c r="AI501" s="177">
        <v>-2.0700000000000003</v>
      </c>
      <c r="AJ501" s="466">
        <v>2.65895523134422</v>
      </c>
      <c r="AK501" s="460" t="s">
        <v>1125</v>
      </c>
      <c r="AL501" s="84"/>
      <c r="AM501" s="154">
        <v>3.4769561661480459</v>
      </c>
      <c r="AN501" s="155" t="s">
        <v>2611</v>
      </c>
      <c r="AO501" s="220"/>
      <c r="AP501" s="51"/>
      <c r="AQ501" s="51"/>
    </row>
    <row r="502" spans="1:43" customFormat="1">
      <c r="A502" s="391"/>
      <c r="B502" s="396"/>
      <c r="C502" s="395"/>
      <c r="D502" s="255"/>
      <c r="E502" s="255"/>
      <c r="F502" s="267"/>
      <c r="G502" s="268"/>
      <c r="H502" s="268"/>
      <c r="I502" s="267"/>
      <c r="J502" s="268"/>
      <c r="K502" s="268"/>
      <c r="L502" s="338"/>
      <c r="M502" s="268"/>
      <c r="N502" s="268"/>
      <c r="O502" s="393"/>
      <c r="P502" s="394"/>
      <c r="Q502" s="268"/>
      <c r="R502" s="3"/>
      <c r="S502" s="9"/>
      <c r="T502" s="4"/>
      <c r="U502" s="100"/>
      <c r="V502" s="177">
        <v>11.440900000000001</v>
      </c>
      <c r="W502" s="460" t="s">
        <v>1705</v>
      </c>
      <c r="X502" s="100"/>
      <c r="Y502" s="177">
        <v>4.6926329999999989</v>
      </c>
      <c r="Z502" s="460" t="s">
        <v>1707</v>
      </c>
      <c r="AA502" s="100"/>
      <c r="AB502" s="461">
        <v>2.1582225000000015E-4</v>
      </c>
      <c r="AC502" s="177">
        <v>-7.0601486179994852</v>
      </c>
      <c r="AD502" s="460" t="s">
        <v>1465</v>
      </c>
      <c r="AE502" s="100"/>
      <c r="AF502" s="177">
        <v>-2.2313618987523856</v>
      </c>
      <c r="AG502" s="460" t="s">
        <v>1465</v>
      </c>
      <c r="AH502" s="100"/>
      <c r="AI502" s="177">
        <v>0.53835066733291093</v>
      </c>
      <c r="AJ502" s="467">
        <v>1079.1000000000004</v>
      </c>
      <c r="AK502" s="460" t="s">
        <v>1467</v>
      </c>
      <c r="AL502" s="84"/>
      <c r="AM502" s="47"/>
      <c r="AN502" s="45"/>
      <c r="AO502" s="220"/>
      <c r="AP502" s="51"/>
      <c r="AQ502" s="51"/>
    </row>
    <row r="503" spans="1:43" customFormat="1">
      <c r="A503" s="391"/>
      <c r="B503" s="396"/>
      <c r="C503" s="395"/>
      <c r="D503" s="255"/>
      <c r="E503" s="255"/>
      <c r="F503" s="267"/>
      <c r="G503" s="268"/>
      <c r="H503" s="268"/>
      <c r="I503" s="267"/>
      <c r="J503" s="268"/>
      <c r="K503" s="268"/>
      <c r="L503" s="338"/>
      <c r="M503" s="268"/>
      <c r="N503" s="268"/>
      <c r="O503" s="393"/>
      <c r="P503" s="394"/>
      <c r="Q503" s="268"/>
      <c r="R503" s="3"/>
      <c r="S503" s="9"/>
      <c r="T503" s="4"/>
      <c r="U503" s="100"/>
      <c r="V503" s="177">
        <v>11.823399999999999</v>
      </c>
      <c r="W503" s="460" t="s">
        <v>1706</v>
      </c>
      <c r="X503" s="8"/>
      <c r="Y503" s="177">
        <v>4.6236459999999981</v>
      </c>
      <c r="Z503" s="460" t="s">
        <v>1708</v>
      </c>
      <c r="AA503" s="47"/>
      <c r="AB503" s="463">
        <v>2.8624008524999974E-3</v>
      </c>
      <c r="AC503" s="177">
        <v>-5.9375143812840534</v>
      </c>
      <c r="AD503" s="460" t="s">
        <v>1466</v>
      </c>
      <c r="AE503" s="13"/>
      <c r="AF503" s="177">
        <v>-3.2243808451937057</v>
      </c>
      <c r="AG503" s="460" t="s">
        <v>1466</v>
      </c>
      <c r="AH503" s="84"/>
      <c r="AI503" s="177">
        <v>0.48250942143012254</v>
      </c>
      <c r="AJ503" s="464">
        <v>948.90000000000009</v>
      </c>
      <c r="AK503" s="460" t="s">
        <v>1468</v>
      </c>
      <c r="AL503" s="84"/>
      <c r="AM503" s="47"/>
      <c r="AN503" s="45"/>
      <c r="AO503" s="220"/>
      <c r="AP503" s="51"/>
      <c r="AQ503" s="51"/>
    </row>
    <row r="504" spans="1:43" customFormat="1">
      <c r="A504" s="391"/>
      <c r="B504" s="396"/>
      <c r="C504" s="395"/>
      <c r="D504" s="255"/>
      <c r="E504" s="255"/>
      <c r="F504" s="267"/>
      <c r="G504" s="268"/>
      <c r="H504" s="268"/>
      <c r="I504" s="267"/>
      <c r="J504" s="268"/>
      <c r="K504" s="268"/>
      <c r="L504" s="338"/>
      <c r="M504" s="268"/>
      <c r="N504" s="268"/>
      <c r="O504" s="393"/>
      <c r="P504" s="394"/>
      <c r="Q504" s="268"/>
      <c r="R504" s="3"/>
      <c r="S504" s="9"/>
      <c r="T504" s="4"/>
      <c r="U504" s="100"/>
      <c r="V504" s="177">
        <v>9.0180000000000007</v>
      </c>
      <c r="W504" s="460" t="s">
        <v>1465</v>
      </c>
      <c r="X504" s="8"/>
      <c r="Y504" s="177">
        <v>4.84</v>
      </c>
      <c r="Z504" s="460" t="s">
        <v>1465</v>
      </c>
      <c r="AA504" s="47"/>
      <c r="AB504" s="47"/>
      <c r="AC504" s="47"/>
      <c r="AD504" s="45"/>
      <c r="AE504" s="13"/>
      <c r="AF504" s="9"/>
      <c r="AG504" s="9"/>
      <c r="AH504" s="84"/>
      <c r="AI504" s="47"/>
      <c r="AJ504" s="47"/>
      <c r="AK504" s="47"/>
      <c r="AL504" s="84"/>
      <c r="AM504" s="47"/>
      <c r="AN504" s="47"/>
      <c r="AO504" s="220"/>
      <c r="AP504" s="51"/>
      <c r="AQ504" s="51"/>
    </row>
    <row r="505" spans="1:43" customFormat="1">
      <c r="A505" s="391"/>
      <c r="B505" s="396"/>
      <c r="C505" s="395"/>
      <c r="D505" s="255"/>
      <c r="E505" s="255"/>
      <c r="F505" s="267"/>
      <c r="G505" s="268"/>
      <c r="H505" s="268"/>
      <c r="I505" s="267"/>
      <c r="J505" s="268"/>
      <c r="K505" s="268"/>
      <c r="L505" s="338"/>
      <c r="M505" s="268"/>
      <c r="N505" s="268"/>
      <c r="O505" s="393"/>
      <c r="P505" s="394"/>
      <c r="Q505" s="268"/>
      <c r="R505" s="393"/>
      <c r="S505" s="392"/>
      <c r="T505" s="268"/>
      <c r="U505" s="319"/>
      <c r="V505" s="274"/>
      <c r="W505" s="220"/>
      <c r="X505" s="274"/>
      <c r="Y505" s="274"/>
      <c r="Z505" s="220"/>
      <c r="AA505" s="51"/>
      <c r="AB505" s="51"/>
      <c r="AC505" s="51"/>
      <c r="AD505" s="220"/>
      <c r="AE505" s="389"/>
      <c r="AF505" s="257"/>
      <c r="AG505" s="269"/>
      <c r="AH505" s="219"/>
      <c r="AI505" s="260"/>
      <c r="AJ505" s="263"/>
      <c r="AK505" s="51"/>
      <c r="AL505" s="219"/>
      <c r="AM505" s="51"/>
      <c r="AN505" s="51"/>
      <c r="AO505" s="220"/>
      <c r="AP505" s="51"/>
      <c r="AQ505" s="51"/>
    </row>
    <row r="506" spans="1:43" customFormat="1">
      <c r="A506" s="397" t="s">
        <v>1963</v>
      </c>
      <c r="B506" s="396" t="s">
        <v>1962</v>
      </c>
      <c r="C506" s="157">
        <v>141.63999999999999</v>
      </c>
      <c r="D506" s="318">
        <v>141.63999999999999</v>
      </c>
      <c r="E506" s="30" t="s">
        <v>1126</v>
      </c>
      <c r="F506" s="187">
        <v>12.97999999999999</v>
      </c>
      <c r="G506" s="318">
        <v>12.97999999999999</v>
      </c>
      <c r="H506" s="70" t="s">
        <v>1126</v>
      </c>
      <c r="I506" s="187"/>
      <c r="J506" s="318">
        <v>6.5999999999999943</v>
      </c>
      <c r="K506" s="70" t="s">
        <v>1126</v>
      </c>
      <c r="L506" s="191">
        <v>-135.04</v>
      </c>
      <c r="M506" s="276">
        <v>-135.04</v>
      </c>
      <c r="N506" s="13" t="s">
        <v>2792</v>
      </c>
      <c r="O506" s="187">
        <v>129.42021819999999</v>
      </c>
      <c r="P506" s="318">
        <v>129.42021819999999</v>
      </c>
      <c r="Q506" s="70" t="s">
        <v>2793</v>
      </c>
      <c r="R506" s="187">
        <v>-22.272568000000003</v>
      </c>
      <c r="S506" s="491">
        <v>-22.272568000000003</v>
      </c>
      <c r="T506" s="13" t="s">
        <v>2793</v>
      </c>
      <c r="U506" s="145">
        <v>16.864000000000001</v>
      </c>
      <c r="V506" s="15">
        <v>16.864000000000001</v>
      </c>
      <c r="W506" s="320" t="s">
        <v>2869</v>
      </c>
      <c r="X506" s="145">
        <v>11.38</v>
      </c>
      <c r="Y506" s="15">
        <v>11.38</v>
      </c>
      <c r="Z506" s="320" t="s">
        <v>2792</v>
      </c>
      <c r="AA506" s="145">
        <v>-3.12</v>
      </c>
      <c r="AB506" s="371">
        <v>1.8803765818140212</v>
      </c>
      <c r="AC506" s="15">
        <v>-3.12</v>
      </c>
      <c r="AD506" s="320" t="s">
        <v>2792</v>
      </c>
      <c r="AE506" s="145">
        <v>-6.5403690608624325</v>
      </c>
      <c r="AF506" s="15">
        <v>-6.5403690608624325</v>
      </c>
      <c r="AG506" s="320" t="s">
        <v>2868</v>
      </c>
      <c r="AH506" s="145">
        <v>-8.68</v>
      </c>
      <c r="AI506" s="15">
        <v>-8.68</v>
      </c>
      <c r="AJ506" s="229">
        <v>1.475251997996034E-6</v>
      </c>
      <c r="AK506" s="320" t="s">
        <v>2792</v>
      </c>
      <c r="AL506" s="145">
        <v>4.4496473999999981</v>
      </c>
      <c r="AM506" s="15">
        <v>4.4496473999999981</v>
      </c>
      <c r="AN506" s="320" t="s">
        <v>2871</v>
      </c>
      <c r="AO506" s="220" t="s">
        <v>1960</v>
      </c>
      <c r="AP506" s="51"/>
      <c r="AQ506" s="51"/>
    </row>
    <row r="507" spans="1:43" customFormat="1">
      <c r="A507" s="391" t="s">
        <v>1959</v>
      </c>
      <c r="B507" s="396">
        <v>706.1</v>
      </c>
      <c r="C507" s="157">
        <v>14.879848559999997</v>
      </c>
      <c r="D507" s="318">
        <v>193.0916</v>
      </c>
      <c r="E507" s="206" t="s">
        <v>1125</v>
      </c>
      <c r="F507" s="157">
        <v>18.208084399999983</v>
      </c>
      <c r="G507" s="70"/>
      <c r="H507" s="70"/>
      <c r="I507" s="157"/>
      <c r="J507" s="70"/>
      <c r="K507" s="70"/>
      <c r="L507" s="191">
        <v>25.771708799999995</v>
      </c>
      <c r="M507" s="323">
        <v>-135.04</v>
      </c>
      <c r="N507" s="180" t="s">
        <v>1126</v>
      </c>
      <c r="O507" s="191">
        <v>24.2622788857358</v>
      </c>
      <c r="P507" s="323">
        <v>129.42021819999999</v>
      </c>
      <c r="Q507" s="180" t="s">
        <v>1407</v>
      </c>
      <c r="R507" s="191">
        <v>9.1365002279511423</v>
      </c>
      <c r="S507" s="323">
        <v>-22.272568000000003</v>
      </c>
      <c r="T507" s="180" t="s">
        <v>1407</v>
      </c>
      <c r="U507" s="145">
        <v>1.143986304</v>
      </c>
      <c r="V507" s="177">
        <v>14.82</v>
      </c>
      <c r="W507" s="460" t="s">
        <v>1126</v>
      </c>
      <c r="X507" s="145">
        <v>0.96857455999999997</v>
      </c>
      <c r="Y507" s="177">
        <v>7.5721600000000002</v>
      </c>
      <c r="Z507" s="460" t="s">
        <v>1466</v>
      </c>
      <c r="AA507" s="145">
        <v>0.63003408000000005</v>
      </c>
      <c r="AB507" s="461">
        <v>6.6024152292200258</v>
      </c>
      <c r="AC507" s="177">
        <v>-2.5745419999999988</v>
      </c>
      <c r="AD507" s="222" t="s">
        <v>1709</v>
      </c>
      <c r="AE507" s="145">
        <v>1.0121875158590701</v>
      </c>
      <c r="AF507" s="177">
        <v>-8.4090000000000007</v>
      </c>
      <c r="AG507" s="365" t="s">
        <v>1126</v>
      </c>
      <c r="AH507" s="145">
        <v>2.39297184</v>
      </c>
      <c r="AI507" s="177">
        <v>-4.8921695683877831</v>
      </c>
      <c r="AJ507" s="464">
        <v>3.1774246869529919E-2</v>
      </c>
      <c r="AK507" s="362" t="s">
        <v>1466</v>
      </c>
      <c r="AL507" s="145">
        <v>0.80418922424939965</v>
      </c>
      <c r="AM507" s="154">
        <v>4.4496473999999981</v>
      </c>
      <c r="AN507" s="155" t="s">
        <v>2610</v>
      </c>
      <c r="AO507" s="220"/>
      <c r="AP507" s="51"/>
      <c r="AQ507" s="51"/>
    </row>
    <row r="508" spans="1:43" customFormat="1">
      <c r="A508" s="391"/>
      <c r="B508" s="396"/>
      <c r="C508" s="395"/>
      <c r="D508" s="255"/>
      <c r="E508" s="255"/>
      <c r="F508" s="267"/>
      <c r="G508" s="268"/>
      <c r="H508" s="268"/>
      <c r="I508" s="267"/>
      <c r="J508" s="268"/>
      <c r="K508" s="268"/>
      <c r="L508" s="338"/>
      <c r="M508" s="323">
        <v>-151.68796760000001</v>
      </c>
      <c r="N508" s="180" t="s">
        <v>1408</v>
      </c>
      <c r="O508" s="393"/>
      <c r="P508" s="323">
        <v>128.66</v>
      </c>
      <c r="Q508" s="180" t="s">
        <v>1126</v>
      </c>
      <c r="R508" s="3"/>
      <c r="S508" s="323">
        <v>-6.3799999999999955</v>
      </c>
      <c r="T508" s="180" t="s">
        <v>1126</v>
      </c>
      <c r="U508" s="100"/>
      <c r="V508" s="177">
        <v>11.6775</v>
      </c>
      <c r="W508" s="460" t="s">
        <v>1466</v>
      </c>
      <c r="X508" s="100"/>
      <c r="Y508" s="177">
        <v>11.38</v>
      </c>
      <c r="Z508" s="460" t="s">
        <v>1126</v>
      </c>
      <c r="AA508" s="100"/>
      <c r="AB508" s="462">
        <v>1.8803765818140212</v>
      </c>
      <c r="AC508" s="177">
        <v>-3.12</v>
      </c>
      <c r="AD508" s="460" t="s">
        <v>1126</v>
      </c>
      <c r="AE508" s="100"/>
      <c r="AF508" s="177">
        <v>-12.042392712939904</v>
      </c>
      <c r="AG508" s="460" t="s">
        <v>1125</v>
      </c>
      <c r="AH508" s="100"/>
      <c r="AI508" s="177">
        <v>-8.68</v>
      </c>
      <c r="AJ508" s="465">
        <v>1.475251997996034E-6</v>
      </c>
      <c r="AK508" s="460" t="s">
        <v>1126</v>
      </c>
      <c r="AL508" s="84"/>
      <c r="AM508" s="177" t="s">
        <v>652</v>
      </c>
      <c r="AN508" s="460" t="s">
        <v>1126</v>
      </c>
      <c r="AO508" s="220"/>
      <c r="AP508" s="51"/>
      <c r="AQ508" s="51"/>
    </row>
    <row r="509" spans="1:43" customFormat="1">
      <c r="A509" s="391"/>
      <c r="B509" s="396"/>
      <c r="C509" s="395"/>
      <c r="D509" s="255"/>
      <c r="E509" s="255"/>
      <c r="F509" s="267"/>
      <c r="G509" s="268"/>
      <c r="H509" s="268"/>
      <c r="I509" s="267"/>
      <c r="J509" s="268"/>
      <c r="K509" s="268"/>
      <c r="L509" s="338"/>
      <c r="M509" s="268"/>
      <c r="N509" s="268"/>
      <c r="O509" s="393"/>
      <c r="P509" s="394"/>
      <c r="Q509" s="268"/>
      <c r="R509" s="3"/>
      <c r="S509" s="9"/>
      <c r="T509" s="4"/>
      <c r="U509" s="100"/>
      <c r="V509" s="177">
        <v>18.061830391627129</v>
      </c>
      <c r="W509" s="460" t="s">
        <v>1125</v>
      </c>
      <c r="X509" s="100"/>
      <c r="Y509" s="177">
        <v>10.92</v>
      </c>
      <c r="Z509" s="460" t="s">
        <v>1125</v>
      </c>
      <c r="AA509" s="100"/>
      <c r="AB509" s="225">
        <v>1.2499999999999974E-3</v>
      </c>
      <c r="AC509" s="177">
        <v>-6.297334820843898</v>
      </c>
      <c r="AD509" s="460" t="s">
        <v>1125</v>
      </c>
      <c r="AE509" s="100"/>
      <c r="AF509" s="177">
        <v>-10.453302000000001</v>
      </c>
      <c r="AG509" s="460" t="s">
        <v>1710</v>
      </c>
      <c r="AH509" s="100"/>
      <c r="AI509" s="177">
        <v>-9.14</v>
      </c>
      <c r="AJ509" s="466">
        <v>5.1152423140894784E-7</v>
      </c>
      <c r="AK509" s="460" t="s">
        <v>1125</v>
      </c>
      <c r="AL509" s="84"/>
      <c r="AM509" s="154">
        <v>1.836753166148041</v>
      </c>
      <c r="AN509" s="155" t="s">
        <v>2611</v>
      </c>
      <c r="AO509" s="220"/>
      <c r="AP509" s="51"/>
      <c r="AQ509" s="51"/>
    </row>
    <row r="510" spans="1:43" customFormat="1">
      <c r="A510" s="391"/>
      <c r="B510" s="396"/>
      <c r="C510" s="395"/>
      <c r="D510" s="255"/>
      <c r="E510" s="255"/>
      <c r="F510" s="267"/>
      <c r="G510" s="268"/>
      <c r="H510" s="268"/>
      <c r="I510" s="267"/>
      <c r="J510" s="268"/>
      <c r="K510" s="268"/>
      <c r="L510" s="338"/>
      <c r="M510" s="268"/>
      <c r="N510" s="268"/>
      <c r="O510" s="393"/>
      <c r="P510" s="394"/>
      <c r="Q510" s="268"/>
      <c r="R510" s="3"/>
      <c r="S510" s="9"/>
      <c r="T510" s="4"/>
      <c r="U510" s="100"/>
      <c r="V510" s="177">
        <v>15.684299999999997</v>
      </c>
      <c r="W510" s="460" t="s">
        <v>1705</v>
      </c>
      <c r="X510" s="100"/>
      <c r="Y510" s="177">
        <v>13.054734</v>
      </c>
      <c r="Z510" s="460" t="s">
        <v>1707</v>
      </c>
      <c r="AA510" s="100"/>
      <c r="AB510" s="461">
        <v>3.0478559999999981E-2</v>
      </c>
      <c r="AC510" s="177">
        <v>-4.9102503895186187</v>
      </c>
      <c r="AD510" s="460" t="s">
        <v>1465</v>
      </c>
      <c r="AE510" s="100"/>
      <c r="AF510" s="177">
        <v>-6.4485500020271251</v>
      </c>
      <c r="AG510" s="460" t="s">
        <v>1465</v>
      </c>
      <c r="AH510" s="100"/>
      <c r="AI510" s="177">
        <v>-5.5661987911750295</v>
      </c>
      <c r="AJ510" s="467">
        <v>1.9171999999999954E-3</v>
      </c>
      <c r="AK510" s="460" t="s">
        <v>1467</v>
      </c>
      <c r="AL510" s="84"/>
      <c r="AM510" s="47"/>
      <c r="AN510" s="45"/>
      <c r="AO510" s="220"/>
      <c r="AP510" s="51"/>
      <c r="AQ510" s="51"/>
    </row>
    <row r="511" spans="1:43" customFormat="1">
      <c r="A511" s="391"/>
      <c r="B511" s="396"/>
      <c r="C511" s="395"/>
      <c r="D511" s="255"/>
      <c r="E511" s="255"/>
      <c r="F511" s="267"/>
      <c r="G511" s="268"/>
      <c r="H511" s="268"/>
      <c r="I511" s="267"/>
      <c r="J511" s="268"/>
      <c r="K511" s="268"/>
      <c r="L511" s="338"/>
      <c r="M511" s="268"/>
      <c r="N511" s="268"/>
      <c r="O511" s="393"/>
      <c r="P511" s="394"/>
      <c r="Q511" s="268"/>
      <c r="R511" s="3"/>
      <c r="S511" s="9"/>
      <c r="T511" s="4"/>
      <c r="U511" s="100"/>
      <c r="V511" s="177">
        <v>15.4443</v>
      </c>
      <c r="W511" s="460" t="s">
        <v>1706</v>
      </c>
      <c r="X511" s="8"/>
      <c r="Y511" s="177">
        <v>13.979007999999999</v>
      </c>
      <c r="Z511" s="460" t="s">
        <v>1708</v>
      </c>
      <c r="AA511" s="47"/>
      <c r="AB511" s="463">
        <v>9.0415337249999825E-2</v>
      </c>
      <c r="AC511" s="177">
        <v>-4.438002727291809</v>
      </c>
      <c r="AD511" s="460" t="s">
        <v>1466</v>
      </c>
      <c r="AE511" s="13"/>
      <c r="AF511" s="177">
        <v>-6.5403690608624325</v>
      </c>
      <c r="AG511" s="460" t="s">
        <v>1466</v>
      </c>
      <c r="AH511" s="84"/>
      <c r="AI511" s="177">
        <v>-8.5515434972894759</v>
      </c>
      <c r="AJ511" s="464">
        <v>1.9829999999999974E-6</v>
      </c>
      <c r="AK511" s="460" t="s">
        <v>1468</v>
      </c>
      <c r="AL511" s="84"/>
      <c r="AM511" s="47"/>
      <c r="AN511" s="45"/>
      <c r="AO511" s="220"/>
      <c r="AP511" s="51"/>
      <c r="AQ511" s="51"/>
    </row>
    <row r="512" spans="1:43" customFormat="1">
      <c r="A512" s="391"/>
      <c r="B512" s="396"/>
      <c r="C512" s="395"/>
      <c r="D512" s="255"/>
      <c r="E512" s="255"/>
      <c r="F512" s="267"/>
      <c r="G512" s="268"/>
      <c r="H512" s="268"/>
      <c r="I512" s="267"/>
      <c r="J512" s="268"/>
      <c r="K512" s="268"/>
      <c r="L512" s="338"/>
      <c r="M512" s="268"/>
      <c r="N512" s="268"/>
      <c r="O512" s="393"/>
      <c r="P512" s="394"/>
      <c r="Q512" s="268"/>
      <c r="R512" s="3"/>
      <c r="S512" s="9"/>
      <c r="T512" s="4"/>
      <c r="U512" s="100"/>
      <c r="V512" s="177">
        <v>16.864000000000001</v>
      </c>
      <c r="W512" s="460" t="s">
        <v>1465</v>
      </c>
      <c r="X512" s="8"/>
      <c r="Y512" s="177">
        <v>11.95</v>
      </c>
      <c r="Z512" s="460" t="s">
        <v>1465</v>
      </c>
      <c r="AA512" s="47"/>
      <c r="AB512" s="47"/>
      <c r="AC512" s="47"/>
      <c r="AD512" s="45"/>
      <c r="AE512" s="13"/>
      <c r="AF512" s="9"/>
      <c r="AG512" s="9"/>
      <c r="AH512" s="84"/>
      <c r="AI512" s="47"/>
      <c r="AJ512" s="47"/>
      <c r="AK512" s="47"/>
      <c r="AL512" s="84"/>
      <c r="AM512" s="47"/>
      <c r="AN512" s="47"/>
      <c r="AO512" s="220"/>
      <c r="AP512" s="51"/>
      <c r="AQ512" s="51"/>
    </row>
    <row r="513" spans="1:43" customFormat="1">
      <c r="A513" s="391"/>
      <c r="B513" s="396"/>
      <c r="C513" s="395"/>
      <c r="D513" s="255"/>
      <c r="E513" s="255"/>
      <c r="F513" s="267"/>
      <c r="G513" s="268"/>
      <c r="H513" s="268"/>
      <c r="I513" s="267"/>
      <c r="J513" s="268"/>
      <c r="K513" s="268"/>
      <c r="L513" s="338"/>
      <c r="M513" s="268"/>
      <c r="N513" s="268"/>
      <c r="O513" s="393"/>
      <c r="P513" s="394"/>
      <c r="Q513" s="268"/>
      <c r="R513" s="393"/>
      <c r="S513" s="392"/>
      <c r="T513" s="268"/>
      <c r="U513" s="319"/>
      <c r="V513" s="274"/>
      <c r="W513" s="220"/>
      <c r="X513" s="274"/>
      <c r="Y513" s="274"/>
      <c r="Z513" s="220"/>
      <c r="AA513" s="51"/>
      <c r="AB513" s="51"/>
      <c r="AC513" s="51"/>
      <c r="AD513" s="220"/>
      <c r="AE513" s="389"/>
      <c r="AF513" s="257"/>
      <c r="AG513" s="269"/>
      <c r="AH513" s="219"/>
      <c r="AI513" s="39"/>
      <c r="AJ513" s="263"/>
      <c r="AK513" s="39"/>
      <c r="AL513" s="219"/>
      <c r="AM513" s="51"/>
      <c r="AN513" s="51"/>
      <c r="AO513" s="220"/>
      <c r="AP513" s="51"/>
      <c r="AQ513" s="51"/>
    </row>
    <row r="514" spans="1:43" customFormat="1">
      <c r="A514" s="391" t="s">
        <v>1958</v>
      </c>
      <c r="B514" s="396" t="s">
        <v>1957</v>
      </c>
      <c r="C514" s="157">
        <v>112.58</v>
      </c>
      <c r="D514" s="318">
        <v>112.58</v>
      </c>
      <c r="E514" s="30" t="s">
        <v>1126</v>
      </c>
      <c r="F514" s="187">
        <v>0.45000000000000284</v>
      </c>
      <c r="G514" s="318">
        <v>0.45000000000000284</v>
      </c>
      <c r="H514" s="70" t="s">
        <v>1126</v>
      </c>
      <c r="I514" s="187"/>
      <c r="J514" s="318">
        <v>5.4299999999999926</v>
      </c>
      <c r="K514" s="70" t="s">
        <v>1126</v>
      </c>
      <c r="L514" s="191">
        <v>-107.15</v>
      </c>
      <c r="M514" s="276">
        <v>-107.15</v>
      </c>
      <c r="N514" s="13" t="s">
        <v>2792</v>
      </c>
      <c r="O514" s="187">
        <v>128.53927819999998</v>
      </c>
      <c r="P514" s="318">
        <v>128.53927819999998</v>
      </c>
      <c r="Q514" s="70" t="s">
        <v>2793</v>
      </c>
      <c r="R514" s="187">
        <v>2.6493320000000207</v>
      </c>
      <c r="S514" s="491">
        <v>2.6493320000000207</v>
      </c>
      <c r="T514" s="13" t="s">
        <v>2793</v>
      </c>
      <c r="U514" s="145">
        <v>12.557</v>
      </c>
      <c r="V514" s="15">
        <v>12.557</v>
      </c>
      <c r="W514" s="320" t="s">
        <v>2869</v>
      </c>
      <c r="X514" s="145">
        <v>8.43</v>
      </c>
      <c r="Y514" s="15">
        <v>8.43</v>
      </c>
      <c r="Z514" s="320" t="s">
        <v>2792</v>
      </c>
      <c r="AA514" s="145">
        <v>-3.28</v>
      </c>
      <c r="AB514" s="371">
        <v>1.3009027562896263</v>
      </c>
      <c r="AC514" s="15">
        <v>-3.28</v>
      </c>
      <c r="AD514" s="320" t="s">
        <v>2792</v>
      </c>
      <c r="AE514" s="145">
        <v>-4.5286923891535924</v>
      </c>
      <c r="AF514" s="15">
        <v>-4.5286923891535924</v>
      </c>
      <c r="AG514" s="320" t="s">
        <v>2868</v>
      </c>
      <c r="AH514" s="145">
        <v>-5.16</v>
      </c>
      <c r="AI514" s="15">
        <v>-5.16</v>
      </c>
      <c r="AJ514" s="229">
        <v>2.7022917724093603E-3</v>
      </c>
      <c r="AK514" s="320" t="s">
        <v>2792</v>
      </c>
      <c r="AL514" s="145">
        <v>4.1874873999999984</v>
      </c>
      <c r="AM514" s="15">
        <v>4.1874873999999984</v>
      </c>
      <c r="AN514" s="320" t="s">
        <v>2871</v>
      </c>
      <c r="AO514" s="220" t="s">
        <v>1941</v>
      </c>
      <c r="AP514" s="51"/>
      <c r="AQ514" s="51"/>
    </row>
    <row r="515" spans="1:43" customFormat="1">
      <c r="A515" s="391" t="s">
        <v>1956</v>
      </c>
      <c r="B515" s="396">
        <v>390.6</v>
      </c>
      <c r="C515" s="157">
        <v>11.82697932</v>
      </c>
      <c r="D515" s="318">
        <v>145.22664</v>
      </c>
      <c r="E515" s="206" t="s">
        <v>1125</v>
      </c>
      <c r="F515" s="157">
        <v>0.631251000000004</v>
      </c>
      <c r="G515" s="70"/>
      <c r="H515" s="70"/>
      <c r="I515" s="157"/>
      <c r="J515" s="70"/>
      <c r="K515" s="70"/>
      <c r="L515" s="191">
        <v>20.449041749999999</v>
      </c>
      <c r="M515" s="323">
        <v>-107.15</v>
      </c>
      <c r="N515" s="180" t="s">
        <v>1126</v>
      </c>
      <c r="O515" s="191">
        <v>24.097129944875796</v>
      </c>
      <c r="P515" s="323">
        <v>128.53927819999998</v>
      </c>
      <c r="Q515" s="180" t="s">
        <v>1407</v>
      </c>
      <c r="R515" s="191">
        <v>1.0867908191780329</v>
      </c>
      <c r="S515" s="323">
        <v>2.6493320000000207</v>
      </c>
      <c r="T515" s="180" t="s">
        <v>1407</v>
      </c>
      <c r="U515" s="145">
        <v>0.8518166519999999</v>
      </c>
      <c r="V515" s="177">
        <v>11.78</v>
      </c>
      <c r="W515" s="460" t="s">
        <v>1126</v>
      </c>
      <c r="X515" s="145">
        <v>0.71749415999999988</v>
      </c>
      <c r="Y515" s="177">
        <v>7.6584500000000002</v>
      </c>
      <c r="Z515" s="460" t="s">
        <v>1466</v>
      </c>
      <c r="AA515" s="145">
        <v>0.66234351999999996</v>
      </c>
      <c r="AB515" s="461">
        <v>0.54538455382020201</v>
      </c>
      <c r="AC515" s="177">
        <v>-3.6575420000000007</v>
      </c>
      <c r="AD515" s="222" t="s">
        <v>1709</v>
      </c>
      <c r="AE515" s="145">
        <v>0.70086043414540999</v>
      </c>
      <c r="AF515" s="177">
        <v>-5.0469999999999997</v>
      </c>
      <c r="AG515" s="365" t="s">
        <v>1126</v>
      </c>
      <c r="AH515" s="145">
        <v>1.4225500799999999</v>
      </c>
      <c r="AI515" s="177">
        <v>-3.9178755470760502</v>
      </c>
      <c r="AJ515" s="464">
        <v>0.2994810083855996</v>
      </c>
      <c r="AK515" s="362" t="s">
        <v>1466</v>
      </c>
      <c r="AL515" s="145">
        <v>0.75680878528939977</v>
      </c>
      <c r="AM515" s="154">
        <v>4.1874873999999984</v>
      </c>
      <c r="AN515" s="155" t="s">
        <v>2610</v>
      </c>
      <c r="AO515" s="220" t="s">
        <v>1955</v>
      </c>
      <c r="AP515" s="51"/>
      <c r="AQ515" s="51"/>
    </row>
    <row r="516" spans="1:43" customFormat="1">
      <c r="A516" s="391"/>
      <c r="B516" s="396"/>
      <c r="C516" s="395"/>
      <c r="D516" s="255"/>
      <c r="E516" s="255"/>
      <c r="F516" s="267"/>
      <c r="G516" s="268"/>
      <c r="H516" s="268"/>
      <c r="I516" s="267"/>
      <c r="J516" s="268"/>
      <c r="K516" s="268"/>
      <c r="L516" s="338"/>
      <c r="M516" s="323">
        <v>-125.8843076</v>
      </c>
      <c r="N516" s="180" t="s">
        <v>1408</v>
      </c>
      <c r="O516" s="393"/>
      <c r="P516" s="323">
        <v>112.13</v>
      </c>
      <c r="Q516" s="180" t="s">
        <v>1126</v>
      </c>
      <c r="R516" s="3"/>
      <c r="S516" s="323">
        <v>4.9799999999999898</v>
      </c>
      <c r="T516" s="180" t="s">
        <v>1126</v>
      </c>
      <c r="U516" s="100"/>
      <c r="V516" s="177">
        <v>11.686199999999999</v>
      </c>
      <c r="W516" s="460" t="s">
        <v>1466</v>
      </c>
      <c r="X516" s="100"/>
      <c r="Y516" s="177">
        <v>8.43</v>
      </c>
      <c r="Z516" s="460" t="s">
        <v>1126</v>
      </c>
      <c r="AA516" s="100"/>
      <c r="AB516" s="462">
        <v>1.3009027562896263</v>
      </c>
      <c r="AC516" s="177">
        <v>-3.28</v>
      </c>
      <c r="AD516" s="460" t="s">
        <v>1126</v>
      </c>
      <c r="AE516" s="100"/>
      <c r="AF516" s="177">
        <v>-6.8477116556169433</v>
      </c>
      <c r="AG516" s="460" t="s">
        <v>1125</v>
      </c>
      <c r="AH516" s="100"/>
      <c r="AI516" s="177">
        <v>-5.16</v>
      </c>
      <c r="AJ516" s="465">
        <v>2.7022917724093603E-3</v>
      </c>
      <c r="AK516" s="460" t="s">
        <v>1126</v>
      </c>
      <c r="AL516" s="84"/>
      <c r="AM516" s="177" t="s">
        <v>652</v>
      </c>
      <c r="AN516" s="460" t="s">
        <v>1126</v>
      </c>
      <c r="AO516" s="220" t="s">
        <v>1953</v>
      </c>
      <c r="AP516" s="51"/>
      <c r="AQ516" s="51"/>
    </row>
    <row r="517" spans="1:43" customFormat="1">
      <c r="A517" s="391"/>
      <c r="B517" s="396"/>
      <c r="C517" s="395"/>
      <c r="D517" s="255"/>
      <c r="E517" s="255"/>
      <c r="F517" s="267"/>
      <c r="G517" s="268"/>
      <c r="H517" s="268"/>
      <c r="I517" s="267"/>
      <c r="J517" s="268"/>
      <c r="K517" s="268"/>
      <c r="L517" s="338"/>
      <c r="M517" s="268"/>
      <c r="N517" s="268"/>
      <c r="O517" s="393"/>
      <c r="P517" s="394"/>
      <c r="Q517" s="268"/>
      <c r="R517" s="3"/>
      <c r="S517" s="9"/>
      <c r="T517" s="4"/>
      <c r="U517" s="100"/>
      <c r="V517" s="177">
        <v>13.535731653973095</v>
      </c>
      <c r="W517" s="460" t="s">
        <v>1125</v>
      </c>
      <c r="X517" s="100"/>
      <c r="Y517" s="177">
        <v>7.38</v>
      </c>
      <c r="Z517" s="460" t="s">
        <v>1125</v>
      </c>
      <c r="AA517" s="100"/>
      <c r="AB517" s="225">
        <v>7.5999999999999835E-3</v>
      </c>
      <c r="AC517" s="177">
        <v>-5.5134312415711628</v>
      </c>
      <c r="AD517" s="460" t="s">
        <v>1125</v>
      </c>
      <c r="AE517" s="100"/>
      <c r="AF517" s="177">
        <v>-6.7915020000000004</v>
      </c>
      <c r="AG517" s="460" t="s">
        <v>1710</v>
      </c>
      <c r="AH517" s="100"/>
      <c r="AI517" s="177">
        <v>-4.7300000000000004</v>
      </c>
      <c r="AJ517" s="466">
        <v>7.2733123558051411E-3</v>
      </c>
      <c r="AK517" s="460" t="s">
        <v>1125</v>
      </c>
      <c r="AL517" s="84"/>
      <c r="AM517" s="154">
        <v>2.9328531661480444</v>
      </c>
      <c r="AN517" s="155" t="s">
        <v>2611</v>
      </c>
      <c r="AO517" s="220" t="s">
        <v>1950</v>
      </c>
      <c r="AP517" s="51"/>
      <c r="AQ517" s="51"/>
    </row>
    <row r="518" spans="1:43" customFormat="1">
      <c r="A518" s="391"/>
      <c r="B518" s="396"/>
      <c r="C518" s="395"/>
      <c r="D518" s="255"/>
      <c r="E518" s="255"/>
      <c r="F518" s="267"/>
      <c r="G518" s="268"/>
      <c r="H518" s="268"/>
      <c r="I518" s="267"/>
      <c r="J518" s="268"/>
      <c r="K518" s="268"/>
      <c r="L518" s="338"/>
      <c r="M518" s="268"/>
      <c r="N518" s="268"/>
      <c r="O518" s="393"/>
      <c r="P518" s="394"/>
      <c r="Q518" s="268"/>
      <c r="R518" s="3"/>
      <c r="S518" s="9"/>
      <c r="T518" s="4"/>
      <c r="U518" s="100"/>
      <c r="V518" s="177">
        <v>13.118599999999999</v>
      </c>
      <c r="W518" s="460" t="s">
        <v>1705</v>
      </c>
      <c r="X518" s="100"/>
      <c r="Y518" s="177">
        <v>8.5660340000000001</v>
      </c>
      <c r="Z518" s="460" t="s">
        <v>1707</v>
      </c>
      <c r="AA518" s="100"/>
      <c r="AB518" s="461">
        <v>1.1956350000000002</v>
      </c>
      <c r="AC518" s="177">
        <v>-3.3166462141320978</v>
      </c>
      <c r="AD518" s="460" t="s">
        <v>1465</v>
      </c>
      <c r="AE518" s="100"/>
      <c r="AF518" s="177">
        <v>-2.5686362358410126</v>
      </c>
      <c r="AG518" s="460" t="s">
        <v>1465</v>
      </c>
      <c r="AH518" s="100"/>
      <c r="AI518" s="177">
        <v>-2.4853373358214093</v>
      </c>
      <c r="AJ518" s="467">
        <v>1.2775999999999985</v>
      </c>
      <c r="AK518" s="460" t="s">
        <v>1467</v>
      </c>
      <c r="AL518" s="84"/>
      <c r="AM518" s="47"/>
      <c r="AN518" s="45"/>
      <c r="AO518" s="220" t="s">
        <v>1949</v>
      </c>
      <c r="AP518" s="51"/>
      <c r="AQ518" s="51"/>
    </row>
    <row r="519" spans="1:43" customFormat="1">
      <c r="A519" s="391"/>
      <c r="B519" s="396"/>
      <c r="C519" s="395"/>
      <c r="D519" s="255"/>
      <c r="E519" s="255"/>
      <c r="F519" s="267"/>
      <c r="G519" s="268"/>
      <c r="H519" s="268"/>
      <c r="I519" s="267"/>
      <c r="J519" s="268"/>
      <c r="K519" s="268"/>
      <c r="L519" s="338"/>
      <c r="M519" s="268"/>
      <c r="N519" s="268"/>
      <c r="O519" s="393"/>
      <c r="P519" s="394"/>
      <c r="Q519" s="268"/>
      <c r="R519" s="3"/>
      <c r="S519" s="9"/>
      <c r="T519" s="4"/>
      <c r="U519" s="100"/>
      <c r="V519" s="177">
        <v>13.017200000000001</v>
      </c>
      <c r="W519" s="460" t="s">
        <v>1706</v>
      </c>
      <c r="X519" s="8"/>
      <c r="Y519" s="177">
        <v>9.0127079999999999</v>
      </c>
      <c r="Z519" s="460" t="s">
        <v>1708</v>
      </c>
      <c r="AA519" s="47"/>
      <c r="AB519" s="463">
        <v>2.6366994149999996E-2</v>
      </c>
      <c r="AC519" s="177">
        <v>-4.9731842110162399</v>
      </c>
      <c r="AD519" s="460" t="s">
        <v>1466</v>
      </c>
      <c r="AE519" s="13"/>
      <c r="AF519" s="177">
        <v>-4.5286923891535924</v>
      </c>
      <c r="AG519" s="460" t="s">
        <v>1466</v>
      </c>
      <c r="AH519" s="84"/>
      <c r="AI519" s="177">
        <v>-2.5378858120995829</v>
      </c>
      <c r="AJ519" s="464">
        <v>1.1319999999999997</v>
      </c>
      <c r="AK519" s="460" t="s">
        <v>1468</v>
      </c>
      <c r="AL519" s="84"/>
      <c r="AM519" s="47"/>
      <c r="AN519" s="45"/>
      <c r="AO519" s="220"/>
      <c r="AP519" s="51"/>
      <c r="AQ519" s="51"/>
    </row>
    <row r="520" spans="1:43" customFormat="1">
      <c r="A520" s="391"/>
      <c r="B520" s="396"/>
      <c r="C520" s="395"/>
      <c r="D520" s="255"/>
      <c r="E520" s="255"/>
      <c r="F520" s="267"/>
      <c r="G520" s="268"/>
      <c r="H520" s="268"/>
      <c r="I520" s="267"/>
      <c r="J520" s="268"/>
      <c r="K520" s="268"/>
      <c r="L520" s="338"/>
      <c r="M520" s="268"/>
      <c r="N520" s="268"/>
      <c r="O520" s="393"/>
      <c r="P520" s="394"/>
      <c r="Q520" s="268"/>
      <c r="R520" s="3"/>
      <c r="S520" s="9"/>
      <c r="T520" s="4"/>
      <c r="U520" s="100"/>
      <c r="V520" s="177">
        <v>12.557</v>
      </c>
      <c r="W520" s="460" t="s">
        <v>1465</v>
      </c>
      <c r="X520" s="8"/>
      <c r="Y520" s="177">
        <v>8.39</v>
      </c>
      <c r="Z520" s="460" t="s">
        <v>1465</v>
      </c>
      <c r="AA520" s="47"/>
      <c r="AB520" s="47"/>
      <c r="AC520" s="47"/>
      <c r="AD520" s="45"/>
      <c r="AE520" s="13"/>
      <c r="AF520" s="9"/>
      <c r="AG520" s="9"/>
      <c r="AH520" s="84"/>
      <c r="AI520" s="47"/>
      <c r="AJ520" s="47"/>
      <c r="AK520" s="47"/>
      <c r="AL520" s="84"/>
      <c r="AM520" s="47"/>
      <c r="AN520" s="47"/>
      <c r="AO520" s="220"/>
      <c r="AP520" s="51"/>
      <c r="AQ520" s="51"/>
    </row>
    <row r="521" spans="1:43" customFormat="1">
      <c r="A521" s="391"/>
      <c r="B521" s="396"/>
      <c r="C521" s="395"/>
      <c r="D521" s="255"/>
      <c r="E521" s="255"/>
      <c r="F521" s="267"/>
      <c r="G521" s="268"/>
      <c r="H521" s="268"/>
      <c r="I521" s="267"/>
      <c r="J521" s="268"/>
      <c r="K521" s="268"/>
      <c r="L521" s="338"/>
      <c r="M521" s="268"/>
      <c r="N521" s="268"/>
      <c r="O521" s="393"/>
      <c r="P521" s="394"/>
      <c r="Q521" s="268"/>
      <c r="R521" s="393"/>
      <c r="S521" s="392"/>
      <c r="T521" s="268"/>
      <c r="U521" s="319"/>
      <c r="V521" s="274"/>
      <c r="W521" s="220"/>
      <c r="X521" s="274"/>
      <c r="Y521" s="307"/>
      <c r="Z521" s="259"/>
      <c r="AA521" s="51"/>
      <c r="AB521" s="51"/>
      <c r="AC521" s="51"/>
      <c r="AD521" s="220"/>
      <c r="AE521" s="389"/>
      <c r="AF521" s="257"/>
      <c r="AG521" s="269"/>
      <c r="AH521" s="219"/>
      <c r="AI521" s="260"/>
      <c r="AJ521" s="263"/>
      <c r="AK521" s="263"/>
      <c r="AL521" s="219"/>
      <c r="AM521" s="51"/>
      <c r="AN521" s="51"/>
      <c r="AO521" s="220"/>
      <c r="AP521" s="51"/>
      <c r="AQ521" s="51"/>
    </row>
    <row r="522" spans="1:43" customFormat="1">
      <c r="A522" s="391" t="s">
        <v>1946</v>
      </c>
      <c r="B522" s="396" t="s">
        <v>1945</v>
      </c>
      <c r="C522" s="157">
        <v>123.41</v>
      </c>
      <c r="D522" s="318">
        <v>123.41</v>
      </c>
      <c r="E522" s="30" t="s">
        <v>1126</v>
      </c>
      <c r="F522" s="187">
        <v>6.2299999999999898</v>
      </c>
      <c r="G522" s="318">
        <v>6.2299999999999898</v>
      </c>
      <c r="H522" s="70" t="s">
        <v>1126</v>
      </c>
      <c r="I522" s="187"/>
      <c r="J522" s="318">
        <v>5.8299999999999983</v>
      </c>
      <c r="K522" s="70" t="s">
        <v>1126</v>
      </c>
      <c r="L522" s="191">
        <v>-117.58</v>
      </c>
      <c r="M522" s="276">
        <v>-117.58</v>
      </c>
      <c r="N522" s="13" t="s">
        <v>2792</v>
      </c>
      <c r="O522" s="187">
        <v>129.96127820000001</v>
      </c>
      <c r="P522" s="318">
        <v>129.96127820000001</v>
      </c>
      <c r="Q522" s="70" t="s">
        <v>2793</v>
      </c>
      <c r="R522" s="187">
        <v>0.13103200000002402</v>
      </c>
      <c r="S522" s="491">
        <v>0.13103200000002402</v>
      </c>
      <c r="T522" s="13" t="s">
        <v>2793</v>
      </c>
      <c r="U522" s="145">
        <v>12.079000000000001</v>
      </c>
      <c r="V522" s="15">
        <v>12.079000000000001</v>
      </c>
      <c r="W522" s="320" t="s">
        <v>2869</v>
      </c>
      <c r="X522" s="145">
        <v>9.18</v>
      </c>
      <c r="Y522" s="15">
        <v>9.18</v>
      </c>
      <c r="Z522" s="320" t="s">
        <v>2792</v>
      </c>
      <c r="AA522" s="145">
        <v>-3.66</v>
      </c>
      <c r="AB522" s="371">
        <v>0.5423065299693165</v>
      </c>
      <c r="AC522" s="15">
        <v>-3.66</v>
      </c>
      <c r="AD522" s="320" t="s">
        <v>2792</v>
      </c>
      <c r="AE522" s="145">
        <v>-4.6412039331595061</v>
      </c>
      <c r="AF522" s="15">
        <v>-4.6412039331595061</v>
      </c>
      <c r="AG522" s="320" t="s">
        <v>2868</v>
      </c>
      <c r="AH522" s="145">
        <v>-6</v>
      </c>
      <c r="AI522" s="15">
        <v>-6</v>
      </c>
      <c r="AJ522" s="229">
        <v>3.9060000000000001E-4</v>
      </c>
      <c r="AK522" s="320" t="s">
        <v>2792</v>
      </c>
      <c r="AL522" s="145">
        <v>4.1316873999999988</v>
      </c>
      <c r="AM522" s="15">
        <v>4.1316873999999988</v>
      </c>
      <c r="AN522" s="320" t="s">
        <v>2871</v>
      </c>
      <c r="AO522" s="220" t="s">
        <v>1943</v>
      </c>
      <c r="AP522" s="51"/>
      <c r="AQ522" s="51"/>
    </row>
    <row r="523" spans="1:43" customFormat="1">
      <c r="A523" s="391" t="s">
        <v>1942</v>
      </c>
      <c r="B523" s="396">
        <v>390.6</v>
      </c>
      <c r="C523" s="157">
        <v>12.964714139999998</v>
      </c>
      <c r="D523" s="318">
        <v>151.04240000000001</v>
      </c>
      <c r="E523" s="206" t="s">
        <v>1125</v>
      </c>
      <c r="F523" s="157">
        <v>8.7393193999999852</v>
      </c>
      <c r="G523" s="70"/>
      <c r="H523" s="70"/>
      <c r="I523" s="157"/>
      <c r="J523" s="70"/>
      <c r="K523" s="70"/>
      <c r="L523" s="191">
        <v>22.4395551</v>
      </c>
      <c r="M523" s="323">
        <v>-117.58</v>
      </c>
      <c r="N523" s="180" t="s">
        <v>1126</v>
      </c>
      <c r="O523" s="191">
        <v>24.363710862875802</v>
      </c>
      <c r="P523" s="323">
        <v>129.96127820000001</v>
      </c>
      <c r="Q523" s="180" t="s">
        <v>1407</v>
      </c>
      <c r="R523" s="191">
        <v>5.3751049177136349E-2</v>
      </c>
      <c r="S523" s="323">
        <v>0.13103200000002402</v>
      </c>
      <c r="T523" s="180" t="s">
        <v>1407</v>
      </c>
      <c r="U523" s="145">
        <v>0.81939104399999996</v>
      </c>
      <c r="V523" s="177">
        <v>12.96</v>
      </c>
      <c r="W523" s="460" t="s">
        <v>1126</v>
      </c>
      <c r="X523" s="145">
        <v>0.78132815999999994</v>
      </c>
      <c r="Y523" s="177">
        <v>7.9402900000000001</v>
      </c>
      <c r="Z523" s="460" t="s">
        <v>1466</v>
      </c>
      <c r="AA523" s="145">
        <v>0.73907844</v>
      </c>
      <c r="AB523" s="461">
        <v>0.33220245213712352</v>
      </c>
      <c r="AC523" s="177">
        <v>-3.8728419999999999</v>
      </c>
      <c r="AD523" s="222" t="s">
        <v>1709</v>
      </c>
      <c r="AE523" s="145">
        <v>0.7182727206957652</v>
      </c>
      <c r="AF523" s="177">
        <v>-6.2709999999999999</v>
      </c>
      <c r="AG523" s="365" t="s">
        <v>1126</v>
      </c>
      <c r="AH523" s="145">
        <v>1.654128</v>
      </c>
      <c r="AI523" s="177">
        <v>-4.0966213031629781</v>
      </c>
      <c r="AJ523" s="464">
        <v>0.19843740117611994</v>
      </c>
      <c r="AK523" s="362" t="s">
        <v>1466</v>
      </c>
      <c r="AL523" s="145">
        <v>0.74672399548939983</v>
      </c>
      <c r="AM523" s="154">
        <v>4.1316873999999988</v>
      </c>
      <c r="AN523" s="155" t="s">
        <v>2610</v>
      </c>
      <c r="AO523" s="220" t="s">
        <v>1941</v>
      </c>
      <c r="AP523" s="51"/>
      <c r="AQ523" s="51"/>
    </row>
    <row r="524" spans="1:43" customFormat="1">
      <c r="A524" s="391"/>
      <c r="B524" s="396"/>
      <c r="C524" s="395"/>
      <c r="D524" s="255"/>
      <c r="E524" s="255"/>
      <c r="F524" s="267"/>
      <c r="G524" s="268"/>
      <c r="H524" s="268"/>
      <c r="I524" s="267"/>
      <c r="J524" s="268"/>
      <c r="K524" s="268"/>
      <c r="L524" s="338"/>
      <c r="M524" s="323">
        <v>-129.82436760000002</v>
      </c>
      <c r="N524" s="180" t="s">
        <v>1408</v>
      </c>
      <c r="O524" s="393"/>
      <c r="P524" s="323">
        <v>117.18</v>
      </c>
      <c r="Q524" s="180" t="s">
        <v>1126</v>
      </c>
      <c r="R524" s="3"/>
      <c r="S524" s="323">
        <v>-0.39999999999999147</v>
      </c>
      <c r="T524" s="180" t="s">
        <v>1126</v>
      </c>
      <c r="U524" s="100"/>
      <c r="V524" s="177">
        <v>11.739800000000001</v>
      </c>
      <c r="W524" s="460" t="s">
        <v>1466</v>
      </c>
      <c r="X524" s="100"/>
      <c r="Y524" s="177">
        <v>9.18</v>
      </c>
      <c r="Z524" s="460" t="s">
        <v>1126</v>
      </c>
      <c r="AA524" s="100"/>
      <c r="AB524" s="462">
        <v>0.5423065299693165</v>
      </c>
      <c r="AC524" s="177">
        <v>-3.66</v>
      </c>
      <c r="AD524" s="460" t="s">
        <v>1126</v>
      </c>
      <c r="AE524" s="100"/>
      <c r="AF524" s="177">
        <v>-7.4045037781744263</v>
      </c>
      <c r="AG524" s="460" t="s">
        <v>1125</v>
      </c>
      <c r="AH524" s="100"/>
      <c r="AI524" s="177">
        <v>-6</v>
      </c>
      <c r="AJ524" s="465">
        <v>3.9060000000000001E-4</v>
      </c>
      <c r="AK524" s="460" t="s">
        <v>1126</v>
      </c>
      <c r="AL524" s="84"/>
      <c r="AM524" s="177" t="s">
        <v>652</v>
      </c>
      <c r="AN524" s="460" t="s">
        <v>1126</v>
      </c>
      <c r="AO524" s="220" t="s">
        <v>1936</v>
      </c>
      <c r="AP524" s="51"/>
      <c r="AQ524" s="51"/>
    </row>
    <row r="525" spans="1:43" customFormat="1">
      <c r="A525" s="391"/>
      <c r="B525" s="396"/>
      <c r="C525" s="395"/>
      <c r="D525" s="255"/>
      <c r="E525" s="255"/>
      <c r="F525" s="267"/>
      <c r="G525" s="268"/>
      <c r="H525" s="268"/>
      <c r="I525" s="267"/>
      <c r="J525" s="268"/>
      <c r="K525" s="268"/>
      <c r="L525" s="338"/>
      <c r="M525" s="268"/>
      <c r="N525" s="268"/>
      <c r="O525" s="393"/>
      <c r="P525" s="394"/>
      <c r="Q525" s="268"/>
      <c r="R525" s="3"/>
      <c r="S525" s="9"/>
      <c r="T525" s="4"/>
      <c r="U525" s="100"/>
      <c r="V525" s="177">
        <v>14.136590276673552</v>
      </c>
      <c r="W525" s="460" t="s">
        <v>1125</v>
      </c>
      <c r="X525" s="100"/>
      <c r="Y525" s="177">
        <v>8.0299999999999994</v>
      </c>
      <c r="Z525" s="460" t="s">
        <v>1125</v>
      </c>
      <c r="AA525" s="100"/>
      <c r="AB525" s="225">
        <v>9.739999999999983E-3</v>
      </c>
      <c r="AC525" s="177">
        <v>-5.4056858769733385</v>
      </c>
      <c r="AD525" s="460" t="s">
        <v>1125</v>
      </c>
      <c r="AE525" s="100"/>
      <c r="AF525" s="177">
        <v>-6.8930020000000001</v>
      </c>
      <c r="AG525" s="460" t="s">
        <v>1710</v>
      </c>
      <c r="AH525" s="100"/>
      <c r="AI525" s="177">
        <v>-5.3900000000000006</v>
      </c>
      <c r="AJ525" s="466">
        <v>1.5912273651028613E-3</v>
      </c>
      <c r="AK525" s="460" t="s">
        <v>1125</v>
      </c>
      <c r="AL525" s="84"/>
      <c r="AM525" s="154">
        <v>3.269153166148044</v>
      </c>
      <c r="AN525" s="155" t="s">
        <v>2611</v>
      </c>
      <c r="AO525" s="220" t="s">
        <v>1937</v>
      </c>
      <c r="AP525" s="51"/>
      <c r="AQ525" s="51"/>
    </row>
    <row r="526" spans="1:43" customFormat="1">
      <c r="A526" s="391"/>
      <c r="B526" s="396"/>
      <c r="C526" s="395"/>
      <c r="D526" s="255"/>
      <c r="E526" s="255"/>
      <c r="F526" s="267"/>
      <c r="G526" s="268"/>
      <c r="H526" s="268"/>
      <c r="I526" s="267"/>
      <c r="J526" s="268"/>
      <c r="K526" s="268"/>
      <c r="L526" s="338"/>
      <c r="M526" s="268"/>
      <c r="N526" s="268"/>
      <c r="O526" s="393"/>
      <c r="P526" s="394"/>
      <c r="Q526" s="268"/>
      <c r="R526" s="3"/>
      <c r="S526" s="9"/>
      <c r="T526" s="4"/>
      <c r="U526" s="100"/>
      <c r="V526" s="177">
        <v>13.556399999999998</v>
      </c>
      <c r="W526" s="460" t="s">
        <v>1705</v>
      </c>
      <c r="X526" s="100"/>
      <c r="Y526" s="177">
        <v>8.4443339999999996</v>
      </c>
      <c r="Z526" s="460" t="s">
        <v>1707</v>
      </c>
      <c r="AA526" s="100"/>
      <c r="AB526" s="461">
        <v>1.1956350000000002</v>
      </c>
      <c r="AC526" s="177">
        <v>-3.3166462141320978</v>
      </c>
      <c r="AD526" s="460" t="s">
        <v>1465</v>
      </c>
      <c r="AE526" s="100"/>
      <c r="AF526" s="177">
        <v>-3.712198270069774</v>
      </c>
      <c r="AG526" s="460" t="s">
        <v>1465</v>
      </c>
      <c r="AH526" s="100"/>
      <c r="AI526" s="177">
        <v>-2.9338353966054687</v>
      </c>
      <c r="AJ526" s="467">
        <v>0.45487999999999962</v>
      </c>
      <c r="AK526" s="460" t="s">
        <v>1467</v>
      </c>
      <c r="AL526" s="84"/>
      <c r="AM526" s="47"/>
      <c r="AN526" s="45"/>
      <c r="AO526" s="220" t="s">
        <v>1936</v>
      </c>
      <c r="AP526" s="51"/>
      <c r="AQ526" s="51"/>
    </row>
    <row r="527" spans="1:43" customFormat="1">
      <c r="A527" s="391"/>
      <c r="B527" s="396"/>
      <c r="C527" s="395"/>
      <c r="D527" s="255"/>
      <c r="E527" s="255"/>
      <c r="F527" s="267"/>
      <c r="G527" s="268"/>
      <c r="H527" s="268"/>
      <c r="I527" s="267"/>
      <c r="J527" s="268"/>
      <c r="K527" s="268"/>
      <c r="L527" s="338"/>
      <c r="M527" s="268"/>
      <c r="N527" s="268"/>
      <c r="O527" s="393"/>
      <c r="P527" s="394"/>
      <c r="Q527" s="268"/>
      <c r="R527" s="3"/>
      <c r="S527" s="9"/>
      <c r="T527" s="4"/>
      <c r="U527" s="100"/>
      <c r="V527" s="177">
        <v>13.438799999999999</v>
      </c>
      <c r="W527" s="460" t="s">
        <v>1706</v>
      </c>
      <c r="X527" s="8"/>
      <c r="Y527" s="177">
        <v>8.875907999999999</v>
      </c>
      <c r="Z527" s="460" t="s">
        <v>1708</v>
      </c>
      <c r="AA527" s="47"/>
      <c r="AB527" s="463">
        <v>2.6711904450000015E-2</v>
      </c>
      <c r="AC527" s="177">
        <v>-4.9675399812988994</v>
      </c>
      <c r="AD527" s="460" t="s">
        <v>1466</v>
      </c>
      <c r="AE527" s="13"/>
      <c r="AF527" s="177">
        <v>-4.6412039331595061</v>
      </c>
      <c r="AG527" s="460" t="s">
        <v>1466</v>
      </c>
      <c r="AH527" s="84"/>
      <c r="AI527" s="177">
        <v>-2.9647762875163881</v>
      </c>
      <c r="AJ527" s="464">
        <v>0.42359999999999992</v>
      </c>
      <c r="AK527" s="460" t="s">
        <v>1468</v>
      </c>
      <c r="AL527" s="84"/>
      <c r="AM527" s="47"/>
      <c r="AN527" s="45"/>
      <c r="AO527" s="220" t="s">
        <v>1934</v>
      </c>
      <c r="AP527" s="51"/>
      <c r="AQ527" s="51"/>
    </row>
    <row r="528" spans="1:43" customFormat="1">
      <c r="A528" s="391"/>
      <c r="B528" s="396"/>
      <c r="C528" s="395"/>
      <c r="D528" s="255"/>
      <c r="E528" s="255"/>
      <c r="F528" s="267"/>
      <c r="G528" s="268"/>
      <c r="H528" s="268"/>
      <c r="I528" s="267"/>
      <c r="J528" s="268"/>
      <c r="K528" s="268"/>
      <c r="L528" s="338"/>
      <c r="M528" s="268"/>
      <c r="N528" s="268"/>
      <c r="O528" s="393"/>
      <c r="P528" s="394"/>
      <c r="Q528" s="268"/>
      <c r="R528" s="3"/>
      <c r="S528" s="9"/>
      <c r="T528" s="4"/>
      <c r="U528" s="100"/>
      <c r="V528" s="177">
        <v>12.079000000000001</v>
      </c>
      <c r="W528" s="460" t="s">
        <v>1465</v>
      </c>
      <c r="X528" s="8"/>
      <c r="Y528" s="177">
        <v>8.5399999999999991</v>
      </c>
      <c r="Z528" s="460" t="s">
        <v>1465</v>
      </c>
      <c r="AA528" s="47"/>
      <c r="AB528" s="47"/>
      <c r="AC528" s="47"/>
      <c r="AD528" s="45"/>
      <c r="AE528" s="13"/>
      <c r="AF528" s="9"/>
      <c r="AG528" s="9"/>
      <c r="AH528" s="84"/>
      <c r="AI528" s="47"/>
      <c r="AJ528" s="47"/>
      <c r="AK528" s="47"/>
      <c r="AL528" s="84"/>
      <c r="AM528" s="47"/>
      <c r="AN528" s="47"/>
      <c r="AO528" s="220"/>
      <c r="AP528" s="51"/>
      <c r="AQ528" s="51"/>
    </row>
    <row r="529" spans="1:43" customFormat="1">
      <c r="A529" s="391"/>
      <c r="B529" s="396"/>
      <c r="C529" s="395"/>
      <c r="D529" s="255"/>
      <c r="E529" s="255"/>
      <c r="F529" s="267"/>
      <c r="G529" s="268"/>
      <c r="H529" s="268"/>
      <c r="I529" s="267"/>
      <c r="J529" s="268"/>
      <c r="K529" s="268"/>
      <c r="L529" s="338"/>
      <c r="M529" s="268"/>
      <c r="N529" s="268"/>
      <c r="O529" s="393"/>
      <c r="P529" s="394"/>
      <c r="Q529" s="268"/>
      <c r="R529" s="393"/>
      <c r="S529" s="392"/>
      <c r="T529" s="268"/>
      <c r="U529" s="319"/>
      <c r="V529" s="274"/>
      <c r="W529" s="220"/>
      <c r="X529" s="274"/>
      <c r="Y529" s="40"/>
      <c r="Z529" s="40"/>
      <c r="AA529" s="51"/>
      <c r="AB529" s="51"/>
      <c r="AC529" s="51"/>
      <c r="AD529" s="220"/>
      <c r="AE529" s="389"/>
      <c r="AF529" s="257"/>
      <c r="AG529" s="269"/>
      <c r="AH529" s="219"/>
      <c r="AI529" s="40"/>
      <c r="AJ529" s="40"/>
      <c r="AK529" s="40"/>
      <c r="AL529" s="219"/>
      <c r="AM529" s="51"/>
      <c r="AN529" s="51"/>
      <c r="AO529" s="220" t="s">
        <v>1933</v>
      </c>
      <c r="AP529" s="51"/>
      <c r="AQ529" s="51"/>
    </row>
    <row r="530" spans="1:43" customFormat="1">
      <c r="A530" s="391" t="s">
        <v>1932</v>
      </c>
      <c r="B530" s="396" t="s">
        <v>1931</v>
      </c>
      <c r="C530" s="157">
        <v>128.97</v>
      </c>
      <c r="D530" s="318">
        <v>128.97</v>
      </c>
      <c r="E530" s="30" t="s">
        <v>1126</v>
      </c>
      <c r="F530" s="187">
        <v>6.039999999999992</v>
      </c>
      <c r="G530" s="318">
        <v>6.039999999999992</v>
      </c>
      <c r="H530" s="70" t="s">
        <v>1126</v>
      </c>
      <c r="I530" s="187"/>
      <c r="J530" s="318">
        <v>5.9599999999999937</v>
      </c>
      <c r="K530" s="70" t="s">
        <v>1126</v>
      </c>
      <c r="L530" s="191">
        <v>-123.01</v>
      </c>
      <c r="M530" s="276">
        <v>-123.01</v>
      </c>
      <c r="N530" s="13" t="s">
        <v>2792</v>
      </c>
      <c r="O530" s="187">
        <v>135.21335159999998</v>
      </c>
      <c r="P530" s="318">
        <v>135.21335159999998</v>
      </c>
      <c r="Q530" s="70" t="s">
        <v>2793</v>
      </c>
      <c r="R530" s="187">
        <v>-2.5794840000000026</v>
      </c>
      <c r="S530" s="491">
        <v>-2.5794840000000026</v>
      </c>
      <c r="T530" s="13" t="s">
        <v>2793</v>
      </c>
      <c r="U530" s="145">
        <v>13.57</v>
      </c>
      <c r="V530" s="15">
        <v>13.57</v>
      </c>
      <c r="W530" s="320" t="s">
        <v>2792</v>
      </c>
      <c r="X530" s="145">
        <v>9.7799999999999994</v>
      </c>
      <c r="Y530" s="15">
        <v>9.7799999999999994</v>
      </c>
      <c r="Z530" s="320" t="s">
        <v>2792</v>
      </c>
      <c r="AA530" s="145">
        <v>-3.63</v>
      </c>
      <c r="AB530" s="371">
        <v>0.58109191621853906</v>
      </c>
      <c r="AC530" s="15">
        <v>-3.63</v>
      </c>
      <c r="AD530" s="320" t="s">
        <v>2792</v>
      </c>
      <c r="AE530" s="145">
        <v>-6.8940000000000001</v>
      </c>
      <c r="AF530" s="15">
        <v>-6.8940000000000001</v>
      </c>
      <c r="AG530" s="320" t="s">
        <v>2792</v>
      </c>
      <c r="AH530" s="145">
        <v>-6.66</v>
      </c>
      <c r="AI530" s="15">
        <v>-6.66</v>
      </c>
      <c r="AJ530" s="229">
        <v>9.1579701578528087E-5</v>
      </c>
      <c r="AK530" s="320" t="s">
        <v>2792</v>
      </c>
      <c r="AL530" s="145">
        <v>4.4287711999999981</v>
      </c>
      <c r="AM530" s="15">
        <v>4.4287711999999981</v>
      </c>
      <c r="AN530" s="320" t="s">
        <v>2871</v>
      </c>
      <c r="AO530" s="220" t="s">
        <v>1928</v>
      </c>
      <c r="AP530" s="51"/>
      <c r="AQ530" s="51"/>
    </row>
    <row r="531" spans="1:43" customFormat="1">
      <c r="A531" s="391" t="s">
        <v>1927</v>
      </c>
      <c r="B531" s="396">
        <v>418.6</v>
      </c>
      <c r="C531" s="157">
        <v>13.54881438</v>
      </c>
      <c r="D531" s="318">
        <v>157.40207999999998</v>
      </c>
      <c r="E531" s="206" t="s">
        <v>1125</v>
      </c>
      <c r="F531" s="157">
        <v>8.472791199999989</v>
      </c>
      <c r="G531" s="70"/>
      <c r="H531" s="70"/>
      <c r="I531" s="157"/>
      <c r="J531" s="70"/>
      <c r="K531" s="70"/>
      <c r="L531" s="191">
        <v>23.475843449999999</v>
      </c>
      <c r="M531" s="323">
        <v>-123.01</v>
      </c>
      <c r="N531" s="180" t="s">
        <v>1126</v>
      </c>
      <c r="O531" s="191">
        <v>25.348311811100395</v>
      </c>
      <c r="P531" s="323">
        <v>135.21335159999998</v>
      </c>
      <c r="Q531" s="180" t="s">
        <v>1407</v>
      </c>
      <c r="R531" s="191">
        <v>1.0581382512333712</v>
      </c>
      <c r="S531" s="323">
        <v>-2.5794840000000026</v>
      </c>
      <c r="T531" s="180" t="s">
        <v>1407</v>
      </c>
      <c r="U531" s="145">
        <v>1.2558695750000002</v>
      </c>
      <c r="V531" s="177">
        <v>13.57</v>
      </c>
      <c r="W531" s="460" t="s">
        <v>1126</v>
      </c>
      <c r="X531" s="145">
        <v>0.83239535999999992</v>
      </c>
      <c r="Y531" s="177" t="s">
        <v>2855</v>
      </c>
      <c r="Z531" s="460" t="s">
        <v>1466</v>
      </c>
      <c r="AA531" s="145">
        <v>0.73302042000000001</v>
      </c>
      <c r="AB531" s="461">
        <v>0.92161351291047067</v>
      </c>
      <c r="AC531" s="177">
        <v>-3.4296959999999994</v>
      </c>
      <c r="AD531" s="222" t="s">
        <v>1709</v>
      </c>
      <c r="AE531" s="145">
        <v>2.024774694</v>
      </c>
      <c r="AF531" s="177">
        <v>-6.8940000000000001</v>
      </c>
      <c r="AG531" s="365" t="s">
        <v>1126</v>
      </c>
      <c r="AH531" s="145">
        <v>1.8360820799999999</v>
      </c>
      <c r="AI531" s="177" t="s">
        <v>2855</v>
      </c>
      <c r="AJ531" s="464" t="s">
        <v>2855</v>
      </c>
      <c r="AK531" s="362" t="s">
        <v>1466</v>
      </c>
      <c r="AL531" s="145">
        <v>0.80041624774719966</v>
      </c>
      <c r="AM531" s="154">
        <v>4.4287711999999981</v>
      </c>
      <c r="AN531" s="155" t="s">
        <v>2610</v>
      </c>
      <c r="AO531" s="220" t="s">
        <v>1926</v>
      </c>
      <c r="AP531" s="51"/>
      <c r="AQ531" s="51"/>
    </row>
    <row r="532" spans="1:43" customFormat="1">
      <c r="A532" s="391"/>
      <c r="B532" s="396"/>
      <c r="C532" s="395"/>
      <c r="D532" s="255"/>
      <c r="E532" s="255"/>
      <c r="F532" s="267"/>
      <c r="G532" s="268"/>
      <c r="H532" s="268"/>
      <c r="I532" s="267"/>
      <c r="J532" s="268"/>
      <c r="K532" s="268"/>
      <c r="L532" s="338"/>
      <c r="M532" s="323">
        <v>-137.78739880000001</v>
      </c>
      <c r="N532" s="180" t="s">
        <v>1408</v>
      </c>
      <c r="O532" s="393"/>
      <c r="P532" s="323">
        <v>122.93</v>
      </c>
      <c r="Q532" s="180" t="s">
        <v>1126</v>
      </c>
      <c r="R532" s="3"/>
      <c r="S532" s="323">
        <v>-7.9999999999998295E-2</v>
      </c>
      <c r="T532" s="180" t="s">
        <v>1126</v>
      </c>
      <c r="U532" s="100"/>
      <c r="V532" s="177" t="s">
        <v>2855</v>
      </c>
      <c r="W532" s="460" t="s">
        <v>1466</v>
      </c>
      <c r="X532" s="100"/>
      <c r="Y532" s="177">
        <v>9.7799999999999994</v>
      </c>
      <c r="Z532" s="460" t="s">
        <v>1126</v>
      </c>
      <c r="AA532" s="100"/>
      <c r="AB532" s="462">
        <v>0.58109191621853906</v>
      </c>
      <c r="AC532" s="177">
        <v>-3.63</v>
      </c>
      <c r="AD532" s="460" t="s">
        <v>1126</v>
      </c>
      <c r="AE532" s="100"/>
      <c r="AF532" s="177">
        <v>-7.0409586076789061</v>
      </c>
      <c r="AG532" s="460" t="s">
        <v>1125</v>
      </c>
      <c r="AH532" s="100"/>
      <c r="AI532" s="177">
        <v>-6.66</v>
      </c>
      <c r="AJ532" s="465">
        <v>9.1579701578528087E-5</v>
      </c>
      <c r="AK532" s="460" t="s">
        <v>1126</v>
      </c>
      <c r="AL532" s="84"/>
      <c r="AM532" s="177" t="s">
        <v>652</v>
      </c>
      <c r="AN532" s="460" t="s">
        <v>1126</v>
      </c>
      <c r="AO532" s="220" t="s">
        <v>1924</v>
      </c>
      <c r="AP532" s="51"/>
      <c r="AQ532" s="51"/>
    </row>
    <row r="533" spans="1:43" customFormat="1">
      <c r="A533" s="391"/>
      <c r="B533" s="396"/>
      <c r="C533" s="395"/>
      <c r="D533" s="255"/>
      <c r="E533" s="255"/>
      <c r="F533" s="267"/>
      <c r="G533" s="268"/>
      <c r="H533" s="268"/>
      <c r="I533" s="267"/>
      <c r="J533" s="268"/>
      <c r="K533" s="268"/>
      <c r="L533" s="338"/>
      <c r="M533" s="268"/>
      <c r="N533" s="268"/>
      <c r="O533" s="393"/>
      <c r="P533" s="394"/>
      <c r="Q533" s="268"/>
      <c r="R533" s="3"/>
      <c r="S533" s="9"/>
      <c r="T533" s="4"/>
      <c r="U533" s="100"/>
      <c r="V533" s="177">
        <v>14.746885881428115</v>
      </c>
      <c r="W533" s="460" t="s">
        <v>1125</v>
      </c>
      <c r="X533" s="100"/>
      <c r="Y533" s="177">
        <v>8.66</v>
      </c>
      <c r="Z533" s="460" t="s">
        <v>1125</v>
      </c>
      <c r="AA533" s="100"/>
      <c r="AB533" s="225">
        <v>1.0999999999999989E-2</v>
      </c>
      <c r="AC533" s="177">
        <v>-5.3528521486937288</v>
      </c>
      <c r="AD533" s="460" t="s">
        <v>1125</v>
      </c>
      <c r="AE533" s="100"/>
      <c r="AF533" s="177">
        <v>-7.7913759999999987</v>
      </c>
      <c r="AG533" s="460" t="s">
        <v>1710</v>
      </c>
      <c r="AH533" s="100"/>
      <c r="AI533" s="177">
        <v>-6.08</v>
      </c>
      <c r="AJ533" s="466">
        <v>3.481763145835773E-4</v>
      </c>
      <c r="AK533" s="460" t="s">
        <v>1125</v>
      </c>
      <c r="AL533" s="84"/>
      <c r="AM533" s="154">
        <v>3.1588791661480453</v>
      </c>
      <c r="AN533" s="155" t="s">
        <v>2611</v>
      </c>
      <c r="AO533" s="220"/>
      <c r="AP533" s="51"/>
      <c r="AQ533" s="51"/>
    </row>
    <row r="534" spans="1:43" customFormat="1">
      <c r="A534" s="391"/>
      <c r="B534" s="396"/>
      <c r="C534" s="395"/>
      <c r="D534" s="255"/>
      <c r="E534" s="255"/>
      <c r="F534" s="267"/>
      <c r="G534" s="268"/>
      <c r="H534" s="268"/>
      <c r="I534" s="267"/>
      <c r="J534" s="268"/>
      <c r="K534" s="268"/>
      <c r="L534" s="338"/>
      <c r="M534" s="268"/>
      <c r="N534" s="268"/>
      <c r="O534" s="393"/>
      <c r="P534" s="394"/>
      <c r="Q534" s="268"/>
      <c r="R534" s="3"/>
      <c r="S534" s="9"/>
      <c r="T534" s="4"/>
      <c r="U534" s="100"/>
      <c r="V534" s="177">
        <v>14.344499999999998</v>
      </c>
      <c r="W534" s="460" t="s">
        <v>1705</v>
      </c>
      <c r="X534" s="100"/>
      <c r="Y534" s="177">
        <v>9.613092</v>
      </c>
      <c r="Z534" s="460" t="s">
        <v>1707</v>
      </c>
      <c r="AA534" s="100"/>
      <c r="AB534" s="461">
        <v>2.0568974999999989</v>
      </c>
      <c r="AC534" s="177">
        <v>-3.0810321835250103</v>
      </c>
      <c r="AD534" s="460" t="s">
        <v>1465</v>
      </c>
      <c r="AE534" s="100"/>
      <c r="AF534" s="177">
        <v>-3.9393021596463882</v>
      </c>
      <c r="AG534" s="460" t="s">
        <v>1465</v>
      </c>
      <c r="AH534" s="100"/>
      <c r="AI534" s="177">
        <v>-3.1095496436103032</v>
      </c>
      <c r="AJ534" s="467">
        <v>0.32527417227456218</v>
      </c>
      <c r="AK534" s="460" t="s">
        <v>1467</v>
      </c>
      <c r="AL534" s="84"/>
      <c r="AM534" s="47"/>
      <c r="AN534" s="45"/>
      <c r="AO534" s="220"/>
      <c r="AP534" s="51"/>
      <c r="AQ534" s="51"/>
    </row>
    <row r="535" spans="1:43" customFormat="1">
      <c r="A535" s="391"/>
      <c r="B535" s="396"/>
      <c r="C535" s="395"/>
      <c r="D535" s="255"/>
      <c r="E535" s="255"/>
      <c r="F535" s="267"/>
      <c r="G535" s="268"/>
      <c r="H535" s="268"/>
      <c r="I535" s="267"/>
      <c r="J535" s="268"/>
      <c r="K535" s="268"/>
      <c r="L535" s="338"/>
      <c r="M535" s="268"/>
      <c r="N535" s="268"/>
      <c r="O535" s="393"/>
      <c r="P535" s="394"/>
      <c r="Q535" s="268"/>
      <c r="R535" s="3"/>
      <c r="S535" s="9"/>
      <c r="T535" s="4"/>
      <c r="U535" s="100"/>
      <c r="V535" s="177">
        <v>14.126799999999999</v>
      </c>
      <c r="W535" s="460" t="s">
        <v>1706</v>
      </c>
      <c r="X535" s="8"/>
      <c r="Y535" s="177">
        <v>10.176203999999998</v>
      </c>
      <c r="Z535" s="460" t="s">
        <v>1708</v>
      </c>
      <c r="AA535" s="47"/>
      <c r="AB535" s="463">
        <v>2478.8190999999997</v>
      </c>
      <c r="AC535" s="177">
        <v>0</v>
      </c>
      <c r="AD535" s="460" t="s">
        <v>1466</v>
      </c>
      <c r="AE535" s="13"/>
      <c r="AF535" s="177" t="s">
        <v>2855</v>
      </c>
      <c r="AG535" s="460" t="s">
        <v>1466</v>
      </c>
      <c r="AH535" s="84"/>
      <c r="AI535" s="177">
        <v>-3.8070927756345809</v>
      </c>
      <c r="AJ535" s="464">
        <v>6.5268923283983801E-2</v>
      </c>
      <c r="AK535" s="460" t="s">
        <v>1468</v>
      </c>
      <c r="AL535" s="84"/>
      <c r="AM535" s="47"/>
      <c r="AN535" s="45"/>
      <c r="AO535" s="220"/>
      <c r="AP535" s="51"/>
      <c r="AQ535" s="51"/>
    </row>
    <row r="536" spans="1:43" customFormat="1">
      <c r="A536" s="391"/>
      <c r="B536" s="396"/>
      <c r="C536" s="395"/>
      <c r="D536" s="255"/>
      <c r="E536" s="255"/>
      <c r="F536" s="267"/>
      <c r="G536" s="268"/>
      <c r="H536" s="268"/>
      <c r="I536" s="267"/>
      <c r="J536" s="268"/>
      <c r="K536" s="268"/>
      <c r="L536" s="338"/>
      <c r="M536" s="268"/>
      <c r="N536" s="268"/>
      <c r="O536" s="393"/>
      <c r="P536" s="394"/>
      <c r="Q536" s="268"/>
      <c r="R536" s="3"/>
      <c r="S536" s="9"/>
      <c r="T536" s="4"/>
      <c r="U536" s="100"/>
      <c r="V536" s="177">
        <v>13.585000000000001</v>
      </c>
      <c r="W536" s="460" t="s">
        <v>1465</v>
      </c>
      <c r="X536" s="8"/>
      <c r="Y536" s="177">
        <v>9.3699999999999992</v>
      </c>
      <c r="Z536" s="460" t="s">
        <v>1465</v>
      </c>
      <c r="AA536" s="47"/>
      <c r="AB536" s="47"/>
      <c r="AC536" s="47"/>
      <c r="AD536" s="45"/>
      <c r="AE536" s="13"/>
      <c r="AF536" s="9"/>
      <c r="AG536" s="9"/>
      <c r="AH536" s="84"/>
      <c r="AI536" s="47"/>
      <c r="AJ536" s="47"/>
      <c r="AK536" s="47"/>
      <c r="AL536" s="84"/>
      <c r="AM536" s="47"/>
      <c r="AN536" s="47"/>
      <c r="AO536" s="470"/>
      <c r="AP536" s="51"/>
      <c r="AQ536" s="51"/>
    </row>
    <row r="537" spans="1:43">
      <c r="A537" s="504" t="s">
        <v>137</v>
      </c>
      <c r="B537" s="504"/>
      <c r="C537" s="504"/>
      <c r="D537" s="504"/>
      <c r="E537" s="504"/>
      <c r="F537" s="504"/>
      <c r="G537" s="504"/>
      <c r="H537" s="504"/>
      <c r="I537" s="504"/>
      <c r="J537" s="504"/>
      <c r="K537" s="504"/>
      <c r="L537" s="504"/>
      <c r="M537" s="504"/>
      <c r="N537" s="504"/>
      <c r="O537" s="504"/>
      <c r="P537" s="504"/>
      <c r="Q537" s="504"/>
      <c r="R537" s="504"/>
      <c r="S537" s="504"/>
      <c r="T537" s="504"/>
      <c r="U537" s="504"/>
      <c r="V537" s="504"/>
      <c r="W537" s="504"/>
      <c r="X537" s="504"/>
      <c r="Y537" s="504"/>
      <c r="Z537" s="504"/>
      <c r="AA537" s="504"/>
      <c r="AB537" s="504"/>
      <c r="AC537" s="504"/>
      <c r="AD537" s="504"/>
      <c r="AE537" s="504"/>
      <c r="AF537" s="504"/>
      <c r="AG537" s="504"/>
      <c r="AH537" s="504"/>
      <c r="AI537" s="504"/>
      <c r="AJ537" s="504"/>
      <c r="AK537" s="504"/>
      <c r="AL537" s="504"/>
      <c r="AM537" s="504"/>
      <c r="AN537" s="504"/>
      <c r="AO537" s="4"/>
      <c r="AP537" s="4"/>
    </row>
    <row r="538" spans="1:43">
      <c r="A538" s="3" t="s">
        <v>138</v>
      </c>
      <c r="B538" s="4" t="s">
        <v>139</v>
      </c>
      <c r="C538" s="157">
        <v>72.375756831360007</v>
      </c>
      <c r="D538" s="30">
        <v>72.375756831360007</v>
      </c>
      <c r="E538" s="30" t="s">
        <v>1126</v>
      </c>
      <c r="F538" s="187">
        <v>7.374634427559954</v>
      </c>
      <c r="G538" s="318">
        <v>7.374634427559954</v>
      </c>
      <c r="H538" s="70" t="s">
        <v>1126</v>
      </c>
      <c r="I538" s="187"/>
      <c r="J538" s="318">
        <v>5.9957474500716899</v>
      </c>
      <c r="K538" s="70" t="s">
        <v>1126</v>
      </c>
      <c r="L538" s="191">
        <v>-66.380009381288318</v>
      </c>
      <c r="M538" s="276">
        <v>-66.380009381288318</v>
      </c>
      <c r="N538" s="13" t="s">
        <v>2792</v>
      </c>
      <c r="O538" s="187">
        <v>62.918134400000007</v>
      </c>
      <c r="P538" s="318">
        <v>62.918134400000007</v>
      </c>
      <c r="Q538" s="70" t="s">
        <v>2793</v>
      </c>
      <c r="R538" s="187">
        <v>-4.7459759999999971</v>
      </c>
      <c r="S538" s="491">
        <v>-4.7459759999999971</v>
      </c>
      <c r="T538" s="13" t="s">
        <v>2793</v>
      </c>
      <c r="U538" s="145">
        <v>7.4574664686661229</v>
      </c>
      <c r="V538" s="15">
        <v>7.4574664686661229</v>
      </c>
      <c r="W538" s="320" t="s">
        <v>2792</v>
      </c>
      <c r="X538" s="145">
        <v>3.2034298799999998</v>
      </c>
      <c r="Y538" s="15">
        <v>3.2034298799999998</v>
      </c>
      <c r="Z538" s="320" t="s">
        <v>2792</v>
      </c>
      <c r="AA538" s="145">
        <v>-4.6116239999999991</v>
      </c>
      <c r="AB538" s="371">
        <v>6.0620684213221657E-2</v>
      </c>
      <c r="AC538" s="15">
        <v>-4.6116239999999991</v>
      </c>
      <c r="AD538" s="320" t="s">
        <v>2870</v>
      </c>
      <c r="AE538" s="145">
        <v>-0.71080864000000055</v>
      </c>
      <c r="AF538" s="15">
        <v>-0.71080864000000055</v>
      </c>
      <c r="AG538" s="320" t="s">
        <v>2792</v>
      </c>
      <c r="AH538" s="145">
        <v>0.20717968999999953</v>
      </c>
      <c r="AI538" s="15">
        <v>0.20717968999999953</v>
      </c>
      <c r="AJ538" s="229">
        <v>309.82793993251659</v>
      </c>
      <c r="AK538" s="320" t="s">
        <v>2792</v>
      </c>
      <c r="AL538" s="145">
        <v>2.3943827999999989</v>
      </c>
      <c r="AM538" s="15">
        <v>2.3943827999999989</v>
      </c>
      <c r="AN538" s="320" t="s">
        <v>2871</v>
      </c>
      <c r="AO538" s="47"/>
      <c r="AP538" s="47"/>
    </row>
    <row r="539" spans="1:43">
      <c r="A539" s="3"/>
      <c r="B539" s="171">
        <v>192.28299999999999</v>
      </c>
      <c r="C539" s="157">
        <v>12.92117149134587</v>
      </c>
      <c r="D539" s="206">
        <v>81.629840000000016</v>
      </c>
      <c r="E539" s="206" t="s">
        <v>1125</v>
      </c>
      <c r="F539" s="157">
        <v>10.344989682292551</v>
      </c>
      <c r="G539" s="70"/>
      <c r="H539" s="70"/>
      <c r="I539" s="157"/>
      <c r="J539" s="70"/>
      <c r="K539" s="70"/>
      <c r="L539" s="191">
        <v>11.022466937772307</v>
      </c>
      <c r="M539" s="323">
        <v>-66.380009381288318</v>
      </c>
      <c r="N539" s="180" t="s">
        <v>1126</v>
      </c>
      <c r="O539" s="191">
        <v>11.795199737833601</v>
      </c>
      <c r="P539" s="323">
        <v>62.918134400000007</v>
      </c>
      <c r="Q539" s="180" t="s">
        <v>1407</v>
      </c>
      <c r="R539" s="191">
        <v>1.9468617541475512</v>
      </c>
      <c r="S539" s="323">
        <v>-4.7459759999999971</v>
      </c>
      <c r="T539" s="180" t="s">
        <v>1407</v>
      </c>
      <c r="U539" s="145">
        <v>0.61151970789709076</v>
      </c>
      <c r="V539" s="177">
        <v>7.4574664686661229</v>
      </c>
      <c r="W539" s="460" t="s">
        <v>1126</v>
      </c>
      <c r="X539" s="145">
        <v>0.47526085699679993</v>
      </c>
      <c r="Y539" s="177">
        <v>3.2781400000000001</v>
      </c>
      <c r="Z539" s="460" t="s">
        <v>1466</v>
      </c>
      <c r="AA539" s="145">
        <v>0.9705992800319998</v>
      </c>
      <c r="AB539" s="225">
        <v>6.0620684213221657E-2</v>
      </c>
      <c r="AC539" s="177">
        <v>-4.6116239999999991</v>
      </c>
      <c r="AD539" s="222" t="s">
        <v>1709</v>
      </c>
      <c r="AE539" s="145">
        <v>0.15326313733952013</v>
      </c>
      <c r="AF539" s="177">
        <v>-0.71080864000000055</v>
      </c>
      <c r="AG539" s="365" t="s">
        <v>1126</v>
      </c>
      <c r="AH539" s="145">
        <v>6.2769437858989849E-2</v>
      </c>
      <c r="AI539" s="177">
        <v>-0.19638585656270213</v>
      </c>
      <c r="AJ539" s="464">
        <v>1577.0990759929998</v>
      </c>
      <c r="AK539" s="362" t="s">
        <v>1466</v>
      </c>
      <c r="AL539" s="145">
        <v>0.43273919782679982</v>
      </c>
      <c r="AM539" s="154">
        <v>2.3943827999999989</v>
      </c>
      <c r="AN539" s="155" t="s">
        <v>2610</v>
      </c>
      <c r="AO539" s="47"/>
      <c r="AP539" s="47"/>
    </row>
    <row r="540" spans="1:43">
      <c r="A540" s="3"/>
      <c r="B540" s="171"/>
      <c r="C540" s="87"/>
      <c r="D540" s="4"/>
      <c r="E540" s="4"/>
      <c r="F540" s="3"/>
      <c r="G540" s="4"/>
      <c r="H540" s="4"/>
      <c r="I540" s="3"/>
      <c r="J540" s="4"/>
      <c r="K540" s="4"/>
      <c r="L540" s="3"/>
      <c r="M540" s="323">
        <v>-70.047211199999992</v>
      </c>
      <c r="N540" s="180" t="s">
        <v>1408</v>
      </c>
      <c r="O540" s="3"/>
      <c r="P540" s="323">
        <v>65.001122403800053</v>
      </c>
      <c r="Q540" s="180" t="s">
        <v>1126</v>
      </c>
      <c r="R540" s="3"/>
      <c r="S540" s="323">
        <v>-1.3788869774882642</v>
      </c>
      <c r="T540" s="180" t="s">
        <v>1126</v>
      </c>
      <c r="U540" s="100"/>
      <c r="V540" s="177">
        <v>7.2536899999999997</v>
      </c>
      <c r="W540" s="460" t="s">
        <v>1466</v>
      </c>
      <c r="X540" s="100"/>
      <c r="Y540" s="177">
        <v>3.2034298799999998</v>
      </c>
      <c r="Z540" s="460" t="s">
        <v>1126</v>
      </c>
      <c r="AA540" s="100"/>
      <c r="AB540" s="462">
        <v>0.10989397024765425</v>
      </c>
      <c r="AC540" s="177">
        <v>-4.3532709699999996</v>
      </c>
      <c r="AD540" s="460" t="s">
        <v>1126</v>
      </c>
      <c r="AE540" s="100"/>
      <c r="AF540" s="177">
        <v>-0.74472749489669399</v>
      </c>
      <c r="AG540" s="460" t="s">
        <v>1125</v>
      </c>
      <c r="AH540" s="100"/>
      <c r="AI540" s="177">
        <v>0.20717968999999953</v>
      </c>
      <c r="AJ540" s="465">
        <v>309.82793993251659</v>
      </c>
      <c r="AK540" s="460" t="s">
        <v>1126</v>
      </c>
      <c r="AL540" s="84"/>
      <c r="AM540" s="177">
        <v>6.116678020351296</v>
      </c>
      <c r="AN540" s="460" t="s">
        <v>1126</v>
      </c>
      <c r="AO540" s="47"/>
      <c r="AP540" s="47"/>
    </row>
    <row r="541" spans="1:43">
      <c r="A541" s="3"/>
      <c r="B541" s="171"/>
      <c r="C541" s="87"/>
      <c r="D541" s="4"/>
      <c r="E541" s="4"/>
      <c r="F541" s="3"/>
      <c r="G541" s="4"/>
      <c r="H541" s="4"/>
      <c r="I541" s="3"/>
      <c r="J541" s="4"/>
      <c r="K541" s="4"/>
      <c r="L541" s="3"/>
      <c r="M541" s="4"/>
      <c r="N541" s="4"/>
      <c r="O541" s="3"/>
      <c r="P541" s="4"/>
      <c r="Q541" s="4"/>
      <c r="R541" s="3"/>
      <c r="S541" s="9"/>
      <c r="T541" s="4"/>
      <c r="U541" s="100"/>
      <c r="V541" s="177">
        <v>7.4313092303004131</v>
      </c>
      <c r="W541" s="460" t="s">
        <v>1125</v>
      </c>
      <c r="X541" s="100"/>
      <c r="Y541" s="177">
        <v>3.34</v>
      </c>
      <c r="Z541" s="460" t="s">
        <v>1125</v>
      </c>
      <c r="AA541" s="100"/>
      <c r="AB541" s="225">
        <v>0.32999999999999985</v>
      </c>
      <c r="AC541" s="177">
        <v>-3.8757308939740662</v>
      </c>
      <c r="AD541" s="460" t="s">
        <v>1125</v>
      </c>
      <c r="AE541" s="100"/>
      <c r="AF541" s="177">
        <v>-1.4269439999999998</v>
      </c>
      <c r="AG541" s="460" t="s">
        <v>1710</v>
      </c>
      <c r="AH541" s="100"/>
      <c r="AI541" s="177">
        <v>-0.25999999999999995</v>
      </c>
      <c r="AJ541" s="466">
        <v>105.66736784796561</v>
      </c>
      <c r="AK541" s="460" t="s">
        <v>1125</v>
      </c>
      <c r="AL541" s="84"/>
      <c r="AM541" s="154">
        <v>2.8835311661480452</v>
      </c>
      <c r="AN541" s="155" t="s">
        <v>2611</v>
      </c>
      <c r="AO541" s="47"/>
      <c r="AP541" s="47"/>
    </row>
    <row r="542" spans="1:43">
      <c r="A542" s="3"/>
      <c r="B542" s="171"/>
      <c r="C542" s="87"/>
      <c r="D542" s="4"/>
      <c r="E542" s="4"/>
      <c r="F542" s="3"/>
      <c r="G542" s="4"/>
      <c r="H542" s="4"/>
      <c r="I542" s="3"/>
      <c r="J542" s="4"/>
      <c r="K542" s="4"/>
      <c r="L542" s="3"/>
      <c r="M542" s="4"/>
      <c r="N542" s="4"/>
      <c r="O542" s="3"/>
      <c r="P542" s="4"/>
      <c r="Q542" s="4"/>
      <c r="R542" s="3"/>
      <c r="S542" s="9"/>
      <c r="T542" s="4"/>
      <c r="U542" s="100"/>
      <c r="V542" s="177">
        <v>7.7047199999999991</v>
      </c>
      <c r="W542" s="460" t="s">
        <v>1705</v>
      </c>
      <c r="X542" s="100"/>
      <c r="Y542" s="177">
        <v>3.0649479999999993</v>
      </c>
      <c r="Z542" s="460" t="s">
        <v>1707</v>
      </c>
      <c r="AA542" s="100"/>
      <c r="AB542" s="461">
        <v>0.19699999999999993</v>
      </c>
      <c r="AC542" s="177">
        <v>-4.0997786076903608</v>
      </c>
      <c r="AD542" s="460" t="s">
        <v>1465</v>
      </c>
      <c r="AE542" s="100"/>
      <c r="AF542" s="177">
        <v>-0.68824613894424569</v>
      </c>
      <c r="AG542" s="460" t="s">
        <v>1465</v>
      </c>
      <c r="AH542" s="100"/>
      <c r="AI542" s="177">
        <v>2.8527796777829999</v>
      </c>
      <c r="AJ542" s="467">
        <v>137000.00000000015</v>
      </c>
      <c r="AK542" s="460" t="s">
        <v>1467</v>
      </c>
      <c r="AL542" s="84"/>
      <c r="AM542" s="47"/>
      <c r="AN542" s="45"/>
      <c r="AO542" s="47"/>
      <c r="AP542" s="47"/>
    </row>
    <row r="543" spans="1:43">
      <c r="A543" s="3"/>
      <c r="B543" s="171"/>
      <c r="C543" s="87"/>
      <c r="D543" s="4"/>
      <c r="E543" s="4"/>
      <c r="F543" s="3"/>
      <c r="G543" s="4"/>
      <c r="H543" s="4"/>
      <c r="I543" s="3"/>
      <c r="J543" s="4"/>
      <c r="K543" s="4"/>
      <c r="L543" s="3"/>
      <c r="M543" s="4"/>
      <c r="N543" s="4"/>
      <c r="O543" s="3"/>
      <c r="P543" s="4"/>
      <c r="Q543" s="4"/>
      <c r="R543" s="3"/>
      <c r="S543" s="9"/>
      <c r="T543" s="4"/>
      <c r="U543" s="100"/>
      <c r="V543" s="177">
        <v>7.9828999999999999</v>
      </c>
      <c r="W543" s="460" t="s">
        <v>1706</v>
      </c>
      <c r="X543" s="8"/>
      <c r="Y543" s="177">
        <v>3.0742759999999985</v>
      </c>
      <c r="Z543" s="460" t="s">
        <v>1708</v>
      </c>
      <c r="AA543" s="47"/>
      <c r="AB543" s="462">
        <v>0.11163684525000002</v>
      </c>
      <c r="AC543" s="177">
        <v>-4.346437278606798</v>
      </c>
      <c r="AD543" s="460" t="s">
        <v>1466</v>
      </c>
      <c r="AE543" s="13"/>
      <c r="AF543" s="177">
        <v>-0.81669493381458913</v>
      </c>
      <c r="AG543" s="460" t="s">
        <v>1466</v>
      </c>
      <c r="AH543" s="84"/>
      <c r="AI543" s="177">
        <v>2.7301594321462135</v>
      </c>
      <c r="AJ543" s="464">
        <v>103299.99999999999</v>
      </c>
      <c r="AK543" s="460" t="s">
        <v>1468</v>
      </c>
      <c r="AL543" s="84"/>
      <c r="AM543" s="47"/>
      <c r="AN543" s="45"/>
      <c r="AO543" s="47"/>
      <c r="AP543" s="47"/>
    </row>
    <row r="544" spans="1:43">
      <c r="A544" s="3"/>
      <c r="B544" s="171"/>
      <c r="C544" s="87"/>
      <c r="D544" s="4"/>
      <c r="E544" s="4"/>
      <c r="F544" s="3"/>
      <c r="G544" s="4"/>
      <c r="H544" s="4"/>
      <c r="I544" s="3"/>
      <c r="J544" s="4"/>
      <c r="K544" s="4"/>
      <c r="L544" s="3"/>
      <c r="M544" s="4"/>
      <c r="N544" s="4"/>
      <c r="O544" s="3"/>
      <c r="P544" s="4"/>
      <c r="Q544" s="4"/>
      <c r="R544" s="3"/>
      <c r="S544" s="9"/>
      <c r="T544" s="4"/>
      <c r="U544" s="100"/>
      <c r="V544" s="177">
        <v>7.2809999999999997</v>
      </c>
      <c r="W544" s="460" t="s">
        <v>1465</v>
      </c>
      <c r="X544" s="8"/>
      <c r="Y544" s="177">
        <v>3.15</v>
      </c>
      <c r="Z544" s="460" t="s">
        <v>1465</v>
      </c>
      <c r="AA544" s="47"/>
      <c r="AB544" s="47"/>
      <c r="AC544" s="47"/>
      <c r="AD544" s="45"/>
      <c r="AE544" s="13"/>
      <c r="AF544" s="9"/>
      <c r="AG544" s="326"/>
      <c r="AH544" s="47"/>
      <c r="AI544" s="47"/>
      <c r="AJ544" s="47"/>
      <c r="AK544" s="45"/>
      <c r="AL544" s="84"/>
      <c r="AM544" s="47"/>
      <c r="AN544" s="45"/>
      <c r="AO544" s="47"/>
      <c r="AP544" s="47"/>
    </row>
    <row r="545" spans="1:42">
      <c r="A545" s="3"/>
      <c r="B545" s="171"/>
      <c r="C545" s="87"/>
      <c r="D545" s="4"/>
      <c r="E545" s="4"/>
      <c r="F545" s="3"/>
      <c r="G545" s="4"/>
      <c r="H545" s="4"/>
      <c r="I545" s="3"/>
      <c r="J545" s="4"/>
      <c r="K545" s="4"/>
      <c r="L545" s="3"/>
      <c r="M545" s="4"/>
      <c r="N545" s="4"/>
      <c r="O545" s="3"/>
      <c r="P545" s="4"/>
      <c r="Q545" s="4"/>
      <c r="R545" s="3"/>
      <c r="S545" s="4"/>
      <c r="T545" s="4"/>
      <c r="U545" s="87"/>
      <c r="V545" s="8"/>
      <c r="W545" s="45"/>
      <c r="X545" s="8"/>
      <c r="Y545" s="8"/>
      <c r="Z545" s="45"/>
      <c r="AA545" s="47"/>
      <c r="AB545" s="47"/>
      <c r="AC545" s="47"/>
      <c r="AD545" s="45"/>
      <c r="AF545" s="6"/>
      <c r="AG545" s="7"/>
      <c r="AH545" s="47"/>
      <c r="AI545" s="47"/>
      <c r="AJ545" s="47"/>
      <c r="AK545" s="45"/>
      <c r="AL545" s="84"/>
      <c r="AM545" s="47"/>
      <c r="AN545" s="45"/>
      <c r="AO545" s="47"/>
      <c r="AP545" s="47"/>
    </row>
    <row r="546" spans="1:42">
      <c r="A546" s="3" t="s">
        <v>140</v>
      </c>
      <c r="B546" s="4" t="s">
        <v>141</v>
      </c>
      <c r="C546" s="157">
        <v>86.656633119760002</v>
      </c>
      <c r="D546" s="30">
        <v>86.656633119760002</v>
      </c>
      <c r="E546" s="30" t="s">
        <v>1126</v>
      </c>
      <c r="F546" s="187">
        <v>12.407421093848001</v>
      </c>
      <c r="G546" s="318">
        <v>12.407421093848001</v>
      </c>
      <c r="H546" s="70" t="s">
        <v>1126</v>
      </c>
      <c r="I546" s="187"/>
      <c r="J546" s="318">
        <v>8.2113004094161113</v>
      </c>
      <c r="K546" s="70" t="s">
        <v>1126</v>
      </c>
      <c r="L546" s="191">
        <v>-78.445332710343891</v>
      </c>
      <c r="M546" s="276">
        <v>-78.445332710343891</v>
      </c>
      <c r="N546" s="13" t="s">
        <v>2792</v>
      </c>
      <c r="O546" s="187">
        <v>70.401418300000003</v>
      </c>
      <c r="P546" s="318">
        <v>70.401418300000003</v>
      </c>
      <c r="Q546" s="70" t="s">
        <v>2793</v>
      </c>
      <c r="R546" s="187">
        <v>-11.785092000000001</v>
      </c>
      <c r="S546" s="491">
        <v>-11.785092000000001</v>
      </c>
      <c r="T546" s="13" t="s">
        <v>2793</v>
      </c>
      <c r="U546" s="145">
        <v>8.9229139359727299</v>
      </c>
      <c r="V546" s="15">
        <v>8.9229139359727299</v>
      </c>
      <c r="W546" s="320" t="s">
        <v>2792</v>
      </c>
      <c r="X546" s="145">
        <v>3.7078713900000002</v>
      </c>
      <c r="Y546" s="15">
        <v>3.7078713900000002</v>
      </c>
      <c r="Z546" s="320" t="s">
        <v>2792</v>
      </c>
      <c r="AA546" s="145">
        <v>-4.6387730000000005</v>
      </c>
      <c r="AB546" s="371">
        <v>5.6947128989673475E-2</v>
      </c>
      <c r="AC546" s="15">
        <v>-4.6387730000000005</v>
      </c>
      <c r="AD546" s="320" t="s">
        <v>2870</v>
      </c>
      <c r="AE546" s="145">
        <v>-2.3851855600000005</v>
      </c>
      <c r="AF546" s="15">
        <v>-2.3851855600000005</v>
      </c>
      <c r="AG546" s="320" t="s">
        <v>2792</v>
      </c>
      <c r="AH546" s="145">
        <v>-0.54131387000000064</v>
      </c>
      <c r="AI546" s="15">
        <v>-0.54131387000000064</v>
      </c>
      <c r="AJ546" s="229">
        <v>65.628308062500864</v>
      </c>
      <c r="AK546" s="320" t="s">
        <v>2792</v>
      </c>
      <c r="AL546" s="145">
        <v>2.4676880999999993</v>
      </c>
      <c r="AM546" s="15">
        <v>2.4676880999999993</v>
      </c>
      <c r="AN546" s="320" t="s">
        <v>2871</v>
      </c>
      <c r="AO546" s="47"/>
      <c r="AP546" s="47"/>
    </row>
    <row r="547" spans="1:42">
      <c r="A547" s="3"/>
      <c r="B547" s="171">
        <v>228.24700000000001</v>
      </c>
      <c r="C547" s="157">
        <v>15.470722054237633</v>
      </c>
      <c r="D547" s="206">
        <v>115.60392</v>
      </c>
      <c r="E547" s="206" t="s">
        <v>1125</v>
      </c>
      <c r="F547" s="157">
        <v>17.404882162028098</v>
      </c>
      <c r="G547" s="70"/>
      <c r="H547" s="70"/>
      <c r="I547" s="157"/>
      <c r="J547" s="70"/>
      <c r="K547" s="70"/>
      <c r="L547" s="191">
        <v>13.025925941885314</v>
      </c>
      <c r="M547" s="323">
        <v>-78.445332710343891</v>
      </c>
      <c r="N547" s="180" t="s">
        <v>1126</v>
      </c>
      <c r="O547" s="191">
        <v>13.1980834872827</v>
      </c>
      <c r="P547" s="323">
        <v>70.401418300000003</v>
      </c>
      <c r="Q547" s="180" t="s">
        <v>1407</v>
      </c>
      <c r="R547" s="191">
        <v>4.8343996859466394</v>
      </c>
      <c r="S547" s="323">
        <v>-11.785092000000001</v>
      </c>
      <c r="T547" s="180" t="s">
        <v>1407</v>
      </c>
      <c r="U547" s="145">
        <v>0.73168786566369981</v>
      </c>
      <c r="V547" s="177">
        <v>8.9229139359727299</v>
      </c>
      <c r="W547" s="460" t="s">
        <v>1126</v>
      </c>
      <c r="X547" s="145">
        <v>0.55009979942039999</v>
      </c>
      <c r="Y547" s="177">
        <v>3.5074999999999998</v>
      </c>
      <c r="Z547" s="460" t="s">
        <v>1466</v>
      </c>
      <c r="AA547" s="145">
        <v>0.97631327576400007</v>
      </c>
      <c r="AB547" s="225">
        <v>5.6947128989673475E-2</v>
      </c>
      <c r="AC547" s="177">
        <v>-4.6387730000000005</v>
      </c>
      <c r="AD547" s="222" t="s">
        <v>1709</v>
      </c>
      <c r="AE547" s="145">
        <v>0.51428894007608006</v>
      </c>
      <c r="AF547" s="177">
        <v>-2.3851855600000005</v>
      </c>
      <c r="AG547" s="365" t="s">
        <v>1126</v>
      </c>
      <c r="AH547" s="145">
        <v>0.16400240450777018</v>
      </c>
      <c r="AI547" s="177">
        <v>-0.67879109735385679</v>
      </c>
      <c r="AJ547" s="464">
        <v>519.34234727919988</v>
      </c>
      <c r="AK547" s="362" t="s">
        <v>1466</v>
      </c>
      <c r="AL547" s="145">
        <v>0.44598773800109986</v>
      </c>
      <c r="AM547" s="154">
        <v>2.4676880999999993</v>
      </c>
      <c r="AN547" s="155" t="s">
        <v>2610</v>
      </c>
      <c r="AO547" s="47"/>
      <c r="AP547" s="47"/>
    </row>
    <row r="548" spans="1:42">
      <c r="A548" s="3"/>
      <c r="B548" s="4" t="s">
        <v>20</v>
      </c>
      <c r="C548" s="87"/>
      <c r="D548" s="30"/>
      <c r="E548" s="30"/>
      <c r="F548" s="3"/>
      <c r="G548" s="4"/>
      <c r="H548" s="4"/>
      <c r="I548" s="3"/>
      <c r="J548" s="4"/>
      <c r="K548" s="4"/>
      <c r="L548" s="3"/>
      <c r="M548" s="323">
        <v>-84.569789399999991</v>
      </c>
      <c r="N548" s="180" t="s">
        <v>1408</v>
      </c>
      <c r="O548" s="3"/>
      <c r="P548" s="323">
        <v>74.249212025912001</v>
      </c>
      <c r="Q548" s="180" t="s">
        <v>1126</v>
      </c>
      <c r="R548" s="3"/>
      <c r="S548" s="323">
        <v>-4.1961206844318895</v>
      </c>
      <c r="T548" s="180" t="s">
        <v>1126</v>
      </c>
      <c r="U548" s="100"/>
      <c r="V548" s="177">
        <v>9.7196899999999999</v>
      </c>
      <c r="W548" s="460" t="s">
        <v>1466</v>
      </c>
      <c r="X548" s="100"/>
      <c r="Y548" s="177">
        <v>3.7078713900000002</v>
      </c>
      <c r="Z548" s="460" t="s">
        <v>1126</v>
      </c>
      <c r="AA548" s="100"/>
      <c r="AB548" s="462">
        <v>1.3000275438345952E-2</v>
      </c>
      <c r="AC548" s="177">
        <v>-5.2802922799999994</v>
      </c>
      <c r="AD548" s="460" t="s">
        <v>1126</v>
      </c>
      <c r="AE548" s="100"/>
      <c r="AF548" s="177">
        <v>-3.7931741239681505</v>
      </c>
      <c r="AG548" s="460" t="s">
        <v>1125</v>
      </c>
      <c r="AH548" s="100"/>
      <c r="AI548" s="177">
        <v>-0.54131387000000064</v>
      </c>
      <c r="AJ548" s="465">
        <v>65.628308062500864</v>
      </c>
      <c r="AK548" s="460" t="s">
        <v>1126</v>
      </c>
      <c r="AL548" s="84"/>
      <c r="AM548" s="177">
        <v>5.2679484926796052</v>
      </c>
      <c r="AN548" s="460" t="s">
        <v>1126</v>
      </c>
      <c r="AO548" s="47"/>
      <c r="AP548" s="47"/>
    </row>
    <row r="549" spans="1:42">
      <c r="A549" s="3"/>
      <c r="B549" s="4"/>
      <c r="C549" s="87"/>
      <c r="D549" s="4"/>
      <c r="E549" s="4"/>
      <c r="F549" s="3"/>
      <c r="G549" s="4"/>
      <c r="H549" s="4"/>
      <c r="I549" s="3"/>
      <c r="J549" s="4"/>
      <c r="K549" s="4"/>
      <c r="L549" s="115"/>
      <c r="M549" s="4"/>
      <c r="N549" s="4"/>
      <c r="O549" s="3"/>
      <c r="P549" s="4"/>
      <c r="Q549" s="4"/>
      <c r="R549" s="3"/>
      <c r="S549" s="9"/>
      <c r="T549" s="4"/>
      <c r="U549" s="100"/>
      <c r="V549" s="177">
        <v>10.112714803581536</v>
      </c>
      <c r="W549" s="460" t="s">
        <v>1125</v>
      </c>
      <c r="X549" s="100"/>
      <c r="Y549" s="177">
        <v>3.43</v>
      </c>
      <c r="Z549" s="460" t="s">
        <v>1125</v>
      </c>
      <c r="AA549" s="100"/>
      <c r="AB549" s="225">
        <v>1.5599999999999989E-3</v>
      </c>
      <c r="AC549" s="177">
        <v>-6.2011202354974921</v>
      </c>
      <c r="AD549" s="460" t="s">
        <v>1125</v>
      </c>
      <c r="AE549" s="100"/>
      <c r="AF549" s="177">
        <v>-2.5376129999999995</v>
      </c>
      <c r="AG549" s="460" t="s">
        <v>1710</v>
      </c>
      <c r="AH549" s="100"/>
      <c r="AI549" s="177">
        <v>-0.99000000000000044</v>
      </c>
      <c r="AJ549" s="466">
        <v>23.356355560910501</v>
      </c>
      <c r="AK549" s="460" t="s">
        <v>1125</v>
      </c>
      <c r="AL549" s="84"/>
      <c r="AM549" s="154">
        <v>3.1747421661480466</v>
      </c>
      <c r="AN549" s="155" t="s">
        <v>2611</v>
      </c>
      <c r="AO549" s="47"/>
      <c r="AP549" s="47"/>
    </row>
    <row r="550" spans="1:42">
      <c r="A550" s="3"/>
      <c r="B550" s="4"/>
      <c r="C550" s="87"/>
      <c r="D550" s="4"/>
      <c r="E550" s="4"/>
      <c r="F550" s="3"/>
      <c r="G550" s="4"/>
      <c r="H550" s="4"/>
      <c r="I550" s="3"/>
      <c r="J550" s="4"/>
      <c r="K550" s="4"/>
      <c r="L550" s="115"/>
      <c r="M550" s="4"/>
      <c r="N550" s="4"/>
      <c r="O550" s="3"/>
      <c r="P550" s="4"/>
      <c r="Q550" s="4"/>
      <c r="R550" s="3"/>
      <c r="S550" s="9"/>
      <c r="T550" s="4"/>
      <c r="U550" s="100"/>
      <c r="V550" s="177">
        <v>9.1066000000000003</v>
      </c>
      <c r="W550" s="460" t="s">
        <v>1705</v>
      </c>
      <c r="X550" s="100"/>
      <c r="Y550" s="177">
        <v>4.1261710000000003</v>
      </c>
      <c r="Z550" s="460" t="s">
        <v>1707</v>
      </c>
      <c r="AA550" s="100"/>
      <c r="AB550" s="461">
        <v>1.5199999999999977E-3</v>
      </c>
      <c r="AC550" s="177">
        <v>-6.2124012459071816</v>
      </c>
      <c r="AD550" s="460" t="s">
        <v>1465</v>
      </c>
      <c r="AE550" s="100"/>
      <c r="AF550" s="177">
        <v>-2.6757175447023074</v>
      </c>
      <c r="AG550" s="460" t="s">
        <v>1465</v>
      </c>
      <c r="AH550" s="100"/>
      <c r="AI550" s="177">
        <v>4.0024532992782902</v>
      </c>
      <c r="AJ550" s="467">
        <v>2295400.0000000023</v>
      </c>
      <c r="AK550" s="460" t="s">
        <v>1467</v>
      </c>
      <c r="AL550" s="84"/>
      <c r="AM550" s="47"/>
      <c r="AN550" s="45"/>
      <c r="AO550" s="47"/>
      <c r="AP550" s="47"/>
    </row>
    <row r="551" spans="1:42">
      <c r="A551" s="3"/>
      <c r="B551" s="4"/>
      <c r="C551" s="87"/>
      <c r="D551" s="4"/>
      <c r="E551" s="4"/>
      <c r="F551" s="3"/>
      <c r="G551" s="4"/>
      <c r="H551" s="4"/>
      <c r="I551" s="3"/>
      <c r="J551" s="4"/>
      <c r="K551" s="4"/>
      <c r="L551" s="115"/>
      <c r="M551" s="4"/>
      <c r="N551" s="4"/>
      <c r="O551" s="3"/>
      <c r="P551" s="4"/>
      <c r="Q551" s="4"/>
      <c r="R551" s="3"/>
      <c r="S551" s="9"/>
      <c r="T551" s="4"/>
      <c r="U551" s="100"/>
      <c r="V551" s="177">
        <v>9.346899999999998</v>
      </c>
      <c r="W551" s="460" t="s">
        <v>1706</v>
      </c>
      <c r="X551" s="8"/>
      <c r="Y551" s="177">
        <v>4.2063019999999991</v>
      </c>
      <c r="Z551" s="460" t="s">
        <v>1708</v>
      </c>
      <c r="AA551" s="47"/>
      <c r="AB551" s="462">
        <v>1.0654222425000004E-4</v>
      </c>
      <c r="AC551" s="177">
        <v>-7.3667230746731063</v>
      </c>
      <c r="AD551" s="460" t="s">
        <v>1466</v>
      </c>
      <c r="AE551" s="13"/>
      <c r="AF551" s="177">
        <v>-4.3657948269944713</v>
      </c>
      <c r="AG551" s="460" t="s">
        <v>1466</v>
      </c>
      <c r="AH551" s="84"/>
      <c r="AI551" s="177">
        <v>2.477665730888468</v>
      </c>
      <c r="AJ551" s="464">
        <v>68560.000000000073</v>
      </c>
      <c r="AK551" s="460" t="s">
        <v>1468</v>
      </c>
      <c r="AL551" s="84"/>
      <c r="AM551" s="47"/>
      <c r="AN551" s="45"/>
      <c r="AO551" s="47"/>
      <c r="AP551" s="47"/>
    </row>
    <row r="552" spans="1:42">
      <c r="A552" s="3"/>
      <c r="B552" s="4"/>
      <c r="C552" s="87"/>
      <c r="D552" s="4"/>
      <c r="E552" s="4"/>
      <c r="F552" s="3"/>
      <c r="G552" s="4"/>
      <c r="H552" s="4"/>
      <c r="I552" s="3"/>
      <c r="J552" s="4"/>
      <c r="K552" s="4"/>
      <c r="L552" s="115"/>
      <c r="M552" s="4"/>
      <c r="N552" s="4"/>
      <c r="O552" s="3"/>
      <c r="P552" s="4"/>
      <c r="Q552" s="4"/>
      <c r="R552" s="3"/>
      <c r="S552" s="9"/>
      <c r="T552" s="4"/>
      <c r="U552" s="100"/>
      <c r="V552" s="177">
        <v>10.002000000000001</v>
      </c>
      <c r="W552" s="460" t="s">
        <v>1465</v>
      </c>
      <c r="X552" s="8"/>
      <c r="Y552" s="177">
        <v>3.52</v>
      </c>
      <c r="Z552" s="460" t="s">
        <v>1465</v>
      </c>
      <c r="AA552" s="47"/>
      <c r="AB552" s="47"/>
      <c r="AC552" s="47"/>
      <c r="AD552" s="45"/>
      <c r="AE552" s="13"/>
      <c r="AF552" s="9"/>
      <c r="AG552" s="326"/>
      <c r="AH552" s="47"/>
      <c r="AI552" s="47"/>
      <c r="AJ552" s="47"/>
      <c r="AK552" s="45"/>
      <c r="AL552" s="84"/>
      <c r="AM552" s="47"/>
      <c r="AN552" s="45"/>
      <c r="AO552" s="47"/>
      <c r="AP552" s="47"/>
    </row>
    <row r="553" spans="1:42">
      <c r="A553" s="3"/>
      <c r="B553" s="4"/>
      <c r="C553" s="87"/>
      <c r="D553" s="4"/>
      <c r="E553" s="4"/>
      <c r="F553" s="3"/>
      <c r="G553" s="4"/>
      <c r="H553" s="4"/>
      <c r="I553" s="3"/>
      <c r="J553" s="4"/>
      <c r="K553" s="4"/>
      <c r="L553" s="115"/>
      <c r="M553" s="4"/>
      <c r="N553" s="4"/>
      <c r="O553" s="3"/>
      <c r="P553" s="4"/>
      <c r="Q553" s="4"/>
      <c r="R553" s="3"/>
      <c r="S553" s="4"/>
      <c r="T553" s="4"/>
      <c r="U553" s="87"/>
      <c r="V553" s="8"/>
      <c r="W553" s="45"/>
      <c r="Y553" s="15"/>
      <c r="Z553" s="45"/>
      <c r="AA553" s="47"/>
      <c r="AB553" s="47"/>
      <c r="AC553" s="47"/>
      <c r="AD553" s="45"/>
      <c r="AF553" s="6"/>
      <c r="AG553" s="7"/>
      <c r="AI553" s="47"/>
      <c r="AJ553" s="47"/>
      <c r="AK553" s="45"/>
      <c r="AL553" s="84"/>
      <c r="AM553" s="47"/>
      <c r="AN553" s="45"/>
      <c r="AO553" s="47"/>
      <c r="AP553" s="47"/>
    </row>
    <row r="554" spans="1:42">
      <c r="A554" s="12" t="s">
        <v>142</v>
      </c>
      <c r="B554" s="11" t="s">
        <v>143</v>
      </c>
      <c r="C554" s="157">
        <v>87.035475868320006</v>
      </c>
      <c r="D554" s="30">
        <v>87.035475868320006</v>
      </c>
      <c r="E554" s="30" t="s">
        <v>1126</v>
      </c>
      <c r="F554" s="187">
        <v>-2.362202987335948</v>
      </c>
      <c r="G554" s="318">
        <v>-2.362202987335948</v>
      </c>
      <c r="H554" s="70" t="s">
        <v>1126</v>
      </c>
      <c r="I554" s="187"/>
      <c r="J554" s="318">
        <v>4.3645426961598588</v>
      </c>
      <c r="K554" s="70" t="s">
        <v>1126</v>
      </c>
      <c r="L554" s="191">
        <v>-82.670933172160147</v>
      </c>
      <c r="M554" s="276">
        <v>-82.670933172160147</v>
      </c>
      <c r="N554" s="13" t="s">
        <v>2792</v>
      </c>
      <c r="O554" s="187">
        <v>80.724194100000005</v>
      </c>
      <c r="P554" s="318">
        <v>80.724194100000005</v>
      </c>
      <c r="Q554" s="70" t="s">
        <v>2793</v>
      </c>
      <c r="R554" s="187">
        <v>-7.3026040000000041</v>
      </c>
      <c r="S554" s="491">
        <v>-7.3026040000000041</v>
      </c>
      <c r="T554" s="13" t="s">
        <v>2793</v>
      </c>
      <c r="U554" s="145">
        <v>9.3534723220690985</v>
      </c>
      <c r="V554" s="15">
        <v>9.3534723220690985</v>
      </c>
      <c r="W554" s="320" t="s">
        <v>2792</v>
      </c>
      <c r="X554" s="145">
        <v>4.6135855399999999</v>
      </c>
      <c r="Y554" s="15">
        <v>4.6135855399999999</v>
      </c>
      <c r="Z554" s="320" t="s">
        <v>2792</v>
      </c>
      <c r="AA554" s="145">
        <v>-3.1825809999999994</v>
      </c>
      <c r="AB554" s="371">
        <v>1.6280353621283039</v>
      </c>
      <c r="AC554" s="15">
        <v>-3.1825809999999994</v>
      </c>
      <c r="AD554" s="320" t="s">
        <v>2870</v>
      </c>
      <c r="AE554" s="145">
        <v>-2.4080435500000008</v>
      </c>
      <c r="AF554" s="15">
        <v>-2.4080435500000008</v>
      </c>
      <c r="AG554" s="320" t="s">
        <v>2792</v>
      </c>
      <c r="AH554" s="145">
        <v>-1.0415521099999998</v>
      </c>
      <c r="AI554" s="15">
        <v>-1.0415521099999998</v>
      </c>
      <c r="AJ554" s="229">
        <v>23.116330867225169</v>
      </c>
      <c r="AK554" s="320" t="s">
        <v>2792</v>
      </c>
      <c r="AL554" s="145">
        <v>3.2429456999999982</v>
      </c>
      <c r="AM554" s="15">
        <v>3.2429456999999982</v>
      </c>
      <c r="AN554" s="320" t="s">
        <v>2871</v>
      </c>
      <c r="AO554" s="47"/>
      <c r="AP554" s="47"/>
    </row>
    <row r="555" spans="1:42">
      <c r="A555" s="12"/>
      <c r="B555" s="171">
        <v>254.37299999999999</v>
      </c>
      <c r="C555" s="157">
        <v>15.538356471295302</v>
      </c>
      <c r="D555" s="206">
        <v>112.63328000000001</v>
      </c>
      <c r="E555" s="206" t="s">
        <v>1125</v>
      </c>
      <c r="F555" s="157">
        <v>3.3136511065751209</v>
      </c>
      <c r="G555" s="70"/>
      <c r="H555" s="70"/>
      <c r="I555" s="157"/>
      <c r="J555" s="70"/>
      <c r="K555" s="70"/>
      <c r="L555" s="191">
        <v>13.727591124170365</v>
      </c>
      <c r="M555" s="323">
        <v>-82.670933172160147</v>
      </c>
      <c r="N555" s="180" t="s">
        <v>1126</v>
      </c>
      <c r="O555" s="191">
        <v>15.1332839437329</v>
      </c>
      <c r="P555" s="323">
        <v>80.724194100000005</v>
      </c>
      <c r="Q555" s="180" t="s">
        <v>1407</v>
      </c>
      <c r="R555" s="191">
        <v>2.9956241736757501</v>
      </c>
      <c r="S555" s="323">
        <v>-7.3026040000000041</v>
      </c>
      <c r="T555" s="180" t="s">
        <v>1407</v>
      </c>
      <c r="U555" s="145">
        <v>0.7669940838819882</v>
      </c>
      <c r="V555" s="177">
        <v>9.3534723220690985</v>
      </c>
      <c r="W555" s="460" t="s">
        <v>1126</v>
      </c>
      <c r="X555" s="145">
        <v>0.68447155071439991</v>
      </c>
      <c r="Y555" s="177">
        <v>4.98543</v>
      </c>
      <c r="Z555" s="460" t="s">
        <v>1466</v>
      </c>
      <c r="AA555" s="145">
        <v>0.66983145790799981</v>
      </c>
      <c r="AB555" s="225">
        <v>1.6280353621283039</v>
      </c>
      <c r="AC555" s="177">
        <v>-3.1825809999999994</v>
      </c>
      <c r="AD555" s="222" t="s">
        <v>1709</v>
      </c>
      <c r="AE555" s="145">
        <v>0.51921753416390015</v>
      </c>
      <c r="AF555" s="177">
        <v>-2.4080435500000008</v>
      </c>
      <c r="AG555" s="365" t="s">
        <v>1126</v>
      </c>
      <c r="AH555" s="145">
        <v>0.31556008431880994</v>
      </c>
      <c r="AI555" s="177">
        <v>-0.76445135381885365</v>
      </c>
      <c r="AJ555" s="464">
        <v>426.3767157527999</v>
      </c>
      <c r="AK555" s="362" t="s">
        <v>1466</v>
      </c>
      <c r="AL555" s="145">
        <v>0.58610081930669966</v>
      </c>
      <c r="AM555" s="154">
        <v>3.2429456999999982</v>
      </c>
      <c r="AN555" s="155" t="s">
        <v>2610</v>
      </c>
      <c r="AO555" s="47"/>
      <c r="AP555" s="47"/>
    </row>
    <row r="556" spans="1:42">
      <c r="A556" s="12"/>
      <c r="B556" s="11"/>
      <c r="C556" s="87"/>
      <c r="D556" s="30"/>
      <c r="E556" s="30"/>
      <c r="F556" s="83"/>
      <c r="G556" s="70"/>
      <c r="H556" s="70"/>
      <c r="I556" s="83"/>
      <c r="J556" s="70"/>
      <c r="K556" s="70"/>
      <c r="L556" s="3"/>
      <c r="M556" s="323">
        <v>-90.412080799999998</v>
      </c>
      <c r="N556" s="180" t="s">
        <v>1408</v>
      </c>
      <c r="O556" s="77"/>
      <c r="P556" s="323">
        <v>89.397678855655954</v>
      </c>
      <c r="Q556" s="180" t="s">
        <v>1126</v>
      </c>
      <c r="R556" s="3"/>
      <c r="S556" s="323">
        <v>6.7267456834958068</v>
      </c>
      <c r="T556" s="180" t="s">
        <v>1126</v>
      </c>
      <c r="U556" s="100"/>
      <c r="V556" s="177">
        <v>7.9268200000000002</v>
      </c>
      <c r="W556" s="460" t="s">
        <v>1466</v>
      </c>
      <c r="X556" s="100"/>
      <c r="Y556" s="177">
        <v>4.6135855399999999</v>
      </c>
      <c r="Z556" s="460" t="s">
        <v>1126</v>
      </c>
      <c r="AA556" s="100"/>
      <c r="AB556" s="462">
        <v>3.9006224306301532E-2</v>
      </c>
      <c r="AC556" s="177">
        <v>-4.80311092</v>
      </c>
      <c r="AD556" s="460" t="s">
        <v>1126</v>
      </c>
      <c r="AE556" s="100"/>
      <c r="AF556" s="177">
        <v>-3.87942606879415</v>
      </c>
      <c r="AG556" s="460" t="s">
        <v>1125</v>
      </c>
      <c r="AH556" s="100"/>
      <c r="AI556" s="177">
        <v>-1.0415521099999998</v>
      </c>
      <c r="AJ556" s="465">
        <v>23.116330867225169</v>
      </c>
      <c r="AK556" s="460" t="s">
        <v>1126</v>
      </c>
      <c r="AL556" s="84"/>
      <c r="AM556" s="177">
        <v>4.0979792025076334</v>
      </c>
      <c r="AN556" s="460" t="s">
        <v>1126</v>
      </c>
      <c r="AO556" s="47"/>
      <c r="AP556" s="47"/>
    </row>
    <row r="557" spans="1:42">
      <c r="A557" s="12"/>
      <c r="B557" s="11" t="s">
        <v>20</v>
      </c>
      <c r="C557" s="87"/>
      <c r="D557" s="11"/>
      <c r="E557" s="11"/>
      <c r="F557" s="12"/>
      <c r="G557" s="11"/>
      <c r="H557" s="11"/>
      <c r="I557" s="12"/>
      <c r="J557" s="11"/>
      <c r="K557" s="11"/>
      <c r="L557" s="115"/>
      <c r="M557" s="11"/>
      <c r="N557" s="11"/>
      <c r="O557" s="12"/>
      <c r="P557" s="11"/>
      <c r="Q557" s="11"/>
      <c r="R557" s="3"/>
      <c r="S557" s="9"/>
      <c r="T557" s="4"/>
      <c r="U557" s="100"/>
      <c r="V557" s="177">
        <v>10.418060362933728</v>
      </c>
      <c r="W557" s="460" t="s">
        <v>1125</v>
      </c>
      <c r="X557" s="100"/>
      <c r="Y557" s="177">
        <v>4.79</v>
      </c>
      <c r="Z557" s="460" t="s">
        <v>1125</v>
      </c>
      <c r="AA557" s="100"/>
      <c r="AB557" s="225">
        <v>1.1399999999999988E-2</v>
      </c>
      <c r="AC557" s="177">
        <v>-5.3373399825154815</v>
      </c>
      <c r="AD557" s="460" t="s">
        <v>1125</v>
      </c>
      <c r="AE557" s="100"/>
      <c r="AF557" s="177">
        <v>-2.9116609999999996</v>
      </c>
      <c r="AG557" s="460" t="s">
        <v>1710</v>
      </c>
      <c r="AH557" s="100"/>
      <c r="AI557" s="177">
        <v>-1.9400000000000011</v>
      </c>
      <c r="AJ557" s="466">
        <v>2.9205928116102573</v>
      </c>
      <c r="AK557" s="460" t="s">
        <v>1125</v>
      </c>
      <c r="AL557" s="84"/>
      <c r="AM557" s="154">
        <v>3.0093141661480463</v>
      </c>
      <c r="AN557" s="155" t="s">
        <v>2611</v>
      </c>
      <c r="AO557" s="47"/>
      <c r="AP557" s="47"/>
    </row>
    <row r="558" spans="1:42">
      <c r="A558" s="12"/>
      <c r="B558" s="11"/>
      <c r="C558" s="87"/>
      <c r="D558" s="11"/>
      <c r="E558" s="11"/>
      <c r="F558" s="12"/>
      <c r="G558" s="11"/>
      <c r="H558" s="11"/>
      <c r="I558" s="12"/>
      <c r="J558" s="11"/>
      <c r="K558" s="11"/>
      <c r="L558" s="115"/>
      <c r="M558" s="11"/>
      <c r="N558" s="11"/>
      <c r="O558" s="12"/>
      <c r="P558" s="11"/>
      <c r="Q558" s="11"/>
      <c r="R558" s="3"/>
      <c r="S558" s="9"/>
      <c r="T558" s="4"/>
      <c r="U558" s="100"/>
      <c r="V558" s="177">
        <v>9.3152200000000001</v>
      </c>
      <c r="W558" s="460" t="s">
        <v>1705</v>
      </c>
      <c r="X558" s="100"/>
      <c r="Y558" s="177">
        <v>5.8344870000000002</v>
      </c>
      <c r="Z558" s="460" t="s">
        <v>1707</v>
      </c>
      <c r="AA558" s="100"/>
      <c r="AB558" s="461">
        <v>0.21799999999999972</v>
      </c>
      <c r="AC558" s="177">
        <v>-4.0557883402473491</v>
      </c>
      <c r="AD558" s="460" t="s">
        <v>1465</v>
      </c>
      <c r="AE558" s="100"/>
      <c r="AF558" s="177">
        <v>-1.7399286120149251</v>
      </c>
      <c r="AG558" s="460" t="s">
        <v>1465</v>
      </c>
      <c r="AH558" s="100"/>
      <c r="AI558" s="177">
        <v>-0.42298268594372396</v>
      </c>
      <c r="AJ558" s="467">
        <v>96.047999999999973</v>
      </c>
      <c r="AK558" s="460" t="s">
        <v>1467</v>
      </c>
      <c r="AL558" s="84"/>
      <c r="AM558" s="47"/>
      <c r="AN558" s="45"/>
      <c r="AO558" s="47"/>
      <c r="AP558" s="47"/>
    </row>
    <row r="559" spans="1:42">
      <c r="A559" s="12"/>
      <c r="B559" s="11"/>
      <c r="C559" s="87"/>
      <c r="D559" s="11"/>
      <c r="E559" s="11"/>
      <c r="F559" s="12"/>
      <c r="G559" s="11"/>
      <c r="H559" s="11"/>
      <c r="I559" s="12"/>
      <c r="J559" s="11"/>
      <c r="K559" s="11"/>
      <c r="L559" s="115"/>
      <c r="M559" s="11"/>
      <c r="N559" s="11"/>
      <c r="O559" s="12"/>
      <c r="P559" s="11"/>
      <c r="Q559" s="11"/>
      <c r="R559" s="3"/>
      <c r="S559" s="9"/>
      <c r="T559" s="4"/>
      <c r="U559" s="100"/>
      <c r="V559" s="177">
        <v>9.4075499999999987</v>
      </c>
      <c r="W559" s="460" t="s">
        <v>1706</v>
      </c>
      <c r="X559" s="8"/>
      <c r="Y559" s="177">
        <v>6.0667939999999989</v>
      </c>
      <c r="Z559" s="460" t="s">
        <v>1708</v>
      </c>
      <c r="AA559" s="47"/>
      <c r="AB559" s="462">
        <v>0.68357796675000015</v>
      </c>
      <c r="AC559" s="177">
        <v>-3.5594567778622155</v>
      </c>
      <c r="AD559" s="460" t="s">
        <v>1466</v>
      </c>
      <c r="AE559" s="13"/>
      <c r="AF559" s="177">
        <v>-1.7018419637390023</v>
      </c>
      <c r="AG559" s="460" t="s">
        <v>1466</v>
      </c>
      <c r="AH559" s="84"/>
      <c r="AI559" s="177">
        <v>-0.11188749845940574</v>
      </c>
      <c r="AJ559" s="464">
        <v>196.6</v>
      </c>
      <c r="AK559" s="460" t="s">
        <v>1468</v>
      </c>
      <c r="AL559" s="84"/>
      <c r="AM559" s="47"/>
      <c r="AN559" s="45"/>
      <c r="AO559" s="47"/>
      <c r="AP559" s="47"/>
    </row>
    <row r="560" spans="1:42">
      <c r="A560" s="12"/>
      <c r="B560" s="11"/>
      <c r="C560" s="87"/>
      <c r="D560" s="11"/>
      <c r="E560" s="11"/>
      <c r="F560" s="12"/>
      <c r="G560" s="11"/>
      <c r="H560" s="11"/>
      <c r="I560" s="12"/>
      <c r="J560" s="11"/>
      <c r="K560" s="11"/>
      <c r="L560" s="115"/>
      <c r="M560" s="11"/>
      <c r="N560" s="11"/>
      <c r="O560" s="12"/>
      <c r="P560" s="11"/>
      <c r="Q560" s="11"/>
      <c r="R560" s="12"/>
      <c r="S560" s="11"/>
      <c r="T560" s="11"/>
      <c r="U560" s="100"/>
      <c r="V560" s="177">
        <v>9.9760000000000009</v>
      </c>
      <c r="W560" s="460" t="s">
        <v>1465</v>
      </c>
      <c r="X560" s="8"/>
      <c r="Y560" s="177">
        <v>5.92</v>
      </c>
      <c r="Z560" s="460" t="s">
        <v>1465</v>
      </c>
      <c r="AA560" s="47"/>
      <c r="AB560" s="47"/>
      <c r="AC560" s="47"/>
      <c r="AD560" s="45"/>
      <c r="AE560" s="13"/>
      <c r="AF560" s="9"/>
      <c r="AG560" s="326"/>
      <c r="AH560" s="47"/>
      <c r="AI560" s="47"/>
      <c r="AJ560" s="47"/>
      <c r="AK560" s="45"/>
      <c r="AL560" s="84"/>
      <c r="AM560" s="47"/>
      <c r="AN560" s="45"/>
      <c r="AO560" s="47"/>
      <c r="AP560" s="47"/>
    </row>
    <row r="561" spans="1:42">
      <c r="A561" s="12"/>
      <c r="B561" s="11"/>
      <c r="C561" s="87"/>
      <c r="D561" s="11"/>
      <c r="E561" s="11"/>
      <c r="F561" s="12"/>
      <c r="G561" s="11"/>
      <c r="H561" s="11"/>
      <c r="I561" s="12"/>
      <c r="J561" s="11"/>
      <c r="K561" s="11"/>
      <c r="L561" s="115"/>
      <c r="M561" s="11"/>
      <c r="N561" s="11"/>
      <c r="O561" s="12"/>
      <c r="P561" s="11"/>
      <c r="Q561" s="11"/>
      <c r="R561" s="12"/>
      <c r="S561" s="11"/>
      <c r="T561" s="11"/>
      <c r="U561" s="87"/>
      <c r="V561" s="8"/>
      <c r="W561" s="45"/>
      <c r="Y561" s="8"/>
      <c r="Z561" s="45"/>
      <c r="AA561" s="47"/>
      <c r="AB561" s="47"/>
      <c r="AC561" s="47"/>
      <c r="AD561" s="45"/>
      <c r="AF561" s="6"/>
      <c r="AG561" s="7"/>
      <c r="AI561" s="47"/>
      <c r="AJ561" s="47"/>
      <c r="AK561" s="45"/>
      <c r="AL561" s="84"/>
      <c r="AM561" s="47"/>
      <c r="AN561" s="45"/>
      <c r="AO561" s="47"/>
      <c r="AP561" s="47"/>
    </row>
    <row r="562" spans="1:42">
      <c r="A562" s="12"/>
      <c r="B562" s="11"/>
      <c r="C562" s="87"/>
      <c r="D562" s="11"/>
      <c r="E562" s="11"/>
      <c r="F562" s="12"/>
      <c r="G562" s="11"/>
      <c r="H562" s="11"/>
      <c r="I562" s="12"/>
      <c r="J562" s="11"/>
      <c r="K562" s="11"/>
      <c r="L562" s="115"/>
      <c r="M562" s="11"/>
      <c r="N562" s="11"/>
      <c r="O562" s="12"/>
      <c r="P562" s="11"/>
      <c r="Q562" s="11"/>
      <c r="R562" s="12"/>
      <c r="S562" s="11"/>
      <c r="T562" s="11"/>
      <c r="U562" s="87"/>
      <c r="V562" s="8"/>
      <c r="W562" s="45"/>
      <c r="Y562" s="8"/>
      <c r="Z562" s="45"/>
      <c r="AA562" s="47"/>
      <c r="AB562" s="47"/>
      <c r="AC562" s="47"/>
      <c r="AD562" s="45"/>
      <c r="AF562" s="6"/>
      <c r="AG562" s="7"/>
      <c r="AI562" s="47"/>
      <c r="AJ562" s="47"/>
      <c r="AK562" s="45"/>
      <c r="AL562" s="84"/>
      <c r="AM562" s="47"/>
      <c r="AN562" s="45"/>
      <c r="AO562" s="47"/>
      <c r="AP562" s="47"/>
    </row>
    <row r="563" spans="1:42">
      <c r="A563" s="3" t="s">
        <v>144</v>
      </c>
      <c r="B563" s="4" t="s">
        <v>145</v>
      </c>
      <c r="C563" s="157">
        <v>85.319896875840001</v>
      </c>
      <c r="D563" s="30">
        <v>85.319896875840001</v>
      </c>
      <c r="E563" s="30" t="s">
        <v>1126</v>
      </c>
      <c r="F563" s="187">
        <v>11.791564401960017</v>
      </c>
      <c r="G563" s="318">
        <v>11.791564401960017</v>
      </c>
      <c r="H563" s="70" t="s">
        <v>1126</v>
      </c>
      <c r="I563" s="187"/>
      <c r="J563" s="318">
        <v>5.9286749301441262</v>
      </c>
      <c r="K563" s="70" t="s">
        <v>1126</v>
      </c>
      <c r="L563" s="191">
        <v>-79.391221945695875</v>
      </c>
      <c r="M563" s="276">
        <v>-79.391221945695875</v>
      </c>
      <c r="N563" s="13" t="s">
        <v>2792</v>
      </c>
      <c r="O563" s="187">
        <v>80.665976700000002</v>
      </c>
      <c r="P563" s="318">
        <v>80.665976700000002</v>
      </c>
      <c r="Q563" s="70" t="s">
        <v>2793</v>
      </c>
      <c r="R563" s="187">
        <v>-11.64974799999999</v>
      </c>
      <c r="S563" s="491">
        <v>-11.64974799999999</v>
      </c>
      <c r="T563" s="13" t="s">
        <v>2793</v>
      </c>
      <c r="U563" s="145">
        <v>8.7283741295818</v>
      </c>
      <c r="V563" s="15">
        <v>8.7283741295818</v>
      </c>
      <c r="W563" s="320" t="s">
        <v>2792</v>
      </c>
      <c r="X563" s="145">
        <v>5.7780529400000002</v>
      </c>
      <c r="Y563" s="15">
        <v>5.7780529400000002</v>
      </c>
      <c r="Z563" s="320" t="s">
        <v>2792</v>
      </c>
      <c r="AA563" s="145">
        <v>-2.8134969999999999</v>
      </c>
      <c r="AB563" s="371">
        <v>3.8084462783839355</v>
      </c>
      <c r="AC563" s="15">
        <v>-2.8134969999999999</v>
      </c>
      <c r="AD563" s="320" t="s">
        <v>2870</v>
      </c>
      <c r="AE563" s="145">
        <v>-2.0269536700000006</v>
      </c>
      <c r="AF563" s="15">
        <v>-2.0269536700000006</v>
      </c>
      <c r="AG563" s="320" t="s">
        <v>2792</v>
      </c>
      <c r="AH563" s="145">
        <v>-2.6067454100000012</v>
      </c>
      <c r="AI563" s="15">
        <v>-2.6067454100000012</v>
      </c>
      <c r="AJ563" s="229">
        <v>0.64883460292402584</v>
      </c>
      <c r="AK563" s="320" t="s">
        <v>2792</v>
      </c>
      <c r="AL563" s="145">
        <v>3.647892699999999</v>
      </c>
      <c r="AM563" s="15">
        <v>3.647892699999999</v>
      </c>
      <c r="AN563" s="320" t="s">
        <v>2871</v>
      </c>
      <c r="AO563" s="47"/>
      <c r="AP563" s="47"/>
    </row>
    <row r="564" spans="1:42">
      <c r="A564" s="3"/>
      <c r="B564" s="171">
        <v>262.34899999999999</v>
      </c>
      <c r="C564" s="157">
        <v>15.23207586934684</v>
      </c>
      <c r="D564" s="206">
        <v>101.12728000000001</v>
      </c>
      <c r="E564" s="206" t="s">
        <v>1125</v>
      </c>
      <c r="F564" s="157">
        <v>16.540970711781473</v>
      </c>
      <c r="G564" s="70"/>
      <c r="H564" s="70"/>
      <c r="I564" s="157"/>
      <c r="J564" s="70"/>
      <c r="K564" s="70"/>
      <c r="L564" s="191">
        <v>13.182991795304746</v>
      </c>
      <c r="M564" s="323">
        <v>-79.391221945695875</v>
      </c>
      <c r="N564" s="180" t="s">
        <v>1126</v>
      </c>
      <c r="O564" s="191">
        <v>15.1223699859723</v>
      </c>
      <c r="P564" s="323">
        <v>80.665976700000002</v>
      </c>
      <c r="Q564" s="180" t="s">
        <v>1407</v>
      </c>
      <c r="R564" s="191">
        <v>4.7788797976763728</v>
      </c>
      <c r="S564" s="323">
        <v>-11.64974799999999</v>
      </c>
      <c r="T564" s="180" t="s">
        <v>1407</v>
      </c>
      <c r="U564" s="145">
        <v>0.71573540699983718</v>
      </c>
      <c r="V564" s="177">
        <v>8.7283741295818</v>
      </c>
      <c r="W564" s="460" t="s">
        <v>1126</v>
      </c>
      <c r="X564" s="145">
        <v>0.85723193417839993</v>
      </c>
      <c r="Y564" s="177">
        <v>3.9923600000000001</v>
      </c>
      <c r="Z564" s="460" t="s">
        <v>1466</v>
      </c>
      <c r="AA564" s="145">
        <v>0.59215108659599991</v>
      </c>
      <c r="AB564" s="225">
        <v>3.8084462783839355</v>
      </c>
      <c r="AC564" s="177">
        <v>-2.8134969999999999</v>
      </c>
      <c r="AD564" s="222" t="s">
        <v>1709</v>
      </c>
      <c r="AE564" s="145">
        <v>0.43704769641806013</v>
      </c>
      <c r="AF564" s="177">
        <v>-2.0269536700000006</v>
      </c>
      <c r="AG564" s="365" t="s">
        <v>1126</v>
      </c>
      <c r="AH564" s="145">
        <v>0.78976826361311037</v>
      </c>
      <c r="AI564" s="177">
        <v>-0.24230037491226122</v>
      </c>
      <c r="AJ564" s="464">
        <v>1418.8760528399998</v>
      </c>
      <c r="AK564" s="362" t="s">
        <v>1466</v>
      </c>
      <c r="AL564" s="145">
        <v>0.6592872955636998</v>
      </c>
      <c r="AM564" s="154">
        <v>3.647892699999999</v>
      </c>
      <c r="AN564" s="155" t="s">
        <v>2610</v>
      </c>
      <c r="AO564" s="47"/>
      <c r="AP564" s="47"/>
    </row>
    <row r="565" spans="1:42">
      <c r="A565" s="3"/>
      <c r="B565" s="4" t="s">
        <v>20</v>
      </c>
      <c r="C565" s="87"/>
      <c r="D565" s="4"/>
      <c r="E565" s="4"/>
      <c r="F565" s="3"/>
      <c r="G565" s="4"/>
      <c r="H565" s="4"/>
      <c r="I565" s="3"/>
      <c r="J565" s="4"/>
      <c r="K565" s="4"/>
      <c r="L565" s="3"/>
      <c r="M565" s="323">
        <v>-94.701314600000003</v>
      </c>
      <c r="N565" s="180" t="s">
        <v>1408</v>
      </c>
      <c r="O565" s="3"/>
      <c r="P565" s="323">
        <v>73.528332473879985</v>
      </c>
      <c r="Q565" s="180" t="s">
        <v>1126</v>
      </c>
      <c r="R565" s="3"/>
      <c r="S565" s="323">
        <v>-5.8628894718158904</v>
      </c>
      <c r="T565" s="180" t="s">
        <v>1126</v>
      </c>
      <c r="U565" s="100"/>
      <c r="V565" s="177">
        <v>9.7115200000000002</v>
      </c>
      <c r="W565" s="460" t="s">
        <v>1466</v>
      </c>
      <c r="X565" s="100"/>
      <c r="Y565" s="177">
        <v>5.7780529400000002</v>
      </c>
      <c r="Z565" s="460" t="s">
        <v>1126</v>
      </c>
      <c r="AA565" s="100"/>
      <c r="AB565" s="462">
        <v>3.4457567363036632</v>
      </c>
      <c r="AC565" s="177">
        <v>-2.8569602199999999</v>
      </c>
      <c r="AD565" s="460" t="s">
        <v>1126</v>
      </c>
      <c r="AE565" s="100"/>
      <c r="AF565" s="177">
        <v>-2.4353339357479107</v>
      </c>
      <c r="AG565" s="460" t="s">
        <v>1125</v>
      </c>
      <c r="AH565" s="100"/>
      <c r="AI565" s="177">
        <v>-2.6067454100000012</v>
      </c>
      <c r="AJ565" s="465">
        <v>0.64883460292402584</v>
      </c>
      <c r="AK565" s="460" t="s">
        <v>1126</v>
      </c>
      <c r="AL565" s="84"/>
      <c r="AM565" s="177">
        <v>4.1165840783585175</v>
      </c>
      <c r="AN565" s="460" t="s">
        <v>1126</v>
      </c>
      <c r="AO565" s="47"/>
      <c r="AP565" s="47"/>
    </row>
    <row r="566" spans="1:42">
      <c r="A566" s="3"/>
      <c r="B566" s="4"/>
      <c r="C566" s="87"/>
      <c r="D566" s="4"/>
      <c r="E566" s="4"/>
      <c r="F566" s="3"/>
      <c r="G566" s="4"/>
      <c r="H566" s="4"/>
      <c r="I566" s="3"/>
      <c r="J566" s="4"/>
      <c r="K566" s="4"/>
      <c r="L566" s="3"/>
      <c r="M566" s="4"/>
      <c r="N566" s="4"/>
      <c r="O566" s="3"/>
      <c r="P566" s="4"/>
      <c r="Q566" s="4"/>
      <c r="R566" s="3"/>
      <c r="S566" s="9"/>
      <c r="T566" s="4"/>
      <c r="U566" s="100"/>
      <c r="V566" s="177">
        <v>9.2528637447561124</v>
      </c>
      <c r="W566" s="460" t="s">
        <v>1125</v>
      </c>
      <c r="X566" s="100"/>
      <c r="Y566" s="177">
        <v>4.6399999999999997</v>
      </c>
      <c r="Z566" s="460" t="s">
        <v>1125</v>
      </c>
      <c r="AA566" s="100"/>
      <c r="AB566" s="225">
        <v>0.22999999999999957</v>
      </c>
      <c r="AC566" s="177">
        <v>-4.0325169978343611</v>
      </c>
      <c r="AD566" s="460" t="s">
        <v>1125</v>
      </c>
      <c r="AE566" s="100"/>
      <c r="AF566" s="177">
        <v>-2.7949350000000015</v>
      </c>
      <c r="AG566" s="460" t="s">
        <v>1710</v>
      </c>
      <c r="AH566" s="100"/>
      <c r="AI566" s="177">
        <v>-1.7900000000000003</v>
      </c>
      <c r="AJ566" s="466">
        <v>4.2548025723201759</v>
      </c>
      <c r="AK566" s="460" t="s">
        <v>1125</v>
      </c>
      <c r="AL566" s="84"/>
      <c r="AM566" s="154">
        <v>3.288660166148043</v>
      </c>
      <c r="AN566" s="155" t="s">
        <v>2611</v>
      </c>
      <c r="AO566" s="47"/>
      <c r="AP566" s="47"/>
    </row>
    <row r="567" spans="1:42">
      <c r="A567" s="3"/>
      <c r="B567" s="4"/>
      <c r="C567" s="87"/>
      <c r="D567" s="4"/>
      <c r="E567" s="4"/>
      <c r="F567" s="3"/>
      <c r="G567" s="4"/>
      <c r="H567" s="4"/>
      <c r="I567" s="3"/>
      <c r="J567" s="4"/>
      <c r="K567" s="4"/>
      <c r="L567" s="3"/>
      <c r="M567" s="4"/>
      <c r="N567" s="4"/>
      <c r="O567" s="3"/>
      <c r="P567" s="4"/>
      <c r="Q567" s="4"/>
      <c r="R567" s="3"/>
      <c r="S567" s="9"/>
      <c r="T567" s="4"/>
      <c r="U567" s="100"/>
      <c r="V567" s="177">
        <v>9.4778399999999987</v>
      </c>
      <c r="W567" s="460" t="s">
        <v>1705</v>
      </c>
      <c r="X567" s="100"/>
      <c r="Y567" s="177">
        <v>6.0156190000000009</v>
      </c>
      <c r="Z567" s="460" t="s">
        <v>1707</v>
      </c>
      <c r="AA567" s="100"/>
      <c r="AB567" s="461">
        <v>1.9599999999999993</v>
      </c>
      <c r="AC567" s="177">
        <v>-3.1019887624954778</v>
      </c>
      <c r="AD567" s="460" t="s">
        <v>1465</v>
      </c>
      <c r="AE567" s="100"/>
      <c r="AF567" s="177">
        <v>-2.4788619162959638</v>
      </c>
      <c r="AG567" s="460" t="s">
        <v>1465</v>
      </c>
      <c r="AH567" s="100"/>
      <c r="AI567" s="177">
        <v>1.1767380415013602</v>
      </c>
      <c r="AJ567" s="467">
        <v>3941.1</v>
      </c>
      <c r="AK567" s="460" t="s">
        <v>1467</v>
      </c>
      <c r="AL567" s="84"/>
      <c r="AM567" s="47"/>
      <c r="AN567" s="45"/>
      <c r="AO567" s="47"/>
      <c r="AP567" s="47"/>
    </row>
    <row r="568" spans="1:42">
      <c r="A568" s="3"/>
      <c r="B568" s="4"/>
      <c r="C568" s="87"/>
      <c r="D568" s="4"/>
      <c r="E568" s="4"/>
      <c r="F568" s="3"/>
      <c r="G568" s="4"/>
      <c r="H568" s="4"/>
      <c r="I568" s="3"/>
      <c r="J568" s="4"/>
      <c r="K568" s="4"/>
      <c r="L568" s="3"/>
      <c r="M568" s="4"/>
      <c r="N568" s="4"/>
      <c r="O568" s="3"/>
      <c r="P568" s="4"/>
      <c r="Q568" s="4"/>
      <c r="R568" s="3"/>
      <c r="S568" s="9"/>
      <c r="T568" s="4"/>
      <c r="U568" s="100"/>
      <c r="V568" s="177">
        <v>9.4077000000000002</v>
      </c>
      <c r="W568" s="460" t="s">
        <v>1706</v>
      </c>
      <c r="X568" s="8"/>
      <c r="Y568" s="177">
        <v>6.3291779999999997</v>
      </c>
      <c r="Z568" s="460" t="s">
        <v>1708</v>
      </c>
      <c r="AA568" s="47"/>
      <c r="AB568" s="462">
        <v>1.5978952499999991E-4</v>
      </c>
      <c r="AC568" s="177">
        <v>-7.1906965281093207</v>
      </c>
      <c r="AD568" s="460" t="s">
        <v>1466</v>
      </c>
      <c r="AE568" s="13"/>
      <c r="AF568" s="177">
        <v>-3.5206055794022029</v>
      </c>
      <c r="AG568" s="460" t="s">
        <v>1466</v>
      </c>
      <c r="AH568" s="84"/>
      <c r="AI568" s="177">
        <v>0.20385255203462896</v>
      </c>
      <c r="AJ568" s="464">
        <v>419.5</v>
      </c>
      <c r="AK568" s="460" t="s">
        <v>1468</v>
      </c>
      <c r="AL568" s="84"/>
      <c r="AM568" s="47"/>
      <c r="AN568" s="45"/>
      <c r="AO568" s="47"/>
      <c r="AP568" s="47"/>
    </row>
    <row r="569" spans="1:42">
      <c r="A569" s="3"/>
      <c r="B569" s="4"/>
      <c r="C569" s="87"/>
      <c r="D569" s="4"/>
      <c r="E569" s="4"/>
      <c r="F569" s="3"/>
      <c r="G569" s="4"/>
      <c r="H569" s="4"/>
      <c r="I569" s="3"/>
      <c r="J569" s="4"/>
      <c r="K569" s="4"/>
      <c r="L569" s="3"/>
      <c r="M569" s="4"/>
      <c r="N569" s="4"/>
      <c r="O569" s="3"/>
      <c r="P569" s="4"/>
      <c r="Q569" s="4"/>
      <c r="R569" s="3"/>
      <c r="S569" s="9"/>
      <c r="T569" s="4"/>
      <c r="U569" s="100"/>
      <c r="V569" s="177">
        <v>9.2629999999999999</v>
      </c>
      <c r="W569" s="460" t="s">
        <v>1465</v>
      </c>
      <c r="X569" s="8"/>
      <c r="Y569" s="177">
        <v>6.16</v>
      </c>
      <c r="Z569" s="460" t="s">
        <v>1465</v>
      </c>
      <c r="AA569" s="47"/>
      <c r="AB569" s="47"/>
      <c r="AC569" s="47"/>
      <c r="AD569" s="45"/>
      <c r="AE569" s="13"/>
      <c r="AF569" s="9"/>
      <c r="AG569" s="326"/>
      <c r="AH569" s="47"/>
      <c r="AI569" s="47"/>
      <c r="AJ569" s="47"/>
      <c r="AK569" s="45"/>
      <c r="AL569" s="84"/>
      <c r="AM569" s="47"/>
      <c r="AN569" s="45"/>
      <c r="AO569" s="47"/>
      <c r="AP569" s="47"/>
    </row>
    <row r="570" spans="1:42">
      <c r="A570" s="3"/>
      <c r="B570" s="4"/>
      <c r="C570" s="87"/>
      <c r="D570" s="4"/>
      <c r="E570" s="4"/>
      <c r="F570" s="3"/>
      <c r="G570" s="4"/>
      <c r="H570" s="4"/>
      <c r="I570" s="3"/>
      <c r="J570" s="4"/>
      <c r="K570" s="4"/>
      <c r="L570" s="3"/>
      <c r="M570" s="4"/>
      <c r="N570" s="4"/>
      <c r="O570" s="3"/>
      <c r="P570" s="4"/>
      <c r="Q570" s="4"/>
      <c r="R570" s="3"/>
      <c r="S570" s="4"/>
      <c r="T570" s="4"/>
      <c r="U570" s="100"/>
      <c r="V570" s="15"/>
      <c r="W570" s="320"/>
      <c r="Y570" s="8"/>
      <c r="Z570" s="45"/>
      <c r="AA570" s="47"/>
      <c r="AB570" s="47"/>
      <c r="AC570" s="47"/>
      <c r="AD570" s="45"/>
      <c r="AF570" s="6"/>
      <c r="AG570" s="7"/>
      <c r="AI570" s="47"/>
      <c r="AJ570" s="47"/>
      <c r="AK570" s="45"/>
      <c r="AL570" s="47"/>
      <c r="AM570" s="47"/>
      <c r="AN570" s="45"/>
      <c r="AO570" s="47"/>
      <c r="AP570" s="47"/>
    </row>
    <row r="571" spans="1:42">
      <c r="A571" s="3" t="s">
        <v>487</v>
      </c>
      <c r="B571" s="4" t="s">
        <v>488</v>
      </c>
      <c r="C571" s="157">
        <v>119.04512125856</v>
      </c>
      <c r="D571" s="30">
        <v>119.04512125856</v>
      </c>
      <c r="E571" s="30" t="s">
        <v>1126</v>
      </c>
      <c r="F571" s="187">
        <v>14.364364347839867</v>
      </c>
      <c r="G571" s="318">
        <v>14.364364347839867</v>
      </c>
      <c r="H571" s="70" t="s">
        <v>1126</v>
      </c>
      <c r="I571" s="187"/>
      <c r="J571" s="318">
        <v>8.9664609587679394</v>
      </c>
      <c r="K571" s="70" t="s">
        <v>1126</v>
      </c>
      <c r="L571" s="191">
        <v>-110.07866029979206</v>
      </c>
      <c r="M571" s="276">
        <v>-110.07866029979206</v>
      </c>
      <c r="N571" s="13" t="s">
        <v>2792</v>
      </c>
      <c r="O571" s="187">
        <v>113.09291160000001</v>
      </c>
      <c r="P571" s="318">
        <v>113.09291160000001</v>
      </c>
      <c r="Q571" s="70" t="s">
        <v>2793</v>
      </c>
      <c r="R571" s="187">
        <v>-7.3122039999999959</v>
      </c>
      <c r="S571" s="491">
        <v>-7.3122039999999959</v>
      </c>
      <c r="T571" s="13" t="s">
        <v>2793</v>
      </c>
      <c r="U571" s="145">
        <v>12.639320878301151</v>
      </c>
      <c r="V571" s="15">
        <v>12.639320878301151</v>
      </c>
      <c r="W571" s="320" t="s">
        <v>2792</v>
      </c>
      <c r="X571" s="145">
        <v>6.6289664100000003</v>
      </c>
      <c r="Y571" s="15">
        <v>6.6289664100000003</v>
      </c>
      <c r="Z571" s="320" t="s">
        <v>2792</v>
      </c>
      <c r="AA571" s="145">
        <v>-5.8832059999999995</v>
      </c>
      <c r="AB571" s="371">
        <v>3.2436862052657536E-3</v>
      </c>
      <c r="AC571" s="15">
        <v>-5.8832059999999995</v>
      </c>
      <c r="AD571" s="320" t="s">
        <v>2870</v>
      </c>
      <c r="AE571" s="145">
        <v>-6.1747555200000006</v>
      </c>
      <c r="AF571" s="15">
        <v>-6.1747555200000006</v>
      </c>
      <c r="AG571" s="320" t="s">
        <v>2792</v>
      </c>
      <c r="AH571" s="145">
        <v>-3.5415302900000003</v>
      </c>
      <c r="AI571" s="15">
        <v>-3.5415302900000003</v>
      </c>
      <c r="AJ571" s="229">
        <v>0.10388670951513561</v>
      </c>
      <c r="AK571" s="320" t="s">
        <v>2792</v>
      </c>
      <c r="AL571" s="145">
        <v>3.0572181999999977</v>
      </c>
      <c r="AM571" s="15">
        <v>3.0572181999999977</v>
      </c>
      <c r="AN571" s="320" t="s">
        <v>2871</v>
      </c>
      <c r="AO571" s="47"/>
      <c r="AP571" s="47"/>
    </row>
    <row r="572" spans="1:42">
      <c r="A572" s="3"/>
      <c r="B572" s="171">
        <v>361.48500000000001</v>
      </c>
      <c r="C572" s="157">
        <v>21.253006453169458</v>
      </c>
      <c r="D572" s="206">
        <v>147.10943999999998</v>
      </c>
      <c r="E572" s="206" t="s">
        <v>1125</v>
      </c>
      <c r="F572" s="157">
        <v>20.150043019862807</v>
      </c>
      <c r="G572" s="70"/>
      <c r="H572" s="70"/>
      <c r="I572" s="157"/>
      <c r="J572" s="70"/>
      <c r="K572" s="70"/>
      <c r="L572" s="191">
        <v>18.278671621440772</v>
      </c>
      <c r="M572" s="323">
        <v>-110.07866029979206</v>
      </c>
      <c r="N572" s="180" t="s">
        <v>1126</v>
      </c>
      <c r="O572" s="191">
        <v>21.201415044740401</v>
      </c>
      <c r="P572" s="323">
        <v>113.09291160000001</v>
      </c>
      <c r="Q572" s="180" t="s">
        <v>1407</v>
      </c>
      <c r="R572" s="191">
        <v>2.9995622198942309</v>
      </c>
      <c r="S572" s="323">
        <v>-7.3122039999999959</v>
      </c>
      <c r="T572" s="180" t="s">
        <v>1407</v>
      </c>
      <c r="U572" s="145">
        <v>1.0364369513415728</v>
      </c>
      <c r="V572" s="177">
        <v>12.639320878301151</v>
      </c>
      <c r="W572" s="460" t="s">
        <v>1126</v>
      </c>
      <c r="X572" s="145">
        <v>0.98347345658759999</v>
      </c>
      <c r="Y572" s="177">
        <v>5.7760300000000004</v>
      </c>
      <c r="Z572" s="460" t="s">
        <v>1466</v>
      </c>
      <c r="AA572" s="145">
        <v>1.2382266004079998</v>
      </c>
      <c r="AB572" s="225">
        <v>3.2436862052657536E-3</v>
      </c>
      <c r="AC572" s="177">
        <v>-5.8832059999999995</v>
      </c>
      <c r="AD572" s="222" t="s">
        <v>1709</v>
      </c>
      <c r="AE572" s="145">
        <v>1.3313884357113601</v>
      </c>
      <c r="AF572" s="177">
        <v>-6.1747555200000006</v>
      </c>
      <c r="AG572" s="365" t="s">
        <v>1126</v>
      </c>
      <c r="AH572" s="145">
        <v>1.0729809734915901</v>
      </c>
      <c r="AI572" s="177">
        <v>-3.9890177533053217</v>
      </c>
      <c r="AJ572" s="464">
        <v>0.2542301657150996</v>
      </c>
      <c r="AK572" s="362" t="s">
        <v>1466</v>
      </c>
      <c r="AL572" s="145">
        <v>0.55253410250419954</v>
      </c>
      <c r="AM572" s="154">
        <v>3.0572181999999977</v>
      </c>
      <c r="AN572" s="155" t="s">
        <v>2610</v>
      </c>
      <c r="AO572" s="47"/>
      <c r="AP572" s="47"/>
    </row>
    <row r="573" spans="1:42">
      <c r="A573" s="3"/>
      <c r="B573" s="4"/>
      <c r="C573" s="87"/>
      <c r="D573" s="4"/>
      <c r="E573" s="4"/>
      <c r="F573" s="3"/>
      <c r="G573" s="4"/>
      <c r="H573" s="4"/>
      <c r="I573" s="3"/>
      <c r="J573" s="4"/>
      <c r="K573" s="4"/>
      <c r="L573" s="3"/>
      <c r="M573" s="323">
        <v>-122.78721580000001</v>
      </c>
      <c r="N573" s="180" t="s">
        <v>1408</v>
      </c>
      <c r="O573" s="3"/>
      <c r="P573" s="323">
        <v>104.68075691072013</v>
      </c>
      <c r="Q573" s="180" t="s">
        <v>1126</v>
      </c>
      <c r="R573" s="3"/>
      <c r="S573" s="323">
        <v>-5.3979033890719279</v>
      </c>
      <c r="T573" s="180" t="s">
        <v>1126</v>
      </c>
      <c r="U573" s="100"/>
      <c r="V573" s="177">
        <v>11.737</v>
      </c>
      <c r="W573" s="460" t="s">
        <v>1466</v>
      </c>
      <c r="X573" s="100"/>
      <c r="Y573" s="177">
        <v>6.6289664100000003</v>
      </c>
      <c r="Z573" s="460" t="s">
        <v>1126</v>
      </c>
      <c r="AA573" s="100"/>
      <c r="AB573" s="462">
        <v>2.1099090932497431E-3</v>
      </c>
      <c r="AC573" s="177">
        <v>-6.0699810899999997</v>
      </c>
      <c r="AD573" s="460" t="s">
        <v>1126</v>
      </c>
      <c r="AE573" s="100"/>
      <c r="AF573" s="177">
        <v>-7.2426039712069761</v>
      </c>
      <c r="AG573" s="460" t="s">
        <v>1125</v>
      </c>
      <c r="AH573" s="100"/>
      <c r="AI573" s="177">
        <v>-3.5415302900000003</v>
      </c>
      <c r="AJ573" s="465">
        <v>0.10388670951513561</v>
      </c>
      <c r="AK573" s="460" t="s">
        <v>1126</v>
      </c>
      <c r="AL573" s="84"/>
      <c r="AM573" s="177">
        <v>1</v>
      </c>
      <c r="AN573" s="460" t="s">
        <v>1126</v>
      </c>
      <c r="AO573" s="47"/>
      <c r="AP573" s="47"/>
    </row>
    <row r="574" spans="1:42">
      <c r="A574" s="3"/>
      <c r="B574" s="4"/>
      <c r="C574" s="87"/>
      <c r="D574" s="4"/>
      <c r="E574" s="4"/>
      <c r="F574" s="3"/>
      <c r="G574" s="4"/>
      <c r="H574" s="4"/>
      <c r="I574" s="3"/>
      <c r="J574" s="4"/>
      <c r="K574" s="4"/>
      <c r="L574" s="3"/>
      <c r="M574" s="4"/>
      <c r="N574" s="4"/>
      <c r="O574" s="3"/>
      <c r="P574" s="4"/>
      <c r="Q574" s="4"/>
      <c r="R574" s="3"/>
      <c r="S574" s="9"/>
      <c r="T574" s="4"/>
      <c r="U574" s="100"/>
      <c r="V574" s="177">
        <v>13.857710408971204</v>
      </c>
      <c r="W574" s="460" t="s">
        <v>1125</v>
      </c>
      <c r="X574" s="100"/>
      <c r="Y574" s="177">
        <v>7.27</v>
      </c>
      <c r="Z574" s="460" t="s">
        <v>1125</v>
      </c>
      <c r="AA574" s="100"/>
      <c r="AB574" s="225">
        <v>1.8599999999999979E-3</v>
      </c>
      <c r="AC574" s="177">
        <v>-6.1247318896340373</v>
      </c>
      <c r="AD574" s="460" t="s">
        <v>1125</v>
      </c>
      <c r="AE574" s="100"/>
      <c r="AF574" s="177">
        <v>-7.8932860000000007</v>
      </c>
      <c r="AG574" s="460" t="s">
        <v>1710</v>
      </c>
      <c r="AH574" s="100"/>
      <c r="AI574" s="177">
        <v>-4.5100000000000016</v>
      </c>
      <c r="AJ574" s="466">
        <v>1.11709544442217E-2</v>
      </c>
      <c r="AK574" s="460" t="s">
        <v>1125</v>
      </c>
      <c r="AL574" s="84"/>
      <c r="AM574" s="154">
        <v>2.2500891661480455</v>
      </c>
      <c r="AN574" s="155" t="s">
        <v>2611</v>
      </c>
      <c r="AO574" s="47"/>
      <c r="AP574" s="47"/>
    </row>
    <row r="575" spans="1:42">
      <c r="A575" s="3"/>
      <c r="B575" s="4"/>
      <c r="C575" s="87"/>
      <c r="D575" s="4"/>
      <c r="E575" s="4"/>
      <c r="F575" s="3"/>
      <c r="G575" s="4"/>
      <c r="H575" s="4"/>
      <c r="I575" s="3"/>
      <c r="J575" s="4"/>
      <c r="K575" s="4"/>
      <c r="L575" s="3"/>
      <c r="M575" s="4"/>
      <c r="N575" s="4"/>
      <c r="O575" s="3"/>
      <c r="P575" s="4"/>
      <c r="Q575" s="4"/>
      <c r="R575" s="3"/>
      <c r="S575" s="9"/>
      <c r="T575" s="4"/>
      <c r="U575" s="100"/>
      <c r="V575" s="177">
        <v>13.53762</v>
      </c>
      <c r="W575" s="460" t="s">
        <v>1705</v>
      </c>
      <c r="X575" s="100"/>
      <c r="Y575" s="177">
        <v>7.4507619999999992</v>
      </c>
      <c r="Z575" s="460" t="s">
        <v>1707</v>
      </c>
      <c r="AA575" s="100"/>
      <c r="AB575" s="461">
        <v>3.039999999999992E-4</v>
      </c>
      <c r="AC575" s="177">
        <v>-6.9113712502432003</v>
      </c>
      <c r="AD575" s="460" t="s">
        <v>1465</v>
      </c>
      <c r="AE575" s="100"/>
      <c r="AF575" s="177">
        <v>-4.7544873321858505</v>
      </c>
      <c r="AG575" s="460" t="s">
        <v>1465</v>
      </c>
      <c r="AH575" s="100"/>
      <c r="AI575" s="177">
        <v>-0.81728562546189354</v>
      </c>
      <c r="AJ575" s="467">
        <v>55.055999999999976</v>
      </c>
      <c r="AK575" s="460" t="s">
        <v>1467</v>
      </c>
      <c r="AL575" s="84"/>
      <c r="AM575" s="47"/>
      <c r="AN575" s="45"/>
      <c r="AO575" s="47"/>
      <c r="AP575" s="47"/>
    </row>
    <row r="576" spans="1:42">
      <c r="A576" s="3"/>
      <c r="B576" s="4"/>
      <c r="C576" s="87"/>
      <c r="D576" s="4"/>
      <c r="E576" s="4"/>
      <c r="F576" s="3"/>
      <c r="G576" s="4"/>
      <c r="H576" s="4"/>
      <c r="I576" s="3"/>
      <c r="J576" s="4"/>
      <c r="K576" s="4"/>
      <c r="L576" s="3"/>
      <c r="M576" s="4"/>
      <c r="N576" s="4"/>
      <c r="O576" s="3"/>
      <c r="P576" s="4"/>
      <c r="Q576" s="4"/>
      <c r="R576" s="3"/>
      <c r="S576" s="9"/>
      <c r="T576" s="4"/>
      <c r="U576" s="100"/>
      <c r="V576" s="177">
        <v>13.66535</v>
      </c>
      <c r="W576" s="460" t="s">
        <v>1706</v>
      </c>
      <c r="X576" s="8"/>
      <c r="Y576" s="177">
        <v>7.8302439999999986</v>
      </c>
      <c r="Z576" s="460" t="s">
        <v>1708</v>
      </c>
      <c r="AA576" s="47"/>
      <c r="AB576" s="462">
        <v>2.4885116024999949E-3</v>
      </c>
      <c r="AC576" s="177">
        <v>-5.9983051639015166</v>
      </c>
      <c r="AD576" s="460" t="s">
        <v>1466</v>
      </c>
      <c r="AE576" s="13"/>
      <c r="AF576" s="177">
        <v>-4.9532666171764266</v>
      </c>
      <c r="AG576" s="460" t="s">
        <v>1466</v>
      </c>
      <c r="AH576" s="84"/>
      <c r="AI576" s="177">
        <v>-1.9773933410263116</v>
      </c>
      <c r="AJ576" s="464">
        <v>3.8079999999999976</v>
      </c>
      <c r="AK576" s="460" t="s">
        <v>1468</v>
      </c>
      <c r="AL576" s="84"/>
      <c r="AM576" s="47"/>
      <c r="AN576" s="45"/>
      <c r="AO576" s="47"/>
      <c r="AP576" s="47"/>
    </row>
    <row r="577" spans="1:42">
      <c r="A577" s="3"/>
      <c r="B577" s="4"/>
      <c r="C577" s="87"/>
      <c r="D577" s="4"/>
      <c r="E577" s="4"/>
      <c r="F577" s="3"/>
      <c r="G577" s="4"/>
      <c r="H577" s="4"/>
      <c r="I577" s="3"/>
      <c r="J577" s="4"/>
      <c r="K577" s="4"/>
      <c r="L577" s="3"/>
      <c r="M577" s="4"/>
      <c r="N577" s="4"/>
      <c r="O577" s="3"/>
      <c r="P577" s="4"/>
      <c r="Q577" s="4"/>
      <c r="R577" s="3"/>
      <c r="S577" s="9"/>
      <c r="T577" s="4"/>
      <c r="U577" s="100"/>
      <c r="V577" s="177">
        <v>13.791</v>
      </c>
      <c r="W577" s="460" t="s">
        <v>1465</v>
      </c>
      <c r="X577" s="8"/>
      <c r="Y577" s="177">
        <v>6.88</v>
      </c>
      <c r="Z577" s="460" t="s">
        <v>1465</v>
      </c>
      <c r="AA577" s="47"/>
      <c r="AB577" s="47"/>
      <c r="AC577" s="47"/>
      <c r="AD577" s="45"/>
      <c r="AE577" s="13"/>
      <c r="AF577" s="9"/>
      <c r="AG577" s="326"/>
      <c r="AH577" s="47"/>
      <c r="AI577" s="47"/>
      <c r="AJ577" s="47"/>
      <c r="AK577" s="45"/>
      <c r="AL577" s="84"/>
      <c r="AM577" s="47"/>
      <c r="AN577" s="45"/>
      <c r="AO577" s="47"/>
      <c r="AP577" s="47"/>
    </row>
    <row r="578" spans="1:42">
      <c r="A578" s="3"/>
      <c r="B578" s="4"/>
      <c r="C578" s="87"/>
      <c r="D578" s="4"/>
      <c r="E578" s="4"/>
      <c r="F578" s="3"/>
      <c r="G578" s="4"/>
      <c r="H578" s="4"/>
      <c r="I578" s="3"/>
      <c r="J578" s="4"/>
      <c r="K578" s="4"/>
      <c r="L578" s="3"/>
      <c r="M578" s="4"/>
      <c r="N578" s="4"/>
      <c r="O578" s="3"/>
      <c r="P578" s="4"/>
      <c r="Q578" s="4"/>
      <c r="R578" s="3"/>
      <c r="S578" s="4"/>
      <c r="T578" s="4"/>
      <c r="U578" s="87"/>
      <c r="V578" s="8"/>
      <c r="W578" s="45"/>
      <c r="Y578" s="8"/>
      <c r="Z578" s="45"/>
      <c r="AA578" s="47"/>
      <c r="AB578" s="47"/>
      <c r="AC578" s="47"/>
      <c r="AD578" s="45"/>
      <c r="AI578" s="47"/>
      <c r="AJ578" s="47"/>
      <c r="AK578" s="45"/>
      <c r="AL578" s="84"/>
      <c r="AN578" s="45"/>
      <c r="AO578" s="47"/>
      <c r="AP578" s="47"/>
    </row>
    <row r="579" spans="1:42">
      <c r="A579" s="3" t="s">
        <v>485</v>
      </c>
      <c r="B579" s="4" t="s">
        <v>486</v>
      </c>
      <c r="C579" s="157">
        <v>83.356462786000009</v>
      </c>
      <c r="D579" s="30">
        <v>83.356462786000009</v>
      </c>
      <c r="E579" s="30" t="s">
        <v>1126</v>
      </c>
      <c r="F579" s="187">
        <v>13.321313130624034</v>
      </c>
      <c r="G579" s="318">
        <v>13.321313130624034</v>
      </c>
      <c r="H579" s="70" t="s">
        <v>1126</v>
      </c>
      <c r="I579" s="187"/>
      <c r="J579" s="318">
        <v>5.7726576913842678</v>
      </c>
      <c r="K579" s="70" t="s">
        <v>1126</v>
      </c>
      <c r="L579" s="191">
        <v>-77.583805094615741</v>
      </c>
      <c r="M579" s="276">
        <v>-77.583805094615741</v>
      </c>
      <c r="N579" s="13" t="s">
        <v>2792</v>
      </c>
      <c r="O579" s="187">
        <v>77.906984800000004</v>
      </c>
      <c r="P579" s="318">
        <v>77.906984800000004</v>
      </c>
      <c r="Q579" s="70" t="s">
        <v>2793</v>
      </c>
      <c r="R579" s="187">
        <v>-10.924632000000004</v>
      </c>
      <c r="S579" s="491">
        <v>-10.924632000000004</v>
      </c>
      <c r="T579" s="13" t="s">
        <v>2793</v>
      </c>
      <c r="U579" s="145">
        <v>8.2228855706999919</v>
      </c>
      <c r="V579" s="15">
        <v>8.2228855706999919</v>
      </c>
      <c r="W579" s="320" t="s">
        <v>2792</v>
      </c>
      <c r="X579" s="145">
        <v>6.0957618800000004</v>
      </c>
      <c r="Y579" s="15">
        <v>6.0957618800000004</v>
      </c>
      <c r="Z579" s="320" t="s">
        <v>2792</v>
      </c>
      <c r="AA579" s="145">
        <v>-2.5275280000000002</v>
      </c>
      <c r="AB579" s="371">
        <v>7.357272365039365</v>
      </c>
      <c r="AC579" s="15">
        <v>-2.5275280000000002</v>
      </c>
      <c r="AD579" s="320" t="s">
        <v>2870</v>
      </c>
      <c r="AE579" s="145">
        <v>-1.5211096199999998</v>
      </c>
      <c r="AF579" s="15">
        <v>-1.5211096199999998</v>
      </c>
      <c r="AG579" s="320" t="s">
        <v>2792</v>
      </c>
      <c r="AH579" s="145">
        <v>-2.9407854900000006</v>
      </c>
      <c r="AI579" s="15">
        <v>-2.9407854900000006</v>
      </c>
      <c r="AJ579" s="229">
        <v>0.28690709505610651</v>
      </c>
      <c r="AK579" s="320" t="s">
        <v>2792</v>
      </c>
      <c r="AL579" s="145">
        <v>3.7626205999999982</v>
      </c>
      <c r="AM579" s="15">
        <v>3.7626205999999982</v>
      </c>
      <c r="AN579" s="320" t="s">
        <v>2871</v>
      </c>
      <c r="AO579" s="47"/>
      <c r="AP579" s="47"/>
    </row>
    <row r="580" spans="1:42">
      <c r="A580" s="3"/>
      <c r="B580" s="171">
        <v>250.33799999999999</v>
      </c>
      <c r="C580" s="157">
        <v>14.881545944721795</v>
      </c>
      <c r="D580" s="206">
        <v>99.37</v>
      </c>
      <c r="E580" s="206" t="s">
        <v>1125</v>
      </c>
      <c r="F580" s="157">
        <v>18.686871633376782</v>
      </c>
      <c r="G580" s="70"/>
      <c r="H580" s="70"/>
      <c r="I580" s="157"/>
      <c r="J580" s="70"/>
      <c r="K580" s="70"/>
      <c r="L580" s="191">
        <v>12.882868419766039</v>
      </c>
      <c r="M580" s="323">
        <v>-77.583805094615741</v>
      </c>
      <c r="N580" s="180" t="s">
        <v>1126</v>
      </c>
      <c r="O580" s="191">
        <v>14.605144533471201</v>
      </c>
      <c r="P580" s="323">
        <v>77.906984800000004</v>
      </c>
      <c r="Q580" s="180" t="s">
        <v>1407</v>
      </c>
      <c r="R580" s="191">
        <v>4.4814276808261342</v>
      </c>
      <c r="S580" s="323">
        <v>-10.924632000000004</v>
      </c>
      <c r="T580" s="180" t="s">
        <v>1407</v>
      </c>
      <c r="U580" s="145">
        <v>0.67428483968297004</v>
      </c>
      <c r="V580" s="177">
        <v>8.2228855706999919</v>
      </c>
      <c r="W580" s="460" t="s">
        <v>1126</v>
      </c>
      <c r="X580" s="145">
        <v>0.90436723251679996</v>
      </c>
      <c r="Y580" s="177">
        <v>4.0458400000000001</v>
      </c>
      <c r="Z580" s="460" t="s">
        <v>1466</v>
      </c>
      <c r="AA580" s="145">
        <v>0.53196376310400006</v>
      </c>
      <c r="AB580" s="225">
        <v>7.357272365039365</v>
      </c>
      <c r="AC580" s="177">
        <v>-2.5275280000000002</v>
      </c>
      <c r="AD580" s="222" t="s">
        <v>1709</v>
      </c>
      <c r="AE580" s="145">
        <v>0.32797861404515999</v>
      </c>
      <c r="AF580" s="177">
        <v>-1.5211096199999998</v>
      </c>
      <c r="AG580" s="365" t="s">
        <v>1126</v>
      </c>
      <c r="AH580" s="145">
        <v>0.89097272069079014</v>
      </c>
      <c r="AI580" s="177">
        <v>-0.28495064569985673</v>
      </c>
      <c r="AJ580" s="464">
        <v>1286.1575994068999</v>
      </c>
      <c r="AK580" s="362" t="s">
        <v>1466</v>
      </c>
      <c r="AL580" s="145">
        <v>0.68002218365859968</v>
      </c>
      <c r="AM580" s="154">
        <v>3.7626205999999982</v>
      </c>
      <c r="AN580" s="155" t="s">
        <v>2610</v>
      </c>
      <c r="AO580" s="47"/>
      <c r="AP580" s="47"/>
    </row>
    <row r="581" spans="1:42">
      <c r="A581" s="3"/>
      <c r="B581" s="171"/>
      <c r="C581" s="3"/>
      <c r="D581" s="4"/>
      <c r="E581" s="4"/>
      <c r="F581" s="3"/>
      <c r="G581" s="4"/>
      <c r="H581" s="4"/>
      <c r="I581" s="3"/>
      <c r="J581" s="4"/>
      <c r="K581" s="4"/>
      <c r="L581" s="3"/>
      <c r="M581" s="323">
        <v>-91.2172944</v>
      </c>
      <c r="N581" s="180" t="s">
        <v>1408</v>
      </c>
      <c r="O581" s="3"/>
      <c r="P581" s="323">
        <v>70.035149655375974</v>
      </c>
      <c r="Q581" s="180" t="s">
        <v>1126</v>
      </c>
      <c r="R581" s="3"/>
      <c r="S581" s="323">
        <v>-7.5486554392397665</v>
      </c>
      <c r="T581" s="180" t="s">
        <v>1126</v>
      </c>
      <c r="U581" s="100"/>
      <c r="V581" s="177">
        <v>9.4481099999999998</v>
      </c>
      <c r="W581" s="460" t="s">
        <v>1466</v>
      </c>
      <c r="X581" s="100"/>
      <c r="Y581" s="177">
        <v>6.0957618800000004</v>
      </c>
      <c r="Z581" s="460" t="s">
        <v>1126</v>
      </c>
      <c r="AA581" s="100"/>
      <c r="AB581" s="462">
        <v>23.83232725850452</v>
      </c>
      <c r="AC581" s="177">
        <v>-2.0170783800000001</v>
      </c>
      <c r="AD581" s="460" t="s">
        <v>1126</v>
      </c>
      <c r="AE581" s="100"/>
      <c r="AF581" s="177">
        <v>-2.3334820194451193</v>
      </c>
      <c r="AG581" s="460" t="s">
        <v>1125</v>
      </c>
      <c r="AH581" s="100"/>
      <c r="AI581" s="177">
        <v>-2.9407854900000006</v>
      </c>
      <c r="AJ581" s="465">
        <v>0.28690709505610651</v>
      </c>
      <c r="AK581" s="460" t="s">
        <v>1126</v>
      </c>
      <c r="AL581" s="84"/>
      <c r="AM581" s="177">
        <v>4.011365915586202</v>
      </c>
      <c r="AN581" s="460" t="s">
        <v>1126</v>
      </c>
      <c r="AO581" s="47"/>
      <c r="AP581" s="47"/>
    </row>
    <row r="582" spans="1:42">
      <c r="A582" s="3"/>
      <c r="B582" s="171"/>
      <c r="C582" s="3"/>
      <c r="D582" s="4"/>
      <c r="E582" s="4"/>
      <c r="F582" s="3"/>
      <c r="G582" s="4"/>
      <c r="H582" s="4"/>
      <c r="I582" s="3"/>
      <c r="J582" s="4"/>
      <c r="K582" s="4"/>
      <c r="L582" s="3"/>
      <c r="M582" s="4"/>
      <c r="N582" s="4"/>
      <c r="O582" s="3"/>
      <c r="P582" s="4"/>
      <c r="Q582" s="4"/>
      <c r="R582" s="3"/>
      <c r="S582" s="9"/>
      <c r="T582" s="4"/>
      <c r="U582" s="100"/>
      <c r="V582" s="177">
        <v>9.1562227484139402</v>
      </c>
      <c r="W582" s="460" t="s">
        <v>1125</v>
      </c>
      <c r="X582" s="100"/>
      <c r="Y582" s="177">
        <v>4.92</v>
      </c>
      <c r="Z582" s="460" t="s">
        <v>1125</v>
      </c>
      <c r="AA582" s="100"/>
      <c r="AB582" s="225">
        <v>0.51999999999999968</v>
      </c>
      <c r="AC582" s="177">
        <v>-3.6782414902171547</v>
      </c>
      <c r="AD582" s="460" t="s">
        <v>1125</v>
      </c>
      <c r="AE582" s="100"/>
      <c r="AF582" s="177">
        <v>-2.4869579999999987</v>
      </c>
      <c r="AG582" s="460" t="s">
        <v>1710</v>
      </c>
      <c r="AH582" s="100"/>
      <c r="AI582" s="177">
        <v>-2.0500000000000007</v>
      </c>
      <c r="AJ582" s="466">
        <v>2.2311397735052521</v>
      </c>
      <c r="AK582" s="460" t="s">
        <v>1125</v>
      </c>
      <c r="AL582" s="84"/>
      <c r="AM582" s="154">
        <v>3.2890771661480471</v>
      </c>
      <c r="AN582" s="155" t="s">
        <v>2611</v>
      </c>
      <c r="AO582" s="47"/>
      <c r="AP582" s="47"/>
    </row>
    <row r="583" spans="1:42">
      <c r="A583" s="3"/>
      <c r="B583" s="171"/>
      <c r="C583" s="3"/>
      <c r="D583" s="4"/>
      <c r="E583" s="4"/>
      <c r="F583" s="3"/>
      <c r="G583" s="4"/>
      <c r="H583" s="4"/>
      <c r="I583" s="3"/>
      <c r="J583" s="4"/>
      <c r="K583" s="4"/>
      <c r="L583" s="3"/>
      <c r="M583" s="4"/>
      <c r="N583" s="4"/>
      <c r="O583" s="3"/>
      <c r="P583" s="4"/>
      <c r="Q583" s="4"/>
      <c r="R583" s="3"/>
      <c r="S583" s="9"/>
      <c r="T583" s="4"/>
      <c r="U583" s="100"/>
      <c r="V583" s="177">
        <v>9.17028</v>
      </c>
      <c r="W583" s="460" t="s">
        <v>1705</v>
      </c>
      <c r="X583" s="100"/>
      <c r="Y583" s="177">
        <v>5.9294560000000001</v>
      </c>
      <c r="Z583" s="460" t="s">
        <v>1707</v>
      </c>
      <c r="AA583" s="100"/>
      <c r="AB583" s="461">
        <v>2.8699999999999933E-8</v>
      </c>
      <c r="AC583" s="177">
        <v>-10.936362937117961</v>
      </c>
      <c r="AD583" s="460" t="s">
        <v>1465</v>
      </c>
      <c r="AE583" s="100"/>
      <c r="AF583" s="177">
        <v>-2.1985962899826448</v>
      </c>
      <c r="AG583" s="460" t="s">
        <v>1465</v>
      </c>
      <c r="AH583" s="100"/>
      <c r="AI583" s="177">
        <v>0.9112949474355706</v>
      </c>
      <c r="AJ583" s="467">
        <v>2040.9</v>
      </c>
      <c r="AK583" s="460" t="s">
        <v>1467</v>
      </c>
      <c r="AL583" s="84"/>
      <c r="AM583" s="47"/>
      <c r="AN583" s="45"/>
      <c r="AO583" s="47"/>
      <c r="AP583" s="47"/>
    </row>
    <row r="584" spans="1:42">
      <c r="A584" s="3"/>
      <c r="B584" s="171"/>
      <c r="C584" s="3"/>
      <c r="D584" s="4"/>
      <c r="E584" s="4"/>
      <c r="F584" s="3"/>
      <c r="G584" s="4"/>
      <c r="H584" s="4"/>
      <c r="I584" s="3"/>
      <c r="J584" s="4"/>
      <c r="K584" s="4"/>
      <c r="L584" s="3"/>
      <c r="M584" s="4"/>
      <c r="N584" s="4"/>
      <c r="O584" s="3"/>
      <c r="P584" s="4"/>
      <c r="Q584" s="4"/>
      <c r="R584" s="3"/>
      <c r="S584" s="9"/>
      <c r="T584" s="4"/>
      <c r="U584" s="100"/>
      <c r="V584" s="177">
        <v>9.0395999999999983</v>
      </c>
      <c r="W584" s="460" t="s">
        <v>1706</v>
      </c>
      <c r="X584" s="8"/>
      <c r="Y584" s="177">
        <v>6.2748719999999985</v>
      </c>
      <c r="Z584" s="460" t="s">
        <v>1708</v>
      </c>
      <c r="AA584" s="47"/>
      <c r="AB584" s="462">
        <v>1.6473621149999998E-4</v>
      </c>
      <c r="AC584" s="177">
        <v>-7.1774557597213677</v>
      </c>
      <c r="AD584" s="460" t="s">
        <v>1466</v>
      </c>
      <c r="AE584" s="13"/>
      <c r="AF584" s="177">
        <v>-3.1882778660626583</v>
      </c>
      <c r="AG584" s="460" t="s">
        <v>1466</v>
      </c>
      <c r="AH584" s="84"/>
      <c r="AI584" s="177">
        <v>0.45705294425705856</v>
      </c>
      <c r="AJ584" s="464">
        <v>717.09999999999991</v>
      </c>
      <c r="AK584" s="460" t="s">
        <v>1468</v>
      </c>
      <c r="AL584" s="84"/>
      <c r="AM584" s="47"/>
      <c r="AN584" s="45"/>
      <c r="AO584" s="47"/>
      <c r="AP584" s="47"/>
    </row>
    <row r="585" spans="1:42">
      <c r="A585" s="3"/>
      <c r="B585" s="171"/>
      <c r="C585" s="3"/>
      <c r="D585" s="4"/>
      <c r="E585" s="4"/>
      <c r="F585" s="3"/>
      <c r="G585" s="4"/>
      <c r="H585" s="4"/>
      <c r="I585" s="3"/>
      <c r="J585" s="4"/>
      <c r="K585" s="4"/>
      <c r="L585" s="3"/>
      <c r="M585" s="4"/>
      <c r="N585" s="4"/>
      <c r="O585" s="3"/>
      <c r="P585" s="4"/>
      <c r="Q585" s="4"/>
      <c r="R585" s="3"/>
      <c r="S585" s="9"/>
      <c r="T585" s="4"/>
      <c r="U585" s="100"/>
      <c r="V585" s="177">
        <v>8.84</v>
      </c>
      <c r="W585" s="460" t="s">
        <v>1465</v>
      </c>
      <c r="X585" s="8"/>
      <c r="Y585" s="177">
        <v>5.97</v>
      </c>
      <c r="Z585" s="460" t="s">
        <v>1465</v>
      </c>
      <c r="AA585" s="47"/>
      <c r="AB585" s="47"/>
      <c r="AC585" s="47"/>
      <c r="AD585" s="45"/>
      <c r="AE585" s="13"/>
      <c r="AF585" s="9"/>
      <c r="AG585" s="326"/>
      <c r="AH585" s="47"/>
      <c r="AI585" s="47"/>
      <c r="AJ585" s="47"/>
      <c r="AK585" s="45"/>
      <c r="AL585" s="84"/>
      <c r="AM585" s="47"/>
      <c r="AN585" s="45"/>
      <c r="AO585" s="47"/>
      <c r="AP585" s="47"/>
    </row>
    <row r="586" spans="1:42">
      <c r="A586" s="3"/>
      <c r="B586" s="171"/>
      <c r="C586" s="3"/>
      <c r="D586" s="4"/>
      <c r="E586" s="4"/>
      <c r="F586" s="3"/>
      <c r="G586" s="4"/>
      <c r="H586" s="4"/>
      <c r="I586" s="3"/>
      <c r="J586" s="4"/>
      <c r="K586" s="4"/>
      <c r="L586" s="3"/>
      <c r="M586" s="4"/>
      <c r="N586" s="4"/>
      <c r="O586" s="3"/>
      <c r="P586" s="4"/>
      <c r="Q586" s="4"/>
      <c r="R586" s="3"/>
      <c r="S586" s="4"/>
      <c r="T586" s="4"/>
      <c r="U586" s="87"/>
      <c r="V586" s="8"/>
      <c r="W586" s="45"/>
      <c r="Y586" s="8"/>
      <c r="Z586" s="45"/>
      <c r="AA586" s="47"/>
      <c r="AB586" s="47"/>
      <c r="AC586" s="47"/>
      <c r="AD586" s="45"/>
      <c r="AF586" s="6"/>
      <c r="AG586" s="7"/>
      <c r="AI586" s="47"/>
      <c r="AJ586" s="47"/>
      <c r="AK586" s="45"/>
      <c r="AL586" s="47"/>
      <c r="AN586" s="45"/>
      <c r="AO586" s="47"/>
      <c r="AP586" s="47"/>
    </row>
    <row r="587" spans="1:42">
      <c r="A587" s="3" t="s">
        <v>483</v>
      </c>
      <c r="B587" s="4" t="s">
        <v>484</v>
      </c>
      <c r="C587" s="157">
        <v>109.20942995680001</v>
      </c>
      <c r="D587" s="30">
        <v>109.20942995680001</v>
      </c>
      <c r="E587" s="30" t="s">
        <v>1126</v>
      </c>
      <c r="F587" s="187">
        <v>3.8691312060082481</v>
      </c>
      <c r="G587" s="318">
        <v>3.8691312060082481</v>
      </c>
      <c r="H587" s="70" t="s">
        <v>1126</v>
      </c>
      <c r="I587" s="187"/>
      <c r="J587" s="318">
        <v>9.5164892389438762</v>
      </c>
      <c r="K587" s="70" t="s">
        <v>1126</v>
      </c>
      <c r="L587" s="191">
        <v>-99.692940717856132</v>
      </c>
      <c r="M587" s="276">
        <v>-99.692940717856132</v>
      </c>
      <c r="N587" s="13" t="s">
        <v>2792</v>
      </c>
      <c r="O587" s="187">
        <v>111.53555650000001</v>
      </c>
      <c r="P587" s="318">
        <v>111.53555650000001</v>
      </c>
      <c r="Q587" s="70" t="s">
        <v>2793</v>
      </c>
      <c r="R587" s="187">
        <v>3.0459800000000197</v>
      </c>
      <c r="S587" s="491">
        <v>3.0459800000000197</v>
      </c>
      <c r="T587" s="13" t="s">
        <v>2793</v>
      </c>
      <c r="U587" s="145">
        <v>11.674199918450622</v>
      </c>
      <c r="V587" s="15">
        <v>11.674199918450622</v>
      </c>
      <c r="W587" s="320" t="s">
        <v>2792</v>
      </c>
      <c r="X587" s="145">
        <v>4.7695797400000002</v>
      </c>
      <c r="Y587" s="15">
        <v>4.7695797400000002</v>
      </c>
      <c r="Z587" s="320" t="s">
        <v>2792</v>
      </c>
      <c r="AA587" s="145">
        <v>-7.4751449999999995</v>
      </c>
      <c r="AB587" s="371">
        <v>8.3004155216663111E-5</v>
      </c>
      <c r="AC587" s="15">
        <v>-7.4751449999999995</v>
      </c>
      <c r="AD587" s="320" t="s">
        <v>2870</v>
      </c>
      <c r="AE587" s="145">
        <v>-5.2016836299999998</v>
      </c>
      <c r="AF587" s="15">
        <v>-5.2016836299999998</v>
      </c>
      <c r="AG587" s="320" t="s">
        <v>2792</v>
      </c>
      <c r="AH587" s="145">
        <v>-1.633154020000001</v>
      </c>
      <c r="AI587" s="15">
        <v>-1.633154020000001</v>
      </c>
      <c r="AJ587" s="229">
        <v>7.2236700107266447</v>
      </c>
      <c r="AK587" s="320" t="s">
        <v>2792</v>
      </c>
      <c r="AL587" s="145">
        <v>2.2989564999999992</v>
      </c>
      <c r="AM587" s="15">
        <v>2.2989564999999992</v>
      </c>
      <c r="AN587" s="320" t="s">
        <v>2871</v>
      </c>
      <c r="AO587" s="47"/>
      <c r="AP587" s="47"/>
    </row>
    <row r="588" spans="1:42">
      <c r="A588" s="3"/>
      <c r="B588" s="171">
        <v>310.39299999999997</v>
      </c>
      <c r="C588" s="157">
        <v>19.497050320757548</v>
      </c>
      <c r="D588" s="206">
        <v>130.03872000000001</v>
      </c>
      <c r="E588" s="206" t="s">
        <v>1125</v>
      </c>
      <c r="F588" s="157">
        <v>5.4275398731642497</v>
      </c>
      <c r="G588" s="70"/>
      <c r="H588" s="70"/>
      <c r="I588" s="157"/>
      <c r="J588" s="70"/>
      <c r="K588" s="70"/>
      <c r="L588" s="191">
        <v>16.554112499140729</v>
      </c>
      <c r="M588" s="323">
        <v>-99.692940717856132</v>
      </c>
      <c r="N588" s="180" t="s">
        <v>1126</v>
      </c>
      <c r="O588" s="191">
        <v>20.909459241498503</v>
      </c>
      <c r="P588" s="323">
        <v>111.53555650000001</v>
      </c>
      <c r="Q588" s="180" t="s">
        <v>1407</v>
      </c>
      <c r="R588" s="191">
        <v>1.2495010438102512</v>
      </c>
      <c r="S588" s="323">
        <v>3.0459800000000197</v>
      </c>
      <c r="T588" s="180" t="s">
        <v>1407</v>
      </c>
      <c r="U588" s="145">
        <v>0.95729606751286955</v>
      </c>
      <c r="V588" s="177">
        <v>11.674199918450622</v>
      </c>
      <c r="W588" s="460" t="s">
        <v>1126</v>
      </c>
      <c r="X588" s="145">
        <v>0.70761485022640003</v>
      </c>
      <c r="Y588" s="177">
        <v>4.53043</v>
      </c>
      <c r="Z588" s="460" t="s">
        <v>1466</v>
      </c>
      <c r="AA588" s="145">
        <v>1.5732788178599999</v>
      </c>
      <c r="AB588" s="225">
        <v>8.3004155216663111E-5</v>
      </c>
      <c r="AC588" s="177">
        <v>-7.4751449999999995</v>
      </c>
      <c r="AD588" s="222" t="s">
        <v>1709</v>
      </c>
      <c r="AE588" s="145">
        <v>1.12157662093334</v>
      </c>
      <c r="AF588" s="177">
        <v>-5.2016836299999998</v>
      </c>
      <c r="AG588" s="365" t="s">
        <v>1126</v>
      </c>
      <c r="AH588" s="145">
        <v>0.49479830659342028</v>
      </c>
      <c r="AI588" s="177">
        <v>-3.4681112513075787</v>
      </c>
      <c r="AJ588" s="464">
        <v>0.84359419493109877</v>
      </c>
      <c r="AK588" s="362" t="s">
        <v>1466</v>
      </c>
      <c r="AL588" s="145">
        <v>0.41549270720149983</v>
      </c>
      <c r="AM588" s="154">
        <v>2.2989564999999992</v>
      </c>
      <c r="AN588" s="155" t="s">
        <v>2610</v>
      </c>
      <c r="AO588" s="47"/>
      <c r="AP588" s="47"/>
    </row>
    <row r="589" spans="1:42">
      <c r="A589" s="3"/>
      <c r="B589" s="171"/>
      <c r="C589" s="3"/>
      <c r="D589" s="4"/>
      <c r="E589" s="4"/>
      <c r="F589" s="3"/>
      <c r="G589" s="4"/>
      <c r="H589" s="4"/>
      <c r="I589" s="3"/>
      <c r="J589" s="4"/>
      <c r="K589" s="4"/>
      <c r="L589" s="3"/>
      <c r="M589" s="323">
        <v>-110.87063799999999</v>
      </c>
      <c r="N589" s="180" t="s">
        <v>1408</v>
      </c>
      <c r="O589" s="3"/>
      <c r="P589" s="323">
        <v>105.34029875079176</v>
      </c>
      <c r="Q589" s="180" t="s">
        <v>1126</v>
      </c>
      <c r="R589" s="3"/>
      <c r="S589" s="323">
        <v>5.6473580329356281</v>
      </c>
      <c r="T589" s="180" t="s">
        <v>1126</v>
      </c>
      <c r="U589" s="100"/>
      <c r="V589" s="177">
        <v>10.2638</v>
      </c>
      <c r="W589" s="460" t="s">
        <v>1466</v>
      </c>
      <c r="X589" s="100"/>
      <c r="Y589" s="177">
        <v>4.7695797400000002</v>
      </c>
      <c r="Z589" s="460" t="s">
        <v>1126</v>
      </c>
      <c r="AA589" s="100"/>
      <c r="AB589" s="462">
        <v>2.4490681132632299E-4</v>
      </c>
      <c r="AC589" s="177">
        <v>-7.0052439700000004</v>
      </c>
      <c r="AD589" s="460" t="s">
        <v>1126</v>
      </c>
      <c r="AE589" s="100"/>
      <c r="AF589" s="177">
        <v>-5.2580609222708015</v>
      </c>
      <c r="AG589" s="460" t="s">
        <v>1125</v>
      </c>
      <c r="AH589" s="100"/>
      <c r="AI589" s="177">
        <v>-1.633154020000001</v>
      </c>
      <c r="AJ589" s="465">
        <v>7.2236700107266447</v>
      </c>
      <c r="AK589" s="460" t="s">
        <v>1126</v>
      </c>
      <c r="AL589" s="84"/>
      <c r="AM589" s="177" t="s">
        <v>2705</v>
      </c>
      <c r="AN589" s="460" t="s">
        <v>1126</v>
      </c>
      <c r="AO589" s="47"/>
      <c r="AP589" s="47"/>
    </row>
    <row r="590" spans="1:42">
      <c r="A590" s="3"/>
      <c r="B590" s="171"/>
      <c r="C590" s="3"/>
      <c r="D590" s="4"/>
      <c r="E590" s="4"/>
      <c r="F590" s="3"/>
      <c r="G590" s="4"/>
      <c r="H590" s="4"/>
      <c r="I590" s="3"/>
      <c r="J590" s="4"/>
      <c r="K590" s="4"/>
      <c r="L590" s="115"/>
      <c r="M590" s="4"/>
      <c r="N590" s="4"/>
      <c r="O590" s="3"/>
      <c r="P590" s="4"/>
      <c r="Q590" s="4"/>
      <c r="R590" s="3"/>
      <c r="S590" s="9"/>
      <c r="T590" s="4"/>
      <c r="U590" s="100"/>
      <c r="V590" s="177">
        <v>12.124755907324818</v>
      </c>
      <c r="W590" s="460" t="s">
        <v>1125</v>
      </c>
      <c r="X590" s="100"/>
      <c r="Y590" s="177">
        <v>4.8899999999999997</v>
      </c>
      <c r="Z590" s="460" t="s">
        <v>1125</v>
      </c>
      <c r="AA590" s="100"/>
      <c r="AB590" s="225">
        <v>2.4699999999999917E-4</v>
      </c>
      <c r="AC590" s="177">
        <v>-7.0015478805922884</v>
      </c>
      <c r="AD590" s="460" t="s">
        <v>1125</v>
      </c>
      <c r="AE590" s="100"/>
      <c r="AF590" s="177">
        <v>-6.2569449999999991</v>
      </c>
      <c r="AG590" s="460" t="s">
        <v>1710</v>
      </c>
      <c r="AH590" s="100"/>
      <c r="AI590" s="177">
        <v>-1.6500000000000008</v>
      </c>
      <c r="AJ590" s="466">
        <v>6.9488337036364118</v>
      </c>
      <c r="AK590" s="460" t="s">
        <v>1125</v>
      </c>
      <c r="AL590" s="84"/>
      <c r="AM590" s="154">
        <v>2.610070166148045</v>
      </c>
      <c r="AN590" s="155" t="s">
        <v>2611</v>
      </c>
      <c r="AO590" s="47"/>
      <c r="AP590" s="47"/>
    </row>
    <row r="591" spans="1:42">
      <c r="A591" s="3"/>
      <c r="B591" s="171"/>
      <c r="C591" s="3"/>
      <c r="D591" s="4"/>
      <c r="E591" s="4"/>
      <c r="F591" s="3"/>
      <c r="G591" s="4"/>
      <c r="H591" s="4"/>
      <c r="I591" s="3"/>
      <c r="J591" s="4"/>
      <c r="K591" s="4"/>
      <c r="L591" s="115"/>
      <c r="M591" s="4"/>
      <c r="N591" s="4"/>
      <c r="O591" s="3"/>
      <c r="P591" s="4"/>
      <c r="Q591" s="4"/>
      <c r="R591" s="3"/>
      <c r="S591" s="9"/>
      <c r="T591" s="4"/>
      <c r="U591" s="100"/>
      <c r="V591" s="177">
        <v>12.261259999999998</v>
      </c>
      <c r="W591" s="460" t="s">
        <v>1705</v>
      </c>
      <c r="X591" s="100"/>
      <c r="Y591" s="177">
        <v>4.7707150000000009</v>
      </c>
      <c r="Z591" s="460" t="s">
        <v>1707</v>
      </c>
      <c r="AA591" s="100"/>
      <c r="AB591" s="461">
        <v>2.0199999999999912E-5</v>
      </c>
      <c r="AC591" s="177">
        <v>-8.0888934644053307</v>
      </c>
      <c r="AD591" s="460" t="s">
        <v>1465</v>
      </c>
      <c r="AE591" s="100"/>
      <c r="AF591" s="177">
        <v>-3.1811145854059903</v>
      </c>
      <c r="AG591" s="460" t="s">
        <v>1465</v>
      </c>
      <c r="AH591" s="100"/>
      <c r="AI591" s="177">
        <v>1.2017622789388505</v>
      </c>
      <c r="AJ591" s="467">
        <v>4939.3999999999996</v>
      </c>
      <c r="AK591" s="460" t="s">
        <v>1467</v>
      </c>
      <c r="AL591" s="84"/>
      <c r="AM591" s="47"/>
      <c r="AN591" s="45"/>
      <c r="AO591" s="47"/>
      <c r="AP591" s="47"/>
    </row>
    <row r="592" spans="1:42">
      <c r="A592" s="3"/>
      <c r="B592" s="171"/>
      <c r="C592" s="3"/>
      <c r="D592" s="4"/>
      <c r="E592" s="4"/>
      <c r="F592" s="3"/>
      <c r="G592" s="4"/>
      <c r="H592" s="4"/>
      <c r="I592" s="3"/>
      <c r="J592" s="4"/>
      <c r="K592" s="4"/>
      <c r="L592" s="115"/>
      <c r="M592" s="4"/>
      <c r="N592" s="4"/>
      <c r="O592" s="3"/>
      <c r="P592" s="4"/>
      <c r="Q592" s="4"/>
      <c r="R592" s="3"/>
      <c r="S592" s="9"/>
      <c r="T592" s="4"/>
      <c r="U592" s="100"/>
      <c r="V592" s="177">
        <v>12.730649999999999</v>
      </c>
      <c r="W592" s="460" t="s">
        <v>1706</v>
      </c>
      <c r="X592" s="8"/>
      <c r="Y592" s="177">
        <v>4.7563300000000002</v>
      </c>
      <c r="Z592" s="460" t="s">
        <v>1708</v>
      </c>
      <c r="AA592" s="47"/>
      <c r="AB592" s="462">
        <v>2.0153441174999955E-3</v>
      </c>
      <c r="AC592" s="177">
        <v>-6.0898956218008351</v>
      </c>
      <c r="AD592" s="460" t="s">
        <v>1466</v>
      </c>
      <c r="AE592" s="13"/>
      <c r="AF592" s="177">
        <v>-4.4721253097043263</v>
      </c>
      <c r="AG592" s="460" t="s">
        <v>1466</v>
      </c>
      <c r="AH592" s="84"/>
      <c r="AI592" s="177">
        <v>0.6890736623231728</v>
      </c>
      <c r="AJ592" s="464">
        <v>1517.0000000000005</v>
      </c>
      <c r="AK592" s="460" t="s">
        <v>1468</v>
      </c>
      <c r="AL592" s="84"/>
      <c r="AM592" s="47"/>
      <c r="AN592" s="45"/>
      <c r="AO592" s="47"/>
      <c r="AP592" s="47"/>
    </row>
    <row r="593" spans="1:42">
      <c r="A593" s="3"/>
      <c r="B593" s="171"/>
      <c r="C593" s="3"/>
      <c r="D593" s="4"/>
      <c r="E593" s="4"/>
      <c r="F593" s="3"/>
      <c r="G593" s="4"/>
      <c r="H593" s="4"/>
      <c r="I593" s="3"/>
      <c r="J593" s="4"/>
      <c r="K593" s="4"/>
      <c r="L593" s="115"/>
      <c r="M593" s="4"/>
      <c r="N593" s="4"/>
      <c r="O593" s="3"/>
      <c r="P593" s="4"/>
      <c r="Q593" s="4"/>
      <c r="R593" s="3"/>
      <c r="S593" s="9"/>
      <c r="T593" s="4"/>
      <c r="U593" s="100"/>
      <c r="V593" s="177">
        <v>12.597</v>
      </c>
      <c r="W593" s="460" t="s">
        <v>1465</v>
      </c>
      <c r="X593" s="8"/>
      <c r="Y593" s="177">
        <v>4.51</v>
      </c>
      <c r="Z593" s="460" t="s">
        <v>1465</v>
      </c>
      <c r="AA593" s="47"/>
      <c r="AB593" s="47"/>
      <c r="AC593" s="47"/>
      <c r="AD593" s="45"/>
      <c r="AE593" s="13"/>
      <c r="AF593" s="9"/>
      <c r="AG593" s="326"/>
      <c r="AH593" s="47"/>
      <c r="AI593" s="47"/>
      <c r="AJ593" s="47"/>
      <c r="AK593" s="45"/>
      <c r="AL593" s="84"/>
      <c r="AM593" s="47"/>
      <c r="AN593" s="45"/>
      <c r="AO593" s="47"/>
      <c r="AP593" s="47"/>
    </row>
    <row r="594" spans="1:42">
      <c r="A594" s="3"/>
      <c r="B594" s="171"/>
      <c r="C594" s="3"/>
      <c r="D594" s="4"/>
      <c r="E594" s="4"/>
      <c r="F594" s="3"/>
      <c r="G594" s="4"/>
      <c r="H594" s="4"/>
      <c r="I594" s="3"/>
      <c r="J594" s="4"/>
      <c r="K594" s="4"/>
      <c r="L594" s="115"/>
      <c r="M594" s="4"/>
      <c r="N594" s="4"/>
      <c r="O594" s="3"/>
      <c r="P594" s="4"/>
      <c r="Q594" s="4"/>
      <c r="R594" s="3"/>
      <c r="S594" s="4"/>
      <c r="T594" s="4"/>
      <c r="U594" s="100"/>
      <c r="V594" s="15"/>
      <c r="W594" s="320"/>
      <c r="Y594" s="8"/>
      <c r="Z594" s="45"/>
      <c r="AA594" s="47"/>
      <c r="AB594" s="47"/>
      <c r="AC594" s="47"/>
      <c r="AD594" s="45"/>
      <c r="AF594" s="6"/>
      <c r="AG594" s="7"/>
      <c r="AI594" s="47"/>
      <c r="AJ594" s="47"/>
      <c r="AK594" s="45"/>
      <c r="AL594" s="84"/>
      <c r="AM594" s="47"/>
      <c r="AN594" s="45"/>
      <c r="AO594" s="47"/>
      <c r="AP594" s="47"/>
    </row>
    <row r="595" spans="1:42">
      <c r="A595" s="3" t="s">
        <v>146</v>
      </c>
      <c r="B595" s="4" t="s">
        <v>147</v>
      </c>
      <c r="C595" s="157">
        <v>104.04428743784001</v>
      </c>
      <c r="D595" s="30">
        <v>104.04428743784001</v>
      </c>
      <c r="E595" s="30" t="s">
        <v>1126</v>
      </c>
      <c r="F595" s="187">
        <v>6.0135759891440017</v>
      </c>
      <c r="G595" s="318">
        <v>6.0135759891440017</v>
      </c>
      <c r="H595" s="70" t="s">
        <v>1126</v>
      </c>
      <c r="I595" s="187"/>
      <c r="J595" s="318">
        <v>6.4736074288558285</v>
      </c>
      <c r="K595" s="70" t="s">
        <v>1126</v>
      </c>
      <c r="L595" s="191">
        <v>-97.570680008984183</v>
      </c>
      <c r="M595" s="276">
        <v>-97.570680008984183</v>
      </c>
      <c r="N595" s="13" t="s">
        <v>2792</v>
      </c>
      <c r="O595" s="187">
        <v>95.871147899999997</v>
      </c>
      <c r="P595" s="318">
        <v>95.871147899999997</v>
      </c>
      <c r="Q595" s="70" t="s">
        <v>2793</v>
      </c>
      <c r="R595" s="187">
        <v>2.0442639999999894</v>
      </c>
      <c r="S595" s="491">
        <v>2.0442639999999894</v>
      </c>
      <c r="T595" s="13" t="s">
        <v>2793</v>
      </c>
      <c r="U595" s="145">
        <v>10.750580198896976</v>
      </c>
      <c r="V595" s="15">
        <v>10.750580198896976</v>
      </c>
      <c r="W595" s="320" t="s">
        <v>2792</v>
      </c>
      <c r="X595" s="145">
        <v>6.27664913</v>
      </c>
      <c r="Y595" s="15">
        <v>6.27664913</v>
      </c>
      <c r="Z595" s="320" t="s">
        <v>2792</v>
      </c>
      <c r="AA595" s="145">
        <v>-3.6227189999999996</v>
      </c>
      <c r="AB595" s="371">
        <v>0.59091611496313645</v>
      </c>
      <c r="AC595" s="15">
        <v>-3.6227189999999996</v>
      </c>
      <c r="AD595" s="320" t="s">
        <v>2870</v>
      </c>
      <c r="AE595" s="145">
        <v>-3.9726426500000009</v>
      </c>
      <c r="AF595" s="15">
        <v>-3.9726426500000009</v>
      </c>
      <c r="AG595" s="320" t="s">
        <v>2792</v>
      </c>
      <c r="AH595" s="145">
        <v>-2.9464181700000007</v>
      </c>
      <c r="AI595" s="15">
        <v>-2.9464181700000007</v>
      </c>
      <c r="AJ595" s="229">
        <v>0.3285359722478462</v>
      </c>
      <c r="AK595" s="320" t="s">
        <v>2792</v>
      </c>
      <c r="AL595" s="145">
        <v>3.5162542999999982</v>
      </c>
      <c r="AM595" s="15">
        <v>3.5162542999999982</v>
      </c>
      <c r="AN595" s="320" t="s">
        <v>2871</v>
      </c>
      <c r="AO595" s="47"/>
      <c r="AP595" s="47"/>
    </row>
    <row r="596" spans="1:42">
      <c r="A596" s="3"/>
      <c r="B596" s="171">
        <v>290.40300000000002</v>
      </c>
      <c r="C596" s="157">
        <v>18.574922591990138</v>
      </c>
      <c r="D596" s="206">
        <v>111.96384</v>
      </c>
      <c r="E596" s="206" t="s">
        <v>1125</v>
      </c>
      <c r="F596" s="157">
        <v>8.4357241260514222</v>
      </c>
      <c r="G596" s="70"/>
      <c r="H596" s="70"/>
      <c r="I596" s="157"/>
      <c r="J596" s="70"/>
      <c r="K596" s="70"/>
      <c r="L596" s="191">
        <v>16.201708986171834</v>
      </c>
      <c r="M596" s="323">
        <v>-97.570680008984183</v>
      </c>
      <c r="N596" s="180" t="s">
        <v>1126</v>
      </c>
      <c r="O596" s="191">
        <v>17.972868225665099</v>
      </c>
      <c r="P596" s="323">
        <v>95.871147899999997</v>
      </c>
      <c r="Q596" s="180" t="s">
        <v>1407</v>
      </c>
      <c r="R596" s="191">
        <v>0.8385839702899196</v>
      </c>
      <c r="S596" s="323">
        <v>2.0442639999999894</v>
      </c>
      <c r="T596" s="180" t="s">
        <v>1407</v>
      </c>
      <c r="U596" s="145">
        <v>0.881558326889751</v>
      </c>
      <c r="V596" s="177">
        <v>10.750580198896976</v>
      </c>
      <c r="W596" s="460" t="s">
        <v>1126</v>
      </c>
      <c r="X596" s="145">
        <v>0.93120366492679996</v>
      </c>
      <c r="Y596" s="177">
        <v>5.2001099999999996</v>
      </c>
      <c r="Z596" s="460" t="s">
        <v>1466</v>
      </c>
      <c r="AA596" s="145">
        <v>0.76246642249199992</v>
      </c>
      <c r="AB596" s="225">
        <v>0.59091611496313645</v>
      </c>
      <c r="AC596" s="177">
        <v>-3.6227189999999996</v>
      </c>
      <c r="AD596" s="222" t="s">
        <v>1709</v>
      </c>
      <c r="AE596" s="145">
        <v>0.85657326290770019</v>
      </c>
      <c r="AF596" s="177">
        <v>-3.9726426500000009</v>
      </c>
      <c r="AG596" s="365" t="s">
        <v>1126</v>
      </c>
      <c r="AH596" s="145">
        <v>0.89267925938307024</v>
      </c>
      <c r="AI596" s="177">
        <v>-1.2801733694654889</v>
      </c>
      <c r="AJ596" s="464">
        <v>130.03835422217998</v>
      </c>
      <c r="AK596" s="362" t="s">
        <v>1466</v>
      </c>
      <c r="AL596" s="145">
        <v>0.63549615589329966</v>
      </c>
      <c r="AM596" s="154">
        <v>3.5162542999999982</v>
      </c>
      <c r="AN596" s="155" t="s">
        <v>2610</v>
      </c>
      <c r="AO596" s="47"/>
      <c r="AP596" s="47"/>
    </row>
    <row r="597" spans="1:42">
      <c r="A597" s="3"/>
      <c r="B597" s="171"/>
      <c r="C597" s="157"/>
      <c r="D597" s="206"/>
      <c r="E597" s="206"/>
      <c r="F597" s="157"/>
      <c r="G597" s="70"/>
      <c r="H597" s="70"/>
      <c r="I597" s="157"/>
      <c r="J597" s="70"/>
      <c r="K597" s="70"/>
      <c r="L597" s="191"/>
      <c r="M597" s="323">
        <v>-96.211821200000003</v>
      </c>
      <c r="N597" s="180" t="s">
        <v>1408</v>
      </c>
      <c r="O597" s="191"/>
      <c r="P597" s="323">
        <v>98.03071144869601</v>
      </c>
      <c r="Q597" s="180" t="s">
        <v>1126</v>
      </c>
      <c r="R597" s="3"/>
      <c r="S597" s="323">
        <v>0.46003143971182681</v>
      </c>
      <c r="T597" s="180" t="s">
        <v>1126</v>
      </c>
      <c r="U597" s="100"/>
      <c r="V597" s="177">
        <v>8.5178399999999996</v>
      </c>
      <c r="W597" s="460" t="s">
        <v>1466</v>
      </c>
      <c r="X597" s="100"/>
      <c r="Y597" s="177">
        <v>6.27664913</v>
      </c>
      <c r="Z597" s="460" t="s">
        <v>1126</v>
      </c>
      <c r="AA597" s="100"/>
      <c r="AB597" s="462">
        <v>8.5362393492236885E-2</v>
      </c>
      <c r="AC597" s="177">
        <v>-4.4629782499999999</v>
      </c>
      <c r="AD597" s="460" t="s">
        <v>1126</v>
      </c>
      <c r="AE597" s="100"/>
      <c r="AF597" s="177">
        <v>-3.7011469235902932</v>
      </c>
      <c r="AG597" s="460" t="s">
        <v>1125</v>
      </c>
      <c r="AH597" s="100"/>
      <c r="AI597" s="177">
        <v>-2.9464181700000007</v>
      </c>
      <c r="AJ597" s="465">
        <v>0.3285359722478462</v>
      </c>
      <c r="AK597" s="460" t="s">
        <v>1126</v>
      </c>
      <c r="AL597" s="84"/>
      <c r="AM597" s="177">
        <v>3.4430050523538993</v>
      </c>
      <c r="AN597" s="460" t="s">
        <v>1126</v>
      </c>
      <c r="AO597" s="47"/>
      <c r="AP597" s="47"/>
    </row>
    <row r="598" spans="1:42">
      <c r="A598" s="3"/>
      <c r="B598" s="171"/>
      <c r="C598" s="157"/>
      <c r="D598" s="206"/>
      <c r="E598" s="206"/>
      <c r="F598" s="157"/>
      <c r="G598" s="70"/>
      <c r="H598" s="70"/>
      <c r="I598" s="157"/>
      <c r="J598" s="70"/>
      <c r="K598" s="70"/>
      <c r="L598" s="191"/>
      <c r="M598" s="323"/>
      <c r="N598" s="180"/>
      <c r="O598" s="191"/>
      <c r="P598" s="318"/>
      <c r="Q598" s="70"/>
      <c r="R598" s="3"/>
      <c r="S598" s="9"/>
      <c r="T598" s="4"/>
      <c r="U598" s="100"/>
      <c r="V598" s="177">
        <v>10.436754855841835</v>
      </c>
      <c r="W598" s="460" t="s">
        <v>1125</v>
      </c>
      <c r="X598" s="100"/>
      <c r="Y598" s="177">
        <v>6</v>
      </c>
      <c r="Z598" s="460" t="s">
        <v>1125</v>
      </c>
      <c r="AA598" s="100"/>
      <c r="AB598" s="225">
        <v>0.22999999999999957</v>
      </c>
      <c r="AC598" s="177">
        <v>-4.0325169978343611</v>
      </c>
      <c r="AD598" s="460" t="s">
        <v>1125</v>
      </c>
      <c r="AE598" s="100"/>
      <c r="AF598" s="177">
        <v>-3.851039000000001</v>
      </c>
      <c r="AG598" s="460" t="s">
        <v>1710</v>
      </c>
      <c r="AH598" s="100"/>
      <c r="AI598" s="177">
        <v>-3.0600000000000005</v>
      </c>
      <c r="AJ598" s="466">
        <v>0.25293043941401527</v>
      </c>
      <c r="AK598" s="460" t="s">
        <v>1125</v>
      </c>
      <c r="AL598" s="84"/>
      <c r="AM598" s="154">
        <v>2.8374561661480424</v>
      </c>
      <c r="AN598" s="155" t="s">
        <v>2611</v>
      </c>
      <c r="AO598" s="47"/>
      <c r="AP598" s="47"/>
    </row>
    <row r="599" spans="1:42">
      <c r="A599" s="3"/>
      <c r="B599" s="171"/>
      <c r="C599" s="157"/>
      <c r="D599" s="206"/>
      <c r="E599" s="206"/>
      <c r="F599" s="157"/>
      <c r="G599" s="70"/>
      <c r="H599" s="70"/>
      <c r="I599" s="157"/>
      <c r="J599" s="70"/>
      <c r="K599" s="70"/>
      <c r="L599" s="191"/>
      <c r="M599" s="323"/>
      <c r="N599" s="180"/>
      <c r="O599" s="191"/>
      <c r="P599" s="318"/>
      <c r="Q599" s="70"/>
      <c r="R599" s="3"/>
      <c r="S599" s="9"/>
      <c r="T599" s="4"/>
      <c r="U599" s="100"/>
      <c r="V599" s="177">
        <v>10.082739999999998</v>
      </c>
      <c r="W599" s="460" t="s">
        <v>1705</v>
      </c>
      <c r="X599" s="100"/>
      <c r="Y599" s="177">
        <v>6.0750130000000002</v>
      </c>
      <c r="Z599" s="460" t="s">
        <v>1707</v>
      </c>
      <c r="AA599" s="100"/>
      <c r="AB599" s="461">
        <v>0.1799999999999998</v>
      </c>
      <c r="AC599" s="177">
        <v>-4.1389723287486477</v>
      </c>
      <c r="AD599" s="460" t="s">
        <v>1465</v>
      </c>
      <c r="AE599" s="100"/>
      <c r="AF599" s="177">
        <v>-2.0052430554123717</v>
      </c>
      <c r="AG599" s="460" t="s">
        <v>1465</v>
      </c>
      <c r="AH599" s="100"/>
      <c r="AI599" s="177">
        <v>-0.30705808054628825</v>
      </c>
      <c r="AJ599" s="467">
        <v>143.19999999999999</v>
      </c>
      <c r="AK599" s="460" t="s">
        <v>1467</v>
      </c>
      <c r="AL599" s="84"/>
      <c r="AM599" s="47"/>
      <c r="AN599" s="45"/>
      <c r="AO599" s="47"/>
      <c r="AP599" s="47"/>
    </row>
    <row r="600" spans="1:42">
      <c r="A600" s="3"/>
      <c r="B600" s="171"/>
      <c r="C600" s="157"/>
      <c r="D600" s="206"/>
      <c r="E600" s="206"/>
      <c r="F600" s="157"/>
      <c r="G600" s="70"/>
      <c r="H600" s="70"/>
      <c r="I600" s="157"/>
      <c r="J600" s="70"/>
      <c r="K600" s="70"/>
      <c r="L600" s="191"/>
      <c r="M600" s="323"/>
      <c r="N600" s="180"/>
      <c r="O600" s="191"/>
      <c r="P600" s="318"/>
      <c r="Q600" s="70"/>
      <c r="R600" s="3"/>
      <c r="S600" s="9"/>
      <c r="T600" s="4"/>
      <c r="U600" s="100"/>
      <c r="V600" s="177">
        <v>10.141150000000001</v>
      </c>
      <c r="W600" s="460" t="s">
        <v>1706</v>
      </c>
      <c r="X600" s="8"/>
      <c r="Y600" s="177">
        <v>6.322805999999999</v>
      </c>
      <c r="Z600" s="460" t="s">
        <v>1708</v>
      </c>
      <c r="AA600" s="47"/>
      <c r="AB600" s="462">
        <v>1.0873692374999976E-2</v>
      </c>
      <c r="AC600" s="177">
        <v>-5.3578677915325743</v>
      </c>
      <c r="AD600" s="460" t="s">
        <v>1466</v>
      </c>
      <c r="AE600" s="13"/>
      <c r="AF600" s="177">
        <v>-3.1424326690321327</v>
      </c>
      <c r="AG600" s="460" t="s">
        <v>1466</v>
      </c>
      <c r="AH600" s="84"/>
      <c r="AI600" s="177">
        <v>-0.27323014217125119</v>
      </c>
      <c r="AJ600" s="464">
        <v>154.79999999999998</v>
      </c>
      <c r="AK600" s="460" t="s">
        <v>1468</v>
      </c>
      <c r="AL600" s="84"/>
      <c r="AM600" s="47"/>
      <c r="AN600" s="45"/>
      <c r="AO600" s="47"/>
      <c r="AP600" s="47"/>
    </row>
    <row r="601" spans="1:42">
      <c r="A601" s="58"/>
      <c r="B601" s="59" t="s">
        <v>20</v>
      </c>
      <c r="C601" s="58"/>
      <c r="D601" s="59"/>
      <c r="E601" s="59"/>
      <c r="F601" s="58"/>
      <c r="G601" s="59"/>
      <c r="H601" s="59"/>
      <c r="I601" s="58"/>
      <c r="J601" s="59"/>
      <c r="K601" s="59"/>
      <c r="L601" s="58"/>
      <c r="M601" s="59"/>
      <c r="N601" s="282"/>
      <c r="O601" s="58"/>
      <c r="P601" s="59"/>
      <c r="Q601" s="59"/>
      <c r="R601" s="58"/>
      <c r="S601" s="236"/>
      <c r="T601" s="59"/>
      <c r="U601" s="237"/>
      <c r="V601" s="471">
        <v>9.9380000000000006</v>
      </c>
      <c r="W601" s="472" t="s">
        <v>1465</v>
      </c>
      <c r="X601" s="24"/>
      <c r="Y601" s="471">
        <v>5.8</v>
      </c>
      <c r="Z601" s="472" t="s">
        <v>1465</v>
      </c>
      <c r="AA601" s="89"/>
      <c r="AB601" s="89"/>
      <c r="AC601" s="89"/>
      <c r="AD601" s="72"/>
      <c r="AE601" s="374"/>
      <c r="AF601" s="236"/>
      <c r="AG601" s="459"/>
      <c r="AH601" s="89"/>
      <c r="AI601" s="89"/>
      <c r="AJ601" s="89"/>
      <c r="AK601" s="72"/>
      <c r="AL601" s="92"/>
      <c r="AM601" s="89"/>
      <c r="AN601" s="72"/>
      <c r="AO601" s="47"/>
      <c r="AP601" s="47"/>
    </row>
    <row r="602" spans="1:42">
      <c r="A602" s="25"/>
      <c r="B602" s="25"/>
      <c r="C602" s="91"/>
      <c r="D602" s="25"/>
      <c r="E602" s="25"/>
      <c r="F602" s="4"/>
      <c r="G602" s="4"/>
      <c r="H602" s="4"/>
      <c r="I602" s="4"/>
      <c r="J602" s="4"/>
      <c r="K602" s="4"/>
      <c r="L602" s="4"/>
      <c r="M602" s="4"/>
      <c r="N602" s="4"/>
      <c r="O602" s="25"/>
      <c r="P602" s="25"/>
      <c r="Q602" s="4"/>
      <c r="R602" s="25"/>
      <c r="S602" s="4"/>
      <c r="T602" s="4"/>
      <c r="W602" s="52"/>
      <c r="X602" s="52"/>
      <c r="Y602" s="52"/>
      <c r="Z602" s="52"/>
      <c r="AA602" s="52"/>
      <c r="AB602" s="52"/>
      <c r="AC602" s="52"/>
      <c r="AD602" s="52"/>
      <c r="AE602" s="6"/>
      <c r="AF602" s="6"/>
      <c r="AG602" s="6"/>
      <c r="AH602" s="52"/>
      <c r="AI602" s="52"/>
      <c r="AJ602" s="52"/>
      <c r="AK602" s="52"/>
      <c r="AL602" s="52"/>
      <c r="AM602" s="52"/>
      <c r="AN602" s="52"/>
      <c r="AO602" s="52"/>
      <c r="AP602" s="52"/>
    </row>
    <row r="603" spans="1:42">
      <c r="A603" s="27" t="s">
        <v>995</v>
      </c>
      <c r="B603" s="25"/>
      <c r="C603" s="25"/>
      <c r="D603" s="25"/>
      <c r="E603" s="25"/>
      <c r="F603" s="4"/>
      <c r="G603" s="4"/>
      <c r="H603" s="4"/>
      <c r="I603" s="4"/>
      <c r="J603" s="4"/>
      <c r="K603" s="4"/>
      <c r="L603" s="4"/>
      <c r="M603" s="4"/>
      <c r="N603" s="4"/>
      <c r="O603" s="25"/>
      <c r="P603" s="25"/>
      <c r="Q603" s="4"/>
      <c r="R603" s="25"/>
      <c r="S603" s="4"/>
      <c r="T603" s="4"/>
      <c r="AE603" s="6"/>
      <c r="AF603" s="6"/>
      <c r="AG603" s="6"/>
    </row>
    <row r="604" spans="1:42">
      <c r="A604" s="27" t="s">
        <v>148</v>
      </c>
      <c r="B604" s="25"/>
      <c r="C604" s="25"/>
      <c r="D604" s="25"/>
      <c r="E604" s="25"/>
      <c r="F604" s="4"/>
      <c r="G604" s="4"/>
      <c r="H604" s="4"/>
      <c r="I604" s="4"/>
      <c r="J604" s="4"/>
      <c r="K604" s="4"/>
      <c r="L604" s="4"/>
      <c r="M604" s="4"/>
      <c r="N604" s="4"/>
      <c r="O604" s="25"/>
      <c r="P604" s="25"/>
      <c r="Q604" s="4"/>
      <c r="R604" s="25"/>
      <c r="S604" s="4" t="s">
        <v>2791</v>
      </c>
      <c r="T604" s="4"/>
      <c r="AE604" s="6"/>
      <c r="AF604" s="6"/>
      <c r="AG604" s="6"/>
    </row>
    <row r="605" spans="1:42">
      <c r="A605" s="27"/>
      <c r="B605" s="25"/>
      <c r="C605" s="25"/>
      <c r="D605" s="25"/>
      <c r="E605" s="25" t="s">
        <v>1126</v>
      </c>
      <c r="F605" s="4"/>
      <c r="G605" s="25"/>
      <c r="H605" s="4" t="s">
        <v>1126</v>
      </c>
      <c r="I605" s="4"/>
      <c r="J605" s="4"/>
      <c r="K605" s="4" t="s">
        <v>1126</v>
      </c>
      <c r="L605" s="4"/>
      <c r="M605" s="25" t="s">
        <v>1126</v>
      </c>
      <c r="N605" s="4"/>
      <c r="O605" s="25"/>
      <c r="P605" s="120" t="s">
        <v>1408</v>
      </c>
      <c r="Q605" s="120"/>
      <c r="R605" s="25"/>
      <c r="S605" s="25" t="s">
        <v>2612</v>
      </c>
      <c r="T605" s="4"/>
      <c r="V605" s="25" t="s">
        <v>2612</v>
      </c>
      <c r="Y605" s="25" t="s">
        <v>2612</v>
      </c>
      <c r="AC605" s="25" t="s">
        <v>2612</v>
      </c>
      <c r="AE605" s="6"/>
      <c r="AF605" s="25" t="s">
        <v>2612</v>
      </c>
      <c r="AG605" s="6"/>
      <c r="AJ605" s="25" t="s">
        <v>2612</v>
      </c>
      <c r="AL605" s="25"/>
      <c r="AM605" s="25" t="s">
        <v>2612</v>
      </c>
    </row>
    <row r="606" spans="1:42">
      <c r="B606" s="27" t="s">
        <v>590</v>
      </c>
      <c r="C606" s="27"/>
      <c r="D606" t="s">
        <v>1400</v>
      </c>
      <c r="E606" s="61"/>
      <c r="F606" s="9"/>
      <c r="G606"/>
      <c r="H606" s="61"/>
      <c r="I606" s="9"/>
      <c r="J606"/>
      <c r="K606" s="61"/>
      <c r="L606" s="9"/>
      <c r="M606" s="61"/>
      <c r="N606" s="9"/>
      <c r="O606" s="27"/>
      <c r="P606" s="61"/>
      <c r="Q606" s="61"/>
      <c r="R606" s="27"/>
      <c r="S606" s="61"/>
      <c r="T606" s="9"/>
      <c r="V606" s="61"/>
      <c r="Y606" s="61"/>
      <c r="AC606" s="61"/>
      <c r="AE606" s="6"/>
      <c r="AF606" s="61"/>
      <c r="AG606" s="6"/>
      <c r="AJ606" s="61"/>
      <c r="AM606" s="61"/>
    </row>
    <row r="607" spans="1:42">
      <c r="B607" s="27" t="s">
        <v>594</v>
      </c>
      <c r="C607" s="27"/>
      <c r="D607" s="314" t="s">
        <v>1401</v>
      </c>
      <c r="E607" s="316">
        <v>0.180731</v>
      </c>
      <c r="F607" s="9"/>
      <c r="G607" s="314"/>
      <c r="H607" s="316">
        <v>1.4027799999999999</v>
      </c>
      <c r="I607" s="9"/>
      <c r="J607" s="314"/>
      <c r="K607" s="316">
        <v>1.4380004318072268</v>
      </c>
      <c r="L607" s="9"/>
      <c r="M607" s="316">
        <v>0.19084499999999999</v>
      </c>
      <c r="N607" s="9"/>
      <c r="O607" s="27"/>
      <c r="P607" s="316">
        <v>0.187469</v>
      </c>
      <c r="Q607" s="316"/>
      <c r="R607" s="27" t="s">
        <v>2741</v>
      </c>
      <c r="S607" s="316">
        <v>0.410213147758765</v>
      </c>
      <c r="T607" s="9"/>
      <c r="V607" s="316">
        <v>9.2547500000000005E-2</v>
      </c>
      <c r="Y607" s="316">
        <v>0.18606800000000001</v>
      </c>
      <c r="AC607" s="316">
        <v>0.33119900000000002</v>
      </c>
      <c r="AE607" s="6"/>
      <c r="AF607" s="316">
        <v>0.29370099999999999</v>
      </c>
      <c r="AG607" s="6"/>
      <c r="AJ607" s="316">
        <v>0.25888867738299987</v>
      </c>
      <c r="AM607" s="316">
        <v>0.15408941169730311</v>
      </c>
      <c r="AN607" s="40" t="s">
        <v>2856</v>
      </c>
    </row>
    <row r="608" spans="1:42">
      <c r="B608" s="315" t="s">
        <v>1402</v>
      </c>
      <c r="C608" s="27"/>
      <c r="D608" s="315" t="s">
        <v>1400</v>
      </c>
      <c r="E608" s="317"/>
      <c r="F608" s="9"/>
      <c r="G608" s="315"/>
      <c r="H608" s="317"/>
      <c r="I608" s="9"/>
      <c r="J608" s="315"/>
      <c r="K608" s="317"/>
      <c r="L608" s="9"/>
      <c r="M608" s="317"/>
      <c r="N608" s="9"/>
      <c r="O608" s="27"/>
      <c r="P608" s="317"/>
      <c r="Q608" s="317"/>
      <c r="R608" s="27"/>
      <c r="S608" s="317"/>
      <c r="T608" s="9"/>
      <c r="V608" s="317"/>
      <c r="Y608" s="317"/>
      <c r="AC608" s="317"/>
      <c r="AE608" s="6"/>
      <c r="AF608" s="317"/>
      <c r="AG608" s="6"/>
      <c r="AJ608" s="317"/>
      <c r="AM608" s="317"/>
    </row>
    <row r="609" spans="2:42">
      <c r="B609" s="314" t="s">
        <v>1402</v>
      </c>
      <c r="C609" s="27"/>
      <c r="D609" s="314" t="s">
        <v>1401</v>
      </c>
      <c r="E609" s="316">
        <v>0.253104</v>
      </c>
      <c r="F609" s="67"/>
      <c r="G609" s="314"/>
      <c r="H609" s="316">
        <v>0.843333</v>
      </c>
      <c r="I609" s="67"/>
      <c r="J609" s="314"/>
      <c r="K609" s="316">
        <v>0.94549720701810469</v>
      </c>
      <c r="L609" s="67"/>
      <c r="M609" s="316">
        <v>0.32798699999999997</v>
      </c>
      <c r="N609" s="67"/>
      <c r="O609" s="34"/>
      <c r="P609" s="316">
        <v>0.168408</v>
      </c>
      <c r="Q609" s="316"/>
      <c r="R609" s="34"/>
      <c r="S609" s="316">
        <v>1.8739870000000001</v>
      </c>
      <c r="T609" s="67"/>
      <c r="V609" s="316">
        <v>0.13131799999999999</v>
      </c>
      <c r="Y609" s="316">
        <v>0.141873</v>
      </c>
      <c r="AC609" s="316">
        <v>0.42371599999999998</v>
      </c>
      <c r="AE609" s="6"/>
      <c r="AF609" s="316">
        <v>0.70528800000000003</v>
      </c>
      <c r="AG609" s="6"/>
      <c r="AJ609" s="316">
        <v>0.44711000000000001</v>
      </c>
      <c r="AM609" s="316">
        <v>0.15408941169730311</v>
      </c>
    </row>
    <row r="610" spans="2:42">
      <c r="B610" s="315" t="s">
        <v>1020</v>
      </c>
      <c r="C610" s="27"/>
      <c r="D610" s="315" t="s">
        <v>1400</v>
      </c>
      <c r="E610" s="317"/>
      <c r="F610" s="67"/>
      <c r="G610" s="315"/>
      <c r="H610" s="317"/>
      <c r="I610" s="67"/>
      <c r="J610" s="315"/>
      <c r="K610" s="317"/>
      <c r="L610" s="67"/>
      <c r="M610" s="317"/>
      <c r="N610" s="67"/>
      <c r="O610" s="34"/>
      <c r="P610" s="317"/>
      <c r="Q610" s="317"/>
      <c r="R610" s="34"/>
      <c r="S610" s="317"/>
      <c r="T610" s="67"/>
      <c r="V610" s="317"/>
      <c r="Y610" s="317"/>
      <c r="AC610" s="317"/>
      <c r="AE610" s="6"/>
      <c r="AF610" s="317"/>
      <c r="AG610" s="6"/>
      <c r="AJ610" s="317"/>
      <c r="AM610" s="317" t="s">
        <v>20</v>
      </c>
    </row>
    <row r="611" spans="2:42">
      <c r="B611" s="314" t="s">
        <v>1020</v>
      </c>
      <c r="C611" s="27"/>
      <c r="D611" s="314" t="s">
        <v>1401</v>
      </c>
      <c r="E611" s="316">
        <v>0.232297</v>
      </c>
      <c r="F611" s="67"/>
      <c r="G611" s="314"/>
      <c r="H611" s="316">
        <v>1.4027799999999999</v>
      </c>
      <c r="I611" s="67"/>
      <c r="J611" s="314"/>
      <c r="K611" s="316">
        <v>1.2735428664989019</v>
      </c>
      <c r="L611" s="67"/>
      <c r="M611" s="316">
        <v>0.30935200000000002</v>
      </c>
      <c r="N611" s="67"/>
      <c r="O611" s="34"/>
      <c r="P611" s="316"/>
      <c r="Q611" s="316"/>
      <c r="R611" s="34"/>
      <c r="S611" s="316">
        <v>0.410213147758765</v>
      </c>
      <c r="T611" s="67"/>
      <c r="V611" s="316">
        <v>9.2547500000000005E-2</v>
      </c>
      <c r="Y611" s="316">
        <v>0.18606800000000001</v>
      </c>
      <c r="AC611" s="316">
        <v>0.33119900000000002</v>
      </c>
      <c r="AE611" s="6"/>
      <c r="AF611" s="316">
        <v>0.29370099999999999</v>
      </c>
      <c r="AG611" s="6"/>
      <c r="AJ611" s="316">
        <v>0.25888867738299987</v>
      </c>
      <c r="AM611" s="316">
        <v>0.15408941169730311</v>
      </c>
    </row>
    <row r="612" spans="2:42">
      <c r="B612" s="315" t="s">
        <v>1021</v>
      </c>
      <c r="C612" s="27"/>
      <c r="D612" s="315" t="s">
        <v>1400</v>
      </c>
      <c r="E612" s="317"/>
      <c r="F612" s="67"/>
      <c r="G612" s="315"/>
      <c r="H612" s="317"/>
      <c r="I612" s="67"/>
      <c r="J612" s="315"/>
      <c r="K612" s="317"/>
      <c r="L612" s="67"/>
      <c r="M612" s="317"/>
      <c r="N612" s="67"/>
      <c r="O612" s="34"/>
      <c r="P612" s="317"/>
      <c r="Q612" s="317"/>
      <c r="R612" s="34"/>
      <c r="S612" s="317"/>
      <c r="T612" s="67"/>
      <c r="V612" s="317"/>
      <c r="Y612" s="317"/>
      <c r="AC612" s="317"/>
      <c r="AE612" s="6"/>
      <c r="AF612" s="317"/>
      <c r="AG612" s="6"/>
      <c r="AJ612" s="317"/>
      <c r="AM612" s="317"/>
    </row>
    <row r="613" spans="2:42">
      <c r="B613" s="314" t="s">
        <v>1021</v>
      </c>
      <c r="C613" s="27"/>
      <c r="D613" s="314" t="s">
        <v>1401</v>
      </c>
      <c r="E613" s="316">
        <v>0.13610900000000001</v>
      </c>
      <c r="F613" s="67"/>
      <c r="G613" s="314"/>
      <c r="H613" s="316">
        <v>0.63456699999999999</v>
      </c>
      <c r="I613" s="67"/>
      <c r="J613" s="314"/>
      <c r="K613" s="316">
        <v>2.3257568072102961</v>
      </c>
      <c r="L613" s="67"/>
      <c r="M613" s="316">
        <v>0.15098200000000001</v>
      </c>
      <c r="N613" s="67"/>
      <c r="O613" s="34"/>
      <c r="P613" s="316">
        <v>0.21603900000000001</v>
      </c>
      <c r="Q613" s="316"/>
      <c r="R613" s="34"/>
      <c r="S613" s="316">
        <v>0.410213147758765</v>
      </c>
      <c r="T613" s="67"/>
      <c r="V613" s="316">
        <v>3.4798000000000003E-2</v>
      </c>
      <c r="Y613" s="316">
        <v>0.12637899999999999</v>
      </c>
      <c r="AC613" s="316">
        <v>0.12637899999999999</v>
      </c>
      <c r="AE613" s="6"/>
      <c r="AF613" s="316">
        <v>0.102779</v>
      </c>
      <c r="AG613" s="6"/>
      <c r="AJ613" s="316">
        <v>0.15859400000000001</v>
      </c>
      <c r="AM613" s="316">
        <v>9.9528000000000005E-2</v>
      </c>
    </row>
    <row r="614" spans="2:42">
      <c r="B614" s="315" t="s">
        <v>1022</v>
      </c>
      <c r="C614" s="27"/>
      <c r="D614" s="315" t="s">
        <v>1400</v>
      </c>
      <c r="E614" s="317"/>
      <c r="F614" s="67"/>
      <c r="G614" s="315"/>
      <c r="H614" s="317"/>
      <c r="I614" s="67"/>
      <c r="J614" s="315"/>
      <c r="K614" s="317"/>
      <c r="L614" s="67"/>
      <c r="M614" s="317"/>
      <c r="N614" s="67"/>
      <c r="O614" s="34"/>
      <c r="P614" s="317"/>
      <c r="Q614" s="317"/>
      <c r="R614" s="34"/>
      <c r="S614" s="317"/>
      <c r="T614" s="67"/>
      <c r="V614" s="317"/>
      <c r="Y614" s="317"/>
      <c r="AC614" s="317"/>
      <c r="AE614" s="6"/>
      <c r="AF614" s="317"/>
      <c r="AG614" s="6"/>
      <c r="AJ614" s="317"/>
      <c r="AM614" s="317"/>
    </row>
    <row r="615" spans="2:42">
      <c r="B615" s="314" t="s">
        <v>1022</v>
      </c>
      <c r="C615" s="27"/>
      <c r="D615" s="314" t="s">
        <v>1401</v>
      </c>
      <c r="E615" s="316">
        <v>0.21340100000000001</v>
      </c>
      <c r="F615" s="67"/>
      <c r="G615" s="314"/>
      <c r="H615" s="316">
        <v>1.4027799999999999</v>
      </c>
      <c r="I615" s="67"/>
      <c r="J615" s="314"/>
      <c r="K615" s="316">
        <v>3.8948740242445101</v>
      </c>
      <c r="L615" s="67"/>
      <c r="M615" s="316">
        <v>0.109057</v>
      </c>
      <c r="N615" s="67"/>
      <c r="O615" s="34"/>
      <c r="P615" s="316"/>
      <c r="Q615" s="316"/>
      <c r="R615" s="34"/>
      <c r="S615" s="316">
        <v>0.410213147758765</v>
      </c>
      <c r="T615" s="67"/>
      <c r="V615" s="316">
        <v>6.6040000000000001E-2</v>
      </c>
      <c r="Y615" s="316">
        <v>0.46596300000000002</v>
      </c>
      <c r="AC615" s="316">
        <v>0.283273</v>
      </c>
      <c r="AE615" s="6"/>
      <c r="AF615" s="316">
        <v>0.22448499999999999</v>
      </c>
      <c r="AG615" s="6"/>
      <c r="AJ615" s="316">
        <v>0.87570499999999996</v>
      </c>
      <c r="AM615" s="316">
        <v>0.15408941169730311</v>
      </c>
    </row>
    <row r="616" spans="2:42">
      <c r="B616" s="315" t="s">
        <v>1023</v>
      </c>
      <c r="C616" s="27"/>
      <c r="D616" s="315" t="s">
        <v>1400</v>
      </c>
      <c r="E616" s="317"/>
      <c r="F616" s="67"/>
      <c r="G616" s="315"/>
      <c r="H616" s="317"/>
      <c r="I616" s="67"/>
      <c r="J616" s="315"/>
      <c r="K616" s="317"/>
      <c r="L616" s="67"/>
      <c r="M616" s="317"/>
      <c r="N616" s="67"/>
      <c r="O616" s="34"/>
      <c r="P616" s="317"/>
      <c r="Q616" s="317"/>
      <c r="R616" s="34"/>
      <c r="S616" s="317"/>
      <c r="T616" s="67"/>
      <c r="V616" s="317"/>
      <c r="Y616" s="317"/>
      <c r="AC616" s="317"/>
      <c r="AE616" s="6"/>
      <c r="AF616" s="317"/>
      <c r="AG616" s="6"/>
      <c r="AJ616" s="317"/>
      <c r="AM616" s="317"/>
    </row>
    <row r="617" spans="2:42">
      <c r="B617" s="314" t="s">
        <v>1023</v>
      </c>
      <c r="C617" s="27"/>
      <c r="D617" s="314" t="s">
        <v>1401</v>
      </c>
      <c r="E617" s="316">
        <v>0.180731</v>
      </c>
      <c r="F617" s="67"/>
      <c r="G617" s="314"/>
      <c r="H617" s="316">
        <v>1.4027799999999999</v>
      </c>
      <c r="I617" s="67"/>
      <c r="J617" s="314"/>
      <c r="K617" s="316">
        <v>1.9582520936295102</v>
      </c>
      <c r="L617" s="67"/>
      <c r="M617" s="316">
        <v>0.19084499999999999</v>
      </c>
      <c r="N617" s="67"/>
      <c r="O617" s="34"/>
      <c r="P617" s="316">
        <v>0.187469</v>
      </c>
      <c r="Q617" s="316"/>
      <c r="R617" s="34"/>
      <c r="S617" s="316">
        <v>0.410213147758765</v>
      </c>
      <c r="T617" s="67"/>
      <c r="V617" s="316">
        <v>9.2547500000000005E-2</v>
      </c>
      <c r="Y617" s="316">
        <v>0.18606800000000001</v>
      </c>
      <c r="AC617" s="316">
        <v>0.33119900000000002</v>
      </c>
      <c r="AE617" s="6"/>
      <c r="AF617" s="316">
        <v>0.29370099999999999</v>
      </c>
      <c r="AG617" s="6"/>
      <c r="AJ617" s="316">
        <v>0.25888867738299987</v>
      </c>
      <c r="AM617" s="316">
        <v>0.15408941169730311</v>
      </c>
    </row>
    <row r="618" spans="2:42">
      <c r="B618" s="315" t="s">
        <v>1024</v>
      </c>
      <c r="C618" s="27"/>
      <c r="D618" s="315" t="s">
        <v>1400</v>
      </c>
      <c r="E618" s="317"/>
      <c r="F618" s="67"/>
      <c r="G618" s="315"/>
      <c r="H618" s="317"/>
      <c r="I618" s="67"/>
      <c r="J618" s="315"/>
      <c r="K618" s="317"/>
      <c r="L618" s="67"/>
      <c r="M618" s="317"/>
      <c r="N618" s="67"/>
      <c r="O618" s="34"/>
      <c r="P618" s="317"/>
      <c r="Q618" s="317"/>
      <c r="R618" s="34"/>
      <c r="S618" s="317"/>
      <c r="T618" s="67"/>
      <c r="V618" s="317"/>
      <c r="Y618" s="317"/>
      <c r="AC618" s="317"/>
      <c r="AE618" s="6"/>
      <c r="AF618" s="317"/>
      <c r="AG618" s="6"/>
      <c r="AJ618" s="317"/>
      <c r="AM618" s="317"/>
    </row>
    <row r="619" spans="2:42">
      <c r="B619" s="314" t="s">
        <v>1024</v>
      </c>
      <c r="C619" s="27"/>
      <c r="D619" s="314" t="s">
        <v>1401</v>
      </c>
      <c r="E619" s="316">
        <v>0.112992</v>
      </c>
      <c r="F619" s="67"/>
      <c r="G619" s="314"/>
      <c r="H619" s="316">
        <v>1.4027799999999999</v>
      </c>
      <c r="I619" s="67"/>
      <c r="J619" s="314"/>
      <c r="K619" s="316">
        <v>1.71124401918425</v>
      </c>
      <c r="L619" s="67"/>
      <c r="M619" s="316">
        <v>0.17052600000000001</v>
      </c>
      <c r="N619" s="67"/>
      <c r="O619" s="34"/>
      <c r="P619" s="316">
        <v>0.187469</v>
      </c>
      <c r="Q619" s="316"/>
      <c r="R619" s="34"/>
      <c r="S619" s="316">
        <v>0.410213147758765</v>
      </c>
      <c r="T619" s="67"/>
      <c r="V619" s="316">
        <v>2.6533999999999999E-2</v>
      </c>
      <c r="Y619" s="316">
        <v>7.0726999999999998E-2</v>
      </c>
      <c r="AC619" s="316">
        <v>0.11576500000000001</v>
      </c>
      <c r="AE619" s="6"/>
      <c r="AF619" s="316">
        <v>0.117406</v>
      </c>
      <c r="AG619" s="6"/>
      <c r="AJ619" s="316">
        <v>9.7961999999999994E-2</v>
      </c>
      <c r="AM619" s="316">
        <v>0</v>
      </c>
    </row>
    <row r="620" spans="2:42">
      <c r="B620" s="315" t="s">
        <v>1025</v>
      </c>
      <c r="C620" s="27"/>
      <c r="D620" s="315" t="s">
        <v>1400</v>
      </c>
      <c r="E620" s="317"/>
      <c r="F620" s="4"/>
      <c r="G620" s="315"/>
      <c r="H620" s="317"/>
      <c r="I620" s="4"/>
      <c r="J620" s="315"/>
      <c r="K620" s="317"/>
      <c r="L620" s="4"/>
      <c r="M620" s="317"/>
      <c r="N620" s="4"/>
      <c r="O620" s="25"/>
      <c r="P620" s="317"/>
      <c r="Q620" s="317"/>
      <c r="R620" s="25"/>
      <c r="S620" s="317"/>
      <c r="T620" s="4"/>
      <c r="V620" s="317"/>
      <c r="Y620" s="317"/>
      <c r="AC620" s="317"/>
      <c r="AE620" s="6"/>
      <c r="AF620" s="317"/>
      <c r="AG620" s="6"/>
      <c r="AJ620" s="317"/>
      <c r="AM620" s="317"/>
    </row>
    <row r="621" spans="2:42">
      <c r="B621" s="314" t="s">
        <v>1025</v>
      </c>
      <c r="C621" s="27"/>
      <c r="D621" s="314" t="s">
        <v>1401</v>
      </c>
      <c r="E621" s="316">
        <v>6.7359000000000002E-2</v>
      </c>
      <c r="F621" s="9"/>
      <c r="G621" s="314"/>
      <c r="H621" s="316">
        <v>0.61185599999999996</v>
      </c>
      <c r="I621" s="9"/>
      <c r="J621" s="314"/>
      <c r="K621" s="316">
        <v>1.005002325890648</v>
      </c>
      <c r="L621" s="9"/>
      <c r="M621" s="316">
        <v>9.1232999999999995E-2</v>
      </c>
      <c r="N621" s="9"/>
      <c r="O621" s="27"/>
      <c r="P621" s="316">
        <v>0.29891099999999998</v>
      </c>
      <c r="Q621" s="316"/>
      <c r="R621" s="27"/>
      <c r="S621" s="316">
        <v>0.410213147758765</v>
      </c>
      <c r="T621" s="9"/>
      <c r="V621" s="316">
        <v>2.7639E-2</v>
      </c>
      <c r="Y621" s="316">
        <v>7.0726999999999998E-2</v>
      </c>
      <c r="AC621" s="316">
        <v>0.22242500000000001</v>
      </c>
      <c r="AE621" s="6"/>
      <c r="AF621" s="316">
        <v>0.15535399999999999</v>
      </c>
      <c r="AG621" s="6"/>
      <c r="AJ621" s="316">
        <v>0.218334</v>
      </c>
      <c r="AM621" s="316">
        <v>0.117534</v>
      </c>
    </row>
    <row r="622" spans="2:42">
      <c r="B622" s="16" t="s">
        <v>2028</v>
      </c>
      <c r="D622" s="315" t="s">
        <v>1400</v>
      </c>
      <c r="E622" s="317"/>
      <c r="H622" s="316"/>
      <c r="V622" s="404" t="s">
        <v>20</v>
      </c>
      <c r="Y622" s="317" t="s">
        <v>20</v>
      </c>
      <c r="AC622" s="359"/>
      <c r="AF622" s="278"/>
      <c r="AJ622" s="359"/>
      <c r="AM622" s="359" t="s">
        <v>20</v>
      </c>
      <c r="AO622" s="1"/>
      <c r="AP622" s="1"/>
    </row>
    <row r="623" spans="2:42">
      <c r="B623" s="16" t="s">
        <v>2028</v>
      </c>
      <c r="D623" s="314" t="s">
        <v>1401</v>
      </c>
      <c r="E623" s="316">
        <v>0.10505399999999999</v>
      </c>
      <c r="H623" s="316">
        <v>1.4027799999999999</v>
      </c>
      <c r="M623" s="316">
        <v>0.19084499999999999</v>
      </c>
      <c r="P623" s="278">
        <v>0.187469</v>
      </c>
      <c r="S623" s="316">
        <v>0.410213147758765</v>
      </c>
      <c r="V623" s="404">
        <v>6.7835999999999994E-2</v>
      </c>
      <c r="Y623" s="316">
        <v>8.5111999999999993E-2</v>
      </c>
      <c r="AC623" s="359">
        <v>0.201934</v>
      </c>
      <c r="AF623" s="278">
        <v>0.15476000000000001</v>
      </c>
      <c r="AJ623" s="359">
        <v>0.27568799999999999</v>
      </c>
      <c r="AM623" s="359">
        <v>0.13161500000000001</v>
      </c>
      <c r="AO623" s="1"/>
      <c r="AP623" s="1"/>
    </row>
    <row r="624" spans="2:42">
      <c r="B624" s="315" t="s">
        <v>1026</v>
      </c>
      <c r="C624" s="27"/>
      <c r="D624" s="315" t="s">
        <v>1400</v>
      </c>
      <c r="E624" s="317"/>
      <c r="F624" s="9"/>
      <c r="G624" s="315"/>
      <c r="H624" s="317"/>
      <c r="I624" s="9"/>
      <c r="J624" s="315"/>
      <c r="K624" s="317">
        <v>4.3917896460480614</v>
      </c>
      <c r="L624" s="9"/>
      <c r="M624" s="317"/>
      <c r="N624" s="9"/>
      <c r="O624" s="27"/>
      <c r="P624" s="317"/>
      <c r="Q624" s="317"/>
      <c r="R624" s="27"/>
      <c r="S624" s="317"/>
      <c r="T624" s="9"/>
      <c r="V624" s="317"/>
      <c r="Y624" s="317"/>
      <c r="AC624" s="317"/>
      <c r="AE624" s="6"/>
      <c r="AF624" s="317"/>
      <c r="AG624" s="6"/>
      <c r="AJ624" s="317"/>
      <c r="AM624" s="317" t="s">
        <v>20</v>
      </c>
      <c r="AO624" s="1"/>
      <c r="AP624" s="1"/>
    </row>
    <row r="625" spans="2:42">
      <c r="B625" s="314" t="s">
        <v>1026</v>
      </c>
      <c r="C625" s="27"/>
      <c r="D625" s="314" t="s">
        <v>1401</v>
      </c>
      <c r="E625" s="316">
        <v>0.17852899999999999</v>
      </c>
      <c r="F625" s="9"/>
      <c r="G625" s="314"/>
      <c r="H625" s="316">
        <v>1.4027799999999999</v>
      </c>
      <c r="I625" s="9"/>
      <c r="J625" s="314"/>
      <c r="K625" s="316">
        <v>0.73868596969089506</v>
      </c>
      <c r="L625" s="9"/>
      <c r="M625" s="316">
        <v>0.166051</v>
      </c>
      <c r="N625" s="9"/>
      <c r="O625" s="27"/>
      <c r="P625" s="316">
        <v>0.187469</v>
      </c>
      <c r="Q625" s="316"/>
      <c r="R625" s="27"/>
      <c r="S625" s="316">
        <v>0.410213147758765</v>
      </c>
      <c r="T625" s="9"/>
      <c r="V625" s="316">
        <v>8.2001000000000004E-2</v>
      </c>
      <c r="Y625" s="316">
        <v>0.14835999999999999</v>
      </c>
      <c r="AC625" s="316">
        <v>0.21046799999999999</v>
      </c>
      <c r="AE625" s="6"/>
      <c r="AF625" s="316">
        <v>0.215618</v>
      </c>
      <c r="AG625" s="6"/>
      <c r="AJ625" s="316">
        <v>0.30297099999999999</v>
      </c>
      <c r="AM625" s="316">
        <v>0.15408941169730311</v>
      </c>
      <c r="AO625" s="1"/>
      <c r="AP625" s="1"/>
    </row>
    <row r="626" spans="2:42">
      <c r="B626" s="27"/>
      <c r="C626" s="27"/>
      <c r="D626" s="27"/>
      <c r="E626" s="27"/>
      <c r="F626" s="9"/>
      <c r="G626" s="9"/>
      <c r="H626" s="9"/>
      <c r="I626" s="9"/>
      <c r="J626" s="9"/>
      <c r="K626" s="9"/>
      <c r="L626" s="9"/>
      <c r="M626" s="9"/>
      <c r="N626" s="9"/>
      <c r="O626" s="27"/>
      <c r="P626" s="27"/>
      <c r="Q626" s="9"/>
      <c r="R626" s="27"/>
      <c r="S626" s="4"/>
      <c r="T626" s="9"/>
      <c r="AE626" s="6"/>
      <c r="AF626" s="6"/>
      <c r="AG626" s="6"/>
    </row>
    <row r="627" spans="2:42">
      <c r="B627" s="27"/>
      <c r="C627" s="27"/>
      <c r="D627" s="27"/>
      <c r="E627" s="27"/>
      <c r="F627" s="9"/>
      <c r="G627" s="9"/>
      <c r="H627" s="9"/>
      <c r="I627" s="9"/>
      <c r="J627" s="9"/>
      <c r="K627" s="9"/>
      <c r="L627" s="9"/>
      <c r="M627" s="9"/>
      <c r="N627" s="9"/>
      <c r="O627" s="27"/>
      <c r="P627" s="27"/>
      <c r="Q627" s="9"/>
      <c r="R627" s="27"/>
      <c r="S627" s="4"/>
      <c r="T627" s="9"/>
      <c r="AE627" s="6"/>
      <c r="AF627" s="6"/>
      <c r="AG627" s="6"/>
    </row>
    <row r="628" spans="2:42">
      <c r="B628" s="27"/>
      <c r="C628" s="27"/>
      <c r="D628" s="27"/>
      <c r="E628" s="27"/>
      <c r="F628" s="9"/>
      <c r="G628" s="9"/>
      <c r="H628" s="9"/>
      <c r="I628" s="9"/>
      <c r="J628" s="9"/>
      <c r="K628" s="9"/>
      <c r="L628" s="9"/>
      <c r="M628" s="9"/>
      <c r="N628" s="9"/>
      <c r="O628" s="27"/>
      <c r="P628" s="27"/>
      <c r="Q628" s="9"/>
      <c r="R628" s="27"/>
      <c r="S628" s="4"/>
      <c r="T628" s="9"/>
      <c r="AE628" s="6"/>
      <c r="AF628" s="6"/>
      <c r="AG628" s="6"/>
    </row>
    <row r="629" spans="2:42">
      <c r="B629" s="27"/>
      <c r="C629" s="27"/>
      <c r="D629" s="27"/>
      <c r="E629" s="27"/>
      <c r="F629" s="9"/>
      <c r="G629" s="9"/>
      <c r="H629" s="9"/>
      <c r="I629" s="9"/>
      <c r="J629" s="9"/>
      <c r="K629" s="9"/>
      <c r="L629" s="9"/>
      <c r="M629" s="9"/>
      <c r="N629" s="9"/>
      <c r="O629" s="27"/>
      <c r="P629" s="27"/>
      <c r="Q629" s="9"/>
      <c r="R629" s="27"/>
      <c r="S629" s="4"/>
      <c r="T629" s="9"/>
      <c r="AE629" s="6"/>
      <c r="AF629" s="6"/>
      <c r="AG629" s="6"/>
    </row>
    <row r="630" spans="2:42">
      <c r="B630" s="27"/>
      <c r="C630" s="27"/>
      <c r="D630" s="27"/>
      <c r="E630" s="27"/>
      <c r="F630" s="9"/>
      <c r="G630" s="9"/>
      <c r="H630" s="9"/>
      <c r="I630" s="9"/>
      <c r="J630" s="9"/>
      <c r="K630" s="9"/>
      <c r="L630" s="9"/>
      <c r="M630" s="9"/>
      <c r="N630" s="9"/>
      <c r="O630" s="27"/>
      <c r="P630" s="27"/>
      <c r="Q630" s="9"/>
      <c r="R630" s="27"/>
      <c r="S630" s="4"/>
      <c r="T630" s="9"/>
      <c r="AE630" s="6"/>
      <c r="AF630" s="6"/>
      <c r="AG630" s="6"/>
    </row>
    <row r="631" spans="2:42">
      <c r="B631" s="27"/>
      <c r="C631" s="27"/>
      <c r="D631" s="27"/>
      <c r="E631" s="27"/>
      <c r="F631" s="9"/>
      <c r="G631" s="9"/>
      <c r="H631" s="9"/>
      <c r="I631" s="9"/>
      <c r="J631" s="9"/>
      <c r="K631" s="9"/>
      <c r="L631" s="9"/>
      <c r="M631" s="9"/>
      <c r="N631" s="9"/>
      <c r="O631" s="27"/>
      <c r="P631" s="27"/>
      <c r="Q631" s="9"/>
      <c r="R631" s="27"/>
      <c r="S631" s="4"/>
      <c r="T631" s="9"/>
      <c r="AE631" s="6"/>
      <c r="AF631" s="6"/>
      <c r="AG631" s="6"/>
    </row>
    <row r="632" spans="2:42">
      <c r="B632" s="27"/>
      <c r="C632" s="27"/>
      <c r="D632" s="27"/>
      <c r="E632" s="27"/>
      <c r="F632" s="9"/>
      <c r="G632" s="9"/>
      <c r="H632" s="9"/>
      <c r="I632" s="9"/>
      <c r="J632" s="9"/>
      <c r="K632" s="9"/>
      <c r="L632" s="9"/>
      <c r="M632" s="9"/>
      <c r="N632" s="9"/>
      <c r="O632" s="27"/>
      <c r="P632" s="27"/>
      <c r="Q632" s="9"/>
      <c r="R632" s="27"/>
      <c r="S632" s="4"/>
      <c r="T632" s="9"/>
      <c r="AE632" s="6"/>
      <c r="AF632" s="6"/>
      <c r="AG632" s="6"/>
    </row>
    <row r="633" spans="2:42">
      <c r="B633" s="27"/>
      <c r="C633" s="27"/>
      <c r="D633" s="27"/>
      <c r="E633" s="27"/>
      <c r="F633" s="9"/>
      <c r="G633" s="9"/>
      <c r="H633" s="9"/>
      <c r="I633" s="9"/>
      <c r="J633" s="9"/>
      <c r="K633" s="9"/>
      <c r="L633" s="9"/>
      <c r="M633" s="9"/>
      <c r="N633" s="9"/>
      <c r="O633" s="27"/>
      <c r="P633" s="27"/>
      <c r="Q633" s="9"/>
      <c r="R633" s="27"/>
      <c r="S633" s="4"/>
      <c r="T633" s="9"/>
      <c r="AE633" s="6"/>
      <c r="AF633" s="6"/>
      <c r="AG633" s="6"/>
    </row>
    <row r="634" spans="2:42" s="43" customFormat="1">
      <c r="B634" s="54"/>
      <c r="C634" s="54"/>
      <c r="D634" s="54"/>
      <c r="E634" s="54"/>
      <c r="F634" s="68"/>
      <c r="G634" s="68"/>
      <c r="H634" s="68"/>
      <c r="I634" s="68"/>
      <c r="J634" s="68"/>
      <c r="K634" s="68"/>
      <c r="L634" s="68"/>
      <c r="M634" s="68"/>
      <c r="N634" s="68"/>
      <c r="O634" s="54"/>
      <c r="P634" s="54"/>
      <c r="Q634" s="68"/>
      <c r="R634" s="54"/>
      <c r="S634" s="19"/>
      <c r="T634" s="68"/>
      <c r="U634" s="103"/>
      <c r="V634" s="103"/>
      <c r="W634" s="40"/>
      <c r="X634" s="40"/>
      <c r="Y634" s="40"/>
      <c r="Z634" s="40"/>
      <c r="AA634" s="40"/>
      <c r="AB634" s="40"/>
      <c r="AC634" s="40"/>
      <c r="AD634" s="40"/>
      <c r="AE634" s="55"/>
      <c r="AF634" s="55"/>
      <c r="AG634" s="55"/>
      <c r="AH634" s="40"/>
      <c r="AI634" s="40"/>
      <c r="AJ634" s="40"/>
      <c r="AK634" s="40"/>
      <c r="AL634" s="40"/>
      <c r="AM634" s="40"/>
      <c r="AN634" s="40"/>
      <c r="AO634" s="40"/>
      <c r="AP634" s="40"/>
    </row>
    <row r="635" spans="2:42">
      <c r="B635" s="27"/>
      <c r="C635" s="27"/>
      <c r="D635" s="27"/>
      <c r="E635" s="27"/>
      <c r="F635" s="9"/>
      <c r="G635" s="9"/>
      <c r="H635" s="9"/>
      <c r="I635" s="9"/>
      <c r="J635" s="9"/>
      <c r="K635" s="9"/>
      <c r="L635" s="9"/>
      <c r="M635" s="9"/>
      <c r="N635" s="9"/>
      <c r="O635" s="27"/>
      <c r="P635" s="27"/>
      <c r="Q635" s="9"/>
      <c r="R635" s="27"/>
      <c r="S635" s="4"/>
      <c r="T635" s="9"/>
      <c r="AE635" s="6"/>
      <c r="AF635" s="6"/>
      <c r="AG635" s="6"/>
    </row>
    <row r="636" spans="2:42">
      <c r="B636" s="27"/>
      <c r="C636" s="27"/>
      <c r="D636" s="27"/>
      <c r="E636" s="27"/>
      <c r="F636" s="9"/>
      <c r="G636" s="9"/>
      <c r="H636" s="9"/>
      <c r="I636" s="9"/>
      <c r="J636" s="9"/>
      <c r="K636" s="9"/>
      <c r="L636" s="9"/>
      <c r="M636" s="9"/>
      <c r="N636" s="9"/>
      <c r="O636" s="27"/>
      <c r="P636" s="27"/>
      <c r="Q636" s="9"/>
      <c r="R636" s="27"/>
      <c r="S636" s="4"/>
      <c r="T636" s="9"/>
      <c r="AE636" s="6"/>
      <c r="AF636" s="6"/>
      <c r="AG636" s="6"/>
    </row>
    <row r="637" spans="2:42">
      <c r="B637" s="27"/>
      <c r="C637" s="53"/>
      <c r="D637" s="27"/>
      <c r="E637" s="27"/>
      <c r="F637" s="9"/>
      <c r="G637" s="9"/>
      <c r="H637" s="9"/>
      <c r="I637" s="9"/>
      <c r="J637" s="9"/>
      <c r="K637" s="9"/>
      <c r="L637" s="9"/>
      <c r="M637" s="9"/>
      <c r="N637" s="9"/>
      <c r="O637" s="27"/>
      <c r="P637" s="27"/>
      <c r="Q637" s="9"/>
      <c r="R637" s="27"/>
      <c r="S637" s="4"/>
      <c r="T637" s="9"/>
      <c r="AE637" s="6"/>
      <c r="AF637" s="6"/>
      <c r="AG637" s="6"/>
    </row>
    <row r="638" spans="2:42">
      <c r="B638" s="28"/>
      <c r="C638" s="28"/>
      <c r="D638" s="28"/>
      <c r="E638" s="28"/>
      <c r="F638" s="69"/>
      <c r="G638" s="69"/>
      <c r="H638" s="69"/>
      <c r="I638" s="69"/>
      <c r="J638" s="69"/>
      <c r="K638" s="69"/>
      <c r="L638" s="69"/>
      <c r="M638" s="69"/>
      <c r="N638" s="69"/>
      <c r="O638" s="28"/>
      <c r="P638" s="28"/>
      <c r="Q638" s="69"/>
      <c r="R638" s="28"/>
      <c r="S638" s="174"/>
      <c r="T638" s="69"/>
      <c r="AE638" s="6"/>
      <c r="AF638" s="6"/>
      <c r="AG638" s="6"/>
    </row>
    <row r="639" spans="2:42">
      <c r="B639" s="28"/>
      <c r="C639" s="28"/>
      <c r="D639" s="28"/>
      <c r="E639" s="28"/>
      <c r="F639" s="69"/>
      <c r="G639" s="69"/>
      <c r="H639" s="69"/>
      <c r="I639" s="69"/>
      <c r="J639" s="69"/>
      <c r="K639" s="69"/>
      <c r="L639" s="69"/>
      <c r="M639" s="69"/>
      <c r="N639" s="69"/>
      <c r="O639" s="28"/>
      <c r="P639" s="28"/>
      <c r="Q639" s="69"/>
      <c r="R639" s="28"/>
      <c r="S639" s="174"/>
      <c r="T639" s="69"/>
      <c r="AE639" s="6"/>
      <c r="AF639" s="6"/>
      <c r="AG639" s="6"/>
    </row>
    <row r="640" spans="2:42">
      <c r="B640" s="28"/>
      <c r="C640" s="28"/>
      <c r="D640" s="28"/>
      <c r="E640" s="28"/>
      <c r="F640" s="69"/>
      <c r="G640" s="69"/>
      <c r="H640" s="69"/>
      <c r="I640" s="69"/>
      <c r="J640" s="69"/>
      <c r="K640" s="69"/>
      <c r="L640" s="69"/>
      <c r="M640" s="69"/>
      <c r="N640" s="69"/>
      <c r="O640" s="28"/>
      <c r="P640" s="28"/>
      <c r="Q640" s="69"/>
      <c r="R640" s="28"/>
      <c r="S640" s="174"/>
      <c r="T640" s="69"/>
      <c r="AE640" s="6"/>
      <c r="AF640" s="6"/>
      <c r="AG640" s="6"/>
    </row>
    <row r="641" spans="2:33">
      <c r="B641" s="28"/>
      <c r="C641" s="28"/>
      <c r="D641" s="28"/>
      <c r="E641" s="28"/>
      <c r="F641" s="69"/>
      <c r="G641" s="69"/>
      <c r="H641" s="69"/>
      <c r="I641" s="69"/>
      <c r="J641" s="69"/>
      <c r="K641" s="69"/>
      <c r="L641" s="69"/>
      <c r="M641" s="69"/>
      <c r="N641" s="69"/>
      <c r="O641" s="28"/>
      <c r="P641" s="28"/>
      <c r="Q641" s="69"/>
      <c r="R641" s="28"/>
      <c r="S641" s="174"/>
      <c r="T641" s="69"/>
      <c r="AE641" s="6"/>
      <c r="AF641" s="6"/>
      <c r="AG641" s="6"/>
    </row>
    <row r="642" spans="2:33">
      <c r="B642" s="28"/>
      <c r="C642" s="28"/>
      <c r="D642" s="28"/>
      <c r="E642" s="28"/>
      <c r="F642" s="69"/>
      <c r="G642" s="69"/>
      <c r="H642" s="69"/>
      <c r="I642" s="69"/>
      <c r="J642" s="69"/>
      <c r="K642" s="69"/>
      <c r="L642" s="69"/>
      <c r="M642" s="69"/>
      <c r="N642" s="69"/>
      <c r="O642" s="28"/>
      <c r="P642" s="28"/>
      <c r="Q642" s="69"/>
      <c r="R642" s="28"/>
      <c r="S642" s="174"/>
      <c r="T642" s="69"/>
      <c r="AE642" s="6"/>
      <c r="AF642" s="6"/>
      <c r="AG642" s="6"/>
    </row>
    <row r="643" spans="2:33">
      <c r="B643" s="28"/>
      <c r="C643" s="28"/>
      <c r="D643" s="28"/>
      <c r="E643" s="28"/>
      <c r="F643" s="69"/>
      <c r="G643" s="69"/>
      <c r="H643" s="69"/>
      <c r="I643" s="69"/>
      <c r="J643" s="69"/>
      <c r="K643" s="69"/>
      <c r="L643" s="69"/>
      <c r="M643" s="69"/>
      <c r="N643" s="69"/>
      <c r="O643" s="28"/>
      <c r="P643" s="28"/>
      <c r="Q643" s="69"/>
      <c r="R643" s="28"/>
      <c r="S643" s="174"/>
      <c r="T643" s="69"/>
      <c r="AE643" s="6"/>
      <c r="AF643" s="6"/>
      <c r="AG643" s="6"/>
    </row>
    <row r="644" spans="2:33" s="40" customFormat="1">
      <c r="B644" s="28"/>
      <c r="C644" s="28"/>
      <c r="D644" s="28"/>
      <c r="E644" s="28"/>
      <c r="F644" s="69"/>
      <c r="G644" s="69"/>
      <c r="H644" s="69"/>
      <c r="I644" s="69"/>
      <c r="J644" s="69"/>
      <c r="K644" s="69"/>
      <c r="L644" s="69"/>
      <c r="M644" s="69"/>
      <c r="N644" s="69"/>
      <c r="O644" s="28"/>
      <c r="P644" s="28"/>
      <c r="Q644" s="69"/>
      <c r="R644" s="28"/>
      <c r="S644" s="174"/>
      <c r="T644" s="69"/>
      <c r="U644" s="52"/>
      <c r="V644" s="52"/>
      <c r="AE644" s="6"/>
      <c r="AF644" s="6"/>
      <c r="AG644" s="6"/>
    </row>
    <row r="645" spans="2:33" s="40" customFormat="1">
      <c r="B645" s="28"/>
      <c r="C645" s="28"/>
      <c r="D645" s="28"/>
      <c r="E645" s="28"/>
      <c r="F645" s="69"/>
      <c r="G645" s="69"/>
      <c r="H645" s="69"/>
      <c r="I645" s="69"/>
      <c r="J645" s="69"/>
      <c r="K645" s="69"/>
      <c r="L645" s="69"/>
      <c r="M645" s="69"/>
      <c r="N645" s="69"/>
      <c r="O645" s="28"/>
      <c r="P645" s="28"/>
      <c r="Q645" s="69"/>
      <c r="R645" s="28"/>
      <c r="S645" s="174"/>
      <c r="T645" s="69"/>
      <c r="U645" s="52"/>
      <c r="V645" s="52"/>
      <c r="AE645" s="6"/>
      <c r="AF645" s="6"/>
      <c r="AG645" s="6"/>
    </row>
    <row r="646" spans="2:33">
      <c r="B646" s="28"/>
      <c r="C646" s="28"/>
      <c r="D646" s="28"/>
      <c r="E646" s="28"/>
      <c r="F646" s="69"/>
      <c r="G646" s="69"/>
      <c r="H646" s="69"/>
      <c r="I646" s="69"/>
      <c r="J646" s="69"/>
      <c r="K646" s="69"/>
      <c r="L646" s="69"/>
      <c r="M646" s="69"/>
      <c r="N646" s="69"/>
      <c r="O646" s="28"/>
      <c r="P646" s="28"/>
      <c r="Q646" s="69"/>
      <c r="R646" s="28"/>
      <c r="S646" s="174"/>
      <c r="T646" s="69"/>
      <c r="AE646" s="6"/>
      <c r="AF646" s="6"/>
      <c r="AG646" s="6"/>
    </row>
    <row r="647" spans="2:33">
      <c r="B647" s="28"/>
      <c r="C647" s="28"/>
      <c r="D647" s="28"/>
      <c r="E647" s="28"/>
      <c r="F647" s="69"/>
      <c r="G647" s="69"/>
      <c r="H647" s="69"/>
      <c r="I647" s="69"/>
      <c r="J647" s="69"/>
      <c r="K647" s="69"/>
      <c r="L647" s="69"/>
      <c r="M647" s="69"/>
      <c r="N647" s="69"/>
      <c r="O647" s="28"/>
      <c r="P647" s="28"/>
      <c r="Q647" s="69"/>
      <c r="R647" s="28"/>
      <c r="S647" s="174"/>
      <c r="T647" s="69"/>
      <c r="AE647" s="6"/>
      <c r="AF647" s="6"/>
      <c r="AG647" s="6"/>
    </row>
    <row r="648" spans="2:33">
      <c r="B648" s="28"/>
      <c r="C648" s="28"/>
      <c r="D648" s="28"/>
      <c r="E648" s="28"/>
      <c r="F648" s="69"/>
      <c r="G648" s="69"/>
      <c r="H648" s="69"/>
      <c r="I648" s="69"/>
      <c r="J648" s="69"/>
      <c r="K648" s="69"/>
      <c r="L648" s="69"/>
      <c r="M648" s="69"/>
      <c r="N648" s="69"/>
      <c r="O648" s="28"/>
      <c r="P648" s="28"/>
      <c r="Q648" s="69"/>
      <c r="R648" s="28"/>
      <c r="S648" s="174"/>
      <c r="T648" s="69"/>
      <c r="AE648" s="6"/>
      <c r="AF648" s="6"/>
      <c r="AG648" s="6"/>
    </row>
    <row r="649" spans="2:33">
      <c r="B649" s="28"/>
      <c r="C649" s="28"/>
      <c r="D649" s="28"/>
      <c r="E649" s="28"/>
      <c r="F649" s="69"/>
      <c r="G649" s="69"/>
      <c r="H649" s="69"/>
      <c r="I649" s="69"/>
      <c r="J649" s="69"/>
      <c r="K649" s="69"/>
      <c r="L649" s="69"/>
      <c r="M649" s="69"/>
      <c r="N649" s="69"/>
      <c r="O649" s="28"/>
      <c r="P649" s="28"/>
      <c r="Q649" s="69"/>
      <c r="R649" s="28"/>
      <c r="S649" s="174"/>
      <c r="T649" s="69"/>
      <c r="AE649" s="6"/>
      <c r="AF649" s="6"/>
      <c r="AG649" s="6"/>
    </row>
    <row r="650" spans="2:33">
      <c r="B650" s="28"/>
      <c r="C650" s="28"/>
      <c r="D650" s="28"/>
      <c r="E650" s="28"/>
      <c r="F650" s="69"/>
      <c r="G650" s="69"/>
      <c r="H650" s="69"/>
      <c r="I650" s="69"/>
      <c r="J650" s="69"/>
      <c r="K650" s="69"/>
      <c r="L650" s="69"/>
      <c r="M650" s="69"/>
      <c r="N650" s="69"/>
      <c r="O650" s="28"/>
      <c r="P650" s="28"/>
      <c r="Q650" s="69"/>
      <c r="R650" s="28"/>
      <c r="S650" s="174"/>
      <c r="T650" s="69"/>
      <c r="AE650" s="6"/>
      <c r="AF650" s="6"/>
      <c r="AG650" s="6"/>
    </row>
    <row r="651" spans="2:33">
      <c r="B651" s="28"/>
      <c r="C651" s="28"/>
      <c r="D651" s="28"/>
      <c r="E651" s="28"/>
      <c r="F651" s="69"/>
      <c r="G651" s="69"/>
      <c r="H651" s="69"/>
      <c r="I651" s="69"/>
      <c r="J651" s="69"/>
      <c r="K651" s="69"/>
      <c r="L651" s="69"/>
      <c r="M651" s="69"/>
      <c r="N651" s="69"/>
      <c r="O651" s="28"/>
      <c r="P651" s="28"/>
      <c r="Q651" s="69"/>
      <c r="R651" s="28"/>
      <c r="S651" s="174"/>
      <c r="T651" s="69"/>
      <c r="AE651" s="6"/>
      <c r="AF651" s="6"/>
      <c r="AG651" s="6"/>
    </row>
    <row r="652" spans="2:33">
      <c r="B652" s="28"/>
      <c r="C652" s="28"/>
      <c r="D652" s="28"/>
      <c r="E652" s="28"/>
      <c r="F652" s="69"/>
      <c r="G652" s="69"/>
      <c r="H652" s="69"/>
      <c r="I652" s="69"/>
      <c r="J652" s="69"/>
      <c r="K652" s="69"/>
      <c r="L652" s="69"/>
      <c r="M652" s="69"/>
      <c r="N652" s="69"/>
      <c r="O652" s="28"/>
      <c r="P652" s="28"/>
      <c r="Q652" s="69"/>
      <c r="R652" s="28"/>
      <c r="S652" s="174"/>
      <c r="T652" s="69"/>
      <c r="AE652" s="6"/>
      <c r="AF652" s="6"/>
      <c r="AG652" s="6"/>
    </row>
    <row r="653" spans="2:33">
      <c r="B653" s="28"/>
      <c r="C653" s="28"/>
      <c r="D653" s="28"/>
      <c r="E653" s="28"/>
      <c r="F653" s="69"/>
      <c r="G653" s="69"/>
      <c r="H653" s="69"/>
      <c r="I653" s="69"/>
      <c r="J653" s="69"/>
      <c r="K653" s="69"/>
      <c r="L653" s="69"/>
      <c r="M653" s="69"/>
      <c r="N653" s="69"/>
      <c r="O653" s="28"/>
      <c r="P653" s="28"/>
      <c r="Q653" s="69"/>
      <c r="R653" s="28"/>
      <c r="S653" s="174"/>
      <c r="T653" s="69"/>
      <c r="AE653" s="6"/>
      <c r="AF653" s="6"/>
      <c r="AG653" s="6"/>
    </row>
    <row r="654" spans="2:33">
      <c r="B654" s="28"/>
      <c r="C654" s="28"/>
      <c r="D654" s="28"/>
      <c r="E654" s="28"/>
      <c r="F654" s="69"/>
      <c r="G654" s="69"/>
      <c r="H654" s="69"/>
      <c r="I654" s="69"/>
      <c r="J654" s="69"/>
      <c r="K654" s="69"/>
      <c r="L654" s="69"/>
      <c r="M654" s="69"/>
      <c r="N654" s="69"/>
      <c r="O654" s="28"/>
      <c r="P654" s="28"/>
      <c r="Q654" s="69"/>
      <c r="R654" s="28"/>
      <c r="S654" s="174"/>
      <c r="T654" s="69"/>
      <c r="AE654" s="6"/>
      <c r="AF654" s="6"/>
      <c r="AG654" s="6"/>
    </row>
    <row r="655" spans="2:33">
      <c r="B655" s="28"/>
      <c r="C655" s="28"/>
      <c r="D655" s="28"/>
      <c r="E655" s="28"/>
      <c r="F655" s="69"/>
      <c r="G655" s="69"/>
      <c r="H655" s="69"/>
      <c r="I655" s="69"/>
      <c r="J655" s="69"/>
      <c r="K655" s="69"/>
      <c r="L655" s="69"/>
      <c r="M655" s="69"/>
      <c r="N655" s="69"/>
      <c r="O655" s="28"/>
      <c r="P655" s="28"/>
      <c r="Q655" s="69"/>
      <c r="R655" s="28"/>
      <c r="S655" s="174"/>
      <c r="T655" s="69"/>
      <c r="AE655" s="6"/>
      <c r="AF655" s="6"/>
      <c r="AG655" s="6"/>
    </row>
    <row r="656" spans="2:33">
      <c r="B656" s="28"/>
      <c r="C656" s="28"/>
      <c r="D656" s="28"/>
      <c r="E656" s="28"/>
      <c r="F656" s="69"/>
      <c r="G656" s="69"/>
      <c r="H656" s="69"/>
      <c r="I656" s="69"/>
      <c r="J656" s="69"/>
      <c r="K656" s="69"/>
      <c r="L656" s="69"/>
      <c r="M656" s="69"/>
      <c r="N656" s="69"/>
      <c r="O656" s="28"/>
      <c r="P656" s="28"/>
      <c r="Q656" s="69"/>
      <c r="R656" s="28"/>
      <c r="S656" s="174"/>
      <c r="T656" s="69"/>
      <c r="AE656" s="6"/>
      <c r="AF656" s="6"/>
      <c r="AG656" s="6"/>
    </row>
    <row r="657" spans="2:33">
      <c r="B657" s="28"/>
      <c r="C657" s="28"/>
      <c r="D657" s="28"/>
      <c r="E657" s="28"/>
      <c r="F657" s="69"/>
      <c r="G657" s="69"/>
      <c r="H657" s="69"/>
      <c r="I657" s="69"/>
      <c r="J657" s="69"/>
      <c r="K657" s="69"/>
      <c r="L657" s="69"/>
      <c r="M657" s="69"/>
      <c r="N657" s="69"/>
      <c r="O657" s="28"/>
      <c r="P657" s="28"/>
      <c r="Q657" s="69"/>
      <c r="R657" s="28"/>
      <c r="S657" s="174"/>
      <c r="T657" s="69"/>
      <c r="AE657" s="6"/>
      <c r="AF657" s="6"/>
      <c r="AG657" s="6"/>
    </row>
    <row r="658" spans="2:33">
      <c r="B658" s="28"/>
      <c r="C658" s="28"/>
      <c r="D658" s="28"/>
      <c r="E658" s="28"/>
      <c r="F658" s="69"/>
      <c r="G658" s="69"/>
      <c r="H658" s="69"/>
      <c r="I658" s="69"/>
      <c r="J658" s="69"/>
      <c r="K658" s="69"/>
      <c r="L658" s="69"/>
      <c r="M658" s="69"/>
      <c r="N658" s="69"/>
      <c r="O658" s="28"/>
      <c r="P658" s="28"/>
      <c r="Q658" s="69"/>
      <c r="R658" s="28"/>
      <c r="S658" s="174"/>
      <c r="T658" s="69"/>
      <c r="AE658" s="6"/>
      <c r="AF658" s="6"/>
      <c r="AG658" s="6"/>
    </row>
    <row r="659" spans="2:33">
      <c r="B659" s="28"/>
      <c r="C659" s="28"/>
      <c r="D659" s="28"/>
      <c r="E659" s="28"/>
      <c r="F659" s="69"/>
      <c r="G659" s="69"/>
      <c r="H659" s="69"/>
      <c r="I659" s="69"/>
      <c r="J659" s="69"/>
      <c r="K659" s="69"/>
      <c r="L659" s="69"/>
      <c r="M659" s="69"/>
      <c r="N659" s="69"/>
      <c r="O659" s="28"/>
      <c r="P659" s="28"/>
      <c r="Q659" s="69"/>
      <c r="R659" s="28"/>
      <c r="S659" s="174"/>
      <c r="T659" s="69"/>
      <c r="AE659" s="6"/>
      <c r="AF659" s="6"/>
      <c r="AG659" s="6"/>
    </row>
    <row r="660" spans="2:33">
      <c r="B660" s="28"/>
      <c r="C660" s="28"/>
      <c r="D660" s="28"/>
      <c r="E660" s="28"/>
      <c r="F660" s="69"/>
      <c r="G660" s="69"/>
      <c r="H660" s="69"/>
      <c r="I660" s="69"/>
      <c r="J660" s="69"/>
      <c r="K660" s="69"/>
      <c r="L660" s="69"/>
      <c r="M660" s="69"/>
      <c r="N660" s="69"/>
      <c r="O660" s="28"/>
      <c r="P660" s="28"/>
      <c r="Q660" s="69"/>
      <c r="R660" s="28"/>
      <c r="S660" s="174"/>
      <c r="T660" s="69"/>
      <c r="AE660" s="6"/>
      <c r="AF660" s="6"/>
      <c r="AG660" s="6"/>
    </row>
    <row r="661" spans="2:33">
      <c r="B661" s="28"/>
      <c r="C661" s="28"/>
      <c r="D661" s="28"/>
      <c r="E661" s="28"/>
      <c r="F661" s="69"/>
      <c r="G661" s="69"/>
      <c r="H661" s="69"/>
      <c r="I661" s="69"/>
      <c r="J661" s="69"/>
      <c r="K661" s="69"/>
      <c r="L661" s="69"/>
      <c r="M661" s="69"/>
      <c r="N661" s="69"/>
      <c r="O661" s="28"/>
      <c r="P661" s="28"/>
      <c r="Q661" s="69"/>
      <c r="R661" s="28"/>
      <c r="S661" s="174"/>
      <c r="T661" s="69"/>
      <c r="AE661" s="6"/>
      <c r="AF661" s="6"/>
      <c r="AG661" s="6"/>
    </row>
    <row r="662" spans="2:33">
      <c r="B662" s="28"/>
      <c r="C662" s="28"/>
      <c r="D662" s="28"/>
      <c r="E662" s="28"/>
      <c r="F662" s="69"/>
      <c r="G662" s="69"/>
      <c r="H662" s="69"/>
      <c r="I662" s="69"/>
      <c r="J662" s="69"/>
      <c r="K662" s="69"/>
      <c r="L662" s="69"/>
      <c r="M662" s="69"/>
      <c r="N662" s="69"/>
      <c r="O662" s="28"/>
      <c r="P662" s="28"/>
      <c r="Q662" s="69"/>
      <c r="R662" s="28"/>
      <c r="S662" s="174"/>
      <c r="T662" s="69"/>
      <c r="AE662" s="6"/>
      <c r="AF662" s="6"/>
      <c r="AG662" s="6"/>
    </row>
    <row r="663" spans="2:33">
      <c r="B663" s="28"/>
      <c r="C663" s="28"/>
      <c r="D663" s="28"/>
      <c r="E663" s="28"/>
      <c r="F663" s="69"/>
      <c r="G663" s="69"/>
      <c r="H663" s="69"/>
      <c r="I663" s="69"/>
      <c r="J663" s="69"/>
      <c r="K663" s="69"/>
      <c r="L663" s="69"/>
      <c r="M663" s="69"/>
      <c r="N663" s="69"/>
      <c r="O663" s="28"/>
      <c r="P663" s="28"/>
      <c r="Q663" s="69"/>
      <c r="R663" s="28"/>
      <c r="S663" s="174"/>
      <c r="T663" s="69"/>
      <c r="AE663" s="6"/>
      <c r="AF663" s="6"/>
      <c r="AG663" s="6"/>
    </row>
  </sheetData>
  <mergeCells count="25">
    <mergeCell ref="A4:J5"/>
    <mergeCell ref="A537:AN537"/>
    <mergeCell ref="A113:AN113"/>
    <mergeCell ref="A225:AN225"/>
    <mergeCell ref="A329:AN329"/>
    <mergeCell ref="A345:AN345"/>
    <mergeCell ref="A385:AN385"/>
    <mergeCell ref="A177:AN177"/>
    <mergeCell ref="A457:AO457"/>
    <mergeCell ref="C6:T6"/>
    <mergeCell ref="U6:AD6"/>
    <mergeCell ref="AE6:AN6"/>
    <mergeCell ref="A9:AN9"/>
    <mergeCell ref="AH7:AK7"/>
    <mergeCell ref="U7:W7"/>
    <mergeCell ref="X7:Z7"/>
    <mergeCell ref="AA7:AD7"/>
    <mergeCell ref="AE7:AG7"/>
    <mergeCell ref="AL7:AN7"/>
    <mergeCell ref="R7:T7"/>
    <mergeCell ref="C7:E7"/>
    <mergeCell ref="F7:H7"/>
    <mergeCell ref="I7:K7"/>
    <mergeCell ref="L7:N7"/>
    <mergeCell ref="O7:Q7"/>
  </mergeCells>
  <pageMargins left="0.70866141732283472" right="0.70866141732283472" top="0.74803149606299213" bottom="0.74803149606299213" header="0.31496062992125984" footer="0.31496062992125984"/>
  <pageSetup scale="10" fitToHeight="2"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34A70-3F82-4F68-8839-3FCEA2ACFB24}">
  <sheetPr codeName="Sheet7"/>
  <dimension ref="A1:AT81"/>
  <sheetViews>
    <sheetView topLeftCell="A45" workbookViewId="0">
      <selection activeCell="B76" sqref="B76"/>
    </sheetView>
  </sheetViews>
  <sheetFormatPr defaultRowHeight="15"/>
  <cols>
    <col min="1" max="1" width="9.5703125" bestFit="1" customWidth="1"/>
    <col min="3" max="3" width="15.140625" customWidth="1"/>
    <col min="5" max="5" width="12" bestFit="1" customWidth="1"/>
    <col min="6" max="6" width="9.85546875" bestFit="1" customWidth="1"/>
  </cols>
  <sheetData>
    <row r="1" spans="1:46">
      <c r="C1" s="116" t="s">
        <v>1028</v>
      </c>
      <c r="D1">
        <v>2</v>
      </c>
      <c r="E1">
        <v>3</v>
      </c>
      <c r="F1">
        <v>3</v>
      </c>
      <c r="G1" s="63"/>
      <c r="H1">
        <v>6</v>
      </c>
      <c r="I1">
        <v>6</v>
      </c>
      <c r="J1" s="63"/>
      <c r="K1">
        <v>9</v>
      </c>
      <c r="L1">
        <v>9</v>
      </c>
      <c r="M1" s="63"/>
      <c r="N1">
        <v>12</v>
      </c>
      <c r="O1">
        <v>12</v>
      </c>
      <c r="P1" s="63"/>
      <c r="Q1">
        <v>15</v>
      </c>
      <c r="R1">
        <v>15</v>
      </c>
      <c r="S1" s="63"/>
      <c r="T1">
        <v>18</v>
      </c>
      <c r="U1">
        <v>18</v>
      </c>
      <c r="V1" s="63"/>
      <c r="W1">
        <v>21</v>
      </c>
      <c r="X1">
        <v>21</v>
      </c>
      <c r="Y1" s="63"/>
      <c r="Z1">
        <v>24</v>
      </c>
      <c r="AA1">
        <v>24</v>
      </c>
      <c r="AB1" s="63"/>
      <c r="AC1">
        <v>27</v>
      </c>
      <c r="AD1">
        <v>27</v>
      </c>
      <c r="AE1" s="63"/>
      <c r="AF1">
        <v>31</v>
      </c>
      <c r="AG1">
        <v>31</v>
      </c>
      <c r="AH1" s="63"/>
      <c r="AI1">
        <v>34</v>
      </c>
      <c r="AJ1">
        <v>34</v>
      </c>
      <c r="AK1" s="63"/>
      <c r="AL1">
        <v>38</v>
      </c>
      <c r="AM1">
        <v>38</v>
      </c>
      <c r="AN1" s="63"/>
      <c r="AO1">
        <v>42</v>
      </c>
      <c r="AP1">
        <v>42</v>
      </c>
      <c r="AQ1" s="63"/>
      <c r="AR1">
        <v>45</v>
      </c>
      <c r="AS1">
        <v>45</v>
      </c>
      <c r="AT1" s="63"/>
    </row>
    <row r="2" spans="1:46">
      <c r="A2" s="314" t="s">
        <v>1018</v>
      </c>
      <c r="B2" s="314" t="s">
        <v>1017</v>
      </c>
      <c r="C2" s="314" t="s">
        <v>1027</v>
      </c>
      <c r="D2" s="314" t="s">
        <v>1029</v>
      </c>
      <c r="E2" s="502" t="s">
        <v>3069</v>
      </c>
      <c r="F2" s="314" t="s">
        <v>3070</v>
      </c>
      <c r="G2" s="314" t="s">
        <v>3071</v>
      </c>
      <c r="H2" s="314" t="s">
        <v>3072</v>
      </c>
      <c r="I2" s="314" t="s">
        <v>3073</v>
      </c>
      <c r="J2" s="314" t="s">
        <v>3074</v>
      </c>
      <c r="K2" s="314" t="s">
        <v>3075</v>
      </c>
      <c r="L2" s="314" t="s">
        <v>3076</v>
      </c>
      <c r="M2" s="314" t="s">
        <v>3077</v>
      </c>
      <c r="N2" s="314" t="s">
        <v>3078</v>
      </c>
      <c r="O2" s="314" t="s">
        <v>3079</v>
      </c>
      <c r="P2" s="314" t="s">
        <v>3080</v>
      </c>
      <c r="Q2" s="314" t="s">
        <v>3081</v>
      </c>
      <c r="R2" s="314" t="s">
        <v>3082</v>
      </c>
      <c r="S2" s="314" t="s">
        <v>3083</v>
      </c>
      <c r="T2" s="314" t="s">
        <v>3084</v>
      </c>
      <c r="U2" s="314" t="s">
        <v>3085</v>
      </c>
      <c r="V2" s="314" t="s">
        <v>3086</v>
      </c>
      <c r="W2" s="314" t="s">
        <v>3087</v>
      </c>
      <c r="X2" s="314" t="s">
        <v>3088</v>
      </c>
      <c r="Y2" s="314" t="s">
        <v>3089</v>
      </c>
      <c r="Z2" s="314" t="s">
        <v>3090</v>
      </c>
      <c r="AA2" s="314" t="s">
        <v>3091</v>
      </c>
      <c r="AB2" s="314" t="s">
        <v>3092</v>
      </c>
      <c r="AC2" s="314" t="s">
        <v>3093</v>
      </c>
      <c r="AD2" s="314" t="s">
        <v>3094</v>
      </c>
      <c r="AE2" s="314" t="s">
        <v>3095</v>
      </c>
      <c r="AF2" s="314" t="s">
        <v>3096</v>
      </c>
      <c r="AG2" s="314" t="s">
        <v>3097</v>
      </c>
      <c r="AH2" s="314" t="s">
        <v>3098</v>
      </c>
      <c r="AI2" s="314" t="s">
        <v>3099</v>
      </c>
      <c r="AJ2" s="314" t="s">
        <v>3100</v>
      </c>
      <c r="AK2" s="314" t="s">
        <v>3101</v>
      </c>
      <c r="AL2" s="314" t="s">
        <v>3102</v>
      </c>
      <c r="AM2" s="314" t="s">
        <v>3103</v>
      </c>
      <c r="AN2" s="314" t="s">
        <v>3104</v>
      </c>
      <c r="AO2" s="314" t="s">
        <v>3105</v>
      </c>
      <c r="AP2" s="314" t="s">
        <v>3106</v>
      </c>
      <c r="AQ2" s="314" t="s">
        <v>3107</v>
      </c>
      <c r="AR2" s="314" t="s">
        <v>569</v>
      </c>
      <c r="AS2" s="314" t="s">
        <v>3108</v>
      </c>
      <c r="AT2" s="314" t="s">
        <v>3109</v>
      </c>
    </row>
    <row r="3" spans="1:46">
      <c r="A3" t="str">
        <f>'Table S2 Compound Identifiers'!C8</f>
        <v>Musk</v>
      </c>
      <c r="B3">
        <f>COUNTIF($C$3:C3,"&lt;&gt;"&amp;"")</f>
        <v>1</v>
      </c>
      <c r="C3" t="str">
        <f>IF('Table S2 Compound Identifiers'!B8="","",'Table S2 Compound Identifiers'!B8)</f>
        <v>cyclopentadecanone</v>
      </c>
      <c r="D3" t="str">
        <f>'Table S2 Compound Identifiers'!D8</f>
        <v>502-72-7</v>
      </c>
      <c r="E3" s="501">
        <f>VLOOKUP($C3,'Table S3 Literature Values'!$A$10:$AV$10000,E$1,FALSE)</f>
        <v>65.209156034639165</v>
      </c>
      <c r="F3" s="61">
        <f>INDEX('Table S3 Literature Values'!$A$10:$AV$10000,MATCH($C3,'Table S3 Literature Values'!$A$10:$A$10000,0)+1,F$1)</f>
        <v>12.406667724169532</v>
      </c>
      <c r="G3" s="63">
        <f>INDEX('Table S3 Literature Values'!$A$10:$AV$10000,MATCH($C3,'Table S3 Literature Values'!$A$10:$A$10000,0)+2,F$1)</f>
        <v>4</v>
      </c>
      <c r="H3" s="61">
        <f>VLOOKUP($C3,'Table S3 Literature Values'!$A$10:$AV$10000,H$1,FALSE)</f>
        <v>0</v>
      </c>
      <c r="I3" s="61">
        <f>INDEX('Table S3 Literature Values'!$A$10:$AV$10000,MATCH($C3,'Table S3 Literature Values'!$A$10:$A$10000,0)+1,I$1)</f>
        <v>0</v>
      </c>
      <c r="J3" s="63">
        <f>INDEX('Table S3 Literature Values'!$A$10:$AV$10000,MATCH($C3,'Table S3 Literature Values'!$A$10:$A$10000,0)+2,I$1)</f>
        <v>0</v>
      </c>
      <c r="K3" s="61">
        <f>VLOOKUP($C3,'Table S3 Literature Values'!$A$10:$AV$10000,K$1,FALSE)</f>
        <v>0</v>
      </c>
      <c r="L3" s="61">
        <f>INDEX('Table S3 Literature Values'!$A$10:$AV$10000,MATCH($C3,'Table S3 Literature Values'!$A$10:$A$10000,0)+1,L$1)</f>
        <v>0</v>
      </c>
      <c r="M3" s="63">
        <f>INDEX('Table S3 Literature Values'!$A$10:$AV$10000,MATCH($C3,'Table S3 Literature Values'!$A$10:$A$10000,0)+2,L$1)</f>
        <v>0</v>
      </c>
      <c r="N3" s="61">
        <f>VLOOKUP($C3,'Table S3 Literature Values'!$A$10:$AV$10000,N$1,FALSE)</f>
        <v>35.5</v>
      </c>
      <c r="O3" s="61">
        <f>INDEX('Table S3 Literature Values'!$A$10:$AV$10000,MATCH($C3,'Table S3 Literature Values'!$A$10:$A$10000,0)+1,O$1)</f>
        <v>2.2492119741999494</v>
      </c>
      <c r="P3" s="63">
        <f>INDEX('Table S3 Literature Values'!$A$10:$AV$10000,MATCH($C3,'Table S3 Literature Values'!$A$10:$A$10000,0)+2,O$1)</f>
        <v>1</v>
      </c>
      <c r="Q3" s="61">
        <f>VLOOKUP($C3,'Table S3 Literature Values'!$A$10:$AV$10000,Q$1,FALSE)</f>
        <v>0</v>
      </c>
      <c r="R3" s="61">
        <f>INDEX('Table S3 Literature Values'!$A$10:$AV$10000,MATCH($C3,'Table S3 Literature Values'!$A$10:$A$10000,0)+1,R$1)</f>
        <v>0</v>
      </c>
      <c r="S3" s="63">
        <f>INDEX('Table S3 Literature Values'!$A$10:$AV$10000,MATCH($C3,'Table S3 Literature Values'!$A$10:$A$10000,0)+2,R$1)</f>
        <v>0</v>
      </c>
      <c r="T3" s="61">
        <f>VLOOKUP($C3,'Table S3 Literature Values'!$A$10:$AV$10000,T$1,FALSE)</f>
        <v>0</v>
      </c>
      <c r="U3" s="61">
        <f>INDEX('Table S3 Literature Values'!$A$10:$AV$10000,MATCH($C3,'Table S3 Literature Values'!$A$10:$A$10000,0)+1,U$1)</f>
        <v>0</v>
      </c>
      <c r="V3" s="63">
        <f>INDEX('Table S3 Literature Values'!$A$10:$AV$10000,MATCH($C3,'Table S3 Literature Values'!$A$10:$A$10000,0)+2,U$1)</f>
        <v>0</v>
      </c>
      <c r="W3" s="61">
        <f>VLOOKUP($C3,'Table S3 Literature Values'!$A$10:$AV$10000,W$1,FALSE)</f>
        <v>6.5903532568443328</v>
      </c>
      <c r="X3" s="61">
        <f>INDEX('Table S3 Literature Values'!$A$10:$AV$10000,MATCH($C3,'Table S3 Literature Values'!$A$10:$A$10000,0)+1,X$1)</f>
        <v>0.16968721679640786</v>
      </c>
      <c r="Y3" s="63">
        <f>INDEX('Table S3 Literature Values'!$A$10:$AV$10000,MATCH($C3,'Table S3 Literature Values'!$A$10:$A$10000,0)+2,X$1)</f>
        <v>1</v>
      </c>
      <c r="Z3" s="61">
        <f ca="1">VLOOKUP($C3,'Table S3 Literature Values'!$A$10:$AV$10000,Z$1,FALSE)</f>
        <v>5.6510775932648061</v>
      </c>
      <c r="AA3" s="61">
        <f ca="1">INDEX('Table S3 Literature Values'!$A$10:$AV$10000,MATCH($C3,'Table S3 Literature Values'!$A$10:$A$10000,0)+1,AA$1)</f>
        <v>1.1302155186529612</v>
      </c>
      <c r="AB3" s="63">
        <f ca="1">INDEX('Table S3 Literature Values'!$A$10:$AV$10000,MATCH($C3,'Table S3 Literature Values'!$A$10:$A$10000,0)+2,AA$1)</f>
        <v>1</v>
      </c>
      <c r="AC3" s="61">
        <f>VLOOKUP($C3,'Table S3 Literature Values'!$A$10:$AV$10000,AC$1,FALSE)</f>
        <v>0</v>
      </c>
      <c r="AD3" s="61">
        <f>INDEX('Table S3 Literature Values'!$A$10:$AV$10000,MATCH($C3,'Table S3 Literature Values'!$A$10:$A$10000,0)+1,AD$1)</f>
        <v>0</v>
      </c>
      <c r="AE3" s="63">
        <f>INDEX('Table S3 Literature Values'!$A$10:$AV$10000,MATCH($C3,'Table S3 Literature Values'!$A$10:$A$10000,0)+2,AD$1)</f>
        <v>0</v>
      </c>
      <c r="AF3" s="61">
        <f>VLOOKUP($C3,'Table S3 Literature Values'!$A$10:$AV$10000,AF$1,FALSE)</f>
        <v>-0.27186946994290417</v>
      </c>
      <c r="AG3" s="61">
        <f>INDEX('Table S3 Literature Values'!$A$10:$AV$10000,MATCH($C3,'Table S3 Literature Values'!$A$10:$A$10000,0)+1,AG$1)</f>
        <v>0.43981008116415443</v>
      </c>
      <c r="AH3" s="63">
        <f>INDEX('Table S3 Literature Values'!$A$10:$AV$10000,MATCH($C3,'Table S3 Literature Values'!$A$10:$A$10000,0)+2,AG$1)</f>
        <v>3</v>
      </c>
      <c r="AI3" s="61">
        <f ca="1">VLOOKUP($C3,'Table S3 Literature Values'!$A$10:$AV$10000,AI$1,FALSE)</f>
        <v>-2.3871012037113615</v>
      </c>
      <c r="AJ3" s="61">
        <f ca="1">INDEX('Table S3 Literature Values'!$A$10:$AV$10000,MATCH($C3,'Table S3 Literature Values'!$A$10:$A$10000,0)+1,AJ$1)</f>
        <v>0.29517601490328987</v>
      </c>
      <c r="AK3" s="63">
        <f ca="1">INDEX('Table S3 Literature Values'!$A$10:$AV$10000,MATCH($C3,'Table S3 Literature Values'!$A$10:$A$10000,0)+2,AJ$1)</f>
        <v>1</v>
      </c>
      <c r="AL3" s="61">
        <f>VLOOKUP($C3,'Table S3 Literature Values'!$A$10:$AV$10000,AL$1,FALSE)</f>
        <v>0</v>
      </c>
      <c r="AM3" s="61">
        <f>INDEX('Table S3 Literature Values'!$A$10:$AV$10000,MATCH($C3,'Table S3 Literature Values'!$A$10:$A$10000,0)+1,AM$1)</f>
        <v>0</v>
      </c>
      <c r="AN3" s="63">
        <f>INDEX('Table S3 Literature Values'!$A$10:$AV$10000,MATCH($C3,'Table S3 Literature Values'!$A$10:$A$10000,0)+2,AM$1)</f>
        <v>0</v>
      </c>
      <c r="AO3" s="61">
        <f>VLOOKUP($C3,'Table S3 Literature Values'!$A$10:$AV$10000,AO$1,FALSE)</f>
        <v>27.437164066193851</v>
      </c>
      <c r="AP3" s="61">
        <f>INDEX('Table S3 Literature Values'!$A$10:$AV$10000,MATCH($C3,'Table S3 Literature Values'!$A$10:$A$10000,0)+1,AP$1)</f>
        <v>2.0257703248192196</v>
      </c>
      <c r="AQ3" s="63">
        <f>INDEX('Table S3 Literature Values'!$A$10:$AV$10000,MATCH($C3,'Table S3 Literature Values'!$A$10:$A$10000,0)+2,AP$1)</f>
        <v>2</v>
      </c>
      <c r="AR3" s="61">
        <f>VLOOKUP($C3,'Table S3 Literature Values'!$A$10:$AV$10000,AR$1,FALSE)</f>
        <v>63.82222222222223</v>
      </c>
      <c r="AS3" s="61">
        <f>INDEX('Table S3 Literature Values'!$A$10:$AV$10000,MATCH($C3,'Table S3 Literature Values'!$A$10:$A$10000,0)+1,AS$1)</f>
        <v>3.0339857357022035</v>
      </c>
      <c r="AT3" s="63">
        <f>INDEX('Table S3 Literature Values'!$A$10:$AV$10000,MATCH($C3,'Table S3 Literature Values'!$A$10:$A$10000,0)+2,AS$1)</f>
        <v>9</v>
      </c>
    </row>
    <row r="4" spans="1:46">
      <c r="A4" t="str">
        <f>'Table S2 Compound Identifiers'!C9</f>
        <v>Musk</v>
      </c>
      <c r="B4">
        <f>COUNTIF($C$3:C4,"&lt;&gt;"&amp;"")</f>
        <v>2</v>
      </c>
      <c r="C4" t="str">
        <f>IF('Table S2 Compound Identifiers'!B9="","",'Table S2 Compound Identifiers'!B9)</f>
        <v>15-pentadecanolide</v>
      </c>
      <c r="D4" t="str">
        <f>'Table S2 Compound Identifiers'!D9</f>
        <v>106-02-5</v>
      </c>
      <c r="E4" s="501">
        <f>VLOOKUP(C4,'Table S3 Literature Values'!$A$10:$AV$10000,E$1,FALSE)</f>
        <v>76.989318255250396</v>
      </c>
      <c r="F4" s="61">
        <f>INDEX('Table S3 Literature Values'!$A$10:$AV$10000,MATCH(C4,'Table S3 Literature Values'!$A$10:$A$10000,0)+1,F$1)</f>
        <v>2.5069905941640158</v>
      </c>
      <c r="G4" s="63">
        <f>INDEX('Table S3 Literature Values'!$A$10:$AV$10000,MATCH($C4,'Table S3 Literature Values'!$A$10:$A$10000,0)+2,F$1)</f>
        <v>4</v>
      </c>
      <c r="H4" s="61">
        <f>VLOOKUP($C4,'Table S3 Literature Values'!$A$10:$AV$10000,H$1,FALSE)</f>
        <v>0</v>
      </c>
      <c r="I4" s="61">
        <f>INDEX('Table S3 Literature Values'!$A$10:$AV$10000,MATCH($C4,'Table S3 Literature Values'!$A$10:$A$10000,0)+1,I$1)</f>
        <v>0</v>
      </c>
      <c r="J4" s="63">
        <f>INDEX('Table S3 Literature Values'!$A$10:$AV$10000,MATCH($C4,'Table S3 Literature Values'!$A$10:$A$10000,0)+2,I$1)</f>
        <v>0</v>
      </c>
      <c r="K4" s="61">
        <f>VLOOKUP($C4,'Table S3 Literature Values'!$A$10:$AV$10000,K$1,FALSE)</f>
        <v>0</v>
      </c>
      <c r="L4" s="61">
        <f>INDEX('Table S3 Literature Values'!$A$10:$AV$10000,MATCH($C4,'Table S3 Literature Values'!$A$10:$A$10000,0)+1,L$1)</f>
        <v>0</v>
      </c>
      <c r="M4" s="63">
        <f>INDEX('Table S3 Literature Values'!$A$10:$AV$10000,MATCH($C4,'Table S3 Literature Values'!$A$10:$A$10000,0)+2,L$1)</f>
        <v>0</v>
      </c>
      <c r="N4" s="61">
        <f>VLOOKUP($C4,'Table S3 Literature Values'!$A$10:$AV$10000,N$1,FALSE)</f>
        <v>0</v>
      </c>
      <c r="O4" s="61">
        <f>INDEX('Table S3 Literature Values'!$A$10:$AV$10000,MATCH($C4,'Table S3 Literature Values'!$A$10:$A$10000,0)+1,O$1)</f>
        <v>0</v>
      </c>
      <c r="P4" s="63">
        <f>INDEX('Table S3 Literature Values'!$A$10:$AV$10000,MATCH($C4,'Table S3 Literature Values'!$A$10:$A$10000,0)+2,O$1)</f>
        <v>0</v>
      </c>
      <c r="Q4" s="61">
        <f>VLOOKUP($C4,'Table S3 Literature Values'!$A$10:$AV$10000,Q$1,FALSE)</f>
        <v>0</v>
      </c>
      <c r="R4" s="61">
        <f>INDEX('Table S3 Literature Values'!$A$10:$AV$10000,MATCH($C4,'Table S3 Literature Values'!$A$10:$A$10000,0)+1,R$1)</f>
        <v>0</v>
      </c>
      <c r="S4" s="63">
        <f>INDEX('Table S3 Literature Values'!$A$10:$AV$10000,MATCH($C4,'Table S3 Literature Values'!$A$10:$A$10000,0)+2,R$1)</f>
        <v>0</v>
      </c>
      <c r="T4" s="61">
        <f>VLOOKUP($C4,'Table S3 Literature Values'!$A$10:$AV$10000,T$1,FALSE)</f>
        <v>0</v>
      </c>
      <c r="U4" s="61">
        <f>INDEX('Table S3 Literature Values'!$A$10:$AV$10000,MATCH($C4,'Table S3 Literature Values'!$A$10:$A$10000,0)+1,U$1)</f>
        <v>0</v>
      </c>
      <c r="V4" s="63">
        <f>INDEX('Table S3 Literature Values'!$A$10:$AV$10000,MATCH($C4,'Table S3 Literature Values'!$A$10:$A$10000,0)+2,U$1)</f>
        <v>0</v>
      </c>
      <c r="W4" s="61">
        <f>VLOOKUP($C4,'Table S3 Literature Values'!$A$10:$AV$10000,W$1,FALSE)</f>
        <v>0</v>
      </c>
      <c r="X4" s="61">
        <f>INDEX('Table S3 Literature Values'!$A$10:$AV$10000,MATCH($C4,'Table S3 Literature Values'!$A$10:$A$10000,0)+1,X$1)</f>
        <v>0</v>
      </c>
      <c r="Y4" s="63">
        <f>INDEX('Table S3 Literature Values'!$A$10:$AV$10000,MATCH($C4,'Table S3 Literature Values'!$A$10:$A$10000,0)+2,X$1)</f>
        <v>0</v>
      </c>
      <c r="Z4" s="61">
        <f ca="1">VLOOKUP($C4,'Table S3 Literature Values'!$A$10:$AV$10000,Z$1,FALSE)</f>
        <v>5.7878793370575732</v>
      </c>
      <c r="AA4" s="61">
        <f ca="1">INDEX('Table S3 Literature Values'!$A$10:$AV$10000,MATCH($C4,'Table S3 Literature Values'!$A$10:$A$10000,0)+1,AA$1)</f>
        <v>0.57878793370575732</v>
      </c>
      <c r="AB4" s="63">
        <f ca="1">INDEX('Table S3 Literature Values'!$A$10:$AV$10000,MATCH($C4,'Table S3 Literature Values'!$A$10:$A$10000,0)+2,AA$1)</f>
        <v>1</v>
      </c>
      <c r="AC4" s="61">
        <f>VLOOKUP($C4,'Table S3 Literature Values'!$A$10:$AV$10000,AC$1,FALSE)</f>
        <v>0</v>
      </c>
      <c r="AD4" s="61">
        <f>INDEX('Table S3 Literature Values'!$A$10:$AV$10000,MATCH($C4,'Table S3 Literature Values'!$A$10:$A$10000,0)+1,AD$1)</f>
        <v>0</v>
      </c>
      <c r="AE4" s="63">
        <f>INDEX('Table S3 Literature Values'!$A$10:$AV$10000,MATCH($C4,'Table S3 Literature Values'!$A$10:$A$10000,0)+2,AD$1)</f>
        <v>0</v>
      </c>
      <c r="AF4" s="61">
        <f>VLOOKUP($C4,'Table S3 Literature Values'!$A$10:$AV$10000,AF$1,FALSE)</f>
        <v>-1.0752173599150463</v>
      </c>
      <c r="AG4" s="61">
        <f>INDEX('Table S3 Literature Values'!$A$10:$AV$10000,MATCH($C4,'Table S3 Literature Values'!$A$10:$A$10000,0)+1,AG$1)</f>
        <v>5.8617107041970429E-2</v>
      </c>
      <c r="AH4" s="63">
        <f>INDEX('Table S3 Literature Values'!$A$10:$AV$10000,MATCH($C4,'Table S3 Literature Values'!$A$10:$A$10000,0)+2,AG$1)</f>
        <v>2</v>
      </c>
      <c r="AI4" s="61">
        <f ca="1">VLOOKUP($C4,'Table S3 Literature Values'!$A$10:$AV$10000,AI$1,FALSE)</f>
        <v>-2.8535418227388263</v>
      </c>
      <c r="AJ4" s="61">
        <f ca="1">INDEX('Table S3 Literature Values'!$A$10:$AV$10000,MATCH($C4,'Table S3 Literature Values'!$A$10:$A$10000,0)+1,AJ$1)</f>
        <v>0.35285353728880442</v>
      </c>
      <c r="AK4" s="63">
        <f ca="1">INDEX('Table S3 Literature Values'!$A$10:$AV$10000,MATCH($C4,'Table S3 Literature Values'!$A$10:$A$10000,0)+2,AJ$1)</f>
        <v>1</v>
      </c>
      <c r="AL4" s="61">
        <f>VLOOKUP($C4,'Table S3 Literature Values'!$A$10:$AV$10000,AL$1,FALSE)</f>
        <v>0</v>
      </c>
      <c r="AM4" s="61">
        <f>INDEX('Table S3 Literature Values'!$A$10:$AV$10000,MATCH($C4,'Table S3 Literature Values'!$A$10:$A$10000,0)+1,AM$1)</f>
        <v>0</v>
      </c>
      <c r="AN4" s="63">
        <f>INDEX('Table S3 Literature Values'!$A$10:$AV$10000,MATCH($C4,'Table S3 Literature Values'!$A$10:$A$10000,0)+2,AM$1)</f>
        <v>0</v>
      </c>
      <c r="AO4" s="61">
        <f>VLOOKUP($C4,'Table S3 Literature Values'!$A$10:$AV$10000,AO$1,FALSE)</f>
        <v>22.617124394184167</v>
      </c>
      <c r="AP4" s="61">
        <f>INDEX('Table S3 Literature Values'!$A$10:$AV$10000,MATCH($C4,'Table S3 Literature Values'!$A$10:$A$10000,0)+1,AP$1)</f>
        <v>1.7826732863184251</v>
      </c>
      <c r="AQ4" s="63">
        <f>INDEX('Table S3 Literature Values'!$A$10:$AV$10000,MATCH($C4,'Table S3 Literature Values'!$A$10:$A$10000,0)+2,AP$1)</f>
        <v>1</v>
      </c>
      <c r="AR4" s="61">
        <f>VLOOKUP($C4,'Table S3 Literature Values'!$A$10:$AV$10000,AR$1,FALSE)</f>
        <v>34.290000000000006</v>
      </c>
      <c r="AS4" s="61">
        <f>INDEX('Table S3 Literature Values'!$A$10:$AV$10000,MATCH($C4,'Table S3 Literature Values'!$A$10:$A$10000,0)+1,AS$1)</f>
        <v>1.6364595931461381</v>
      </c>
      <c r="AT4" s="63">
        <f>INDEX('Table S3 Literature Values'!$A$10:$AV$10000,MATCH($C4,'Table S3 Literature Values'!$A$10:$A$10000,0)+2,AS$1)</f>
        <v>5</v>
      </c>
    </row>
    <row r="5" spans="1:46">
      <c r="A5" t="str">
        <f>'Table S2 Compound Identifiers'!C10</f>
        <v>Musk</v>
      </c>
      <c r="B5">
        <f>COUNTIF($C$3:C5,"&lt;&gt;"&amp;"")</f>
        <v>3</v>
      </c>
      <c r="C5" t="str">
        <f>IF('Table S2 Compound Identifiers'!B10="","",'Table S2 Compound Identifiers'!B10)</f>
        <v>Musk Ambrette</v>
      </c>
      <c r="D5" t="str">
        <f>'Table S2 Compound Identifiers'!D10</f>
        <v>83-66-9</v>
      </c>
      <c r="E5" s="501">
        <f>VLOOKUP(C5,'Table S3 Literature Values'!$A$10:$AV$10000,E$1,FALSE)</f>
        <v>79.5</v>
      </c>
      <c r="F5" s="61">
        <f>INDEX('Table S3 Literature Values'!$A$10:$AV$10000,MATCH(C5,'Table S3 Literature Values'!$A$10:$A$10000,0)+1,F$1)</f>
        <v>5.673391768285347</v>
      </c>
      <c r="G5" s="63">
        <f>INDEX('Table S3 Literature Values'!$A$10:$AV$10000,MATCH($C5,'Table S3 Literature Values'!$A$10:$A$10000,0)+2,F$1)</f>
        <v>1</v>
      </c>
      <c r="H5" s="61">
        <f>VLOOKUP($C5,'Table S3 Literature Values'!$A$10:$AV$10000,H$1,FALSE)</f>
        <v>48.037836661553541</v>
      </c>
      <c r="I5" s="61">
        <f>INDEX('Table S3 Literature Values'!$A$10:$AV$10000,MATCH($C5,'Table S3 Literature Values'!$A$10:$A$10000,0)+1,I$1)</f>
        <v>14.411350998466062</v>
      </c>
      <c r="J5" s="63">
        <f>INDEX('Table S3 Literature Values'!$A$10:$AV$10000,MATCH($C5,'Table S3 Literature Values'!$A$10:$A$10000,0)+2,I$1)</f>
        <v>1</v>
      </c>
      <c r="K5" s="61">
        <f>VLOOKUP($C5,'Table S3 Literature Values'!$A$10:$AV$10000,K$1,FALSE)</f>
        <v>0</v>
      </c>
      <c r="L5" s="61">
        <f>INDEX('Table S3 Literature Values'!$A$10:$AV$10000,MATCH($C5,'Table S3 Literature Values'!$A$10:$A$10000,0)+1,L$1)</f>
        <v>0</v>
      </c>
      <c r="M5" s="63">
        <f>INDEX('Table S3 Literature Values'!$A$10:$AV$10000,MATCH($C5,'Table S3 Literature Values'!$A$10:$A$10000,0)+2,L$1)</f>
        <v>0</v>
      </c>
      <c r="N5" s="61">
        <f>VLOOKUP($C5,'Table S3 Literature Values'!$A$10:$AV$10000,N$1,FALSE)</f>
        <v>69.05</v>
      </c>
      <c r="O5" s="61">
        <f>INDEX('Table S3 Literature Values'!$A$10:$AV$10000,MATCH($C5,'Table S3 Literature Values'!$A$10:$A$10000,0)+1,O$1)</f>
        <v>2.7577164466275392</v>
      </c>
      <c r="P5" s="63">
        <f>INDEX('Table S3 Literature Values'!$A$10:$AV$10000,MATCH($C5,'Table S3 Literature Values'!$A$10:$A$10000,0)+2,O$1)</f>
        <v>2</v>
      </c>
      <c r="Q5" s="61">
        <f>VLOOKUP($C5,'Table S3 Literature Values'!$A$10:$AV$10000,Q$1,FALSE)</f>
        <v>0</v>
      </c>
      <c r="R5" s="61">
        <f>INDEX('Table S3 Literature Values'!$A$10:$AV$10000,MATCH($C5,'Table S3 Literature Values'!$A$10:$A$10000,0)+1,R$1)</f>
        <v>0</v>
      </c>
      <c r="S5" s="63">
        <f>INDEX('Table S3 Literature Values'!$A$10:$AV$10000,MATCH($C5,'Table S3 Literature Values'!$A$10:$A$10000,0)+2,R$1)</f>
        <v>0</v>
      </c>
      <c r="T5" s="61">
        <f>VLOOKUP($C5,'Table S3 Literature Values'!$A$10:$AV$10000,T$1,FALSE)</f>
        <v>2.496337497195086</v>
      </c>
      <c r="U5" s="61">
        <f>INDEX('Table S3 Literature Values'!$A$10:$AV$10000,MATCH($C5,'Table S3 Literature Values'!$A$10:$A$10000,0)+1,U$1)</f>
        <v>0.74890124915852574</v>
      </c>
      <c r="V5" s="63">
        <f>INDEX('Table S3 Literature Values'!$A$10:$AV$10000,MATCH($C5,'Table S3 Literature Values'!$A$10:$A$10000,0)+2,U$1)</f>
        <v>1</v>
      </c>
      <c r="W5" s="61">
        <f>VLOOKUP($C5,'Table S3 Literature Values'!$A$10:$AV$10000,W$1,FALSE)</f>
        <v>8.0299999999999994</v>
      </c>
      <c r="X5" s="61">
        <f>INDEX('Table S3 Literature Values'!$A$10:$AV$10000,MATCH($C5,'Table S3 Literature Values'!$A$10:$A$10000,0)+1,X$1)</f>
        <v>0.11313708498984708</v>
      </c>
      <c r="Y5" s="63">
        <f>INDEX('Table S3 Literature Values'!$A$10:$AV$10000,MATCH($C5,'Table S3 Literature Values'!$A$10:$A$10000,0)+2,X$1)</f>
        <v>2</v>
      </c>
      <c r="Z5" s="61">
        <f ca="1">VLOOKUP($C5,'Table S3 Literature Values'!$A$10:$AV$10000,Z$1,FALSE)</f>
        <v>4.2148793247020135</v>
      </c>
      <c r="AA5" s="61">
        <f ca="1">INDEX('Table S3 Literature Values'!$A$10:$AV$10000,MATCH($C5,'Table S3 Literature Values'!$A$10:$A$10000,0)+1,AA$1)</f>
        <v>0.28572881932613631</v>
      </c>
      <c r="AB5" s="63">
        <f ca="1">INDEX('Table S3 Literature Values'!$A$10:$AV$10000,MATCH($C5,'Table S3 Literature Values'!$A$10:$A$10000,0)+2,AA$1)</f>
        <v>1</v>
      </c>
      <c r="AC5" s="61">
        <f>VLOOKUP($C5,'Table S3 Literature Values'!$A$10:$AV$10000,AC$1,FALSE)</f>
        <v>0</v>
      </c>
      <c r="AD5" s="61">
        <f>INDEX('Table S3 Literature Values'!$A$10:$AV$10000,MATCH($C5,'Table S3 Literature Values'!$A$10:$A$10000,0)+1,AD$1)</f>
        <v>0</v>
      </c>
      <c r="AE5" s="63">
        <f>INDEX('Table S3 Literature Values'!$A$10:$AV$10000,MATCH($C5,'Table S3 Literature Values'!$A$10:$A$10000,0)+2,AD$1)</f>
        <v>0</v>
      </c>
      <c r="AF5" s="61">
        <f>VLOOKUP($C5,'Table S3 Literature Values'!$A$10:$AV$10000,AF$1,FALSE)</f>
        <v>-1.2257354196510586</v>
      </c>
      <c r="AG5" s="61">
        <f>INDEX('Table S3 Literature Values'!$A$10:$AV$10000,MATCH($C5,'Table S3 Literature Values'!$A$10:$A$10000,0)+1,AG$1)</f>
        <v>0.19195887136493303</v>
      </c>
      <c r="AH5" s="63">
        <f>INDEX('Table S3 Literature Values'!$A$10:$AV$10000,MATCH($C5,'Table S3 Literature Values'!$A$10:$A$10000,0)+2,AG$1)</f>
        <v>2</v>
      </c>
      <c r="AI5" s="61">
        <f ca="1">VLOOKUP($C5,'Table S3 Literature Values'!$A$10:$AV$10000,AI$1,FALSE)</f>
        <v>-2.4718095505620594</v>
      </c>
      <c r="AJ5" s="61">
        <f ca="1">INDEX('Table S3 Literature Values'!$A$10:$AV$10000,MATCH($C5,'Table S3 Literature Values'!$A$10:$A$10000,0)+1,AJ$1)</f>
        <v>0.30565059059935157</v>
      </c>
      <c r="AK5" s="63">
        <f ca="1">INDEX('Table S3 Literature Values'!$A$10:$AV$10000,MATCH($C5,'Table S3 Literature Values'!$A$10:$A$10000,0)+2,AJ$1)</f>
        <v>1</v>
      </c>
      <c r="AL5" s="61">
        <f>VLOOKUP($C5,'Table S3 Literature Values'!$A$10:$AV$10000,AL$1,FALSE)</f>
        <v>0</v>
      </c>
      <c r="AM5" s="61">
        <f>INDEX('Table S3 Literature Values'!$A$10:$AV$10000,MATCH($C5,'Table S3 Literature Values'!$A$10:$A$10000,0)+1,AM$1)</f>
        <v>0</v>
      </c>
      <c r="AN5" s="63">
        <f>INDEX('Table S3 Literature Values'!$A$10:$AV$10000,MATCH($C5,'Table S3 Literature Values'!$A$10:$A$10000,0)+2,AM$1)</f>
        <v>0</v>
      </c>
      <c r="AO5" s="61">
        <f>VLOOKUP($C5,'Table S3 Literature Values'!$A$10:$AV$10000,AO$1,FALSE)</f>
        <v>0</v>
      </c>
      <c r="AP5" s="61">
        <f>INDEX('Table S3 Literature Values'!$A$10:$AV$10000,MATCH($C5,'Table S3 Literature Values'!$A$10:$A$10000,0)+1,AP$1)</f>
        <v>0</v>
      </c>
      <c r="AQ5" s="63">
        <f>INDEX('Table S3 Literature Values'!$A$10:$AV$10000,MATCH($C5,'Table S3 Literature Values'!$A$10:$A$10000,0)+2,AP$1)</f>
        <v>0</v>
      </c>
      <c r="AR5" s="61">
        <f>VLOOKUP($C5,'Table S3 Literature Values'!$A$10:$AV$10000,AR$1,FALSE)</f>
        <v>85.25</v>
      </c>
      <c r="AS5" s="61">
        <f>INDEX('Table S3 Literature Values'!$A$10:$AV$10000,MATCH($C5,'Table S3 Literature Values'!$A$10:$A$10000,0)+1,AS$1)</f>
        <v>0.5</v>
      </c>
      <c r="AT5" s="63">
        <f>INDEX('Table S3 Literature Values'!$A$10:$AV$10000,MATCH($C5,'Table S3 Literature Values'!$A$10:$A$10000,0)+2,AS$1)</f>
        <v>4</v>
      </c>
    </row>
    <row r="6" spans="1:46">
      <c r="A6" t="str">
        <f>'Table S2 Compound Identifiers'!C11</f>
        <v>Musk</v>
      </c>
      <c r="B6">
        <f>COUNTIF($C$3:C6,"&lt;&gt;"&amp;"")</f>
        <v>4</v>
      </c>
      <c r="C6" t="str">
        <f>IF('Table S2 Compound Identifiers'!B11="","",'Table S2 Compound Identifiers'!B11)</f>
        <v>16-hexadecanolide</v>
      </c>
      <c r="D6" t="str">
        <f>'Table S2 Compound Identifiers'!D11</f>
        <v>109-29-5</v>
      </c>
      <c r="E6" s="501">
        <f>VLOOKUP(C6,'Table S3 Literature Values'!$A$10:$AV$10000,E$1,FALSE)</f>
        <v>73.3</v>
      </c>
      <c r="F6" s="61">
        <f>INDEX('Table S3 Literature Values'!$A$10:$AV$10000,MATCH(C6,'Table S3 Literature Values'!$A$10:$A$10000,0)+1,F$1)</f>
        <v>9.7616596949493708</v>
      </c>
      <c r="G6" s="63">
        <f>INDEX('Table S3 Literature Values'!$A$10:$AV$10000,MATCH($C6,'Table S3 Literature Values'!$A$10:$A$10000,0)+2,F$1)</f>
        <v>3</v>
      </c>
      <c r="H6" s="61">
        <f>VLOOKUP($C6,'Table S3 Literature Values'!$A$10:$AV$10000,H$1,FALSE)</f>
        <v>0</v>
      </c>
      <c r="I6" s="61">
        <f>INDEX('Table S3 Literature Values'!$A$10:$AV$10000,MATCH($C6,'Table S3 Literature Values'!$A$10:$A$10000,0)+1,I$1)</f>
        <v>0</v>
      </c>
      <c r="J6" s="63">
        <f>INDEX('Table S3 Literature Values'!$A$10:$AV$10000,MATCH($C6,'Table S3 Literature Values'!$A$10:$A$10000,0)+2,I$1)</f>
        <v>0</v>
      </c>
      <c r="K6" s="61">
        <f>VLOOKUP($C6,'Table S3 Literature Values'!$A$10:$AV$10000,K$1,FALSE)</f>
        <v>0</v>
      </c>
      <c r="L6" s="61">
        <f>INDEX('Table S3 Literature Values'!$A$10:$AV$10000,MATCH($C6,'Table S3 Literature Values'!$A$10:$A$10000,0)+1,L$1)</f>
        <v>0</v>
      </c>
      <c r="M6" s="63">
        <f>INDEX('Table S3 Literature Values'!$A$10:$AV$10000,MATCH($C6,'Table S3 Literature Values'!$A$10:$A$10000,0)+2,L$1)</f>
        <v>0</v>
      </c>
      <c r="N6" s="61">
        <f>VLOOKUP($C6,'Table S3 Literature Values'!$A$10:$AV$10000,N$1,FALSE)</f>
        <v>52.3</v>
      </c>
      <c r="O6" s="61">
        <f>INDEX('Table S3 Literature Values'!$A$10:$AV$10000,MATCH($C6,'Table S3 Literature Values'!$A$10:$A$10000,0)+1,O$1)</f>
        <v>3.3136277817086577</v>
      </c>
      <c r="P6" s="63">
        <f>INDEX('Table S3 Literature Values'!$A$10:$AV$10000,MATCH($C6,'Table S3 Literature Values'!$A$10:$A$10000,0)+2,O$1)</f>
        <v>1</v>
      </c>
      <c r="Q6" s="61">
        <f>VLOOKUP($C6,'Table S3 Literature Values'!$A$10:$AV$10000,Q$1,FALSE)</f>
        <v>0</v>
      </c>
      <c r="R6" s="61">
        <f>INDEX('Table S3 Literature Values'!$A$10:$AV$10000,MATCH($C6,'Table S3 Literature Values'!$A$10:$A$10000,0)+1,R$1)</f>
        <v>0</v>
      </c>
      <c r="S6" s="63">
        <f>INDEX('Table S3 Literature Values'!$A$10:$AV$10000,MATCH($C6,'Table S3 Literature Values'!$A$10:$A$10000,0)+2,R$1)</f>
        <v>0</v>
      </c>
      <c r="T6" s="61">
        <f>VLOOKUP($C6,'Table S3 Literature Values'!$A$10:$AV$10000,T$1,FALSE)</f>
        <v>0</v>
      </c>
      <c r="U6" s="61">
        <f>INDEX('Table S3 Literature Values'!$A$10:$AV$10000,MATCH($C6,'Table S3 Literature Values'!$A$10:$A$10000,0)+1,U$1)</f>
        <v>0</v>
      </c>
      <c r="V6" s="63">
        <f>INDEX('Table S3 Literature Values'!$A$10:$AV$10000,MATCH($C6,'Table S3 Literature Values'!$A$10:$A$10000,0)+2,U$1)</f>
        <v>0</v>
      </c>
      <c r="W6" s="61">
        <f>VLOOKUP($C6,'Table S3 Literature Values'!$A$10:$AV$10000,W$1,FALSE)</f>
        <v>7.313836917880459</v>
      </c>
      <c r="X6" s="61">
        <f>INDEX('Table S3 Literature Values'!$A$10:$AV$10000,MATCH($C6,'Table S3 Literature Values'!$A$10:$A$10000,0)+1,X$1)</f>
        <v>0.1883153424907929</v>
      </c>
      <c r="Y6" s="63">
        <f>INDEX('Table S3 Literature Values'!$A$10:$AV$10000,MATCH($C6,'Table S3 Literature Values'!$A$10:$A$10000,0)+2,X$1)</f>
        <v>1</v>
      </c>
      <c r="Z6" s="61">
        <f ca="1">VLOOKUP($C6,'Table S3 Literature Values'!$A$10:$AV$10000,Z$1,FALSE)</f>
        <v>7.3238670905524286</v>
      </c>
      <c r="AA6" s="61">
        <f ca="1">INDEX('Table S3 Literature Values'!$A$10:$AV$10000,MATCH($C6,'Table S3 Literature Values'!$A$10:$A$10000,0)+1,AA$1)</f>
        <v>1.4647734181104859</v>
      </c>
      <c r="AB6" s="63">
        <f ca="1">INDEX('Table S3 Literature Values'!$A$10:$AV$10000,MATCH($C6,'Table S3 Literature Values'!$A$10:$A$10000,0)+2,AA$1)</f>
        <v>1</v>
      </c>
      <c r="AC6" s="61">
        <f>VLOOKUP($C6,'Table S3 Literature Values'!$A$10:$AV$10000,AC$1,FALSE)</f>
        <v>0</v>
      </c>
      <c r="AD6" s="61">
        <f>INDEX('Table S3 Literature Values'!$A$10:$AV$10000,MATCH($C6,'Table S3 Literature Values'!$A$10:$A$10000,0)+1,AD$1)</f>
        <v>0</v>
      </c>
      <c r="AE6" s="63">
        <f>INDEX('Table S3 Literature Values'!$A$10:$AV$10000,MATCH($C6,'Table S3 Literature Values'!$A$10:$A$10000,0)+2,AD$1)</f>
        <v>0</v>
      </c>
      <c r="AF6" s="61">
        <f>VLOOKUP($C6,'Table S3 Literature Values'!$A$10:$AV$10000,AF$1,FALSE)</f>
        <v>-1.1355420887223011</v>
      </c>
      <c r="AG6" s="61">
        <f>INDEX('Table S3 Literature Values'!$A$10:$AV$10000,MATCH($C6,'Table S3 Literature Values'!$A$10:$A$10000,0)+1,AG$1)</f>
        <v>0.43924064333015556</v>
      </c>
      <c r="AH6" s="63">
        <f>INDEX('Table S3 Literature Values'!$A$10:$AV$10000,MATCH($C6,'Table S3 Literature Values'!$A$10:$A$10000,0)+2,AG$1)</f>
        <v>3</v>
      </c>
      <c r="AI6" s="61">
        <f ca="1">VLOOKUP($C6,'Table S3 Literature Values'!$A$10:$AV$10000,AI$1,FALSE)</f>
        <v>-3.3238142345210746</v>
      </c>
      <c r="AJ6" s="61">
        <f ca="1">INDEX('Table S3 Literature Values'!$A$10:$AV$10000,MATCH($C6,'Table S3 Literature Values'!$A$10:$A$10000,0)+1,AJ$1)</f>
        <v>0.41100487842717859</v>
      </c>
      <c r="AK6" s="63">
        <f ca="1">INDEX('Table S3 Literature Values'!$A$10:$AV$10000,MATCH($C6,'Table S3 Literature Values'!$A$10:$A$10000,0)+2,AJ$1)</f>
        <v>1</v>
      </c>
      <c r="AL6" s="61">
        <f>VLOOKUP($C6,'Table S3 Literature Values'!$A$10:$AV$10000,AL$1,FALSE)</f>
        <v>0</v>
      </c>
      <c r="AM6" s="61">
        <f>INDEX('Table S3 Literature Values'!$A$10:$AV$10000,MATCH($C6,'Table S3 Literature Values'!$A$10:$A$10000,0)+1,AM$1)</f>
        <v>0</v>
      </c>
      <c r="AN6" s="63">
        <f>INDEX('Table S3 Literature Values'!$A$10:$AV$10000,MATCH($C6,'Table S3 Literature Values'!$A$10:$A$10000,0)+2,AM$1)</f>
        <v>0</v>
      </c>
      <c r="AO6" s="61">
        <f>VLOOKUP($C6,'Table S3 Literature Values'!$A$10:$AV$10000,AO$1,FALSE)</f>
        <v>24.902975420439848</v>
      </c>
      <c r="AP6" s="61">
        <f>INDEX('Table S3 Literature Values'!$A$10:$AV$10000,MATCH($C6,'Table S3 Literature Values'!$A$10:$A$10000,0)+1,AP$1)</f>
        <v>1.962843209337348</v>
      </c>
      <c r="AQ6" s="63">
        <f>INDEX('Table S3 Literature Values'!$A$10:$AV$10000,MATCH($C6,'Table S3 Literature Values'!$A$10:$A$10000,0)+2,AP$1)</f>
        <v>1</v>
      </c>
      <c r="AR6" s="61">
        <f>VLOOKUP($C6,'Table S3 Literature Values'!$A$10:$AV$10000,AR$1,FALSE)</f>
        <v>35.525000000000006</v>
      </c>
      <c r="AS6" s="61">
        <f>INDEX('Table S3 Literature Values'!$A$10:$AV$10000,MATCH($C6,'Table S3 Literature Values'!$A$10:$A$10000,0)+1,AS$1)</f>
        <v>0.74246212024588287</v>
      </c>
      <c r="AT6" s="63">
        <f>INDEX('Table S3 Literature Values'!$A$10:$AV$10000,MATCH($C6,'Table S3 Literature Values'!$A$10:$A$10000,0)+2,AS$1)</f>
        <v>2</v>
      </c>
    </row>
    <row r="7" spans="1:46">
      <c r="A7" t="str">
        <f>'Table S2 Compound Identifiers'!C12</f>
        <v>Musk</v>
      </c>
      <c r="B7">
        <f>COUNTIF($C$3:C7,"&lt;&gt;"&amp;"")</f>
        <v>5</v>
      </c>
      <c r="C7" t="str">
        <f>IF('Table S2 Compound Identifiers'!B12="","",'Table S2 Compound Identifiers'!B12)</f>
        <v>Celestolide</v>
      </c>
      <c r="D7" t="str">
        <f>'Table S2 Compound Identifiers'!D12</f>
        <v>13171-00-1</v>
      </c>
      <c r="E7" s="501">
        <f>VLOOKUP(C7,'Table S3 Literature Values'!$A$10:$AV$10000,E$1,FALSE)</f>
        <v>0</v>
      </c>
      <c r="F7" s="61">
        <f>INDEX('Table S3 Literature Values'!$A$10:$AV$10000,MATCH(C7,'Table S3 Literature Values'!$A$10:$A$10000,0)+1,F$1)</f>
        <v>0</v>
      </c>
      <c r="G7" s="63">
        <f>INDEX('Table S3 Literature Values'!$A$10:$AV$10000,MATCH($C7,'Table S3 Literature Values'!$A$10:$A$10000,0)+2,F$1)</f>
        <v>0</v>
      </c>
      <c r="H7" s="61">
        <f>VLOOKUP($C7,'Table S3 Literature Values'!$A$10:$AV$10000,H$1,FALSE)</f>
        <v>-21.899453175314246</v>
      </c>
      <c r="I7" s="61">
        <f>INDEX('Table S3 Literature Values'!$A$10:$AV$10000,MATCH($C7,'Table S3 Literature Values'!$A$10:$A$10000,0)+1,I$1)</f>
        <v>6.569835952594274</v>
      </c>
      <c r="J7" s="63">
        <f>INDEX('Table S3 Literature Values'!$A$10:$AV$10000,MATCH($C7,'Table S3 Literature Values'!$A$10:$A$10000,0)+2,I$1)</f>
        <v>1</v>
      </c>
      <c r="K7" s="61">
        <f>VLOOKUP($C7,'Table S3 Literature Values'!$A$10:$AV$10000,K$1,FALSE)</f>
        <v>0</v>
      </c>
      <c r="L7" s="61">
        <f>INDEX('Table S3 Literature Values'!$A$10:$AV$10000,MATCH($C7,'Table S3 Literature Values'!$A$10:$A$10000,0)+1,L$1)</f>
        <v>0</v>
      </c>
      <c r="M7" s="63">
        <f>INDEX('Table S3 Literature Values'!$A$10:$AV$10000,MATCH($C7,'Table S3 Literature Values'!$A$10:$A$10000,0)+2,L$1)</f>
        <v>0</v>
      </c>
      <c r="N7" s="61">
        <f>VLOOKUP($C7,'Table S3 Literature Values'!$A$10:$AV$10000,N$1,FALSE)</f>
        <v>64.900000000000006</v>
      </c>
      <c r="O7" s="61">
        <f>INDEX('Table S3 Literature Values'!$A$10:$AV$10000,MATCH($C7,'Table S3 Literature Values'!$A$10:$A$10000,0)+1,O$1)</f>
        <v>4.11193963734019</v>
      </c>
      <c r="P7" s="63">
        <f>INDEX('Table S3 Literature Values'!$A$10:$AV$10000,MATCH($C7,'Table S3 Literature Values'!$A$10:$A$10000,0)+2,O$1)</f>
        <v>1</v>
      </c>
      <c r="Q7" s="61">
        <f>VLOOKUP($C7,'Table S3 Literature Values'!$A$10:$AV$10000,Q$1,FALSE)</f>
        <v>0</v>
      </c>
      <c r="R7" s="61">
        <f>INDEX('Table S3 Literature Values'!$A$10:$AV$10000,MATCH($C7,'Table S3 Literature Values'!$A$10:$A$10000,0)+1,R$1)</f>
        <v>0</v>
      </c>
      <c r="S7" s="63">
        <f>INDEX('Table S3 Literature Values'!$A$10:$AV$10000,MATCH($C7,'Table S3 Literature Values'!$A$10:$A$10000,0)+2,R$1)</f>
        <v>0</v>
      </c>
      <c r="T7" s="61">
        <f>VLOOKUP($C7,'Table S3 Literature Values'!$A$10:$AV$10000,T$1,FALSE)</f>
        <v>5.8579698937246648E-2</v>
      </c>
      <c r="U7" s="61">
        <f>INDEX('Table S3 Literature Values'!$A$10:$AV$10000,MATCH($C7,'Table S3 Literature Values'!$A$10:$A$10000,0)+1,U$1)</f>
        <v>1.7573909681173994E-2</v>
      </c>
      <c r="V7" s="63">
        <f>INDEX('Table S3 Literature Values'!$A$10:$AV$10000,MATCH($C7,'Table S3 Literature Values'!$A$10:$A$10000,0)+2,U$1)</f>
        <v>1</v>
      </c>
      <c r="W7" s="61">
        <f>VLOOKUP($C7,'Table S3 Literature Values'!$A$10:$AV$10000,W$1,FALSE)</f>
        <v>7.58</v>
      </c>
      <c r="X7" s="61">
        <f>INDEX('Table S3 Literature Values'!$A$10:$AV$10000,MATCH($C7,'Table S3 Literature Values'!$A$10:$A$10000,0)+1,X$1)</f>
        <v>0.19516846111109046</v>
      </c>
      <c r="Y7" s="63">
        <f>INDEX('Table S3 Literature Values'!$A$10:$AV$10000,MATCH($C7,'Table S3 Literature Values'!$A$10:$A$10000,0)+2,X$1)</f>
        <v>1</v>
      </c>
      <c r="Z7" s="61">
        <f>VLOOKUP($C7,'Table S3 Literature Values'!$A$10:$AV$10000,Z$1,FALSE)</f>
        <v>5.7</v>
      </c>
      <c r="AA7" s="61">
        <f>INDEX('Table S3 Literature Values'!$A$10:$AV$10000,MATCH($C7,'Table S3 Literature Values'!$A$10:$A$10000,0)+1,AA$1)</f>
        <v>1.1400000000000001</v>
      </c>
      <c r="AB7" s="63">
        <f>INDEX('Table S3 Literature Values'!$A$10:$AV$10000,MATCH($C7,'Table S3 Literature Values'!$A$10:$A$10000,0)+2,AA$1)</f>
        <v>1</v>
      </c>
      <c r="AC7" s="61">
        <f>VLOOKUP($C7,'Table S3 Literature Values'!$A$10:$AV$10000,AC$1,FALSE)</f>
        <v>0</v>
      </c>
      <c r="AD7" s="61">
        <f>INDEX('Table S3 Literature Values'!$A$10:$AV$10000,MATCH($C7,'Table S3 Literature Values'!$A$10:$A$10000,0)+1,AD$1)</f>
        <v>0</v>
      </c>
      <c r="AE7" s="63">
        <f>INDEX('Table S3 Literature Values'!$A$10:$AV$10000,MATCH($C7,'Table S3 Literature Values'!$A$10:$A$10000,0)+2,AD$1)</f>
        <v>0</v>
      </c>
      <c r="AF7" s="61">
        <f>VLOOKUP($C7,'Table S3 Literature Values'!$A$10:$AV$10000,AF$1,FALSE)</f>
        <v>-0.77638710177176951</v>
      </c>
      <c r="AG7" s="61">
        <f>INDEX('Table S3 Literature Values'!$A$10:$AV$10000,MATCH($C7,'Table S3 Literature Values'!$A$10:$A$10000,0)+1,AG$1)</f>
        <v>0.12318497505347768</v>
      </c>
      <c r="AH7" s="63">
        <f>INDEX('Table S3 Literature Values'!$A$10:$AV$10000,MATCH($C7,'Table S3 Literature Values'!$A$10:$A$10000,0)+2,AG$1)</f>
        <v>1</v>
      </c>
      <c r="AI7" s="61">
        <f>VLOOKUP($C7,'Table S3 Literature Values'!$A$10:$AV$10000,AI$1,FALSE)</f>
        <v>-1.3462233143573918</v>
      </c>
      <c r="AJ7" s="61">
        <f>INDEX('Table S3 Literature Values'!$A$10:$AV$10000,MATCH($C7,'Table S3 Literature Values'!$A$10:$A$10000,0)+1,AJ$1)</f>
        <v>0.1664666887537469</v>
      </c>
      <c r="AK7" s="63">
        <f>INDEX('Table S3 Literature Values'!$A$10:$AV$10000,MATCH($C7,'Table S3 Literature Values'!$A$10:$A$10000,0)+2,AJ$1)</f>
        <v>1</v>
      </c>
      <c r="AL7" s="61">
        <f>VLOOKUP($C7,'Table S3 Literature Values'!$A$10:$AV$10000,AL$1,FALSE)</f>
        <v>0</v>
      </c>
      <c r="AM7" s="61">
        <f>INDEX('Table S3 Literature Values'!$A$10:$AV$10000,MATCH($C7,'Table S3 Literature Values'!$A$10:$A$10000,0)+1,AM$1)</f>
        <v>0</v>
      </c>
      <c r="AN7" s="63">
        <f>INDEX('Table S3 Literature Values'!$A$10:$AV$10000,MATCH($C7,'Table S3 Literature Values'!$A$10:$A$10000,0)+2,AM$1)</f>
        <v>0</v>
      </c>
      <c r="AO7" s="61">
        <f>VLOOKUP($C7,'Table S3 Literature Values'!$A$10:$AV$10000,AO$1,FALSE)</f>
        <v>0</v>
      </c>
      <c r="AP7" s="61">
        <f>INDEX('Table S3 Literature Values'!$A$10:$AV$10000,MATCH($C7,'Table S3 Literature Values'!$A$10:$A$10000,0)+1,AP$1)</f>
        <v>0</v>
      </c>
      <c r="AQ7" s="63">
        <f>INDEX('Table S3 Literature Values'!$A$10:$AV$10000,MATCH($C7,'Table S3 Literature Values'!$A$10:$A$10000,0)+2,AP$1)</f>
        <v>0</v>
      </c>
      <c r="AR7" s="61">
        <f>VLOOKUP($C7,'Table S3 Literature Values'!$A$10:$AV$10000,AR$1,FALSE)</f>
        <v>78</v>
      </c>
      <c r="AS7" s="61">
        <f>INDEX('Table S3 Literature Values'!$A$10:$AV$10000,MATCH($C7,'Table S3 Literature Values'!$A$10:$A$10000,0)+1,AS$1)</f>
        <v>0.5</v>
      </c>
      <c r="AT7" s="63">
        <f>INDEX('Table S3 Literature Values'!$A$10:$AV$10000,MATCH($C7,'Table S3 Literature Values'!$A$10:$A$10000,0)+2,AS$1)</f>
        <v>3</v>
      </c>
    </row>
    <row r="8" spans="1:46">
      <c r="A8" t="str">
        <f>'Table S2 Compound Identifiers'!C13</f>
        <v>Musk</v>
      </c>
      <c r="B8">
        <f>COUNTIF($C$3:C8,"&lt;&gt;"&amp;"")</f>
        <v>6</v>
      </c>
      <c r="C8" t="str">
        <f>IF('Table S2 Compound Identifiers'!B13="","",'Table S2 Compound Identifiers'!B13)</f>
        <v>Muskonate</v>
      </c>
      <c r="D8" t="str">
        <f>'Table S2 Compound Identifiers'!D13</f>
        <v>54982-83-1</v>
      </c>
      <c r="E8" s="501">
        <f>VLOOKUP(C8,'Table S3 Literature Values'!$A$10:$AV$10000,E$1,FALSE)</f>
        <v>77.5</v>
      </c>
      <c r="F8" s="61">
        <f>INDEX('Table S3 Literature Values'!$A$10:$AV$10000,MATCH(C8,'Table S3 Literature Values'!$A$10:$A$10000,0)+1,F$1)</f>
        <v>5.530664931347351</v>
      </c>
      <c r="G8" s="63">
        <f>INDEX('Table S3 Literature Values'!$A$10:$AV$10000,MATCH($C8,'Table S3 Literature Values'!$A$10:$A$10000,0)+2,F$1)</f>
        <v>1</v>
      </c>
      <c r="H8" s="61">
        <f>VLOOKUP($C8,'Table S3 Literature Values'!$A$10:$AV$10000,H$1,FALSE)</f>
        <v>0</v>
      </c>
      <c r="I8" s="61">
        <f>INDEX('Table S3 Literature Values'!$A$10:$AV$10000,MATCH($C8,'Table S3 Literature Values'!$A$10:$A$10000,0)+1,I$1)</f>
        <v>0</v>
      </c>
      <c r="J8" s="63">
        <f>INDEX('Table S3 Literature Values'!$A$10:$AV$10000,MATCH($C8,'Table S3 Literature Values'!$A$10:$A$10000,0)+2,I$1)</f>
        <v>0</v>
      </c>
      <c r="K8" s="61">
        <f>VLOOKUP($C8,'Table S3 Literature Values'!$A$10:$AV$10000,K$1,FALSE)</f>
        <v>0</v>
      </c>
      <c r="L8" s="61">
        <f>INDEX('Table S3 Literature Values'!$A$10:$AV$10000,MATCH($C8,'Table S3 Literature Values'!$A$10:$A$10000,0)+1,L$1)</f>
        <v>0</v>
      </c>
      <c r="M8" s="63">
        <f>INDEX('Table S3 Literature Values'!$A$10:$AV$10000,MATCH($C8,'Table S3 Literature Values'!$A$10:$A$10000,0)+2,L$1)</f>
        <v>0</v>
      </c>
      <c r="N8" s="61">
        <f>VLOOKUP($C8,'Table S3 Literature Values'!$A$10:$AV$10000,N$1,FALSE)</f>
        <v>65.2</v>
      </c>
      <c r="O8" s="61">
        <f>INDEX('Table S3 Literature Values'!$A$10:$AV$10000,MATCH($C8,'Table S3 Literature Values'!$A$10:$A$10000,0)+1,O$1)</f>
        <v>4.1309470624742737</v>
      </c>
      <c r="P8" s="63">
        <f>INDEX('Table S3 Literature Values'!$A$10:$AV$10000,MATCH($C8,'Table S3 Literature Values'!$A$10:$A$10000,0)+2,O$1)</f>
        <v>1</v>
      </c>
      <c r="Q8" s="61">
        <f>VLOOKUP($C8,'Table S3 Literature Values'!$A$10:$AV$10000,Q$1,FALSE)</f>
        <v>0</v>
      </c>
      <c r="R8" s="61">
        <f>INDEX('Table S3 Literature Values'!$A$10:$AV$10000,MATCH($C8,'Table S3 Literature Values'!$A$10:$A$10000,0)+1,R$1)</f>
        <v>0</v>
      </c>
      <c r="S8" s="63">
        <f>INDEX('Table S3 Literature Values'!$A$10:$AV$10000,MATCH($C8,'Table S3 Literature Values'!$A$10:$A$10000,0)+2,R$1)</f>
        <v>0</v>
      </c>
      <c r="T8" s="61">
        <f>VLOOKUP($C8,'Table S3 Literature Values'!$A$10:$AV$10000,T$1,FALSE)</f>
        <v>0</v>
      </c>
      <c r="U8" s="61">
        <f>INDEX('Table S3 Literature Values'!$A$10:$AV$10000,MATCH($C8,'Table S3 Literature Values'!$A$10:$A$10000,0)+1,U$1)</f>
        <v>0</v>
      </c>
      <c r="V8" s="63">
        <f>INDEX('Table S3 Literature Values'!$A$10:$AV$10000,MATCH($C8,'Table S3 Literature Values'!$A$10:$A$10000,0)+2,U$1)</f>
        <v>0</v>
      </c>
      <c r="W8" s="61">
        <f>VLOOKUP($C8,'Table S3 Literature Values'!$A$10:$AV$10000,W$1,FALSE)</f>
        <v>7.8241175322339735</v>
      </c>
      <c r="X8" s="61">
        <f>INDEX('Table S3 Literature Values'!$A$10:$AV$10000,MATCH($C8,'Table S3 Literature Values'!$A$10:$A$10000,0)+1,X$1)</f>
        <v>0.20145395492327275</v>
      </c>
      <c r="Y8" s="63">
        <f>INDEX('Table S3 Literature Values'!$A$10:$AV$10000,MATCH($C8,'Table S3 Literature Values'!$A$10:$A$10000,0)+2,X$1)</f>
        <v>1</v>
      </c>
      <c r="Z8" s="61">
        <f ca="1">VLOOKUP($C8,'Table S3 Literature Values'!$A$10:$AV$10000,Z$1,FALSE)</f>
        <v>3.6861571944287661</v>
      </c>
      <c r="AA8" s="61">
        <f ca="1">INDEX('Table S3 Literature Values'!$A$10:$AV$10000,MATCH($C8,'Table S3 Literature Values'!$A$10:$A$10000,0)+1,AA$1)</f>
        <v>0.73723143888575327</v>
      </c>
      <c r="AB8" s="63">
        <f ca="1">INDEX('Table S3 Literature Values'!$A$10:$AV$10000,MATCH($C8,'Table S3 Literature Values'!$A$10:$A$10000,0)+2,AA$1)</f>
        <v>1</v>
      </c>
      <c r="AC8" s="61">
        <f>VLOOKUP($C8,'Table S3 Literature Values'!$A$10:$AV$10000,AC$1,FALSE)</f>
        <v>0</v>
      </c>
      <c r="AD8" s="61">
        <f>INDEX('Table S3 Literature Values'!$A$10:$AV$10000,MATCH($C8,'Table S3 Literature Values'!$A$10:$A$10000,0)+1,AD$1)</f>
        <v>0</v>
      </c>
      <c r="AE8" s="63">
        <f>INDEX('Table S3 Literature Values'!$A$10:$AV$10000,MATCH($C8,'Table S3 Literature Values'!$A$10:$A$10000,0)+2,AD$1)</f>
        <v>0</v>
      </c>
      <c r="AF8" s="61">
        <f>VLOOKUP($C8,'Table S3 Literature Values'!$A$10:$AV$10000,AF$1,FALSE)</f>
        <v>-1.345</v>
      </c>
      <c r="AG8" s="61">
        <f>INDEX('Table S3 Literature Values'!$A$10:$AV$10000,MATCH($C8,'Table S3 Literature Values'!$A$10:$A$10000,0)+1,AG$1)</f>
        <v>0.28991378028648518</v>
      </c>
      <c r="AH8" s="63">
        <f>INDEX('Table S3 Literature Values'!$A$10:$AV$10000,MATCH($C8,'Table S3 Literature Values'!$A$10:$A$10000,0)+2,AG$1)</f>
        <v>2</v>
      </c>
      <c r="AI8" s="61">
        <f ca="1">VLOOKUP($C8,'Table S3 Literature Values'!$A$10:$AV$10000,AI$1,FALSE)</f>
        <v>-0.53943539372837501</v>
      </c>
      <c r="AJ8" s="61">
        <f ca="1">INDEX('Table S3 Literature Values'!$A$10:$AV$10000,MATCH($C8,'Table S3 Literature Values'!$A$10:$A$10000,0)+1,AJ$1)</f>
        <v>6.6703661148076784E-2</v>
      </c>
      <c r="AK8" s="63">
        <f ca="1">INDEX('Table S3 Literature Values'!$A$10:$AV$10000,MATCH($C8,'Table S3 Literature Values'!$A$10:$A$10000,0)+2,AJ$1)</f>
        <v>1</v>
      </c>
      <c r="AL8" s="61">
        <f>VLOOKUP($C8,'Table S3 Literature Values'!$A$10:$AV$10000,AL$1,FALSE)</f>
        <v>0</v>
      </c>
      <c r="AM8" s="61">
        <f>INDEX('Table S3 Literature Values'!$A$10:$AV$10000,MATCH($C8,'Table S3 Literature Values'!$A$10:$A$10000,0)+1,AM$1)</f>
        <v>0</v>
      </c>
      <c r="AN8" s="63">
        <f>INDEX('Table S3 Literature Values'!$A$10:$AV$10000,MATCH($C8,'Table S3 Literature Values'!$A$10:$A$10000,0)+2,AM$1)</f>
        <v>0</v>
      </c>
      <c r="AO8" s="61">
        <f>VLOOKUP($C8,'Table S3 Literature Values'!$A$10:$AV$10000,AO$1,FALSE)</f>
        <v>0</v>
      </c>
      <c r="AP8" s="61">
        <f>INDEX('Table S3 Literature Values'!$A$10:$AV$10000,MATCH($C8,'Table S3 Literature Values'!$A$10:$A$10000,0)+1,AP$1)</f>
        <v>0</v>
      </c>
      <c r="AQ8" s="63">
        <f>INDEX('Table S3 Literature Values'!$A$10:$AV$10000,MATCH($C8,'Table S3 Literature Values'!$A$10:$A$10000,0)+2,AP$1)</f>
        <v>0</v>
      </c>
      <c r="AR8" s="61">
        <f>VLOOKUP($C8,'Table S3 Literature Values'!$A$10:$AV$10000,AR$1,FALSE)</f>
        <v>17.36</v>
      </c>
      <c r="AS8" s="61">
        <f>INDEX('Table S3 Literature Values'!$A$10:$AV$10000,MATCH($C8,'Table S3 Literature Values'!$A$10:$A$10000,0)+1,AS$1)</f>
        <v>0.90509667991878162</v>
      </c>
      <c r="AT8" s="63">
        <f>INDEX('Table S3 Literature Values'!$A$10:$AV$10000,MATCH($C8,'Table S3 Literature Values'!$A$10:$A$10000,0)+2,AS$1)</f>
        <v>2</v>
      </c>
    </row>
    <row r="9" spans="1:46">
      <c r="A9" t="str">
        <f>'Table S2 Compound Identifiers'!C14</f>
        <v>Musk</v>
      </c>
      <c r="B9">
        <f>COUNTIF($C$3:C9,"&lt;&gt;"&amp;"")</f>
        <v>7</v>
      </c>
      <c r="C9" t="str">
        <f>IF('Table S2 Compound Identifiers'!B14="","",'Table S2 Compound Identifiers'!B14)</f>
        <v>Phantolide</v>
      </c>
      <c r="D9" t="str">
        <f>'Table S2 Compound Identifiers'!D14</f>
        <v>15323-35-0</v>
      </c>
      <c r="E9" s="501">
        <f>VLOOKUP(C9,'Table S3 Literature Values'!$A$10:$AV$10000,E$1,FALSE)</f>
        <v>70.5</v>
      </c>
      <c r="F9" s="61">
        <f>INDEX('Table S3 Literature Values'!$A$10:$AV$10000,MATCH(C9,'Table S3 Literature Values'!$A$10:$A$10000,0)+1,F$1)</f>
        <v>5.0311210020643644</v>
      </c>
      <c r="G9" s="63">
        <f>INDEX('Table S3 Literature Values'!$A$10:$AV$10000,MATCH($C9,'Table S3 Literature Values'!$A$10:$A$10000,0)+2,F$1)</f>
        <v>1</v>
      </c>
      <c r="H9" s="61">
        <f>VLOOKUP($C9,'Table S3 Literature Values'!$A$10:$AV$10000,H$1,FALSE)</f>
        <v>-19.961429878840377</v>
      </c>
      <c r="I9" s="61">
        <f>INDEX('Table S3 Literature Values'!$A$10:$AV$10000,MATCH($C9,'Table S3 Literature Values'!$A$10:$A$10000,0)+1,I$1)</f>
        <v>5.9884289636521126</v>
      </c>
      <c r="J9" s="63">
        <f>INDEX('Table S3 Literature Values'!$A$10:$AV$10000,MATCH($C9,'Table S3 Literature Values'!$A$10:$A$10000,0)+2,I$1)</f>
        <v>1</v>
      </c>
      <c r="K9" s="61">
        <f>VLOOKUP($C9,'Table S3 Literature Values'!$A$10:$AV$10000,K$1,FALSE)</f>
        <v>0</v>
      </c>
      <c r="L9" s="61">
        <f>INDEX('Table S3 Literature Values'!$A$10:$AV$10000,MATCH($C9,'Table S3 Literature Values'!$A$10:$A$10000,0)+1,L$1)</f>
        <v>0</v>
      </c>
      <c r="M9" s="63">
        <f>INDEX('Table S3 Literature Values'!$A$10:$AV$10000,MATCH($C9,'Table S3 Literature Values'!$A$10:$A$10000,0)+2,L$1)</f>
        <v>0</v>
      </c>
      <c r="N9" s="61">
        <f>VLOOKUP($C9,'Table S3 Literature Values'!$A$10:$AV$10000,N$1,FALSE)</f>
        <v>62.5</v>
      </c>
      <c r="O9" s="61">
        <f>INDEX('Table S3 Literature Values'!$A$10:$AV$10000,MATCH($C9,'Table S3 Literature Values'!$A$10:$A$10000,0)+1,O$1)</f>
        <v>6.0811183182043047</v>
      </c>
      <c r="P9" s="63">
        <f>INDEX('Table S3 Literature Values'!$A$10:$AV$10000,MATCH($C9,'Table S3 Literature Values'!$A$10:$A$10000,0)+2,O$1)</f>
        <v>2</v>
      </c>
      <c r="Q9" s="61">
        <f>VLOOKUP($C9,'Table S3 Literature Values'!$A$10:$AV$10000,Q$1,FALSE)</f>
        <v>0</v>
      </c>
      <c r="R9" s="61">
        <f>INDEX('Table S3 Literature Values'!$A$10:$AV$10000,MATCH($C9,'Table S3 Literature Values'!$A$10:$A$10000,0)+1,R$1)</f>
        <v>0</v>
      </c>
      <c r="S9" s="63">
        <f>INDEX('Table S3 Literature Values'!$A$10:$AV$10000,MATCH($C9,'Table S3 Literature Values'!$A$10:$A$10000,0)+2,R$1)</f>
        <v>0</v>
      </c>
      <c r="T9" s="61">
        <f>VLOOKUP($C9,'Table S3 Literature Values'!$A$10:$AV$10000,T$1,FALSE)</f>
        <v>2.2398120181888418E-2</v>
      </c>
      <c r="U9" s="61">
        <f>INDEX('Table S3 Literature Values'!$A$10:$AV$10000,MATCH($C9,'Table S3 Literature Values'!$A$10:$A$10000,0)+1,U$1)</f>
        <v>6.7194360545665254E-3</v>
      </c>
      <c r="V9" s="63">
        <f>INDEX('Table S3 Literature Values'!$A$10:$AV$10000,MATCH($C9,'Table S3 Literature Values'!$A$10:$A$10000,0)+2,U$1)</f>
        <v>1</v>
      </c>
      <c r="W9" s="61">
        <f>VLOOKUP($C9,'Table S3 Literature Values'!$A$10:$AV$10000,W$1,FALSE)</f>
        <v>7.6006955888277421</v>
      </c>
      <c r="X9" s="61">
        <f>INDEX('Table S3 Literature Values'!$A$10:$AV$10000,MATCH($C9,'Table S3 Literature Values'!$A$10:$A$10000,0)+1,X$1)</f>
        <v>0.22529045882566684</v>
      </c>
      <c r="Y9" s="63">
        <f>INDEX('Table S3 Literature Values'!$A$10:$AV$10000,MATCH($C9,'Table S3 Literature Values'!$A$10:$A$10000,0)+2,X$1)</f>
        <v>2</v>
      </c>
      <c r="Z9" s="61">
        <f ca="1">VLOOKUP($C9,'Table S3 Literature Values'!$A$10:$AV$10000,Z$1,FALSE)</f>
        <v>5.6060544545641475</v>
      </c>
      <c r="AA9" s="61">
        <f ca="1">INDEX('Table S3 Literature Values'!$A$10:$AV$10000,MATCH($C9,'Table S3 Literature Values'!$A$10:$A$10000,0)+1,AA$1)</f>
        <v>1.1212108909128295</v>
      </c>
      <c r="AB9" s="63">
        <f ca="1">INDEX('Table S3 Literature Values'!$A$10:$AV$10000,MATCH($C9,'Table S3 Literature Values'!$A$10:$A$10000,0)+2,AA$1)</f>
        <v>1</v>
      </c>
      <c r="AC9" s="61">
        <f>VLOOKUP($C9,'Table S3 Literature Values'!$A$10:$AV$10000,AC$1,FALSE)</f>
        <v>0</v>
      </c>
      <c r="AD9" s="61">
        <f>INDEX('Table S3 Literature Values'!$A$10:$AV$10000,MATCH($C9,'Table S3 Literature Values'!$A$10:$A$10000,0)+1,AD$1)</f>
        <v>0</v>
      </c>
      <c r="AE9" s="63">
        <f>INDEX('Table S3 Literature Values'!$A$10:$AV$10000,MATCH($C9,'Table S3 Literature Values'!$A$10:$A$10000,0)+2,AD$1)</f>
        <v>0</v>
      </c>
      <c r="AF9" s="61">
        <f>VLOOKUP($C9,'Table S3 Literature Values'!$A$10:$AV$10000,AF$1,FALSE)</f>
        <v>-0.78068417864398842</v>
      </c>
      <c r="AG9" s="61">
        <f>INDEX('Table S3 Literature Values'!$A$10:$AV$10000,MATCH($C9,'Table S3 Literature Values'!$A$10:$A$10000,0)+1,AG$1)</f>
        <v>0.23818872039740308</v>
      </c>
      <c r="AH9" s="63">
        <f>INDEX('Table S3 Literature Values'!$A$10:$AV$10000,MATCH($C9,'Table S3 Literature Values'!$A$10:$A$10000,0)+2,AG$1)</f>
        <v>3</v>
      </c>
      <c r="AI9" s="61">
        <f ca="1">VLOOKUP($C9,'Table S3 Literature Values'!$A$10:$AV$10000,AI$1,FALSE)</f>
        <v>-1.396741318857573</v>
      </c>
      <c r="AJ9" s="61">
        <f ca="1">INDEX('Table S3 Literature Values'!$A$10:$AV$10000,MATCH($C9,'Table S3 Literature Values'!$A$10:$A$10000,0)+1,AJ$1)</f>
        <v>0.17271347176656843</v>
      </c>
      <c r="AK9" s="63">
        <f ca="1">INDEX('Table S3 Literature Values'!$A$10:$AV$10000,MATCH($C9,'Table S3 Literature Values'!$A$10:$A$10000,0)+2,AJ$1)</f>
        <v>1</v>
      </c>
      <c r="AL9" s="61">
        <f>VLOOKUP($C9,'Table S3 Literature Values'!$A$10:$AV$10000,AL$1,FALSE)</f>
        <v>0</v>
      </c>
      <c r="AM9" s="61">
        <f>INDEX('Table S3 Literature Values'!$A$10:$AV$10000,MATCH($C9,'Table S3 Literature Values'!$A$10:$A$10000,0)+1,AM$1)</f>
        <v>0</v>
      </c>
      <c r="AN9" s="63">
        <f>INDEX('Table S3 Literature Values'!$A$10:$AV$10000,MATCH($C9,'Table S3 Literature Values'!$A$10:$A$10000,0)+2,AM$1)</f>
        <v>0</v>
      </c>
      <c r="AO9" s="61">
        <f>VLOOKUP($C9,'Table S3 Literature Values'!$A$10:$AV$10000,AO$1,FALSE)</f>
        <v>0</v>
      </c>
      <c r="AP9" s="61">
        <f>INDEX('Table S3 Literature Values'!$A$10:$AV$10000,MATCH($C9,'Table S3 Literature Values'!$A$10:$A$10000,0)+1,AP$1)</f>
        <v>0</v>
      </c>
      <c r="AQ9" s="63">
        <f>INDEX('Table S3 Literature Values'!$A$10:$AV$10000,MATCH($C9,'Table S3 Literature Values'!$A$10:$A$10000,0)+2,AP$1)</f>
        <v>0</v>
      </c>
      <c r="AR9" s="61">
        <f>VLOOKUP($C9,'Table S3 Literature Values'!$A$10:$AV$10000,AR$1,FALSE)</f>
        <v>59.8</v>
      </c>
      <c r="AS9" s="61">
        <f>INDEX('Table S3 Literature Values'!$A$10:$AV$10000,MATCH($C9,'Table S3 Literature Values'!$A$10:$A$10000,0)+1,AS$1)</f>
        <v>2.4041630560342604</v>
      </c>
      <c r="AT9" s="63">
        <f>INDEX('Table S3 Literature Values'!$A$10:$AV$10000,MATCH($C9,'Table S3 Literature Values'!$A$10:$A$10000,0)+2,AS$1)</f>
        <v>3</v>
      </c>
    </row>
    <row r="10" spans="1:46">
      <c r="A10" t="str">
        <f>'Table S2 Compound Identifiers'!C15</f>
        <v>Musk</v>
      </c>
      <c r="B10">
        <f>COUNTIF($C$3:C10,"&lt;&gt;"&amp;"")</f>
        <v>8</v>
      </c>
      <c r="C10" t="str">
        <f>IF('Table S2 Compound Identifiers'!B15="","",'Table S2 Compound Identifiers'!B15)</f>
        <v>Cervolide</v>
      </c>
      <c r="D10" t="str">
        <f>'Table S2 Compound Identifiers'!D15</f>
        <v>6707-60-4</v>
      </c>
      <c r="E10" s="501">
        <f>VLOOKUP(C10,'Table S3 Literature Values'!$A$10:$AV$10000,E$1,FALSE)</f>
        <v>62.150000000000006</v>
      </c>
      <c r="F10" s="61">
        <f>INDEX('Table S3 Literature Values'!$A$10:$AV$10000,MATCH(C10,'Table S3 Literature Values'!$A$10:$A$10000,0)+1,F$1)</f>
        <v>19.445436482630033</v>
      </c>
      <c r="G10" s="63">
        <f>INDEX('Table S3 Literature Values'!$A$10:$AV$10000,MATCH($C10,'Table S3 Literature Values'!$A$10:$A$10000,0)+2,F$1)</f>
        <v>2</v>
      </c>
      <c r="H10" s="61">
        <f>VLOOKUP($C10,'Table S3 Literature Values'!$A$10:$AV$10000,H$1,FALSE)</f>
        <v>0</v>
      </c>
      <c r="I10" s="61">
        <f>INDEX('Table S3 Literature Values'!$A$10:$AV$10000,MATCH($C10,'Table S3 Literature Values'!$A$10:$A$10000,0)+1,I$1)</f>
        <v>0</v>
      </c>
      <c r="J10" s="63">
        <f>INDEX('Table S3 Literature Values'!$A$10:$AV$10000,MATCH($C10,'Table S3 Literature Values'!$A$10:$A$10000,0)+2,I$1)</f>
        <v>0</v>
      </c>
      <c r="K10" s="61">
        <f>VLOOKUP($C10,'Table S3 Literature Values'!$A$10:$AV$10000,K$1,FALSE)</f>
        <v>0</v>
      </c>
      <c r="L10" s="61">
        <f>INDEX('Table S3 Literature Values'!$A$10:$AV$10000,MATCH($C10,'Table S3 Literature Values'!$A$10:$A$10000,0)+1,L$1)</f>
        <v>0</v>
      </c>
      <c r="M10" s="63">
        <f>INDEX('Table S3 Literature Values'!$A$10:$AV$10000,MATCH($C10,'Table S3 Literature Values'!$A$10:$A$10000,0)+2,L$1)</f>
        <v>0</v>
      </c>
      <c r="N10" s="61">
        <f>VLOOKUP($C10,'Table S3 Literature Values'!$A$10:$AV$10000,N$1,FALSE)</f>
        <v>47.6</v>
      </c>
      <c r="O10" s="61">
        <f>INDEX('Table S3 Literature Values'!$A$10:$AV$10000,MATCH($C10,'Table S3 Literature Values'!$A$10:$A$10000,0)+1,O$1)</f>
        <v>3.0158447879413406</v>
      </c>
      <c r="P10" s="63">
        <f>INDEX('Table S3 Literature Values'!$A$10:$AV$10000,MATCH($C10,'Table S3 Literature Values'!$A$10:$A$10000,0)+2,O$1)</f>
        <v>1</v>
      </c>
      <c r="Q10" s="61">
        <f>VLOOKUP($C10,'Table S3 Literature Values'!$A$10:$AV$10000,Q$1,FALSE)</f>
        <v>0</v>
      </c>
      <c r="R10" s="61">
        <f>INDEX('Table S3 Literature Values'!$A$10:$AV$10000,MATCH($C10,'Table S3 Literature Values'!$A$10:$A$10000,0)+1,R$1)</f>
        <v>0</v>
      </c>
      <c r="S10" s="63">
        <f>INDEX('Table S3 Literature Values'!$A$10:$AV$10000,MATCH($C10,'Table S3 Literature Values'!$A$10:$A$10000,0)+2,R$1)</f>
        <v>0</v>
      </c>
      <c r="T10" s="61">
        <f>VLOOKUP($C10,'Table S3 Literature Values'!$A$10:$AV$10000,T$1,FALSE)</f>
        <v>0</v>
      </c>
      <c r="U10" s="61">
        <f>INDEX('Table S3 Literature Values'!$A$10:$AV$10000,MATCH($C10,'Table S3 Literature Values'!$A$10:$A$10000,0)+1,U$1)</f>
        <v>0</v>
      </c>
      <c r="V10" s="63">
        <f>INDEX('Table S3 Literature Values'!$A$10:$AV$10000,MATCH($C10,'Table S3 Literature Values'!$A$10:$A$10000,0)+2,U$1)</f>
        <v>0</v>
      </c>
      <c r="W10" s="61">
        <f>VLOOKUP($C10,'Table S3 Literature Values'!$A$10:$AV$10000,W$1,FALSE)</f>
        <v>7.7366088067909136</v>
      </c>
      <c r="X10" s="61">
        <f>INDEX('Table S3 Literature Values'!$A$10:$AV$10000,MATCH($C10,'Table S3 Literature Values'!$A$10:$A$10000,0)+1,X$1)</f>
        <v>0.19920079617940534</v>
      </c>
      <c r="Y10" s="63">
        <f>INDEX('Table S3 Literature Values'!$A$10:$AV$10000,MATCH($C10,'Table S3 Literature Values'!$A$10:$A$10000,0)+2,X$1)</f>
        <v>1</v>
      </c>
      <c r="Z10" s="61">
        <f ca="1">VLOOKUP($C10,'Table S3 Literature Values'!$A$10:$AV$10000,Z$1,FALSE)</f>
        <v>4.2892948003267835</v>
      </c>
      <c r="AA10" s="61">
        <f ca="1">INDEX('Table S3 Literature Values'!$A$10:$AV$10000,MATCH($C10,'Table S3 Literature Values'!$A$10:$A$10000,0)+1,AA$1)</f>
        <v>1.2867884400980349</v>
      </c>
      <c r="AB10" s="63">
        <f ca="1">INDEX('Table S3 Literature Values'!$A$10:$AV$10000,MATCH($C10,'Table S3 Literature Values'!$A$10:$A$10000,0)+2,AA$1)</f>
        <v>1</v>
      </c>
      <c r="AC10" s="61">
        <f>VLOOKUP($C10,'Table S3 Literature Values'!$A$10:$AV$10000,AC$1,FALSE)</f>
        <v>0</v>
      </c>
      <c r="AD10" s="61">
        <f>INDEX('Table S3 Literature Values'!$A$10:$AV$10000,MATCH($C10,'Table S3 Literature Values'!$A$10:$A$10000,0)+1,AD$1)</f>
        <v>0</v>
      </c>
      <c r="AE10" s="63">
        <f>INDEX('Table S3 Literature Values'!$A$10:$AV$10000,MATCH($C10,'Table S3 Literature Values'!$A$10:$A$10000,0)+2,AD$1)</f>
        <v>0</v>
      </c>
      <c r="AF10" s="61">
        <f>VLOOKUP($C10,'Table S3 Literature Values'!$A$10:$AV$10000,AF$1,FALSE)</f>
        <v>-1.0485024426567202</v>
      </c>
      <c r="AG10" s="61">
        <f>INDEX('Table S3 Literature Values'!$A$10:$AV$10000,MATCH($C10,'Table S3 Literature Values'!$A$10:$A$10000,0)+1,AG$1)</f>
        <v>0.27081844275618577</v>
      </c>
      <c r="AH10" s="63">
        <f>INDEX('Table S3 Literature Values'!$A$10:$AV$10000,MATCH($C10,'Table S3 Literature Values'!$A$10:$A$10000,0)+2,AG$1)</f>
        <v>2</v>
      </c>
      <c r="AI10" s="61">
        <f ca="1">VLOOKUP($C10,'Table S3 Literature Values'!$A$10:$AV$10000,AI$1,FALSE)</f>
        <v>-1.0416446631836234</v>
      </c>
      <c r="AJ10" s="61">
        <f ca="1">INDEX('Table S3 Literature Values'!$A$10:$AV$10000,MATCH($C10,'Table S3 Literature Values'!$A$10:$A$10000,0)+1,AJ$1)</f>
        <v>0.12880414125123094</v>
      </c>
      <c r="AK10" s="63">
        <f ca="1">INDEX('Table S3 Literature Values'!$A$10:$AV$10000,MATCH($C10,'Table S3 Literature Values'!$A$10:$A$10000,0)+2,AJ$1)</f>
        <v>1</v>
      </c>
      <c r="AL10" s="61">
        <f>VLOOKUP($C10,'Table S3 Literature Values'!$A$10:$AV$10000,AL$1,FALSE)</f>
        <v>0</v>
      </c>
      <c r="AM10" s="61">
        <f>INDEX('Table S3 Literature Values'!$A$10:$AV$10000,MATCH($C10,'Table S3 Literature Values'!$A$10:$A$10000,0)+1,AM$1)</f>
        <v>0</v>
      </c>
      <c r="AN10" s="63">
        <f>INDEX('Table S3 Literature Values'!$A$10:$AV$10000,MATCH($C10,'Table S3 Literature Values'!$A$10:$A$10000,0)+2,AM$1)</f>
        <v>0</v>
      </c>
      <c r="AO10" s="61">
        <f>VLOOKUP($C10,'Table S3 Literature Values'!$A$10:$AV$10000,AO$1,FALSE)</f>
        <v>0</v>
      </c>
      <c r="AP10" s="61">
        <f>INDEX('Table S3 Literature Values'!$A$10:$AV$10000,MATCH($C10,'Table S3 Literature Values'!$A$10:$A$10000,0)+1,AP$1)</f>
        <v>0</v>
      </c>
      <c r="AQ10" s="63">
        <f>INDEX('Table S3 Literature Values'!$A$10:$AV$10000,MATCH($C10,'Table S3 Literature Values'!$A$10:$A$10000,0)+2,AP$1)</f>
        <v>0</v>
      </c>
      <c r="AR10" s="61">
        <f>VLOOKUP($C10,'Table S3 Literature Values'!$A$10:$AV$10000,AR$1,FALSE)</f>
        <v>-27.1</v>
      </c>
      <c r="AS10" s="61">
        <f>INDEX('Table S3 Literature Values'!$A$10:$AV$10000,MATCH($C10,'Table S3 Literature Values'!$A$10:$A$10000,0)+1,AS$1)</f>
        <v>1.2510909358091147</v>
      </c>
      <c r="AT10" s="63">
        <f>INDEX('Table S3 Literature Values'!$A$10:$AV$10000,MATCH($C10,'Table S3 Literature Values'!$A$10:$A$10000,0)+2,AS$1)</f>
        <v>1</v>
      </c>
    </row>
    <row r="11" spans="1:46">
      <c r="A11" t="str">
        <f>'Table S2 Compound Identifiers'!C16</f>
        <v>Musk</v>
      </c>
      <c r="B11">
        <f>COUNTIF($C$3:C11,"&lt;&gt;"&amp;"")</f>
        <v>9</v>
      </c>
      <c r="C11" t="str">
        <f>IF('Table S2 Compound Identifiers'!B16="","",'Table S2 Compound Identifiers'!B16)</f>
        <v>Traseolide</v>
      </c>
      <c r="D11" t="str">
        <f>'Table S2 Compound Identifiers'!D16</f>
        <v>68140-48-7</v>
      </c>
      <c r="E11" s="501">
        <f>VLOOKUP(C11,'Table S3 Literature Values'!$A$10:$AV$10000,E$1,FALSE)</f>
        <v>76.8</v>
      </c>
      <c r="F11" s="61">
        <f>INDEX('Table S3 Literature Values'!$A$10:$AV$10000,MATCH(C11,'Table S3 Literature Values'!$A$10:$A$10000,0)+1,F$1)</f>
        <v>5.4807105384190518</v>
      </c>
      <c r="G11" s="63">
        <f>INDEX('Table S3 Literature Values'!$A$10:$AV$10000,MATCH($C11,'Table S3 Literature Values'!$A$10:$A$10000,0)+2,F$1)</f>
        <v>1</v>
      </c>
      <c r="H11" s="61">
        <f>VLOOKUP($C11,'Table S3 Literature Values'!$A$10:$AV$10000,H$1,FALSE)</f>
        <v>-36.996452467197493</v>
      </c>
      <c r="I11" s="61">
        <f>INDEX('Table S3 Literature Values'!$A$10:$AV$10000,MATCH($C11,'Table S3 Literature Values'!$A$10:$A$10000,0)+1,I$1)</f>
        <v>11.098935740159247</v>
      </c>
      <c r="J11" s="63">
        <f>INDEX('Table S3 Literature Values'!$A$10:$AV$10000,MATCH($C11,'Table S3 Literature Values'!$A$10:$A$10000,0)+2,I$1)</f>
        <v>1</v>
      </c>
      <c r="K11" s="61">
        <f>VLOOKUP($C11,'Table S3 Literature Values'!$A$10:$AV$10000,K$1,FALSE)</f>
        <v>0</v>
      </c>
      <c r="L11" s="61">
        <f>INDEX('Table S3 Literature Values'!$A$10:$AV$10000,MATCH($C11,'Table S3 Literature Values'!$A$10:$A$10000,0)+1,L$1)</f>
        <v>0</v>
      </c>
      <c r="M11" s="63">
        <f>INDEX('Table S3 Literature Values'!$A$10:$AV$10000,MATCH($C11,'Table S3 Literature Values'!$A$10:$A$10000,0)+2,L$1)</f>
        <v>0</v>
      </c>
      <c r="N11" s="61">
        <f>VLOOKUP($C11,'Table S3 Literature Values'!$A$10:$AV$10000,N$1,FALSE)</f>
        <v>64.5</v>
      </c>
      <c r="O11" s="61">
        <f>INDEX('Table S3 Literature Values'!$A$10:$AV$10000,MATCH($C11,'Table S3 Literature Values'!$A$10:$A$10000,0)+1,O$1)</f>
        <v>4.0865964038280769</v>
      </c>
      <c r="P11" s="63">
        <f>INDEX('Table S3 Literature Values'!$A$10:$AV$10000,MATCH($C11,'Table S3 Literature Values'!$A$10:$A$10000,0)+2,O$1)</f>
        <v>1</v>
      </c>
      <c r="Q11" s="61">
        <f>VLOOKUP($C11,'Table S3 Literature Values'!$A$10:$AV$10000,Q$1,FALSE)</f>
        <v>0</v>
      </c>
      <c r="R11" s="61">
        <f>INDEX('Table S3 Literature Values'!$A$10:$AV$10000,MATCH($C11,'Table S3 Literature Values'!$A$10:$A$10000,0)+1,R$1)</f>
        <v>0</v>
      </c>
      <c r="S11" s="63">
        <f>INDEX('Table S3 Literature Values'!$A$10:$AV$10000,MATCH($C11,'Table S3 Literature Values'!$A$10:$A$10000,0)+2,R$1)</f>
        <v>0</v>
      </c>
      <c r="T11" s="61">
        <f>VLOOKUP($C11,'Table S3 Literature Values'!$A$10:$AV$10000,T$1,FALSE)</f>
        <v>-2.8524101770097222E-2</v>
      </c>
      <c r="U11" s="61">
        <f>INDEX('Table S3 Literature Values'!$A$10:$AV$10000,MATCH($C11,'Table S3 Literature Values'!$A$10:$A$10000,0)+1,U$1)</f>
        <v>8.5572305310291658E-3</v>
      </c>
      <c r="V11" s="63">
        <f>INDEX('Table S3 Literature Values'!$A$10:$AV$10000,MATCH($C11,'Table S3 Literature Values'!$A$10:$A$10000,0)+2,U$1)</f>
        <v>1</v>
      </c>
      <c r="W11" s="61">
        <f>VLOOKUP($C11,'Table S3 Literature Values'!$A$10:$AV$10000,W$1,FALSE)</f>
        <v>7.9485634665041607</v>
      </c>
      <c r="X11" s="61">
        <f>INDEX('Table S3 Literature Values'!$A$10:$AV$10000,MATCH($C11,'Table S3 Literature Values'!$A$10:$A$10000,0)+1,X$1)</f>
        <v>0.32730068449843069</v>
      </c>
      <c r="Y11" s="63">
        <f>INDEX('Table S3 Literature Values'!$A$10:$AV$10000,MATCH($C11,'Table S3 Literature Values'!$A$10:$A$10000,0)+2,X$1)</f>
        <v>2</v>
      </c>
      <c r="Z11" s="61">
        <f ca="1">VLOOKUP($C11,'Table S3 Literature Values'!$A$10:$AV$10000,Z$1,FALSE)</f>
        <v>5.6401972406215748</v>
      </c>
      <c r="AA11" s="61">
        <f ca="1">INDEX('Table S3 Literature Values'!$A$10:$AV$10000,MATCH($C11,'Table S3 Literature Values'!$A$10:$A$10000,0)+1,AA$1)</f>
        <v>1.6920591721864724</v>
      </c>
      <c r="AB11" s="63">
        <f ca="1">INDEX('Table S3 Literature Values'!$A$10:$AV$10000,MATCH($C11,'Table S3 Literature Values'!$A$10:$A$10000,0)+2,AA$1)</f>
        <v>1</v>
      </c>
      <c r="AC11" s="61">
        <f>VLOOKUP($C11,'Table S3 Literature Values'!$A$10:$AV$10000,AC$1,FALSE)</f>
        <v>0</v>
      </c>
      <c r="AD11" s="61">
        <f>INDEX('Table S3 Literature Values'!$A$10:$AV$10000,MATCH($C11,'Table S3 Literature Values'!$A$10:$A$10000,0)+1,AD$1)</f>
        <v>0</v>
      </c>
      <c r="AE11" s="63">
        <f>INDEX('Table S3 Literature Values'!$A$10:$AV$10000,MATCH($C11,'Table S3 Literature Values'!$A$10:$A$10000,0)+2,AD$1)</f>
        <v>0</v>
      </c>
      <c r="AF11" s="61">
        <f ca="1">VLOOKUP($C11,'Table S3 Literature Values'!$A$10:$AV$10000,AF$1,FALSE)</f>
        <v>-1.4354646307627545</v>
      </c>
      <c r="AG11" s="61">
        <f ca="1">INDEX('Table S3 Literature Values'!$A$10:$AV$10000,MATCH($C11,'Table S3 Literature Values'!$A$10:$A$10000,0)+1,AG$1)</f>
        <v>0.35282277344123536</v>
      </c>
      <c r="AH11" s="63">
        <f ca="1">INDEX('Table S3 Literature Values'!$A$10:$AV$10000,MATCH($C11,'Table S3 Literature Values'!$A$10:$A$10000,0)+2,AG$1)</f>
        <v>3</v>
      </c>
      <c r="AI11" s="61">
        <f ca="1">VLOOKUP($C11,'Table S3 Literature Values'!$A$10:$AV$10000,AI$1,FALSE)</f>
        <v>-2.7483112949199486</v>
      </c>
      <c r="AJ11" s="61">
        <f ca="1">INDEX('Table S3 Literature Values'!$A$10:$AV$10000,MATCH($C11,'Table S3 Literature Values'!$A$10:$A$10000,0)+1,AJ$1)</f>
        <v>0.33984129976847932</v>
      </c>
      <c r="AK11" s="63">
        <f ca="1">INDEX('Table S3 Literature Values'!$A$10:$AV$10000,MATCH($C11,'Table S3 Literature Values'!$A$10:$A$10000,0)+2,AJ$1)</f>
        <v>1</v>
      </c>
      <c r="AL11" s="61">
        <f>VLOOKUP($C11,'Table S3 Literature Values'!$A$10:$AV$10000,AL$1,FALSE)</f>
        <v>0</v>
      </c>
      <c r="AM11" s="61">
        <f>INDEX('Table S3 Literature Values'!$A$10:$AV$10000,MATCH($C11,'Table S3 Literature Values'!$A$10:$A$10000,0)+1,AM$1)</f>
        <v>0</v>
      </c>
      <c r="AN11" s="63">
        <f>INDEX('Table S3 Literature Values'!$A$10:$AV$10000,MATCH($C11,'Table S3 Literature Values'!$A$10:$A$10000,0)+2,AM$1)</f>
        <v>0</v>
      </c>
      <c r="AO11" s="61">
        <f>VLOOKUP($C11,'Table S3 Literature Values'!$A$10:$AV$10000,AO$1,FALSE)</f>
        <v>0</v>
      </c>
      <c r="AP11" s="61">
        <f>INDEX('Table S3 Literature Values'!$A$10:$AV$10000,MATCH($C11,'Table S3 Literature Values'!$A$10:$A$10000,0)+1,AP$1)</f>
        <v>0</v>
      </c>
      <c r="AQ11" s="63">
        <f>INDEX('Table S3 Literature Values'!$A$10:$AV$10000,MATCH($C11,'Table S3 Literature Values'!$A$10:$A$10000,0)+2,AP$1)</f>
        <v>0</v>
      </c>
      <c r="AR11" s="61">
        <f>VLOOKUP($C11,'Table S3 Literature Values'!$A$10:$AV$10000,AR$1,FALSE)</f>
        <v>-50</v>
      </c>
      <c r="AS11" s="61">
        <f>INDEX('Table S3 Literature Values'!$A$10:$AV$10000,MATCH($C11,'Table S3 Literature Values'!$A$10:$A$10000,0)+1,AS$1)</f>
        <v>15</v>
      </c>
      <c r="AT11" s="63">
        <f>INDEX('Table S3 Literature Values'!$A$10:$AV$10000,MATCH($C11,'Table S3 Literature Values'!$A$10:$A$10000,0)+2,AS$1)</f>
        <v>1</v>
      </c>
    </row>
    <row r="12" spans="1:46">
      <c r="A12" t="str">
        <f>'Table S2 Compound Identifiers'!C17</f>
        <v>Musk</v>
      </c>
      <c r="B12">
        <f>COUNTIF($C$3:C12,"&lt;&gt;"&amp;"")</f>
        <v>10</v>
      </c>
      <c r="C12" t="str">
        <f>IF('Table S2 Compound Identifiers'!B17="","",'Table S2 Compound Identifiers'!B17)</f>
        <v>Moskene</v>
      </c>
      <c r="D12" t="str">
        <f>'Table S2 Compound Identifiers'!D17</f>
        <v>116-66-5</v>
      </c>
      <c r="E12" s="501">
        <f>VLOOKUP(C12,'Table S3 Literature Values'!$A$10:$AV$10000,E$1,FALSE)</f>
        <v>53.6</v>
      </c>
      <c r="F12" s="61">
        <f>INDEX('Table S3 Literature Values'!$A$10:$AV$10000,MATCH(C12,'Table S3 Literature Values'!$A$10:$A$10000,0)+1,F$1)</f>
        <v>3.825079229938297</v>
      </c>
      <c r="G12" s="63">
        <f>INDEX('Table S3 Literature Values'!$A$10:$AV$10000,MATCH($C12,'Table S3 Literature Values'!$A$10:$A$10000,0)+2,F$1)</f>
        <v>1</v>
      </c>
      <c r="H12" s="61">
        <f>VLOOKUP($C12,'Table S3 Literature Values'!$A$10:$AV$10000,H$1,FALSE)</f>
        <v>0</v>
      </c>
      <c r="I12" s="61">
        <f>INDEX('Table S3 Literature Values'!$A$10:$AV$10000,MATCH($C12,'Table S3 Literature Values'!$A$10:$A$10000,0)+1,I$1)</f>
        <v>0</v>
      </c>
      <c r="J12" s="63">
        <f>INDEX('Table S3 Literature Values'!$A$10:$AV$10000,MATCH($C12,'Table S3 Literature Values'!$A$10:$A$10000,0)+2,I$1)</f>
        <v>0</v>
      </c>
      <c r="K12" s="61">
        <f>VLOOKUP($C12,'Table S3 Literature Values'!$A$10:$AV$10000,K$1,FALSE)</f>
        <v>0</v>
      </c>
      <c r="L12" s="61">
        <f>INDEX('Table S3 Literature Values'!$A$10:$AV$10000,MATCH($C12,'Table S3 Literature Values'!$A$10:$A$10000,0)+1,L$1)</f>
        <v>0</v>
      </c>
      <c r="M12" s="63">
        <f>INDEX('Table S3 Literature Values'!$A$10:$AV$10000,MATCH($C12,'Table S3 Literature Values'!$A$10:$A$10000,0)+2,L$1)</f>
        <v>0</v>
      </c>
      <c r="N12" s="61">
        <f>VLOOKUP($C12,'Table S3 Literature Values'!$A$10:$AV$10000,N$1,FALSE)</f>
        <v>62.949999999999996</v>
      </c>
      <c r="O12" s="61">
        <f>INDEX('Table S3 Literature Values'!$A$10:$AV$10000,MATCH($C12,'Table S3 Literature Values'!$A$10:$A$10000,0)+1,O$1)</f>
        <v>14.354267658086917</v>
      </c>
      <c r="P12" s="63">
        <f>INDEX('Table S3 Literature Values'!$A$10:$AV$10000,MATCH($C12,'Table S3 Literature Values'!$A$10:$A$10000,0)+2,O$1)</f>
        <v>2</v>
      </c>
      <c r="Q12" s="61">
        <f>VLOOKUP($C12,'Table S3 Literature Values'!$A$10:$AV$10000,Q$1,FALSE)</f>
        <v>0</v>
      </c>
      <c r="R12" s="61">
        <f>INDEX('Table S3 Literature Values'!$A$10:$AV$10000,MATCH($C12,'Table S3 Literature Values'!$A$10:$A$10000,0)+1,R$1)</f>
        <v>0</v>
      </c>
      <c r="S12" s="63">
        <f>INDEX('Table S3 Literature Values'!$A$10:$AV$10000,MATCH($C12,'Table S3 Literature Values'!$A$10:$A$10000,0)+2,R$1)</f>
        <v>0</v>
      </c>
      <c r="T12" s="61">
        <f>VLOOKUP($C12,'Table S3 Literature Values'!$A$10:$AV$10000,T$1,FALSE)</f>
        <v>1.7750031651834997</v>
      </c>
      <c r="U12" s="61">
        <f>INDEX('Table S3 Literature Values'!$A$10:$AV$10000,MATCH($C12,'Table S3 Literature Values'!$A$10:$A$10000,0)+1,U$1)</f>
        <v>0.5325009495550499</v>
      </c>
      <c r="V12" s="63">
        <f>INDEX('Table S3 Literature Values'!$A$10:$AV$10000,MATCH($C12,'Table S3 Literature Values'!$A$10:$A$10000,0)+2,U$1)</f>
        <v>1</v>
      </c>
      <c r="W12" s="61">
        <f>VLOOKUP($C12,'Table S3 Literature Values'!$A$10:$AV$10000,W$1,FALSE)</f>
        <v>8.0706983277410878</v>
      </c>
      <c r="X12" s="61">
        <f>INDEX('Table S3 Literature Values'!$A$10:$AV$10000,MATCH($C12,'Table S3 Literature Values'!$A$10:$A$10000,0)+1,X$1)</f>
        <v>0.33842367040711524</v>
      </c>
      <c r="Y12" s="63">
        <f>INDEX('Table S3 Literature Values'!$A$10:$AV$10000,MATCH($C12,'Table S3 Literature Values'!$A$10:$A$10000,0)+2,X$1)</f>
        <v>2</v>
      </c>
      <c r="Z12" s="61">
        <f ca="1">VLOOKUP($C12,'Table S3 Literature Values'!$A$10:$AV$10000,Z$1,FALSE)</f>
        <v>4.4030033796665915</v>
      </c>
      <c r="AA12" s="61">
        <f ca="1">INDEX('Table S3 Literature Values'!$A$10:$AV$10000,MATCH($C12,'Table S3 Literature Values'!$A$10:$A$10000,0)+1,AA$1)</f>
        <v>0.29848184496956309</v>
      </c>
      <c r="AB12" s="63">
        <f>INDEX('Table S3 Literature Values'!$A$10:$AV$10000,MATCH($C12,'Table S3 Literature Values'!$A$10:$A$10000,0)+2,AA$1)</f>
        <v>1</v>
      </c>
      <c r="AC12" s="61">
        <f>VLOOKUP($C12,'Table S3 Literature Values'!$A$10:$AV$10000,AC$1,FALSE)</f>
        <v>0</v>
      </c>
      <c r="AD12" s="61">
        <f>INDEX('Table S3 Literature Values'!$A$10:$AV$10000,MATCH($C12,'Table S3 Literature Values'!$A$10:$A$10000,0)+1,AD$1)</f>
        <v>0</v>
      </c>
      <c r="AE12" s="63">
        <f>INDEX('Table S3 Literature Values'!$A$10:$AV$10000,MATCH($C12,'Table S3 Literature Values'!$A$10:$A$10000,0)+2,AD$1)</f>
        <v>0</v>
      </c>
      <c r="AF12" s="61">
        <f>VLOOKUP($C12,'Table S3 Literature Values'!$A$10:$AV$10000,AF$1,FALSE)</f>
        <v>-1.4557851489072775</v>
      </c>
      <c r="AG12" s="61">
        <f>INDEX('Table S3 Literature Values'!$A$10:$AV$10000,MATCH($C12,'Table S3 Literature Values'!$A$10:$A$10000,0)+1,AG$1)</f>
        <v>0.6989253451415276</v>
      </c>
      <c r="AH12" s="63">
        <f>INDEX('Table S3 Literature Values'!$A$10:$AV$10000,MATCH($C12,'Table S3 Literature Values'!$A$10:$A$10000,0)+2,AG$1)</f>
        <v>2</v>
      </c>
      <c r="AI12" s="61">
        <f ca="1">VLOOKUP($C12,'Table S3 Literature Values'!$A$10:$AV$10000,AI$1,FALSE)</f>
        <v>-3.7889277024825319</v>
      </c>
      <c r="AJ12" s="61">
        <f ca="1">INDEX('Table S3 Literature Values'!$A$10:$AV$10000,MATCH($C12,'Table S3 Literature Values'!$A$10:$A$10000,0)+1,AJ$1)</f>
        <v>0.46851829249494364</v>
      </c>
      <c r="AK12" s="63">
        <f ca="1">INDEX('Table S3 Literature Values'!$A$10:$AV$10000,MATCH($C12,'Table S3 Literature Values'!$A$10:$A$10000,0)+2,AJ$1)</f>
        <v>1</v>
      </c>
      <c r="AL12" s="61">
        <f>VLOOKUP($C12,'Table S3 Literature Values'!$A$10:$AV$10000,AL$1,FALSE)</f>
        <v>0</v>
      </c>
      <c r="AM12" s="61">
        <f>INDEX('Table S3 Literature Values'!$A$10:$AV$10000,MATCH($C12,'Table S3 Literature Values'!$A$10:$A$10000,0)+1,AM$1)</f>
        <v>0</v>
      </c>
      <c r="AN12" s="63">
        <f>INDEX('Table S3 Literature Values'!$A$10:$AV$10000,MATCH($C12,'Table S3 Literature Values'!$A$10:$A$10000,0)+2,AM$1)</f>
        <v>0</v>
      </c>
      <c r="AO12" s="61">
        <f>VLOOKUP($C12,'Table S3 Literature Values'!$A$10:$AV$10000,AO$1,FALSE)</f>
        <v>0</v>
      </c>
      <c r="AP12" s="61">
        <f>INDEX('Table S3 Literature Values'!$A$10:$AV$10000,MATCH($C12,'Table S3 Literature Values'!$A$10:$A$10000,0)+1,AP$1)</f>
        <v>0</v>
      </c>
      <c r="AQ12" s="63">
        <f>INDEX('Table S3 Literature Values'!$A$10:$AV$10000,MATCH($C12,'Table S3 Literature Values'!$A$10:$A$10000,0)+2,AP$1)</f>
        <v>0</v>
      </c>
      <c r="AR12" s="61">
        <f>VLOOKUP($C12,'Table S3 Literature Values'!$A$10:$AV$10000,AR$1,FALSE)</f>
        <v>133</v>
      </c>
      <c r="AS12" s="61">
        <f>INDEX('Table S3 Literature Values'!$A$10:$AV$10000,MATCH($C12,'Table S3 Literature Values'!$A$10:$A$10000,0)+1,AS$1)</f>
        <v>39.9</v>
      </c>
      <c r="AT12" s="63">
        <f>INDEX('Table S3 Literature Values'!$A$10:$AV$10000,MATCH($C12,'Table S3 Literature Values'!$A$10:$A$10000,0)+2,AS$1)</f>
        <v>1</v>
      </c>
    </row>
    <row r="13" spans="1:46">
      <c r="A13" t="str">
        <f>'Table S2 Compound Identifiers'!C18</f>
        <v>Musk</v>
      </c>
      <c r="B13">
        <f>COUNTIF($C$3:C13,"&lt;&gt;"&amp;"")</f>
        <v>11</v>
      </c>
      <c r="C13" t="str">
        <f>IF('Table S2 Compound Identifiers'!B18="","",'Table S2 Compound Identifiers'!B18)</f>
        <v>Tonalide</v>
      </c>
      <c r="D13" t="str">
        <f>'Table S2 Compound Identifiers'!D18</f>
        <v>21145-77-7</v>
      </c>
      <c r="E13" s="501">
        <f>VLOOKUP(C13,'Table S3 Literature Values'!$A$10:$AV$10000,E$1,FALSE)</f>
        <v>0</v>
      </c>
      <c r="F13" s="61">
        <f>INDEX('Table S3 Literature Values'!$A$10:$AV$10000,MATCH(C13,'Table S3 Literature Values'!$A$10:$A$10000,0)+1,F$1)</f>
        <v>0</v>
      </c>
      <c r="G13" s="63">
        <f>INDEX('Table S3 Literature Values'!$A$10:$AV$10000,MATCH($C13,'Table S3 Literature Values'!$A$10:$A$10000,0)+2,F$1)</f>
        <v>0</v>
      </c>
      <c r="H13" s="61">
        <f>VLOOKUP($C13,'Table S3 Literature Values'!$A$10:$AV$10000,H$1,FALSE)</f>
        <v>-28.986481274746431</v>
      </c>
      <c r="I13" s="61">
        <f>INDEX('Table S3 Literature Values'!$A$10:$AV$10000,MATCH($C13,'Table S3 Literature Values'!$A$10:$A$10000,0)+1,I$1)</f>
        <v>8.6959443824239298</v>
      </c>
      <c r="J13" s="63">
        <f>INDEX('Table S3 Literature Values'!$A$10:$AV$10000,MATCH($C13,'Table S3 Literature Values'!$A$10:$A$10000,0)+2,I$1)</f>
        <v>1</v>
      </c>
      <c r="K13" s="61">
        <f>VLOOKUP($C13,'Table S3 Literature Values'!$A$10:$AV$10000,K$1,FALSE)</f>
        <v>0</v>
      </c>
      <c r="L13" s="61">
        <f>INDEX('Table S3 Literature Values'!$A$10:$AV$10000,MATCH($C13,'Table S3 Literature Values'!$A$10:$A$10000,0)+1,L$1)</f>
        <v>0</v>
      </c>
      <c r="M13" s="63">
        <f>INDEX('Table S3 Literature Values'!$A$10:$AV$10000,MATCH($C13,'Table S3 Literature Values'!$A$10:$A$10000,0)+2,L$1)</f>
        <v>0</v>
      </c>
      <c r="N13" s="61">
        <f>VLOOKUP($C13,'Table S3 Literature Values'!$A$10:$AV$10000,N$1,FALSE)</f>
        <v>72.400000000000006</v>
      </c>
      <c r="O13" s="61">
        <f>INDEX('Table S3 Literature Values'!$A$10:$AV$10000,MATCH($C13,'Table S3 Literature Values'!$A$10:$A$10000,0)+1,O$1)</f>
        <v>4.5871252656922916</v>
      </c>
      <c r="P13" s="63">
        <f>INDEX('Table S3 Literature Values'!$A$10:$AV$10000,MATCH($C13,'Table S3 Literature Values'!$A$10:$A$10000,0)+2,O$1)</f>
        <v>1</v>
      </c>
      <c r="Q13" s="61">
        <f>VLOOKUP($C13,'Table S3 Literature Values'!$A$10:$AV$10000,Q$1,FALSE)</f>
        <v>0</v>
      </c>
      <c r="R13" s="61">
        <f>INDEX('Table S3 Literature Values'!$A$10:$AV$10000,MATCH($C13,'Table S3 Literature Values'!$A$10:$A$10000,0)+1,R$1)</f>
        <v>0</v>
      </c>
      <c r="S13" s="63">
        <f>INDEX('Table S3 Literature Values'!$A$10:$AV$10000,MATCH($C13,'Table S3 Literature Values'!$A$10:$A$10000,0)+2,R$1)</f>
        <v>0</v>
      </c>
      <c r="T13" s="61">
        <f>VLOOKUP($C13,'Table S3 Literature Values'!$A$10:$AV$10000,T$1,FALSE)</f>
        <v>3.8287384926305001E-3</v>
      </c>
      <c r="U13" s="61">
        <f>INDEX('Table S3 Literature Values'!$A$10:$AV$10000,MATCH($C13,'Table S3 Literature Values'!$A$10:$A$10000,0)+1,U$1)</f>
        <v>1.14862154778915E-3</v>
      </c>
      <c r="V13" s="63">
        <f>INDEX('Table S3 Literature Values'!$A$10:$AV$10000,MATCH($C13,'Table S3 Literature Values'!$A$10:$A$10000,0)+2,U$1)</f>
        <v>1</v>
      </c>
      <c r="W13" s="61">
        <f>VLOOKUP($C13,'Table S3 Literature Values'!$A$10:$AV$10000,W$1,FALSE)</f>
        <v>8.24</v>
      </c>
      <c r="X13" s="61">
        <f>INDEX('Table S3 Literature Values'!$A$10:$AV$10000,MATCH($C13,'Table S3 Literature Values'!$A$10:$A$10000,0)+1,X$1)</f>
        <v>0.21216202104952314</v>
      </c>
      <c r="Y13" s="63">
        <f>INDEX('Table S3 Literature Values'!$A$10:$AV$10000,MATCH($C13,'Table S3 Literature Values'!$A$10:$A$10000,0)+2,X$1)</f>
        <v>1</v>
      </c>
      <c r="Z13" s="61">
        <f>VLOOKUP($C13,'Table S3 Literature Values'!$A$10:$AV$10000,Z$1,FALSE)</f>
        <v>5.5500000000000007</v>
      </c>
      <c r="AA13" s="61">
        <f>INDEX('Table S3 Literature Values'!$A$10:$AV$10000,MATCH($C13,'Table S3 Literature Values'!$A$10:$A$10000,0)+1,AA$1)</f>
        <v>0.21213203435596412</v>
      </c>
      <c r="AB13" s="63">
        <f>INDEX('Table S3 Literature Values'!$A$10:$AV$10000,MATCH($C13,'Table S3 Literature Values'!$A$10:$A$10000,0)+2,AA$1)</f>
        <v>2</v>
      </c>
      <c r="AC13" s="61">
        <f>VLOOKUP($C13,'Table S3 Literature Values'!$A$10:$AV$10000,AC$1,FALSE)</f>
        <v>-1.8248709242369081</v>
      </c>
      <c r="AD13" s="61">
        <f>INDEX('Table S3 Literature Values'!$A$10:$AV$10000,MATCH($C13,'Table S3 Literature Values'!$A$10:$A$10000,0)+1,AD$1)</f>
        <v>0.36497418484738164</v>
      </c>
      <c r="AE13" s="63">
        <f>INDEX('Table S3 Literature Values'!$A$10:$AV$10000,MATCH($C13,'Table S3 Literature Values'!$A$10:$A$10000,0)+2,AD$1)</f>
        <v>1</v>
      </c>
      <c r="AF13" s="61">
        <f>VLOOKUP($C13,'Table S3 Literature Values'!$A$10:$AV$10000,AF$1,FALSE)</f>
        <v>-0.86974289568179053</v>
      </c>
      <c r="AG13" s="61">
        <f>INDEX('Table S3 Literature Values'!$A$10:$AV$10000,MATCH($C13,'Table S3 Literature Values'!$A$10:$A$10000,0)+1,AG$1)</f>
        <v>0.13799721384216915</v>
      </c>
      <c r="AH13" s="63">
        <f>INDEX('Table S3 Literature Values'!$A$10:$AV$10000,MATCH($C13,'Table S3 Literature Values'!$A$10:$A$10000,0)+2,AG$1)</f>
        <v>1</v>
      </c>
      <c r="AI13" s="61">
        <f>VLOOKUP($C13,'Table S3 Literature Values'!$A$10:$AV$10000,AI$1,FALSE)</f>
        <v>-2.0189181701029537</v>
      </c>
      <c r="AJ13" s="61">
        <f>INDEX('Table S3 Literature Values'!$A$10:$AV$10000,MATCH($C13,'Table S3 Literature Values'!$A$10:$A$10000,0)+1,AJ$1)</f>
        <v>0.24964849372129527</v>
      </c>
      <c r="AK13" s="63">
        <f>INDEX('Table S3 Literature Values'!$A$10:$AV$10000,MATCH($C13,'Table S3 Literature Values'!$A$10:$A$10000,0)+2,AJ$1)</f>
        <v>1</v>
      </c>
      <c r="AL13" s="61">
        <f>VLOOKUP($C13,'Table S3 Literature Values'!$A$10:$AV$10000,AL$1,FALSE)</f>
        <v>0</v>
      </c>
      <c r="AM13" s="61">
        <f>INDEX('Table S3 Literature Values'!$A$10:$AV$10000,MATCH($C13,'Table S3 Literature Values'!$A$10:$A$10000,0)+1,AM$1)</f>
        <v>0</v>
      </c>
      <c r="AN13" s="63">
        <f>INDEX('Table S3 Literature Values'!$A$10:$AV$10000,MATCH($C13,'Table S3 Literature Values'!$A$10:$A$10000,0)+2,AM$1)</f>
        <v>0</v>
      </c>
      <c r="AO13" s="61">
        <f>VLOOKUP($C13,'Table S3 Literature Values'!$A$10:$AV$10000,AO$1,FALSE)</f>
        <v>0</v>
      </c>
      <c r="AP13" s="61">
        <f>INDEX('Table S3 Literature Values'!$A$10:$AV$10000,MATCH($C13,'Table S3 Literature Values'!$A$10:$A$10000,0)+1,AP$1)</f>
        <v>0</v>
      </c>
      <c r="AQ13" s="63">
        <f>INDEX('Table S3 Literature Values'!$A$10:$AV$10000,MATCH($C13,'Table S3 Literature Values'!$A$10:$A$10000,0)+2,AP$1)</f>
        <v>0</v>
      </c>
      <c r="AR13" s="61">
        <f>VLOOKUP($C13,'Table S3 Literature Values'!$A$10:$AV$10000,AR$1,FALSE)</f>
        <v>54.949999999999996</v>
      </c>
      <c r="AS13" s="61">
        <f>INDEX('Table S3 Literature Values'!$A$10:$AV$10000,MATCH($C13,'Table S3 Literature Values'!$A$10:$A$10000,0)+1,AS$1)</f>
        <v>1.2379418403139955</v>
      </c>
      <c r="AT13" s="63">
        <f>INDEX('Table S3 Literature Values'!$A$10:$AV$10000,MATCH($C13,'Table S3 Literature Values'!$A$10:$A$10000,0)+2,AS$1)</f>
        <v>3</v>
      </c>
    </row>
    <row r="14" spans="1:46">
      <c r="A14" t="str">
        <f>'Table S2 Compound Identifiers'!C19</f>
        <v>Musk</v>
      </c>
      <c r="B14">
        <f>COUNTIF($C$3:C14,"&lt;&gt;"&amp;"")</f>
        <v>12</v>
      </c>
      <c r="C14" t="str">
        <f>IF('Table S2 Compound Identifiers'!B19="","",'Table S2 Compound Identifiers'!B19)</f>
        <v>Galaxolide 1</v>
      </c>
      <c r="D14" t="str">
        <f>'Table S2 Compound Identifiers'!D19</f>
        <v>1222-05-5</v>
      </c>
      <c r="E14" s="501">
        <f>VLOOKUP(C14,'Table S3 Literature Values'!$A$10:$AV$10000,E$1,FALSE)</f>
        <v>85.300000000000011</v>
      </c>
      <c r="F14" s="61">
        <f>INDEX('Table S3 Literature Values'!$A$10:$AV$10000,MATCH(C14,'Table S3 Literature Values'!$A$10:$A$10000,0)+1,F$1)</f>
        <v>1.9798989873223309</v>
      </c>
      <c r="G14" s="63">
        <f>INDEX('Table S3 Literature Values'!$A$10:$AV$10000,MATCH($C14,'Table S3 Literature Values'!$A$10:$A$10000,0)+2,F$1)</f>
        <v>2</v>
      </c>
      <c r="H14" s="61">
        <f>VLOOKUP($C14,'Table S3 Literature Values'!$A$10:$AV$10000,H$1,FALSE)</f>
        <v>23.077500195159161</v>
      </c>
      <c r="I14" s="61">
        <f>INDEX('Table S3 Literature Values'!$A$10:$AV$10000,MATCH($C14,'Table S3 Literature Values'!$A$10:$A$10000,0)+1,I$1)</f>
        <v>6.9232500585477483</v>
      </c>
      <c r="J14" s="63">
        <f>INDEX('Table S3 Literature Values'!$A$10:$AV$10000,MATCH($C14,'Table S3 Literature Values'!$A$10:$A$10000,0)+2,I$1)</f>
        <v>1</v>
      </c>
      <c r="K14" s="61">
        <f>VLOOKUP($C14,'Table S3 Literature Values'!$A$10:$AV$10000,K$1,FALSE)</f>
        <v>0</v>
      </c>
      <c r="L14" s="61">
        <f>INDEX('Table S3 Literature Values'!$A$10:$AV$10000,MATCH($C14,'Table S3 Literature Values'!$A$10:$A$10000,0)+1,L$1)</f>
        <v>0</v>
      </c>
      <c r="M14" s="63">
        <f>INDEX('Table S3 Literature Values'!$A$10:$AV$10000,MATCH($C14,'Table S3 Literature Values'!$A$10:$A$10000,0)+2,L$1)</f>
        <v>0</v>
      </c>
      <c r="N14" s="61">
        <f>VLOOKUP($C14,'Table S3 Literature Values'!$A$10:$AV$10000,N$1,FALSE)</f>
        <v>71.349999999999994</v>
      </c>
      <c r="O14" s="61">
        <f>INDEX('Table S3 Literature Values'!$A$10:$AV$10000,MATCH($C14,'Table S3 Literature Values'!$A$10:$A$10000,0)+1,O$1)</f>
        <v>0.21213203435596226</v>
      </c>
      <c r="P14" s="63">
        <f>INDEX('Table S3 Literature Values'!$A$10:$AV$10000,MATCH($C14,'Table S3 Literature Values'!$A$10:$A$10000,0)+2,O$1)</f>
        <v>2</v>
      </c>
      <c r="Q14" s="61">
        <f>VLOOKUP($C14,'Table S3 Literature Values'!$A$10:$AV$10000,Q$1,FALSE)</f>
        <v>0</v>
      </c>
      <c r="R14" s="61">
        <f>INDEX('Table S3 Literature Values'!$A$10:$AV$10000,MATCH($C14,'Table S3 Literature Values'!$A$10:$A$10000,0)+1,R$1)</f>
        <v>0</v>
      </c>
      <c r="S14" s="63">
        <f>INDEX('Table S3 Literature Values'!$A$10:$AV$10000,MATCH($C14,'Table S3 Literature Values'!$A$10:$A$10000,0)+2,R$1)</f>
        <v>0</v>
      </c>
      <c r="T14" s="61">
        <f>VLOOKUP($C14,'Table S3 Literature Values'!$A$10:$AV$10000,T$1,FALSE)</f>
        <v>4.7093483459355143E-2</v>
      </c>
      <c r="U14" s="61">
        <f>INDEX('Table S3 Literature Values'!$A$10:$AV$10000,MATCH($C14,'Table S3 Literature Values'!$A$10:$A$10000,0)+1,U$1)</f>
        <v>1.4128045037806541E-2</v>
      </c>
      <c r="V14" s="63">
        <f>INDEX('Table S3 Literature Values'!$A$10:$AV$10000,MATCH($C14,'Table S3 Literature Values'!$A$10:$A$10000,0)+2,U$1)</f>
        <v>1</v>
      </c>
      <c r="W14" s="61">
        <f>VLOOKUP($C14,'Table S3 Literature Values'!$A$10:$AV$10000,W$1,FALSE)</f>
        <v>7.9998604803912841</v>
      </c>
      <c r="X14" s="61">
        <f>INDEX('Table S3 Literature Values'!$A$10:$AV$10000,MATCH($C14,'Table S3 Literature Values'!$A$10:$A$10000,0)+1,X$1)</f>
        <v>0.21232934487882721</v>
      </c>
      <c r="Y14" s="63">
        <f>INDEX('Table S3 Literature Values'!$A$10:$AV$10000,MATCH($C14,'Table S3 Literature Values'!$A$10:$A$10000,0)+2,X$1)</f>
        <v>2</v>
      </c>
      <c r="Z14" s="61">
        <f>VLOOKUP($C14,'Table S3 Literature Values'!$A$10:$AV$10000,Z$1,FALSE)</f>
        <v>5.6</v>
      </c>
      <c r="AA14" s="61">
        <f>INDEX('Table S3 Literature Values'!$A$10:$AV$10000,MATCH($C14,'Table S3 Literature Values'!$A$10:$A$10000,0)+1,AA$1)</f>
        <v>0.4242640687119289</v>
      </c>
      <c r="AB14" s="63">
        <f>INDEX('Table S3 Literature Values'!$A$10:$AV$10000,MATCH($C14,'Table S3 Literature Values'!$A$10:$A$10000,0)+2,AA$1)</f>
        <v>2</v>
      </c>
      <c r="AC14" s="61">
        <f>VLOOKUP($C14,'Table S3 Literature Values'!$A$10:$AV$10000,AC$1,FALSE)</f>
        <v>-1.8272184676928935</v>
      </c>
      <c r="AD14" s="61">
        <f>INDEX('Table S3 Literature Values'!$A$10:$AV$10000,MATCH($C14,'Table S3 Literature Values'!$A$10:$A$10000,0)+1,AD$1)</f>
        <v>0.36544369353857875</v>
      </c>
      <c r="AE14" s="63">
        <f>INDEX('Table S3 Literature Values'!$A$10:$AV$10000,MATCH($C14,'Table S3 Literature Values'!$A$10:$A$10000,0)+2,AD$1)</f>
        <v>1</v>
      </c>
      <c r="AF14" s="61">
        <f>VLOOKUP($C14,'Table S3 Literature Values'!$A$10:$AV$10000,AF$1,FALSE)</f>
        <v>-1.2693282965604173</v>
      </c>
      <c r="AG14" s="61">
        <f>INDEX('Table S3 Literature Values'!$A$10:$AV$10000,MATCH($C14,'Table S3 Literature Values'!$A$10:$A$10000,0)+1,AG$1)</f>
        <v>0.14121492754984227</v>
      </c>
      <c r="AH14" s="63">
        <f>INDEX('Table S3 Literature Values'!$A$10:$AV$10000,MATCH($C14,'Table S3 Literature Values'!$A$10:$A$10000,0)+2,AG$1)</f>
        <v>3</v>
      </c>
      <c r="AI14" s="61">
        <f>VLOOKUP($C14,'Table S3 Literature Values'!$A$10:$AV$10000,AI$1,FALSE)</f>
        <v>-2.1382176364668095</v>
      </c>
      <c r="AJ14" s="61">
        <f>INDEX('Table S3 Literature Values'!$A$10:$AV$10000,MATCH($C14,'Table S3 Literature Values'!$A$10:$A$10000,0)+1,AJ$1)</f>
        <v>7.6970317000352298E-2</v>
      </c>
      <c r="AK14" s="63">
        <f>INDEX('Table S3 Literature Values'!$A$10:$AV$10000,MATCH($C14,'Table S3 Literature Values'!$A$10:$A$10000,0)+2,AJ$1)</f>
        <v>3</v>
      </c>
      <c r="AL14" s="61">
        <f>VLOOKUP($C14,'Table S3 Literature Values'!$A$10:$AV$10000,AL$1,FALSE)</f>
        <v>0</v>
      </c>
      <c r="AM14" s="61">
        <f>INDEX('Table S3 Literature Values'!$A$10:$AV$10000,MATCH($C14,'Table S3 Literature Values'!$A$10:$A$10000,0)+1,AM$1)</f>
        <v>0</v>
      </c>
      <c r="AN14" s="63">
        <f>INDEX('Table S3 Literature Values'!$A$10:$AV$10000,MATCH($C14,'Table S3 Literature Values'!$A$10:$A$10000,0)+2,AM$1)</f>
        <v>0</v>
      </c>
      <c r="AO14" s="61">
        <f>VLOOKUP($C14,'Table S3 Literature Values'!$A$10:$AV$10000,AO$1,FALSE)</f>
        <v>0</v>
      </c>
      <c r="AP14" s="61">
        <f>INDEX('Table S3 Literature Values'!$A$10:$AV$10000,MATCH($C14,'Table S3 Literature Values'!$A$10:$A$10000,0)+1,AP$1)</f>
        <v>0</v>
      </c>
      <c r="AQ14" s="63">
        <f>INDEX('Table S3 Literature Values'!$A$10:$AV$10000,MATCH($C14,'Table S3 Literature Values'!$A$10:$A$10000,0)+2,AP$1)</f>
        <v>0</v>
      </c>
      <c r="AR14" s="61">
        <f>VLOOKUP($C14,'Table S3 Literature Values'!$A$10:$AV$10000,AR$1,FALSE)</f>
        <v>-20</v>
      </c>
      <c r="AS14" s="61">
        <f>INDEX('Table S3 Literature Values'!$A$10:$AV$10000,MATCH($C14,'Table S3 Literature Values'!$A$10:$A$10000,0)+1,AS$1)</f>
        <v>6</v>
      </c>
      <c r="AT14" s="63">
        <f>INDEX('Table S3 Literature Values'!$A$10:$AV$10000,MATCH($C14,'Table S3 Literature Values'!$A$10:$A$10000,0)+2,AS$1)</f>
        <v>1</v>
      </c>
    </row>
    <row r="15" spans="1:46">
      <c r="A15" t="str">
        <f>'Table S2 Compound Identifiers'!C20</f>
        <v>Musk</v>
      </c>
      <c r="B15">
        <f>COUNTIF($C$3:C15,"&lt;&gt;"&amp;"")</f>
        <v>13</v>
      </c>
      <c r="C15" t="str">
        <f>IF('Table S2 Compound Identifiers'!B20="","",'Table S2 Compound Identifiers'!B20)</f>
        <v>Musk Tibetene</v>
      </c>
      <c r="D15" t="str">
        <f>'Table S2 Compound Identifiers'!D20</f>
        <v>145-39-1</v>
      </c>
      <c r="E15" s="501">
        <f>VLOOKUP(C15,'Table S3 Literature Values'!$A$10:$AV$10000,E$1,FALSE)</f>
        <v>89.6</v>
      </c>
      <c r="F15" s="61">
        <f>INDEX('Table S3 Literature Values'!$A$10:$AV$10000,MATCH(C15,'Table S3 Literature Values'!$A$10:$A$10000,0)+1,F$1)</f>
        <v>6.3941622948222268</v>
      </c>
      <c r="G15" s="63">
        <f>INDEX('Table S3 Literature Values'!$A$10:$AV$10000,MATCH($C15,'Table S3 Literature Values'!$A$10:$A$10000,0)+2,F$1)</f>
        <v>1</v>
      </c>
      <c r="H15" s="61">
        <f>VLOOKUP($C15,'Table S3 Literature Values'!$A$10:$AV$10000,H$1,FALSE)</f>
        <v>23.479493637232562</v>
      </c>
      <c r="I15" s="61">
        <f>INDEX('Table S3 Literature Values'!$A$10:$AV$10000,MATCH($C15,'Table S3 Literature Values'!$A$10:$A$10000,0)+1,I$1)</f>
        <v>7.0438480911697683</v>
      </c>
      <c r="J15" s="63">
        <f>INDEX('Table S3 Literature Values'!$A$10:$AV$10000,MATCH($C15,'Table S3 Literature Values'!$A$10:$A$10000,0)+2,I$1)</f>
        <v>1</v>
      </c>
      <c r="K15" s="61">
        <f>VLOOKUP($C15,'Table S3 Literature Values'!$A$10:$AV$10000,K$1,FALSE)</f>
        <v>0</v>
      </c>
      <c r="L15" s="61">
        <f>INDEX('Table S3 Literature Values'!$A$10:$AV$10000,MATCH($C15,'Table S3 Literature Values'!$A$10:$A$10000,0)+1,L$1)</f>
        <v>0</v>
      </c>
      <c r="M15" s="63">
        <f>INDEX('Table S3 Literature Values'!$A$10:$AV$10000,MATCH($C15,'Table S3 Literature Values'!$A$10:$A$10000,0)+2,L$1)</f>
        <v>0</v>
      </c>
      <c r="N15" s="61">
        <f>VLOOKUP($C15,'Table S3 Literature Values'!$A$10:$AV$10000,N$1,FALSE)</f>
        <v>75.95</v>
      </c>
      <c r="O15" s="61">
        <f>INDEX('Table S3 Literature Values'!$A$10:$AV$10000,MATCH($C15,'Table S3 Literature Values'!$A$10:$A$10000,0)+1,O$1)</f>
        <v>1.7677669529663689</v>
      </c>
      <c r="P15" s="63">
        <f>INDEX('Table S3 Literature Values'!$A$10:$AV$10000,MATCH($C15,'Table S3 Literature Values'!$A$10:$A$10000,0)+2,O$1)</f>
        <v>2</v>
      </c>
      <c r="Q15" s="61">
        <f>VLOOKUP($C15,'Table S3 Literature Values'!$A$10:$AV$10000,Q$1,FALSE)</f>
        <v>0</v>
      </c>
      <c r="R15" s="61">
        <f>INDEX('Table S3 Literature Values'!$A$10:$AV$10000,MATCH($C15,'Table S3 Literature Values'!$A$10:$A$10000,0)+1,R$1)</f>
        <v>0</v>
      </c>
      <c r="S15" s="63">
        <f>INDEX('Table S3 Literature Values'!$A$10:$AV$10000,MATCH($C15,'Table S3 Literature Values'!$A$10:$A$10000,0)+2,R$1)</f>
        <v>0</v>
      </c>
      <c r="T15" s="61">
        <f>VLOOKUP($C15,'Table S3 Literature Values'!$A$10:$AV$10000,T$1,FALSE)</f>
        <v>4.0866040301091635</v>
      </c>
      <c r="U15" s="61">
        <f>INDEX('Table S3 Literature Values'!$A$10:$AV$10000,MATCH($C15,'Table S3 Literature Values'!$A$10:$A$10000,0)+1,U$1)</f>
        <v>1.2259812090327491</v>
      </c>
      <c r="V15" s="63">
        <f>INDEX('Table S3 Literature Values'!$A$10:$AV$10000,MATCH($C15,'Table S3 Literature Values'!$A$10:$A$10000,0)+2,U$1)</f>
        <v>1</v>
      </c>
      <c r="W15" s="61">
        <f>VLOOKUP($C15,'Table S3 Literature Values'!$A$10:$AV$10000,W$1,FALSE)</f>
        <v>8.3924145244009445</v>
      </c>
      <c r="X15" s="61">
        <f>INDEX('Table S3 Literature Values'!$A$10:$AV$10000,MATCH($C15,'Table S3 Literature Values'!$A$10:$A$10000,0)+1,X$1)</f>
        <v>0.12386456745908143</v>
      </c>
      <c r="Y15" s="63">
        <f>INDEX('Table S3 Literature Values'!$A$10:$AV$10000,MATCH($C15,'Table S3 Literature Values'!$A$10:$A$10000,0)+2,X$1)</f>
        <v>2</v>
      </c>
      <c r="Z15" s="61">
        <f ca="1">VLOOKUP($C15,'Table S3 Literature Values'!$A$10:$AV$10000,Z$1,FALSE)</f>
        <v>4.2666073372318234</v>
      </c>
      <c r="AA15" s="61">
        <f ca="1">INDEX('Table S3 Literature Values'!$A$10:$AV$10000,MATCH($C15,'Table S3 Literature Values'!$A$10:$A$10000,0)+1,AA$1)</f>
        <v>0.28923548768069834</v>
      </c>
      <c r="AB15" s="63">
        <f ca="1">INDEX('Table S3 Literature Values'!$A$10:$AV$10000,MATCH($C15,'Table S3 Literature Values'!$A$10:$A$10000,0)+2,AA$1)</f>
        <v>1</v>
      </c>
      <c r="AC15" s="61">
        <f>VLOOKUP($C15,'Table S3 Literature Values'!$A$10:$AV$10000,AC$1,FALSE)</f>
        <v>0</v>
      </c>
      <c r="AD15" s="61">
        <f>INDEX('Table S3 Literature Values'!$A$10:$AV$10000,MATCH($C15,'Table S3 Literature Values'!$A$10:$A$10000,0)+1,AD$1)</f>
        <v>0</v>
      </c>
      <c r="AE15" s="63">
        <f>INDEX('Table S3 Literature Values'!$A$10:$AV$10000,MATCH($C15,'Table S3 Literature Values'!$A$10:$A$10000,0)+2,AD$1)</f>
        <v>0</v>
      </c>
      <c r="AF15" s="61">
        <f>VLOOKUP($C15,'Table S3 Literature Values'!$A$10:$AV$10000,AF$1,FALSE)</f>
        <v>-1.9375421369556207</v>
      </c>
      <c r="AG15" s="61">
        <f>INDEX('Table S3 Literature Values'!$A$10:$AV$10000,MATCH($C15,'Table S3 Literature Values'!$A$10:$A$10000,0)+1,AG$1)</f>
        <v>0.26517043543960583</v>
      </c>
      <c r="AH15" s="63">
        <f>INDEX('Table S3 Literature Values'!$A$10:$AV$10000,MATCH($C15,'Table S3 Literature Values'!$A$10:$A$10000,0)+2,AG$1)</f>
        <v>2</v>
      </c>
      <c r="AI15" s="61">
        <f ca="1">VLOOKUP($C15,'Table S3 Literature Values'!$A$10:$AV$10000,AI$1,FALSE)</f>
        <v>-3.6798824238437673</v>
      </c>
      <c r="AJ15" s="61">
        <f ca="1">INDEX('Table S3 Literature Values'!$A$10:$AV$10000,MATCH($C15,'Table S3 Literature Values'!$A$10:$A$10000,0)+1,AJ$1)</f>
        <v>0.45503434353519046</v>
      </c>
      <c r="AK15" s="63">
        <f>INDEX('Table S3 Literature Values'!$A$10:$AV$10000,MATCH($C15,'Table S3 Literature Values'!$A$10:$A$10000,0)+2,AJ$1)</f>
        <v>1</v>
      </c>
      <c r="AL15" s="61">
        <f>VLOOKUP($C15,'Table S3 Literature Values'!$A$10:$AV$10000,AL$1,FALSE)</f>
        <v>0</v>
      </c>
      <c r="AM15" s="61">
        <f>INDEX('Table S3 Literature Values'!$A$10:$AV$10000,MATCH($C15,'Table S3 Literature Values'!$A$10:$A$10000,0)+1,AM$1)</f>
        <v>0</v>
      </c>
      <c r="AN15" s="63">
        <f>INDEX('Table S3 Literature Values'!$A$10:$AV$10000,MATCH($C15,'Table S3 Literature Values'!$A$10:$A$10000,0)+2,AM$1)</f>
        <v>0</v>
      </c>
      <c r="AO15" s="61">
        <f>VLOOKUP($C15,'Table S3 Literature Values'!$A$10:$AV$10000,AO$1,FALSE)</f>
        <v>0</v>
      </c>
      <c r="AP15" s="61">
        <f>INDEX('Table S3 Literature Values'!$A$10:$AV$10000,MATCH($C15,'Table S3 Literature Values'!$A$10:$A$10000,0)+1,AP$1)</f>
        <v>0</v>
      </c>
      <c r="AQ15" s="63">
        <f>INDEX('Table S3 Literature Values'!$A$10:$AV$10000,MATCH($C15,'Table S3 Literature Values'!$A$10:$A$10000,0)+2,AP$1)</f>
        <v>0</v>
      </c>
      <c r="AR15" s="61">
        <f>VLOOKUP($C15,'Table S3 Literature Values'!$A$10:$AV$10000,AR$1,FALSE)</f>
        <v>135.5</v>
      </c>
      <c r="AS15" s="61">
        <f>INDEX('Table S3 Literature Values'!$A$10:$AV$10000,MATCH($C15,'Table S3 Literature Values'!$A$10:$A$10000,0)+1,AS$1)</f>
        <v>0.70710678118654757</v>
      </c>
      <c r="AT15" s="63">
        <f>INDEX('Table S3 Literature Values'!$A$10:$AV$10000,MATCH($C15,'Table S3 Literature Values'!$A$10:$A$10000,0)+2,AS$1)</f>
        <v>2</v>
      </c>
    </row>
    <row r="16" spans="1:46">
      <c r="A16" t="str">
        <f>'Table S2 Compound Identifiers'!C21</f>
        <v>NBFR</v>
      </c>
      <c r="B16">
        <f>COUNTIF($C$3:C16,"&lt;&gt;"&amp;"")</f>
        <v>14</v>
      </c>
      <c r="C16" t="str">
        <f>IF('Table S2 Compound Identifiers'!B21="","",'Table S2 Compound Identifiers'!B21)</f>
        <v>TBP-AE</v>
      </c>
      <c r="D16" t="str">
        <f>'Table S2 Compound Identifiers'!D21</f>
        <v>3278-89-5</v>
      </c>
      <c r="E16" s="501">
        <f>VLOOKUP(C16,'Table S3 Literature Values'!$A$10:$AV$10000,E$1,FALSE)</f>
        <v>75</v>
      </c>
      <c r="F16" s="61">
        <f>INDEX('Table S3 Literature Values'!$A$10:$AV$10000,MATCH(C16,'Table S3 Literature Values'!$A$10:$A$10000,0)+1,F$1)</f>
        <v>5.3522563851748552</v>
      </c>
      <c r="G16" s="63">
        <f>INDEX('Table S3 Literature Values'!$A$10:$AV$10000,MATCH($C16,'Table S3 Literature Values'!$A$10:$A$10000,0)+2,F$1)</f>
        <v>1</v>
      </c>
      <c r="H16" s="61">
        <f>VLOOKUP($C16,'Table S3 Literature Values'!$A$10:$AV$10000,H$1,FALSE)</f>
        <v>0</v>
      </c>
      <c r="I16" s="61">
        <f>INDEX('Table S3 Literature Values'!$A$10:$AV$10000,MATCH($C16,'Table S3 Literature Values'!$A$10:$A$10000,0)+1,I$1)</f>
        <v>0</v>
      </c>
      <c r="J16" s="63">
        <f>INDEX('Table S3 Literature Values'!$A$10:$AV$10000,MATCH($C16,'Table S3 Literature Values'!$A$10:$A$10000,0)+2,I$1)</f>
        <v>0</v>
      </c>
      <c r="K16" s="61">
        <f>VLOOKUP($C16,'Table S3 Literature Values'!$A$10:$AV$10000,K$1,FALSE)</f>
        <v>0</v>
      </c>
      <c r="L16" s="61">
        <f>INDEX('Table S3 Literature Values'!$A$10:$AV$10000,MATCH($C16,'Table S3 Literature Values'!$A$10:$A$10000,0)+1,L$1)</f>
        <v>0</v>
      </c>
      <c r="M16" s="63">
        <f>INDEX('Table S3 Literature Values'!$A$10:$AV$10000,MATCH($C16,'Table S3 Literature Values'!$A$10:$A$10000,0)+2,L$1)</f>
        <v>0</v>
      </c>
      <c r="N16" s="61">
        <f>VLOOKUP($C16,'Table S3 Literature Values'!$A$10:$AV$10000,N$1,FALSE)</f>
        <v>50.2</v>
      </c>
      <c r="O16" s="61">
        <f>INDEX('Table S3 Literature Values'!$A$10:$AV$10000,MATCH($C16,'Table S3 Literature Values'!$A$10:$A$10000,0)+1,O$1)</f>
        <v>3.1805758057700695</v>
      </c>
      <c r="P16" s="63">
        <f>INDEX('Table S3 Literature Values'!$A$10:$AV$10000,MATCH($C16,'Table S3 Literature Values'!$A$10:$A$10000,0)+2,O$1)</f>
        <v>1</v>
      </c>
      <c r="Q16" s="61">
        <f>VLOOKUP($C16,'Table S3 Literature Values'!$A$10:$AV$10000,Q$1,FALSE)</f>
        <v>0</v>
      </c>
      <c r="R16" s="61">
        <f>INDEX('Table S3 Literature Values'!$A$10:$AV$10000,MATCH($C16,'Table S3 Literature Values'!$A$10:$A$10000,0)+1,R$1)</f>
        <v>0</v>
      </c>
      <c r="S16" s="63">
        <f>INDEX('Table S3 Literature Values'!$A$10:$AV$10000,MATCH($C16,'Table S3 Literature Values'!$A$10:$A$10000,0)+2,R$1)</f>
        <v>0</v>
      </c>
      <c r="T16" s="61">
        <f>VLOOKUP($C16,'Table S3 Literature Values'!$A$10:$AV$10000,T$1,FALSE)</f>
        <v>0</v>
      </c>
      <c r="U16" s="61">
        <f>INDEX('Table S3 Literature Values'!$A$10:$AV$10000,MATCH($C16,'Table S3 Literature Values'!$A$10:$A$10000,0)+1,U$1)</f>
        <v>0</v>
      </c>
      <c r="V16" s="63">
        <f>INDEX('Table S3 Literature Values'!$A$10:$AV$10000,MATCH($C16,'Table S3 Literature Values'!$A$10:$A$10000,0)+2,U$1)</f>
        <v>0</v>
      </c>
      <c r="W16" s="61">
        <f>VLOOKUP($C16,'Table S3 Literature Values'!$A$10:$AV$10000,W$1,FALSE)</f>
        <v>6.7979039072356926</v>
      </c>
      <c r="X16" s="61">
        <f>INDEX('Table S3 Literature Values'!$A$10:$AV$10000,MATCH($C16,'Table S3 Literature Values'!$A$10:$A$10000,0)+1,X$1)</f>
        <v>0.17503119318684157</v>
      </c>
      <c r="Y16" s="63">
        <f>INDEX('Table S3 Literature Values'!$A$10:$AV$10000,MATCH($C16,'Table S3 Literature Values'!$A$10:$A$10000,0)+2,X$1)</f>
        <v>1</v>
      </c>
      <c r="Z16" s="61">
        <f>VLOOKUP($C16,'Table S3 Literature Values'!$A$10:$AV$10000,Z$1,FALSE)</f>
        <v>4.8600000000000003</v>
      </c>
      <c r="AA16" s="61">
        <f>INDEX('Table S3 Literature Values'!$A$10:$AV$10000,MATCH($C16,'Table S3 Literature Values'!$A$10:$A$10000,0)+1,AA$1)</f>
        <v>1.458</v>
      </c>
      <c r="AB16" s="63">
        <f>INDEX('Table S3 Literature Values'!$A$10:$AV$10000,MATCH($C16,'Table S3 Literature Values'!$A$10:$A$10000,0)+2,AA$1)</f>
        <v>1</v>
      </c>
      <c r="AC16" s="61">
        <f>VLOOKUP($C16,'Table S3 Literature Values'!$A$10:$AV$10000,AC$1,FALSE)</f>
        <v>0</v>
      </c>
      <c r="AD16" s="61">
        <f>INDEX('Table S3 Literature Values'!$A$10:$AV$10000,MATCH($C16,'Table S3 Literature Values'!$A$10:$A$10000,0)+1,AD$1)</f>
        <v>0</v>
      </c>
      <c r="AE16" s="63">
        <f>INDEX('Table S3 Literature Values'!$A$10:$AV$10000,MATCH($C16,'Table S3 Literature Values'!$A$10:$A$10000,0)+2,AD$1)</f>
        <v>0</v>
      </c>
      <c r="AF16" s="61">
        <f>VLOOKUP($C16,'Table S3 Literature Values'!$A$10:$AV$10000,AF$1,FALSE)</f>
        <v>-0.96330666731063319</v>
      </c>
      <c r="AG16" s="61">
        <f>INDEX('Table S3 Literature Values'!$A$10:$AV$10000,MATCH($C16,'Table S3 Literature Values'!$A$10:$A$10000,0)+1,AG$1)</f>
        <v>0.15284245128584373</v>
      </c>
      <c r="AH16" s="63">
        <f>INDEX('Table S3 Literature Values'!$A$10:$AV$10000,MATCH($C16,'Table S3 Literature Values'!$A$10:$A$10000,0)+2,AG$1)</f>
        <v>1</v>
      </c>
      <c r="AI16" s="61">
        <f>VLOOKUP($C16,'Table S3 Literature Values'!$A$10:$AV$10000,AI$1,FALSE)</f>
        <v>-2.752123843199989</v>
      </c>
      <c r="AJ16" s="61">
        <f>INDEX('Table S3 Literature Values'!$A$10:$AV$10000,MATCH($C16,'Table S3 Literature Values'!$A$10:$A$10000,0)+1,AJ$1)</f>
        <v>0.34031273885375107</v>
      </c>
      <c r="AK16" s="63">
        <f>INDEX('Table S3 Literature Values'!$A$10:$AV$10000,MATCH($C16,'Table S3 Literature Values'!$A$10:$A$10000,0)+2,AJ$1)</f>
        <v>1</v>
      </c>
      <c r="AL16" s="61">
        <f>VLOOKUP($C16,'Table S3 Literature Values'!$A$10:$AV$10000,AL$1,FALSE)</f>
        <v>0</v>
      </c>
      <c r="AM16" s="61">
        <f>INDEX('Table S3 Literature Values'!$A$10:$AV$10000,MATCH($C16,'Table S3 Literature Values'!$A$10:$A$10000,0)+1,AM$1)</f>
        <v>0</v>
      </c>
      <c r="AN16" s="63">
        <f>INDEX('Table S3 Literature Values'!$A$10:$AV$10000,MATCH($C16,'Table S3 Literature Values'!$A$10:$A$10000,0)+2,AM$1)</f>
        <v>0</v>
      </c>
      <c r="AO16" s="61">
        <f>VLOOKUP($C16,'Table S3 Literature Values'!$A$10:$AV$10000,AO$1,FALSE)</f>
        <v>0</v>
      </c>
      <c r="AP16" s="61">
        <f>INDEX('Table S3 Literature Values'!$A$10:$AV$10000,MATCH($C16,'Table S3 Literature Values'!$A$10:$A$10000,0)+1,AP$1)</f>
        <v>0</v>
      </c>
      <c r="AQ16" s="63">
        <f>INDEX('Table S3 Literature Values'!$A$10:$AV$10000,MATCH($C16,'Table S3 Literature Values'!$A$10:$A$10000,0)+2,AP$1)</f>
        <v>0</v>
      </c>
      <c r="AR16" s="61">
        <f>VLOOKUP($C16,'Table S3 Literature Values'!$A$10:$AV$10000,AR$1,FALSE)</f>
        <v>75.400000000000006</v>
      </c>
      <c r="AS16" s="61">
        <f>INDEX('Table S3 Literature Values'!$A$10:$AV$10000,MATCH($C16,'Table S3 Literature Values'!$A$10:$A$10000,0)+1,AS$1)</f>
        <v>0.56568542494923602</v>
      </c>
      <c r="AT16" s="63">
        <f>INDEX('Table S3 Literature Values'!$A$10:$AV$10000,MATCH($C16,'Table S3 Literature Values'!$A$10:$A$10000,0)+2,AS$1)</f>
        <v>2</v>
      </c>
    </row>
    <row r="17" spans="1:46">
      <c r="A17" t="str">
        <f>'Table S2 Compound Identifiers'!C22</f>
        <v>NBFR</v>
      </c>
      <c r="B17">
        <f>COUNTIF($C$3:C17,"&lt;&gt;"&amp;"")</f>
        <v>15</v>
      </c>
      <c r="C17" t="str">
        <f>IF('Table S2 Compound Identifiers'!B22="","",'Table S2 Compound Identifiers'!B22)</f>
        <v>β-TBCO</v>
      </c>
      <c r="D17" t="str">
        <f>'Table S2 Compound Identifiers'!D22</f>
        <v>3194-57-8</v>
      </c>
      <c r="E17" s="501">
        <f>VLOOKUP(C17,'Table S3 Literature Values'!$A$10:$AV$10000,E$1,FALSE)</f>
        <v>64.599999999999994</v>
      </c>
      <c r="F17" s="61">
        <f>INDEX('Table S3 Literature Values'!$A$10:$AV$10000,MATCH(C17,'Table S3 Literature Values'!$A$10:$A$10000,0)+1,F$1)</f>
        <v>4.610076833097275</v>
      </c>
      <c r="G17" s="63">
        <f>INDEX('Table S3 Literature Values'!$A$10:$AV$10000,MATCH($C17,'Table S3 Literature Values'!$A$10:$A$10000,0)+2,F$1)</f>
        <v>1</v>
      </c>
      <c r="H17" s="61">
        <f>VLOOKUP($C17,'Table S3 Literature Values'!$A$10:$AV$10000,H$1,FALSE)</f>
        <v>0</v>
      </c>
      <c r="I17" s="61">
        <f>INDEX('Table S3 Literature Values'!$A$10:$AV$10000,MATCH($C17,'Table S3 Literature Values'!$A$10:$A$10000,0)+1,I$1)</f>
        <v>0</v>
      </c>
      <c r="J17" s="63">
        <f>INDEX('Table S3 Literature Values'!$A$10:$AV$10000,MATCH($C17,'Table S3 Literature Values'!$A$10:$A$10000,0)+2,I$1)</f>
        <v>0</v>
      </c>
      <c r="K17" s="61">
        <f>VLOOKUP($C17,'Table S3 Literature Values'!$A$10:$AV$10000,K$1,FALSE)</f>
        <v>0</v>
      </c>
      <c r="L17" s="61">
        <f>INDEX('Table S3 Literature Values'!$A$10:$AV$10000,MATCH($C17,'Table S3 Literature Values'!$A$10:$A$10000,0)+1,L$1)</f>
        <v>0</v>
      </c>
      <c r="M17" s="63">
        <f>INDEX('Table S3 Literature Values'!$A$10:$AV$10000,MATCH($C17,'Table S3 Literature Values'!$A$10:$A$10000,0)+2,L$1)</f>
        <v>0</v>
      </c>
      <c r="N17" s="61">
        <f>VLOOKUP($C17,'Table S3 Literature Values'!$A$10:$AV$10000,N$1,FALSE)</f>
        <v>52.3</v>
      </c>
      <c r="O17" s="61">
        <f>INDEX('Table S3 Literature Values'!$A$10:$AV$10000,MATCH($C17,'Table S3 Literature Values'!$A$10:$A$10000,0)+1,O$1)</f>
        <v>3.3136277817086577</v>
      </c>
      <c r="P17" s="63">
        <f>INDEX('Table S3 Literature Values'!$A$10:$AV$10000,MATCH($C17,'Table S3 Literature Values'!$A$10:$A$10000,0)+2,O$1)</f>
        <v>1</v>
      </c>
      <c r="Q17" s="61">
        <f>VLOOKUP($C17,'Table S3 Literature Values'!$A$10:$AV$10000,Q$1,FALSE)</f>
        <v>0</v>
      </c>
      <c r="R17" s="61">
        <f>INDEX('Table S3 Literature Values'!$A$10:$AV$10000,MATCH($C17,'Table S3 Literature Values'!$A$10:$A$10000,0)+1,R$1)</f>
        <v>0</v>
      </c>
      <c r="S17" s="63">
        <f>INDEX('Table S3 Literature Values'!$A$10:$AV$10000,MATCH($C17,'Table S3 Literature Values'!$A$10:$A$10000,0)+2,R$1)</f>
        <v>0</v>
      </c>
      <c r="T17" s="61">
        <f>VLOOKUP($C17,'Table S3 Literature Values'!$A$10:$AV$10000,T$1,FALSE)</f>
        <v>0</v>
      </c>
      <c r="U17" s="61">
        <f>INDEX('Table S3 Literature Values'!$A$10:$AV$10000,MATCH($C17,'Table S3 Literature Values'!$A$10:$A$10000,0)+1,U$1)</f>
        <v>0</v>
      </c>
      <c r="V17" s="63">
        <f>INDEX('Table S3 Literature Values'!$A$10:$AV$10000,MATCH($C17,'Table S3 Literature Values'!$A$10:$A$10000,0)+2,U$1)</f>
        <v>0</v>
      </c>
      <c r="W17" s="61">
        <f>VLOOKUP($C17,'Table S3 Literature Values'!$A$10:$AV$10000,W$1,FALSE)</f>
        <v>7.4000524662295337</v>
      </c>
      <c r="X17" s="61">
        <f>INDEX('Table S3 Literature Values'!$A$10:$AV$10000,MATCH($C17,'Table S3 Literature Values'!$A$10:$A$10000,0)+1,X$1)</f>
        <v>0.19053520474608812</v>
      </c>
      <c r="Y17" s="63">
        <f>INDEX('Table S3 Literature Values'!$A$10:$AV$10000,MATCH($C17,'Table S3 Literature Values'!$A$10:$A$10000,0)+2,X$1)</f>
        <v>1</v>
      </c>
      <c r="Z17" s="61">
        <f>VLOOKUP($C17,'Table S3 Literature Values'!$A$10:$AV$10000,Z$1,FALSE)</f>
        <v>0</v>
      </c>
      <c r="AA17" s="61">
        <f>INDEX('Table S3 Literature Values'!$A$10:$AV$10000,MATCH($C17,'Table S3 Literature Values'!$A$10:$A$10000,0)+1,AA$1)</f>
        <v>0</v>
      </c>
      <c r="AB17" s="63">
        <f>INDEX('Table S3 Literature Values'!$A$10:$AV$10000,MATCH($C17,'Table S3 Literature Values'!$A$10:$A$10000,0)+2,AA$1)</f>
        <v>0</v>
      </c>
      <c r="AC17" s="61">
        <f>VLOOKUP($C17,'Table S3 Literature Values'!$A$10:$AV$10000,AC$1,FALSE)</f>
        <v>0</v>
      </c>
      <c r="AD17" s="61">
        <f>INDEX('Table S3 Literature Values'!$A$10:$AV$10000,MATCH($C17,'Table S3 Literature Values'!$A$10:$A$10000,0)+1,AD$1)</f>
        <v>0</v>
      </c>
      <c r="AE17" s="63">
        <f>INDEX('Table S3 Literature Values'!$A$10:$AV$10000,MATCH($C17,'Table S3 Literature Values'!$A$10:$A$10000,0)+2,AD$1)</f>
        <v>0</v>
      </c>
      <c r="AF17" s="61">
        <f>VLOOKUP($C17,'Table S3 Literature Values'!$A$10:$AV$10000,AF$1,FALSE)</f>
        <v>-0.75193215432646821</v>
      </c>
      <c r="AG17" s="61">
        <f>INDEX('Table S3 Literature Values'!$A$10:$AV$10000,MATCH($C17,'Table S3 Literature Values'!$A$10:$A$10000,0)+1,AG$1)</f>
        <v>0.11930484607643922</v>
      </c>
      <c r="AH17" s="63">
        <f>INDEX('Table S3 Literature Values'!$A$10:$AV$10000,MATCH($C17,'Table S3 Literature Values'!$A$10:$A$10000,0)+2,AG$1)</f>
        <v>1</v>
      </c>
      <c r="AI17" s="61">
        <f>VLOOKUP($C17,'Table S3 Literature Values'!$A$10:$AV$10000,AI$1,FALSE)</f>
        <v>0</v>
      </c>
      <c r="AJ17" s="61">
        <f>INDEX('Table S3 Literature Values'!$A$10:$AV$10000,MATCH($C17,'Table S3 Literature Values'!$A$10:$A$10000,0)+1,AJ$1)</f>
        <v>0</v>
      </c>
      <c r="AK17" s="63">
        <f>INDEX('Table S3 Literature Values'!$A$10:$AV$10000,MATCH($C17,'Table S3 Literature Values'!$A$10:$A$10000,0)+2,AJ$1)</f>
        <v>0</v>
      </c>
      <c r="AL17" s="61">
        <f>VLOOKUP($C17,'Table S3 Literature Values'!$A$10:$AV$10000,AL$1,FALSE)</f>
        <v>0</v>
      </c>
      <c r="AM17" s="61">
        <f>INDEX('Table S3 Literature Values'!$A$10:$AV$10000,MATCH($C17,'Table S3 Literature Values'!$A$10:$A$10000,0)+1,AM$1)</f>
        <v>0</v>
      </c>
      <c r="AN17" s="63">
        <f>INDEX('Table S3 Literature Values'!$A$10:$AV$10000,MATCH($C17,'Table S3 Literature Values'!$A$10:$A$10000,0)+2,AM$1)</f>
        <v>0</v>
      </c>
      <c r="AO17" s="61">
        <f>VLOOKUP($C17,'Table S3 Literature Values'!$A$10:$AV$10000,AO$1,FALSE)</f>
        <v>0</v>
      </c>
      <c r="AP17" s="61">
        <f>INDEX('Table S3 Literature Values'!$A$10:$AV$10000,MATCH($C17,'Table S3 Literature Values'!$A$10:$A$10000,0)+1,AP$1)</f>
        <v>0</v>
      </c>
      <c r="AQ17" s="63">
        <f>INDEX('Table S3 Literature Values'!$A$10:$AV$10000,MATCH($C17,'Table S3 Literature Values'!$A$10:$A$10000,0)+2,AP$1)</f>
        <v>0</v>
      </c>
      <c r="AR17" s="61">
        <f>VLOOKUP($C17,'Table S3 Literature Values'!$A$10:$AV$10000,AR$1,FALSE)</f>
        <v>147.5</v>
      </c>
      <c r="AS17" s="61">
        <f>INDEX('Table S3 Literature Values'!$A$10:$AV$10000,MATCH($C17,'Table S3 Literature Values'!$A$10:$A$10000,0)+1,AS$1)</f>
        <v>44.25</v>
      </c>
      <c r="AT17" s="63">
        <f>INDEX('Table S3 Literature Values'!$A$10:$AV$10000,MATCH($C17,'Table S3 Literature Values'!$A$10:$A$10000,0)+2,AS$1)</f>
        <v>1</v>
      </c>
    </row>
    <row r="18" spans="1:46">
      <c r="A18" t="str">
        <f>'Table S2 Compound Identifiers'!C23</f>
        <v>NBFR</v>
      </c>
      <c r="B18">
        <f>COUNTIF($C$3:C18,"&lt;&gt;"&amp;"")</f>
        <v>16</v>
      </c>
      <c r="C18" t="str">
        <f>IF('Table S2 Compound Identifiers'!B23="","",'Table S2 Compound Identifiers'!B23)</f>
        <v>PBBZ</v>
      </c>
      <c r="D18" t="str">
        <f>'Table S2 Compound Identifiers'!D23</f>
        <v>608-90-2</v>
      </c>
      <c r="E18" s="501">
        <f>VLOOKUP(C18,'Table S3 Literature Values'!$A$10:$AV$10000,E$1,FALSE)</f>
        <v>61.6</v>
      </c>
      <c r="F18" s="61">
        <f>INDEX('Table S3 Literature Values'!$A$10:$AV$10000,MATCH(C18,'Table S3 Literature Values'!$A$10:$A$10000,0)+1,F$1)</f>
        <v>4.3959865776902811</v>
      </c>
      <c r="G18" s="63">
        <f>INDEX('Table S3 Literature Values'!$A$10:$AV$10000,MATCH($C18,'Table S3 Literature Values'!$A$10:$A$10000,0)+2,F$1)</f>
        <v>1</v>
      </c>
      <c r="H18" s="61">
        <f>VLOOKUP($C18,'Table S3 Literature Values'!$A$10:$AV$10000,H$1,FALSE)</f>
        <v>0</v>
      </c>
      <c r="I18" s="61">
        <f>INDEX('Table S3 Literature Values'!$A$10:$AV$10000,MATCH($C18,'Table S3 Literature Values'!$A$10:$A$10000,0)+1,I$1)</f>
        <v>0</v>
      </c>
      <c r="J18" s="63">
        <f>INDEX('Table S3 Literature Values'!$A$10:$AV$10000,MATCH($C18,'Table S3 Literature Values'!$A$10:$A$10000,0)+2,I$1)</f>
        <v>0</v>
      </c>
      <c r="K18" s="61">
        <f>VLOOKUP($C18,'Table S3 Literature Values'!$A$10:$AV$10000,K$1,FALSE)</f>
        <v>0</v>
      </c>
      <c r="L18" s="61">
        <f>INDEX('Table S3 Literature Values'!$A$10:$AV$10000,MATCH($C18,'Table S3 Literature Values'!$A$10:$A$10000,0)+1,L$1)</f>
        <v>0</v>
      </c>
      <c r="M18" s="63">
        <f>INDEX('Table S3 Literature Values'!$A$10:$AV$10000,MATCH($C18,'Table S3 Literature Values'!$A$10:$A$10000,0)+2,L$1)</f>
        <v>0</v>
      </c>
      <c r="N18" s="61">
        <f>VLOOKUP($C18,'Table S3 Literature Values'!$A$10:$AV$10000,N$1,FALSE)</f>
        <v>60.8</v>
      </c>
      <c r="O18" s="61">
        <f>INDEX('Table S3 Literature Values'!$A$10:$AV$10000,MATCH($C18,'Table S3 Literature Values'!$A$10:$A$10000,0)+1,O$1)</f>
        <v>3.8521714938410399</v>
      </c>
      <c r="P18" s="63">
        <f>INDEX('Table S3 Literature Values'!$A$10:$AV$10000,MATCH($C18,'Table S3 Literature Values'!$A$10:$A$10000,0)+2,O$1)</f>
        <v>1</v>
      </c>
      <c r="Q18" s="61">
        <f>VLOOKUP($C18,'Table S3 Literature Values'!$A$10:$AV$10000,Q$1,FALSE)</f>
        <v>0</v>
      </c>
      <c r="R18" s="61">
        <f>INDEX('Table S3 Literature Values'!$A$10:$AV$10000,MATCH($C18,'Table S3 Literature Values'!$A$10:$A$10000,0)+1,R$1)</f>
        <v>0</v>
      </c>
      <c r="S18" s="63">
        <f>INDEX('Table S3 Literature Values'!$A$10:$AV$10000,MATCH($C18,'Table S3 Literature Values'!$A$10:$A$10000,0)+2,R$1)</f>
        <v>0</v>
      </c>
      <c r="T18" s="61">
        <f>VLOOKUP($C18,'Table S3 Literature Values'!$A$10:$AV$10000,T$1,FALSE)</f>
        <v>0</v>
      </c>
      <c r="U18" s="61">
        <f>INDEX('Table S3 Literature Values'!$A$10:$AV$10000,MATCH($C18,'Table S3 Literature Values'!$A$10:$A$10000,0)+1,U$1)</f>
        <v>0</v>
      </c>
      <c r="V18" s="63">
        <f>INDEX('Table S3 Literature Values'!$A$10:$AV$10000,MATCH($C18,'Table S3 Literature Values'!$A$10:$A$10000,0)+2,U$1)</f>
        <v>0</v>
      </c>
      <c r="W18" s="61">
        <f>VLOOKUP($C18,'Table S3 Literature Values'!$A$10:$AV$10000,W$1,FALSE)</f>
        <v>8.2998774637940009</v>
      </c>
      <c r="X18" s="61">
        <f>INDEX('Table S3 Literature Values'!$A$10:$AV$10000,MATCH($C18,'Table S3 Literature Values'!$A$10:$A$10000,0)+1,X$1)</f>
        <v>0.21370373509489388</v>
      </c>
      <c r="Y18" s="63">
        <f>INDEX('Table S3 Literature Values'!$A$10:$AV$10000,MATCH($C18,'Table S3 Literature Values'!$A$10:$A$10000,0)+2,X$1)</f>
        <v>1</v>
      </c>
      <c r="Z18" s="61">
        <f>VLOOKUP($C18,'Table S3 Literature Values'!$A$10:$AV$10000,Z$1,FALSE)</f>
        <v>0</v>
      </c>
      <c r="AA18" s="61">
        <f>INDEX('Table S3 Literature Values'!$A$10:$AV$10000,MATCH($C18,'Table S3 Literature Values'!$A$10:$A$10000,0)+1,AA$1)</f>
        <v>0</v>
      </c>
      <c r="AB18" s="63">
        <f>INDEX('Table S3 Literature Values'!$A$10:$AV$10000,MATCH($C18,'Table S3 Literature Values'!$A$10:$A$10000,0)+2,AA$1)</f>
        <v>0</v>
      </c>
      <c r="AC18" s="61">
        <f>VLOOKUP($C18,'Table S3 Literature Values'!$A$10:$AV$10000,AC$1,FALSE)</f>
        <v>0</v>
      </c>
      <c r="AD18" s="61">
        <f>INDEX('Table S3 Literature Values'!$A$10:$AV$10000,MATCH($C18,'Table S3 Literature Values'!$A$10:$A$10000,0)+1,AD$1)</f>
        <v>0</v>
      </c>
      <c r="AE18" s="63">
        <f>INDEX('Table S3 Literature Values'!$A$10:$AV$10000,MATCH($C18,'Table S3 Literature Values'!$A$10:$A$10000,0)+2,AD$1)</f>
        <v>0</v>
      </c>
      <c r="AF18" s="61">
        <f>VLOOKUP($C18,'Table S3 Literature Values'!$A$10:$AV$10000,AF$1,FALSE)</f>
        <v>-1.4783758762335981</v>
      </c>
      <c r="AG18" s="61">
        <f>INDEX('Table S3 Literature Values'!$A$10:$AV$10000,MATCH($C18,'Table S3 Literature Values'!$A$10:$A$10000,0)+1,AG$1)</f>
        <v>0.2345655859273072</v>
      </c>
      <c r="AH18" s="63">
        <f>INDEX('Table S3 Literature Values'!$A$10:$AV$10000,MATCH($C18,'Table S3 Literature Values'!$A$10:$A$10000,0)+2,AG$1)</f>
        <v>1</v>
      </c>
      <c r="AI18" s="61">
        <f>VLOOKUP($C18,'Table S3 Literature Values'!$A$10:$AV$10000,AI$1,FALSE)</f>
        <v>0</v>
      </c>
      <c r="AJ18" s="61">
        <f>INDEX('Table S3 Literature Values'!$A$10:$AV$10000,MATCH($C18,'Table S3 Literature Values'!$A$10:$A$10000,0)+1,AJ$1)</f>
        <v>0</v>
      </c>
      <c r="AK18" s="63">
        <f>INDEX('Table S3 Literature Values'!$A$10:$AV$10000,MATCH($C18,'Table S3 Literature Values'!$A$10:$A$10000,0)+2,AJ$1)</f>
        <v>0</v>
      </c>
      <c r="AL18" s="61">
        <f>VLOOKUP($C18,'Table S3 Literature Values'!$A$10:$AV$10000,AL$1,FALSE)</f>
        <v>0</v>
      </c>
      <c r="AM18" s="61">
        <f>INDEX('Table S3 Literature Values'!$A$10:$AV$10000,MATCH($C18,'Table S3 Literature Values'!$A$10:$A$10000,0)+1,AM$1)</f>
        <v>0</v>
      </c>
      <c r="AN18" s="63">
        <f>INDEX('Table S3 Literature Values'!$A$10:$AV$10000,MATCH($C18,'Table S3 Literature Values'!$A$10:$A$10000,0)+2,AM$1)</f>
        <v>0</v>
      </c>
      <c r="AO18" s="61">
        <f>VLOOKUP($C18,'Table S3 Literature Values'!$A$10:$AV$10000,AO$1,FALSE)</f>
        <v>0</v>
      </c>
      <c r="AP18" s="61">
        <f>INDEX('Table S3 Literature Values'!$A$10:$AV$10000,MATCH($C18,'Table S3 Literature Values'!$A$10:$A$10000,0)+1,AP$1)</f>
        <v>0</v>
      </c>
      <c r="AQ18" s="63">
        <f>INDEX('Table S3 Literature Values'!$A$10:$AV$10000,MATCH($C18,'Table S3 Literature Values'!$A$10:$A$10000,0)+2,AP$1)</f>
        <v>0</v>
      </c>
      <c r="AR18" s="61">
        <f>VLOOKUP($C18,'Table S3 Literature Values'!$A$10:$AV$10000,AR$1,FALSE)</f>
        <v>159.66666666666666</v>
      </c>
      <c r="AS18" s="61">
        <f>INDEX('Table S3 Literature Values'!$A$10:$AV$10000,MATCH($C18,'Table S3 Literature Values'!$A$10:$A$10000,0)+1,AS$1)</f>
        <v>1.2583057392117916</v>
      </c>
      <c r="AT18" s="63">
        <f>INDEX('Table S3 Literature Values'!$A$10:$AV$10000,MATCH($C18,'Table S3 Literature Values'!$A$10:$A$10000,0)+2,AS$1)</f>
        <v>3</v>
      </c>
    </row>
    <row r="19" spans="1:46">
      <c r="A19" t="str">
        <f>'Table S2 Compound Identifiers'!C24</f>
        <v>NBFR</v>
      </c>
      <c r="B19">
        <f>COUNTIF($C$3:C19,"&lt;&gt;"&amp;"")</f>
        <v>17</v>
      </c>
      <c r="C19" t="str">
        <f>IF('Table S2 Compound Identifiers'!B24="","",'Table S2 Compound Identifiers'!B24)</f>
        <v>PBEB</v>
      </c>
      <c r="D19" t="str">
        <f>'Table S2 Compound Identifiers'!D24</f>
        <v>85-22-3</v>
      </c>
      <c r="E19" s="501">
        <f>VLOOKUP(C19,'Table S3 Literature Values'!$A$10:$AV$10000,E$1,FALSE)</f>
        <v>78.3</v>
      </c>
      <c r="F19" s="61">
        <f>INDEX('Table S3 Literature Values'!$A$10:$AV$10000,MATCH(C19,'Table S3 Literature Values'!$A$10:$A$10000,0)+1,F$1)</f>
        <v>5.5877556661225487</v>
      </c>
      <c r="G19" s="63">
        <f>INDEX('Table S3 Literature Values'!$A$10:$AV$10000,MATCH($C19,'Table S3 Literature Values'!$A$10:$A$10000,0)+2,F$1)</f>
        <v>1</v>
      </c>
      <c r="H19" s="61">
        <f>VLOOKUP($C19,'Table S3 Literature Values'!$A$10:$AV$10000,H$1,FALSE)</f>
        <v>0</v>
      </c>
      <c r="I19" s="61">
        <f>INDEX('Table S3 Literature Values'!$A$10:$AV$10000,MATCH($C19,'Table S3 Literature Values'!$A$10:$A$10000,0)+1,I$1)</f>
        <v>0</v>
      </c>
      <c r="J19" s="63">
        <f>INDEX('Table S3 Literature Values'!$A$10:$AV$10000,MATCH($C19,'Table S3 Literature Values'!$A$10:$A$10000,0)+2,I$1)</f>
        <v>0</v>
      </c>
      <c r="K19" s="61">
        <f>VLOOKUP($C19,'Table S3 Literature Values'!$A$10:$AV$10000,K$1,FALSE)</f>
        <v>0</v>
      </c>
      <c r="L19" s="61">
        <f>INDEX('Table S3 Literature Values'!$A$10:$AV$10000,MATCH($C19,'Table S3 Literature Values'!$A$10:$A$10000,0)+1,L$1)</f>
        <v>0</v>
      </c>
      <c r="M19" s="63">
        <f>INDEX('Table S3 Literature Values'!$A$10:$AV$10000,MATCH($C19,'Table S3 Literature Values'!$A$10:$A$10000,0)+2,L$1)</f>
        <v>0</v>
      </c>
      <c r="N19" s="61">
        <f>VLOOKUP($C19,'Table S3 Literature Values'!$A$10:$AV$10000,N$1,FALSE)</f>
        <v>77</v>
      </c>
      <c r="O19" s="61">
        <f>INDEX('Table S3 Literature Values'!$A$10:$AV$10000,MATCH($C19,'Table S3 Literature Values'!$A$10:$A$10000,0)+1,O$1)</f>
        <v>4.8785724510815802</v>
      </c>
      <c r="P19" s="63">
        <f>INDEX('Table S3 Literature Values'!$A$10:$AV$10000,MATCH($C19,'Table S3 Literature Values'!$A$10:$A$10000,0)+2,O$1)</f>
        <v>1</v>
      </c>
      <c r="Q19" s="61">
        <f>VLOOKUP($C19,'Table S3 Literature Values'!$A$10:$AV$10000,Q$1,FALSE)</f>
        <v>0</v>
      </c>
      <c r="R19" s="61">
        <f>INDEX('Table S3 Literature Values'!$A$10:$AV$10000,MATCH($C19,'Table S3 Literature Values'!$A$10:$A$10000,0)+1,R$1)</f>
        <v>0</v>
      </c>
      <c r="S19" s="63">
        <f>INDEX('Table S3 Literature Values'!$A$10:$AV$10000,MATCH($C19,'Table S3 Literature Values'!$A$10:$A$10000,0)+2,R$1)</f>
        <v>0</v>
      </c>
      <c r="T19" s="61">
        <f>VLOOKUP($C19,'Table S3 Literature Values'!$A$10:$AV$10000,T$1,FALSE)</f>
        <v>0</v>
      </c>
      <c r="U19" s="61">
        <f>INDEX('Table S3 Literature Values'!$A$10:$AV$10000,MATCH($C19,'Table S3 Literature Values'!$A$10:$A$10000,0)+1,U$1)</f>
        <v>0</v>
      </c>
      <c r="V19" s="63">
        <f>INDEX('Table S3 Literature Values'!$A$10:$AV$10000,MATCH($C19,'Table S3 Literature Values'!$A$10:$A$10000,0)+2,U$1)</f>
        <v>0</v>
      </c>
      <c r="W19" s="61">
        <f>VLOOKUP($C19,'Table S3 Literature Values'!$A$10:$AV$10000,W$1,FALSE)</f>
        <v>9.3461858616439955</v>
      </c>
      <c r="X19" s="61">
        <f>INDEX('Table S3 Literature Values'!$A$10:$AV$10000,MATCH($C19,'Table S3 Literature Values'!$A$10:$A$10000,0)+1,X$1)</f>
        <v>0.11853109118167626</v>
      </c>
      <c r="Y19" s="63">
        <f>INDEX('Table S3 Literature Values'!$A$10:$AV$10000,MATCH($C19,'Table S3 Literature Values'!$A$10:$A$10000,0)+2,X$1)</f>
        <v>2</v>
      </c>
      <c r="Z19" s="61">
        <f>VLOOKUP($C19,'Table S3 Literature Values'!$A$10:$AV$10000,Z$1,FALSE)</f>
        <v>0</v>
      </c>
      <c r="AA19" s="61">
        <f>INDEX('Table S3 Literature Values'!$A$10:$AV$10000,MATCH($C19,'Table S3 Literature Values'!$A$10:$A$10000,0)+1,AA$1)</f>
        <v>0</v>
      </c>
      <c r="AB19" s="63">
        <f>INDEX('Table S3 Literature Values'!$A$10:$AV$10000,MATCH($C19,'Table S3 Literature Values'!$A$10:$A$10000,0)+2,AA$1)</f>
        <v>0</v>
      </c>
      <c r="AC19" s="61">
        <f>VLOOKUP($C19,'Table S3 Literature Values'!$A$10:$AV$10000,AC$1,FALSE)</f>
        <v>0</v>
      </c>
      <c r="AD19" s="61">
        <f>INDEX('Table S3 Literature Values'!$A$10:$AV$10000,MATCH($C19,'Table S3 Literature Values'!$A$10:$A$10000,0)+1,AD$1)</f>
        <v>0</v>
      </c>
      <c r="AE19" s="63">
        <f>INDEX('Table S3 Literature Values'!$A$10:$AV$10000,MATCH($C19,'Table S3 Literature Values'!$A$10:$A$10000,0)+2,AD$1)</f>
        <v>0</v>
      </c>
      <c r="AF19" s="61">
        <f>VLOOKUP($C19,'Table S3 Literature Values'!$A$10:$AV$10000,AF$1,FALSE)</f>
        <v>-2.8450767105888928</v>
      </c>
      <c r="AG19" s="61">
        <f>INDEX('Table S3 Literature Values'!$A$10:$AV$10000,MATCH($C19,'Table S3 Literature Values'!$A$10:$A$10000,0)+1,AG$1)</f>
        <v>0.43122665136860511</v>
      </c>
      <c r="AH19" s="63">
        <f>INDEX('Table S3 Literature Values'!$A$10:$AV$10000,MATCH($C19,'Table S3 Literature Values'!$A$10:$A$10000,0)+2,AG$1)</f>
        <v>2</v>
      </c>
      <c r="AI19" s="61">
        <f>VLOOKUP($C19,'Table S3 Literature Values'!$A$10:$AV$10000,AI$1,FALSE)</f>
        <v>0</v>
      </c>
      <c r="AJ19" s="61">
        <f>INDEX('Table S3 Literature Values'!$A$10:$AV$10000,MATCH($C19,'Table S3 Literature Values'!$A$10:$A$10000,0)+1,AJ$1)</f>
        <v>0</v>
      </c>
      <c r="AK19" s="63">
        <f>INDEX('Table S3 Literature Values'!$A$10:$AV$10000,MATCH($C19,'Table S3 Literature Values'!$A$10:$A$10000,0)+2,AJ$1)</f>
        <v>0</v>
      </c>
      <c r="AL19" s="61">
        <f>VLOOKUP($C19,'Table S3 Literature Values'!$A$10:$AV$10000,AL$1,FALSE)</f>
        <v>0</v>
      </c>
      <c r="AM19" s="61">
        <f>INDEX('Table S3 Literature Values'!$A$10:$AV$10000,MATCH($C19,'Table S3 Literature Values'!$A$10:$A$10000,0)+1,AM$1)</f>
        <v>0</v>
      </c>
      <c r="AN19" s="63">
        <f>INDEX('Table S3 Literature Values'!$A$10:$AV$10000,MATCH($C19,'Table S3 Literature Values'!$A$10:$A$10000,0)+2,AM$1)</f>
        <v>0</v>
      </c>
      <c r="AO19" s="61">
        <f>VLOOKUP($C19,'Table S3 Literature Values'!$A$10:$AV$10000,AO$1,FALSE)</f>
        <v>32.770848618244074</v>
      </c>
      <c r="AP19" s="61">
        <f>INDEX('Table S3 Literature Values'!$A$10:$AV$10000,MATCH($C19,'Table S3 Literature Values'!$A$10:$A$10000,0)+1,AP$1)</f>
        <v>2.5829860323335803</v>
      </c>
      <c r="AQ19" s="63">
        <f>INDEX('Table S3 Literature Values'!$A$10:$AV$10000,MATCH($C19,'Table S3 Literature Values'!$A$10:$A$10000,0)+2,AP$1)</f>
        <v>1</v>
      </c>
      <c r="AR19" s="61">
        <f>VLOOKUP($C19,'Table S3 Literature Values'!$A$10:$AV$10000,AR$1,FALSE)</f>
        <v>137.16666666666666</v>
      </c>
      <c r="AS19" s="61">
        <f>INDEX('Table S3 Literature Values'!$A$10:$AV$10000,MATCH($C19,'Table S3 Literature Values'!$A$10:$A$10000,0)+1,AS$1)</f>
        <v>1.2332207155790618</v>
      </c>
      <c r="AT19" s="63">
        <f>INDEX('Table S3 Literature Values'!$A$10:$AV$10000,MATCH($C19,'Table S3 Literature Values'!$A$10:$A$10000,0)+2,AS$1)</f>
        <v>3</v>
      </c>
    </row>
    <row r="20" spans="1:46">
      <c r="A20" t="str">
        <f>'Table S2 Compound Identifiers'!C25</f>
        <v>NBFR</v>
      </c>
      <c r="B20">
        <f>COUNTIF($C$3:C20,"&lt;&gt;"&amp;"")</f>
        <v>18</v>
      </c>
      <c r="C20" t="str">
        <f>IF('Table S2 Compound Identifiers'!B25="","",'Table S2 Compound Identifiers'!B25)</f>
        <v>DPTE</v>
      </c>
      <c r="D20" t="str">
        <f>'Table S2 Compound Identifiers'!D25</f>
        <v>35109-60-5</v>
      </c>
      <c r="E20" s="501">
        <f>VLOOKUP(C20,'Table S3 Literature Values'!$A$10:$AV$10000,E$1,FALSE)</f>
        <v>82.6</v>
      </c>
      <c r="F20" s="61">
        <f>INDEX('Table S3 Literature Values'!$A$10:$AV$10000,MATCH(C20,'Table S3 Literature Values'!$A$10:$A$10000,0)+1,F$1)</f>
        <v>24.183051916579956</v>
      </c>
      <c r="G20" s="63">
        <f>INDEX('Table S3 Literature Values'!$A$10:$AV$10000,MATCH($C20,'Table S3 Literature Values'!$A$10:$A$10000,0)+2,F$1)</f>
        <v>2</v>
      </c>
      <c r="H20" s="61">
        <f>VLOOKUP($C20,'Table S3 Literature Values'!$A$10:$AV$10000,H$1,FALSE)</f>
        <v>0</v>
      </c>
      <c r="I20" s="61">
        <f>INDEX('Table S3 Literature Values'!$A$10:$AV$10000,MATCH($C20,'Table S3 Literature Values'!$A$10:$A$10000,0)+1,I$1)</f>
        <v>0</v>
      </c>
      <c r="J20" s="63">
        <f>INDEX('Table S3 Literature Values'!$A$10:$AV$10000,MATCH($C20,'Table S3 Literature Values'!$A$10:$A$10000,0)+2,I$1)</f>
        <v>0</v>
      </c>
      <c r="K20" s="61">
        <f>VLOOKUP($C20,'Table S3 Literature Values'!$A$10:$AV$10000,K$1,FALSE)</f>
        <v>0</v>
      </c>
      <c r="L20" s="61">
        <f>INDEX('Table S3 Literature Values'!$A$10:$AV$10000,MATCH($C20,'Table S3 Literature Values'!$A$10:$A$10000,0)+1,L$1)</f>
        <v>0</v>
      </c>
      <c r="M20" s="63">
        <f>INDEX('Table S3 Literature Values'!$A$10:$AV$10000,MATCH($C20,'Table S3 Literature Values'!$A$10:$A$10000,0)+2,L$1)</f>
        <v>0</v>
      </c>
      <c r="N20" s="61">
        <f>VLOOKUP($C20,'Table S3 Literature Values'!$A$10:$AV$10000,N$1,FALSE)</f>
        <v>77.2</v>
      </c>
      <c r="O20" s="61">
        <f>INDEX('Table S3 Literature Values'!$A$10:$AV$10000,MATCH($C20,'Table S3 Literature Values'!$A$10:$A$10000,0)+1,O$1)</f>
        <v>4.8912440678376363</v>
      </c>
      <c r="P20" s="63">
        <f>INDEX('Table S3 Literature Values'!$A$10:$AV$10000,MATCH($C20,'Table S3 Literature Values'!$A$10:$A$10000,0)+2,O$1)</f>
        <v>1</v>
      </c>
      <c r="Q20" s="61">
        <f>VLOOKUP($C20,'Table S3 Literature Values'!$A$10:$AV$10000,Q$1,FALSE)</f>
        <v>0</v>
      </c>
      <c r="R20" s="61">
        <f>INDEX('Table S3 Literature Values'!$A$10:$AV$10000,MATCH($C20,'Table S3 Literature Values'!$A$10:$A$10000,0)+1,R$1)</f>
        <v>0</v>
      </c>
      <c r="S20" s="63">
        <f>INDEX('Table S3 Literature Values'!$A$10:$AV$10000,MATCH($C20,'Table S3 Literature Values'!$A$10:$A$10000,0)+2,R$1)</f>
        <v>0</v>
      </c>
      <c r="T20" s="61">
        <f>VLOOKUP($C20,'Table S3 Literature Values'!$A$10:$AV$10000,T$1,FALSE)</f>
        <v>0</v>
      </c>
      <c r="U20" s="61">
        <f>INDEX('Table S3 Literature Values'!$A$10:$AV$10000,MATCH($C20,'Table S3 Literature Values'!$A$10:$A$10000,0)+1,U$1)</f>
        <v>0</v>
      </c>
      <c r="V20" s="63">
        <f>INDEX('Table S3 Literature Values'!$A$10:$AV$10000,MATCH($C20,'Table S3 Literature Values'!$A$10:$A$10000,0)+2,U$1)</f>
        <v>0</v>
      </c>
      <c r="W20" s="61">
        <f>VLOOKUP($C20,'Table S3 Literature Values'!$A$10:$AV$10000,W$1,FALSE)</f>
        <v>8.7698145846704172</v>
      </c>
      <c r="X20" s="61">
        <f>INDEX('Table S3 Literature Values'!$A$10:$AV$10000,MATCH($C20,'Table S3 Literature Values'!$A$10:$A$10000,0)+1,X$1)</f>
        <v>0.22580359059626945</v>
      </c>
      <c r="Y20" s="63">
        <f>INDEX('Table S3 Literature Values'!$A$10:$AV$10000,MATCH($C20,'Table S3 Literature Values'!$A$10:$A$10000,0)+2,X$1)</f>
        <v>1</v>
      </c>
      <c r="Z20" s="61">
        <f>VLOOKUP($C20,'Table S3 Literature Values'!$A$10:$AV$10000,Z$1,FALSE)</f>
        <v>0</v>
      </c>
      <c r="AA20" s="61">
        <f>INDEX('Table S3 Literature Values'!$A$10:$AV$10000,MATCH($C20,'Table S3 Literature Values'!$A$10:$A$10000,0)+1,AA$1)</f>
        <v>0</v>
      </c>
      <c r="AB20" s="63">
        <f>INDEX('Table S3 Literature Values'!$A$10:$AV$10000,MATCH($C20,'Table S3 Literature Values'!$A$10:$A$10000,0)+2,AA$1)</f>
        <v>0</v>
      </c>
      <c r="AC20" s="61">
        <f>VLOOKUP($C20,'Table S3 Literature Values'!$A$10:$AV$10000,AC$1,FALSE)</f>
        <v>0</v>
      </c>
      <c r="AD20" s="61">
        <f>INDEX('Table S3 Literature Values'!$A$10:$AV$10000,MATCH($C20,'Table S3 Literature Values'!$A$10:$A$10000,0)+1,AD$1)</f>
        <v>0</v>
      </c>
      <c r="AE20" s="63">
        <f>INDEX('Table S3 Literature Values'!$A$10:$AV$10000,MATCH($C20,'Table S3 Literature Values'!$A$10:$A$10000,0)+2,AD$1)</f>
        <v>0</v>
      </c>
      <c r="AF20" s="61">
        <f>VLOOKUP($C20,'Table S3 Literature Values'!$A$10:$AV$10000,AF$1,FALSE)</f>
        <v>-3.8123009188630648</v>
      </c>
      <c r="AG20" s="61">
        <f>INDEX('Table S3 Literature Values'!$A$10:$AV$10000,MATCH($C20,'Table S3 Literature Values'!$A$10:$A$10000,0)+1,AG$1)</f>
        <v>0.35029939993120696</v>
      </c>
      <c r="AH20" s="63">
        <f>INDEX('Table S3 Literature Values'!$A$10:$AV$10000,MATCH($C20,'Table S3 Literature Values'!$A$10:$A$10000,0)+2,AG$1)</f>
        <v>2</v>
      </c>
      <c r="AI20" s="61">
        <f>VLOOKUP($C20,'Table S3 Literature Values'!$A$10:$AV$10000,AI$1,FALSE)</f>
        <v>0</v>
      </c>
      <c r="AJ20" s="61">
        <f>INDEX('Table S3 Literature Values'!$A$10:$AV$10000,MATCH($C20,'Table S3 Literature Values'!$A$10:$A$10000,0)+1,AJ$1)</f>
        <v>0</v>
      </c>
      <c r="AK20" s="63">
        <f>INDEX('Table S3 Literature Values'!$A$10:$AV$10000,MATCH($C20,'Table S3 Literature Values'!$A$10:$A$10000,0)+2,AJ$1)</f>
        <v>0</v>
      </c>
      <c r="AL20" s="61">
        <f>VLOOKUP($C20,'Table S3 Literature Values'!$A$10:$AV$10000,AL$1,FALSE)</f>
        <v>0</v>
      </c>
      <c r="AM20" s="61">
        <f>INDEX('Table S3 Literature Values'!$A$10:$AV$10000,MATCH($C20,'Table S3 Literature Values'!$A$10:$A$10000,0)+1,AM$1)</f>
        <v>0</v>
      </c>
      <c r="AN20" s="63">
        <f>INDEX('Table S3 Literature Values'!$A$10:$AV$10000,MATCH($C20,'Table S3 Literature Values'!$A$10:$A$10000,0)+2,AM$1)</f>
        <v>0</v>
      </c>
      <c r="AO20" s="61">
        <f>VLOOKUP($C20,'Table S3 Literature Values'!$A$10:$AV$10000,AO$1,FALSE)</f>
        <v>8.1606630538731277</v>
      </c>
      <c r="AP20" s="61">
        <f>INDEX('Table S3 Literature Values'!$A$10:$AV$10000,MATCH($C20,'Table S3 Literature Values'!$A$10:$A$10000,0)+1,AP$1)</f>
        <v>0.64322040995301011</v>
      </c>
      <c r="AQ20" s="63">
        <f>INDEX('Table S3 Literature Values'!$A$10:$AV$10000,MATCH($C20,'Table S3 Literature Values'!$A$10:$A$10000,0)+2,AP$1)</f>
        <v>1</v>
      </c>
      <c r="AR20" s="61">
        <f>VLOOKUP($C20,'Table S3 Literature Values'!$A$10:$AV$10000,AR$1,FALSE)</f>
        <v>40.550000000000011</v>
      </c>
      <c r="AS20" s="61">
        <f>INDEX('Table S3 Literature Values'!$A$10:$AV$10000,MATCH($C20,'Table S3 Literature Values'!$A$10:$A$10000,0)+1,AS$1)</f>
        <v>1.8720198319948196</v>
      </c>
      <c r="AT20" s="63">
        <f>INDEX('Table S3 Literature Values'!$A$10:$AV$10000,MATCH($C20,'Table S3 Literature Values'!$A$10:$A$10000,0)+2,AS$1)</f>
        <v>1</v>
      </c>
    </row>
    <row r="21" spans="1:46">
      <c r="A21" t="str">
        <f>'Table S2 Compound Identifiers'!C26</f>
        <v>NBFR</v>
      </c>
      <c r="B21">
        <f>COUNTIF($C$3:C21,"&lt;&gt;"&amp;"")</f>
        <v>19</v>
      </c>
      <c r="C21" t="str">
        <f>IF('Table S2 Compound Identifiers'!B26="","",'Table S2 Compound Identifiers'!B26)</f>
        <v>β-HBCDD</v>
      </c>
      <c r="D21" t="str">
        <f>'Table S2 Compound Identifiers'!D26</f>
        <v>134237-51-7</v>
      </c>
      <c r="E21" s="501">
        <f>VLOOKUP(C21,'Table S3 Literature Values'!$A$10:$AV$10000,E$1,FALSE)</f>
        <v>101</v>
      </c>
      <c r="F21" s="61">
        <f>INDEX('Table S3 Literature Values'!$A$10:$AV$10000,MATCH(C21,'Table S3 Literature Values'!$A$10:$A$10000,0)+1,F$1)</f>
        <v>7.2077052653688058</v>
      </c>
      <c r="G21" s="63">
        <f>INDEX('Table S3 Literature Values'!$A$10:$AV$10000,MATCH($C21,'Table S3 Literature Values'!$A$10:$A$10000,0)+2,F$1)</f>
        <v>1</v>
      </c>
      <c r="H21" s="61">
        <f>VLOOKUP($C21,'Table S3 Literature Values'!$A$10:$AV$10000,H$1,FALSE)</f>
        <v>0</v>
      </c>
      <c r="I21" s="61">
        <f>INDEX('Table S3 Literature Values'!$A$10:$AV$10000,MATCH($C21,'Table S3 Literature Values'!$A$10:$A$10000,0)+1,I$1)</f>
        <v>0</v>
      </c>
      <c r="J21" s="63">
        <f>INDEX('Table S3 Literature Values'!$A$10:$AV$10000,MATCH($C21,'Table S3 Literature Values'!$A$10:$A$10000,0)+2,I$1)</f>
        <v>0</v>
      </c>
      <c r="K21" s="61">
        <f>VLOOKUP($C21,'Table S3 Literature Values'!$A$10:$AV$10000,K$1,FALSE)</f>
        <v>0</v>
      </c>
      <c r="L21" s="61">
        <f>INDEX('Table S3 Literature Values'!$A$10:$AV$10000,MATCH($C21,'Table S3 Literature Values'!$A$10:$A$10000,0)+1,L$1)</f>
        <v>0</v>
      </c>
      <c r="M21" s="63">
        <f>INDEX('Table S3 Literature Values'!$A$10:$AV$10000,MATCH($C21,'Table S3 Literature Values'!$A$10:$A$10000,0)+2,L$1)</f>
        <v>0</v>
      </c>
      <c r="N21" s="61">
        <f>VLOOKUP($C21,'Table S3 Literature Values'!$A$10:$AV$10000,N$1,FALSE)</f>
        <v>0</v>
      </c>
      <c r="O21" s="61">
        <f>INDEX('Table S3 Literature Values'!$A$10:$AV$10000,MATCH($C21,'Table S3 Literature Values'!$A$10:$A$10000,0)+1,O$1)</f>
        <v>0</v>
      </c>
      <c r="P21" s="63">
        <f>INDEX('Table S3 Literature Values'!$A$10:$AV$10000,MATCH($C21,'Table S3 Literature Values'!$A$10:$A$10000,0)+2,O$1)</f>
        <v>0</v>
      </c>
      <c r="Q21" s="61">
        <f>VLOOKUP($C21,'Table S3 Literature Values'!$A$10:$AV$10000,Q$1,FALSE)</f>
        <v>0</v>
      </c>
      <c r="R21" s="61">
        <f>INDEX('Table S3 Literature Values'!$A$10:$AV$10000,MATCH($C21,'Table S3 Literature Values'!$A$10:$A$10000,0)+1,R$1)</f>
        <v>0</v>
      </c>
      <c r="S21" s="63">
        <f>INDEX('Table S3 Literature Values'!$A$10:$AV$10000,MATCH($C21,'Table S3 Literature Values'!$A$10:$A$10000,0)+2,R$1)</f>
        <v>0</v>
      </c>
      <c r="T21" s="61">
        <f>VLOOKUP($C21,'Table S3 Literature Values'!$A$10:$AV$10000,T$1,FALSE)</f>
        <v>-22.4</v>
      </c>
      <c r="U21" s="61">
        <f>INDEX('Table S3 Literature Values'!$A$10:$AV$10000,MATCH($C21,'Table S3 Literature Values'!$A$10:$A$10000,0)+1,U$1)</f>
        <v>4.4799999999999995</v>
      </c>
      <c r="V21" s="63">
        <f>INDEX('Table S3 Literature Values'!$A$10:$AV$10000,MATCH($C21,'Table S3 Literature Values'!$A$10:$A$10000,0)+2,U$1)</f>
        <v>1</v>
      </c>
      <c r="W21" s="61">
        <f>VLOOKUP($C21,'Table S3 Literature Values'!$A$10:$AV$10000,W$1,FALSE)</f>
        <v>0</v>
      </c>
      <c r="X21" s="61">
        <f>INDEX('Table S3 Literature Values'!$A$10:$AV$10000,MATCH($C21,'Table S3 Literature Values'!$A$10:$A$10000,0)+1,X$1)</f>
        <v>0</v>
      </c>
      <c r="Y21" s="63">
        <f>INDEX('Table S3 Literature Values'!$A$10:$AV$10000,MATCH($C21,'Table S3 Literature Values'!$A$10:$A$10000,0)+2,X$1)</f>
        <v>0</v>
      </c>
      <c r="Z21" s="61">
        <f>VLOOKUP($C21,'Table S3 Literature Values'!$A$10:$AV$10000,Z$1,FALSE)</f>
        <v>5.6</v>
      </c>
      <c r="AA21" s="61">
        <f>INDEX('Table S3 Literature Values'!$A$10:$AV$10000,MATCH($C21,'Table S3 Literature Values'!$A$10:$A$10000,0)+1,AA$1)</f>
        <v>0.268700576850888</v>
      </c>
      <c r="AB21" s="63">
        <f>INDEX('Table S3 Literature Values'!$A$10:$AV$10000,MATCH($C21,'Table S3 Literature Values'!$A$10:$A$10000,0)+2,AA$1)</f>
        <v>2</v>
      </c>
      <c r="AC21" s="61">
        <f>VLOOKUP($C21,'Table S3 Literature Values'!$A$10:$AV$10000,AC$1,FALSE)</f>
        <v>0</v>
      </c>
      <c r="AD21" s="61">
        <f>INDEX('Table S3 Literature Values'!$A$10:$AV$10000,MATCH($C21,'Table S3 Literature Values'!$A$10:$A$10000,0)+1,AD$1)</f>
        <v>0</v>
      </c>
      <c r="AE21" s="63">
        <f>INDEX('Table S3 Literature Values'!$A$10:$AV$10000,MATCH($C21,'Table S3 Literature Values'!$A$10:$A$10000,0)+2,AD$1)</f>
        <v>0</v>
      </c>
      <c r="AF21" s="61">
        <f>VLOOKUP($C21,'Table S3 Literature Values'!$A$10:$AV$10000,AF$1,FALSE)</f>
        <v>-3.755444851511903</v>
      </c>
      <c r="AG21" s="61">
        <f>INDEX('Table S3 Literature Values'!$A$10:$AV$10000,MATCH($C21,'Table S3 Literature Values'!$A$10:$A$10000,0)+1,AG$1)</f>
        <v>0.59585531404693193</v>
      </c>
      <c r="AH21" s="63">
        <f>INDEX('Table S3 Literature Values'!$A$10:$AV$10000,MATCH($C21,'Table S3 Literature Values'!$A$10:$A$10000,0)+2,AG$1)</f>
        <v>1</v>
      </c>
      <c r="AI21" s="61">
        <f ca="1">VLOOKUP($C21,'Table S3 Literature Values'!$A$10:$AV$10000,AI$1,FALSE)</f>
        <v>-3.5474021302973409</v>
      </c>
      <c r="AJ21" s="61">
        <f ca="1">INDEX('Table S3 Literature Values'!$A$10:$AV$10000,MATCH($C21,'Table S3 Literature Values'!$A$10:$A$10000,0)+1,AJ$1)</f>
        <v>0.53026415625939816</v>
      </c>
      <c r="AK21" s="63">
        <f ca="1">INDEX('Table S3 Literature Values'!$A$10:$AV$10000,MATCH($C21,'Table S3 Literature Values'!$A$10:$A$10000,0)+2,AJ$1)</f>
        <v>2</v>
      </c>
      <c r="AL21" s="61">
        <f>VLOOKUP($C21,'Table S3 Literature Values'!$A$10:$AV$10000,AL$1,FALSE)</f>
        <v>0</v>
      </c>
      <c r="AM21" s="61">
        <f>INDEX('Table S3 Literature Values'!$A$10:$AV$10000,MATCH($C21,'Table S3 Literature Values'!$A$10:$A$10000,0)+1,AM$1)</f>
        <v>0</v>
      </c>
      <c r="AN21" s="63">
        <f>INDEX('Table S3 Literature Values'!$A$10:$AV$10000,MATCH($C21,'Table S3 Literature Values'!$A$10:$A$10000,0)+2,AM$1)</f>
        <v>0</v>
      </c>
      <c r="AO21" s="61">
        <f>VLOOKUP($C21,'Table S3 Literature Values'!$A$10:$AV$10000,AO$1,FALSE)</f>
        <v>0</v>
      </c>
      <c r="AP21" s="61">
        <f>INDEX('Table S3 Literature Values'!$A$10:$AV$10000,MATCH($C21,'Table S3 Literature Values'!$A$10:$A$10000,0)+1,AP$1)</f>
        <v>0</v>
      </c>
      <c r="AQ21" s="63">
        <f>INDEX('Table S3 Literature Values'!$A$10:$AV$10000,MATCH($C21,'Table S3 Literature Values'!$A$10:$A$10000,0)+2,AP$1)</f>
        <v>0</v>
      </c>
      <c r="AR21" s="61">
        <f>VLOOKUP($C21,'Table S3 Literature Values'!$A$10:$AV$10000,AR$1,FALSE)</f>
        <v>170.25</v>
      </c>
      <c r="AS21" s="61">
        <f>INDEX('Table S3 Literature Values'!$A$10:$AV$10000,MATCH($C21,'Table S3 Literature Values'!$A$10:$A$10000,0)+1,AS$1)</f>
        <v>1.0606601717798212</v>
      </c>
      <c r="AT21" s="63">
        <f>INDEX('Table S3 Literature Values'!$A$10:$AV$10000,MATCH($C21,'Table S3 Literature Values'!$A$10:$A$10000,0)+2,AS$1)</f>
        <v>2</v>
      </c>
    </row>
    <row r="22" spans="1:46">
      <c r="A22" t="str">
        <f>'Table S2 Compound Identifiers'!C27</f>
        <v>NBFR</v>
      </c>
      <c r="B22">
        <f>COUNTIF($C$3:C22,"&lt;&gt;"&amp;"")</f>
        <v>20</v>
      </c>
      <c r="C22" t="str">
        <f>IF('Table S2 Compound Identifiers'!B27="","",'Table S2 Compound Identifiers'!B27)</f>
        <v>anti-DDC-CO</v>
      </c>
      <c r="D22" t="str">
        <f>'Table S2 Compound Identifiers'!D27</f>
        <v>13560-92-4</v>
      </c>
      <c r="E22" s="501">
        <f>VLOOKUP(C22,'Table S3 Literature Values'!$A$10:$AV$10000,E$1,FALSE)</f>
        <v>138</v>
      </c>
      <c r="F22" s="61">
        <f>INDEX('Table S3 Literature Values'!$A$10:$AV$10000,MATCH(C22,'Table S3 Literature Values'!$A$10:$A$10000,0)+1,F$1)</f>
        <v>9.8481517487217349</v>
      </c>
      <c r="G22" s="63">
        <f>INDEX('Table S3 Literature Values'!$A$10:$AV$10000,MATCH($C22,'Table S3 Literature Values'!$A$10:$A$10000,0)+2,F$1)</f>
        <v>1</v>
      </c>
      <c r="H22" s="61">
        <f>VLOOKUP($C22,'Table S3 Literature Values'!$A$10:$AV$10000,H$1,FALSE)</f>
        <v>0</v>
      </c>
      <c r="I22" s="61">
        <f>INDEX('Table S3 Literature Values'!$A$10:$AV$10000,MATCH($C22,'Table S3 Literature Values'!$A$10:$A$10000,0)+1,I$1)</f>
        <v>0</v>
      </c>
      <c r="J22" s="63">
        <f>INDEX('Table S3 Literature Values'!$A$10:$AV$10000,MATCH($C22,'Table S3 Literature Values'!$A$10:$A$10000,0)+2,I$1)</f>
        <v>0</v>
      </c>
      <c r="K22" s="61">
        <f>VLOOKUP($C22,'Table S3 Literature Values'!$A$10:$AV$10000,K$1,FALSE)</f>
        <v>0</v>
      </c>
      <c r="L22" s="61">
        <f>INDEX('Table S3 Literature Values'!$A$10:$AV$10000,MATCH($C22,'Table S3 Literature Values'!$A$10:$A$10000,0)+1,L$1)</f>
        <v>0</v>
      </c>
      <c r="M22" s="63">
        <f>INDEX('Table S3 Literature Values'!$A$10:$AV$10000,MATCH($C22,'Table S3 Literature Values'!$A$10:$A$10000,0)+2,L$1)</f>
        <v>0</v>
      </c>
      <c r="N22" s="61">
        <f>VLOOKUP($C22,'Table S3 Literature Values'!$A$10:$AV$10000,N$1,FALSE)</f>
        <v>0</v>
      </c>
      <c r="O22" s="61">
        <f>INDEX('Table S3 Literature Values'!$A$10:$AV$10000,MATCH($C22,'Table S3 Literature Values'!$A$10:$A$10000,0)+1,O$1)</f>
        <v>0</v>
      </c>
      <c r="P22" s="63">
        <f>INDEX('Table S3 Literature Values'!$A$10:$AV$10000,MATCH($C22,'Table S3 Literature Values'!$A$10:$A$10000,0)+2,O$1)</f>
        <v>0</v>
      </c>
      <c r="Q22" s="61">
        <f>VLOOKUP($C22,'Table S3 Literature Values'!$A$10:$AV$10000,Q$1,FALSE)</f>
        <v>0</v>
      </c>
      <c r="R22" s="61">
        <f>INDEX('Table S3 Literature Values'!$A$10:$AV$10000,MATCH($C22,'Table S3 Literature Values'!$A$10:$A$10000,0)+1,R$1)</f>
        <v>0</v>
      </c>
      <c r="S22" s="63">
        <f>INDEX('Table S3 Literature Values'!$A$10:$AV$10000,MATCH($C22,'Table S3 Literature Values'!$A$10:$A$10000,0)+2,R$1)</f>
        <v>0</v>
      </c>
      <c r="T22" s="61">
        <f>VLOOKUP($C22,'Table S3 Literature Values'!$A$10:$AV$10000,T$1,FALSE)</f>
        <v>0</v>
      </c>
      <c r="U22" s="61">
        <f>INDEX('Table S3 Literature Values'!$A$10:$AV$10000,MATCH($C22,'Table S3 Literature Values'!$A$10:$A$10000,0)+1,U$1)</f>
        <v>0</v>
      </c>
      <c r="V22" s="63">
        <f>INDEX('Table S3 Literature Values'!$A$10:$AV$10000,MATCH($C22,'Table S3 Literature Values'!$A$10:$A$10000,0)+2,U$1)</f>
        <v>0</v>
      </c>
      <c r="W22" s="61">
        <f>VLOOKUP($C22,'Table S3 Literature Values'!$A$10:$AV$10000,W$1,FALSE)</f>
        <v>0</v>
      </c>
      <c r="X22" s="61">
        <f>INDEX('Table S3 Literature Values'!$A$10:$AV$10000,MATCH($C22,'Table S3 Literature Values'!$A$10:$A$10000,0)+1,X$1)</f>
        <v>0</v>
      </c>
      <c r="Y22" s="63">
        <f>INDEX('Table S3 Literature Values'!$A$10:$AV$10000,MATCH($C22,'Table S3 Literature Values'!$A$10:$A$10000,0)+2,X$1)</f>
        <v>0</v>
      </c>
      <c r="Z22" s="61">
        <f>VLOOKUP($C22,'Table S3 Literature Values'!$A$10:$AV$10000,Z$1,FALSE)</f>
        <v>0</v>
      </c>
      <c r="AA22" s="61">
        <f>INDEX('Table S3 Literature Values'!$A$10:$AV$10000,MATCH($C22,'Table S3 Literature Values'!$A$10:$A$10000,0)+1,AA$1)</f>
        <v>0</v>
      </c>
      <c r="AB22" s="63">
        <f>INDEX('Table S3 Literature Values'!$A$10:$AV$10000,MATCH($C22,'Table S3 Literature Values'!$A$10:$A$10000,0)+2,AA$1)</f>
        <v>0</v>
      </c>
      <c r="AC22" s="61">
        <f>VLOOKUP($C22,'Table S3 Literature Values'!$A$10:$AV$10000,AC$1,FALSE)</f>
        <v>0</v>
      </c>
      <c r="AD22" s="61">
        <f>INDEX('Table S3 Literature Values'!$A$10:$AV$10000,MATCH($C22,'Table S3 Literature Values'!$A$10:$A$10000,0)+1,AD$1)</f>
        <v>0</v>
      </c>
      <c r="AE22" s="63">
        <f>INDEX('Table S3 Literature Values'!$A$10:$AV$10000,MATCH($C22,'Table S3 Literature Values'!$A$10:$A$10000,0)+2,AD$1)</f>
        <v>0</v>
      </c>
      <c r="AF22" s="61">
        <f>VLOOKUP($C22,'Table S3 Literature Values'!$A$10:$AV$10000,AF$1,FALSE)</f>
        <v>-8.7574316117610298</v>
      </c>
      <c r="AG22" s="61">
        <f>INDEX('Table S3 Literature Values'!$A$10:$AV$10000,MATCH($C22,'Table S3 Literature Values'!$A$10:$A$10000,0)+1,AG$1)</f>
        <v>1.389492422227854</v>
      </c>
      <c r="AH22" s="63">
        <f>INDEX('Table S3 Literature Values'!$A$10:$AV$10000,MATCH($C22,'Table S3 Literature Values'!$A$10:$A$10000,0)+2,AG$1)</f>
        <v>1</v>
      </c>
      <c r="AI22" s="61">
        <f>VLOOKUP($C22,'Table S3 Literature Values'!$A$10:$AV$10000,AI$1,FALSE)</f>
        <v>0</v>
      </c>
      <c r="AJ22" s="61">
        <f>INDEX('Table S3 Literature Values'!$A$10:$AV$10000,MATCH($C22,'Table S3 Literature Values'!$A$10:$A$10000,0)+1,AJ$1)</f>
        <v>0</v>
      </c>
      <c r="AK22" s="63">
        <f>INDEX('Table S3 Literature Values'!$A$10:$AV$10000,MATCH($C22,'Table S3 Literature Values'!$A$10:$A$10000,0)+2,AJ$1)</f>
        <v>0</v>
      </c>
      <c r="AL22" s="61">
        <f>VLOOKUP($C22,'Table S3 Literature Values'!$A$10:$AV$10000,AL$1,FALSE)</f>
        <v>0</v>
      </c>
      <c r="AM22" s="61">
        <f>INDEX('Table S3 Literature Values'!$A$10:$AV$10000,MATCH($C22,'Table S3 Literature Values'!$A$10:$A$10000,0)+1,AM$1)</f>
        <v>0</v>
      </c>
      <c r="AN22" s="63">
        <f>INDEX('Table S3 Literature Values'!$A$10:$AV$10000,MATCH($C22,'Table S3 Literature Values'!$A$10:$A$10000,0)+2,AM$1)</f>
        <v>0</v>
      </c>
      <c r="AO22" s="61">
        <f>VLOOKUP($C22,'Table S3 Literature Values'!$A$10:$AV$10000,AO$1,FALSE)</f>
        <v>0</v>
      </c>
      <c r="AP22" s="61">
        <f>INDEX('Table S3 Literature Values'!$A$10:$AV$10000,MATCH($C22,'Table S3 Literature Values'!$A$10:$A$10000,0)+1,AP$1)</f>
        <v>0</v>
      </c>
      <c r="AQ22" s="63">
        <f>INDEX('Table S3 Literature Values'!$A$10:$AV$10000,MATCH($C22,'Table S3 Literature Values'!$A$10:$A$10000,0)+2,AP$1)</f>
        <v>0</v>
      </c>
      <c r="AR22" s="61">
        <f>VLOOKUP($C22,'Table S3 Literature Values'!$A$10:$AV$10000,AR$1,FALSE)</f>
        <v>0</v>
      </c>
      <c r="AS22" s="61">
        <f>INDEX('Table S3 Literature Values'!$A$10:$AV$10000,MATCH($C22,'Table S3 Literature Values'!$A$10:$A$10000,0)+1,AS$1)</f>
        <v>0</v>
      </c>
      <c r="AT22" s="63">
        <f>INDEX('Table S3 Literature Values'!$A$10:$AV$10000,MATCH($C22,'Table S3 Literature Values'!$A$10:$A$10000,0)+2,AS$1)</f>
        <v>0</v>
      </c>
    </row>
    <row r="23" spans="1:46">
      <c r="A23" t="str">
        <f>'Table S2 Compound Identifiers'!C28</f>
        <v>NBFR</v>
      </c>
      <c r="B23">
        <f>COUNTIF($C$3:C23,"&lt;&gt;"&amp;"")</f>
        <v>21</v>
      </c>
      <c r="C23" t="str">
        <f>IF('Table S2 Compound Identifiers'!B28="","",'Table S2 Compound Identifiers'!B28)</f>
        <v>syn-DDC-CO</v>
      </c>
      <c r="D23" t="str">
        <f>'Table S2 Compound Identifiers'!D28</f>
        <v>13560-89-9</v>
      </c>
      <c r="E23" s="501">
        <f>VLOOKUP(C23,'Table S3 Literature Values'!$A$10:$AV$10000,E$1,FALSE)</f>
        <v>145</v>
      </c>
      <c r="F23" s="61">
        <f>INDEX('Table S3 Literature Values'!$A$10:$AV$10000,MATCH(C23,'Table S3 Literature Values'!$A$10:$A$10000,0)+1,F$1)</f>
        <v>10.347695678004721</v>
      </c>
      <c r="G23" s="63">
        <f>INDEX('Table S3 Literature Values'!$A$10:$AV$10000,MATCH($C23,'Table S3 Literature Values'!$A$10:$A$10000,0)+2,F$1)</f>
        <v>1</v>
      </c>
      <c r="H23" s="61">
        <f>VLOOKUP($C23,'Table S3 Literature Values'!$A$10:$AV$10000,H$1,FALSE)</f>
        <v>0</v>
      </c>
      <c r="I23" s="61">
        <f>INDEX('Table S3 Literature Values'!$A$10:$AV$10000,MATCH($C23,'Table S3 Literature Values'!$A$10:$A$10000,0)+1,I$1)</f>
        <v>0</v>
      </c>
      <c r="J23" s="63">
        <f>INDEX('Table S3 Literature Values'!$A$10:$AV$10000,MATCH($C23,'Table S3 Literature Values'!$A$10:$A$10000,0)+2,I$1)</f>
        <v>0</v>
      </c>
      <c r="K23" s="61">
        <f>VLOOKUP($C23,'Table S3 Literature Values'!$A$10:$AV$10000,K$1,FALSE)</f>
        <v>0</v>
      </c>
      <c r="L23" s="61">
        <f>INDEX('Table S3 Literature Values'!$A$10:$AV$10000,MATCH($C23,'Table S3 Literature Values'!$A$10:$A$10000,0)+1,L$1)</f>
        <v>0</v>
      </c>
      <c r="M23" s="63">
        <f>INDEX('Table S3 Literature Values'!$A$10:$AV$10000,MATCH($C23,'Table S3 Literature Values'!$A$10:$A$10000,0)+2,L$1)</f>
        <v>0</v>
      </c>
      <c r="N23" s="61">
        <f>VLOOKUP($C23,'Table S3 Literature Values'!$A$10:$AV$10000,N$1,FALSE)</f>
        <v>0</v>
      </c>
      <c r="O23" s="61">
        <f>INDEX('Table S3 Literature Values'!$A$10:$AV$10000,MATCH($C23,'Table S3 Literature Values'!$A$10:$A$10000,0)+1,O$1)</f>
        <v>0</v>
      </c>
      <c r="P23" s="63">
        <f>INDEX('Table S3 Literature Values'!$A$10:$AV$10000,MATCH($C23,'Table S3 Literature Values'!$A$10:$A$10000,0)+2,O$1)</f>
        <v>0</v>
      </c>
      <c r="Q23" s="61">
        <f>VLOOKUP($C23,'Table S3 Literature Values'!$A$10:$AV$10000,Q$1,FALSE)</f>
        <v>0</v>
      </c>
      <c r="R23" s="61">
        <f>INDEX('Table S3 Literature Values'!$A$10:$AV$10000,MATCH($C23,'Table S3 Literature Values'!$A$10:$A$10000,0)+1,R$1)</f>
        <v>0</v>
      </c>
      <c r="S23" s="63">
        <f>INDEX('Table S3 Literature Values'!$A$10:$AV$10000,MATCH($C23,'Table S3 Literature Values'!$A$10:$A$10000,0)+2,R$1)</f>
        <v>0</v>
      </c>
      <c r="T23" s="61">
        <f>VLOOKUP($C23,'Table S3 Literature Values'!$A$10:$AV$10000,T$1,FALSE)</f>
        <v>0</v>
      </c>
      <c r="U23" s="61">
        <f>INDEX('Table S3 Literature Values'!$A$10:$AV$10000,MATCH($C23,'Table S3 Literature Values'!$A$10:$A$10000,0)+1,U$1)</f>
        <v>0</v>
      </c>
      <c r="V23" s="63">
        <f>INDEX('Table S3 Literature Values'!$A$10:$AV$10000,MATCH($C23,'Table S3 Literature Values'!$A$10:$A$10000,0)+2,U$1)</f>
        <v>0</v>
      </c>
      <c r="W23" s="61">
        <f>VLOOKUP($C23,'Table S3 Literature Values'!$A$10:$AV$10000,W$1,FALSE)</f>
        <v>0</v>
      </c>
      <c r="X23" s="61">
        <f>INDEX('Table S3 Literature Values'!$A$10:$AV$10000,MATCH($C23,'Table S3 Literature Values'!$A$10:$A$10000,0)+1,X$1)</f>
        <v>0</v>
      </c>
      <c r="Y23" s="63">
        <f>INDEX('Table S3 Literature Values'!$A$10:$AV$10000,MATCH($C23,'Table S3 Literature Values'!$A$10:$A$10000,0)+2,X$1)</f>
        <v>0</v>
      </c>
      <c r="Z23" s="61">
        <f>VLOOKUP($C23,'Table S3 Literature Values'!$A$10:$AV$10000,Z$1,FALSE)</f>
        <v>0</v>
      </c>
      <c r="AA23" s="61">
        <f>INDEX('Table S3 Literature Values'!$A$10:$AV$10000,MATCH($C23,'Table S3 Literature Values'!$A$10:$A$10000,0)+1,AA$1)</f>
        <v>0</v>
      </c>
      <c r="AB23" s="63">
        <f>INDEX('Table S3 Literature Values'!$A$10:$AV$10000,MATCH($C23,'Table S3 Literature Values'!$A$10:$A$10000,0)+2,AA$1)</f>
        <v>0</v>
      </c>
      <c r="AC23" s="61">
        <f>VLOOKUP($C23,'Table S3 Literature Values'!$A$10:$AV$10000,AC$1,FALSE)</f>
        <v>0</v>
      </c>
      <c r="AD23" s="61">
        <f>INDEX('Table S3 Literature Values'!$A$10:$AV$10000,MATCH($C23,'Table S3 Literature Values'!$A$10:$A$10000,0)+1,AD$1)</f>
        <v>0</v>
      </c>
      <c r="AE23" s="63">
        <f>INDEX('Table S3 Literature Values'!$A$10:$AV$10000,MATCH($C23,'Table S3 Literature Values'!$A$10:$A$10000,0)+2,AD$1)</f>
        <v>0</v>
      </c>
      <c r="AF23" s="61">
        <f>VLOOKUP($C23,'Table S3 Literature Values'!$A$10:$AV$10000,AF$1,FALSE)</f>
        <v>-9.1887291340467172</v>
      </c>
      <c r="AG23" s="61">
        <f>INDEX('Table S3 Literature Values'!$A$10:$AV$10000,MATCH($C23,'Table S3 Literature Values'!$A$10:$A$10000,0)+1,AG$1)</f>
        <v>1.4579239744807755</v>
      </c>
      <c r="AH23" s="63">
        <f>INDEX('Table S3 Literature Values'!$A$10:$AV$10000,MATCH($C23,'Table S3 Literature Values'!$A$10:$A$10000,0)+2,AG$1)</f>
        <v>1</v>
      </c>
      <c r="AI23" s="61">
        <f>VLOOKUP($C23,'Table S3 Literature Values'!$A$10:$AV$10000,AI$1,FALSE)</f>
        <v>-11.17626232745083</v>
      </c>
      <c r="AJ23" s="61">
        <f>INDEX('Table S3 Literature Values'!$A$10:$AV$10000,MATCH($C23,'Table S3 Literature Values'!$A$10:$A$10000,0)+1,AJ$1)</f>
        <v>3.3528786982352492</v>
      </c>
      <c r="AK23" s="63">
        <f>INDEX('Table S3 Literature Values'!$A$10:$AV$10000,MATCH($C23,'Table S3 Literature Values'!$A$10:$A$10000,0)+2,AJ$1)</f>
        <v>1</v>
      </c>
      <c r="AL23" s="61">
        <f>VLOOKUP($C23,'Table S3 Literature Values'!$A$10:$AV$10000,AL$1,FALSE)</f>
        <v>0</v>
      </c>
      <c r="AM23" s="61">
        <f>INDEX('Table S3 Literature Values'!$A$10:$AV$10000,MATCH($C23,'Table S3 Literature Values'!$A$10:$A$10000,0)+1,AM$1)</f>
        <v>0</v>
      </c>
      <c r="AN23" s="63">
        <f>INDEX('Table S3 Literature Values'!$A$10:$AV$10000,MATCH($C23,'Table S3 Literature Values'!$A$10:$A$10000,0)+2,AM$1)</f>
        <v>0</v>
      </c>
      <c r="AO23" s="61">
        <f>VLOOKUP($C23,'Table S3 Literature Values'!$A$10:$AV$10000,AO$1,FALSE)</f>
        <v>0</v>
      </c>
      <c r="AP23" s="61">
        <f>INDEX('Table S3 Literature Values'!$A$10:$AV$10000,MATCH($C23,'Table S3 Literature Values'!$A$10:$A$10000,0)+1,AP$1)</f>
        <v>0</v>
      </c>
      <c r="AQ23" s="63">
        <f>INDEX('Table S3 Literature Values'!$A$10:$AV$10000,MATCH($C23,'Table S3 Literature Values'!$A$10:$A$10000,0)+2,AP$1)</f>
        <v>0</v>
      </c>
      <c r="AR23" s="61">
        <f>VLOOKUP($C23,'Table S3 Literature Values'!$A$10:$AV$10000,AR$1,FALSE)</f>
        <v>380</v>
      </c>
      <c r="AS23" s="61">
        <f>INDEX('Table S3 Literature Values'!$A$10:$AV$10000,MATCH($C23,'Table S3 Literature Values'!$A$10:$A$10000,0)+1,AS$1)</f>
        <v>114</v>
      </c>
      <c r="AT23" s="63">
        <f>INDEX('Table S3 Literature Values'!$A$10:$AV$10000,MATCH($C23,'Table S3 Literature Values'!$A$10:$A$10000,0)+2,AS$1)</f>
        <v>1</v>
      </c>
    </row>
    <row r="24" spans="1:46">
      <c r="A24" t="str">
        <f>'Table S2 Compound Identifiers'!C29</f>
        <v>OCP</v>
      </c>
      <c r="B24">
        <f>COUNTIF($C$3:C24,"&lt;&gt;"&amp;"")</f>
        <v>22</v>
      </c>
      <c r="C24" t="str">
        <f>IF('Table S2 Compound Identifiers'!B29="","",'Table S2 Compound Identifiers'!B29)</f>
        <v>p,p'- DDE</v>
      </c>
      <c r="D24" t="str">
        <f>'Table S2 Compound Identifiers'!D29</f>
        <v>72-55-9</v>
      </c>
      <c r="E24" s="501">
        <f>VLOOKUP(C24,'Table S3 Literature Values'!$A$10:$AV$10000,E$1,FALSE)</f>
        <v>84.568750000000009</v>
      </c>
      <c r="F24" s="61">
        <f>INDEX('Table S3 Literature Values'!$A$10:$AV$10000,MATCH(C24,'Table S3 Literature Values'!$A$10:$A$10000,0)+1,F$1)</f>
        <v>2.7668327711181484</v>
      </c>
      <c r="G24" s="63">
        <f>INDEX('Table S3 Literature Values'!$A$10:$AV$10000,MATCH($C24,'Table S3 Literature Values'!$A$10:$A$10000,0)+2,F$1)</f>
        <v>4</v>
      </c>
      <c r="H24" s="61">
        <f>VLOOKUP($C24,'Table S3 Literature Values'!$A$10:$AV$10000,H$1,FALSE)</f>
        <v>32.782409563371495</v>
      </c>
      <c r="I24" s="61">
        <f>INDEX('Table S3 Literature Values'!$A$10:$AV$10000,MATCH($C24,'Table S3 Literature Values'!$A$10:$A$10000,0)+1,I$1)</f>
        <v>6.5564819126742995</v>
      </c>
      <c r="J24" s="63">
        <f>INDEX('Table S3 Literature Values'!$A$10:$AV$10000,MATCH($C24,'Table S3 Literature Values'!$A$10:$A$10000,0)+2,I$1)</f>
        <v>1</v>
      </c>
      <c r="K24" s="61">
        <f>VLOOKUP($C24,'Table S3 Literature Values'!$A$10:$AV$10000,K$1,FALSE)</f>
        <v>-8.4189731462477848</v>
      </c>
      <c r="L24" s="61">
        <f>INDEX('Table S3 Literature Values'!$A$10:$AV$10000,MATCH($C24,'Table S3 Literature Values'!$A$10:$A$10000,0)+1,L$1)</f>
        <v>1.6837946292495571</v>
      </c>
      <c r="M24" s="63">
        <f>INDEX('Table S3 Literature Values'!$A$10:$AV$10000,MATCH($C24,'Table S3 Literature Values'!$A$10:$A$10000,0)+2,L$1)</f>
        <v>1</v>
      </c>
      <c r="N24" s="61">
        <f>VLOOKUP($C24,'Table S3 Literature Values'!$A$10:$AV$10000,N$1,FALSE)</f>
        <v>81.75</v>
      </c>
      <c r="O24" s="61">
        <f>INDEX('Table S3 Literature Values'!$A$10:$AV$10000,MATCH($C24,'Table S3 Literature Values'!$A$10:$A$10000,0)+1,O$1)</f>
        <v>2.8991378028648409</v>
      </c>
      <c r="P24" s="63">
        <f>INDEX('Table S3 Literature Values'!$A$10:$AV$10000,MATCH($C24,'Table S3 Literature Values'!$A$10:$A$10000,0)+2,O$1)</f>
        <v>2</v>
      </c>
      <c r="Q24" s="61">
        <f>VLOOKUP($C24,'Table S3 Literature Values'!$A$10:$AV$10000,Q$1,FALSE)</f>
        <v>39.308999999999997</v>
      </c>
      <c r="R24" s="61">
        <f>INDEX('Table S3 Literature Values'!$A$10:$AV$10000,MATCH($C24,'Table S3 Literature Values'!$A$10:$A$10000,0)+1,R$1)</f>
        <v>3.6769552621700443</v>
      </c>
      <c r="S24" s="63">
        <f>INDEX('Table S3 Literature Values'!$A$10:$AV$10000,MATCH($C24,'Table S3 Literature Values'!$A$10:$A$10000,0)+2,R$1)</f>
        <v>2</v>
      </c>
      <c r="T24" s="61">
        <f>VLOOKUP($C24,'Table S3 Literature Values'!$A$10:$AV$10000,T$1,FALSE)</f>
        <v>0</v>
      </c>
      <c r="U24" s="61">
        <f>INDEX('Table S3 Literature Values'!$A$10:$AV$10000,MATCH($C24,'Table S3 Literature Values'!$A$10:$A$10000,0)+1,U$1)</f>
        <v>0</v>
      </c>
      <c r="V24" s="63">
        <f>INDEX('Table S3 Literature Values'!$A$10:$AV$10000,MATCH($C24,'Table S3 Literature Values'!$A$10:$A$10000,0)+2,U$1)</f>
        <v>0</v>
      </c>
      <c r="W24" s="61">
        <f>VLOOKUP($C24,'Table S3 Literature Values'!$A$10:$AV$10000,W$1,FALSE)</f>
        <v>9.49394862833846</v>
      </c>
      <c r="X24" s="61">
        <f>INDEX('Table S3 Literature Values'!$A$10:$AV$10000,MATCH($C24,'Table S3 Literature Values'!$A$10:$A$10000,0)+1,X$1)</f>
        <v>0.22642182954226633</v>
      </c>
      <c r="Y24" s="63">
        <f>INDEX('Table S3 Literature Values'!$A$10:$AV$10000,MATCH($C24,'Table S3 Literature Values'!$A$10:$A$10000,0)+2,X$1)</f>
        <v>3</v>
      </c>
      <c r="Z24" s="61">
        <f>VLOOKUP($C24,'Table S3 Literature Values'!$A$10:$AV$10000,Z$1,FALSE)</f>
        <v>6.9560000000000004</v>
      </c>
      <c r="AA24" s="61">
        <f>INDEX('Table S3 Literature Values'!$A$10:$AV$10000,MATCH($C24,'Table S3 Literature Values'!$A$10:$A$10000,0)+1,AA$1)</f>
        <v>0.47155078808172524</v>
      </c>
      <c r="AB24" s="63">
        <f>INDEX('Table S3 Literature Values'!$A$10:$AV$10000,MATCH($C24,'Table S3 Literature Values'!$A$10:$A$10000,0)+2,AA$1)</f>
        <v>1</v>
      </c>
      <c r="AC24" s="61">
        <f>VLOOKUP($C24,'Table S3 Literature Values'!$A$10:$AV$10000,AC$1,FALSE)</f>
        <v>-2.7281124801669447</v>
      </c>
      <c r="AD24" s="61">
        <f>INDEX('Table S3 Literature Values'!$A$10:$AV$10000,MATCH($C24,'Table S3 Literature Values'!$A$10:$A$10000,0)+1,AD$1)</f>
        <v>0.54562249603338897</v>
      </c>
      <c r="AE24" s="63">
        <f>INDEX('Table S3 Literature Values'!$A$10:$AV$10000,MATCH($C24,'Table S3 Literature Values'!$A$10:$A$10000,0)+2,AD$1)</f>
        <v>1</v>
      </c>
      <c r="AF24" s="61">
        <f ca="1">VLOOKUP($C24,'Table S3 Literature Values'!$A$10:$AV$10000,AF$1,FALSE)</f>
        <v>-2.5790539975289355</v>
      </c>
      <c r="AG24" s="61">
        <f ca="1">INDEX('Table S3 Literature Values'!$A$10:$AV$10000,MATCH($C24,'Table S3 Literature Values'!$A$10:$A$10000,0)+1,AG$1)</f>
        <v>0.19619774377662969</v>
      </c>
      <c r="AH24" s="63">
        <f ca="1">INDEX('Table S3 Literature Values'!$A$10:$AV$10000,MATCH($C24,'Table S3 Literature Values'!$A$10:$A$10000,0)+2,AG$1)</f>
        <v>7</v>
      </c>
      <c r="AI24" s="61">
        <f ca="1">VLOOKUP($C24,'Table S3 Literature Values'!$A$10:$AV$10000,AI$1,FALSE)</f>
        <v>-3.1846505142387245</v>
      </c>
      <c r="AJ24" s="61">
        <f ca="1">INDEX('Table S3 Literature Values'!$A$10:$AV$10000,MATCH($C24,'Table S3 Literature Values'!$A$10:$A$10000,0)+1,AJ$1)</f>
        <v>0.36127290596858164</v>
      </c>
      <c r="AK24" s="63">
        <f ca="1">INDEX('Table S3 Literature Values'!$A$10:$AV$10000,MATCH($C24,'Table S3 Literature Values'!$A$10:$A$10000,0)+2,AJ$1)</f>
        <v>5</v>
      </c>
      <c r="AL24" s="61">
        <f ca="1">VLOOKUP($C24,'Table S3 Literature Values'!$A$10:$AV$10000,AL$1,FALSE)</f>
        <v>2.8358769443038372</v>
      </c>
      <c r="AM24" s="61">
        <f ca="1">INDEX('Table S3 Literature Values'!$A$10:$AV$10000,MATCH($C24,'Table S3 Literature Values'!$A$10:$A$10000,0)+1,AM$1)</f>
        <v>0.56717538886076746</v>
      </c>
      <c r="AN24" s="63">
        <f ca="1">INDEX('Table S3 Literature Values'!$A$10:$AV$10000,MATCH($C24,'Table S3 Literature Values'!$A$10:$A$10000,0)+2,AM$1)</f>
        <v>1</v>
      </c>
      <c r="AO24" s="61">
        <f>VLOOKUP($C24,'Table S3 Literature Values'!$A$10:$AV$10000,AO$1,FALSE)</f>
        <v>65.848126363730174</v>
      </c>
      <c r="AP24" s="61">
        <f>INDEX('Table S3 Literature Values'!$A$10:$AV$10000,MATCH($C24,'Table S3 Literature Values'!$A$10:$A$10000,0)+1,AP$1)</f>
        <v>0.86935111572526058</v>
      </c>
      <c r="AQ24" s="63">
        <f>INDEX('Table S3 Literature Values'!$A$10:$AV$10000,MATCH($C24,'Table S3 Literature Values'!$A$10:$A$10000,0)+2,AP$1)</f>
        <v>3</v>
      </c>
      <c r="AR24" s="61">
        <f>VLOOKUP($C24,'Table S3 Literature Values'!$A$10:$AV$10000,AR$1,FALSE)</f>
        <v>88.638000000000005</v>
      </c>
      <c r="AS24" s="61">
        <f>INDEX('Table S3 Literature Values'!$A$10:$AV$10000,MATCH($C24,'Table S3 Literature Values'!$A$10:$A$10000,0)+1,AS$1)</f>
        <v>0.92923086474782779</v>
      </c>
      <c r="AT24" s="63">
        <f>INDEX('Table S3 Literature Values'!$A$10:$AV$10000,MATCH($C24,'Table S3 Literature Values'!$A$10:$A$10000,0)+2,AS$1)</f>
        <v>5</v>
      </c>
    </row>
    <row r="25" spans="1:46">
      <c r="A25" t="str">
        <f>'Table S2 Compound Identifiers'!C30</f>
        <v>OCP</v>
      </c>
      <c r="B25">
        <f>COUNTIF($C$3:C25,"&lt;&gt;"&amp;"")</f>
        <v>23</v>
      </c>
      <c r="C25" t="str">
        <f>IF('Table S2 Compound Identifiers'!B30="","",'Table S2 Compound Identifiers'!B30)</f>
        <v>o,p'-DDD</v>
      </c>
      <c r="D25" t="str">
        <f>'Table S2 Compound Identifiers'!D30</f>
        <v>53-19-0</v>
      </c>
      <c r="E25" s="501">
        <f>VLOOKUP(C25,'Table S3 Literature Values'!$A$10:$AV$10000,E$1,FALSE)</f>
        <v>84.896999999999991</v>
      </c>
      <c r="F25" s="61">
        <f>INDEX('Table S3 Literature Values'!$A$10:$AV$10000,MATCH(C25,'Table S3 Literature Values'!$A$10:$A$10000,0)+1,F$1)</f>
        <v>3.9337802429723991</v>
      </c>
      <c r="G25" s="63">
        <f>INDEX('Table S3 Literature Values'!$A$10:$AV$10000,MATCH($C25,'Table S3 Literature Values'!$A$10:$A$10000,0)+2,F$1)</f>
        <v>3</v>
      </c>
      <c r="H25" s="61">
        <f>VLOOKUP($C25,'Table S3 Literature Values'!$A$10:$AV$10000,H$1,FALSE)</f>
        <v>19.577876175193587</v>
      </c>
      <c r="I25" s="61">
        <f>INDEX('Table S3 Literature Values'!$A$10:$AV$10000,MATCH($C25,'Table S3 Literature Values'!$A$10:$A$10000,0)+1,I$1)</f>
        <v>3.9155752350387178</v>
      </c>
      <c r="J25" s="63">
        <f>INDEX('Table S3 Literature Values'!$A$10:$AV$10000,MATCH($C25,'Table S3 Literature Values'!$A$10:$A$10000,0)+2,I$1)</f>
        <v>1</v>
      </c>
      <c r="K25" s="61">
        <f>VLOOKUP($C25,'Table S3 Literature Values'!$A$10:$AV$10000,K$1,FALSE)</f>
        <v>0</v>
      </c>
      <c r="L25" s="61">
        <f>INDEX('Table S3 Literature Values'!$A$10:$AV$10000,MATCH($C25,'Table S3 Literature Values'!$A$10:$A$10000,0)+1,L$1)</f>
        <v>0</v>
      </c>
      <c r="M25" s="63">
        <f>INDEX('Table S3 Literature Values'!$A$10:$AV$10000,MATCH($C25,'Table S3 Literature Values'!$A$10:$A$10000,0)+2,L$1)</f>
        <v>0</v>
      </c>
      <c r="N25" s="61">
        <f>VLOOKUP($C25,'Table S3 Literature Values'!$A$10:$AV$10000,N$1,FALSE)</f>
        <v>81.650000000000006</v>
      </c>
      <c r="O25" s="61">
        <f>INDEX('Table S3 Literature Values'!$A$10:$AV$10000,MATCH($C25,'Table S3 Literature Values'!$A$10:$A$10000,0)+1,O$1)</f>
        <v>2.8991378028648507</v>
      </c>
      <c r="P25" s="63">
        <f>INDEX('Table S3 Literature Values'!$A$10:$AV$10000,MATCH($C25,'Table S3 Literature Values'!$A$10:$A$10000,0)+2,O$1)</f>
        <v>2</v>
      </c>
      <c r="Q25" s="61">
        <f>VLOOKUP($C25,'Table S3 Literature Values'!$A$10:$AV$10000,Q$1,FALSE)</f>
        <v>0</v>
      </c>
      <c r="R25" s="61">
        <f>INDEX('Table S3 Literature Values'!$A$10:$AV$10000,MATCH($C25,'Table S3 Literature Values'!$A$10:$A$10000,0)+1,R$1)</f>
        <v>0</v>
      </c>
      <c r="S25" s="63">
        <f>INDEX('Table S3 Literature Values'!$A$10:$AV$10000,MATCH($C25,'Table S3 Literature Values'!$A$10:$A$10000,0)+2,R$1)</f>
        <v>0</v>
      </c>
      <c r="T25" s="61">
        <f>VLOOKUP($C25,'Table S3 Literature Values'!$A$10:$AV$10000,T$1,FALSE)</f>
        <v>0</v>
      </c>
      <c r="U25" s="61">
        <f>INDEX('Table S3 Literature Values'!$A$10:$AV$10000,MATCH($C25,'Table S3 Literature Values'!$A$10:$A$10000,0)+1,U$1)</f>
        <v>0</v>
      </c>
      <c r="V25" s="63">
        <f>INDEX('Table S3 Literature Values'!$A$10:$AV$10000,MATCH($C25,'Table S3 Literature Values'!$A$10:$A$10000,0)+2,U$1)</f>
        <v>0</v>
      </c>
      <c r="W25" s="61">
        <f>VLOOKUP($C25,'Table S3 Literature Values'!$A$10:$AV$10000,W$1,FALSE)</f>
        <v>9.4062489048902727</v>
      </c>
      <c r="X25" s="61">
        <f>INDEX('Table S3 Literature Values'!$A$10:$AV$10000,MATCH($C25,'Table S3 Literature Values'!$A$10:$A$10000,0)+1,X$1)</f>
        <v>0.23157901955762342</v>
      </c>
      <c r="Y25" s="63">
        <f>INDEX('Table S3 Literature Values'!$A$10:$AV$10000,MATCH($C25,'Table S3 Literature Values'!$A$10:$A$10000,0)+2,X$1)</f>
        <v>2</v>
      </c>
      <c r="Z25" s="61">
        <f ca="1">VLOOKUP($C25,'Table S3 Literature Values'!$A$10:$AV$10000,Z$1,FALSE)</f>
        <v>4.846614783104398</v>
      </c>
      <c r="AA25" s="61">
        <f ca="1">INDEX('Table S3 Literature Values'!$A$10:$AV$10000,MATCH($C25,'Table S3 Literature Values'!$A$10:$A$10000,0)+1,AA$1)</f>
        <v>0.96932295662087964</v>
      </c>
      <c r="AB25" s="63">
        <f ca="1">INDEX('Table S3 Literature Values'!$A$10:$AV$10000,MATCH($C25,'Table S3 Literature Values'!$A$10:$A$10000,0)+2,AA$1)</f>
        <v>1</v>
      </c>
      <c r="AC25" s="61">
        <f>VLOOKUP($C25,'Table S3 Literature Values'!$A$10:$AV$10000,AC$1,FALSE)</f>
        <v>0</v>
      </c>
      <c r="AD25" s="61">
        <f>INDEX('Table S3 Literature Values'!$A$10:$AV$10000,MATCH($C25,'Table S3 Literature Values'!$A$10:$A$10000,0)+1,AD$1)</f>
        <v>0</v>
      </c>
      <c r="AE25" s="63">
        <f>INDEX('Table S3 Literature Values'!$A$10:$AV$10000,MATCH($C25,'Table S3 Literature Values'!$A$10:$A$10000,0)+2,AD$1)</f>
        <v>0</v>
      </c>
      <c r="AF25" s="61">
        <f>VLOOKUP($C25,'Table S3 Literature Values'!$A$10:$AV$10000,AF$1,FALSE)</f>
        <v>-2.5591147360710078</v>
      </c>
      <c r="AG25" s="61">
        <f>INDEX('Table S3 Literature Values'!$A$10:$AV$10000,MATCH($C25,'Table S3 Literature Values'!$A$10:$A$10000,0)+1,AG$1)</f>
        <v>5.7820494749584374E-2</v>
      </c>
      <c r="AH25" s="63">
        <f>INDEX('Table S3 Literature Values'!$A$10:$AV$10000,MATCH($C25,'Table S3 Literature Values'!$A$10:$A$10000,0)+2,AG$1)</f>
        <v>2</v>
      </c>
      <c r="AI25" s="61">
        <f>VLOOKUP($C25,'Table S3 Literature Values'!$A$10:$AV$10000,AI$1,FALSE)</f>
        <v>-2.8132219825685367</v>
      </c>
      <c r="AJ25" s="61">
        <f>INDEX('Table S3 Literature Values'!$A$10:$AV$10000,MATCH($C25,'Table S3 Literature Values'!$A$10:$A$10000,0)+1,AJ$1)</f>
        <v>0.34786780408046797</v>
      </c>
      <c r="AK25" s="63">
        <f>INDEX('Table S3 Literature Values'!$A$10:$AV$10000,MATCH($C25,'Table S3 Literature Values'!$A$10:$A$10000,0)+2,AJ$1)</f>
        <v>1</v>
      </c>
      <c r="AL25" s="61">
        <f>VLOOKUP($C25,'Table S3 Literature Values'!$A$10:$AV$10000,AL$1,FALSE)</f>
        <v>0</v>
      </c>
      <c r="AM25" s="61">
        <f>INDEX('Table S3 Literature Values'!$A$10:$AV$10000,MATCH($C25,'Table S3 Literature Values'!$A$10:$A$10000,0)+1,AM$1)</f>
        <v>0</v>
      </c>
      <c r="AN25" s="63">
        <f>INDEX('Table S3 Literature Values'!$A$10:$AV$10000,MATCH($C25,'Table S3 Literature Values'!$A$10:$A$10000,0)+2,AM$1)</f>
        <v>0</v>
      </c>
      <c r="AO25" s="61">
        <f>VLOOKUP($C25,'Table S3 Literature Values'!$A$10:$AV$10000,AO$1,FALSE)</f>
        <v>75.441327990841444</v>
      </c>
      <c r="AP25" s="61">
        <f>INDEX('Table S3 Literature Values'!$A$10:$AV$10000,MATCH($C25,'Table S3 Literature Values'!$A$10:$A$10000,0)+1,AP$1)</f>
        <v>5.9462572584268036</v>
      </c>
      <c r="AQ25" s="63">
        <f>INDEX('Table S3 Literature Values'!$A$10:$AV$10000,MATCH($C25,'Table S3 Literature Values'!$A$10:$A$10000,0)+2,AP$1)</f>
        <v>1</v>
      </c>
      <c r="AR25" s="61">
        <f>VLOOKUP($C25,'Table S3 Literature Values'!$A$10:$AV$10000,AR$1,FALSE)</f>
        <v>76.083333333333329</v>
      </c>
      <c r="AS25" s="61">
        <f>INDEX('Table S3 Literature Values'!$A$10:$AV$10000,MATCH($C25,'Table S3 Literature Values'!$A$10:$A$10000,0)+1,AS$1)</f>
        <v>1.0103629710818451</v>
      </c>
      <c r="AT25" s="63">
        <f>INDEX('Table S3 Literature Values'!$A$10:$AV$10000,MATCH($C25,'Table S3 Literature Values'!$A$10:$A$10000,0)+2,AS$1)</f>
        <v>3</v>
      </c>
    </row>
    <row r="26" spans="1:46">
      <c r="A26" t="str">
        <f>'Table S2 Compound Identifiers'!C31</f>
        <v>OCP</v>
      </c>
      <c r="B26">
        <f>COUNTIF($C$3:C26,"&lt;&gt;"&amp;"")</f>
        <v>24</v>
      </c>
      <c r="C26" t="str">
        <f>IF('Table S2 Compound Identifiers'!B31="","",'Table S2 Compound Identifiers'!B31)</f>
        <v>p,p'-DDD</v>
      </c>
      <c r="D26" t="str">
        <f>'Table S2 Compound Identifiers'!D31</f>
        <v>72-54-8</v>
      </c>
      <c r="E26" s="501">
        <f>VLOOKUP(C26,'Table S3 Literature Values'!$A$10:$AV$10000,E$1,FALSE)</f>
        <v>87.153382188230282</v>
      </c>
      <c r="F26" s="61">
        <f>INDEX('Table S3 Literature Values'!$A$10:$AV$10000,MATCH(C26,'Table S3 Literature Values'!$A$10:$A$10000,0)+1,F$1)</f>
        <v>2.1271417621101278</v>
      </c>
      <c r="G26" s="63">
        <f>INDEX('Table S3 Literature Values'!$A$10:$AV$10000,MATCH($C26,'Table S3 Literature Values'!$A$10:$A$10000,0)+2,F$1)</f>
        <v>3</v>
      </c>
      <c r="H26" s="61">
        <f>VLOOKUP($C26,'Table S3 Literature Values'!$A$10:$AV$10000,H$1,FALSE)</f>
        <v>10.601937492331281</v>
      </c>
      <c r="I26" s="61">
        <f>INDEX('Table S3 Literature Values'!$A$10:$AV$10000,MATCH($C26,'Table S3 Literature Values'!$A$10:$A$10000,0)+1,I$1)</f>
        <v>2.1203874984662563</v>
      </c>
      <c r="J26" s="63">
        <f>INDEX('Table S3 Literature Values'!$A$10:$AV$10000,MATCH($C26,'Table S3 Literature Values'!$A$10:$A$10000,0)+2,I$1)</f>
        <v>1</v>
      </c>
      <c r="K26" s="61">
        <f>VLOOKUP($C26,'Table S3 Literature Values'!$A$10:$AV$10000,K$1,FALSE)</f>
        <v>0</v>
      </c>
      <c r="L26" s="61">
        <f>INDEX('Table S3 Literature Values'!$A$10:$AV$10000,MATCH($C26,'Table S3 Literature Values'!$A$10:$A$10000,0)+1,L$1)</f>
        <v>0</v>
      </c>
      <c r="M26" s="63">
        <f>INDEX('Table S3 Literature Values'!$A$10:$AV$10000,MATCH($C26,'Table S3 Literature Values'!$A$10:$A$10000,0)+2,L$1)</f>
        <v>0</v>
      </c>
      <c r="N26" s="61">
        <f>VLOOKUP($C26,'Table S3 Literature Values'!$A$10:$AV$10000,N$1,FALSE)</f>
        <v>85</v>
      </c>
      <c r="O26" s="61">
        <f>INDEX('Table S3 Literature Values'!$A$10:$AV$10000,MATCH($C26,'Table S3 Literature Values'!$A$10:$A$10000,0)+1,O$1)</f>
        <v>1.9798989873223412</v>
      </c>
      <c r="P26" s="63">
        <f>INDEX('Table S3 Literature Values'!$A$10:$AV$10000,MATCH($C26,'Table S3 Literature Values'!$A$10:$A$10000,0)+2,O$1)</f>
        <v>2</v>
      </c>
      <c r="Q26" s="61">
        <f>VLOOKUP($C26,'Table S3 Literature Values'!$A$10:$AV$10000,Q$1,FALSE)</f>
        <v>39.809000000000005</v>
      </c>
      <c r="R26" s="61">
        <f>INDEX('Table S3 Literature Values'!$A$10:$AV$10000,MATCH($C26,'Table S3 Literature Values'!$A$10:$A$10000,0)+1,R$1)</f>
        <v>11.9427</v>
      </c>
      <c r="S26" s="63">
        <f>INDEX('Table S3 Literature Values'!$A$10:$AV$10000,MATCH($C26,'Table S3 Literature Values'!$A$10:$A$10000,0)+2,R$1)</f>
        <v>1</v>
      </c>
      <c r="T26" s="61">
        <f>VLOOKUP($C26,'Table S3 Literature Values'!$A$10:$AV$10000,T$1,FALSE)</f>
        <v>0</v>
      </c>
      <c r="U26" s="61">
        <f>INDEX('Table S3 Literature Values'!$A$10:$AV$10000,MATCH($C26,'Table S3 Literature Values'!$A$10:$A$10000,0)+1,U$1)</f>
        <v>0</v>
      </c>
      <c r="V26" s="63">
        <f>INDEX('Table S3 Literature Values'!$A$10:$AV$10000,MATCH($C26,'Table S3 Literature Values'!$A$10:$A$10000,0)+2,U$1)</f>
        <v>0</v>
      </c>
      <c r="W26" s="61">
        <f>VLOOKUP($C26,'Table S3 Literature Values'!$A$10:$AV$10000,W$1,FALSE)</f>
        <v>9.8266666666666662</v>
      </c>
      <c r="X26" s="61">
        <f>INDEX('Table S3 Literature Values'!$A$10:$AV$10000,MATCH($C26,'Table S3 Literature Values'!$A$10:$A$10000,0)+1,X$1)</f>
        <v>0.2973774257292125</v>
      </c>
      <c r="Y26" s="63">
        <f>INDEX('Table S3 Literature Values'!$A$10:$AV$10000,MATCH($C26,'Table S3 Literature Values'!$A$10:$A$10000,0)+2,X$1)</f>
        <v>3</v>
      </c>
      <c r="Z26" s="61">
        <f>VLOOKUP($C26,'Table S3 Literature Values'!$A$10:$AV$10000,Z$1,FALSE)</f>
        <v>6.2169999999999996</v>
      </c>
      <c r="AA26" s="61">
        <f>INDEX('Table S3 Literature Values'!$A$10:$AV$10000,MATCH($C26,'Table S3 Literature Values'!$A$10:$A$10000,0)+1,AA$1)</f>
        <v>0.42145360113629754</v>
      </c>
      <c r="AB26" s="63">
        <f>INDEX('Table S3 Literature Values'!$A$10:$AV$10000,MATCH($C26,'Table S3 Literature Values'!$A$10:$A$10000,0)+2,AA$1)</f>
        <v>1</v>
      </c>
      <c r="AC26" s="61">
        <f>VLOOKUP($C26,'Table S3 Literature Values'!$A$10:$AV$10000,AC$1,FALSE)</f>
        <v>-3.5688187160841309</v>
      </c>
      <c r="AD26" s="61">
        <f>INDEX('Table S3 Literature Values'!$A$10:$AV$10000,MATCH($C26,'Table S3 Literature Values'!$A$10:$A$10000,0)+1,AD$1)</f>
        <v>0.71376374321682623</v>
      </c>
      <c r="AE26" s="63">
        <f>INDEX('Table S3 Literature Values'!$A$10:$AV$10000,MATCH($C26,'Table S3 Literature Values'!$A$10:$A$10000,0)+2,AD$1)</f>
        <v>1</v>
      </c>
      <c r="AF26" s="61">
        <f ca="1">VLOOKUP($C26,'Table S3 Literature Values'!$A$10:$AV$10000,AF$1,FALSE)</f>
        <v>-2.9619416913154448</v>
      </c>
      <c r="AG26" s="61">
        <f ca="1">INDEX('Table S3 Literature Values'!$A$10:$AV$10000,MATCH($C26,'Table S3 Literature Values'!$A$10:$A$10000,0)+1,AG$1)</f>
        <v>0.16052646786295441</v>
      </c>
      <c r="AH26" s="63">
        <f ca="1">INDEX('Table S3 Literature Values'!$A$10:$AV$10000,MATCH($C26,'Table S3 Literature Values'!$A$10:$A$10000,0)+2,AG$1)</f>
        <v>6</v>
      </c>
      <c r="AI26" s="61">
        <f>VLOOKUP($C26,'Table S3 Literature Values'!$A$10:$AV$10000,AI$1,FALSE)</f>
        <v>-2.633280260227703</v>
      </c>
      <c r="AJ26" s="61">
        <f>INDEX('Table S3 Literature Values'!$A$10:$AV$10000,MATCH($C26,'Table S3 Literature Values'!$A$10:$A$10000,0)+1,AJ$1)</f>
        <v>0.46795754401306722</v>
      </c>
      <c r="AK26" s="63">
        <f>INDEX('Table S3 Literature Values'!$A$10:$AV$10000,MATCH($C26,'Table S3 Literature Values'!$A$10:$A$10000,0)+2,AJ$1)</f>
        <v>3</v>
      </c>
      <c r="AL26" s="61">
        <f>VLOOKUP($C26,'Table S3 Literature Values'!$A$10:$AV$10000,AL$1,FALSE)</f>
        <v>0</v>
      </c>
      <c r="AM26" s="61">
        <f>INDEX('Table S3 Literature Values'!$A$10:$AV$10000,MATCH($C26,'Table S3 Literature Values'!$A$10:$A$10000,0)+1,AM$1)</f>
        <v>0</v>
      </c>
      <c r="AN26" s="63">
        <f>INDEX('Table S3 Literature Values'!$A$10:$AV$10000,MATCH($C26,'Table S3 Literature Values'!$A$10:$A$10000,0)+2,AM$1)</f>
        <v>0</v>
      </c>
      <c r="AO26" s="61">
        <f>VLOOKUP($C26,'Table S3 Literature Values'!$A$10:$AV$10000,AO$1,FALSE)</f>
        <v>76.233760351550458</v>
      </c>
      <c r="AP26" s="61">
        <f>INDEX('Table S3 Literature Values'!$A$10:$AV$10000,MATCH($C26,'Table S3 Literature Values'!$A$10:$A$10000,0)+1,AP$1)</f>
        <v>6.7230943967648491</v>
      </c>
      <c r="AQ26" s="63">
        <f>INDEX('Table S3 Literature Values'!$A$10:$AV$10000,MATCH($C26,'Table S3 Literature Values'!$A$10:$A$10000,0)+2,AP$1)</f>
        <v>2</v>
      </c>
      <c r="AR26" s="61">
        <f>VLOOKUP($C26,'Table S3 Literature Values'!$A$10:$AV$10000,AR$1,FALSE)</f>
        <v>109.78000000000002</v>
      </c>
      <c r="AS26" s="61">
        <f>INDEX('Table S3 Literature Values'!$A$10:$AV$10000,MATCH($C26,'Table S3 Literature Values'!$A$10:$A$10000,0)+1,AS$1)</f>
        <v>0.7973393255070198</v>
      </c>
      <c r="AT26" s="63">
        <f>INDEX('Table S3 Literature Values'!$A$10:$AV$10000,MATCH($C26,'Table S3 Literature Values'!$A$10:$A$10000,0)+2,AS$1)</f>
        <v>5</v>
      </c>
    </row>
    <row r="27" spans="1:46">
      <c r="A27" t="str">
        <f>'Table S2 Compound Identifiers'!C32</f>
        <v>OCP</v>
      </c>
      <c r="B27">
        <f>COUNTIF($C$3:C27,"&lt;&gt;"&amp;"")</f>
        <v>25</v>
      </c>
      <c r="C27" t="str">
        <f>IF('Table S2 Compound Identifiers'!B32="","",'Table S2 Compound Identifiers'!B32)</f>
        <v>o,p'-DDT</v>
      </c>
      <c r="D27" t="str">
        <f>'Table S2 Compound Identifiers'!D32</f>
        <v>789-02-6</v>
      </c>
      <c r="E27" s="501">
        <f>VLOOKUP(C27,'Table S3 Literature Values'!$A$10:$AV$10000,E$1,FALSE)</f>
        <v>86.832573778181157</v>
      </c>
      <c r="F27" s="61">
        <f>INDEX('Table S3 Literature Values'!$A$10:$AV$10000,MATCH(C27,'Table S3 Literature Values'!$A$10:$A$10000,0)+1,F$1)</f>
        <v>1.7293696220738028</v>
      </c>
      <c r="G27" s="63">
        <f>INDEX('Table S3 Literature Values'!$A$10:$AV$10000,MATCH($C27,'Table S3 Literature Values'!$A$10:$A$10000,0)+2,F$1)</f>
        <v>3</v>
      </c>
      <c r="H27" s="61">
        <f>VLOOKUP($C27,'Table S3 Literature Values'!$A$10:$AV$10000,H$1,FALSE)</f>
        <v>10.485851058199955</v>
      </c>
      <c r="I27" s="61">
        <f>INDEX('Table S3 Literature Values'!$A$10:$AV$10000,MATCH($C27,'Table S3 Literature Values'!$A$10:$A$10000,0)+1,I$1)</f>
        <v>2.0971702116399911</v>
      </c>
      <c r="J27" s="63">
        <f>INDEX('Table S3 Literature Values'!$A$10:$AV$10000,MATCH($C27,'Table S3 Literature Values'!$A$10:$A$10000,0)+2,I$1)</f>
        <v>1</v>
      </c>
      <c r="K27" s="61">
        <f>VLOOKUP($C27,'Table S3 Literature Values'!$A$10:$AV$10000,K$1,FALSE)</f>
        <v>3.3169414751899033</v>
      </c>
      <c r="L27" s="61">
        <f>INDEX('Table S3 Literature Values'!$A$10:$AV$10000,MATCH($C27,'Table S3 Literature Values'!$A$10:$A$10000,0)+1,L$1)</f>
        <v>0.99508244255697098</v>
      </c>
      <c r="M27" s="63">
        <f>INDEX('Table S3 Literature Values'!$A$10:$AV$10000,MATCH($C27,'Table S3 Literature Values'!$A$10:$A$10000,0)+2,L$1)</f>
        <v>1</v>
      </c>
      <c r="N27" s="61">
        <f>VLOOKUP($C27,'Table S3 Literature Values'!$A$10:$AV$10000,N$1,FALSE)</f>
        <v>84.5</v>
      </c>
      <c r="O27" s="61">
        <f>INDEX('Table S3 Literature Values'!$A$10:$AV$10000,MATCH($C27,'Table S3 Literature Values'!$A$10:$A$10000,0)+1,O$1)</f>
        <v>0.84852813742384892</v>
      </c>
      <c r="P27" s="63">
        <f>INDEX('Table S3 Literature Values'!$A$10:$AV$10000,MATCH($C27,'Table S3 Literature Values'!$A$10:$A$10000,0)+2,O$1)</f>
        <v>2</v>
      </c>
      <c r="Q27" s="61">
        <f>VLOOKUP($C27,'Table S3 Literature Values'!$A$10:$AV$10000,Q$1,FALSE)</f>
        <v>0</v>
      </c>
      <c r="R27" s="61">
        <f>INDEX('Table S3 Literature Values'!$A$10:$AV$10000,MATCH($C27,'Table S3 Literature Values'!$A$10:$A$10000,0)+1,R$1)</f>
        <v>0</v>
      </c>
      <c r="S27" s="63">
        <f>INDEX('Table S3 Literature Values'!$A$10:$AV$10000,MATCH($C27,'Table S3 Literature Values'!$A$10:$A$10000,0)+2,R$1)</f>
        <v>0</v>
      </c>
      <c r="T27" s="61">
        <f>VLOOKUP($C27,'Table S3 Literature Values'!$A$10:$AV$10000,T$1,FALSE)</f>
        <v>0</v>
      </c>
      <c r="U27" s="61">
        <f>INDEX('Table S3 Literature Values'!$A$10:$AV$10000,MATCH($C27,'Table S3 Literature Values'!$A$10:$A$10000,0)+1,U$1)</f>
        <v>0</v>
      </c>
      <c r="V27" s="63">
        <f>INDEX('Table S3 Literature Values'!$A$10:$AV$10000,MATCH($C27,'Table S3 Literature Values'!$A$10:$A$10000,0)+2,U$1)</f>
        <v>0</v>
      </c>
      <c r="W27" s="61">
        <f>VLOOKUP($C27,'Table S3 Literature Values'!$A$10:$AV$10000,W$1,FALSE)</f>
        <v>9.5980644474268235</v>
      </c>
      <c r="X27" s="61">
        <f>INDEX('Table S3 Literature Values'!$A$10:$AV$10000,MATCH($C27,'Table S3 Literature Values'!$A$10:$A$10000,0)+1,X$1)</f>
        <v>0.18111204260696584</v>
      </c>
      <c r="Y27" s="63">
        <f>INDEX('Table S3 Literature Values'!$A$10:$AV$10000,MATCH($C27,'Table S3 Literature Values'!$A$10:$A$10000,0)+2,X$1)</f>
        <v>3</v>
      </c>
      <c r="Z27" s="61">
        <f ca="1">VLOOKUP($C27,'Table S3 Literature Values'!$A$10:$AV$10000,Z$1,FALSE)</f>
        <v>5.4158182479874863</v>
      </c>
      <c r="AA27" s="61">
        <f ca="1">INDEX('Table S3 Literature Values'!$A$10:$AV$10000,MATCH($C27,'Table S3 Literature Values'!$A$10:$A$10000,0)+1,AA$1)</f>
        <v>0.23630218299684957</v>
      </c>
      <c r="AB27" s="63">
        <f ca="1">INDEX('Table S3 Literature Values'!$A$10:$AV$10000,MATCH($C27,'Table S3 Literature Values'!$A$10:$A$10000,0)+2,AA$1)</f>
        <v>2</v>
      </c>
      <c r="AC27" s="61">
        <f>VLOOKUP($C27,'Table S3 Literature Values'!$A$10:$AV$10000,AC$1,FALSE)</f>
        <v>0</v>
      </c>
      <c r="AD27" s="61">
        <f>INDEX('Table S3 Literature Values'!$A$10:$AV$10000,MATCH($C27,'Table S3 Literature Values'!$A$10:$A$10000,0)+1,AD$1)</f>
        <v>0</v>
      </c>
      <c r="AE27" s="63">
        <f>INDEX('Table S3 Literature Values'!$A$10:$AV$10000,MATCH($C27,'Table S3 Literature Values'!$A$10:$A$10000,0)+2,AD$1)</f>
        <v>0</v>
      </c>
      <c r="AF27" s="61">
        <f ca="1">VLOOKUP($C27,'Table S3 Literature Values'!$A$10:$AV$10000,AF$1,FALSE)</f>
        <v>-2.8321231551578703</v>
      </c>
      <c r="AG27" s="61">
        <f ca="1">INDEX('Table S3 Literature Values'!$A$10:$AV$10000,MATCH($C27,'Table S3 Literature Values'!$A$10:$A$10000,0)+1,AG$1)</f>
        <v>0.19585145013701558</v>
      </c>
      <c r="AH27" s="63">
        <f ca="1">INDEX('Table S3 Literature Values'!$A$10:$AV$10000,MATCH($C27,'Table S3 Literature Values'!$A$10:$A$10000,0)+2,AG$1)</f>
        <v>7</v>
      </c>
      <c r="AI27" s="61">
        <f>VLOOKUP($C27,'Table S3 Literature Values'!$A$10:$AV$10000,AI$1,FALSE)</f>
        <v>-2.9785206413920569</v>
      </c>
      <c r="AJ27" s="61">
        <f>INDEX('Table S3 Literature Values'!$A$10:$AV$10000,MATCH($C27,'Table S3 Literature Values'!$A$10:$A$10000,0)+1,AJ$1)</f>
        <v>0.36830774156804713</v>
      </c>
      <c r="AK27" s="63">
        <f>INDEX('Table S3 Literature Values'!$A$10:$AV$10000,MATCH($C27,'Table S3 Literature Values'!$A$10:$A$10000,0)+2,AJ$1)</f>
        <v>1</v>
      </c>
      <c r="AL27" s="61">
        <f ca="1">VLOOKUP($C27,'Table S3 Literature Values'!$A$10:$AV$10000,AL$1,FALSE)</f>
        <v>3.105241939387922</v>
      </c>
      <c r="AM27" s="61">
        <f ca="1">INDEX('Table S3 Literature Values'!$A$10:$AV$10000,MATCH($C27,'Table S3 Literature Values'!$A$10:$A$10000,0)+1,AM$1)</f>
        <v>0.62104838787758443</v>
      </c>
      <c r="AN27" s="63">
        <f ca="1">INDEX('Table S3 Literature Values'!$A$10:$AV$10000,MATCH($C27,'Table S3 Literature Values'!$A$10:$A$10000,0)+2,AM$1)</f>
        <v>1</v>
      </c>
      <c r="AO27" s="61">
        <f>VLOOKUP($C27,'Table S3 Literature Values'!$A$10:$AV$10000,AO$1,FALSE)</f>
        <v>71.225632154001929</v>
      </c>
      <c r="AP27" s="61">
        <f>INDEX('Table S3 Literature Values'!$A$10:$AV$10000,MATCH($C27,'Table S3 Literature Values'!$A$10:$A$10000,0)+1,AP$1)</f>
        <v>4.7361176093360013</v>
      </c>
      <c r="AQ27" s="63">
        <f>INDEX('Table S3 Literature Values'!$A$10:$AV$10000,MATCH($C27,'Table S3 Literature Values'!$A$10:$A$10000,0)+2,AP$1)</f>
        <v>4</v>
      </c>
      <c r="AR27" s="61">
        <f>VLOOKUP($C27,'Table S3 Literature Values'!$A$10:$AV$10000,AR$1,FALSE)</f>
        <v>74.825000000000003</v>
      </c>
      <c r="AS27" s="61">
        <f>INDEX('Table S3 Literature Values'!$A$10:$AV$10000,MATCH($C27,'Table S3 Literature Values'!$A$10:$A$10000,0)+1,AS$1)</f>
        <v>0.77513439694890829</v>
      </c>
      <c r="AT27" s="63">
        <f>INDEX('Table S3 Literature Values'!$A$10:$AV$10000,MATCH($C27,'Table S3 Literature Values'!$A$10:$A$10000,0)+2,AS$1)</f>
        <v>4</v>
      </c>
    </row>
    <row r="28" spans="1:46">
      <c r="A28" t="str">
        <f>'Table S2 Compound Identifiers'!C33</f>
        <v>OCP</v>
      </c>
      <c r="B28">
        <f>COUNTIF($C$3:C28,"&lt;&gt;"&amp;"")</f>
        <v>26</v>
      </c>
      <c r="C28" t="str">
        <f>IF('Table S2 Compound Identifiers'!B33="","",'Table S2 Compound Identifiers'!B33)</f>
        <v>aldrin</v>
      </c>
      <c r="D28" t="str">
        <f>'Table S2 Compound Identifiers'!D33</f>
        <v>309-00-2</v>
      </c>
      <c r="E28" s="501">
        <f>VLOOKUP(C28,'Table S3 Literature Values'!$A$10:$AV$10000,E$1,FALSE)</f>
        <v>77.347043836255963</v>
      </c>
      <c r="F28" s="61">
        <f>INDEX('Table S3 Literature Values'!$A$10:$AV$10000,MATCH(C28,'Table S3 Literature Values'!$A$10:$A$10000,0)+1,F$1)</f>
        <v>7.3953189102177799</v>
      </c>
      <c r="G28" s="63">
        <f>INDEX('Table S3 Literature Values'!$A$10:$AV$10000,MATCH($C28,'Table S3 Literature Values'!$A$10:$A$10000,0)+2,F$1)</f>
        <v>3</v>
      </c>
      <c r="H28" s="61">
        <f>VLOOKUP($C28,'Table S3 Literature Values'!$A$10:$AV$10000,H$1,FALSE)</f>
        <v>29.079368261186517</v>
      </c>
      <c r="I28" s="61">
        <f>INDEX('Table S3 Literature Values'!$A$10:$AV$10000,MATCH($C28,'Table S3 Literature Values'!$A$10:$A$10000,0)+1,I$1)</f>
        <v>6.5344819987476823</v>
      </c>
      <c r="J28" s="63">
        <f>INDEX('Table S3 Literature Values'!$A$10:$AV$10000,MATCH($C28,'Table S3 Literature Values'!$A$10:$A$10000,0)+2,I$1)</f>
        <v>2</v>
      </c>
      <c r="K28" s="61">
        <f>VLOOKUP($C28,'Table S3 Literature Values'!$A$10:$AV$10000,K$1,FALSE)</f>
        <v>0</v>
      </c>
      <c r="L28" s="61">
        <f>INDEX('Table S3 Literature Values'!$A$10:$AV$10000,MATCH($C28,'Table S3 Literature Values'!$A$10:$A$10000,0)+1,L$1)</f>
        <v>0</v>
      </c>
      <c r="M28" s="63">
        <f>INDEX('Table S3 Literature Values'!$A$10:$AV$10000,MATCH($C28,'Table S3 Literature Values'!$A$10:$A$10000,0)+2,L$1)</f>
        <v>0</v>
      </c>
      <c r="N28" s="61">
        <f>VLOOKUP($C28,'Table S3 Literature Values'!$A$10:$AV$10000,N$1,FALSE)</f>
        <v>73.2</v>
      </c>
      <c r="O28" s="61">
        <f>INDEX('Table S3 Literature Values'!$A$10:$AV$10000,MATCH($C28,'Table S3 Literature Values'!$A$10:$A$10000,0)+1,O$1)</f>
        <v>4.637811732716516</v>
      </c>
      <c r="P28" s="63">
        <f>INDEX('Table S3 Literature Values'!$A$10:$AV$10000,MATCH($C28,'Table S3 Literature Values'!$A$10:$A$10000,0)+2,O$1)</f>
        <v>1</v>
      </c>
      <c r="Q28" s="61">
        <f>VLOOKUP($C28,'Table S3 Literature Values'!$A$10:$AV$10000,Q$1,FALSE)</f>
        <v>29.809000000000005</v>
      </c>
      <c r="R28" s="61">
        <f>INDEX('Table S3 Literature Values'!$A$10:$AV$10000,MATCH($C28,'Table S3 Literature Values'!$A$10:$A$10000,0)+1,R$1)</f>
        <v>8.9427000000000003</v>
      </c>
      <c r="S28" s="63">
        <f>INDEX('Table S3 Literature Values'!$A$10:$AV$10000,MATCH($C28,'Table S3 Literature Values'!$A$10:$A$10000,0)+2,R$1)</f>
        <v>1</v>
      </c>
      <c r="T28" s="61">
        <f>VLOOKUP($C28,'Table S3 Literature Values'!$A$10:$AV$10000,T$1,FALSE)</f>
        <v>0</v>
      </c>
      <c r="U28" s="61">
        <f>INDEX('Table S3 Literature Values'!$A$10:$AV$10000,MATCH($C28,'Table S3 Literature Values'!$A$10:$A$10000,0)+1,U$1)</f>
        <v>0</v>
      </c>
      <c r="V28" s="63">
        <f>INDEX('Table S3 Literature Values'!$A$10:$AV$10000,MATCH($C28,'Table S3 Literature Values'!$A$10:$A$10000,0)+2,U$1)</f>
        <v>0</v>
      </c>
      <c r="W28" s="61">
        <f>VLOOKUP($C28,'Table S3 Literature Values'!$A$10:$AV$10000,W$1,FALSE)</f>
        <v>8.222192323207425</v>
      </c>
      <c r="X28" s="61">
        <f>INDEX('Table S3 Literature Values'!$A$10:$AV$10000,MATCH($C28,'Table S3 Literature Values'!$A$10:$A$10000,0)+1,X$1)</f>
        <v>0.13232171787153463</v>
      </c>
      <c r="Y28" s="63">
        <f>INDEX('Table S3 Literature Values'!$A$10:$AV$10000,MATCH($C28,'Table S3 Literature Values'!$A$10:$A$10000,0)+2,X$1)</f>
        <v>3</v>
      </c>
      <c r="Z28" s="61">
        <f>VLOOKUP($C28,'Table S3 Literature Values'!$A$10:$AV$10000,Z$1,FALSE)</f>
        <v>6.4960000000000004</v>
      </c>
      <c r="AA28" s="61">
        <f>INDEX('Table S3 Literature Values'!$A$10:$AV$10000,MATCH($C28,'Table S3 Literature Values'!$A$10:$A$10000,0)+1,AA$1)</f>
        <v>0.4403671534472236</v>
      </c>
      <c r="AB28" s="63">
        <f>INDEX('Table S3 Literature Values'!$A$10:$AV$10000,MATCH($C28,'Table S3 Literature Values'!$A$10:$A$10000,0)+2,AA$1)</f>
        <v>1</v>
      </c>
      <c r="AC28" s="61">
        <f>VLOOKUP($C28,'Table S3 Literature Values'!$A$10:$AV$10000,AC$1,FALSE)</f>
        <v>-2.7753503109531596</v>
      </c>
      <c r="AD28" s="61">
        <f>INDEX('Table S3 Literature Values'!$A$10:$AV$10000,MATCH($C28,'Table S3 Literature Values'!$A$10:$A$10000,0)+1,AD$1)</f>
        <v>4.8532968131012003E-2</v>
      </c>
      <c r="AE28" s="63">
        <f>INDEX('Table S3 Literature Values'!$A$10:$AV$10000,MATCH($C28,'Table S3 Literature Values'!$A$10:$A$10000,0)+2,AD$1)</f>
        <v>2</v>
      </c>
      <c r="AF28" s="61">
        <f>VLOOKUP($C28,'Table S3 Literature Values'!$A$10:$AV$10000,AF$1,FALSE)</f>
        <v>-1.4798096171291917</v>
      </c>
      <c r="AG28" s="61">
        <f>INDEX('Table S3 Literature Values'!$A$10:$AV$10000,MATCH($C28,'Table S3 Literature Values'!$A$10:$A$10000,0)+1,AG$1)</f>
        <v>0.2105699012314845</v>
      </c>
      <c r="AH28" s="63">
        <f>INDEX('Table S3 Literature Values'!$A$10:$AV$10000,MATCH($C28,'Table S3 Literature Values'!$A$10:$A$10000,0)+2,AG$1)</f>
        <v>6</v>
      </c>
      <c r="AI28" s="61">
        <f>VLOOKUP($C28,'Table S3 Literature Values'!$A$10:$AV$10000,AI$1,FALSE)</f>
        <v>-2.6051793070033451</v>
      </c>
      <c r="AJ28" s="61">
        <f>INDEX('Table S3 Literature Values'!$A$10:$AV$10000,MATCH($C28,'Table S3 Literature Values'!$A$10:$A$10000,0)+1,AJ$1)</f>
        <v>3.2355431865532899E-2</v>
      </c>
      <c r="AK28" s="63">
        <f>INDEX('Table S3 Literature Values'!$A$10:$AV$10000,MATCH($C28,'Table S3 Literature Values'!$A$10:$A$10000,0)+2,AJ$1)</f>
        <v>2</v>
      </c>
      <c r="AL28" s="61">
        <f>VLOOKUP($C28,'Table S3 Literature Values'!$A$10:$AV$10000,AL$1,FALSE)</f>
        <v>0</v>
      </c>
      <c r="AM28" s="61">
        <f>INDEX('Table S3 Literature Values'!$A$10:$AV$10000,MATCH($C28,'Table S3 Literature Values'!$A$10:$A$10000,0)+1,AM$1)</f>
        <v>0</v>
      </c>
      <c r="AN28" s="63">
        <f>INDEX('Table S3 Literature Values'!$A$10:$AV$10000,MATCH($C28,'Table S3 Literature Values'!$A$10:$A$10000,0)+2,AM$1)</f>
        <v>0</v>
      </c>
      <c r="AO28" s="61">
        <f>VLOOKUP($C28,'Table S3 Literature Values'!$A$10:$AV$10000,AO$1,FALSE)</f>
        <v>54.267815648747543</v>
      </c>
      <c r="AP28" s="61">
        <f>INDEX('Table S3 Literature Values'!$A$10:$AV$10000,MATCH($C28,'Table S3 Literature Values'!$A$10:$A$10000,0)+1,AP$1)</f>
        <v>2.9667593418172813</v>
      </c>
      <c r="AQ28" s="63">
        <f>INDEX('Table S3 Literature Values'!$A$10:$AV$10000,MATCH($C28,'Table S3 Literature Values'!$A$10:$A$10000,0)+2,AP$1)</f>
        <v>2</v>
      </c>
      <c r="AR28" s="61">
        <f>VLOOKUP($C28,'Table S3 Literature Values'!$A$10:$AV$10000,AR$1,FALSE)</f>
        <v>103.37</v>
      </c>
      <c r="AS28" s="61">
        <f>INDEX('Table S3 Literature Values'!$A$10:$AV$10000,MATCH($C28,'Table S3 Literature Values'!$A$10:$A$10000,0)+1,AS$1)</f>
        <v>1.050357082139215</v>
      </c>
      <c r="AT28" s="63">
        <f>INDEX('Table S3 Literature Values'!$A$10:$AV$10000,MATCH($C28,'Table S3 Literature Values'!$A$10:$A$10000,0)+2,AS$1)</f>
        <v>5</v>
      </c>
    </row>
    <row r="29" spans="1:46">
      <c r="A29" t="str">
        <f>'Table S2 Compound Identifiers'!C34</f>
        <v>OCP</v>
      </c>
      <c r="B29">
        <f>COUNTIF($C$3:C29,"&lt;&gt;"&amp;"")</f>
        <v>27</v>
      </c>
      <c r="C29" t="str">
        <f>IF('Table S2 Compound Identifiers'!B34="","",'Table S2 Compound Identifiers'!B34)</f>
        <v>TN</v>
      </c>
      <c r="D29" t="str">
        <f>'Table S2 Compound Identifiers'!D34</f>
        <v>39765-80-5</v>
      </c>
      <c r="E29" s="501">
        <f>VLOOKUP(C29,'Table S3 Literature Values'!$A$10:$AV$10000,E$1,FALSE)</f>
        <v>80.667008962682672</v>
      </c>
      <c r="F29" s="61">
        <f>INDEX('Table S3 Literature Values'!$A$10:$AV$10000,MATCH(C29,'Table S3 Literature Values'!$A$10:$A$10000,0)+1,F$1)</f>
        <v>6.8829900832172575</v>
      </c>
      <c r="G29" s="63">
        <f>INDEX('Table S3 Literature Values'!$A$10:$AV$10000,MATCH($C29,'Table S3 Literature Values'!$A$10:$A$10000,0)+2,F$1)</f>
        <v>2</v>
      </c>
      <c r="H29" s="61">
        <f>VLOOKUP($C29,'Table S3 Literature Values'!$A$10:$AV$10000,H$1,FALSE)</f>
        <v>0</v>
      </c>
      <c r="I29" s="61">
        <f>INDEX('Table S3 Literature Values'!$A$10:$AV$10000,MATCH($C29,'Table S3 Literature Values'!$A$10:$A$10000,0)+1,I$1)</f>
        <v>0</v>
      </c>
      <c r="J29" s="63">
        <f>INDEX('Table S3 Literature Values'!$A$10:$AV$10000,MATCH($C29,'Table S3 Literature Values'!$A$10:$A$10000,0)+2,I$1)</f>
        <v>0</v>
      </c>
      <c r="K29" s="61">
        <f>VLOOKUP($C29,'Table S3 Literature Values'!$A$10:$AV$10000,K$1,FALSE)</f>
        <v>0</v>
      </c>
      <c r="L29" s="61">
        <f>INDEX('Table S3 Literature Values'!$A$10:$AV$10000,MATCH($C29,'Table S3 Literature Values'!$A$10:$A$10000,0)+1,L$1)</f>
        <v>0</v>
      </c>
      <c r="M29" s="63">
        <f>INDEX('Table S3 Literature Values'!$A$10:$AV$10000,MATCH($C29,'Table S3 Literature Values'!$A$10:$A$10000,0)+2,L$1)</f>
        <v>0</v>
      </c>
      <c r="N29" s="61">
        <f>VLOOKUP($C29,'Table S3 Literature Values'!$A$10:$AV$10000,N$1,FALSE)</f>
        <v>74.7</v>
      </c>
      <c r="O29" s="61">
        <f>INDEX('Table S3 Literature Values'!$A$10:$AV$10000,MATCH($C29,'Table S3 Literature Values'!$A$10:$A$10000,0)+1,O$1)</f>
        <v>4.7328488583869364</v>
      </c>
      <c r="P29" s="63">
        <f>INDEX('Table S3 Literature Values'!$A$10:$AV$10000,MATCH($C29,'Table S3 Literature Values'!$A$10:$A$10000,0)+2,O$1)</f>
        <v>1</v>
      </c>
      <c r="Q29" s="61">
        <f>VLOOKUP($C29,'Table S3 Literature Values'!$A$10:$AV$10000,Q$1,FALSE)</f>
        <v>50.459000000000003</v>
      </c>
      <c r="R29" s="61">
        <f>INDEX('Table S3 Literature Values'!$A$10:$AV$10000,MATCH($C29,'Table S3 Literature Values'!$A$10:$A$10000,0)+1,R$1)</f>
        <v>18.738329701443487</v>
      </c>
      <c r="S29" s="63">
        <f>INDEX('Table S3 Literature Values'!$A$10:$AV$10000,MATCH($C29,'Table S3 Literature Values'!$A$10:$A$10000,0)+2,R$1)</f>
        <v>2</v>
      </c>
      <c r="T29" s="61">
        <f>VLOOKUP($C29,'Table S3 Literature Values'!$A$10:$AV$10000,T$1,FALSE)</f>
        <v>0</v>
      </c>
      <c r="U29" s="61">
        <f>INDEX('Table S3 Literature Values'!$A$10:$AV$10000,MATCH($C29,'Table S3 Literature Values'!$A$10:$A$10000,0)+1,U$1)</f>
        <v>0</v>
      </c>
      <c r="V29" s="63">
        <f>INDEX('Table S3 Literature Values'!$A$10:$AV$10000,MATCH($C29,'Table S3 Literature Values'!$A$10:$A$10000,0)+2,U$1)</f>
        <v>0</v>
      </c>
      <c r="W29" s="61">
        <f>VLOOKUP($C29,'Table S3 Literature Values'!$A$10:$AV$10000,W$1,FALSE)</f>
        <v>9.1223628792302236</v>
      </c>
      <c r="X29" s="61">
        <f>INDEX('Table S3 Literature Values'!$A$10:$AV$10000,MATCH($C29,'Table S3 Literature Values'!$A$10:$A$10000,0)+1,X$1)</f>
        <v>0.23707468974979304</v>
      </c>
      <c r="Y29" s="63">
        <f>INDEX('Table S3 Literature Values'!$A$10:$AV$10000,MATCH($C29,'Table S3 Literature Values'!$A$10:$A$10000,0)+2,X$1)</f>
        <v>2</v>
      </c>
      <c r="Z29" s="61">
        <f>VLOOKUP($C29,'Table S3 Literature Values'!$A$10:$AV$10000,Z$1,FALSE)</f>
        <v>6.35</v>
      </c>
      <c r="AA29" s="61">
        <f>INDEX('Table S3 Literature Values'!$A$10:$AV$10000,MATCH($C29,'Table S3 Literature Values'!$A$10:$A$10000,0)+1,AA$1)</f>
        <v>0.63500000000000001</v>
      </c>
      <c r="AB29" s="63">
        <f>INDEX('Table S3 Literature Values'!$A$10:$AV$10000,MATCH($C29,'Table S3 Literature Values'!$A$10:$A$10000,0)+2,AA$1)</f>
        <v>1</v>
      </c>
      <c r="AC29" s="61">
        <f>VLOOKUP($C29,'Table S3 Literature Values'!$A$10:$AV$10000,AC$1,FALSE)</f>
        <v>0</v>
      </c>
      <c r="AD29" s="61">
        <f>INDEX('Table S3 Literature Values'!$A$10:$AV$10000,MATCH($C29,'Table S3 Literature Values'!$A$10:$A$10000,0)+1,AD$1)</f>
        <v>0</v>
      </c>
      <c r="AE29" s="63">
        <f>INDEX('Table S3 Literature Values'!$A$10:$AV$10000,MATCH($C29,'Table S3 Literature Values'!$A$10:$A$10000,0)+2,AD$1)</f>
        <v>0</v>
      </c>
      <c r="AF29" s="61">
        <f>VLOOKUP($C29,'Table S3 Literature Values'!$A$10:$AV$10000,AF$1,FALSE)</f>
        <v>-2.3516932036933884</v>
      </c>
      <c r="AG29" s="61">
        <f>INDEX('Table S3 Literature Values'!$A$10:$AV$10000,MATCH($C29,'Table S3 Literature Values'!$A$10:$A$10000,0)+1,AG$1)</f>
        <v>0.13078312861872404</v>
      </c>
      <c r="AH29" s="63">
        <f>INDEX('Table S3 Literature Values'!$A$10:$AV$10000,MATCH($C29,'Table S3 Literature Values'!$A$10:$A$10000,0)+2,AG$1)</f>
        <v>3</v>
      </c>
      <c r="AI29" s="61">
        <f>VLOOKUP($C29,'Table S3 Literature Values'!$A$10:$AV$10000,AI$1,FALSE)</f>
        <v>0</v>
      </c>
      <c r="AJ29" s="61">
        <f>INDEX('Table S3 Literature Values'!$A$10:$AV$10000,MATCH($C29,'Table S3 Literature Values'!$A$10:$A$10000,0)+1,AJ$1)</f>
        <v>0</v>
      </c>
      <c r="AK29" s="63">
        <f>INDEX('Table S3 Literature Values'!$A$10:$AV$10000,MATCH($C29,'Table S3 Literature Values'!$A$10:$A$10000,0)+2,AJ$1)</f>
        <v>0</v>
      </c>
      <c r="AL29" s="61">
        <f>VLOOKUP($C29,'Table S3 Literature Values'!$A$10:$AV$10000,AL$1,FALSE)</f>
        <v>0</v>
      </c>
      <c r="AM29" s="61">
        <f>INDEX('Table S3 Literature Values'!$A$10:$AV$10000,MATCH($C29,'Table S3 Literature Values'!$A$10:$A$10000,0)+1,AM$1)</f>
        <v>0</v>
      </c>
      <c r="AN29" s="63">
        <f>INDEX('Table S3 Literature Values'!$A$10:$AV$10000,MATCH($C29,'Table S3 Literature Values'!$A$10:$A$10000,0)+2,AM$1)</f>
        <v>0</v>
      </c>
      <c r="AO29" s="61">
        <f>VLOOKUP($C29,'Table S3 Literature Values'!$A$10:$AV$10000,AO$1,FALSE)</f>
        <v>0</v>
      </c>
      <c r="AP29" s="61">
        <f>INDEX('Table S3 Literature Values'!$A$10:$AV$10000,MATCH($C29,'Table S3 Literature Values'!$A$10:$A$10000,0)+1,AP$1)</f>
        <v>0</v>
      </c>
      <c r="AQ29" s="63">
        <f>INDEX('Table S3 Literature Values'!$A$10:$AV$10000,MATCH($C29,'Table S3 Literature Values'!$A$10:$A$10000,0)+2,AP$1)</f>
        <v>0</v>
      </c>
      <c r="AR29" s="61">
        <f>VLOOKUP($C29,'Table S3 Literature Values'!$A$10:$AV$10000,AR$1,FALSE)</f>
        <v>126.90000000000002</v>
      </c>
      <c r="AS29" s="61">
        <f>INDEX('Table S3 Literature Values'!$A$10:$AV$10000,MATCH($C29,'Table S3 Literature Values'!$A$10:$A$10000,0)+1,AS$1)</f>
        <v>0.49244289008983061</v>
      </c>
      <c r="AT29" s="63">
        <f>INDEX('Table S3 Literature Values'!$A$10:$AV$10000,MATCH($C29,'Table S3 Literature Values'!$A$10:$A$10000,0)+2,AS$1)</f>
        <v>3</v>
      </c>
    </row>
    <row r="30" spans="1:46">
      <c r="A30" t="str">
        <f>'Table S2 Compound Identifiers'!C35</f>
        <v>OPE</v>
      </c>
      <c r="B30">
        <f>COUNTIF($C$3:C30,"&lt;&gt;"&amp;"")</f>
        <v>28</v>
      </c>
      <c r="C30" t="str">
        <f>IF('Table S2 Compound Identifiers'!B35="","",'Table S2 Compound Identifiers'!B35)</f>
        <v>TCEP</v>
      </c>
      <c r="D30" t="str">
        <f>'Table S2 Compound Identifiers'!D35</f>
        <v>115-96-8</v>
      </c>
      <c r="E30" s="501">
        <f>VLOOKUP(C30,'Table S3 Literature Values'!$A$10:$AV$10000,E$1,FALSE)</f>
        <v>81.233333333333334</v>
      </c>
      <c r="F30" s="61">
        <f>INDEX('Table S3 Literature Values'!$A$10:$AV$10000,MATCH(C30,'Table S3 Literature Values'!$A$10:$A$10000,0)+1,F$1)</f>
        <v>2.9091808698211468</v>
      </c>
      <c r="G30" s="63">
        <f>INDEX('Table S3 Literature Values'!$A$10:$AV$10000,MATCH($C30,'Table S3 Literature Values'!$A$10:$A$10000,0)+2,F$1)</f>
        <v>3</v>
      </c>
      <c r="H30" s="61">
        <f>VLOOKUP($C30,'Table S3 Literature Values'!$A$10:$AV$10000,H$1,FALSE)</f>
        <v>0</v>
      </c>
      <c r="I30" s="61">
        <f>INDEX('Table S3 Literature Values'!$A$10:$AV$10000,MATCH($C30,'Table S3 Literature Values'!$A$10:$A$10000,0)+1,I$1)</f>
        <v>0</v>
      </c>
      <c r="J30" s="63">
        <f>INDEX('Table S3 Literature Values'!$A$10:$AV$10000,MATCH($C30,'Table S3 Literature Values'!$A$10:$A$10000,0)+2,I$1)</f>
        <v>0</v>
      </c>
      <c r="K30" s="61">
        <f>VLOOKUP($C30,'Table S3 Literature Values'!$A$10:$AV$10000,K$1,FALSE)</f>
        <v>0</v>
      </c>
      <c r="L30" s="61">
        <f>INDEX('Table S3 Literature Values'!$A$10:$AV$10000,MATCH($C30,'Table S3 Literature Values'!$A$10:$A$10000,0)+1,L$1)</f>
        <v>0</v>
      </c>
      <c r="M30" s="63">
        <f>INDEX('Table S3 Literature Values'!$A$10:$AV$10000,MATCH($C30,'Table S3 Literature Values'!$A$10:$A$10000,0)+2,L$1)</f>
        <v>0</v>
      </c>
      <c r="N30" s="61">
        <f>VLOOKUP($C30,'Table S3 Literature Values'!$A$10:$AV$10000,N$1,FALSE)</f>
        <v>79.8</v>
      </c>
      <c r="O30" s="61">
        <f>INDEX('Table S3 Literature Values'!$A$10:$AV$10000,MATCH($C30,'Table S3 Literature Values'!$A$10:$A$10000,0)+1,O$1)</f>
        <v>14.117011015083925</v>
      </c>
      <c r="P30" s="63">
        <f>INDEX('Table S3 Literature Values'!$A$10:$AV$10000,MATCH($C30,'Table S3 Literature Values'!$A$10:$A$10000,0)+2,O$1)</f>
        <v>3</v>
      </c>
      <c r="Q30" s="61">
        <f>VLOOKUP($C30,'Table S3 Literature Values'!$A$10:$AV$10000,Q$1,FALSE)</f>
        <v>0</v>
      </c>
      <c r="R30" s="61">
        <f>INDEX('Table S3 Literature Values'!$A$10:$AV$10000,MATCH($C30,'Table S3 Literature Values'!$A$10:$A$10000,0)+1,R$1)</f>
        <v>0</v>
      </c>
      <c r="S30" s="63">
        <f>INDEX('Table S3 Literature Values'!$A$10:$AV$10000,MATCH($C30,'Table S3 Literature Values'!$A$10:$A$10000,0)+2,R$1)</f>
        <v>0</v>
      </c>
      <c r="T30" s="61">
        <f>VLOOKUP($C30,'Table S3 Literature Values'!$A$10:$AV$10000,T$1,FALSE)</f>
        <v>0</v>
      </c>
      <c r="U30" s="61">
        <f>INDEX('Table S3 Literature Values'!$A$10:$AV$10000,MATCH($C30,'Table S3 Literature Values'!$A$10:$A$10000,0)+1,U$1)</f>
        <v>0</v>
      </c>
      <c r="V30" s="63">
        <f>INDEX('Table S3 Literature Values'!$A$10:$AV$10000,MATCH($C30,'Table S3 Literature Values'!$A$10:$A$10000,0)+2,U$1)</f>
        <v>0</v>
      </c>
      <c r="W30" s="61">
        <f>VLOOKUP($C30,'Table S3 Literature Values'!$A$10:$AV$10000,W$1,FALSE)</f>
        <v>7.914452287052451</v>
      </c>
      <c r="X30" s="61">
        <f>INDEX('Table S3 Literature Values'!$A$10:$AV$10000,MATCH($C30,'Table S3 Literature Values'!$A$10:$A$10000,0)+1,X$1)</f>
        <v>6.3438854805062408E-2</v>
      </c>
      <c r="Y30" s="63">
        <f>INDEX('Table S3 Literature Values'!$A$10:$AV$10000,MATCH($C30,'Table S3 Literature Values'!$A$10:$A$10000,0)+2,X$1)</f>
        <v>3</v>
      </c>
      <c r="Z30" s="61">
        <f ca="1">VLOOKUP($C30,'Table S3 Literature Values'!$A$10:$AV$10000,Z$1,FALSE)</f>
        <v>1.6487788978175042</v>
      </c>
      <c r="AA30" s="61">
        <f ca="1">INDEX('Table S3 Literature Values'!$A$10:$AV$10000,MATCH($C30,'Table S3 Literature Values'!$A$10:$A$10000,0)+1,AA$1)</f>
        <v>0.19072172315272956</v>
      </c>
      <c r="AB30" s="63">
        <f ca="1">INDEX('Table S3 Literature Values'!$A$10:$AV$10000,MATCH($C30,'Table S3 Literature Values'!$A$10:$A$10000,0)+2,AA$1)</f>
        <v>3</v>
      </c>
      <c r="AC30" s="61">
        <f>VLOOKUP($C30,'Table S3 Literature Values'!$A$10:$AV$10000,AC$1,FALSE)</f>
        <v>0</v>
      </c>
      <c r="AD30" s="61">
        <f>INDEX('Table S3 Literature Values'!$A$10:$AV$10000,MATCH($C30,'Table S3 Literature Values'!$A$10:$A$10000,0)+1,AD$1)</f>
        <v>0</v>
      </c>
      <c r="AE30" s="63">
        <f>INDEX('Table S3 Literature Values'!$A$10:$AV$10000,MATCH($C30,'Table S3 Literature Values'!$A$10:$A$10000,0)+2,AD$1)</f>
        <v>0</v>
      </c>
      <c r="AF30" s="61">
        <f>VLOOKUP($C30,'Table S3 Literature Values'!$A$10:$AV$10000,AF$1,FALSE)</f>
        <v>-1.3849533306583126</v>
      </c>
      <c r="AG30" s="61">
        <f>INDEX('Table S3 Literature Values'!$A$10:$AV$10000,MATCH($C30,'Table S3 Literature Values'!$A$10:$A$10000,0)+1,AG$1)</f>
        <v>0.17815080358449792</v>
      </c>
      <c r="AH30" s="63">
        <f>INDEX('Table S3 Literature Values'!$A$10:$AV$10000,MATCH($C30,'Table S3 Literature Values'!$A$10:$A$10000,0)+2,AG$1)</f>
        <v>4</v>
      </c>
      <c r="AI30" s="61">
        <f ca="1">VLOOKUP($C30,'Table S3 Literature Values'!$A$10:$AV$10000,AI$1,FALSE)</f>
        <v>1.4162808651238727</v>
      </c>
      <c r="AJ30" s="61">
        <f ca="1">INDEX('Table S3 Literature Values'!$A$10:$AV$10000,MATCH($C30,'Table S3 Literature Values'!$A$10:$A$10000,0)+1,AJ$1)</f>
        <v>2.992467579434344E-2</v>
      </c>
      <c r="AK30" s="63">
        <f ca="1">INDEX('Table S3 Literature Values'!$A$10:$AV$10000,MATCH($C30,'Table S3 Literature Values'!$A$10:$A$10000,0)+2,AJ$1)</f>
        <v>3</v>
      </c>
      <c r="AL30" s="61">
        <f>VLOOKUP($C30,'Table S3 Literature Values'!$A$10:$AV$10000,AL$1,FALSE)</f>
        <v>0</v>
      </c>
      <c r="AM30" s="61">
        <f>INDEX('Table S3 Literature Values'!$A$10:$AV$10000,MATCH($C30,'Table S3 Literature Values'!$A$10:$A$10000,0)+1,AM$1)</f>
        <v>0</v>
      </c>
      <c r="AN30" s="63">
        <f>INDEX('Table S3 Literature Values'!$A$10:$AV$10000,MATCH($C30,'Table S3 Literature Values'!$A$10:$A$10000,0)+2,AM$1)</f>
        <v>0</v>
      </c>
      <c r="AO30" s="61">
        <f>VLOOKUP($C30,'Table S3 Literature Values'!$A$10:$AV$10000,AO$1,FALSE)</f>
        <v>0</v>
      </c>
      <c r="AP30" s="61">
        <f>INDEX('Table S3 Literature Values'!$A$10:$AV$10000,MATCH($C30,'Table S3 Literature Values'!$A$10:$A$10000,0)+1,AP$1)</f>
        <v>0</v>
      </c>
      <c r="AQ30" s="63">
        <f>INDEX('Table S3 Literature Values'!$A$10:$AV$10000,MATCH($C30,'Table S3 Literature Values'!$A$10:$A$10000,0)+2,AP$1)</f>
        <v>0</v>
      </c>
      <c r="AR30" s="61">
        <f>VLOOKUP($C30,'Table S3 Literature Values'!$A$10:$AV$10000,AR$1,FALSE)</f>
        <v>-45</v>
      </c>
      <c r="AS30" s="61">
        <f>INDEX('Table S3 Literature Values'!$A$10:$AV$10000,MATCH($C30,'Table S3 Literature Values'!$A$10:$A$10000,0)+1,AS$1)</f>
        <v>14.142135623730951</v>
      </c>
      <c r="AT30" s="63">
        <f>INDEX('Table S3 Literature Values'!$A$10:$AV$10000,MATCH($C30,'Table S3 Literature Values'!$A$10:$A$10000,0)+2,AS$1)</f>
        <v>2</v>
      </c>
    </row>
    <row r="31" spans="1:46">
      <c r="A31" t="str">
        <f>'Table S2 Compound Identifiers'!C36</f>
        <v>OPE</v>
      </c>
      <c r="B31">
        <f>COUNTIF($C$3:C31,"&lt;&gt;"&amp;"")</f>
        <v>29</v>
      </c>
      <c r="C31" t="str">
        <f>IF('Table S2 Compound Identifiers'!B36="","",'Table S2 Compound Identifiers'!B36)</f>
        <v>TCiPP</v>
      </c>
      <c r="D31" t="str">
        <f>'Table S2 Compound Identifiers'!D36</f>
        <v>13674-84-5</v>
      </c>
      <c r="E31" s="501">
        <f>VLOOKUP(C31,'Table S3 Literature Values'!$A$10:$AV$10000,E$1,FALSE)</f>
        <v>90.566666666666663</v>
      </c>
      <c r="F31" s="61">
        <f>INDEX('Table S3 Literature Values'!$A$10:$AV$10000,MATCH(C31,'Table S3 Literature Values'!$A$10:$A$10000,0)+1,F$1)</f>
        <v>9.2251467919666919</v>
      </c>
      <c r="G31" s="63">
        <f>INDEX('Table S3 Literature Values'!$A$10:$AV$10000,MATCH($C31,'Table S3 Literature Values'!$A$10:$A$10000,0)+2,F$1)</f>
        <v>3</v>
      </c>
      <c r="H31" s="61">
        <f>VLOOKUP($C31,'Table S3 Literature Values'!$A$10:$AV$10000,H$1,FALSE)</f>
        <v>0</v>
      </c>
      <c r="I31" s="61">
        <f>INDEX('Table S3 Literature Values'!$A$10:$AV$10000,MATCH($C31,'Table S3 Literature Values'!$A$10:$A$10000,0)+1,I$1)</f>
        <v>0</v>
      </c>
      <c r="J31" s="63">
        <f>INDEX('Table S3 Literature Values'!$A$10:$AV$10000,MATCH($C31,'Table S3 Literature Values'!$A$10:$A$10000,0)+2,I$1)</f>
        <v>0</v>
      </c>
      <c r="K31" s="61">
        <f>VLOOKUP($C31,'Table S3 Literature Values'!$A$10:$AV$10000,K$1,FALSE)</f>
        <v>0</v>
      </c>
      <c r="L31" s="61">
        <f>INDEX('Table S3 Literature Values'!$A$10:$AV$10000,MATCH($C31,'Table S3 Literature Values'!$A$10:$A$10000,0)+1,L$1)</f>
        <v>0</v>
      </c>
      <c r="M31" s="63">
        <f>INDEX('Table S3 Literature Values'!$A$10:$AV$10000,MATCH($C31,'Table S3 Literature Values'!$A$10:$A$10000,0)+2,L$1)</f>
        <v>0</v>
      </c>
      <c r="N31" s="61">
        <f>VLOOKUP($C31,'Table S3 Literature Values'!$A$10:$AV$10000,N$1,FALSE)</f>
        <v>90.3</v>
      </c>
      <c r="O31" s="61">
        <f>INDEX('Table S3 Literature Values'!$A$10:$AV$10000,MATCH($C31,'Table S3 Literature Values'!$A$10:$A$10000,0)+1,O$1)</f>
        <v>15.703821191035079</v>
      </c>
      <c r="P31" s="63">
        <f>INDEX('Table S3 Literature Values'!$A$10:$AV$10000,MATCH($C31,'Table S3 Literature Values'!$A$10:$A$10000,0)+2,O$1)</f>
        <v>3</v>
      </c>
      <c r="Q31" s="61">
        <f>VLOOKUP($C31,'Table S3 Literature Values'!$A$10:$AV$10000,Q$1,FALSE)</f>
        <v>0</v>
      </c>
      <c r="R31" s="61">
        <f>INDEX('Table S3 Literature Values'!$A$10:$AV$10000,MATCH($C31,'Table S3 Literature Values'!$A$10:$A$10000,0)+1,R$1)</f>
        <v>0</v>
      </c>
      <c r="S31" s="63">
        <f>INDEX('Table S3 Literature Values'!$A$10:$AV$10000,MATCH($C31,'Table S3 Literature Values'!$A$10:$A$10000,0)+2,R$1)</f>
        <v>0</v>
      </c>
      <c r="T31" s="61">
        <f>VLOOKUP($C31,'Table S3 Literature Values'!$A$10:$AV$10000,T$1,FALSE)</f>
        <v>0</v>
      </c>
      <c r="U31" s="61">
        <f>INDEX('Table S3 Literature Values'!$A$10:$AV$10000,MATCH($C31,'Table S3 Literature Values'!$A$10:$A$10000,0)+1,U$1)</f>
        <v>0</v>
      </c>
      <c r="V31" s="63">
        <f>INDEX('Table S3 Literature Values'!$A$10:$AV$10000,MATCH($C31,'Table S3 Literature Values'!$A$10:$A$10000,0)+2,U$1)</f>
        <v>0</v>
      </c>
      <c r="W31" s="61">
        <f>VLOOKUP($C31,'Table S3 Literature Values'!$A$10:$AV$10000,W$1,FALSE)</f>
        <v>8.5999801895500738</v>
      </c>
      <c r="X31" s="61">
        <f>INDEX('Table S3 Literature Values'!$A$10:$AV$10000,MATCH($C31,'Table S3 Literature Values'!$A$10:$A$10000,0)+1,X$1)</f>
        <v>0.93553903324940713</v>
      </c>
      <c r="Y31" s="63">
        <f>INDEX('Table S3 Literature Values'!$A$10:$AV$10000,MATCH($C31,'Table S3 Literature Values'!$A$10:$A$10000,0)+2,X$1)</f>
        <v>3</v>
      </c>
      <c r="Z31" s="61">
        <f>VLOOKUP($C31,'Table S3 Literature Values'!$A$10:$AV$10000,Z$1,FALSE)</f>
        <v>2.6349999999999998</v>
      </c>
      <c r="AA31" s="61">
        <f>INDEX('Table S3 Literature Values'!$A$10:$AV$10000,MATCH($C31,'Table S3 Literature Values'!$A$10:$A$10000,0)+1,AA$1)</f>
        <v>6.3639610306789496E-2</v>
      </c>
      <c r="AB31" s="63">
        <f>INDEX('Table S3 Literature Values'!$A$10:$AV$10000,MATCH($C31,'Table S3 Literature Values'!$A$10:$A$10000,0)+2,AA$1)</f>
        <v>2</v>
      </c>
      <c r="AC31" s="61">
        <f>VLOOKUP($C31,'Table S3 Literature Values'!$A$10:$AV$10000,AC$1,FALSE)</f>
        <v>0</v>
      </c>
      <c r="AD31" s="61">
        <f>INDEX('Table S3 Literature Values'!$A$10:$AV$10000,MATCH($C31,'Table S3 Literature Values'!$A$10:$A$10000,0)+1,AD$1)</f>
        <v>0</v>
      </c>
      <c r="AE31" s="63">
        <f>INDEX('Table S3 Literature Values'!$A$10:$AV$10000,MATCH($C31,'Table S3 Literature Values'!$A$10:$A$10000,0)+2,AD$1)</f>
        <v>0</v>
      </c>
      <c r="AF31" s="61">
        <f>VLOOKUP($C31,'Table S3 Literature Values'!$A$10:$AV$10000,AF$1,FALSE)</f>
        <v>-2.0793529564966393</v>
      </c>
      <c r="AG31" s="61">
        <f>INDEX('Table S3 Literature Values'!$A$10:$AV$10000,MATCH($C31,'Table S3 Literature Values'!$A$10:$A$10000,0)+1,AG$1)</f>
        <v>0.83649137759001246</v>
      </c>
      <c r="AH31" s="63">
        <f>INDEX('Table S3 Literature Values'!$A$10:$AV$10000,MATCH($C31,'Table S3 Literature Values'!$A$10:$A$10000,0)+2,AG$1)</f>
        <v>5</v>
      </c>
      <c r="AI31" s="61">
        <f ca="1">VLOOKUP($C31,'Table S3 Literature Values'!$A$10:$AV$10000,AI$1,FALSE)</f>
        <v>0.56851833009543651</v>
      </c>
      <c r="AJ31" s="61">
        <f ca="1">INDEX('Table S3 Literature Values'!$A$10:$AV$10000,MATCH($C31,'Table S3 Literature Values'!$A$10:$A$10000,0)+1,AJ$1)</f>
        <v>8.5459697155219894E-2</v>
      </c>
      <c r="AK31" s="63">
        <f ca="1">INDEX('Table S3 Literature Values'!$A$10:$AV$10000,MATCH($C31,'Table S3 Literature Values'!$A$10:$A$10000,0)+2,AJ$1)</f>
        <v>3</v>
      </c>
      <c r="AL31" s="61">
        <f>VLOOKUP($C31,'Table S3 Literature Values'!$A$10:$AV$10000,AL$1,FALSE)</f>
        <v>0</v>
      </c>
      <c r="AM31" s="61">
        <f>INDEX('Table S3 Literature Values'!$A$10:$AV$10000,MATCH($C31,'Table S3 Literature Values'!$A$10:$A$10000,0)+1,AM$1)</f>
        <v>0</v>
      </c>
      <c r="AN31" s="63">
        <f>INDEX('Table S3 Literature Values'!$A$10:$AV$10000,MATCH($C31,'Table S3 Literature Values'!$A$10:$A$10000,0)+2,AM$1)</f>
        <v>0</v>
      </c>
      <c r="AO31" s="61">
        <f>VLOOKUP($C31,'Table S3 Literature Values'!$A$10:$AV$10000,AO$1,FALSE)</f>
        <v>0</v>
      </c>
      <c r="AP31" s="61">
        <f>INDEX('Table S3 Literature Values'!$A$10:$AV$10000,MATCH($C31,'Table S3 Literature Values'!$A$10:$A$10000,0)+1,AP$1)</f>
        <v>0</v>
      </c>
      <c r="AQ31" s="63">
        <f>INDEX('Table S3 Literature Values'!$A$10:$AV$10000,MATCH($C31,'Table S3 Literature Values'!$A$10:$A$10000,0)+2,AP$1)</f>
        <v>0</v>
      </c>
      <c r="AR31" s="61">
        <f>VLOOKUP($C31,'Table S3 Literature Values'!$A$10:$AV$10000,AR$1,FALSE)</f>
        <v>-45.5</v>
      </c>
      <c r="AS31" s="61">
        <f>INDEX('Table S3 Literature Values'!$A$10:$AV$10000,MATCH($C31,'Table S3 Literature Values'!$A$10:$A$10000,0)+1,AS$1)</f>
        <v>7.7781745930520225</v>
      </c>
      <c r="AT31" s="63">
        <f>INDEX('Table S3 Literature Values'!$A$10:$AV$10000,MATCH($C31,'Table S3 Literature Values'!$A$10:$A$10000,0)+2,AS$1)</f>
        <v>2</v>
      </c>
    </row>
    <row r="32" spans="1:46">
      <c r="A32" t="str">
        <f>'Table S2 Compound Identifiers'!C37</f>
        <v>OPE</v>
      </c>
      <c r="B32">
        <f>COUNTIF($C$3:C32,"&lt;&gt;"&amp;"")</f>
        <v>30</v>
      </c>
      <c r="C32" t="str">
        <f>IF('Table S2 Compound Identifiers'!B37="","",'Table S2 Compound Identifiers'!B37)</f>
        <v>TDCiPP</v>
      </c>
      <c r="D32" t="str">
        <f>'Table S2 Compound Identifiers'!D37</f>
        <v>13674-87-8</v>
      </c>
      <c r="E32" s="501">
        <f>VLOOKUP(C32,'Table S3 Literature Values'!$A$10:$AV$10000,E$1,FALSE)</f>
        <v>97</v>
      </c>
      <c r="F32" s="61">
        <f>INDEX('Table S3 Literature Values'!$A$10:$AV$10000,MATCH(C32,'Table S3 Literature Values'!$A$10:$A$10000,0)+1,F$1)</f>
        <v>5.0239426748321856</v>
      </c>
      <c r="G32" s="63">
        <f>INDEX('Table S3 Literature Values'!$A$10:$AV$10000,MATCH($C32,'Table S3 Literature Values'!$A$10:$A$10000,0)+2,F$1)</f>
        <v>3</v>
      </c>
      <c r="H32" s="61">
        <f>VLOOKUP($C32,'Table S3 Literature Values'!$A$10:$AV$10000,H$1,FALSE)</f>
        <v>0</v>
      </c>
      <c r="I32" s="61">
        <f>INDEX('Table S3 Literature Values'!$A$10:$AV$10000,MATCH($C32,'Table S3 Literature Values'!$A$10:$A$10000,0)+1,I$1)</f>
        <v>0</v>
      </c>
      <c r="J32" s="63">
        <f>INDEX('Table S3 Literature Values'!$A$10:$AV$10000,MATCH($C32,'Table S3 Literature Values'!$A$10:$A$10000,0)+2,I$1)</f>
        <v>0</v>
      </c>
      <c r="K32" s="61">
        <f>VLOOKUP($C32,'Table S3 Literature Values'!$A$10:$AV$10000,K$1,FALSE)</f>
        <v>0</v>
      </c>
      <c r="L32" s="61">
        <f>INDEX('Table S3 Literature Values'!$A$10:$AV$10000,MATCH($C32,'Table S3 Literature Values'!$A$10:$A$10000,0)+1,L$1)</f>
        <v>0</v>
      </c>
      <c r="M32" s="63">
        <f>INDEX('Table S3 Literature Values'!$A$10:$AV$10000,MATCH($C32,'Table S3 Literature Values'!$A$10:$A$10000,0)+2,L$1)</f>
        <v>0</v>
      </c>
      <c r="N32" s="61">
        <f>VLOOKUP($C32,'Table S3 Literature Values'!$A$10:$AV$10000,N$1,FALSE)</f>
        <v>93.066666666666663</v>
      </c>
      <c r="O32" s="61">
        <f>INDEX('Table S3 Literature Values'!$A$10:$AV$10000,MATCH($C32,'Table S3 Literature Values'!$A$10:$A$10000,0)+1,O$1)</f>
        <v>5.7500724633115148</v>
      </c>
      <c r="P32" s="63">
        <f>INDEX('Table S3 Literature Values'!$A$10:$AV$10000,MATCH($C32,'Table S3 Literature Values'!$A$10:$A$10000,0)+2,O$1)</f>
        <v>3</v>
      </c>
      <c r="Q32" s="61">
        <f>VLOOKUP($C32,'Table S3 Literature Values'!$A$10:$AV$10000,Q$1,FALSE)</f>
        <v>0</v>
      </c>
      <c r="R32" s="61">
        <f>INDEX('Table S3 Literature Values'!$A$10:$AV$10000,MATCH($C32,'Table S3 Literature Values'!$A$10:$A$10000,0)+1,R$1)</f>
        <v>0</v>
      </c>
      <c r="S32" s="63">
        <f>INDEX('Table S3 Literature Values'!$A$10:$AV$10000,MATCH($C32,'Table S3 Literature Values'!$A$10:$A$10000,0)+2,R$1)</f>
        <v>0</v>
      </c>
      <c r="T32" s="61">
        <f>VLOOKUP($C32,'Table S3 Literature Values'!$A$10:$AV$10000,T$1,FALSE)</f>
        <v>0</v>
      </c>
      <c r="U32" s="61">
        <f>INDEX('Table S3 Literature Values'!$A$10:$AV$10000,MATCH($C32,'Table S3 Literature Values'!$A$10:$A$10000,0)+1,U$1)</f>
        <v>0</v>
      </c>
      <c r="V32" s="63">
        <f>INDEX('Table S3 Literature Values'!$A$10:$AV$10000,MATCH($C32,'Table S3 Literature Values'!$A$10:$A$10000,0)+2,U$1)</f>
        <v>0</v>
      </c>
      <c r="W32" s="61">
        <f>VLOOKUP($C32,'Table S3 Literature Values'!$A$10:$AV$10000,W$1,FALSE)</f>
        <v>10.196734960730311</v>
      </c>
      <c r="X32" s="61">
        <f>INDEX('Table S3 Literature Values'!$A$10:$AV$10000,MATCH($C32,'Table S3 Literature Values'!$A$10:$A$10000,0)+1,X$1)</f>
        <v>0.35717875532112214</v>
      </c>
      <c r="Y32" s="63">
        <f>INDEX('Table S3 Literature Values'!$A$10:$AV$10000,MATCH($C32,'Table S3 Literature Values'!$A$10:$A$10000,0)+2,X$1)</f>
        <v>3</v>
      </c>
      <c r="Z32" s="61">
        <f ca="1">VLOOKUP($C32,'Table S3 Literature Values'!$A$10:$AV$10000,Z$1,FALSE)</f>
        <v>3.7354013998198079</v>
      </c>
      <c r="AA32" s="61">
        <f ca="1">INDEX('Table S3 Literature Values'!$A$10:$AV$10000,MATCH($C32,'Table S3 Literature Values'!$A$10:$A$10000,0)+1,AA$1)</f>
        <v>5.478325049151412E-2</v>
      </c>
      <c r="AB32" s="63">
        <f ca="1">INDEX('Table S3 Literature Values'!$A$10:$AV$10000,MATCH($C32,'Table S3 Literature Values'!$A$10:$A$10000,0)+2,AA$1)</f>
        <v>5</v>
      </c>
      <c r="AC32" s="61">
        <f>VLOOKUP($C32,'Table S3 Literature Values'!$A$10:$AV$10000,AC$1,FALSE)</f>
        <v>0</v>
      </c>
      <c r="AD32" s="61">
        <f>INDEX('Table S3 Literature Values'!$A$10:$AV$10000,MATCH($C32,'Table S3 Literature Values'!$A$10:$A$10000,0)+1,AD$1)</f>
        <v>0</v>
      </c>
      <c r="AE32" s="63">
        <f>INDEX('Table S3 Literature Values'!$A$10:$AV$10000,MATCH($C32,'Table S3 Literature Values'!$A$10:$A$10000,0)+2,AD$1)</f>
        <v>0</v>
      </c>
      <c r="AF32" s="61">
        <f>VLOOKUP($C32,'Table S3 Literature Values'!$A$10:$AV$10000,AF$1,FALSE)</f>
        <v>-3.8968901507926397</v>
      </c>
      <c r="AG32" s="61">
        <f>INDEX('Table S3 Literature Values'!$A$10:$AV$10000,MATCH($C32,'Table S3 Literature Values'!$A$10:$A$10000,0)+1,AG$1)</f>
        <v>0.8017700738440946</v>
      </c>
      <c r="AH32" s="63">
        <f>INDEX('Table S3 Literature Values'!$A$10:$AV$10000,MATCH($C32,'Table S3 Literature Values'!$A$10:$A$10000,0)+2,AG$1)</f>
        <v>5</v>
      </c>
      <c r="AI32" s="61">
        <f ca="1">VLOOKUP($C32,'Table S3 Literature Values'!$A$10:$AV$10000,AI$1,FALSE)</f>
        <v>-1.5157161364205862</v>
      </c>
      <c r="AJ32" s="61">
        <f ca="1">INDEX('Table S3 Literature Values'!$A$10:$AV$10000,MATCH($C32,'Table S3 Literature Values'!$A$10:$A$10000,0)+1,AJ$1)</f>
        <v>0.23853678415206614</v>
      </c>
      <c r="AK32" s="63">
        <f ca="1">INDEX('Table S3 Literature Values'!$A$10:$AV$10000,MATCH($C32,'Table S3 Literature Values'!$A$10:$A$10000,0)+2,AJ$1)</f>
        <v>3</v>
      </c>
      <c r="AL32" s="61">
        <f>VLOOKUP($C32,'Table S3 Literature Values'!$A$10:$AV$10000,AL$1,FALSE)</f>
        <v>0</v>
      </c>
      <c r="AM32" s="61">
        <f>INDEX('Table S3 Literature Values'!$A$10:$AV$10000,MATCH($C32,'Table S3 Literature Values'!$A$10:$A$10000,0)+1,AM$1)</f>
        <v>0</v>
      </c>
      <c r="AN32" s="63">
        <f>INDEX('Table S3 Literature Values'!$A$10:$AV$10000,MATCH($C32,'Table S3 Literature Values'!$A$10:$A$10000,0)+2,AM$1)</f>
        <v>0</v>
      </c>
      <c r="AO32" s="61">
        <f>VLOOKUP($C32,'Table S3 Literature Values'!$A$10:$AV$10000,AO$1,FALSE)</f>
        <v>0</v>
      </c>
      <c r="AP32" s="61">
        <f>INDEX('Table S3 Literature Values'!$A$10:$AV$10000,MATCH($C32,'Table S3 Literature Values'!$A$10:$A$10000,0)+1,AP$1)</f>
        <v>0</v>
      </c>
      <c r="AQ32" s="63">
        <f>INDEX('Table S3 Literature Values'!$A$10:$AV$10000,MATCH($C32,'Table S3 Literature Values'!$A$10:$A$10000,0)+2,AP$1)</f>
        <v>0</v>
      </c>
      <c r="AR32" s="61">
        <f>VLOOKUP($C32,'Table S3 Literature Values'!$A$10:$AV$10000,AR$1,FALSE)</f>
        <v>27</v>
      </c>
      <c r="AS32" s="61">
        <f>INDEX('Table S3 Literature Values'!$A$10:$AV$10000,MATCH($C32,'Table S3 Literature Values'!$A$10:$A$10000,0)+1,AS$1)</f>
        <v>8.1</v>
      </c>
      <c r="AT32" s="63">
        <f>INDEX('Table S3 Literature Values'!$A$10:$AV$10000,MATCH($C32,'Table S3 Literature Values'!$A$10:$A$10000,0)+2,AS$1)</f>
        <v>1</v>
      </c>
    </row>
    <row r="33" spans="1:46">
      <c r="A33" t="str">
        <f>'Table S2 Compound Identifiers'!C38</f>
        <v>OPE</v>
      </c>
      <c r="B33">
        <f>COUNTIF($C$3:C33,"&lt;&gt;"&amp;"")</f>
        <v>31</v>
      </c>
      <c r="C33" t="str">
        <f>IF('Table S2 Compound Identifiers'!B38="","",'Table S2 Compound Identifiers'!B38)</f>
        <v>TPhP</v>
      </c>
      <c r="D33" t="str">
        <f>'Table S2 Compound Identifiers'!D38</f>
        <v>115-86-6</v>
      </c>
      <c r="E33" s="501">
        <f>VLOOKUP(C33,'Table S3 Literature Values'!$A$10:$AV$10000,E$1,FALSE)</f>
        <v>94.320000000000007</v>
      </c>
      <c r="F33" s="61">
        <f>INDEX('Table S3 Literature Values'!$A$10:$AV$10000,MATCH(C33,'Table S3 Literature Values'!$A$10:$A$10000,0)+1,F$1)</f>
        <v>8.6586373061816122</v>
      </c>
      <c r="G33" s="63">
        <f>INDEX('Table S3 Literature Values'!$A$10:$AV$10000,MATCH($C33,'Table S3 Literature Values'!$A$10:$A$10000,0)+2,F$1)</f>
        <v>5</v>
      </c>
      <c r="H33" s="61">
        <f>VLOOKUP($C33,'Table S3 Literature Values'!$A$10:$AV$10000,H$1,FALSE)</f>
        <v>0</v>
      </c>
      <c r="I33" s="61">
        <f>INDEX('Table S3 Literature Values'!$A$10:$AV$10000,MATCH($C33,'Table S3 Literature Values'!$A$10:$A$10000,0)+1,I$1)</f>
        <v>0</v>
      </c>
      <c r="J33" s="63">
        <f>INDEX('Table S3 Literature Values'!$A$10:$AV$10000,MATCH($C33,'Table S3 Literature Values'!$A$10:$A$10000,0)+2,I$1)</f>
        <v>0</v>
      </c>
      <c r="K33" s="61">
        <f>VLOOKUP($C33,'Table S3 Literature Values'!$A$10:$AV$10000,K$1,FALSE)</f>
        <v>0</v>
      </c>
      <c r="L33" s="61">
        <f>INDEX('Table S3 Literature Values'!$A$10:$AV$10000,MATCH($C33,'Table S3 Literature Values'!$A$10:$A$10000,0)+1,L$1)</f>
        <v>0</v>
      </c>
      <c r="M33" s="63">
        <f>INDEX('Table S3 Literature Values'!$A$10:$AV$10000,MATCH($C33,'Table S3 Literature Values'!$A$10:$A$10000,0)+2,L$1)</f>
        <v>0</v>
      </c>
      <c r="N33" s="61">
        <f>VLOOKUP($C33,'Table S3 Literature Values'!$A$10:$AV$10000,N$1,FALSE)</f>
        <v>95.100000000000009</v>
      </c>
      <c r="O33" s="61">
        <f>INDEX('Table S3 Literature Values'!$A$10:$AV$10000,MATCH($C33,'Table S3 Literature Values'!$A$10:$A$10000,0)+1,O$1)</f>
        <v>5.8077534382926403</v>
      </c>
      <c r="P33" s="63">
        <f>INDEX('Table S3 Literature Values'!$A$10:$AV$10000,MATCH($C33,'Table S3 Literature Values'!$A$10:$A$10000,0)+2,O$1)</f>
        <v>3</v>
      </c>
      <c r="Q33" s="61">
        <f>VLOOKUP($C33,'Table S3 Literature Values'!$A$10:$AV$10000,Q$1,FALSE)</f>
        <v>0</v>
      </c>
      <c r="R33" s="61">
        <f>INDEX('Table S3 Literature Values'!$A$10:$AV$10000,MATCH($C33,'Table S3 Literature Values'!$A$10:$A$10000,0)+1,R$1)</f>
        <v>0</v>
      </c>
      <c r="S33" s="63">
        <f>INDEX('Table S3 Literature Values'!$A$10:$AV$10000,MATCH($C33,'Table S3 Literature Values'!$A$10:$A$10000,0)+2,R$1)</f>
        <v>0</v>
      </c>
      <c r="T33" s="61">
        <f>VLOOKUP($C33,'Table S3 Literature Values'!$A$10:$AV$10000,T$1,FALSE)</f>
        <v>0</v>
      </c>
      <c r="U33" s="61">
        <f>INDEX('Table S3 Literature Values'!$A$10:$AV$10000,MATCH($C33,'Table S3 Literature Values'!$A$10:$A$10000,0)+1,U$1)</f>
        <v>0</v>
      </c>
      <c r="V33" s="63">
        <f>INDEX('Table S3 Literature Values'!$A$10:$AV$10000,MATCH($C33,'Table S3 Literature Values'!$A$10:$A$10000,0)+2,U$1)</f>
        <v>0</v>
      </c>
      <c r="W33" s="61">
        <f>VLOOKUP($C33,'Table S3 Literature Values'!$A$10:$AV$10000,W$1,FALSE)</f>
        <v>10.202624059176518</v>
      </c>
      <c r="X33" s="61">
        <f>INDEX('Table S3 Literature Values'!$A$10:$AV$10000,MATCH($C33,'Table S3 Literature Values'!$A$10:$A$10000,0)+1,X$1)</f>
        <v>0.16599464740887165</v>
      </c>
      <c r="Y33" s="63">
        <f>INDEX('Table S3 Literature Values'!$A$10:$AV$10000,MATCH($C33,'Table S3 Literature Values'!$A$10:$A$10000,0)+2,X$1)</f>
        <v>2</v>
      </c>
      <c r="Z33" s="61">
        <f>VLOOKUP($C33,'Table S3 Literature Values'!$A$10:$AV$10000,Z$1,FALSE)</f>
        <v>4.281560068433973</v>
      </c>
      <c r="AA33" s="61">
        <f>INDEX('Table S3 Literature Values'!$A$10:$AV$10000,MATCH($C33,'Table S3 Literature Values'!$A$10:$A$10000,0)+1,AA$1)</f>
        <v>0.75778339429101471</v>
      </c>
      <c r="AB33" s="63">
        <f>INDEX('Table S3 Literature Values'!$A$10:$AV$10000,MATCH($C33,'Table S3 Literature Values'!$A$10:$A$10000,0)+2,AA$1)</f>
        <v>4</v>
      </c>
      <c r="AC33" s="61">
        <f>VLOOKUP($C33,'Table S3 Literature Values'!$A$10:$AV$10000,AC$1,FALSE)</f>
        <v>0</v>
      </c>
      <c r="AD33" s="61">
        <f>INDEX('Table S3 Literature Values'!$A$10:$AV$10000,MATCH($C33,'Table S3 Literature Values'!$A$10:$A$10000,0)+1,AD$1)</f>
        <v>0</v>
      </c>
      <c r="AE33" s="63">
        <f>INDEX('Table S3 Literature Values'!$A$10:$AV$10000,MATCH($C33,'Table S3 Literature Values'!$A$10:$A$10000,0)+2,AD$1)</f>
        <v>0</v>
      </c>
      <c r="AF33" s="61">
        <f>VLOOKUP($C33,'Table S3 Literature Values'!$A$10:$AV$10000,AF$1,FALSE)</f>
        <v>-3.6388660479834938</v>
      </c>
      <c r="AG33" s="61">
        <f>INDEX('Table S3 Literature Values'!$A$10:$AV$10000,MATCH($C33,'Table S3 Literature Values'!$A$10:$A$10000,0)+1,AG$1)</f>
        <v>0.42628200846392272</v>
      </c>
      <c r="AH33" s="63">
        <f>INDEX('Table S3 Literature Values'!$A$10:$AV$10000,MATCH($C33,'Table S3 Literature Values'!$A$10:$A$10000,0)+2,AG$1)</f>
        <v>5</v>
      </c>
      <c r="AI33" s="61">
        <f ca="1">VLOOKUP($C33,'Table S3 Literature Values'!$A$10:$AV$10000,AI$1,FALSE)</f>
        <v>-2.3752720246754775</v>
      </c>
      <c r="AJ33" s="61">
        <f ca="1">INDEX('Table S3 Literature Values'!$A$10:$AV$10000,MATCH($C33,'Table S3 Literature Values'!$A$10:$A$10000,0)+1,AJ$1)</f>
        <v>0.18822354636508534</v>
      </c>
      <c r="AK33" s="63">
        <f ca="1">INDEX('Table S3 Literature Values'!$A$10:$AV$10000,MATCH($C33,'Table S3 Literature Values'!$A$10:$A$10000,0)+2,AJ$1)</f>
        <v>4</v>
      </c>
      <c r="AL33" s="61">
        <f>VLOOKUP($C33,'Table S3 Literature Values'!$A$10:$AV$10000,AL$1,FALSE)</f>
        <v>0</v>
      </c>
      <c r="AM33" s="61">
        <f>INDEX('Table S3 Literature Values'!$A$10:$AV$10000,MATCH($C33,'Table S3 Literature Values'!$A$10:$A$10000,0)+1,AM$1)</f>
        <v>0</v>
      </c>
      <c r="AN33" s="63">
        <f>INDEX('Table S3 Literature Values'!$A$10:$AV$10000,MATCH($C33,'Table S3 Literature Values'!$A$10:$A$10000,0)+2,AM$1)</f>
        <v>0</v>
      </c>
      <c r="AO33" s="61">
        <f>VLOOKUP($C33,'Table S3 Literature Values'!$A$10:$AV$10000,AO$1,FALSE)</f>
        <v>91.84</v>
      </c>
      <c r="AP33" s="61">
        <f>INDEX('Table S3 Literature Values'!$A$10:$AV$10000,MATCH($C33,'Table S3 Literature Values'!$A$10:$A$10000,0)+1,AP$1)</f>
        <v>7.2387944533560509</v>
      </c>
      <c r="AQ33" s="63">
        <f>INDEX('Table S3 Literature Values'!$A$10:$AV$10000,MATCH($C33,'Table S3 Literature Values'!$A$10:$A$10000,0)+2,AP$1)</f>
        <v>1</v>
      </c>
      <c r="AR33" s="61">
        <f>VLOOKUP($C33,'Table S3 Literature Values'!$A$10:$AV$10000,AR$1,FALSE)</f>
        <v>49.708333333333336</v>
      </c>
      <c r="AS33" s="61">
        <f>INDEX('Table S3 Literature Values'!$A$10:$AV$10000,MATCH($C33,'Table S3 Literature Values'!$A$10:$A$10000,0)+1,AS$1)</f>
        <v>0.6003471218109292</v>
      </c>
      <c r="AT33" s="63">
        <f>INDEX('Table S3 Literature Values'!$A$10:$AV$10000,MATCH($C33,'Table S3 Literature Values'!$A$10:$A$10000,0)+2,AS$1)</f>
        <v>7</v>
      </c>
    </row>
    <row r="34" spans="1:46">
      <c r="A34" t="str">
        <f>'Table S2 Compound Identifiers'!C39</f>
        <v>OPE</v>
      </c>
      <c r="B34">
        <f>COUNTIF($C$3:C34,"&lt;&gt;"&amp;"")</f>
        <v>32</v>
      </c>
      <c r="C34" t="str">
        <f>IF('Table S2 Compound Identifiers'!B39="","",'Table S2 Compound Identifiers'!B39)</f>
        <v>TmCP</v>
      </c>
      <c r="D34" t="str">
        <f>'Table S2 Compound Identifiers'!D39</f>
        <v>563-04-2</v>
      </c>
      <c r="E34" s="501">
        <f>VLOOKUP(C34,'Table S3 Literature Values'!$A$10:$AV$10000,E$1,FALSE)</f>
        <v>109.58571428571429</v>
      </c>
      <c r="F34" s="61">
        <f>INDEX('Table S3 Literature Values'!$A$10:$AV$10000,MATCH(C34,'Table S3 Literature Values'!$A$10:$A$10000,0)+1,F$1)</f>
        <v>7.9982140863713171</v>
      </c>
      <c r="G34" s="63">
        <f>INDEX('Table S3 Literature Values'!$A$10:$AV$10000,MATCH($C34,'Table S3 Literature Values'!$A$10:$A$10000,0)+2,F$1)</f>
        <v>6</v>
      </c>
      <c r="H34" s="61">
        <f>VLOOKUP($C34,'Table S3 Literature Values'!$A$10:$AV$10000,H$1,FALSE)</f>
        <v>0</v>
      </c>
      <c r="I34" s="61">
        <f>INDEX('Table S3 Literature Values'!$A$10:$AV$10000,MATCH($C34,'Table S3 Literature Values'!$A$10:$A$10000,0)+1,I$1)</f>
        <v>0</v>
      </c>
      <c r="J34" s="63">
        <f>INDEX('Table S3 Literature Values'!$A$10:$AV$10000,MATCH($C34,'Table S3 Literature Values'!$A$10:$A$10000,0)+2,I$1)</f>
        <v>0</v>
      </c>
      <c r="K34" s="61">
        <f>VLOOKUP($C34,'Table S3 Literature Values'!$A$10:$AV$10000,K$1,FALSE)</f>
        <v>0</v>
      </c>
      <c r="L34" s="61">
        <f>INDEX('Table S3 Literature Values'!$A$10:$AV$10000,MATCH($C34,'Table S3 Literature Values'!$A$10:$A$10000,0)+1,L$1)</f>
        <v>0</v>
      </c>
      <c r="M34" s="63">
        <f>INDEX('Table S3 Literature Values'!$A$10:$AV$10000,MATCH($C34,'Table S3 Literature Values'!$A$10:$A$10000,0)+2,L$1)</f>
        <v>0</v>
      </c>
      <c r="N34" s="61">
        <f>VLOOKUP($C34,'Table S3 Literature Values'!$A$10:$AV$10000,N$1,FALSE)</f>
        <v>102</v>
      </c>
      <c r="O34" s="61">
        <f>INDEX('Table S3 Literature Values'!$A$10:$AV$10000,MATCH($C34,'Table S3 Literature Values'!$A$10:$A$10000,0)+1,O$1)</f>
        <v>6.4625245455885869</v>
      </c>
      <c r="P34" s="63">
        <f>INDEX('Table S3 Literature Values'!$A$10:$AV$10000,MATCH($C34,'Table S3 Literature Values'!$A$10:$A$10000,0)+2,O$1)</f>
        <v>1</v>
      </c>
      <c r="Q34" s="61">
        <f>VLOOKUP($C34,'Table S3 Literature Values'!$A$10:$AV$10000,Q$1,FALSE)</f>
        <v>0</v>
      </c>
      <c r="R34" s="61">
        <f>INDEX('Table S3 Literature Values'!$A$10:$AV$10000,MATCH($C34,'Table S3 Literature Values'!$A$10:$A$10000,0)+1,R$1)</f>
        <v>0</v>
      </c>
      <c r="S34" s="63">
        <f>INDEX('Table S3 Literature Values'!$A$10:$AV$10000,MATCH($C34,'Table S3 Literature Values'!$A$10:$A$10000,0)+2,R$1)</f>
        <v>0</v>
      </c>
      <c r="T34" s="61">
        <f>VLOOKUP($C34,'Table S3 Literature Values'!$A$10:$AV$10000,T$1,FALSE)</f>
        <v>0</v>
      </c>
      <c r="U34" s="61">
        <f>INDEX('Table S3 Literature Values'!$A$10:$AV$10000,MATCH($C34,'Table S3 Literature Values'!$A$10:$A$10000,0)+1,U$1)</f>
        <v>0</v>
      </c>
      <c r="V34" s="63">
        <f>INDEX('Table S3 Literature Values'!$A$10:$AV$10000,MATCH($C34,'Table S3 Literature Values'!$A$10:$A$10000,0)+2,U$1)</f>
        <v>0</v>
      </c>
      <c r="W34" s="61">
        <f>VLOOKUP($C34,'Table S3 Literature Values'!$A$10:$AV$10000,W$1,FALSE)</f>
        <v>11.064474887288533</v>
      </c>
      <c r="X34" s="61">
        <f>INDEX('Table S3 Literature Values'!$A$10:$AV$10000,MATCH($C34,'Table S3 Literature Values'!$A$10:$A$10000,0)+1,X$1)</f>
        <v>0.28488608664306192</v>
      </c>
      <c r="Y34" s="63">
        <f>INDEX('Table S3 Literature Values'!$A$10:$AV$10000,MATCH($C34,'Table S3 Literature Values'!$A$10:$A$10000,0)+2,X$1)</f>
        <v>1</v>
      </c>
      <c r="Z34" s="61">
        <f>VLOOKUP($C34,'Table S3 Literature Values'!$A$10:$AV$10000,Z$1,FALSE)</f>
        <v>0</v>
      </c>
      <c r="AA34" s="61">
        <f>INDEX('Table S3 Literature Values'!$A$10:$AV$10000,MATCH($C34,'Table S3 Literature Values'!$A$10:$A$10000,0)+1,AA$1)</f>
        <v>0</v>
      </c>
      <c r="AB34" s="63">
        <f>INDEX('Table S3 Literature Values'!$A$10:$AV$10000,MATCH($C34,'Table S3 Literature Values'!$A$10:$A$10000,0)+2,AA$1)</f>
        <v>0</v>
      </c>
      <c r="AC34" s="61">
        <f>VLOOKUP($C34,'Table S3 Literature Values'!$A$10:$AV$10000,AC$1,FALSE)</f>
        <v>0</v>
      </c>
      <c r="AD34" s="61">
        <f>INDEX('Table S3 Literature Values'!$A$10:$AV$10000,MATCH($C34,'Table S3 Literature Values'!$A$10:$A$10000,0)+1,AD$1)</f>
        <v>0</v>
      </c>
      <c r="AE34" s="63">
        <f>INDEX('Table S3 Literature Values'!$A$10:$AV$10000,MATCH($C34,'Table S3 Literature Values'!$A$10:$A$10000,0)+2,AD$1)</f>
        <v>0</v>
      </c>
      <c r="AF34" s="61">
        <f>VLOOKUP($C34,'Table S3 Literature Values'!$A$10:$AV$10000,AF$1,FALSE)</f>
        <v>-4.9827157586780739</v>
      </c>
      <c r="AG34" s="61">
        <f>INDEX('Table S3 Literature Values'!$A$10:$AV$10000,MATCH($C34,'Table S3 Literature Values'!$A$10:$A$10000,0)+1,AG$1)</f>
        <v>0.66020783020185903</v>
      </c>
      <c r="AH34" s="63">
        <f>INDEX('Table S3 Literature Values'!$A$10:$AV$10000,MATCH($C34,'Table S3 Literature Values'!$A$10:$A$10000,0)+2,AG$1)</f>
        <v>3</v>
      </c>
      <c r="AI34" s="61">
        <f>VLOOKUP($C34,'Table S3 Literature Values'!$A$10:$AV$10000,AI$1,FALSE)</f>
        <v>0</v>
      </c>
      <c r="AJ34" s="61">
        <f>INDEX('Table S3 Literature Values'!$A$10:$AV$10000,MATCH($C34,'Table S3 Literature Values'!$A$10:$A$10000,0)+1,AJ$1)</f>
        <v>0</v>
      </c>
      <c r="AK34" s="63">
        <f>INDEX('Table S3 Literature Values'!$A$10:$AV$10000,MATCH($C34,'Table S3 Literature Values'!$A$10:$A$10000,0)+2,AJ$1)</f>
        <v>0</v>
      </c>
      <c r="AL34" s="61">
        <f>VLOOKUP($C34,'Table S3 Literature Values'!$A$10:$AV$10000,AL$1,FALSE)</f>
        <v>0</v>
      </c>
      <c r="AM34" s="61">
        <f>INDEX('Table S3 Literature Values'!$A$10:$AV$10000,MATCH($C34,'Table S3 Literature Values'!$A$10:$A$10000,0)+1,AM$1)</f>
        <v>0</v>
      </c>
      <c r="AN34" s="63">
        <f>INDEX('Table S3 Literature Values'!$A$10:$AV$10000,MATCH($C34,'Table S3 Literature Values'!$A$10:$A$10000,0)+2,AM$1)</f>
        <v>0</v>
      </c>
      <c r="AO34" s="61">
        <f>VLOOKUP($C34,'Table S3 Literature Values'!$A$10:$AV$10000,AO$1,FALSE)</f>
        <v>0</v>
      </c>
      <c r="AP34" s="61">
        <f>INDEX('Table S3 Literature Values'!$A$10:$AV$10000,MATCH($C34,'Table S3 Literature Values'!$A$10:$A$10000,0)+1,AP$1)</f>
        <v>0</v>
      </c>
      <c r="AQ34" s="63">
        <f>INDEX('Table S3 Literature Values'!$A$10:$AV$10000,MATCH($C34,'Table S3 Literature Values'!$A$10:$A$10000,0)+2,AP$1)</f>
        <v>0</v>
      </c>
      <c r="AR34" s="61">
        <f>VLOOKUP($C34,'Table S3 Literature Values'!$A$10:$AV$10000,AR$1,FALSE)</f>
        <v>25.5</v>
      </c>
      <c r="AS34" s="61">
        <f>INDEX('Table S3 Literature Values'!$A$10:$AV$10000,MATCH($C34,'Table S3 Literature Values'!$A$10:$A$10000,0)+1,AS$1)</f>
        <v>1.1772257883074695</v>
      </c>
      <c r="AT34" s="63">
        <f>INDEX('Table S3 Literature Values'!$A$10:$AV$10000,MATCH($C34,'Table S3 Literature Values'!$A$10:$A$10000,0)+2,AS$1)</f>
        <v>1</v>
      </c>
    </row>
    <row r="35" spans="1:46">
      <c r="A35" t="str">
        <f>'Table S2 Compound Identifiers'!C40</f>
        <v>OPE</v>
      </c>
      <c r="B35">
        <f>COUNTIF($C$3:C35,"&lt;&gt;"&amp;"")</f>
        <v>33</v>
      </c>
      <c r="C35" t="str">
        <f>IF('Table S2 Compound Identifiers'!B40="","",'Table S2 Compound Identifiers'!B40)</f>
        <v>ToCP</v>
      </c>
      <c r="D35" t="str">
        <f>'Table S2 Compound Identifiers'!D40</f>
        <v>78-30-8</v>
      </c>
      <c r="E35" s="501">
        <f>VLOOKUP(C35,'Table S3 Literature Values'!$A$10:$AV$10000,E$1,FALSE)</f>
        <v>96.174999999999997</v>
      </c>
      <c r="F35" s="61">
        <f>INDEX('Table S3 Literature Values'!$A$10:$AV$10000,MATCH(C35,'Table S3 Literature Values'!$A$10:$A$10000,0)+1,F$1)</f>
        <v>7.2168783648703219</v>
      </c>
      <c r="G35" s="63">
        <f>INDEX('Table S3 Literature Values'!$A$10:$AV$10000,MATCH($C35,'Table S3 Literature Values'!$A$10:$A$10000,0)+2,F$1)</f>
        <v>3</v>
      </c>
      <c r="H35" s="61">
        <f>VLOOKUP($C35,'Table S3 Literature Values'!$A$10:$AV$10000,H$1,FALSE)</f>
        <v>0</v>
      </c>
      <c r="I35" s="61">
        <f>INDEX('Table S3 Literature Values'!$A$10:$AV$10000,MATCH($C35,'Table S3 Literature Values'!$A$10:$A$10000,0)+1,I$1)</f>
        <v>0</v>
      </c>
      <c r="J35" s="63">
        <f>INDEX('Table S3 Literature Values'!$A$10:$AV$10000,MATCH($C35,'Table S3 Literature Values'!$A$10:$A$10000,0)+2,I$1)</f>
        <v>0</v>
      </c>
      <c r="K35" s="61">
        <f>VLOOKUP($C35,'Table S3 Literature Values'!$A$10:$AV$10000,K$1,FALSE)</f>
        <v>0</v>
      </c>
      <c r="L35" s="61">
        <f>INDEX('Table S3 Literature Values'!$A$10:$AV$10000,MATCH($C35,'Table S3 Literature Values'!$A$10:$A$10000,0)+1,L$1)</f>
        <v>0</v>
      </c>
      <c r="M35" s="63">
        <f>INDEX('Table S3 Literature Values'!$A$10:$AV$10000,MATCH($C35,'Table S3 Literature Values'!$A$10:$A$10000,0)+2,L$1)</f>
        <v>0</v>
      </c>
      <c r="N35" s="61">
        <f>VLOOKUP($C35,'Table S3 Literature Values'!$A$10:$AV$10000,N$1,FALSE)</f>
        <v>97.9</v>
      </c>
      <c r="O35" s="61">
        <f>INDEX('Table S3 Literature Values'!$A$10:$AV$10000,MATCH($C35,'Table S3 Literature Values'!$A$10:$A$10000,0)+1,O$1)</f>
        <v>6.2027564020894381</v>
      </c>
      <c r="P35" s="63">
        <f>INDEX('Table S3 Literature Values'!$A$10:$AV$10000,MATCH($C35,'Table S3 Literature Values'!$A$10:$A$10000,0)+2,O$1)</f>
        <v>1</v>
      </c>
      <c r="Q35" s="61">
        <f>VLOOKUP($C35,'Table S3 Literature Values'!$A$10:$AV$10000,Q$1,FALSE)</f>
        <v>0</v>
      </c>
      <c r="R35" s="61">
        <f>INDEX('Table S3 Literature Values'!$A$10:$AV$10000,MATCH($C35,'Table S3 Literature Values'!$A$10:$A$10000,0)+1,R$1)</f>
        <v>0</v>
      </c>
      <c r="S35" s="63">
        <f>INDEX('Table S3 Literature Values'!$A$10:$AV$10000,MATCH($C35,'Table S3 Literature Values'!$A$10:$A$10000,0)+2,R$1)</f>
        <v>0</v>
      </c>
      <c r="T35" s="61">
        <f>VLOOKUP($C35,'Table S3 Literature Values'!$A$10:$AV$10000,T$1,FALSE)</f>
        <v>0</v>
      </c>
      <c r="U35" s="61">
        <f>INDEX('Table S3 Literature Values'!$A$10:$AV$10000,MATCH($C35,'Table S3 Literature Values'!$A$10:$A$10000,0)+1,U$1)</f>
        <v>0</v>
      </c>
      <c r="V35" s="63">
        <f>INDEX('Table S3 Literature Values'!$A$10:$AV$10000,MATCH($C35,'Table S3 Literature Values'!$A$10:$A$10000,0)+2,U$1)</f>
        <v>0</v>
      </c>
      <c r="W35" s="61">
        <f>VLOOKUP($C35,'Table S3 Literature Values'!$A$10:$AV$10000,W$1,FALSE)</f>
        <v>10.720407474148484</v>
      </c>
      <c r="X35" s="61">
        <f>INDEX('Table S3 Literature Values'!$A$10:$AV$10000,MATCH($C35,'Table S3 Literature Values'!$A$10:$A$10000,0)+1,X$1)</f>
        <v>0.27602710147933929</v>
      </c>
      <c r="Y35" s="63">
        <f>INDEX('Table S3 Literature Values'!$A$10:$AV$10000,MATCH($C35,'Table S3 Literature Values'!$A$10:$A$10000,0)+2,X$1)</f>
        <v>1</v>
      </c>
      <c r="Z35" s="61">
        <f>VLOOKUP($C35,'Table S3 Literature Values'!$A$10:$AV$10000,Z$1,FALSE)</f>
        <v>0</v>
      </c>
      <c r="AA35" s="61">
        <f>INDEX('Table S3 Literature Values'!$A$10:$AV$10000,MATCH($C35,'Table S3 Literature Values'!$A$10:$A$10000,0)+1,AA$1)</f>
        <v>0</v>
      </c>
      <c r="AB35" s="63">
        <f>INDEX('Table S3 Literature Values'!$A$10:$AV$10000,MATCH($C35,'Table S3 Literature Values'!$A$10:$A$10000,0)+2,AA$1)</f>
        <v>0</v>
      </c>
      <c r="AC35" s="61">
        <f>VLOOKUP($C35,'Table S3 Literature Values'!$A$10:$AV$10000,AC$1,FALSE)</f>
        <v>0</v>
      </c>
      <c r="AD35" s="61">
        <f>INDEX('Table S3 Literature Values'!$A$10:$AV$10000,MATCH($C35,'Table S3 Literature Values'!$A$10:$A$10000,0)+1,AD$1)</f>
        <v>0</v>
      </c>
      <c r="AE35" s="63">
        <f>INDEX('Table S3 Literature Values'!$A$10:$AV$10000,MATCH($C35,'Table S3 Literature Values'!$A$10:$A$10000,0)+2,AD$1)</f>
        <v>0</v>
      </c>
      <c r="AF35" s="61">
        <f>VLOOKUP($C35,'Table S3 Literature Values'!$A$10:$AV$10000,AF$1,FALSE)</f>
        <v>-4.0295295311185804</v>
      </c>
      <c r="AG35" s="61">
        <f>INDEX('Table S3 Literature Values'!$A$10:$AV$10000,MATCH($C35,'Table S3 Literature Values'!$A$10:$A$10000,0)+1,AG$1)</f>
        <v>0.33620127189764476</v>
      </c>
      <c r="AH35" s="63">
        <f>INDEX('Table S3 Literature Values'!$A$10:$AV$10000,MATCH($C35,'Table S3 Literature Values'!$A$10:$A$10000,0)+2,AG$1)</f>
        <v>3</v>
      </c>
      <c r="AI35" s="61">
        <f ca="1">VLOOKUP($C35,'Table S3 Literature Values'!$A$10:$AV$10000,AI$1,FALSE)</f>
        <v>-2.1255891224464589</v>
      </c>
      <c r="AJ35" s="61">
        <f ca="1">INDEX('Table S3 Literature Values'!$A$10:$AV$10000,MATCH($C35,'Table S3 Literature Values'!$A$10:$A$10000,0)+1,AJ$1)</f>
        <v>0.63767673673393765</v>
      </c>
      <c r="AK35" s="63">
        <f ca="1">INDEX('Table S3 Literature Values'!$A$10:$AV$10000,MATCH($C35,'Table S3 Literature Values'!$A$10:$A$10000,0)+2,AJ$1)</f>
        <v>1</v>
      </c>
      <c r="AL35" s="61">
        <f>VLOOKUP($C35,'Table S3 Literature Values'!$A$10:$AV$10000,AL$1,FALSE)</f>
        <v>0</v>
      </c>
      <c r="AM35" s="61">
        <f>INDEX('Table S3 Literature Values'!$A$10:$AV$10000,MATCH($C35,'Table S3 Literature Values'!$A$10:$A$10000,0)+1,AM$1)</f>
        <v>0</v>
      </c>
      <c r="AN35" s="63">
        <f>INDEX('Table S3 Literature Values'!$A$10:$AV$10000,MATCH($C35,'Table S3 Literature Values'!$A$10:$A$10000,0)+2,AM$1)</f>
        <v>0</v>
      </c>
      <c r="AO35" s="61">
        <f>VLOOKUP($C35,'Table S3 Literature Values'!$A$10:$AV$10000,AO$1,FALSE)</f>
        <v>0</v>
      </c>
      <c r="AP35" s="61">
        <f>INDEX('Table S3 Literature Values'!$A$10:$AV$10000,MATCH($C35,'Table S3 Literature Values'!$A$10:$A$10000,0)+1,AP$1)</f>
        <v>0</v>
      </c>
      <c r="AQ35" s="63">
        <f>INDEX('Table S3 Literature Values'!$A$10:$AV$10000,MATCH($C35,'Table S3 Literature Values'!$A$10:$A$10000,0)+2,AP$1)</f>
        <v>0</v>
      </c>
      <c r="AR35" s="61">
        <f>VLOOKUP($C35,'Table S3 Literature Values'!$A$10:$AV$10000,AR$1,FALSE)</f>
        <v>-10.95</v>
      </c>
      <c r="AS35" s="61">
        <f>INDEX('Table S3 Literature Values'!$A$10:$AV$10000,MATCH($C35,'Table S3 Literature Values'!$A$10:$A$10000,0)+1,AS$1)</f>
        <v>0.50551460321438391</v>
      </c>
      <c r="AT35" s="63">
        <f>INDEX('Table S3 Literature Values'!$A$10:$AV$10000,MATCH($C35,'Table S3 Literature Values'!$A$10:$A$10000,0)+2,AS$1)</f>
        <v>1</v>
      </c>
    </row>
    <row r="36" spans="1:46">
      <c r="A36" t="str">
        <f>'Table S2 Compound Identifiers'!C41</f>
        <v>OPE</v>
      </c>
      <c r="B36">
        <f>COUNTIF($C$3:C36,"&lt;&gt;"&amp;"")</f>
        <v>34</v>
      </c>
      <c r="C36" t="str">
        <f>IF('Table S2 Compound Identifiers'!B41="","",'Table S2 Compound Identifiers'!B41)</f>
        <v>TpCP</v>
      </c>
      <c r="D36" t="str">
        <f>'Table S2 Compound Identifiers'!D41</f>
        <v>78-32-0</v>
      </c>
      <c r="E36" s="501">
        <f>VLOOKUP(C36,'Table S3 Literature Values'!$A$10:$AV$10000,E$1,FALSE)</f>
        <v>107.25</v>
      </c>
      <c r="F36" s="61">
        <f>INDEX('Table S3 Literature Values'!$A$10:$AV$10000,MATCH(C36,'Table S3 Literature Values'!$A$10:$A$10000,0)+1,F$1)</f>
        <v>4.1154181642533825</v>
      </c>
      <c r="G36" s="63">
        <f>INDEX('Table S3 Literature Values'!$A$10:$AV$10000,MATCH($C36,'Table S3 Literature Values'!$A$10:$A$10000,0)+2,F$1)</f>
        <v>4</v>
      </c>
      <c r="H36" s="61">
        <f>VLOOKUP($C36,'Table S3 Literature Values'!$A$10:$AV$10000,H$1,FALSE)</f>
        <v>0</v>
      </c>
      <c r="I36" s="61">
        <f>INDEX('Table S3 Literature Values'!$A$10:$AV$10000,MATCH($C36,'Table S3 Literature Values'!$A$10:$A$10000,0)+1,I$1)</f>
        <v>0</v>
      </c>
      <c r="J36" s="63">
        <f>INDEX('Table S3 Literature Values'!$A$10:$AV$10000,MATCH($C36,'Table S3 Literature Values'!$A$10:$A$10000,0)+2,I$1)</f>
        <v>0</v>
      </c>
      <c r="K36" s="61">
        <f>VLOOKUP($C36,'Table S3 Literature Values'!$A$10:$AV$10000,K$1,FALSE)</f>
        <v>0</v>
      </c>
      <c r="L36" s="61">
        <f>INDEX('Table S3 Literature Values'!$A$10:$AV$10000,MATCH($C36,'Table S3 Literature Values'!$A$10:$A$10000,0)+1,L$1)</f>
        <v>0</v>
      </c>
      <c r="M36" s="63">
        <f>INDEX('Table S3 Literature Values'!$A$10:$AV$10000,MATCH($C36,'Table S3 Literature Values'!$A$10:$A$10000,0)+2,L$1)</f>
        <v>0</v>
      </c>
      <c r="N36" s="61">
        <f>VLOOKUP($C36,'Table S3 Literature Values'!$A$10:$AV$10000,N$1,FALSE)</f>
        <v>104</v>
      </c>
      <c r="O36" s="61">
        <f>INDEX('Table S3 Literature Values'!$A$10:$AV$10000,MATCH($C36,'Table S3 Literature Values'!$A$10:$A$10000,0)+1,O$1)</f>
        <v>6.5892407131491479</v>
      </c>
      <c r="P36" s="63">
        <f>INDEX('Table S3 Literature Values'!$A$10:$AV$10000,MATCH($C36,'Table S3 Literature Values'!$A$10:$A$10000,0)+2,O$1)</f>
        <v>1</v>
      </c>
      <c r="Q36" s="61">
        <f>VLOOKUP($C36,'Table S3 Literature Values'!$A$10:$AV$10000,Q$1,FALSE)</f>
        <v>0</v>
      </c>
      <c r="R36" s="61">
        <f>INDEX('Table S3 Literature Values'!$A$10:$AV$10000,MATCH($C36,'Table S3 Literature Values'!$A$10:$A$10000,0)+1,R$1)</f>
        <v>0</v>
      </c>
      <c r="S36" s="63">
        <f>INDEX('Table S3 Literature Values'!$A$10:$AV$10000,MATCH($C36,'Table S3 Literature Values'!$A$10:$A$10000,0)+2,R$1)</f>
        <v>0</v>
      </c>
      <c r="T36" s="61">
        <f>VLOOKUP($C36,'Table S3 Literature Values'!$A$10:$AV$10000,T$1,FALSE)</f>
        <v>0</v>
      </c>
      <c r="U36" s="61">
        <f>INDEX('Table S3 Literature Values'!$A$10:$AV$10000,MATCH($C36,'Table S3 Literature Values'!$A$10:$A$10000,0)+1,U$1)</f>
        <v>0</v>
      </c>
      <c r="V36" s="63">
        <f>INDEX('Table S3 Literature Values'!$A$10:$AV$10000,MATCH($C36,'Table S3 Literature Values'!$A$10:$A$10000,0)+2,U$1)</f>
        <v>0</v>
      </c>
      <c r="W36" s="61">
        <f>VLOOKUP($C36,'Table S3 Literature Values'!$A$10:$AV$10000,W$1,FALSE)</f>
        <v>11.296948484835518</v>
      </c>
      <c r="X36" s="61">
        <f>INDEX('Table S3 Literature Values'!$A$10:$AV$10000,MATCH($C36,'Table S3 Literature Values'!$A$10:$A$10000,0)+1,X$1)</f>
        <v>0.29087177454308882</v>
      </c>
      <c r="Y36" s="63">
        <f>INDEX('Table S3 Literature Values'!$A$10:$AV$10000,MATCH($C36,'Table S3 Literature Values'!$A$10:$A$10000,0)+2,X$1)</f>
        <v>1</v>
      </c>
      <c r="Z36" s="61">
        <f>VLOOKUP($C36,'Table S3 Literature Values'!$A$10:$AV$10000,Z$1,FALSE)</f>
        <v>0</v>
      </c>
      <c r="AA36" s="61">
        <f>INDEX('Table S3 Literature Values'!$A$10:$AV$10000,MATCH($C36,'Table S3 Literature Values'!$A$10:$A$10000,0)+1,AA$1)</f>
        <v>0</v>
      </c>
      <c r="AB36" s="63">
        <f>INDEX('Table S3 Literature Values'!$A$10:$AV$10000,MATCH($C36,'Table S3 Literature Values'!$A$10:$A$10000,0)+2,AA$1)</f>
        <v>0</v>
      </c>
      <c r="AC36" s="61">
        <f>VLOOKUP($C36,'Table S3 Literature Values'!$A$10:$AV$10000,AC$1,FALSE)</f>
        <v>0</v>
      </c>
      <c r="AD36" s="61">
        <f>INDEX('Table S3 Literature Values'!$A$10:$AV$10000,MATCH($C36,'Table S3 Literature Values'!$A$10:$A$10000,0)+1,AD$1)</f>
        <v>0</v>
      </c>
      <c r="AE36" s="63">
        <f>INDEX('Table S3 Literature Values'!$A$10:$AV$10000,MATCH($C36,'Table S3 Literature Values'!$A$10:$A$10000,0)+2,AD$1)</f>
        <v>0</v>
      </c>
      <c r="AF36" s="61">
        <f>VLOOKUP($C36,'Table S3 Literature Values'!$A$10:$AV$10000,AF$1,FALSE)</f>
        <v>-4.8811502522142618</v>
      </c>
      <c r="AG36" s="61">
        <f>INDEX('Table S3 Literature Values'!$A$10:$AV$10000,MATCH($C36,'Table S3 Literature Values'!$A$10:$A$10000,0)+1,AG$1)</f>
        <v>0.52309835760605849</v>
      </c>
      <c r="AH36" s="63">
        <f>INDEX('Table S3 Literature Values'!$A$10:$AV$10000,MATCH($C36,'Table S3 Literature Values'!$A$10:$A$10000,0)+2,AG$1)</f>
        <v>4</v>
      </c>
      <c r="AI36" s="61">
        <f>VLOOKUP($C36,'Table S3 Literature Values'!$A$10:$AV$10000,AI$1,FALSE)</f>
        <v>-3.6970513553893394</v>
      </c>
      <c r="AJ36" s="61">
        <f>INDEX('Table S3 Literature Values'!$A$10:$AV$10000,MATCH($C36,'Table S3 Literature Values'!$A$10:$A$10000,0)+1,AJ$1)</f>
        <v>1.1091154066168019</v>
      </c>
      <c r="AK36" s="63">
        <f>INDEX('Table S3 Literature Values'!$A$10:$AV$10000,MATCH($C36,'Table S3 Literature Values'!$A$10:$A$10000,0)+2,AJ$1)</f>
        <v>1</v>
      </c>
      <c r="AL36" s="61">
        <f>VLOOKUP($C36,'Table S3 Literature Values'!$A$10:$AV$10000,AL$1,FALSE)</f>
        <v>0</v>
      </c>
      <c r="AM36" s="61">
        <f>INDEX('Table S3 Literature Values'!$A$10:$AV$10000,MATCH($C36,'Table S3 Literature Values'!$A$10:$A$10000,0)+1,AM$1)</f>
        <v>0</v>
      </c>
      <c r="AN36" s="63">
        <f>INDEX('Table S3 Literature Values'!$A$10:$AV$10000,MATCH($C36,'Table S3 Literature Values'!$A$10:$A$10000,0)+2,AM$1)</f>
        <v>0</v>
      </c>
      <c r="AO36" s="61">
        <f>VLOOKUP($C36,'Table S3 Literature Values'!$A$10:$AV$10000,AO$1,FALSE)</f>
        <v>0</v>
      </c>
      <c r="AP36" s="61">
        <f>INDEX('Table S3 Literature Values'!$A$10:$AV$10000,MATCH($C36,'Table S3 Literature Values'!$A$10:$A$10000,0)+1,AP$1)</f>
        <v>0</v>
      </c>
      <c r="AQ36" s="63">
        <f>INDEX('Table S3 Literature Values'!$A$10:$AV$10000,MATCH($C36,'Table S3 Literature Values'!$A$10:$A$10000,0)+2,AP$1)</f>
        <v>0</v>
      </c>
      <c r="AR36" s="61">
        <f>VLOOKUP($C36,'Table S3 Literature Values'!$A$10:$AV$10000,AR$1,FALSE)</f>
        <v>76.875</v>
      </c>
      <c r="AS36" s="61">
        <f>INDEX('Table S3 Literature Values'!$A$10:$AV$10000,MATCH($C36,'Table S3 Literature Values'!$A$10:$A$10000,0)+1,AS$1)</f>
        <v>0.62915286960589578</v>
      </c>
      <c r="AT36" s="63">
        <f>INDEX('Table S3 Literature Values'!$A$10:$AV$10000,MATCH($C36,'Table S3 Literature Values'!$A$10:$A$10000,0)+2,AS$1)</f>
        <v>2</v>
      </c>
    </row>
    <row r="37" spans="1:46">
      <c r="A37" t="str">
        <f>'Table S2 Compound Identifiers'!C42</f>
        <v>OPE</v>
      </c>
      <c r="B37">
        <f>COUNTIF($C$3:C37,"&lt;&gt;"&amp;"")</f>
        <v>35</v>
      </c>
      <c r="C37" t="str">
        <f>IF('Table S2 Compound Identifiers'!B42="","",'Table S2 Compound Identifiers'!B42)</f>
        <v>TBOEP</v>
      </c>
      <c r="D37" t="str">
        <f>'Table S2 Compound Identifiers'!D42</f>
        <v>78-51-3</v>
      </c>
      <c r="E37" s="501">
        <f>VLOOKUP(C37,'Table S3 Literature Values'!$A$10:$AV$10000,E$1,FALSE)</f>
        <v>106.39999999999999</v>
      </c>
      <c r="F37" s="61">
        <f>INDEX('Table S3 Literature Values'!$A$10:$AV$10000,MATCH(C37,'Table S3 Literature Values'!$A$10:$A$10000,0)+1,F$1)</f>
        <v>3.9564293666554136</v>
      </c>
      <c r="G37" s="63">
        <f>INDEX('Table S3 Literature Values'!$A$10:$AV$10000,MATCH($C37,'Table S3 Literature Values'!$A$10:$A$10000,0)+2,F$1)</f>
        <v>4</v>
      </c>
      <c r="H37" s="61">
        <f>VLOOKUP($C37,'Table S3 Literature Values'!$A$10:$AV$10000,H$1,FALSE)</f>
        <v>0</v>
      </c>
      <c r="I37" s="61">
        <f>INDEX('Table S3 Literature Values'!$A$10:$AV$10000,MATCH($C37,'Table S3 Literature Values'!$A$10:$A$10000,0)+1,I$1)</f>
        <v>0</v>
      </c>
      <c r="J37" s="63">
        <f>INDEX('Table S3 Literature Values'!$A$10:$AV$10000,MATCH($C37,'Table S3 Literature Values'!$A$10:$A$10000,0)+2,I$1)</f>
        <v>0</v>
      </c>
      <c r="K37" s="61">
        <f>VLOOKUP($C37,'Table S3 Literature Values'!$A$10:$AV$10000,K$1,FALSE)</f>
        <v>0</v>
      </c>
      <c r="L37" s="61">
        <f>INDEX('Table S3 Literature Values'!$A$10:$AV$10000,MATCH($C37,'Table S3 Literature Values'!$A$10:$A$10000,0)+1,L$1)</f>
        <v>0</v>
      </c>
      <c r="M37" s="63">
        <f>INDEX('Table S3 Literature Values'!$A$10:$AV$10000,MATCH($C37,'Table S3 Literature Values'!$A$10:$A$10000,0)+2,L$1)</f>
        <v>0</v>
      </c>
      <c r="N37" s="61">
        <f>VLOOKUP($C37,'Table S3 Literature Values'!$A$10:$AV$10000,N$1,FALSE)</f>
        <v>103.56666666666666</v>
      </c>
      <c r="O37" s="61">
        <f>INDEX('Table S3 Literature Values'!$A$10:$AV$10000,MATCH($C37,'Table S3 Literature Values'!$A$10:$A$10000,0)+1,O$1)</f>
        <v>7.4875452141094492</v>
      </c>
      <c r="P37" s="63">
        <f>INDEX('Table S3 Literature Values'!$A$10:$AV$10000,MATCH($C37,'Table S3 Literature Values'!$A$10:$A$10000,0)+2,O$1)</f>
        <v>3</v>
      </c>
      <c r="Q37" s="61">
        <f>VLOOKUP($C37,'Table S3 Literature Values'!$A$10:$AV$10000,Q$1,FALSE)</f>
        <v>0</v>
      </c>
      <c r="R37" s="61">
        <f>INDEX('Table S3 Literature Values'!$A$10:$AV$10000,MATCH($C37,'Table S3 Literature Values'!$A$10:$A$10000,0)+1,R$1)</f>
        <v>0</v>
      </c>
      <c r="S37" s="63">
        <f>INDEX('Table S3 Literature Values'!$A$10:$AV$10000,MATCH($C37,'Table S3 Literature Values'!$A$10:$A$10000,0)+2,R$1)</f>
        <v>0</v>
      </c>
      <c r="T37" s="61">
        <f>VLOOKUP($C37,'Table S3 Literature Values'!$A$10:$AV$10000,T$1,FALSE)</f>
        <v>0</v>
      </c>
      <c r="U37" s="61">
        <f>INDEX('Table S3 Literature Values'!$A$10:$AV$10000,MATCH($C37,'Table S3 Literature Values'!$A$10:$A$10000,0)+1,U$1)</f>
        <v>0</v>
      </c>
      <c r="V37" s="63">
        <f>INDEX('Table S3 Literature Values'!$A$10:$AV$10000,MATCH($C37,'Table S3 Literature Values'!$A$10:$A$10000,0)+2,U$1)</f>
        <v>0</v>
      </c>
      <c r="W37" s="61">
        <f>VLOOKUP($C37,'Table S3 Literature Values'!$A$10:$AV$10000,W$1,FALSE)</f>
        <v>11.043333333333331</v>
      </c>
      <c r="X37" s="61">
        <f>INDEX('Table S3 Literature Values'!$A$10:$AV$10000,MATCH($C37,'Table S3 Literature Values'!$A$10:$A$10000,0)+1,X$1)</f>
        <v>0.48335632129241141</v>
      </c>
      <c r="Y37" s="63">
        <f>INDEX('Table S3 Literature Values'!$A$10:$AV$10000,MATCH($C37,'Table S3 Literature Values'!$A$10:$A$10000,0)+2,X$1)</f>
        <v>3</v>
      </c>
      <c r="Z37" s="61">
        <f>VLOOKUP($C37,'Table S3 Literature Values'!$A$10:$AV$10000,Z$1,FALSE)</f>
        <v>4.0149999999999997</v>
      </c>
      <c r="AA37" s="61">
        <f>INDEX('Table S3 Literature Values'!$A$10:$AV$10000,MATCH($C37,'Table S3 Literature Values'!$A$10:$A$10000,0)+1,AA$1)</f>
        <v>0.41137979208188291</v>
      </c>
      <c r="AB37" s="63">
        <f>INDEX('Table S3 Literature Values'!$A$10:$AV$10000,MATCH($C37,'Table S3 Literature Values'!$A$10:$A$10000,0)+2,AA$1)</f>
        <v>4</v>
      </c>
      <c r="AC37" s="61">
        <f>VLOOKUP($C37,'Table S3 Literature Values'!$A$10:$AV$10000,AC$1,FALSE)</f>
        <v>0</v>
      </c>
      <c r="AD37" s="61">
        <f>INDEX('Table S3 Literature Values'!$A$10:$AV$10000,MATCH($C37,'Table S3 Literature Values'!$A$10:$A$10000,0)+1,AD$1)</f>
        <v>0</v>
      </c>
      <c r="AE37" s="63">
        <f>INDEX('Table S3 Literature Values'!$A$10:$AV$10000,MATCH($C37,'Table S3 Literature Values'!$A$10:$A$10000,0)+2,AD$1)</f>
        <v>0</v>
      </c>
      <c r="AF37" s="61">
        <f>VLOOKUP($C37,'Table S3 Literature Values'!$A$10:$AV$10000,AF$1,FALSE)</f>
        <v>-4.5257014829074143</v>
      </c>
      <c r="AG37" s="61">
        <f>INDEX('Table S3 Literature Values'!$A$10:$AV$10000,MATCH($C37,'Table S3 Literature Values'!$A$10:$A$10000,0)+1,AG$1)</f>
        <v>0.26343339067048643</v>
      </c>
      <c r="AH37" s="63">
        <f>INDEX('Table S3 Literature Values'!$A$10:$AV$10000,MATCH($C37,'Table S3 Literature Values'!$A$10:$A$10000,0)+2,AG$1)</f>
        <v>7</v>
      </c>
      <c r="AI37" s="61">
        <f ca="1">VLOOKUP($C37,'Table S3 Literature Values'!$A$10:$AV$10000,AI$1,FALSE)</f>
        <v>0.22099596443744718</v>
      </c>
      <c r="AJ37" s="61">
        <f ca="1">INDEX('Table S3 Literature Values'!$A$10:$AV$10000,MATCH($C37,'Table S3 Literature Values'!$A$10:$A$10000,0)+1,AJ$1)</f>
        <v>0.15524653687336698</v>
      </c>
      <c r="AK37" s="63">
        <f ca="1">INDEX('Table S3 Literature Values'!$A$10:$AV$10000,MATCH($C37,'Table S3 Literature Values'!$A$10:$A$10000,0)+2,AJ$1)</f>
        <v>2</v>
      </c>
      <c r="AL37" s="61">
        <f>VLOOKUP($C37,'Table S3 Literature Values'!$A$10:$AV$10000,AL$1,FALSE)</f>
        <v>0</v>
      </c>
      <c r="AM37" s="61">
        <f>INDEX('Table S3 Literature Values'!$A$10:$AV$10000,MATCH($C37,'Table S3 Literature Values'!$A$10:$A$10000,0)+1,AM$1)</f>
        <v>0</v>
      </c>
      <c r="AN37" s="63">
        <f>INDEX('Table S3 Literature Values'!$A$10:$AV$10000,MATCH($C37,'Table S3 Literature Values'!$A$10:$A$10000,0)+2,AM$1)</f>
        <v>0</v>
      </c>
      <c r="AO37" s="61">
        <f>VLOOKUP($C37,'Table S3 Literature Values'!$A$10:$AV$10000,AO$1,FALSE)</f>
        <v>0</v>
      </c>
      <c r="AP37" s="61">
        <f>INDEX('Table S3 Literature Values'!$A$10:$AV$10000,MATCH($C37,'Table S3 Literature Values'!$A$10:$A$10000,0)+1,AP$1)</f>
        <v>0</v>
      </c>
      <c r="AQ37" s="63">
        <f>INDEX('Table S3 Literature Values'!$A$10:$AV$10000,MATCH($C37,'Table S3 Literature Values'!$A$10:$A$10000,0)+2,AP$1)</f>
        <v>0</v>
      </c>
      <c r="AR37" s="61">
        <f>VLOOKUP($C37,'Table S3 Literature Values'!$A$10:$AV$10000,AR$1,FALSE)</f>
        <v>-70</v>
      </c>
      <c r="AS37" s="61">
        <f>INDEX('Table S3 Literature Values'!$A$10:$AV$10000,MATCH($C37,'Table S3 Literature Values'!$A$10:$A$10000,0)+1,AS$1)</f>
        <v>3.2316002031969751</v>
      </c>
      <c r="AT37" s="63">
        <f>INDEX('Table S3 Literature Values'!$A$10:$AV$10000,MATCH($C37,'Table S3 Literature Values'!$A$10:$A$10000,0)+2,AS$1)</f>
        <v>1</v>
      </c>
    </row>
    <row r="38" spans="1:46">
      <c r="A38" t="str">
        <f>'Table S2 Compound Identifiers'!C43</f>
        <v>OPE</v>
      </c>
      <c r="B38">
        <f>COUNTIF($C$3:C38,"&lt;&gt;"&amp;"")</f>
        <v>36</v>
      </c>
      <c r="C38" t="str">
        <f>IF('Table S2 Compound Identifiers'!B43="","",'Table S2 Compound Identifiers'!B43)</f>
        <v>TEHP</v>
      </c>
      <c r="D38" t="str">
        <f>'Table S2 Compound Identifiers'!D43</f>
        <v>78-42-2</v>
      </c>
      <c r="E38" s="501">
        <f>VLOOKUP(C38,'Table S3 Literature Values'!$A$10:$AV$10000,E$1,FALSE)</f>
        <v>108.8053199021883</v>
      </c>
      <c r="F38" s="61">
        <f>INDEX('Table S3 Literature Values'!$A$10:$AV$10000,MATCH(C38,'Table S3 Literature Values'!$A$10:$A$10000,0)+1,F$1)</f>
        <v>2.7599602935757312</v>
      </c>
      <c r="G38" s="63">
        <f>INDEX('Table S3 Literature Values'!$A$10:$AV$10000,MATCH($C38,'Table S3 Literature Values'!$A$10:$A$10000,0)+2,F$1)</f>
        <v>5</v>
      </c>
      <c r="H38" s="61">
        <f>VLOOKUP($C38,'Table S3 Literature Values'!$A$10:$AV$10000,H$1,FALSE)</f>
        <v>0</v>
      </c>
      <c r="I38" s="61">
        <f>INDEX('Table S3 Literature Values'!$A$10:$AV$10000,MATCH($C38,'Table S3 Literature Values'!$A$10:$A$10000,0)+1,I$1)</f>
        <v>0</v>
      </c>
      <c r="J38" s="63">
        <f>INDEX('Table S3 Literature Values'!$A$10:$AV$10000,MATCH($C38,'Table S3 Literature Values'!$A$10:$A$10000,0)+2,I$1)</f>
        <v>0</v>
      </c>
      <c r="K38" s="61">
        <f>VLOOKUP($C38,'Table S3 Literature Values'!$A$10:$AV$10000,K$1,FALSE)</f>
        <v>0</v>
      </c>
      <c r="L38" s="61">
        <f>INDEX('Table S3 Literature Values'!$A$10:$AV$10000,MATCH($C38,'Table S3 Literature Values'!$A$10:$A$10000,0)+1,L$1)</f>
        <v>0</v>
      </c>
      <c r="M38" s="63">
        <f>INDEX('Table S3 Literature Values'!$A$10:$AV$10000,MATCH($C38,'Table S3 Literature Values'!$A$10:$A$10000,0)+2,L$1)</f>
        <v>0</v>
      </c>
      <c r="N38" s="61">
        <f>VLOOKUP($C38,'Table S3 Literature Values'!$A$10:$AV$10000,N$1,FALSE)</f>
        <v>105.63333333333333</v>
      </c>
      <c r="O38" s="61">
        <f>INDEX('Table S3 Literature Values'!$A$10:$AV$10000,MATCH($C38,'Table S3 Literature Values'!$A$10:$A$10000,0)+1,O$1)</f>
        <v>5.6109268396584868</v>
      </c>
      <c r="P38" s="63">
        <f>INDEX('Table S3 Literature Values'!$A$10:$AV$10000,MATCH($C38,'Table S3 Literature Values'!$A$10:$A$10000,0)+2,O$1)</f>
        <v>3</v>
      </c>
      <c r="Q38" s="61">
        <f>VLOOKUP($C38,'Table S3 Literature Values'!$A$10:$AV$10000,Q$1,FALSE)</f>
        <v>0</v>
      </c>
      <c r="R38" s="61">
        <f>INDEX('Table S3 Literature Values'!$A$10:$AV$10000,MATCH($C38,'Table S3 Literature Values'!$A$10:$A$10000,0)+1,R$1)</f>
        <v>0</v>
      </c>
      <c r="S38" s="63">
        <f>INDEX('Table S3 Literature Values'!$A$10:$AV$10000,MATCH($C38,'Table S3 Literature Values'!$A$10:$A$10000,0)+2,R$1)</f>
        <v>0</v>
      </c>
      <c r="T38" s="61">
        <f>VLOOKUP($C38,'Table S3 Literature Values'!$A$10:$AV$10000,T$1,FALSE)</f>
        <v>0</v>
      </c>
      <c r="U38" s="61">
        <f>INDEX('Table S3 Literature Values'!$A$10:$AV$10000,MATCH($C38,'Table S3 Literature Values'!$A$10:$A$10000,0)+1,U$1)</f>
        <v>0</v>
      </c>
      <c r="V38" s="63">
        <f>INDEX('Table S3 Literature Values'!$A$10:$AV$10000,MATCH($C38,'Table S3 Literature Values'!$A$10:$A$10000,0)+2,U$1)</f>
        <v>0</v>
      </c>
      <c r="W38" s="61">
        <f>VLOOKUP($C38,'Table S3 Literature Values'!$A$10:$AV$10000,W$1,FALSE)</f>
        <v>11.254058807284656</v>
      </c>
      <c r="X38" s="61">
        <f>INDEX('Table S3 Literature Values'!$A$10:$AV$10000,MATCH($C38,'Table S3 Literature Values'!$A$10:$A$10000,0)+1,X$1)</f>
        <v>0.56090842337414826</v>
      </c>
      <c r="Y38" s="63">
        <f>INDEX('Table S3 Literature Values'!$A$10:$AV$10000,MATCH($C38,'Table S3 Literature Values'!$A$10:$A$10000,0)+2,X$1)</f>
        <v>3</v>
      </c>
      <c r="Z38" s="61">
        <f>VLOOKUP($C38,'Table S3 Literature Values'!$A$10:$AV$10000,Z$1,FALSE)</f>
        <v>4.4551030939086207</v>
      </c>
      <c r="AA38" s="61">
        <f>INDEX('Table S3 Literature Values'!$A$10:$AV$10000,MATCH($C38,'Table S3 Literature Values'!$A$10:$A$10000,0)+1,AA$1)</f>
        <v>0.51039582393287042</v>
      </c>
      <c r="AB38" s="63">
        <f>INDEX('Table S3 Literature Values'!$A$10:$AV$10000,MATCH($C38,'Table S3 Literature Values'!$A$10:$A$10000,0)+2,AA$1)</f>
        <v>3</v>
      </c>
      <c r="AC38" s="61">
        <f>VLOOKUP($C38,'Table S3 Literature Values'!$A$10:$AV$10000,AC$1,FALSE)</f>
        <v>0</v>
      </c>
      <c r="AD38" s="61">
        <f>INDEX('Table S3 Literature Values'!$A$10:$AV$10000,MATCH($C38,'Table S3 Literature Values'!$A$10:$A$10000,0)+1,AD$1)</f>
        <v>0</v>
      </c>
      <c r="AE38" s="63">
        <f>INDEX('Table S3 Literature Values'!$A$10:$AV$10000,MATCH($C38,'Table S3 Literature Values'!$A$10:$A$10000,0)+2,AD$1)</f>
        <v>0</v>
      </c>
      <c r="AF38" s="61">
        <f>VLOOKUP($C38,'Table S3 Literature Values'!$A$10:$AV$10000,AF$1,FALSE)</f>
        <v>-4.6558136987291556</v>
      </c>
      <c r="AG38" s="61">
        <f>INDEX('Table S3 Literature Values'!$A$10:$AV$10000,MATCH($C38,'Table S3 Literature Values'!$A$10:$A$10000,0)+1,AG$1)</f>
        <v>0.27719074419421286</v>
      </c>
      <c r="AH38" s="63">
        <f>INDEX('Table S3 Literature Values'!$A$10:$AV$10000,MATCH($C38,'Table S3 Literature Values'!$A$10:$A$10000,0)+2,AG$1)</f>
        <v>7</v>
      </c>
      <c r="AI38" s="61">
        <f ca="1">VLOOKUP($C38,'Table S3 Literature Values'!$A$10:$AV$10000,AI$1,FALSE)</f>
        <v>-4.7043664347305514</v>
      </c>
      <c r="AJ38" s="61">
        <f ca="1">INDEX('Table S3 Literature Values'!$A$10:$AV$10000,MATCH($C38,'Table S3 Literature Values'!$A$10:$A$10000,0)+1,AJ$1)</f>
        <v>2.6083556879317391</v>
      </c>
      <c r="AK38" s="63">
        <f ca="1">INDEX('Table S3 Literature Values'!$A$10:$AV$10000,MATCH($C38,'Table S3 Literature Values'!$A$10:$A$10000,0)+2,AJ$1)</f>
        <v>1</v>
      </c>
      <c r="AL38" s="61">
        <f>VLOOKUP($C38,'Table S3 Literature Values'!$A$10:$AV$10000,AL$1,FALSE)</f>
        <v>0</v>
      </c>
      <c r="AM38" s="61">
        <f>INDEX('Table S3 Literature Values'!$A$10:$AV$10000,MATCH($C38,'Table S3 Literature Values'!$A$10:$A$10000,0)+1,AM$1)</f>
        <v>0</v>
      </c>
      <c r="AN38" s="63">
        <f>INDEX('Table S3 Literature Values'!$A$10:$AV$10000,MATCH($C38,'Table S3 Literature Values'!$A$10:$A$10000,0)+2,AM$1)</f>
        <v>0</v>
      </c>
      <c r="AO38" s="61">
        <f>VLOOKUP($C38,'Table S3 Literature Values'!$A$10:$AV$10000,AO$1,FALSE)</f>
        <v>0</v>
      </c>
      <c r="AP38" s="61">
        <f>INDEX('Table S3 Literature Values'!$A$10:$AV$10000,MATCH($C38,'Table S3 Literature Values'!$A$10:$A$10000,0)+1,AP$1)</f>
        <v>0</v>
      </c>
      <c r="AQ38" s="63">
        <f>INDEX('Table S3 Literature Values'!$A$10:$AV$10000,MATCH($C38,'Table S3 Literature Values'!$A$10:$A$10000,0)+2,AP$1)</f>
        <v>0</v>
      </c>
      <c r="AR38" s="61">
        <f>VLOOKUP($C38,'Table S3 Literature Values'!$A$10:$AV$10000,AR$1,FALSE)</f>
        <v>-72</v>
      </c>
      <c r="AS38" s="61">
        <f>INDEX('Table S3 Literature Values'!$A$10:$AV$10000,MATCH($C38,'Table S3 Literature Values'!$A$10:$A$10000,0)+1,AS$1)</f>
        <v>2.8284271247461903</v>
      </c>
      <c r="AT38" s="63">
        <f>INDEX('Table S3 Literature Values'!$A$10:$AV$10000,MATCH($C38,'Table S3 Literature Values'!$A$10:$A$10000,0)+2,AS$1)</f>
        <v>2</v>
      </c>
    </row>
    <row r="39" spans="1:46">
      <c r="A39" t="str">
        <f>'Table S2 Compound Identifiers'!C44</f>
        <v>OPE</v>
      </c>
      <c r="B39">
        <f>COUNTIF($C$3:C39,"&lt;&gt;"&amp;"")</f>
        <v>37</v>
      </c>
      <c r="C39" t="str">
        <f>IF('Table S2 Compound Identifiers'!B44="","",'Table S2 Compound Identifiers'!B44)</f>
        <v>TTBPP</v>
      </c>
      <c r="D39" t="str">
        <f>'Table S2 Compound Identifiers'!D44</f>
        <v>78-33-1</v>
      </c>
      <c r="E39" s="501">
        <f>VLOOKUP(C39,'Table S3 Literature Values'!$A$10:$AV$10000,E$1,FALSE)</f>
        <v>135</v>
      </c>
      <c r="F39" s="61">
        <f>INDEX('Table S3 Literature Values'!$A$10:$AV$10000,MATCH(C39,'Table S3 Literature Values'!$A$10:$A$10000,0)+1,F$1)</f>
        <v>9.6340614933147393</v>
      </c>
      <c r="G39" s="63">
        <f>INDEX('Table S3 Literature Values'!$A$10:$AV$10000,MATCH($C39,'Table S3 Literature Values'!$A$10:$A$10000,0)+2,F$1)</f>
        <v>1</v>
      </c>
      <c r="H39" s="61">
        <f>VLOOKUP($C39,'Table S3 Literature Values'!$A$10:$AV$10000,H$1,FALSE)</f>
        <v>0</v>
      </c>
      <c r="I39" s="61">
        <f>INDEX('Table S3 Literature Values'!$A$10:$AV$10000,MATCH($C39,'Table S3 Literature Values'!$A$10:$A$10000,0)+1,I$1)</f>
        <v>0</v>
      </c>
      <c r="J39" s="63">
        <f>INDEX('Table S3 Literature Values'!$A$10:$AV$10000,MATCH($C39,'Table S3 Literature Values'!$A$10:$A$10000,0)+2,I$1)</f>
        <v>0</v>
      </c>
      <c r="K39" s="61">
        <f>VLOOKUP($C39,'Table S3 Literature Values'!$A$10:$AV$10000,K$1,FALSE)</f>
        <v>0</v>
      </c>
      <c r="L39" s="61">
        <f>INDEX('Table S3 Literature Values'!$A$10:$AV$10000,MATCH($C39,'Table S3 Literature Values'!$A$10:$A$10000,0)+1,L$1)</f>
        <v>0</v>
      </c>
      <c r="M39" s="63">
        <f>INDEX('Table S3 Literature Values'!$A$10:$AV$10000,MATCH($C39,'Table S3 Literature Values'!$A$10:$A$10000,0)+2,L$1)</f>
        <v>0</v>
      </c>
      <c r="N39" s="61">
        <f>VLOOKUP($C39,'Table S3 Literature Values'!$A$10:$AV$10000,N$1,FALSE)</f>
        <v>0</v>
      </c>
      <c r="O39" s="61">
        <f>INDEX('Table S3 Literature Values'!$A$10:$AV$10000,MATCH($C39,'Table S3 Literature Values'!$A$10:$A$10000,0)+1,O$1)</f>
        <v>0</v>
      </c>
      <c r="P39" s="63">
        <f>INDEX('Table S3 Literature Values'!$A$10:$AV$10000,MATCH($C39,'Table S3 Literature Values'!$A$10:$A$10000,0)+2,O$1)</f>
        <v>0</v>
      </c>
      <c r="Q39" s="61">
        <f>VLOOKUP($C39,'Table S3 Literature Values'!$A$10:$AV$10000,Q$1,FALSE)</f>
        <v>0</v>
      </c>
      <c r="R39" s="61">
        <f>INDEX('Table S3 Literature Values'!$A$10:$AV$10000,MATCH($C39,'Table S3 Literature Values'!$A$10:$A$10000,0)+1,R$1)</f>
        <v>0</v>
      </c>
      <c r="S39" s="63">
        <f>INDEX('Table S3 Literature Values'!$A$10:$AV$10000,MATCH($C39,'Table S3 Literature Values'!$A$10:$A$10000,0)+2,R$1)</f>
        <v>0</v>
      </c>
      <c r="T39" s="61">
        <f>VLOOKUP($C39,'Table S3 Literature Values'!$A$10:$AV$10000,T$1,FALSE)</f>
        <v>0</v>
      </c>
      <c r="U39" s="61">
        <f>INDEX('Table S3 Literature Values'!$A$10:$AV$10000,MATCH($C39,'Table S3 Literature Values'!$A$10:$A$10000,0)+1,U$1)</f>
        <v>0</v>
      </c>
      <c r="V39" s="63">
        <f>INDEX('Table S3 Literature Values'!$A$10:$AV$10000,MATCH($C39,'Table S3 Literature Values'!$A$10:$A$10000,0)+2,U$1)</f>
        <v>0</v>
      </c>
      <c r="W39" s="61">
        <f>VLOOKUP($C39,'Table S3 Literature Values'!$A$10:$AV$10000,W$1,FALSE)</f>
        <v>0</v>
      </c>
      <c r="X39" s="61">
        <f>INDEX('Table S3 Literature Values'!$A$10:$AV$10000,MATCH($C39,'Table S3 Literature Values'!$A$10:$A$10000,0)+1,X$1)</f>
        <v>0</v>
      </c>
      <c r="Y39" s="63">
        <f>INDEX('Table S3 Literature Values'!$A$10:$AV$10000,MATCH($C39,'Table S3 Literature Values'!$A$10:$A$10000,0)+2,X$1)</f>
        <v>0</v>
      </c>
      <c r="Z39" s="61">
        <f>VLOOKUP($C39,'Table S3 Literature Values'!$A$10:$AV$10000,Z$1,FALSE)</f>
        <v>0</v>
      </c>
      <c r="AA39" s="61">
        <f>INDEX('Table S3 Literature Values'!$A$10:$AV$10000,MATCH($C39,'Table S3 Literature Values'!$A$10:$A$10000,0)+1,AA$1)</f>
        <v>0</v>
      </c>
      <c r="AB39" s="63">
        <f>INDEX('Table S3 Literature Values'!$A$10:$AV$10000,MATCH($C39,'Table S3 Literature Values'!$A$10:$A$10000,0)+2,AA$1)</f>
        <v>0</v>
      </c>
      <c r="AC39" s="61">
        <f>VLOOKUP($C39,'Table S3 Literature Values'!$A$10:$AV$10000,AC$1,FALSE)</f>
        <v>0</v>
      </c>
      <c r="AD39" s="61">
        <f>INDEX('Table S3 Literature Values'!$A$10:$AV$10000,MATCH($C39,'Table S3 Literature Values'!$A$10:$A$10000,0)+1,AD$1)</f>
        <v>0</v>
      </c>
      <c r="AE39" s="63">
        <f>INDEX('Table S3 Literature Values'!$A$10:$AV$10000,MATCH($C39,'Table S3 Literature Values'!$A$10:$A$10000,0)+2,AD$1)</f>
        <v>0</v>
      </c>
      <c r="AF39" s="61">
        <f>VLOOKUP($C39,'Table S3 Literature Values'!$A$10:$AV$10000,AF$1,FALSE)</f>
        <v>-5.9337440369338292</v>
      </c>
      <c r="AG39" s="61">
        <f>INDEX('Table S3 Literature Values'!$A$10:$AV$10000,MATCH($C39,'Table S3 Literature Values'!$A$10:$A$10000,0)+1,AG$1)</f>
        <v>0.94147379508925533</v>
      </c>
      <c r="AH39" s="63">
        <f>INDEX('Table S3 Literature Values'!$A$10:$AV$10000,MATCH($C39,'Table S3 Literature Values'!$A$10:$A$10000,0)+2,AG$1)</f>
        <v>1</v>
      </c>
      <c r="AI39" s="61">
        <f>VLOOKUP($C39,'Table S3 Literature Values'!$A$10:$AV$10000,AI$1,FALSE)</f>
        <v>0</v>
      </c>
      <c r="AJ39" s="61">
        <f>INDEX('Table S3 Literature Values'!$A$10:$AV$10000,MATCH($C39,'Table S3 Literature Values'!$A$10:$A$10000,0)+1,AJ$1)</f>
        <v>0</v>
      </c>
      <c r="AK39" s="63">
        <f>INDEX('Table S3 Literature Values'!$A$10:$AV$10000,MATCH($C39,'Table S3 Literature Values'!$A$10:$A$10000,0)+2,AJ$1)</f>
        <v>0</v>
      </c>
      <c r="AL39" s="61">
        <f>VLOOKUP($C39,'Table S3 Literature Values'!$A$10:$AV$10000,AL$1,FALSE)</f>
        <v>0</v>
      </c>
      <c r="AM39" s="61">
        <f>INDEX('Table S3 Literature Values'!$A$10:$AV$10000,MATCH($C39,'Table S3 Literature Values'!$A$10:$A$10000,0)+1,AM$1)</f>
        <v>0</v>
      </c>
      <c r="AN39" s="63">
        <f>INDEX('Table S3 Literature Values'!$A$10:$AV$10000,MATCH($C39,'Table S3 Literature Values'!$A$10:$A$10000,0)+2,AM$1)</f>
        <v>0</v>
      </c>
      <c r="AO39" s="61">
        <f>VLOOKUP($C39,'Table S3 Literature Values'!$A$10:$AV$10000,AO$1,FALSE)</f>
        <v>0</v>
      </c>
      <c r="AP39" s="61">
        <f>INDEX('Table S3 Literature Values'!$A$10:$AV$10000,MATCH($C39,'Table S3 Literature Values'!$A$10:$A$10000,0)+1,AP$1)</f>
        <v>0</v>
      </c>
      <c r="AQ39" s="63">
        <f>INDEX('Table S3 Literature Values'!$A$10:$AV$10000,MATCH($C39,'Table S3 Literature Values'!$A$10:$A$10000,0)+2,AP$1)</f>
        <v>0</v>
      </c>
      <c r="AR39" s="61">
        <f>VLOOKUP($C39,'Table S3 Literature Values'!$A$10:$AV$10000,AR$1,FALSE)</f>
        <v>99.75</v>
      </c>
      <c r="AS39" s="61">
        <f>INDEX('Table S3 Literature Values'!$A$10:$AV$10000,MATCH($C39,'Table S3 Literature Values'!$A$10:$A$10000,0)+1,AS$1)</f>
        <v>0.35355339059327379</v>
      </c>
      <c r="AT39" s="63">
        <f>INDEX('Table S3 Literature Values'!$A$10:$AV$10000,MATCH($C39,'Table S3 Literature Values'!$A$10:$A$10000,0)+2,AS$1)</f>
        <v>2</v>
      </c>
    </row>
    <row r="40" spans="1:46">
      <c r="A40" t="str">
        <f>'Table S2 Compound Identifiers'!C45</f>
        <v>OPE</v>
      </c>
      <c r="B40">
        <f>COUNTIF($C$3:C40,"&lt;&gt;"&amp;"")</f>
        <v>38</v>
      </c>
      <c r="C40" t="str">
        <f>IF('Table S2 Compound Identifiers'!B45="","",'Table S2 Compound Identifiers'!B45)</f>
        <v>T2iPPP</v>
      </c>
      <c r="D40" t="str">
        <f>'Table S2 Compound Identifiers'!D45</f>
        <v>64532-95-2</v>
      </c>
      <c r="E40" s="501">
        <f>VLOOKUP(C40,'Table S3 Literature Values'!$A$10:$AV$10000,E$1,FALSE)</f>
        <v>111.56666666666666</v>
      </c>
      <c r="F40" s="61">
        <f>INDEX('Table S3 Literature Values'!$A$10:$AV$10000,MATCH(C40,'Table S3 Literature Values'!$A$10:$A$10000,0)+1,F$1)</f>
        <v>4.8850110883531626</v>
      </c>
      <c r="G40" s="63">
        <f>INDEX('Table S3 Literature Values'!$A$10:$AV$10000,MATCH($C40,'Table S3 Literature Values'!$A$10:$A$10000,0)+2,F$1)</f>
        <v>3</v>
      </c>
      <c r="H40" s="61">
        <f>VLOOKUP($C40,'Table S3 Literature Values'!$A$10:$AV$10000,H$1,FALSE)</f>
        <v>0</v>
      </c>
      <c r="I40" s="61">
        <f>INDEX('Table S3 Literature Values'!$A$10:$AV$10000,MATCH($C40,'Table S3 Literature Values'!$A$10:$A$10000,0)+1,I$1)</f>
        <v>0</v>
      </c>
      <c r="J40" s="63">
        <f>INDEX('Table S3 Literature Values'!$A$10:$AV$10000,MATCH($C40,'Table S3 Literature Values'!$A$10:$A$10000,0)+2,I$1)</f>
        <v>0</v>
      </c>
      <c r="K40" s="61">
        <f>VLOOKUP($C40,'Table S3 Literature Values'!$A$10:$AV$10000,K$1,FALSE)</f>
        <v>0</v>
      </c>
      <c r="L40" s="61">
        <f>INDEX('Table S3 Literature Values'!$A$10:$AV$10000,MATCH($C40,'Table S3 Literature Values'!$A$10:$A$10000,0)+1,L$1)</f>
        <v>0</v>
      </c>
      <c r="M40" s="63">
        <f>INDEX('Table S3 Literature Values'!$A$10:$AV$10000,MATCH($C40,'Table S3 Literature Values'!$A$10:$A$10000,0)+2,L$1)</f>
        <v>0</v>
      </c>
      <c r="N40" s="61">
        <f>VLOOKUP($C40,'Table S3 Literature Values'!$A$10:$AV$10000,N$1,FALSE)</f>
        <v>106.65</v>
      </c>
      <c r="O40" s="61">
        <f>INDEX('Table S3 Literature Values'!$A$10:$AV$10000,MATCH($C40,'Table S3 Literature Values'!$A$10:$A$10000,0)+1,O$1)</f>
        <v>0.91923881554250975</v>
      </c>
      <c r="P40" s="63">
        <f>INDEX('Table S3 Literature Values'!$A$10:$AV$10000,MATCH($C40,'Table S3 Literature Values'!$A$10:$A$10000,0)+2,O$1)</f>
        <v>2</v>
      </c>
      <c r="Q40" s="61">
        <f>VLOOKUP($C40,'Table S3 Literature Values'!$A$10:$AV$10000,Q$1,FALSE)</f>
        <v>0</v>
      </c>
      <c r="R40" s="61">
        <f>INDEX('Table S3 Literature Values'!$A$10:$AV$10000,MATCH($C40,'Table S3 Literature Values'!$A$10:$A$10000,0)+1,R$1)</f>
        <v>0</v>
      </c>
      <c r="S40" s="63">
        <f>INDEX('Table S3 Literature Values'!$A$10:$AV$10000,MATCH($C40,'Table S3 Literature Values'!$A$10:$A$10000,0)+2,R$1)</f>
        <v>0</v>
      </c>
      <c r="T40" s="61">
        <f>VLOOKUP($C40,'Table S3 Literature Values'!$A$10:$AV$10000,T$1,FALSE)</f>
        <v>0</v>
      </c>
      <c r="U40" s="61">
        <f>INDEX('Table S3 Literature Values'!$A$10:$AV$10000,MATCH($C40,'Table S3 Literature Values'!$A$10:$A$10000,0)+1,U$1)</f>
        <v>0</v>
      </c>
      <c r="V40" s="63">
        <f>INDEX('Table S3 Literature Values'!$A$10:$AV$10000,MATCH($C40,'Table S3 Literature Values'!$A$10:$A$10000,0)+2,U$1)</f>
        <v>0</v>
      </c>
      <c r="W40" s="61">
        <f>VLOOKUP($C40,'Table S3 Literature Values'!$A$10:$AV$10000,W$1,FALSE)</f>
        <v>11.609699222331166</v>
      </c>
      <c r="X40" s="61">
        <f>INDEX('Table S3 Literature Values'!$A$10:$AV$10000,MATCH($C40,'Table S3 Literature Values'!$A$10:$A$10000,0)+1,X$1)</f>
        <v>0.24084166946195062</v>
      </c>
      <c r="Y40" s="63">
        <f>INDEX('Table S3 Literature Values'!$A$10:$AV$10000,MATCH($C40,'Table S3 Literature Values'!$A$10:$A$10000,0)+2,X$1)</f>
        <v>2</v>
      </c>
      <c r="Z40" s="61">
        <f>VLOOKUP($C40,'Table S3 Literature Values'!$A$10:$AV$10000,Z$1,FALSE)</f>
        <v>0</v>
      </c>
      <c r="AA40" s="61">
        <f>INDEX('Table S3 Literature Values'!$A$10:$AV$10000,MATCH($C40,'Table S3 Literature Values'!$A$10:$A$10000,0)+1,AA$1)</f>
        <v>0</v>
      </c>
      <c r="AB40" s="63">
        <f>INDEX('Table S3 Literature Values'!$A$10:$AV$10000,MATCH($C40,'Table S3 Literature Values'!$A$10:$A$10000,0)+2,AA$1)</f>
        <v>0</v>
      </c>
      <c r="AC40" s="61">
        <f>VLOOKUP($C40,'Table S3 Literature Values'!$A$10:$AV$10000,AC$1,FALSE)</f>
        <v>0</v>
      </c>
      <c r="AD40" s="61">
        <f>INDEX('Table S3 Literature Values'!$A$10:$AV$10000,MATCH($C40,'Table S3 Literature Values'!$A$10:$A$10000,0)+1,AD$1)</f>
        <v>0</v>
      </c>
      <c r="AE40" s="63">
        <f>INDEX('Table S3 Literature Values'!$A$10:$AV$10000,MATCH($C40,'Table S3 Literature Values'!$A$10:$A$10000,0)+2,AD$1)</f>
        <v>0</v>
      </c>
      <c r="AF40" s="61">
        <f>VLOOKUP($C40,'Table S3 Literature Values'!$A$10:$AV$10000,AF$1,FALSE)</f>
        <v>-5.2702642012958201</v>
      </c>
      <c r="AG40" s="61">
        <f>INDEX('Table S3 Literature Values'!$A$10:$AV$10000,MATCH($C40,'Table S3 Literature Values'!$A$10:$A$10000,0)+1,AG$1)</f>
        <v>0.18378959287479971</v>
      </c>
      <c r="AH40" s="63">
        <f>INDEX('Table S3 Literature Values'!$A$10:$AV$10000,MATCH($C40,'Table S3 Literature Values'!$A$10:$A$10000,0)+2,AG$1)</f>
        <v>4</v>
      </c>
      <c r="AI40" s="61">
        <f>VLOOKUP($C40,'Table S3 Literature Values'!$A$10:$AV$10000,AI$1,FALSE)</f>
        <v>0</v>
      </c>
      <c r="AJ40" s="61">
        <f>INDEX('Table S3 Literature Values'!$A$10:$AV$10000,MATCH($C40,'Table S3 Literature Values'!$A$10:$A$10000,0)+1,AJ$1)</f>
        <v>0</v>
      </c>
      <c r="AK40" s="63">
        <f>INDEX('Table S3 Literature Values'!$A$10:$AV$10000,MATCH($C40,'Table S3 Literature Values'!$A$10:$A$10000,0)+2,AJ$1)</f>
        <v>0</v>
      </c>
      <c r="AL40" s="61">
        <f>VLOOKUP($C40,'Table S3 Literature Values'!$A$10:$AV$10000,AL$1,FALSE)</f>
        <v>0</v>
      </c>
      <c r="AM40" s="61">
        <f>INDEX('Table S3 Literature Values'!$A$10:$AV$10000,MATCH($C40,'Table S3 Literature Values'!$A$10:$A$10000,0)+1,AM$1)</f>
        <v>0</v>
      </c>
      <c r="AN40" s="63">
        <f>INDEX('Table S3 Literature Values'!$A$10:$AV$10000,MATCH($C40,'Table S3 Literature Values'!$A$10:$A$10000,0)+2,AM$1)</f>
        <v>0</v>
      </c>
      <c r="AO40" s="61">
        <f>VLOOKUP($C40,'Table S3 Literature Values'!$A$10:$AV$10000,AO$1,FALSE)</f>
        <v>0</v>
      </c>
      <c r="AP40" s="61">
        <f>INDEX('Table S3 Literature Values'!$A$10:$AV$10000,MATCH($C40,'Table S3 Literature Values'!$A$10:$A$10000,0)+1,AP$1)</f>
        <v>0</v>
      </c>
      <c r="AQ40" s="63">
        <f>INDEX('Table S3 Literature Values'!$A$10:$AV$10000,MATCH($C40,'Table S3 Literature Values'!$A$10:$A$10000,0)+2,AP$1)</f>
        <v>0</v>
      </c>
      <c r="AR40" s="61">
        <f>VLOOKUP($C40,'Table S3 Literature Values'!$A$10:$AV$10000,AR$1,FALSE)</f>
        <v>0</v>
      </c>
      <c r="AS40" s="61">
        <f>INDEX('Table S3 Literature Values'!$A$10:$AV$10000,MATCH($C40,'Table S3 Literature Values'!$A$10:$A$10000,0)+1,AS$1)</f>
        <v>0</v>
      </c>
      <c r="AT40" s="63">
        <f>INDEX('Table S3 Literature Values'!$A$10:$AV$10000,MATCH($C40,'Table S3 Literature Values'!$A$10:$A$10000,0)+2,AS$1)</f>
        <v>0</v>
      </c>
    </row>
    <row r="41" spans="1:46">
      <c r="A41" t="str">
        <f>'Table S2 Compound Identifiers'!C46</f>
        <v>OPE</v>
      </c>
      <c r="B41">
        <f>COUNTIF($C$3:C41,"&lt;&gt;"&amp;"")</f>
        <v>39</v>
      </c>
      <c r="C41" t="str">
        <f>IF('Table S2 Compound Identifiers'!B46="","",'Table S2 Compound Identifiers'!B46)</f>
        <v>EHDPP</v>
      </c>
      <c r="D41" t="str">
        <f>'Table S2 Compound Identifiers'!D46</f>
        <v>1241-94-7</v>
      </c>
      <c r="E41" s="501">
        <f>VLOOKUP(C41,'Table S3 Literature Values'!$A$10:$AV$10000,E$1,FALSE)</f>
        <v>98.617666666666665</v>
      </c>
      <c r="F41" s="61">
        <f>INDEX('Table S3 Literature Values'!$A$10:$AV$10000,MATCH(C41,'Table S3 Literature Values'!$A$10:$A$10000,0)+1,F$1)</f>
        <v>11.372626624194313</v>
      </c>
      <c r="G41" s="63">
        <f>INDEX('Table S3 Literature Values'!$A$10:$AV$10000,MATCH($C41,'Table S3 Literature Values'!$A$10:$A$10000,0)+2,F$1)</f>
        <v>3</v>
      </c>
      <c r="H41" s="61">
        <f>VLOOKUP($C41,'Table S3 Literature Values'!$A$10:$AV$10000,H$1,FALSE)</f>
        <v>0</v>
      </c>
      <c r="I41" s="61">
        <f>INDEX('Table S3 Literature Values'!$A$10:$AV$10000,MATCH($C41,'Table S3 Literature Values'!$A$10:$A$10000,0)+1,I$1)</f>
        <v>0</v>
      </c>
      <c r="J41" s="63">
        <f>INDEX('Table S3 Literature Values'!$A$10:$AV$10000,MATCH($C41,'Table S3 Literature Values'!$A$10:$A$10000,0)+2,I$1)</f>
        <v>0</v>
      </c>
      <c r="K41" s="61">
        <f>VLOOKUP($C41,'Table S3 Literature Values'!$A$10:$AV$10000,K$1,FALSE)</f>
        <v>0</v>
      </c>
      <c r="L41" s="61">
        <f>INDEX('Table S3 Literature Values'!$A$10:$AV$10000,MATCH($C41,'Table S3 Literature Values'!$A$10:$A$10000,0)+1,L$1)</f>
        <v>0</v>
      </c>
      <c r="M41" s="63">
        <f>INDEX('Table S3 Literature Values'!$A$10:$AV$10000,MATCH($C41,'Table S3 Literature Values'!$A$10:$A$10000,0)+2,L$1)</f>
        <v>0</v>
      </c>
      <c r="N41" s="61">
        <f>VLOOKUP($C41,'Table S3 Literature Values'!$A$10:$AV$10000,N$1,FALSE)</f>
        <v>99.75</v>
      </c>
      <c r="O41" s="61">
        <f>INDEX('Table S3 Literature Values'!$A$10:$AV$10000,MATCH($C41,'Table S3 Literature Values'!$A$10:$A$10000,0)+1,O$1)</f>
        <v>6.7175144212722016</v>
      </c>
      <c r="P41" s="63">
        <f>INDEX('Table S3 Literature Values'!$A$10:$AV$10000,MATCH($C41,'Table S3 Literature Values'!$A$10:$A$10000,0)+2,O$1)</f>
        <v>2</v>
      </c>
      <c r="Q41" s="61">
        <f>VLOOKUP($C41,'Table S3 Literature Values'!$A$10:$AV$10000,Q$1,FALSE)</f>
        <v>0</v>
      </c>
      <c r="R41" s="61">
        <f>INDEX('Table S3 Literature Values'!$A$10:$AV$10000,MATCH($C41,'Table S3 Literature Values'!$A$10:$A$10000,0)+1,R$1)</f>
        <v>0</v>
      </c>
      <c r="S41" s="63">
        <f>INDEX('Table S3 Literature Values'!$A$10:$AV$10000,MATCH($C41,'Table S3 Literature Values'!$A$10:$A$10000,0)+2,R$1)</f>
        <v>0</v>
      </c>
      <c r="T41" s="61">
        <f>VLOOKUP($C41,'Table S3 Literature Values'!$A$10:$AV$10000,T$1,FALSE)</f>
        <v>0</v>
      </c>
      <c r="U41" s="61">
        <f>INDEX('Table S3 Literature Values'!$A$10:$AV$10000,MATCH($C41,'Table S3 Literature Values'!$A$10:$A$10000,0)+1,U$1)</f>
        <v>0</v>
      </c>
      <c r="V41" s="63">
        <f>INDEX('Table S3 Literature Values'!$A$10:$AV$10000,MATCH($C41,'Table S3 Literature Values'!$A$10:$A$10000,0)+2,U$1)</f>
        <v>0</v>
      </c>
      <c r="W41" s="61">
        <f>VLOOKUP($C41,'Table S3 Literature Values'!$A$10:$AV$10000,W$1,FALSE)</f>
        <v>10.879999999999999</v>
      </c>
      <c r="X41" s="61">
        <f>INDEX('Table S3 Literature Values'!$A$10:$AV$10000,MATCH($C41,'Table S3 Literature Values'!$A$10:$A$10000,0)+1,X$1)</f>
        <v>0.45254833995938959</v>
      </c>
      <c r="Y41" s="63">
        <f>INDEX('Table S3 Literature Values'!$A$10:$AV$10000,MATCH($C41,'Table S3 Literature Values'!$A$10:$A$10000,0)+2,X$1)</f>
        <v>2</v>
      </c>
      <c r="Z41" s="61">
        <f>VLOOKUP($C41,'Table S3 Literature Values'!$A$10:$AV$10000,Z$1,FALSE)</f>
        <v>5.5325137523428518</v>
      </c>
      <c r="AA41" s="61">
        <f>INDEX('Table S3 Literature Values'!$A$10:$AV$10000,MATCH($C41,'Table S3 Literature Values'!$A$10:$A$10000,0)+1,AA$1)</f>
        <v>0.4666388278829241</v>
      </c>
      <c r="AB41" s="63">
        <f>INDEX('Table S3 Literature Values'!$A$10:$AV$10000,MATCH($C41,'Table S3 Literature Values'!$A$10:$A$10000,0)+2,AA$1)</f>
        <v>3</v>
      </c>
      <c r="AC41" s="61">
        <f>VLOOKUP($C41,'Table S3 Literature Values'!$A$10:$AV$10000,AC$1,FALSE)</f>
        <v>-5.5353437273052064</v>
      </c>
      <c r="AD41" s="61">
        <f>INDEX('Table S3 Literature Values'!$A$10:$AV$10000,MATCH($C41,'Table S3 Literature Values'!$A$10:$A$10000,0)+1,AD$1)</f>
        <v>1.6606031181915619</v>
      </c>
      <c r="AE41" s="63">
        <f>INDEX('Table S3 Literature Values'!$A$10:$AV$10000,MATCH($C41,'Table S3 Literature Values'!$A$10:$A$10000,0)+2,AD$1)</f>
        <v>1</v>
      </c>
      <c r="AF41" s="61">
        <f>VLOOKUP($C41,'Table S3 Literature Values'!$A$10:$AV$10000,AF$1,FALSE)</f>
        <v>-4.2249019599857434</v>
      </c>
      <c r="AG41" s="61">
        <f>INDEX('Table S3 Literature Values'!$A$10:$AV$10000,MATCH($C41,'Table S3 Literature Values'!$A$10:$A$10000,0)+1,AG$1)</f>
        <v>0.21483584436789924</v>
      </c>
      <c r="AH41" s="63">
        <f>INDEX('Table S3 Literature Values'!$A$10:$AV$10000,MATCH($C41,'Table S3 Literature Values'!$A$10:$A$10000,0)+2,AG$1)</f>
        <v>3</v>
      </c>
      <c r="AI41" s="61">
        <f ca="1">VLOOKUP($C41,'Table S3 Literature Values'!$A$10:$AV$10000,AI$1,FALSE)</f>
        <v>-2.8238365561540544</v>
      </c>
      <c r="AJ41" s="61">
        <f ca="1">INDEX('Table S3 Literature Values'!$A$10:$AV$10000,MATCH($C41,'Table S3 Literature Values'!$A$10:$A$10000,0)+1,AJ$1)</f>
        <v>0.90185046293129689</v>
      </c>
      <c r="AK41" s="63">
        <f>INDEX('Table S3 Literature Values'!$A$10:$AV$10000,MATCH($C41,'Table S3 Literature Values'!$A$10:$A$10000,0)+2,AJ$1)</f>
        <v>2</v>
      </c>
      <c r="AL41" s="61">
        <f>VLOOKUP($C41,'Table S3 Literature Values'!$A$10:$AV$10000,AL$1,FALSE)</f>
        <v>0</v>
      </c>
      <c r="AM41" s="61">
        <f>INDEX('Table S3 Literature Values'!$A$10:$AV$10000,MATCH($C41,'Table S3 Literature Values'!$A$10:$A$10000,0)+1,AM$1)</f>
        <v>0</v>
      </c>
      <c r="AN41" s="63">
        <f>INDEX('Table S3 Literature Values'!$A$10:$AV$10000,MATCH($C41,'Table S3 Literature Values'!$A$10:$A$10000,0)+2,AM$1)</f>
        <v>0</v>
      </c>
      <c r="AO41" s="61">
        <f>VLOOKUP($C41,'Table S3 Literature Values'!$A$10:$AV$10000,AO$1,FALSE)</f>
        <v>0</v>
      </c>
      <c r="AP41" s="61">
        <f>INDEX('Table S3 Literature Values'!$A$10:$AV$10000,MATCH($C41,'Table S3 Literature Values'!$A$10:$A$10000,0)+1,AP$1)</f>
        <v>0</v>
      </c>
      <c r="AQ41" s="63">
        <f>INDEX('Table S3 Literature Values'!$A$10:$AV$10000,MATCH($C41,'Table S3 Literature Values'!$A$10:$A$10000,0)+2,AP$1)</f>
        <v>0</v>
      </c>
      <c r="AR41" s="61">
        <f>VLOOKUP($C41,'Table S3 Literature Values'!$A$10:$AV$10000,AR$1,FALSE)</f>
        <v>-67</v>
      </c>
      <c r="AS41" s="61">
        <f>INDEX('Table S3 Literature Values'!$A$10:$AV$10000,MATCH($C41,'Table S3 Literature Values'!$A$10:$A$10000,0)+1,AS$1)</f>
        <v>18.384776310850235</v>
      </c>
      <c r="AT41" s="63">
        <f>INDEX('Table S3 Literature Values'!$A$10:$AV$10000,MATCH($C41,'Table S3 Literature Values'!$A$10:$A$10000,0)+2,AS$1)</f>
        <v>2</v>
      </c>
    </row>
    <row r="42" spans="1:46">
      <c r="A42" t="str">
        <f>'Table S2 Compound Identifiers'!C47</f>
        <v>OPE</v>
      </c>
      <c r="B42">
        <f>COUNTIF($C$3:C42,"&lt;&gt;"&amp;"")</f>
        <v>40</v>
      </c>
      <c r="C42" t="str">
        <f>IF('Table S2 Compound Identifiers'!B47="","",'Table S2 Compound Identifiers'!B47)</f>
        <v>TDBPP</v>
      </c>
      <c r="D42" t="str">
        <f>'Table S2 Compound Identifiers'!D47</f>
        <v>126-72-7</v>
      </c>
      <c r="E42" s="501">
        <f>VLOOKUP(C42,'Table S3 Literature Values'!$A$10:$AV$10000,E$1,FALSE)</f>
        <v>77.2</v>
      </c>
      <c r="F42" s="61">
        <f>INDEX('Table S3 Literature Values'!$A$10:$AV$10000,MATCH(C42,'Table S3 Literature Values'!$A$10:$A$10000,0)+1,F$1)</f>
        <v>5.5092559058066515</v>
      </c>
      <c r="G42" s="63">
        <f>INDEX('Table S3 Literature Values'!$A$10:$AV$10000,MATCH($C42,'Table S3 Literature Values'!$A$10:$A$10000,0)+2,F$1)</f>
        <v>1</v>
      </c>
      <c r="H42" s="61">
        <f>VLOOKUP($C42,'Table S3 Literature Values'!$A$10:$AV$10000,H$1,FALSE)</f>
        <v>0</v>
      </c>
      <c r="I42" s="61">
        <f>INDEX('Table S3 Literature Values'!$A$10:$AV$10000,MATCH($C42,'Table S3 Literature Values'!$A$10:$A$10000,0)+1,I$1)</f>
        <v>0</v>
      </c>
      <c r="J42" s="63">
        <f>INDEX('Table S3 Literature Values'!$A$10:$AV$10000,MATCH($C42,'Table S3 Literature Values'!$A$10:$A$10000,0)+2,I$1)</f>
        <v>0</v>
      </c>
      <c r="K42" s="61">
        <f>VLOOKUP($C42,'Table S3 Literature Values'!$A$10:$AV$10000,K$1,FALSE)</f>
        <v>0</v>
      </c>
      <c r="L42" s="61">
        <f>INDEX('Table S3 Literature Values'!$A$10:$AV$10000,MATCH($C42,'Table S3 Literature Values'!$A$10:$A$10000,0)+1,L$1)</f>
        <v>0</v>
      </c>
      <c r="M42" s="63">
        <f>INDEX('Table S3 Literature Values'!$A$10:$AV$10000,MATCH($C42,'Table S3 Literature Values'!$A$10:$A$10000,0)+2,L$1)</f>
        <v>0</v>
      </c>
      <c r="N42" s="61">
        <f>VLOOKUP($C42,'Table S3 Literature Values'!$A$10:$AV$10000,N$1,FALSE)</f>
        <v>0</v>
      </c>
      <c r="O42" s="61">
        <f>INDEX('Table S3 Literature Values'!$A$10:$AV$10000,MATCH($C42,'Table S3 Literature Values'!$A$10:$A$10000,0)+1,O$1)</f>
        <v>0</v>
      </c>
      <c r="P42" s="63">
        <f>INDEX('Table S3 Literature Values'!$A$10:$AV$10000,MATCH($C42,'Table S3 Literature Values'!$A$10:$A$10000,0)+2,O$1)</f>
        <v>0</v>
      </c>
      <c r="Q42" s="61">
        <f>VLOOKUP($C42,'Table S3 Literature Values'!$A$10:$AV$10000,Q$1,FALSE)</f>
        <v>0</v>
      </c>
      <c r="R42" s="61">
        <f>INDEX('Table S3 Literature Values'!$A$10:$AV$10000,MATCH($C42,'Table S3 Literature Values'!$A$10:$A$10000,0)+1,R$1)</f>
        <v>0</v>
      </c>
      <c r="S42" s="63">
        <f>INDEX('Table S3 Literature Values'!$A$10:$AV$10000,MATCH($C42,'Table S3 Literature Values'!$A$10:$A$10000,0)+2,R$1)</f>
        <v>0</v>
      </c>
      <c r="T42" s="61">
        <f>VLOOKUP($C42,'Table S3 Literature Values'!$A$10:$AV$10000,T$1,FALSE)</f>
        <v>0</v>
      </c>
      <c r="U42" s="61">
        <f>INDEX('Table S3 Literature Values'!$A$10:$AV$10000,MATCH($C42,'Table S3 Literature Values'!$A$10:$A$10000,0)+1,U$1)</f>
        <v>0</v>
      </c>
      <c r="V42" s="63">
        <f>INDEX('Table S3 Literature Values'!$A$10:$AV$10000,MATCH($C42,'Table S3 Literature Values'!$A$10:$A$10000,0)+2,U$1)</f>
        <v>0</v>
      </c>
      <c r="W42" s="61">
        <f>VLOOKUP($C42,'Table S3 Literature Values'!$A$10:$AV$10000,W$1,FALSE)</f>
        <v>0</v>
      </c>
      <c r="X42" s="61">
        <f>INDEX('Table S3 Literature Values'!$A$10:$AV$10000,MATCH($C42,'Table S3 Literature Values'!$A$10:$A$10000,0)+1,X$1)</f>
        <v>0</v>
      </c>
      <c r="Y42" s="63">
        <f>INDEX('Table S3 Literature Values'!$A$10:$AV$10000,MATCH($C42,'Table S3 Literature Values'!$A$10:$A$10000,0)+2,X$1)</f>
        <v>0</v>
      </c>
      <c r="Z42" s="61">
        <f>VLOOKUP($C42,'Table S3 Literature Values'!$A$10:$AV$10000,Z$1,FALSE)</f>
        <v>4.6850000000000005</v>
      </c>
      <c r="AA42" s="61">
        <f>INDEX('Table S3 Literature Values'!$A$10:$AV$10000,MATCH($C42,'Table S3 Literature Values'!$A$10:$A$10000,0)+1,AA$1)</f>
        <v>0.41719300090006356</v>
      </c>
      <c r="AB42" s="63">
        <f>INDEX('Table S3 Literature Values'!$A$10:$AV$10000,MATCH($C42,'Table S3 Literature Values'!$A$10:$A$10000,0)+2,AA$1)</f>
        <v>2</v>
      </c>
      <c r="AC42" s="61">
        <f>VLOOKUP($C42,'Table S3 Literature Values'!$A$10:$AV$10000,AC$1,FALSE)</f>
        <v>0</v>
      </c>
      <c r="AD42" s="61">
        <f>INDEX('Table S3 Literature Values'!$A$10:$AV$10000,MATCH($C42,'Table S3 Literature Values'!$A$10:$A$10000,0)+1,AD$1)</f>
        <v>0</v>
      </c>
      <c r="AE42" s="63">
        <f>INDEX('Table S3 Literature Values'!$A$10:$AV$10000,MATCH($C42,'Table S3 Literature Values'!$A$10:$A$10000,0)+2,AD$1)</f>
        <v>0</v>
      </c>
      <c r="AF42" s="61">
        <f>VLOOKUP($C42,'Table S3 Literature Values'!$A$10:$AV$10000,AF$1,FALSE)</f>
        <v>-4.3871611703129787</v>
      </c>
      <c r="AG42" s="61">
        <f>INDEX('Table S3 Literature Values'!$A$10:$AV$10000,MATCH($C42,'Table S3 Literature Values'!$A$10:$A$10000,0)+1,AG$1)</f>
        <v>0.69608618959187496</v>
      </c>
      <c r="AH42" s="63">
        <f>INDEX('Table S3 Literature Values'!$A$10:$AV$10000,MATCH($C42,'Table S3 Literature Values'!$A$10:$A$10000,0)+2,AG$1)</f>
        <v>1</v>
      </c>
      <c r="AI42" s="61">
        <f>VLOOKUP($C42,'Table S3 Literature Values'!$A$10:$AV$10000,AI$1,FALSE)</f>
        <v>-2.2900095802422902</v>
      </c>
      <c r="AJ42" s="61">
        <f>INDEX('Table S3 Literature Values'!$A$10:$AV$10000,MATCH($C42,'Table S3 Literature Values'!$A$10:$A$10000,0)+1,AJ$1)</f>
        <v>0.49424642991199053</v>
      </c>
      <c r="AK42" s="63">
        <f>INDEX('Table S3 Literature Values'!$A$10:$AV$10000,MATCH($C42,'Table S3 Literature Values'!$A$10:$A$10000,0)+2,AJ$1)</f>
        <v>2</v>
      </c>
      <c r="AL42" s="61">
        <f>VLOOKUP($C42,'Table S3 Literature Values'!$A$10:$AV$10000,AL$1,FALSE)</f>
        <v>0</v>
      </c>
      <c r="AM42" s="61">
        <f>INDEX('Table S3 Literature Values'!$A$10:$AV$10000,MATCH($C42,'Table S3 Literature Values'!$A$10:$A$10000,0)+1,AM$1)</f>
        <v>0</v>
      </c>
      <c r="AN42" s="63">
        <f>INDEX('Table S3 Literature Values'!$A$10:$AV$10000,MATCH($C42,'Table S3 Literature Values'!$A$10:$A$10000,0)+2,AM$1)</f>
        <v>0</v>
      </c>
      <c r="AO42" s="61">
        <f>VLOOKUP($C42,'Table S3 Literature Values'!$A$10:$AV$10000,AO$1,FALSE)</f>
        <v>0</v>
      </c>
      <c r="AP42" s="61">
        <f>INDEX('Table S3 Literature Values'!$A$10:$AV$10000,MATCH($C42,'Table S3 Literature Values'!$A$10:$A$10000,0)+1,AP$1)</f>
        <v>0</v>
      </c>
      <c r="AQ42" s="63">
        <f>INDEX('Table S3 Literature Values'!$A$10:$AV$10000,MATCH($C42,'Table S3 Literature Values'!$A$10:$A$10000,0)+2,AP$1)</f>
        <v>0</v>
      </c>
      <c r="AR42" s="61">
        <f>VLOOKUP($C42,'Table S3 Literature Values'!$A$10:$AV$10000,AR$1,FALSE)</f>
        <v>119.5</v>
      </c>
      <c r="AS42" s="61">
        <f>INDEX('Table S3 Literature Values'!$A$10:$AV$10000,MATCH($C42,'Table S3 Literature Values'!$A$10:$A$10000,0)+1,AS$1)</f>
        <v>5.5168032040291219</v>
      </c>
      <c r="AT42" s="63">
        <f>INDEX('Table S3 Literature Values'!$A$10:$AV$10000,MATCH($C42,'Table S3 Literature Values'!$A$10:$A$10000,0)+2,AS$1)</f>
        <v>1</v>
      </c>
    </row>
    <row r="43" spans="1:46">
      <c r="A43" t="str">
        <f>'Table S2 Compound Identifiers'!C48</f>
        <v>PAH</v>
      </c>
      <c r="B43">
        <f>COUNTIF($C$3:C43,"&lt;&gt;"&amp;"")</f>
        <v>41</v>
      </c>
      <c r="C43" t="str">
        <f>IF('Table S2 Compound Identifiers'!B48="","",'Table S2 Compound Identifiers'!B48)</f>
        <v>benzo[a]pyrene</v>
      </c>
      <c r="D43" t="str">
        <f>'Table S2 Compound Identifiers'!D48</f>
        <v>50-32-8</v>
      </c>
      <c r="E43" s="501">
        <f>VLOOKUP(C43,'Table S3 Literature Values'!$A$10:$AV$10000,E$1,FALSE)</f>
        <v>102.97044542908371</v>
      </c>
      <c r="F43" s="61">
        <f>INDEX('Table S3 Literature Values'!$A$10:$AV$10000,MATCH(C43,'Table S3 Literature Values'!$A$10:$A$10000,0)+1,F$1)</f>
        <v>8.2645317733743067</v>
      </c>
      <c r="G43" s="63">
        <f>INDEX('Table S3 Literature Values'!$A$10:$AV$10000,MATCH($C43,'Table S3 Literature Values'!$A$10:$A$10000,0)+2,F$1)</f>
        <v>8</v>
      </c>
      <c r="H43" s="61">
        <f>VLOOKUP($C43,'Table S3 Literature Values'!$A$10:$AV$10000,H$1,FALSE)</f>
        <v>28.535700146660066</v>
      </c>
      <c r="I43" s="61">
        <f>INDEX('Table S3 Literature Values'!$A$10:$AV$10000,MATCH($C43,'Table S3 Literature Values'!$A$10:$A$10000,0)+1,I$1)</f>
        <v>9.3194645443453155</v>
      </c>
      <c r="J43" s="63">
        <f>INDEX('Table S3 Literature Values'!$A$10:$AV$10000,MATCH($C43,'Table S3 Literature Values'!$A$10:$A$10000,0)+2,I$1)</f>
        <v>3</v>
      </c>
      <c r="K43" s="61">
        <f>VLOOKUP($C43,'Table S3 Literature Values'!$A$10:$AV$10000,K$1,FALSE)</f>
        <v>7.6253721994684973</v>
      </c>
      <c r="L43" s="61">
        <f>INDEX('Table S3 Literature Values'!$A$10:$AV$10000,MATCH($C43,'Table S3 Literature Values'!$A$10:$A$10000,0)+1,L$1)</f>
        <v>2.2876116598405489</v>
      </c>
      <c r="M43" s="63">
        <f>INDEX('Table S3 Literature Values'!$A$10:$AV$10000,MATCH($C43,'Table S3 Literature Values'!$A$10:$A$10000,0)+2,L$1)</f>
        <v>1</v>
      </c>
      <c r="N43" s="61">
        <f>VLOOKUP($C43,'Table S3 Literature Values'!$A$10:$AV$10000,N$1,FALSE)</f>
        <v>101.25</v>
      </c>
      <c r="O43" s="61">
        <f>INDEX('Table S3 Literature Values'!$A$10:$AV$10000,MATCH($C43,'Table S3 Literature Values'!$A$10:$A$10000,0)+1,O$1)</f>
        <v>2.616295090390218</v>
      </c>
      <c r="P43" s="63">
        <f>INDEX('Table S3 Literature Values'!$A$10:$AV$10000,MATCH($C43,'Table S3 Literature Values'!$A$10:$A$10000,0)+2,O$1)</f>
        <v>2</v>
      </c>
      <c r="Q43" s="61">
        <f>VLOOKUP($C43,'Table S3 Literature Values'!$A$10:$AV$10000,Q$1,FALSE)</f>
        <v>36.872581419041104</v>
      </c>
      <c r="R43" s="61">
        <f>INDEX('Table S3 Literature Values'!$A$10:$AV$10000,MATCH($C43,'Table S3 Literature Values'!$A$10:$A$10000,0)+1,R$1)</f>
        <v>11.061774425712331</v>
      </c>
      <c r="S43" s="63">
        <f>INDEX('Table S3 Literature Values'!$A$10:$AV$10000,MATCH($C43,'Table S3 Literature Values'!$A$10:$A$10000,0)+2,R$1)</f>
        <v>1</v>
      </c>
      <c r="T43" s="61">
        <f>VLOOKUP($C43,'Table S3 Literature Values'!$A$10:$AV$10000,T$1,FALSE)</f>
        <v>-25.4</v>
      </c>
      <c r="U43" s="61">
        <f>INDEX('Table S3 Literature Values'!$A$10:$AV$10000,MATCH($C43,'Table S3 Literature Values'!$A$10:$A$10000,0)+1,U$1)</f>
        <v>5.08</v>
      </c>
      <c r="V43" s="63">
        <f>INDEX('Table S3 Literature Values'!$A$10:$AV$10000,MATCH($C43,'Table S3 Literature Values'!$A$10:$A$10000,0)+2,U$1)</f>
        <v>1</v>
      </c>
      <c r="W43" s="61">
        <f>VLOOKUP($C43,'Table S3 Literature Values'!$A$10:$AV$10000,W$1,FALSE)</f>
        <v>11.228588497286774</v>
      </c>
      <c r="X43" s="61">
        <f>INDEX('Table S3 Literature Values'!$A$10:$AV$10000,MATCH($C43,'Table S3 Literature Values'!$A$10:$A$10000,0)+1,X$1)</f>
        <v>0.46868664186349301</v>
      </c>
      <c r="Y43" s="63">
        <f>INDEX('Table S3 Literature Values'!$A$10:$AV$10000,MATCH($C43,'Table S3 Literature Values'!$A$10:$A$10000,0)+2,X$1)</f>
        <v>2</v>
      </c>
      <c r="Z43" s="61">
        <f ca="1">VLOOKUP($C43,'Table S3 Literature Values'!$A$10:$AV$10000,Z$1,FALSE)</f>
        <v>6.1318209339345842</v>
      </c>
      <c r="AA43" s="61">
        <f ca="1">INDEX('Table S3 Literature Values'!$A$10:$AV$10000,MATCH($C43,'Table S3 Literature Values'!$A$10:$A$10000,0)+1,AA$1)</f>
        <v>0.2700030284701323</v>
      </c>
      <c r="AB43" s="63">
        <f ca="1">INDEX('Table S3 Literature Values'!$A$10:$AV$10000,MATCH($C43,'Table S3 Literature Values'!$A$10:$A$10000,0)+2,AA$1)</f>
        <v>5</v>
      </c>
      <c r="AC43" s="61">
        <f>VLOOKUP($C43,'Table S3 Literature Values'!$A$10:$AV$10000,AC$1,FALSE)</f>
        <v>-4.5228787452803374</v>
      </c>
      <c r="AD43" s="61">
        <f>INDEX('Table S3 Literature Values'!$A$10:$AV$10000,MATCH($C43,'Table S3 Literature Values'!$A$10:$A$10000,0)+1,AD$1)</f>
        <v>0.90457574905606752</v>
      </c>
      <c r="AE43" s="63">
        <f>INDEX('Table S3 Literature Values'!$A$10:$AV$10000,MATCH($C43,'Table S3 Literature Values'!$A$10:$A$10000,0)+2,AD$1)</f>
        <v>1</v>
      </c>
      <c r="AF43" s="61">
        <f>VLOOKUP($C43,'Table S3 Literature Values'!$A$10:$AV$10000,AF$1,FALSE)</f>
        <v>-4.6349999999999998</v>
      </c>
      <c r="AG43" s="61">
        <f>INDEX('Table S3 Literature Values'!$A$10:$AV$10000,MATCH($C43,'Table S3 Literature Values'!$A$10:$A$10000,0)+1,AG$1)</f>
        <v>0.57275649276110319</v>
      </c>
      <c r="AH43" s="63">
        <f>INDEX('Table S3 Literature Values'!$A$10:$AV$10000,MATCH($C43,'Table S3 Literature Values'!$A$10:$A$10000,0)+2,AG$1)</f>
        <v>9</v>
      </c>
      <c r="AI43" s="61">
        <f ca="1">VLOOKUP($C43,'Table S3 Literature Values'!$A$10:$AV$10000,AI$1,FALSE)</f>
        <v>-4.1856271642104357</v>
      </c>
      <c r="AJ43" s="61">
        <f ca="1">INDEX('Table S3 Literature Values'!$A$10:$AV$10000,MATCH($C43,'Table S3 Literature Values'!$A$10:$A$10000,0)+1,AJ$1)</f>
        <v>0.27611870329049543</v>
      </c>
      <c r="AK43" s="63">
        <f ca="1">INDEX('Table S3 Literature Values'!$A$10:$AV$10000,MATCH($C43,'Table S3 Literature Values'!$A$10:$A$10000,0)+2,AJ$1)</f>
        <v>11</v>
      </c>
      <c r="AL43" s="61">
        <f ca="1">VLOOKUP($C43,'Table S3 Literature Values'!$A$10:$AV$10000,AL$1,FALSE)</f>
        <v>2.2353977200130184</v>
      </c>
      <c r="AM43" s="61">
        <f ca="1">INDEX('Table S3 Literature Values'!$A$10:$AV$10000,MATCH($C43,'Table S3 Literature Values'!$A$10:$A$10000,0)+1,AM$1)</f>
        <v>0.44707954400260369</v>
      </c>
      <c r="AN43" s="63">
        <f ca="1">INDEX('Table S3 Literature Values'!$A$10:$AV$10000,MATCH($C43,'Table S3 Literature Values'!$A$10:$A$10000,0)+2,AM$1)</f>
        <v>1</v>
      </c>
      <c r="AO43" s="61">
        <f>VLOOKUP($C43,'Table S3 Literature Values'!$A$10:$AV$10000,AO$1,FALSE)</f>
        <v>36.703691924967444</v>
      </c>
      <c r="AP43" s="61">
        <f>INDEX('Table S3 Literature Values'!$A$10:$AV$10000,MATCH($C43,'Table S3 Literature Values'!$A$10:$A$10000,0)+1,AP$1)</f>
        <v>2.8061861822140384</v>
      </c>
      <c r="AQ43" s="63">
        <f>INDEX('Table S3 Literature Values'!$A$10:$AV$10000,MATCH($C43,'Table S3 Literature Values'!$A$10:$A$10000,0)+2,AP$1)</f>
        <v>2</v>
      </c>
      <c r="AR43" s="61">
        <f>VLOOKUP($C43,'Table S3 Literature Values'!$A$10:$AV$10000,AR$1,FALSE)</f>
        <v>177.33333333333334</v>
      </c>
      <c r="AS43" s="61">
        <f>INDEX('Table S3 Literature Values'!$A$10:$AV$10000,MATCH($C43,'Table S3 Literature Values'!$A$10:$A$10000,0)+1,AS$1)</f>
        <v>1.5275252316519465</v>
      </c>
      <c r="AT43" s="63">
        <f>INDEX('Table S3 Literature Values'!$A$10:$AV$10000,MATCH($C43,'Table S3 Literature Values'!$A$10:$A$10000,0)+2,AS$1)</f>
        <v>4</v>
      </c>
    </row>
    <row r="44" spans="1:46">
      <c r="A44" t="str">
        <f>'Table S2 Compound Identifiers'!C49</f>
        <v>PAH</v>
      </c>
      <c r="B44">
        <f>COUNTIF($C$3:C44,"&lt;&gt;"&amp;"")</f>
        <v>42</v>
      </c>
      <c r="C44" t="str">
        <f>IF('Table S2 Compound Identifiers'!B49="","",'Table S2 Compound Identifiers'!B49)</f>
        <v>benzo[k]fluoranthene</v>
      </c>
      <c r="D44" t="str">
        <f>'Table S2 Compound Identifiers'!D49</f>
        <v>207-08-09</v>
      </c>
      <c r="E44" s="501">
        <f>VLOOKUP(C44,'Table S3 Literature Values'!$A$10:$AV$10000,E$1,FALSE)</f>
        <v>105.49559435946666</v>
      </c>
      <c r="F44" s="61">
        <f>INDEX('Table S3 Literature Values'!$A$10:$AV$10000,MATCH(C44,'Table S3 Literature Values'!$A$10:$A$10000,0)+1,F$1)</f>
        <v>7.5751191460147407</v>
      </c>
      <c r="G44" s="63">
        <f>INDEX('Table S3 Literature Values'!$A$10:$AV$10000,MATCH($C44,'Table S3 Literature Values'!$A$10:$A$10000,0)+2,F$1)</f>
        <v>5</v>
      </c>
      <c r="H44" s="61">
        <f>VLOOKUP($C44,'Table S3 Literature Values'!$A$10:$AV$10000,H$1,FALSE)</f>
        <v>0</v>
      </c>
      <c r="I44" s="61">
        <f>INDEX('Table S3 Literature Values'!$A$10:$AV$10000,MATCH($C44,'Table S3 Literature Values'!$A$10:$A$10000,0)+1,I$1)</f>
        <v>0</v>
      </c>
      <c r="J44" s="63">
        <f>INDEX('Table S3 Literature Values'!$A$10:$AV$10000,MATCH($C44,'Table S3 Literature Values'!$A$10:$A$10000,0)+2,I$1)</f>
        <v>0</v>
      </c>
      <c r="K44" s="61">
        <f>VLOOKUP($C44,'Table S3 Literature Values'!$A$10:$AV$10000,K$1,FALSE)</f>
        <v>0</v>
      </c>
      <c r="L44" s="61">
        <f>INDEX('Table S3 Literature Values'!$A$10:$AV$10000,MATCH($C44,'Table S3 Literature Values'!$A$10:$A$10000,0)+1,L$1)</f>
        <v>0</v>
      </c>
      <c r="M44" s="63">
        <f>INDEX('Table S3 Literature Values'!$A$10:$AV$10000,MATCH($C44,'Table S3 Literature Values'!$A$10:$A$10000,0)+2,L$1)</f>
        <v>0</v>
      </c>
      <c r="N44" s="61">
        <f>VLOOKUP($C44,'Table S3 Literature Values'!$A$10:$AV$10000,N$1,FALSE)</f>
        <v>100.05</v>
      </c>
      <c r="O44" s="61">
        <f>INDEX('Table S3 Literature Values'!$A$10:$AV$10000,MATCH($C44,'Table S3 Literature Values'!$A$10:$A$10000,0)+1,O$1)</f>
        <v>2.0506096654409918</v>
      </c>
      <c r="P44" s="63">
        <f>INDEX('Table S3 Literature Values'!$A$10:$AV$10000,MATCH($C44,'Table S3 Literature Values'!$A$10:$A$10000,0)+2,O$1)</f>
        <v>2</v>
      </c>
      <c r="Q44" s="61">
        <f>VLOOKUP($C44,'Table S3 Literature Values'!$A$10:$AV$10000,Q$1,FALSE)</f>
        <v>46.260425888396732</v>
      </c>
      <c r="R44" s="61">
        <f>INDEX('Table S3 Literature Values'!$A$10:$AV$10000,MATCH($C44,'Table S3 Literature Values'!$A$10:$A$10000,0)+1,R$1)</f>
        <v>13.87812776651902</v>
      </c>
      <c r="S44" s="63">
        <f>INDEX('Table S3 Literature Values'!$A$10:$AV$10000,MATCH($C44,'Table S3 Literature Values'!$A$10:$A$10000,0)+2,R$1)</f>
        <v>1</v>
      </c>
      <c r="T44" s="61">
        <f>VLOOKUP($C44,'Table S3 Literature Values'!$A$10:$AV$10000,T$1,FALSE)</f>
        <v>0</v>
      </c>
      <c r="U44" s="61">
        <f>INDEX('Table S3 Literature Values'!$A$10:$AV$10000,MATCH($C44,'Table S3 Literature Values'!$A$10:$A$10000,0)+1,U$1)</f>
        <v>0</v>
      </c>
      <c r="V44" s="63">
        <f>INDEX('Table S3 Literature Values'!$A$10:$AV$10000,MATCH($C44,'Table S3 Literature Values'!$A$10:$A$10000,0)+2,U$1)</f>
        <v>0</v>
      </c>
      <c r="W44" s="61">
        <f>VLOOKUP($C44,'Table S3 Literature Values'!$A$10:$AV$10000,W$1,FALSE)</f>
        <v>11.073997910243794</v>
      </c>
      <c r="X44" s="61">
        <f>INDEX('Table S3 Literature Values'!$A$10:$AV$10000,MATCH($C44,'Table S3 Literature Values'!$A$10:$A$10000,0)+1,X$1)</f>
        <v>0.41861016982400551</v>
      </c>
      <c r="Y44" s="63">
        <f>INDEX('Table S3 Literature Values'!$A$10:$AV$10000,MATCH($C44,'Table S3 Literature Values'!$A$10:$A$10000,0)+2,X$1)</f>
        <v>2</v>
      </c>
      <c r="Z44" s="61">
        <f>VLOOKUP($C44,'Table S3 Literature Values'!$A$10:$AV$10000,Z$1,FALSE)</f>
        <v>5.6850000000000005</v>
      </c>
      <c r="AA44" s="61">
        <f>INDEX('Table S3 Literature Values'!$A$10:$AV$10000,MATCH($C44,'Table S3 Literature Values'!$A$10:$A$10000,0)+1,AA$1)</f>
        <v>0.36062445840513968</v>
      </c>
      <c r="AB44" s="63">
        <f>INDEX('Table S3 Literature Values'!$A$10:$AV$10000,MATCH($C44,'Table S3 Literature Values'!$A$10:$A$10000,0)+2,AA$1)</f>
        <v>2</v>
      </c>
      <c r="AC44" s="61">
        <f>VLOOKUP($C44,'Table S3 Literature Values'!$A$10:$AV$10000,AC$1,FALSE)</f>
        <v>0</v>
      </c>
      <c r="AD44" s="61">
        <f>INDEX('Table S3 Literature Values'!$A$10:$AV$10000,MATCH($C44,'Table S3 Literature Values'!$A$10:$A$10000,0)+1,AD$1)</f>
        <v>0</v>
      </c>
      <c r="AE44" s="63">
        <f>INDEX('Table S3 Literature Values'!$A$10:$AV$10000,MATCH($C44,'Table S3 Literature Values'!$A$10:$A$10000,0)+2,AD$1)</f>
        <v>0</v>
      </c>
      <c r="AF44" s="61">
        <f>VLOOKUP($C44,'Table S3 Literature Values'!$A$10:$AV$10000,AF$1,FALSE)</f>
        <v>-4.6904457173535388</v>
      </c>
      <c r="AG44" s="61">
        <f>INDEX('Table S3 Literature Values'!$A$10:$AV$10000,MATCH($C44,'Table S3 Literature Values'!$A$10:$A$10000,0)+1,AG$1)</f>
        <v>0.35274120168317763</v>
      </c>
      <c r="AH44" s="63">
        <f>INDEX('Table S3 Literature Values'!$A$10:$AV$10000,MATCH($C44,'Table S3 Literature Values'!$A$10:$A$10000,0)+2,AG$1)</f>
        <v>4</v>
      </c>
      <c r="AI44" s="61">
        <f>VLOOKUP($C44,'Table S3 Literature Values'!$A$10:$AV$10000,AI$1,FALSE)</f>
        <v>-3.2450748650495234</v>
      </c>
      <c r="AJ44" s="61">
        <f>INDEX('Table S3 Literature Values'!$A$10:$AV$10000,MATCH($C44,'Table S3 Literature Values'!$A$10:$A$10000,0)+1,AJ$1)</f>
        <v>0.25242396939971734</v>
      </c>
      <c r="AK44" s="63">
        <f>INDEX('Table S3 Literature Values'!$A$10:$AV$10000,MATCH($C44,'Table S3 Literature Values'!$A$10:$A$10000,0)+2,AJ$1)</f>
        <v>2</v>
      </c>
      <c r="AL44" s="61">
        <f>VLOOKUP($C44,'Table S3 Literature Values'!$A$10:$AV$10000,AL$1,FALSE)</f>
        <v>0</v>
      </c>
      <c r="AM44" s="61">
        <f>INDEX('Table S3 Literature Values'!$A$10:$AV$10000,MATCH($C44,'Table S3 Literature Values'!$A$10:$A$10000,0)+1,AM$1)</f>
        <v>0</v>
      </c>
      <c r="AN44" s="63">
        <f>INDEX('Table S3 Literature Values'!$A$10:$AV$10000,MATCH($C44,'Table S3 Literature Values'!$A$10:$A$10000,0)+2,AM$1)</f>
        <v>0</v>
      </c>
      <c r="AO44" s="61">
        <f>VLOOKUP($C44,'Table S3 Literature Values'!$A$10:$AV$10000,AO$1,FALSE)</f>
        <v>0</v>
      </c>
      <c r="AP44" s="61">
        <f>INDEX('Table S3 Literature Values'!$A$10:$AV$10000,MATCH($C44,'Table S3 Literature Values'!$A$10:$A$10000,0)+1,AP$1)</f>
        <v>0</v>
      </c>
      <c r="AQ44" s="63">
        <f>INDEX('Table S3 Literature Values'!$A$10:$AV$10000,MATCH($C44,'Table S3 Literature Values'!$A$10:$A$10000,0)+2,AP$1)</f>
        <v>0</v>
      </c>
      <c r="AR44" s="61">
        <f>VLOOKUP($C44,'Table S3 Literature Values'!$A$10:$AV$10000,AR$1,FALSE)</f>
        <v>216.61666666666667</v>
      </c>
      <c r="AS44" s="61">
        <f>INDEX('Table S3 Literature Values'!$A$10:$AV$10000,MATCH($C44,'Table S3 Literature Values'!$A$10:$A$10000,0)+1,AS$1)</f>
        <v>0.53928965624545278</v>
      </c>
      <c r="AT44" s="63">
        <f>INDEX('Table S3 Literature Values'!$A$10:$AV$10000,MATCH($C44,'Table S3 Literature Values'!$A$10:$A$10000,0)+2,AS$1)</f>
        <v>3</v>
      </c>
    </row>
    <row r="45" spans="1:46">
      <c r="A45" t="str">
        <f>'Table S2 Compound Identifiers'!C50</f>
        <v>PBDE</v>
      </c>
      <c r="B45">
        <f>COUNTIF($C$3:C45,"&lt;&gt;"&amp;"")</f>
        <v>43</v>
      </c>
      <c r="C45" t="str">
        <f>IF('Table S2 Compound Identifiers'!B50="","",'Table S2 Compound Identifiers'!B50)</f>
        <v>BDE-47</v>
      </c>
      <c r="D45" t="str">
        <f>'Table S2 Compound Identifiers'!D50</f>
        <v>5436-43-1</v>
      </c>
      <c r="E45" s="501">
        <f>VLOOKUP(C45,'Table S3 Literature Values'!$A$10:$AV$10000,E$1,FALSE)</f>
        <v>94.14</v>
      </c>
      <c r="F45" s="61">
        <f>INDEX('Table S3 Literature Values'!$A$10:$AV$10000,MATCH(C45,'Table S3 Literature Values'!$A$10:$A$10000,0)+1,F$1)</f>
        <v>4.4506179346243595</v>
      </c>
      <c r="G45" s="63">
        <f>INDEX('Table S3 Literature Values'!$A$10:$AV$10000,MATCH($C45,'Table S3 Literature Values'!$A$10:$A$10000,0)+2,F$1)</f>
        <v>4</v>
      </c>
      <c r="H45" s="61">
        <f>VLOOKUP($C45,'Table S3 Literature Values'!$A$10:$AV$10000,H$1,FALSE)</f>
        <v>14.9</v>
      </c>
      <c r="I45" s="61">
        <f>INDEX('Table S3 Literature Values'!$A$10:$AV$10000,MATCH($C45,'Table S3 Literature Values'!$A$10:$A$10000,0)+1,I$1)</f>
        <v>2.9800000000000004</v>
      </c>
      <c r="J45" s="63">
        <f>INDEX('Table S3 Literature Values'!$A$10:$AV$10000,MATCH($C45,'Table S3 Literature Values'!$A$10:$A$10000,0)+2,I$1)</f>
        <v>1</v>
      </c>
      <c r="K45" s="61">
        <f>VLOOKUP($C45,'Table S3 Literature Values'!$A$10:$AV$10000,K$1,FALSE)</f>
        <v>0</v>
      </c>
      <c r="L45" s="61">
        <f>INDEX('Table S3 Literature Values'!$A$10:$AV$10000,MATCH($C45,'Table S3 Literature Values'!$A$10:$A$10000,0)+1,L$1)</f>
        <v>0</v>
      </c>
      <c r="M45" s="63">
        <f>INDEX('Table S3 Literature Values'!$A$10:$AV$10000,MATCH($C45,'Table S3 Literature Values'!$A$10:$A$10000,0)+2,L$1)</f>
        <v>0</v>
      </c>
      <c r="N45" s="61">
        <f>VLOOKUP($C45,'Table S3 Literature Values'!$A$10:$AV$10000,N$1,FALSE)</f>
        <v>93.4</v>
      </c>
      <c r="O45" s="61">
        <f>INDEX('Table S3 Literature Values'!$A$10:$AV$10000,MATCH($C45,'Table S3 Literature Values'!$A$10:$A$10000,0)+1,O$1)</f>
        <v>4.6669047558312196</v>
      </c>
      <c r="P45" s="63">
        <f>INDEX('Table S3 Literature Values'!$A$10:$AV$10000,MATCH($C45,'Table S3 Literature Values'!$A$10:$A$10000,0)+2,O$1)</f>
        <v>2</v>
      </c>
      <c r="Q45" s="61">
        <f>VLOOKUP($C45,'Table S3 Literature Values'!$A$10:$AV$10000,Q$1,FALSE)</f>
        <v>58.509</v>
      </c>
      <c r="R45" s="61">
        <f>INDEX('Table S3 Literature Values'!$A$10:$AV$10000,MATCH($C45,'Table S3 Literature Values'!$A$10:$A$10000,0)+1,R$1)</f>
        <v>17.552699999999998</v>
      </c>
      <c r="S45" s="63">
        <f>INDEX('Table S3 Literature Values'!$A$10:$AV$10000,MATCH($C45,'Table S3 Literature Values'!$A$10:$A$10000,0)+2,R$1)</f>
        <v>1</v>
      </c>
      <c r="T45" s="61">
        <f>VLOOKUP($C45,'Table S3 Literature Values'!$A$10:$AV$10000,T$1,FALSE)</f>
        <v>-21.7</v>
      </c>
      <c r="U45" s="61">
        <f>INDEX('Table S3 Literature Values'!$A$10:$AV$10000,MATCH($C45,'Table S3 Literature Values'!$A$10:$A$10000,0)+1,U$1)</f>
        <v>4.34</v>
      </c>
      <c r="V45" s="63">
        <f>INDEX('Table S3 Literature Values'!$A$10:$AV$10000,MATCH($C45,'Table S3 Literature Values'!$A$10:$A$10000,0)+2,U$1)</f>
        <v>1</v>
      </c>
      <c r="W45" s="61">
        <f>VLOOKUP($C45,'Table S3 Literature Values'!$A$10:$AV$10000,W$1,FALSE)</f>
        <v>10.434999999999999</v>
      </c>
      <c r="X45" s="61">
        <f>INDEX('Table S3 Literature Values'!$A$10:$AV$10000,MATCH($C45,'Table S3 Literature Values'!$A$10:$A$10000,0)+1,X$1)</f>
        <v>0.13435028842544369</v>
      </c>
      <c r="Y45" s="63">
        <f>INDEX('Table S3 Literature Values'!$A$10:$AV$10000,MATCH($C45,'Table S3 Literature Values'!$A$10:$A$10000,0)+2,X$1)</f>
        <v>2</v>
      </c>
      <c r="Z45" s="61">
        <f>VLOOKUP($C45,'Table S3 Literature Values'!$A$10:$AV$10000,Z$1,FALSE)</f>
        <v>6.6174999999999997</v>
      </c>
      <c r="AA45" s="61">
        <f>INDEX('Table S3 Literature Values'!$A$10:$AV$10000,MATCH($C45,'Table S3 Literature Values'!$A$10:$A$10000,0)+1,AA$1)</f>
        <v>0.39969780251251513</v>
      </c>
      <c r="AB45" s="63">
        <f>INDEX('Table S3 Literature Values'!$A$10:$AV$10000,MATCH($C45,'Table S3 Literature Values'!$A$10:$A$10000,0)+2,AA$1)</f>
        <v>4</v>
      </c>
      <c r="AC45" s="61">
        <f>VLOOKUP($C45,'Table S3 Literature Values'!$A$10:$AV$10000,AC$1,FALSE)</f>
        <v>0</v>
      </c>
      <c r="AD45" s="61">
        <f>INDEX('Table S3 Literature Values'!$A$10:$AV$10000,MATCH($C45,'Table S3 Literature Values'!$A$10:$A$10000,0)+1,AD$1)</f>
        <v>0</v>
      </c>
      <c r="AE45" s="63">
        <f>INDEX('Table S3 Literature Values'!$A$10:$AV$10000,MATCH($C45,'Table S3 Literature Values'!$A$10:$A$10000,0)+2,AD$1)</f>
        <v>0</v>
      </c>
      <c r="AF45" s="61">
        <f>VLOOKUP($C45,'Table S3 Literature Values'!$A$10:$AV$10000,AF$1,FALSE)</f>
        <v>-3.7075139892385729</v>
      </c>
      <c r="AG45" s="61">
        <f>INDEX('Table S3 Literature Values'!$A$10:$AV$10000,MATCH($C45,'Table S3 Literature Values'!$A$10:$A$10000,0)+1,AG$1)</f>
        <v>0.19995588786711851</v>
      </c>
      <c r="AH45" s="63">
        <f>INDEX('Table S3 Literature Values'!$A$10:$AV$10000,MATCH($C45,'Table S3 Literature Values'!$A$10:$A$10000,0)+2,AG$1)</f>
        <v>5</v>
      </c>
      <c r="AI45" s="61">
        <f>VLOOKUP($C45,'Table S3 Literature Values'!$A$10:$AV$10000,AI$1,FALSE)</f>
        <v>-4.0697069918861315</v>
      </c>
      <c r="AJ45" s="61">
        <f>INDEX('Table S3 Literature Values'!$A$10:$AV$10000,MATCH($C45,'Table S3 Literature Values'!$A$10:$A$10000,0)+1,AJ$1)</f>
        <v>7.1457772538696201E-2</v>
      </c>
      <c r="AK45" s="63">
        <f>INDEX('Table S3 Literature Values'!$A$10:$AV$10000,MATCH($C45,'Table S3 Literature Values'!$A$10:$A$10000,0)+2,AJ$1)</f>
        <v>3</v>
      </c>
      <c r="AL45" s="61">
        <f>VLOOKUP($C45,'Table S3 Literature Values'!$A$10:$AV$10000,AL$1,FALSE)</f>
        <v>0</v>
      </c>
      <c r="AM45" s="61">
        <f>INDEX('Table S3 Literature Values'!$A$10:$AV$10000,MATCH($C45,'Table S3 Literature Values'!$A$10:$A$10000,0)+1,AM$1)</f>
        <v>0</v>
      </c>
      <c r="AN45" s="63">
        <f>INDEX('Table S3 Literature Values'!$A$10:$AV$10000,MATCH($C45,'Table S3 Literature Values'!$A$10:$A$10000,0)+2,AM$1)</f>
        <v>0</v>
      </c>
      <c r="AO45" s="61">
        <f>VLOOKUP($C45,'Table S3 Literature Values'!$A$10:$AV$10000,AO$1,FALSE)</f>
        <v>48.472961613897454</v>
      </c>
      <c r="AP45" s="61">
        <f>INDEX('Table S3 Literature Values'!$A$10:$AV$10000,MATCH($C45,'Table S3 Literature Values'!$A$10:$A$10000,0)+1,AP$1)</f>
        <v>3.820620706319922</v>
      </c>
      <c r="AQ45" s="63">
        <f>INDEX('Table S3 Literature Values'!$A$10:$AV$10000,MATCH($C45,'Table S3 Literature Values'!$A$10:$A$10000,0)+2,AP$1)</f>
        <v>1</v>
      </c>
      <c r="AR45" s="61">
        <f>VLOOKUP($C45,'Table S3 Literature Values'!$A$10:$AV$10000,AR$1,FALSE)</f>
        <v>83.875</v>
      </c>
      <c r="AS45" s="61">
        <f>INDEX('Table S3 Literature Values'!$A$10:$AV$10000,MATCH($C45,'Table S3 Literature Values'!$A$10:$A$10000,0)+1,AS$1)</f>
        <v>0.17677669529663689</v>
      </c>
      <c r="AT45" s="63">
        <f>INDEX('Table S3 Literature Values'!$A$10:$AV$10000,MATCH($C45,'Table S3 Literature Values'!$A$10:$A$10000,0)+2,AS$1)</f>
        <v>3</v>
      </c>
    </row>
    <row r="46" spans="1:46">
      <c r="A46" t="str">
        <f>'Table S2 Compound Identifiers'!C51</f>
        <v>PBDE</v>
      </c>
      <c r="B46">
        <f>COUNTIF($C$3:C46,"&lt;&gt;"&amp;"")</f>
        <v>44</v>
      </c>
      <c r="C46" t="str">
        <f>IF('Table S2 Compound Identifiers'!B51="","",'Table S2 Compound Identifiers'!B51)</f>
        <v>BDE-66</v>
      </c>
      <c r="D46" t="str">
        <f>'Table S2 Compound Identifiers'!D51</f>
        <v>189084-61-5</v>
      </c>
      <c r="E46" s="501">
        <f>VLOOKUP(C46,'Table S3 Literature Values'!$A$10:$AV$10000,E$1,FALSE)</f>
        <v>96.833333333333329</v>
      </c>
      <c r="F46" s="61">
        <f>INDEX('Table S3 Literature Values'!$A$10:$AV$10000,MATCH(C46,'Table S3 Literature Values'!$A$10:$A$10000,0)+1,F$1)</f>
        <v>2.9704096238285618</v>
      </c>
      <c r="G46" s="63">
        <f>INDEX('Table S3 Literature Values'!$A$10:$AV$10000,MATCH($C46,'Table S3 Literature Values'!$A$10:$A$10000,0)+2,F$1)</f>
        <v>3</v>
      </c>
      <c r="H46" s="61">
        <f>VLOOKUP($C46,'Table S3 Literature Values'!$A$10:$AV$10000,H$1,FALSE)</f>
        <v>0</v>
      </c>
      <c r="I46" s="61">
        <f>INDEX('Table S3 Literature Values'!$A$10:$AV$10000,MATCH($C46,'Table S3 Literature Values'!$A$10:$A$10000,0)+1,I$1)</f>
        <v>0</v>
      </c>
      <c r="J46" s="63">
        <f>INDEX('Table S3 Literature Values'!$A$10:$AV$10000,MATCH($C46,'Table S3 Literature Values'!$A$10:$A$10000,0)+2,I$1)</f>
        <v>0</v>
      </c>
      <c r="K46" s="61">
        <f>VLOOKUP($C46,'Table S3 Literature Values'!$A$10:$AV$10000,K$1,FALSE)</f>
        <v>0</v>
      </c>
      <c r="L46" s="61">
        <f>INDEX('Table S3 Literature Values'!$A$10:$AV$10000,MATCH($C46,'Table S3 Literature Values'!$A$10:$A$10000,0)+1,L$1)</f>
        <v>0</v>
      </c>
      <c r="M46" s="63">
        <f>INDEX('Table S3 Literature Values'!$A$10:$AV$10000,MATCH($C46,'Table S3 Literature Values'!$A$10:$A$10000,0)+2,L$1)</f>
        <v>0</v>
      </c>
      <c r="N46" s="61">
        <f>VLOOKUP($C46,'Table S3 Literature Values'!$A$10:$AV$10000,N$1,FALSE)</f>
        <v>103</v>
      </c>
      <c r="O46" s="61">
        <f>INDEX('Table S3 Literature Values'!$A$10:$AV$10000,MATCH($C46,'Table S3 Literature Values'!$A$10:$A$10000,0)+1,O$1)</f>
        <v>6.5258826293688674</v>
      </c>
      <c r="P46" s="63">
        <f>INDEX('Table S3 Literature Values'!$A$10:$AV$10000,MATCH($C46,'Table S3 Literature Values'!$A$10:$A$10000,0)+2,O$1)</f>
        <v>1</v>
      </c>
      <c r="Q46" s="61">
        <f>VLOOKUP($C46,'Table S3 Literature Values'!$A$10:$AV$10000,Q$1,FALSE)</f>
        <v>0</v>
      </c>
      <c r="R46" s="61">
        <f>INDEX('Table S3 Literature Values'!$A$10:$AV$10000,MATCH($C46,'Table S3 Literature Values'!$A$10:$A$10000,0)+1,R$1)</f>
        <v>0</v>
      </c>
      <c r="S46" s="63">
        <f>INDEX('Table S3 Literature Values'!$A$10:$AV$10000,MATCH($C46,'Table S3 Literature Values'!$A$10:$A$10000,0)+2,R$1)</f>
        <v>0</v>
      </c>
      <c r="T46" s="61">
        <f>VLOOKUP($C46,'Table S3 Literature Values'!$A$10:$AV$10000,T$1,FALSE)</f>
        <v>0</v>
      </c>
      <c r="U46" s="61">
        <f>INDEX('Table S3 Literature Values'!$A$10:$AV$10000,MATCH($C46,'Table S3 Literature Values'!$A$10:$A$10000,0)+1,U$1)</f>
        <v>0</v>
      </c>
      <c r="V46" s="63">
        <f>INDEX('Table S3 Literature Values'!$A$10:$AV$10000,MATCH($C46,'Table S3 Literature Values'!$A$10:$A$10000,0)+2,U$1)</f>
        <v>0</v>
      </c>
      <c r="W46" s="61">
        <f>VLOOKUP($C46,'Table S3 Literature Values'!$A$10:$AV$10000,W$1,FALSE)</f>
        <v>10.655000000000001</v>
      </c>
      <c r="X46" s="61">
        <f>INDEX('Table S3 Literature Values'!$A$10:$AV$10000,MATCH($C46,'Table S3 Literature Values'!$A$10:$A$10000,0)+1,X$1)</f>
        <v>0.23334523779156074</v>
      </c>
      <c r="Y46" s="63">
        <f>INDEX('Table S3 Literature Values'!$A$10:$AV$10000,MATCH($C46,'Table S3 Literature Values'!$A$10:$A$10000,0)+2,X$1)</f>
        <v>2</v>
      </c>
      <c r="Z46" s="61">
        <f>VLOOKUP($C46,'Table S3 Literature Values'!$A$10:$AV$10000,Z$1,FALSE)</f>
        <v>0</v>
      </c>
      <c r="AA46" s="61">
        <f>INDEX('Table S3 Literature Values'!$A$10:$AV$10000,MATCH($C46,'Table S3 Literature Values'!$A$10:$A$10000,0)+1,AA$1)</f>
        <v>0</v>
      </c>
      <c r="AB46" s="63">
        <f>INDEX('Table S3 Literature Values'!$A$10:$AV$10000,MATCH($C46,'Table S3 Literature Values'!$A$10:$A$10000,0)+2,AA$1)</f>
        <v>0</v>
      </c>
      <c r="AC46" s="61">
        <f>VLOOKUP($C46,'Table S3 Literature Values'!$A$10:$AV$10000,AC$1,FALSE)</f>
        <v>0</v>
      </c>
      <c r="AD46" s="61">
        <f>INDEX('Table S3 Literature Values'!$A$10:$AV$10000,MATCH($C46,'Table S3 Literature Values'!$A$10:$A$10000,0)+1,AD$1)</f>
        <v>0</v>
      </c>
      <c r="AE46" s="63">
        <f>INDEX('Table S3 Literature Values'!$A$10:$AV$10000,MATCH($C46,'Table S3 Literature Values'!$A$10:$A$10000,0)+2,AD$1)</f>
        <v>0</v>
      </c>
      <c r="AF46" s="61">
        <f>VLOOKUP($C46,'Table S3 Literature Values'!$A$10:$AV$10000,AF$1,FALSE)</f>
        <v>-3.8064674031393619</v>
      </c>
      <c r="AG46" s="61">
        <f>INDEX('Table S3 Literature Values'!$A$10:$AV$10000,MATCH($C46,'Table S3 Literature Values'!$A$10:$A$10000,0)+1,AG$1)</f>
        <v>0.15897540206098351</v>
      </c>
      <c r="AH46" s="63">
        <f>INDEX('Table S3 Literature Values'!$A$10:$AV$10000,MATCH($C46,'Table S3 Literature Values'!$A$10:$A$10000,0)+2,AG$1)</f>
        <v>3</v>
      </c>
      <c r="AI46" s="61">
        <f>VLOOKUP($C46,'Table S3 Literature Values'!$A$10:$AV$10000,AI$1,FALSE)</f>
        <v>-3.6293678108253968</v>
      </c>
      <c r="AJ46" s="61">
        <f>INDEX('Table S3 Literature Values'!$A$10:$AV$10000,MATCH($C46,'Table S3 Literature Values'!$A$10:$A$10000,0)+1,AJ$1)</f>
        <v>0.44878797989465358</v>
      </c>
      <c r="AK46" s="63">
        <f>INDEX('Table S3 Literature Values'!$A$10:$AV$10000,MATCH($C46,'Table S3 Literature Values'!$A$10:$A$10000,0)+2,AJ$1)</f>
        <v>1</v>
      </c>
      <c r="AL46" s="61">
        <f>VLOOKUP($C46,'Table S3 Literature Values'!$A$10:$AV$10000,AL$1,FALSE)</f>
        <v>0</v>
      </c>
      <c r="AM46" s="61">
        <f>INDEX('Table S3 Literature Values'!$A$10:$AV$10000,MATCH($C46,'Table S3 Literature Values'!$A$10:$A$10000,0)+1,AM$1)</f>
        <v>0</v>
      </c>
      <c r="AN46" s="63">
        <f>INDEX('Table S3 Literature Values'!$A$10:$AV$10000,MATCH($C46,'Table S3 Literature Values'!$A$10:$A$10000,0)+2,AM$1)</f>
        <v>0</v>
      </c>
      <c r="AO46" s="61">
        <f>VLOOKUP($C46,'Table S3 Literature Values'!$A$10:$AV$10000,AO$1,FALSE)</f>
        <v>0</v>
      </c>
      <c r="AP46" s="61">
        <f>INDEX('Table S3 Literature Values'!$A$10:$AV$10000,MATCH($C46,'Table S3 Literature Values'!$A$10:$A$10000,0)+1,AP$1)</f>
        <v>0</v>
      </c>
      <c r="AQ46" s="63">
        <f>INDEX('Table S3 Literature Values'!$A$10:$AV$10000,MATCH($C46,'Table S3 Literature Values'!$A$10:$A$10000,0)+2,AP$1)</f>
        <v>0</v>
      </c>
      <c r="AR46" s="61">
        <f>VLOOKUP($C46,'Table S3 Literature Values'!$A$10:$AV$10000,AR$1,FALSE)</f>
        <v>106</v>
      </c>
      <c r="AS46" s="61">
        <f>INDEX('Table S3 Literature Values'!$A$10:$AV$10000,MATCH($C46,'Table S3 Literature Values'!$A$10:$A$10000,0)+1,AS$1)</f>
        <v>4.8935660219839905</v>
      </c>
      <c r="AT46" s="63">
        <f>INDEX('Table S3 Literature Values'!$A$10:$AV$10000,MATCH($C46,'Table S3 Literature Values'!$A$10:$A$10000,0)+2,AS$1)</f>
        <v>1</v>
      </c>
    </row>
    <row r="47" spans="1:46">
      <c r="A47" t="str">
        <f>'Table S2 Compound Identifiers'!C52</f>
        <v>PBDE</v>
      </c>
      <c r="B47">
        <f>COUNTIF($C$3:C47,"&lt;&gt;"&amp;"")</f>
        <v>45</v>
      </c>
      <c r="C47" t="str">
        <f>IF('Table S2 Compound Identifiers'!B52="","",'Table S2 Compound Identifiers'!B52)</f>
        <v>BDE-71</v>
      </c>
      <c r="D47" t="str">
        <f>'Table S2 Compound Identifiers'!D52</f>
        <v>189084-62-6</v>
      </c>
      <c r="E47" s="501">
        <f>VLOOKUP(C47,'Table S3 Literature Values'!$A$10:$AV$10000,E$1,FALSE)</f>
        <v>100</v>
      </c>
      <c r="F47" s="61">
        <f>INDEX('Table S3 Literature Values'!$A$10:$AV$10000,MATCH(C47,'Table S3 Literature Values'!$A$10:$A$10000,0)+1,F$1)</f>
        <v>7.136341846899807</v>
      </c>
      <c r="G47" s="63">
        <f>INDEX('Table S3 Literature Values'!$A$10:$AV$10000,MATCH($C47,'Table S3 Literature Values'!$A$10:$A$10000,0)+2,F$1)</f>
        <v>1</v>
      </c>
      <c r="H47" s="61">
        <f>VLOOKUP($C47,'Table S3 Literature Values'!$A$10:$AV$10000,H$1,FALSE)</f>
        <v>0</v>
      </c>
      <c r="I47" s="61">
        <f>INDEX('Table S3 Literature Values'!$A$10:$AV$10000,MATCH($C47,'Table S3 Literature Values'!$A$10:$A$10000,0)+1,I$1)</f>
        <v>0</v>
      </c>
      <c r="J47" s="63">
        <f>INDEX('Table S3 Literature Values'!$A$10:$AV$10000,MATCH($C47,'Table S3 Literature Values'!$A$10:$A$10000,0)+2,I$1)</f>
        <v>0</v>
      </c>
      <c r="K47" s="61">
        <f>VLOOKUP($C47,'Table S3 Literature Values'!$A$10:$AV$10000,K$1,FALSE)</f>
        <v>0</v>
      </c>
      <c r="L47" s="61">
        <f>INDEX('Table S3 Literature Values'!$A$10:$AV$10000,MATCH($C47,'Table S3 Literature Values'!$A$10:$A$10000,0)+1,L$1)</f>
        <v>0</v>
      </c>
      <c r="M47" s="63">
        <f>INDEX('Table S3 Literature Values'!$A$10:$AV$10000,MATCH($C47,'Table S3 Literature Values'!$A$10:$A$10000,0)+2,L$1)</f>
        <v>0</v>
      </c>
      <c r="N47" s="61">
        <f>VLOOKUP($C47,'Table S3 Literature Values'!$A$10:$AV$10000,N$1,FALSE)</f>
        <v>98.4</v>
      </c>
      <c r="O47" s="61">
        <f>INDEX('Table S3 Literature Values'!$A$10:$AV$10000,MATCH($C47,'Table S3 Literature Values'!$A$10:$A$10000,0)+1,O$1)</f>
        <v>6.2344354439795788</v>
      </c>
      <c r="P47" s="63">
        <f>INDEX('Table S3 Literature Values'!$A$10:$AV$10000,MATCH($C47,'Table S3 Literature Values'!$A$10:$A$10000,0)+2,O$1)</f>
        <v>1</v>
      </c>
      <c r="Q47" s="61">
        <f>VLOOKUP($C47,'Table S3 Literature Values'!$A$10:$AV$10000,Q$1,FALSE)</f>
        <v>0</v>
      </c>
      <c r="R47" s="61">
        <f>INDEX('Table S3 Literature Values'!$A$10:$AV$10000,MATCH($C47,'Table S3 Literature Values'!$A$10:$A$10000,0)+1,R$1)</f>
        <v>0</v>
      </c>
      <c r="S47" s="63">
        <f>INDEX('Table S3 Literature Values'!$A$10:$AV$10000,MATCH($C47,'Table S3 Literature Values'!$A$10:$A$10000,0)+2,R$1)</f>
        <v>0</v>
      </c>
      <c r="T47" s="61">
        <f>VLOOKUP($C47,'Table S3 Literature Values'!$A$10:$AV$10000,T$1,FALSE)</f>
        <v>0</v>
      </c>
      <c r="U47" s="61">
        <f>INDEX('Table S3 Literature Values'!$A$10:$AV$10000,MATCH($C47,'Table S3 Literature Values'!$A$10:$A$10000,0)+1,U$1)</f>
        <v>0</v>
      </c>
      <c r="V47" s="63">
        <f>INDEX('Table S3 Literature Values'!$A$10:$AV$10000,MATCH($C47,'Table S3 Literature Values'!$A$10:$A$10000,0)+2,U$1)</f>
        <v>0</v>
      </c>
      <c r="W47" s="61">
        <f>VLOOKUP($C47,'Table S3 Literature Values'!$A$10:$AV$10000,W$1,FALSE)</f>
        <v>10.361775178295694</v>
      </c>
      <c r="X47" s="61">
        <f>INDEX('Table S3 Literature Values'!$A$10:$AV$10000,MATCH($C47,'Table S3 Literature Values'!$A$10:$A$10000,0)+1,X$1)</f>
        <v>0.26679310236504827</v>
      </c>
      <c r="Y47" s="63">
        <f>INDEX('Table S3 Literature Values'!$A$10:$AV$10000,MATCH($C47,'Table S3 Literature Values'!$A$10:$A$10000,0)+2,X$1)</f>
        <v>1</v>
      </c>
      <c r="Z47" s="61">
        <f>VLOOKUP($C47,'Table S3 Literature Values'!$A$10:$AV$10000,Z$1,FALSE)</f>
        <v>0</v>
      </c>
      <c r="AA47" s="61">
        <f>INDEX('Table S3 Literature Values'!$A$10:$AV$10000,MATCH($C47,'Table S3 Literature Values'!$A$10:$A$10000,0)+1,AA$1)</f>
        <v>0</v>
      </c>
      <c r="AB47" s="63">
        <f>INDEX('Table S3 Literature Values'!$A$10:$AV$10000,MATCH($C47,'Table S3 Literature Values'!$A$10:$A$10000,0)+2,AA$1)</f>
        <v>0</v>
      </c>
      <c r="AC47" s="61">
        <f>VLOOKUP($C47,'Table S3 Literature Values'!$A$10:$AV$10000,AC$1,FALSE)</f>
        <v>0</v>
      </c>
      <c r="AD47" s="61">
        <f>INDEX('Table S3 Literature Values'!$A$10:$AV$10000,MATCH($C47,'Table S3 Literature Values'!$A$10:$A$10000,0)+1,AD$1)</f>
        <v>0</v>
      </c>
      <c r="AE47" s="63">
        <f>INDEX('Table S3 Literature Values'!$A$10:$AV$10000,MATCH($C47,'Table S3 Literature Values'!$A$10:$A$10000,0)+2,AD$1)</f>
        <v>0</v>
      </c>
      <c r="AF47" s="61">
        <f>VLOOKUP($C47,'Table S3 Literature Values'!$A$10:$AV$10000,AF$1,FALSE)</f>
        <v>-3.7529626300087369</v>
      </c>
      <c r="AG47" s="61">
        <f>INDEX('Table S3 Literature Values'!$A$10:$AV$10000,MATCH($C47,'Table S3 Literature Values'!$A$10:$A$10000,0)+1,AG$1)</f>
        <v>0.59546147392098581</v>
      </c>
      <c r="AH47" s="63">
        <f>INDEX('Table S3 Literature Values'!$A$10:$AV$10000,MATCH($C47,'Table S3 Literature Values'!$A$10:$A$10000,0)+2,AG$1)</f>
        <v>1</v>
      </c>
      <c r="AI47" s="61">
        <f>VLOOKUP($C47,'Table S3 Literature Values'!$A$10:$AV$10000,AI$1,FALSE)</f>
        <v>0</v>
      </c>
      <c r="AJ47" s="61">
        <f>INDEX('Table S3 Literature Values'!$A$10:$AV$10000,MATCH($C47,'Table S3 Literature Values'!$A$10:$A$10000,0)+1,AJ$1)</f>
        <v>0</v>
      </c>
      <c r="AK47" s="63">
        <f>INDEX('Table S3 Literature Values'!$A$10:$AV$10000,MATCH($C47,'Table S3 Literature Values'!$A$10:$A$10000,0)+2,AJ$1)</f>
        <v>0</v>
      </c>
      <c r="AL47" s="61">
        <f>VLOOKUP($C47,'Table S3 Literature Values'!$A$10:$AV$10000,AL$1,FALSE)</f>
        <v>0</v>
      </c>
      <c r="AM47" s="61">
        <f>INDEX('Table S3 Literature Values'!$A$10:$AV$10000,MATCH($C47,'Table S3 Literature Values'!$A$10:$A$10000,0)+1,AM$1)</f>
        <v>0</v>
      </c>
      <c r="AN47" s="63">
        <f>INDEX('Table S3 Literature Values'!$A$10:$AV$10000,MATCH($C47,'Table S3 Literature Values'!$A$10:$A$10000,0)+2,AM$1)</f>
        <v>0</v>
      </c>
      <c r="AO47" s="61">
        <f>VLOOKUP($C47,'Table S3 Literature Values'!$A$10:$AV$10000,AO$1,FALSE)</f>
        <v>0</v>
      </c>
      <c r="AP47" s="61">
        <f>INDEX('Table S3 Literature Values'!$A$10:$AV$10000,MATCH($C47,'Table S3 Literature Values'!$A$10:$A$10000,0)+1,AP$1)</f>
        <v>0</v>
      </c>
      <c r="AQ47" s="63">
        <f>INDEX('Table S3 Literature Values'!$A$10:$AV$10000,MATCH($C47,'Table S3 Literature Values'!$A$10:$A$10000,0)+2,AP$1)</f>
        <v>0</v>
      </c>
      <c r="AR47" s="61">
        <f>VLOOKUP($C47,'Table S3 Literature Values'!$A$10:$AV$10000,AR$1,FALSE)</f>
        <v>0</v>
      </c>
      <c r="AS47" s="61">
        <f>INDEX('Table S3 Literature Values'!$A$10:$AV$10000,MATCH($C47,'Table S3 Literature Values'!$A$10:$A$10000,0)+1,AS$1)</f>
        <v>0</v>
      </c>
      <c r="AT47" s="63">
        <f>INDEX('Table S3 Literature Values'!$A$10:$AV$10000,MATCH($C47,'Table S3 Literature Values'!$A$10:$A$10000,0)+2,AS$1)</f>
        <v>0</v>
      </c>
    </row>
    <row r="48" spans="1:46">
      <c r="A48" t="str">
        <f>'Table S2 Compound Identifiers'!C53</f>
        <v>PBDE</v>
      </c>
      <c r="B48">
        <f>COUNTIF($C$3:C48,"&lt;&gt;"&amp;"")</f>
        <v>46</v>
      </c>
      <c r="C48" t="str">
        <f>IF('Table S2 Compound Identifiers'!B53="","",'Table S2 Compound Identifiers'!B53)</f>
        <v>BDE-100</v>
      </c>
      <c r="D48" t="str">
        <f>'Table S2 Compound Identifiers'!D53</f>
        <v>189084-64-8</v>
      </c>
      <c r="E48" s="501">
        <f>VLOOKUP(C48,'Table S3 Literature Values'!$A$10:$AV$10000,E$1,FALSE)</f>
        <v>113</v>
      </c>
      <c r="F48" s="61">
        <f>INDEX('Table S3 Literature Values'!$A$10:$AV$10000,MATCH(C48,'Table S3 Literature Values'!$A$10:$A$10000,0)+1,F$1)</f>
        <v>15.556349186104045</v>
      </c>
      <c r="G48" s="63">
        <f>INDEX('Table S3 Literature Values'!$A$10:$AV$10000,MATCH($C48,'Table S3 Literature Values'!$A$10:$A$10000,0)+2,F$1)</f>
        <v>2</v>
      </c>
      <c r="H48" s="61">
        <f>VLOOKUP($C48,'Table S3 Literature Values'!$A$10:$AV$10000,H$1,FALSE)</f>
        <v>0</v>
      </c>
      <c r="I48" s="61">
        <f>INDEX('Table S3 Literature Values'!$A$10:$AV$10000,MATCH($C48,'Table S3 Literature Values'!$A$10:$A$10000,0)+1,I$1)</f>
        <v>0</v>
      </c>
      <c r="J48" s="63">
        <f>INDEX('Table S3 Literature Values'!$A$10:$AV$10000,MATCH($C48,'Table S3 Literature Values'!$A$10:$A$10000,0)+2,I$1)</f>
        <v>0</v>
      </c>
      <c r="K48" s="61">
        <f>VLOOKUP($C48,'Table S3 Literature Values'!$A$10:$AV$10000,K$1,FALSE)</f>
        <v>0</v>
      </c>
      <c r="L48" s="61">
        <f>INDEX('Table S3 Literature Values'!$A$10:$AV$10000,MATCH($C48,'Table S3 Literature Values'!$A$10:$A$10000,0)+1,L$1)</f>
        <v>0</v>
      </c>
      <c r="M48" s="63">
        <f>INDEX('Table S3 Literature Values'!$A$10:$AV$10000,MATCH($C48,'Table S3 Literature Values'!$A$10:$A$10000,0)+2,L$1)</f>
        <v>0</v>
      </c>
      <c r="N48" s="61">
        <f>VLOOKUP($C48,'Table S3 Literature Values'!$A$10:$AV$10000,N$1,FALSE)</f>
        <v>122</v>
      </c>
      <c r="O48" s="61">
        <f>INDEX('Table S3 Literature Values'!$A$10:$AV$10000,MATCH($C48,'Table S3 Literature Values'!$A$10:$A$10000,0)+1,O$1)</f>
        <v>7.7296862211941928</v>
      </c>
      <c r="P48" s="63">
        <f>INDEX('Table S3 Literature Values'!$A$10:$AV$10000,MATCH($C48,'Table S3 Literature Values'!$A$10:$A$10000,0)+2,O$1)</f>
        <v>1</v>
      </c>
      <c r="Q48" s="61">
        <f>VLOOKUP($C48,'Table S3 Literature Values'!$A$10:$AV$10000,Q$1,FALSE)</f>
        <v>54.209000000000003</v>
      </c>
      <c r="R48" s="61">
        <f>INDEX('Table S3 Literature Values'!$A$10:$AV$10000,MATCH($C48,'Table S3 Literature Values'!$A$10:$A$10000,0)+1,R$1)</f>
        <v>16.262699999999999</v>
      </c>
      <c r="S48" s="63">
        <f>INDEX('Table S3 Literature Values'!$A$10:$AV$10000,MATCH($C48,'Table S3 Literature Values'!$A$10:$A$10000,0)+2,R$1)</f>
        <v>1</v>
      </c>
      <c r="T48" s="61">
        <f>VLOOKUP($C48,'Table S3 Literature Values'!$A$10:$AV$10000,T$1,FALSE)</f>
        <v>0</v>
      </c>
      <c r="U48" s="61">
        <f>INDEX('Table S3 Literature Values'!$A$10:$AV$10000,MATCH($C48,'Table S3 Literature Values'!$A$10:$A$10000,0)+1,U$1)</f>
        <v>0</v>
      </c>
      <c r="V48" s="63">
        <f>INDEX('Table S3 Literature Values'!$A$10:$AV$10000,MATCH($C48,'Table S3 Literature Values'!$A$10:$A$10000,0)+2,U$1)</f>
        <v>0</v>
      </c>
      <c r="W48" s="61">
        <f>VLOOKUP($C48,'Table S3 Literature Values'!$A$10:$AV$10000,W$1,FALSE)</f>
        <v>11.375613387532628</v>
      </c>
      <c r="X48" s="61">
        <f>INDEX('Table S3 Literature Values'!$A$10:$AV$10000,MATCH($C48,'Table S3 Literature Values'!$A$10:$A$10000,0)+1,X$1)</f>
        <v>0.34734978374903991</v>
      </c>
      <c r="Y48" s="63">
        <f>INDEX('Table S3 Literature Values'!$A$10:$AV$10000,MATCH($C48,'Table S3 Literature Values'!$A$10:$A$10000,0)+2,X$1)</f>
        <v>2</v>
      </c>
      <c r="Z48" s="61">
        <f>VLOOKUP($C48,'Table S3 Literature Values'!$A$10:$AV$10000,Z$1,FALSE)</f>
        <v>6.98</v>
      </c>
      <c r="AA48" s="61">
        <f>INDEX('Table S3 Literature Values'!$A$10:$AV$10000,MATCH($C48,'Table S3 Literature Values'!$A$10:$A$10000,0)+1,AA$1)</f>
        <v>0.36769552621700502</v>
      </c>
      <c r="AB48" s="63">
        <f>INDEX('Table S3 Literature Values'!$A$10:$AV$10000,MATCH($C48,'Table S3 Literature Values'!$A$10:$A$10000,0)+2,AA$1)</f>
        <v>2</v>
      </c>
      <c r="AC48" s="61">
        <f>VLOOKUP($C48,'Table S3 Literature Values'!$A$10:$AV$10000,AC$1,FALSE)</f>
        <v>0</v>
      </c>
      <c r="AD48" s="61">
        <f>INDEX('Table S3 Literature Values'!$A$10:$AV$10000,MATCH($C48,'Table S3 Literature Values'!$A$10:$A$10000,0)+1,AD$1)</f>
        <v>0</v>
      </c>
      <c r="AE48" s="63">
        <f>INDEX('Table S3 Literature Values'!$A$10:$AV$10000,MATCH($C48,'Table S3 Literature Values'!$A$10:$A$10000,0)+2,AD$1)</f>
        <v>0</v>
      </c>
      <c r="AF48" s="61">
        <f>VLOOKUP($C48,'Table S3 Literature Values'!$A$10:$AV$10000,AF$1,FALSE)</f>
        <v>-4.4248091794189603</v>
      </c>
      <c r="AG48" s="61">
        <f>INDEX('Table S3 Literature Values'!$A$10:$AV$10000,MATCH($C48,'Table S3 Literature Values'!$A$10:$A$10000,0)+1,AG$1)</f>
        <v>0.1257038377706223</v>
      </c>
      <c r="AH48" s="63">
        <f>INDEX('Table S3 Literature Values'!$A$10:$AV$10000,MATCH($C48,'Table S3 Literature Values'!$A$10:$A$10000,0)+2,AG$1)</f>
        <v>3</v>
      </c>
      <c r="AI48" s="61">
        <f>VLOOKUP($C48,'Table S3 Literature Values'!$A$10:$AV$10000,AI$1,FALSE)</f>
        <v>-3.9164203700479505</v>
      </c>
      <c r="AJ48" s="61">
        <f>INDEX('Table S3 Literature Values'!$A$10:$AV$10000,MATCH($C48,'Table S3 Literature Values'!$A$10:$A$10000,0)+1,AJ$1)</f>
        <v>0.21552936573178999</v>
      </c>
      <c r="AK48" s="63">
        <f>INDEX('Table S3 Literature Values'!$A$10:$AV$10000,MATCH($C48,'Table S3 Literature Values'!$A$10:$A$10000,0)+2,AJ$1)</f>
        <v>2</v>
      </c>
      <c r="AL48" s="61">
        <f>VLOOKUP($C48,'Table S3 Literature Values'!$A$10:$AV$10000,AL$1,FALSE)</f>
        <v>0</v>
      </c>
      <c r="AM48" s="61">
        <f>INDEX('Table S3 Literature Values'!$A$10:$AV$10000,MATCH($C48,'Table S3 Literature Values'!$A$10:$A$10000,0)+1,AM$1)</f>
        <v>0</v>
      </c>
      <c r="AN48" s="63">
        <f>INDEX('Table S3 Literature Values'!$A$10:$AV$10000,MATCH($C48,'Table S3 Literature Values'!$A$10:$A$10000,0)+2,AM$1)</f>
        <v>0</v>
      </c>
      <c r="AO48" s="61">
        <f>VLOOKUP($C48,'Table S3 Literature Values'!$A$10:$AV$10000,AO$1,FALSE)</f>
        <v>0</v>
      </c>
      <c r="AP48" s="61">
        <f>INDEX('Table S3 Literature Values'!$A$10:$AV$10000,MATCH($C48,'Table S3 Literature Values'!$A$10:$A$10000,0)+1,AP$1)</f>
        <v>0</v>
      </c>
      <c r="AQ48" s="63">
        <f>INDEX('Table S3 Literature Values'!$A$10:$AV$10000,MATCH($C48,'Table S3 Literature Values'!$A$10:$A$10000,0)+2,AP$1)</f>
        <v>0</v>
      </c>
      <c r="AR48" s="61">
        <f>VLOOKUP($C48,'Table S3 Literature Values'!$A$10:$AV$10000,AR$1,FALSE)</f>
        <v>99</v>
      </c>
      <c r="AS48" s="61">
        <f>INDEX('Table S3 Literature Values'!$A$10:$AV$10000,MATCH($C48,'Table S3 Literature Values'!$A$10:$A$10000,0)+1,AS$1)</f>
        <v>2.1213203435596424</v>
      </c>
      <c r="AT48" s="63">
        <f>INDEX('Table S3 Literature Values'!$A$10:$AV$10000,MATCH($C48,'Table S3 Literature Values'!$A$10:$A$10000,0)+2,AS$1)</f>
        <v>2</v>
      </c>
    </row>
    <row r="49" spans="1:46">
      <c r="A49" t="str">
        <f>'Table S2 Compound Identifiers'!C54</f>
        <v>PBDE</v>
      </c>
      <c r="B49">
        <f>COUNTIF($C$3:C49,"&lt;&gt;"&amp;"")</f>
        <v>47</v>
      </c>
      <c r="C49" t="str">
        <f>IF('Table S2 Compound Identifiers'!B54="","",'Table S2 Compound Identifiers'!B54)</f>
        <v>BDE-99</v>
      </c>
      <c r="D49" t="str">
        <f>'Table S2 Compound Identifiers'!D54</f>
        <v>60348-60-9</v>
      </c>
      <c r="E49" s="501">
        <f>VLOOKUP(C49,'Table S3 Literature Values'!$A$10:$AV$10000,E$1,FALSE)</f>
        <v>100.15</v>
      </c>
      <c r="F49" s="61">
        <f>INDEX('Table S3 Literature Values'!$A$10:$AV$10000,MATCH(C49,'Table S3 Literature Values'!$A$10:$A$10000,0)+1,F$1)</f>
        <v>9.0053687690547495</v>
      </c>
      <c r="G49" s="63">
        <f>INDEX('Table S3 Literature Values'!$A$10:$AV$10000,MATCH($C49,'Table S3 Literature Values'!$A$10:$A$10000,0)+2,F$1)</f>
        <v>4</v>
      </c>
      <c r="H49" s="61">
        <f>VLOOKUP($C49,'Table S3 Literature Values'!$A$10:$AV$10000,H$1,FALSE)</f>
        <v>3.1000000000000014</v>
      </c>
      <c r="I49" s="61">
        <f>INDEX('Table S3 Literature Values'!$A$10:$AV$10000,MATCH($C49,'Table S3 Literature Values'!$A$10:$A$10000,0)+1,I$1)</f>
        <v>0.62000000000000033</v>
      </c>
      <c r="J49" s="63">
        <f>INDEX('Table S3 Literature Values'!$A$10:$AV$10000,MATCH($C49,'Table S3 Literature Values'!$A$10:$A$10000,0)+2,I$1)</f>
        <v>1</v>
      </c>
      <c r="K49" s="61">
        <f>VLOOKUP($C49,'Table S3 Literature Values'!$A$10:$AV$10000,K$1,FALSE)</f>
        <v>0</v>
      </c>
      <c r="L49" s="61">
        <f>INDEX('Table S3 Literature Values'!$A$10:$AV$10000,MATCH($C49,'Table S3 Literature Values'!$A$10:$A$10000,0)+1,L$1)</f>
        <v>0</v>
      </c>
      <c r="M49" s="63">
        <f>INDEX('Table S3 Literature Values'!$A$10:$AV$10000,MATCH($C49,'Table S3 Literature Values'!$A$10:$A$10000,0)+2,L$1)</f>
        <v>0</v>
      </c>
      <c r="N49" s="61">
        <f>VLOOKUP($C49,'Table S3 Literature Values'!$A$10:$AV$10000,N$1,FALSE)</f>
        <v>91.1</v>
      </c>
      <c r="O49" s="61">
        <f>INDEX('Table S3 Literature Values'!$A$10:$AV$10000,MATCH($C49,'Table S3 Literature Values'!$A$10:$A$10000,0)+1,O$1)</f>
        <v>27.33</v>
      </c>
      <c r="P49" s="63">
        <f>INDEX('Table S3 Literature Values'!$A$10:$AV$10000,MATCH($C49,'Table S3 Literature Values'!$A$10:$A$10000,0)+2,O$1)</f>
        <v>1</v>
      </c>
      <c r="Q49" s="61">
        <f>VLOOKUP($C49,'Table S3 Literature Values'!$A$10:$AV$10000,Q$1,FALSE)</f>
        <v>70.908999999999992</v>
      </c>
      <c r="R49" s="61">
        <f>INDEX('Table S3 Literature Values'!$A$10:$AV$10000,MATCH($C49,'Table S3 Literature Values'!$A$10:$A$10000,0)+1,R$1)</f>
        <v>21.272699999999997</v>
      </c>
      <c r="S49" s="63">
        <f>INDEX('Table S3 Literature Values'!$A$10:$AV$10000,MATCH($C49,'Table S3 Literature Values'!$A$10:$A$10000,0)+2,R$1)</f>
        <v>1</v>
      </c>
      <c r="T49" s="61">
        <f>VLOOKUP($C49,'Table S3 Literature Values'!$A$10:$AV$10000,T$1,FALSE)</f>
        <v>0</v>
      </c>
      <c r="U49" s="61">
        <f>INDEX('Table S3 Literature Values'!$A$10:$AV$10000,MATCH($C49,'Table S3 Literature Values'!$A$10:$A$10000,0)+1,U$1)</f>
        <v>0</v>
      </c>
      <c r="V49" s="63">
        <f>INDEX('Table S3 Literature Values'!$A$10:$AV$10000,MATCH($C49,'Table S3 Literature Values'!$A$10:$A$10000,0)+2,U$1)</f>
        <v>0</v>
      </c>
      <c r="W49" s="61">
        <f>VLOOKUP($C49,'Table S3 Literature Values'!$A$10:$AV$10000,W$1,FALSE)</f>
        <v>11.200000000000001</v>
      </c>
      <c r="X49" s="61">
        <f>INDEX('Table S3 Literature Values'!$A$10:$AV$10000,MATCH($C49,'Table S3 Literature Values'!$A$10:$A$10000,0)+1,X$1)</f>
        <v>0.1652271164185832</v>
      </c>
      <c r="Y49" s="63">
        <f>INDEX('Table S3 Literature Values'!$A$10:$AV$10000,MATCH($C49,'Table S3 Literature Values'!$A$10:$A$10000,0)+2,X$1)</f>
        <v>3</v>
      </c>
      <c r="Z49" s="61">
        <f>VLOOKUP($C49,'Table S3 Literature Values'!$A$10:$AV$10000,Z$1,FALSE)</f>
        <v>7.1433333333333335</v>
      </c>
      <c r="AA49" s="61">
        <f>INDEX('Table S3 Literature Values'!$A$10:$AV$10000,MATCH($C49,'Table S3 Literature Values'!$A$10:$A$10000,0)+1,AA$1)</f>
        <v>0.36828431046317112</v>
      </c>
      <c r="AB49" s="63">
        <f>INDEX('Table S3 Literature Values'!$A$10:$AV$10000,MATCH($C49,'Table S3 Literature Values'!$A$10:$A$10000,0)+2,AA$1)</f>
        <v>3</v>
      </c>
      <c r="AC49" s="61">
        <f>VLOOKUP($C49,'Table S3 Literature Values'!$A$10:$AV$10000,AC$1,FALSE)</f>
        <v>0</v>
      </c>
      <c r="AD49" s="61">
        <f>INDEX('Table S3 Literature Values'!$A$10:$AV$10000,MATCH($C49,'Table S3 Literature Values'!$A$10:$A$10000,0)+1,AD$1)</f>
        <v>0</v>
      </c>
      <c r="AE49" s="63">
        <f>INDEX('Table S3 Literature Values'!$A$10:$AV$10000,MATCH($C49,'Table S3 Literature Values'!$A$10:$A$10000,0)+2,AD$1)</f>
        <v>0</v>
      </c>
      <c r="AF49" s="61">
        <f>VLOOKUP($C49,'Table S3 Literature Values'!$A$10:$AV$10000,AF$1,FALSE)</f>
        <v>-4.4678337478400705</v>
      </c>
      <c r="AG49" s="61">
        <f>INDEX('Table S3 Literature Values'!$A$10:$AV$10000,MATCH($C49,'Table S3 Literature Values'!$A$10:$A$10000,0)+1,AG$1)</f>
        <v>0.28281797910706313</v>
      </c>
      <c r="AH49" s="63">
        <f>INDEX('Table S3 Literature Values'!$A$10:$AV$10000,MATCH($C49,'Table S3 Literature Values'!$A$10:$A$10000,0)+2,AG$1)</f>
        <v>4</v>
      </c>
      <c r="AI49" s="61">
        <f>VLOOKUP($C49,'Table S3 Literature Values'!$A$10:$AV$10000,AI$1,FALSE)</f>
        <v>-4.2943158888599235</v>
      </c>
      <c r="AJ49" s="61">
        <f>INDEX('Table S3 Literature Values'!$A$10:$AV$10000,MATCH($C49,'Table S3 Literature Values'!$A$10:$A$10000,0)+1,AJ$1)</f>
        <v>0.29719362983561609</v>
      </c>
      <c r="AK49" s="63">
        <f>INDEX('Table S3 Literature Values'!$A$10:$AV$10000,MATCH($C49,'Table S3 Literature Values'!$A$10:$A$10000,0)+2,AJ$1)</f>
        <v>3</v>
      </c>
      <c r="AL49" s="61">
        <f>VLOOKUP($C49,'Table S3 Literature Values'!$A$10:$AV$10000,AL$1,FALSE)</f>
        <v>0</v>
      </c>
      <c r="AM49" s="61">
        <f>INDEX('Table S3 Literature Values'!$A$10:$AV$10000,MATCH($C49,'Table S3 Literature Values'!$A$10:$A$10000,0)+1,AM$1)</f>
        <v>0</v>
      </c>
      <c r="AN49" s="63">
        <f>INDEX('Table S3 Literature Values'!$A$10:$AV$10000,MATCH($C49,'Table S3 Literature Values'!$A$10:$A$10000,0)+2,AM$1)</f>
        <v>0</v>
      </c>
      <c r="AO49" s="61">
        <f>VLOOKUP($C49,'Table S3 Literature Values'!$A$10:$AV$10000,AO$1,FALSE)</f>
        <v>77.464788732394354</v>
      </c>
      <c r="AP49" s="61">
        <f>INDEX('Table S3 Literature Values'!$A$10:$AV$10000,MATCH($C49,'Table S3 Literature Values'!$A$10:$A$10000,0)+1,AP$1)</f>
        <v>6.1057456773350891</v>
      </c>
      <c r="AQ49" s="63">
        <f>INDEX('Table S3 Literature Values'!$A$10:$AV$10000,MATCH($C49,'Table S3 Literature Values'!$A$10:$A$10000,0)+2,AP$1)</f>
        <v>1</v>
      </c>
      <c r="AR49" s="61">
        <f>VLOOKUP($C49,'Table S3 Literature Values'!$A$10:$AV$10000,AR$1,FALSE)</f>
        <v>86.283333333333346</v>
      </c>
      <c r="AS49" s="61">
        <f>INDEX('Table S3 Literature Values'!$A$10:$AV$10000,MATCH($C49,'Table S3 Literature Values'!$A$10:$A$10000,0)+1,AS$1)</f>
        <v>7.5306872196367154</v>
      </c>
      <c r="AT49" s="63">
        <f>INDEX('Table S3 Literature Values'!$A$10:$AV$10000,MATCH($C49,'Table S3 Literature Values'!$A$10:$A$10000,0)+2,AS$1)</f>
        <v>3</v>
      </c>
    </row>
    <row r="50" spans="1:46">
      <c r="A50" t="str">
        <f>'Table S2 Compound Identifiers'!C55</f>
        <v>PCB</v>
      </c>
      <c r="B50">
        <f>COUNTIF($C$3:C50,"&lt;&gt;"&amp;"")</f>
        <v>48</v>
      </c>
      <c r="C50" t="str">
        <f>IF('Table S2 Compound Identifiers'!B55="","",'Table S2 Compound Identifiers'!B55)</f>
        <v>PCB-19</v>
      </c>
      <c r="D50" t="str">
        <f>'Table S2 Compound Identifiers'!D55</f>
        <v>38444-73-4</v>
      </c>
      <c r="E50" s="501">
        <f>VLOOKUP(C50,'Table S3 Literature Values'!$A$10:$AV$10000,E$1,FALSE)</f>
        <v>73.524218355999992</v>
      </c>
      <c r="F50" s="61">
        <f>INDEX('Table S3 Literature Values'!$A$10:$AV$10000,MATCH(C50,'Table S3 Literature Values'!$A$10:$A$10000,0)+1,F$1)</f>
        <v>0.10717142872373359</v>
      </c>
      <c r="G50" s="63">
        <f>INDEX('Table S3 Literature Values'!$A$10:$AV$10000,MATCH($C50,'Table S3 Literature Values'!$A$10:$A$10000,0)+2,F$1)</f>
        <v>2</v>
      </c>
      <c r="H50" s="61">
        <f>VLOOKUP($C50,'Table S3 Literature Values'!$A$10:$AV$10000,H$1,FALSE)</f>
        <v>39</v>
      </c>
      <c r="I50" s="61">
        <f>INDEX('Table S3 Literature Values'!$A$10:$AV$10000,MATCH($C50,'Table S3 Literature Values'!$A$10:$A$10000,0)+1,I$1)</f>
        <v>7.8000000000000007</v>
      </c>
      <c r="J50" s="63">
        <f>INDEX('Table S3 Literature Values'!$A$10:$AV$10000,MATCH($C50,'Table S3 Literature Values'!$A$10:$A$10000,0)+2,I$1)</f>
        <v>1</v>
      </c>
      <c r="K50" s="61">
        <f>VLOOKUP($C50,'Table S3 Literature Values'!$A$10:$AV$10000,K$1,FALSE)</f>
        <v>0</v>
      </c>
      <c r="L50" s="61">
        <f>INDEX('Table S3 Literature Values'!$A$10:$AV$10000,MATCH($C50,'Table S3 Literature Values'!$A$10:$A$10000,0)+1,L$1)</f>
        <v>0</v>
      </c>
      <c r="M50" s="63">
        <f>INDEX('Table S3 Literature Values'!$A$10:$AV$10000,MATCH($C50,'Table S3 Literature Values'!$A$10:$A$10000,0)+2,L$1)</f>
        <v>0</v>
      </c>
      <c r="N50" s="61">
        <f>VLOOKUP($C50,'Table S3 Literature Values'!$A$10:$AV$10000,N$1,FALSE)</f>
        <v>61.2</v>
      </c>
      <c r="O50" s="61">
        <f>INDEX('Table S3 Literature Values'!$A$10:$AV$10000,MATCH($C50,'Table S3 Literature Values'!$A$10:$A$10000,0)+1,O$1)</f>
        <v>3.8775147273531525</v>
      </c>
      <c r="P50" s="63">
        <f>INDEX('Table S3 Literature Values'!$A$10:$AV$10000,MATCH($C50,'Table S3 Literature Values'!$A$10:$A$10000,0)+2,O$1)</f>
        <v>1</v>
      </c>
      <c r="Q50" s="61">
        <f>VLOOKUP($C50,'Table S3 Literature Values'!$A$10:$AV$10000,Q$1,FALSE)</f>
        <v>0</v>
      </c>
      <c r="R50" s="61">
        <f>INDEX('Table S3 Literature Values'!$A$10:$AV$10000,MATCH($C50,'Table S3 Literature Values'!$A$10:$A$10000,0)+1,R$1)</f>
        <v>0</v>
      </c>
      <c r="S50" s="63">
        <f>INDEX('Table S3 Literature Values'!$A$10:$AV$10000,MATCH($C50,'Table S3 Literature Values'!$A$10:$A$10000,0)+2,R$1)</f>
        <v>0</v>
      </c>
      <c r="T50" s="61">
        <f>VLOOKUP($C50,'Table S3 Literature Values'!$A$10:$AV$10000,T$1,FALSE)</f>
        <v>0</v>
      </c>
      <c r="U50" s="61">
        <f>INDEX('Table S3 Literature Values'!$A$10:$AV$10000,MATCH($C50,'Table S3 Literature Values'!$A$10:$A$10000,0)+1,U$1)</f>
        <v>0</v>
      </c>
      <c r="V50" s="63">
        <f>INDEX('Table S3 Literature Values'!$A$10:$AV$10000,MATCH($C50,'Table S3 Literature Values'!$A$10:$A$10000,0)+2,U$1)</f>
        <v>0</v>
      </c>
      <c r="W50" s="61">
        <f>VLOOKUP($C50,'Table S3 Literature Values'!$A$10:$AV$10000,W$1,FALSE)</f>
        <v>7.5390552184404918</v>
      </c>
      <c r="X50" s="61">
        <f>INDEX('Table S3 Literature Values'!$A$10:$AV$10000,MATCH($C50,'Table S3 Literature Values'!$A$10:$A$10000,0)+1,X$1)</f>
        <v>0.19411422232382147</v>
      </c>
      <c r="Y50" s="63">
        <f>INDEX('Table S3 Literature Values'!$A$10:$AV$10000,MATCH($C50,'Table S3 Literature Values'!$A$10:$A$10000,0)+2,X$1)</f>
        <v>1</v>
      </c>
      <c r="Z50" s="61">
        <f>VLOOKUP($C50,'Table S3 Literature Values'!$A$10:$AV$10000,Z$1,FALSE)</f>
        <v>5.26</v>
      </c>
      <c r="AA50" s="61">
        <f>INDEX('Table S3 Literature Values'!$A$10:$AV$10000,MATCH($C50,'Table S3 Literature Values'!$A$10:$A$10000,0)+1,AA$1)</f>
        <v>0.3111269837220812</v>
      </c>
      <c r="AB50" s="63">
        <f>INDEX('Table S3 Literature Values'!$A$10:$AV$10000,MATCH($C50,'Table S3 Literature Values'!$A$10:$A$10000,0)+2,AA$1)</f>
        <v>2</v>
      </c>
      <c r="AC50" s="61">
        <f ca="1">VLOOKUP($C50,'Table S3 Literature Values'!$A$10:$AV$10000,AC$1,FALSE)</f>
        <v>-1.9124978394296193</v>
      </c>
      <c r="AD50" s="61">
        <f ca="1">INDEX('Table S3 Literature Values'!$A$10:$AV$10000,MATCH($C50,'Table S3 Literature Values'!$A$10:$A$10000,0)+1,AD$1)</f>
        <v>0.16164821075426294</v>
      </c>
      <c r="AE50" s="63">
        <f ca="1">INDEX('Table S3 Literature Values'!$A$10:$AV$10000,MATCH($C50,'Table S3 Literature Values'!$A$10:$A$10000,0)+2,AD$1)</f>
        <v>2</v>
      </c>
      <c r="AF50" s="61">
        <f ca="1">VLOOKUP($C50,'Table S3 Literature Values'!$A$10:$AV$10000,AF$1,FALSE)</f>
        <v>-1.1806733242754686</v>
      </c>
      <c r="AG50" s="61">
        <f ca="1">INDEX('Table S3 Literature Values'!$A$10:$AV$10000,MATCH($C50,'Table S3 Literature Values'!$A$10:$A$10000,0)+1,AG$1)</f>
        <v>0.14119223273996104</v>
      </c>
      <c r="AH50" s="63">
        <f ca="1">INDEX('Table S3 Literature Values'!$A$10:$AV$10000,MATCH($C50,'Table S3 Literature Values'!$A$10:$A$10000,0)+2,AG$1)</f>
        <v>3</v>
      </c>
      <c r="AI50" s="61">
        <f ca="1">VLOOKUP($C50,'Table S3 Literature Values'!$A$10:$AV$10000,AI$1,FALSE)</f>
        <v>-2.4696037487087663</v>
      </c>
      <c r="AJ50" s="61">
        <f ca="1">INDEX('Table S3 Literature Values'!$A$10:$AV$10000,MATCH($C50,'Table S3 Literature Values'!$A$10:$A$10000,0)+1,AJ$1)</f>
        <v>0.26889462132834718</v>
      </c>
      <c r="AK50" s="63">
        <f ca="1">INDEX('Table S3 Literature Values'!$A$10:$AV$10000,MATCH($C50,'Table S3 Literature Values'!$A$10:$A$10000,0)+2,AJ$1)</f>
        <v>2</v>
      </c>
      <c r="AL50" s="61">
        <f>VLOOKUP($C50,'Table S3 Literature Values'!$A$10:$AV$10000,AL$1,FALSE)</f>
        <v>0</v>
      </c>
      <c r="AM50" s="61">
        <f>INDEX('Table S3 Literature Values'!$A$10:$AV$10000,MATCH($C50,'Table S3 Literature Values'!$A$10:$A$10000,0)+1,AM$1)</f>
        <v>0</v>
      </c>
      <c r="AN50" s="63">
        <f>INDEX('Table S3 Literature Values'!$A$10:$AV$10000,MATCH($C50,'Table S3 Literature Values'!$A$10:$A$10000,0)+2,AM$1)</f>
        <v>0</v>
      </c>
      <c r="AO50" s="61">
        <f>VLOOKUP($C50,'Table S3 Literature Values'!$A$10:$AV$10000,AO$1,FALSE)</f>
        <v>0</v>
      </c>
      <c r="AP50" s="61">
        <f>INDEX('Table S3 Literature Values'!$A$10:$AV$10000,MATCH($C50,'Table S3 Literature Values'!$A$10:$A$10000,0)+1,AP$1)</f>
        <v>0</v>
      </c>
      <c r="AQ50" s="63">
        <f>INDEX('Table S3 Literature Values'!$A$10:$AV$10000,MATCH($C50,'Table S3 Literature Values'!$A$10:$A$10000,0)+2,AP$1)</f>
        <v>0</v>
      </c>
      <c r="AR50" s="61">
        <f>VLOOKUP($C50,'Table S3 Literature Values'!$A$10:$AV$10000,AR$1,FALSE)</f>
        <v>91</v>
      </c>
      <c r="AS50" s="61">
        <f>INDEX('Table S3 Literature Values'!$A$10:$AV$10000,MATCH($C50,'Table S3 Literature Values'!$A$10:$A$10000,0)+1,AS$1)</f>
        <v>4.2010802641560678</v>
      </c>
      <c r="AT50" s="63">
        <f>INDEX('Table S3 Literature Values'!$A$10:$AV$10000,MATCH($C50,'Table S3 Literature Values'!$A$10:$A$10000,0)+2,AS$1)</f>
        <v>1</v>
      </c>
    </row>
    <row r="51" spans="1:46">
      <c r="A51" t="str">
        <f>'Table S2 Compound Identifiers'!C56</f>
        <v>PCB</v>
      </c>
      <c r="B51">
        <f>COUNTIF($C$3:C51,"&lt;&gt;"&amp;"")</f>
        <v>49</v>
      </c>
      <c r="C51" t="str">
        <f>IF('Table S2 Compound Identifiers'!B56="","",'Table S2 Compound Identifiers'!B56)</f>
        <v>PCB-34</v>
      </c>
      <c r="D51" t="str">
        <f>'Table S2 Compound Identifiers'!D56</f>
        <v>37680-68-5</v>
      </c>
      <c r="E51" s="501">
        <f>VLOOKUP(C51,'Table S3 Literature Values'!$A$10:$AV$10000,E$1,FALSE)</f>
        <v>80.262301825000009</v>
      </c>
      <c r="F51" s="61">
        <f>INDEX('Table S3 Literature Values'!$A$10:$AV$10000,MATCH(C51,'Table S3 Literature Values'!$A$10:$A$10000,0)+1,F$1)</f>
        <v>3.164583107582521</v>
      </c>
      <c r="G51" s="63">
        <f>INDEX('Table S3 Literature Values'!$A$10:$AV$10000,MATCH($C51,'Table S3 Literature Values'!$A$10:$A$10000,0)+2,F$1)</f>
        <v>2</v>
      </c>
      <c r="H51" s="61">
        <f>VLOOKUP($C51,'Table S3 Literature Values'!$A$10:$AV$10000,H$1,FALSE)</f>
        <v>0</v>
      </c>
      <c r="I51" s="61">
        <f>INDEX('Table S3 Literature Values'!$A$10:$AV$10000,MATCH($C51,'Table S3 Literature Values'!$A$10:$A$10000,0)+1,I$1)</f>
        <v>0</v>
      </c>
      <c r="J51" s="63">
        <f>INDEX('Table S3 Literature Values'!$A$10:$AV$10000,MATCH($C51,'Table S3 Literature Values'!$A$10:$A$10000,0)+2,I$1)</f>
        <v>0</v>
      </c>
      <c r="K51" s="61">
        <f>VLOOKUP($C51,'Table S3 Literature Values'!$A$10:$AV$10000,K$1,FALSE)</f>
        <v>0</v>
      </c>
      <c r="L51" s="61">
        <f>INDEX('Table S3 Literature Values'!$A$10:$AV$10000,MATCH($C51,'Table S3 Literature Values'!$A$10:$A$10000,0)+1,L$1)</f>
        <v>0</v>
      </c>
      <c r="M51" s="63">
        <f>INDEX('Table S3 Literature Values'!$A$10:$AV$10000,MATCH($C51,'Table S3 Literature Values'!$A$10:$A$10000,0)+2,L$1)</f>
        <v>0</v>
      </c>
      <c r="N51" s="61">
        <f>VLOOKUP($C51,'Table S3 Literature Values'!$A$10:$AV$10000,N$1,FALSE)</f>
        <v>70.099999999999994</v>
      </c>
      <c r="O51" s="61">
        <f>INDEX('Table S3 Literature Values'!$A$10:$AV$10000,MATCH($C51,'Table S3 Literature Values'!$A$10:$A$10000,0)+1,O$1)</f>
        <v>4.441401672997646</v>
      </c>
      <c r="P51" s="63">
        <f>INDEX('Table S3 Literature Values'!$A$10:$AV$10000,MATCH($C51,'Table S3 Literature Values'!$A$10:$A$10000,0)+2,O$1)</f>
        <v>1</v>
      </c>
      <c r="Q51" s="61">
        <f>VLOOKUP($C51,'Table S3 Literature Values'!$A$10:$AV$10000,Q$1,FALSE)</f>
        <v>0</v>
      </c>
      <c r="R51" s="61">
        <f>INDEX('Table S3 Literature Values'!$A$10:$AV$10000,MATCH($C51,'Table S3 Literature Values'!$A$10:$A$10000,0)+1,R$1)</f>
        <v>0</v>
      </c>
      <c r="S51" s="63">
        <f>INDEX('Table S3 Literature Values'!$A$10:$AV$10000,MATCH($C51,'Table S3 Literature Values'!$A$10:$A$10000,0)+2,R$1)</f>
        <v>0</v>
      </c>
      <c r="T51" s="61">
        <f>VLOOKUP($C51,'Table S3 Literature Values'!$A$10:$AV$10000,T$1,FALSE)</f>
        <v>0</v>
      </c>
      <c r="U51" s="61">
        <f>INDEX('Table S3 Literature Values'!$A$10:$AV$10000,MATCH($C51,'Table S3 Literature Values'!$A$10:$A$10000,0)+1,U$1)</f>
        <v>0</v>
      </c>
      <c r="V51" s="63">
        <f>INDEX('Table S3 Literature Values'!$A$10:$AV$10000,MATCH($C51,'Table S3 Literature Values'!$A$10:$A$10000,0)+2,U$1)</f>
        <v>0</v>
      </c>
      <c r="W51" s="61">
        <f>VLOOKUP($C51,'Table S3 Literature Values'!$A$10:$AV$10000,W$1,FALSE)</f>
        <v>7.993297276476711</v>
      </c>
      <c r="X51" s="61">
        <f>INDEX('Table S3 Literature Values'!$A$10:$AV$10000,MATCH($C51,'Table S3 Literature Values'!$A$10:$A$10000,0)+1,X$1)</f>
        <v>0.20580996420229952</v>
      </c>
      <c r="Y51" s="63">
        <f>INDEX('Table S3 Literature Values'!$A$10:$AV$10000,MATCH($C51,'Table S3 Literature Values'!$A$10:$A$10000,0)+2,X$1)</f>
        <v>1</v>
      </c>
      <c r="Z51" s="61">
        <f>VLOOKUP($C51,'Table S3 Literature Values'!$A$10:$AV$10000,Z$1,FALSE)</f>
        <v>5.71</v>
      </c>
      <c r="AA51" s="61">
        <f>INDEX('Table S3 Literature Values'!$A$10:$AV$10000,MATCH($C51,'Table S3 Literature Values'!$A$10:$A$10000,0)+1,AA$1)</f>
        <v>1.1420000000000001</v>
      </c>
      <c r="AB51" s="63">
        <f>INDEX('Table S3 Literature Values'!$A$10:$AV$10000,MATCH($C51,'Table S3 Literature Values'!$A$10:$A$10000,0)+2,AA$1)</f>
        <v>1</v>
      </c>
      <c r="AC51" s="61">
        <f>VLOOKUP($C51,'Table S3 Literature Values'!$A$10:$AV$10000,AC$1,FALSE)</f>
        <v>-2.087498225774242</v>
      </c>
      <c r="AD51" s="61">
        <f>INDEX('Table S3 Literature Values'!$A$10:$AV$10000,MATCH($C51,'Table S3 Literature Values'!$A$10:$A$10000,0)+1,AD$1)</f>
        <v>0.41749964515484844</v>
      </c>
      <c r="AE51" s="63">
        <f>INDEX('Table S3 Literature Values'!$A$10:$AV$10000,MATCH($C51,'Table S3 Literature Values'!$A$10:$A$10000,0)+2,AD$1)</f>
        <v>1</v>
      </c>
      <c r="AF51" s="61">
        <f>VLOOKUP($C51,'Table S3 Literature Values'!$A$10:$AV$10000,AF$1,FALSE)</f>
        <v>-1.4403667064642687</v>
      </c>
      <c r="AG51" s="61">
        <f>INDEX('Table S3 Literature Values'!$A$10:$AV$10000,MATCH($C51,'Table S3 Literature Values'!$A$10:$A$10000,0)+1,AG$1)</f>
        <v>0.12779782186875707</v>
      </c>
      <c r="AH51" s="63">
        <f>INDEX('Table S3 Literature Values'!$A$10:$AV$10000,MATCH($C51,'Table S3 Literature Values'!$A$10:$A$10000,0)+2,AG$1)</f>
        <v>2</v>
      </c>
      <c r="AI51" s="61">
        <f>VLOOKUP($C51,'Table S3 Literature Values'!$A$10:$AV$10000,AI$1,FALSE)</f>
        <v>-2.98523196960676</v>
      </c>
      <c r="AJ51" s="61">
        <f>INDEX('Table S3 Literature Values'!$A$10:$AV$10000,MATCH($C51,'Table S3 Literature Values'!$A$10:$A$10000,0)+1,AJ$1)</f>
        <v>0.36913762809068135</v>
      </c>
      <c r="AK51" s="63">
        <f>INDEX('Table S3 Literature Values'!$A$10:$AV$10000,MATCH($C51,'Table S3 Literature Values'!$A$10:$A$10000,0)+2,AJ$1)</f>
        <v>1</v>
      </c>
      <c r="AL51" s="61">
        <f>VLOOKUP($C51,'Table S3 Literature Values'!$A$10:$AV$10000,AL$1,FALSE)</f>
        <v>0</v>
      </c>
      <c r="AM51" s="61">
        <f>INDEX('Table S3 Literature Values'!$A$10:$AV$10000,MATCH($C51,'Table S3 Literature Values'!$A$10:$A$10000,0)+1,AM$1)</f>
        <v>0</v>
      </c>
      <c r="AN51" s="63">
        <f>INDEX('Table S3 Literature Values'!$A$10:$AV$10000,MATCH($C51,'Table S3 Literature Values'!$A$10:$A$10000,0)+2,AM$1)</f>
        <v>0</v>
      </c>
      <c r="AO51" s="61">
        <f>VLOOKUP($C51,'Table S3 Literature Values'!$A$10:$AV$10000,AO$1,FALSE)</f>
        <v>0</v>
      </c>
      <c r="AP51" s="61">
        <f>INDEX('Table S3 Literature Values'!$A$10:$AV$10000,MATCH($C51,'Table S3 Literature Values'!$A$10:$A$10000,0)+1,AP$1)</f>
        <v>0</v>
      </c>
      <c r="AQ51" s="63">
        <f>INDEX('Table S3 Literature Values'!$A$10:$AV$10000,MATCH($C51,'Table S3 Literature Values'!$A$10:$A$10000,0)+2,AP$1)</f>
        <v>0</v>
      </c>
      <c r="AR51" s="61">
        <f>VLOOKUP($C51,'Table S3 Literature Values'!$A$10:$AV$10000,AR$1,FALSE)</f>
        <v>57.75</v>
      </c>
      <c r="AS51" s="61">
        <f>INDEX('Table S3 Literature Values'!$A$10:$AV$10000,MATCH($C51,'Table S3 Literature Values'!$A$10:$A$10000,0)+1,AS$1)</f>
        <v>0.35355339059327379</v>
      </c>
      <c r="AT51" s="63">
        <f>INDEX('Table S3 Literature Values'!$A$10:$AV$10000,MATCH($C51,'Table S3 Literature Values'!$A$10:$A$10000,0)+2,AS$1)</f>
        <v>2</v>
      </c>
    </row>
    <row r="52" spans="1:46">
      <c r="A52" t="str">
        <f>'Table S2 Compound Identifiers'!C57</f>
        <v>PCB</v>
      </c>
      <c r="B52">
        <f>COUNTIF($C$3:C52,"&lt;&gt;"&amp;"")</f>
        <v>50</v>
      </c>
      <c r="C52" t="str">
        <f>IF('Table S2 Compound Identifiers'!B57="","",'Table S2 Compound Identifiers'!B57)</f>
        <v>PCB-119</v>
      </c>
      <c r="D52" t="str">
        <f>'Table S2 Compound Identifiers'!D57</f>
        <v>56558-17-9</v>
      </c>
      <c r="E52" s="501">
        <f>VLOOKUP(C52,'Table S3 Literature Values'!$A$10:$AV$10000,E$1,FALSE)</f>
        <v>77.099999999999994</v>
      </c>
      <c r="F52" s="61">
        <f>INDEX('Table S3 Literature Values'!$A$10:$AV$10000,MATCH(C52,'Table S3 Literature Values'!$A$10:$A$10000,0)+1,F$1)</f>
        <v>5.5021195639597513</v>
      </c>
      <c r="G52" s="63">
        <f>INDEX('Table S3 Literature Values'!$A$10:$AV$10000,MATCH($C52,'Table S3 Literature Values'!$A$10:$A$10000,0)+2,F$1)</f>
        <v>1</v>
      </c>
      <c r="H52" s="61">
        <f>VLOOKUP($C52,'Table S3 Literature Values'!$A$10:$AV$10000,H$1,FALSE)</f>
        <v>31.8</v>
      </c>
      <c r="I52" s="61">
        <f>INDEX('Table S3 Literature Values'!$A$10:$AV$10000,MATCH($C52,'Table S3 Literature Values'!$A$10:$A$10000,0)+1,I$1)</f>
        <v>6.36</v>
      </c>
      <c r="J52" s="63">
        <f>INDEX('Table S3 Literature Values'!$A$10:$AV$10000,MATCH($C52,'Table S3 Literature Values'!$A$10:$A$10000,0)+2,I$1)</f>
        <v>1</v>
      </c>
      <c r="K52" s="61">
        <f>VLOOKUP($C52,'Table S3 Literature Values'!$A$10:$AV$10000,K$1,FALSE)</f>
        <v>0</v>
      </c>
      <c r="L52" s="61">
        <f>INDEX('Table S3 Literature Values'!$A$10:$AV$10000,MATCH($C52,'Table S3 Literature Values'!$A$10:$A$10000,0)+1,L$1)</f>
        <v>0</v>
      </c>
      <c r="M52" s="63">
        <f>INDEX('Table S3 Literature Values'!$A$10:$AV$10000,MATCH($C52,'Table S3 Literature Values'!$A$10:$A$10000,0)+2,L$1)</f>
        <v>0</v>
      </c>
      <c r="N52" s="61">
        <f>VLOOKUP($C52,'Table S3 Literature Values'!$A$10:$AV$10000,N$1,FALSE)</f>
        <v>76.099999999999994</v>
      </c>
      <c r="O52" s="61">
        <f>INDEX('Table S3 Literature Values'!$A$10:$AV$10000,MATCH($C52,'Table S3 Literature Values'!$A$10:$A$10000,0)+1,O$1)</f>
        <v>4.8215501756793282</v>
      </c>
      <c r="P52" s="63">
        <f>INDEX('Table S3 Literature Values'!$A$10:$AV$10000,MATCH($C52,'Table S3 Literature Values'!$A$10:$A$10000,0)+2,O$1)</f>
        <v>1</v>
      </c>
      <c r="Q52" s="61">
        <f>VLOOKUP($C52,'Table S3 Literature Values'!$A$10:$AV$10000,Q$1,FALSE)</f>
        <v>0</v>
      </c>
      <c r="R52" s="61">
        <f>INDEX('Table S3 Literature Values'!$A$10:$AV$10000,MATCH($C52,'Table S3 Literature Values'!$A$10:$A$10000,0)+1,R$1)</f>
        <v>0</v>
      </c>
      <c r="S52" s="63">
        <f>INDEX('Table S3 Literature Values'!$A$10:$AV$10000,MATCH($C52,'Table S3 Literature Values'!$A$10:$A$10000,0)+2,R$1)</f>
        <v>0</v>
      </c>
      <c r="T52" s="61">
        <f>VLOOKUP($C52,'Table S3 Literature Values'!$A$10:$AV$10000,T$1,FALSE)</f>
        <v>0</v>
      </c>
      <c r="U52" s="61">
        <f>INDEX('Table S3 Literature Values'!$A$10:$AV$10000,MATCH($C52,'Table S3 Literature Values'!$A$10:$A$10000,0)+1,U$1)</f>
        <v>0</v>
      </c>
      <c r="V52" s="63">
        <f>INDEX('Table S3 Literature Values'!$A$10:$AV$10000,MATCH($C52,'Table S3 Literature Values'!$A$10:$A$10000,0)+2,U$1)</f>
        <v>0</v>
      </c>
      <c r="W52" s="61">
        <f>VLOOKUP($C52,'Table S3 Literature Values'!$A$10:$AV$10000,W$1,FALSE)</f>
        <v>9.0261907024857795</v>
      </c>
      <c r="X52" s="61">
        <f>INDEX('Table S3 Literature Values'!$A$10:$AV$10000,MATCH($C52,'Table S3 Literature Values'!$A$10:$A$10000,0)+1,X$1)</f>
        <v>0.23240471624002404</v>
      </c>
      <c r="Y52" s="63">
        <f>INDEX('Table S3 Literature Values'!$A$10:$AV$10000,MATCH($C52,'Table S3 Literature Values'!$A$10:$A$10000,0)+2,X$1)</f>
        <v>1</v>
      </c>
      <c r="Z52" s="61">
        <f>VLOOKUP($C52,'Table S3 Literature Values'!$A$10:$AV$10000,Z$1,FALSE)</f>
        <v>6.4024999999999999</v>
      </c>
      <c r="AA52" s="61">
        <f>INDEX('Table S3 Literature Values'!$A$10:$AV$10000,MATCH($C52,'Table S3 Literature Values'!$A$10:$A$10000,0)+1,AA$1)</f>
        <v>1.2805</v>
      </c>
      <c r="AB52" s="63">
        <f>INDEX('Table S3 Literature Values'!$A$10:$AV$10000,MATCH($C52,'Table S3 Literature Values'!$A$10:$A$10000,0)+2,AA$1)</f>
        <v>1</v>
      </c>
      <c r="AC52" s="61">
        <f>VLOOKUP($C52,'Table S3 Literature Values'!$A$10:$AV$10000,AC$1,FALSE)</f>
        <v>-2.5192965017072471</v>
      </c>
      <c r="AD52" s="61">
        <f>INDEX('Table S3 Literature Values'!$A$10:$AV$10000,MATCH($C52,'Table S3 Literature Values'!$A$10:$A$10000,0)+1,AD$1)</f>
        <v>0.50385930034144943</v>
      </c>
      <c r="AE52" s="63">
        <f>INDEX('Table S3 Literature Values'!$A$10:$AV$10000,MATCH($C52,'Table S3 Literature Values'!$A$10:$A$10000,0)+2,AD$1)</f>
        <v>1</v>
      </c>
      <c r="AF52" s="61">
        <f>VLOOKUP($C52,'Table S3 Literature Values'!$A$10:$AV$10000,AF$1,FALSE)</f>
        <v>-2.4598699455590731</v>
      </c>
      <c r="AG52" s="61">
        <f>INDEX('Table S3 Literature Values'!$A$10:$AV$10000,MATCH($C52,'Table S3 Literature Values'!$A$10:$A$10000,0)+1,AG$1)</f>
        <v>0.15642979300815249</v>
      </c>
      <c r="AH52" s="63">
        <f>INDEX('Table S3 Literature Values'!$A$10:$AV$10000,MATCH($C52,'Table S3 Literature Values'!$A$10:$A$10000,0)+2,AG$1)</f>
        <v>3</v>
      </c>
      <c r="AI52" s="61">
        <f>VLOOKUP($C52,'Table S3 Literature Values'!$A$10:$AV$10000,AI$1,FALSE)</f>
        <v>-4.4217108558101943</v>
      </c>
      <c r="AJ52" s="61">
        <f>INDEX('Table S3 Literature Values'!$A$10:$AV$10000,MATCH($C52,'Table S3 Literature Values'!$A$10:$A$10000,0)+1,AJ$1)</f>
        <v>0.54676483235961115</v>
      </c>
      <c r="AK52" s="63">
        <f>INDEX('Table S3 Literature Values'!$A$10:$AV$10000,MATCH($C52,'Table S3 Literature Values'!$A$10:$A$10000,0)+2,AJ$1)</f>
        <v>1</v>
      </c>
      <c r="AL52" s="61">
        <f>VLOOKUP($C52,'Table S3 Literature Values'!$A$10:$AV$10000,AL$1,FALSE)</f>
        <v>0</v>
      </c>
      <c r="AM52" s="61">
        <f>INDEX('Table S3 Literature Values'!$A$10:$AV$10000,MATCH($C52,'Table S3 Literature Values'!$A$10:$A$10000,0)+1,AM$1)</f>
        <v>0</v>
      </c>
      <c r="AN52" s="63">
        <f>INDEX('Table S3 Literature Values'!$A$10:$AV$10000,MATCH($C52,'Table S3 Literature Values'!$A$10:$A$10000,0)+2,AM$1)</f>
        <v>0</v>
      </c>
      <c r="AO52" s="61">
        <f>VLOOKUP($C52,'Table S3 Literature Values'!$A$10:$AV$10000,AO$1,FALSE)</f>
        <v>0</v>
      </c>
      <c r="AP52" s="61">
        <f>INDEX('Table S3 Literature Values'!$A$10:$AV$10000,MATCH($C52,'Table S3 Literature Values'!$A$10:$A$10000,0)+1,AP$1)</f>
        <v>0</v>
      </c>
      <c r="AQ52" s="63">
        <f>INDEX('Table S3 Literature Values'!$A$10:$AV$10000,MATCH($C52,'Table S3 Literature Values'!$A$10:$A$10000,0)+2,AP$1)</f>
        <v>0</v>
      </c>
      <c r="AR52" s="61">
        <f>VLOOKUP($C52,'Table S3 Literature Values'!$A$10:$AV$10000,AR$1,FALSE)</f>
        <v>76</v>
      </c>
      <c r="AS52" s="61">
        <f>INDEX('Table S3 Literature Values'!$A$10:$AV$10000,MATCH($C52,'Table S3 Literature Values'!$A$10:$A$10000,0)+1,AS$1)</f>
        <v>3.5085945063281443</v>
      </c>
      <c r="AT52" s="63">
        <f>INDEX('Table S3 Literature Values'!$A$10:$AV$10000,MATCH($C52,'Table S3 Literature Values'!$A$10:$A$10000,0)+2,AS$1)</f>
        <v>1</v>
      </c>
    </row>
    <row r="53" spans="1:46">
      <c r="A53" t="str">
        <f>'Table S2 Compound Identifiers'!C58</f>
        <v>PCB</v>
      </c>
      <c r="B53">
        <f>COUNTIF($C$3:C53,"&lt;&gt;"&amp;"")</f>
        <v>51</v>
      </c>
      <c r="C53" t="str">
        <f>IF('Table S2 Compound Identifiers'!B58="","",'Table S2 Compound Identifiers'!B58)</f>
        <v>PCB-11</v>
      </c>
      <c r="D53" t="str">
        <f>'Table S2 Compound Identifiers'!D58</f>
        <v>2050-67-1</v>
      </c>
      <c r="E53" s="501">
        <f>VLOOKUP(C53,'Table S3 Literature Values'!$A$10:$AV$10000,E$1,FALSE)</f>
        <v>77.521050303999999</v>
      </c>
      <c r="F53" s="61">
        <f>INDEX('Table S3 Literature Values'!$A$10:$AV$10000,MATCH(C53,'Table S3 Literature Values'!$A$10:$A$10000,0)+1,F$1)</f>
        <v>3.0417753598014903</v>
      </c>
      <c r="G53" s="63">
        <f>INDEX('Table S3 Literature Values'!$A$10:$AV$10000,MATCH($C53,'Table S3 Literature Values'!$A$10:$A$10000,0)+2,F$1)</f>
        <v>3</v>
      </c>
      <c r="H53" s="61">
        <f>VLOOKUP($C53,'Table S3 Literature Values'!$A$10:$AV$10000,H$1,FALSE)</f>
        <v>0</v>
      </c>
      <c r="I53" s="61">
        <f>INDEX('Table S3 Literature Values'!$A$10:$AV$10000,MATCH($C53,'Table S3 Literature Values'!$A$10:$A$10000,0)+1,I$1)</f>
        <v>0</v>
      </c>
      <c r="J53" s="63">
        <f>INDEX('Table S3 Literature Values'!$A$10:$AV$10000,MATCH($C53,'Table S3 Literature Values'!$A$10:$A$10000,0)+2,I$1)</f>
        <v>0</v>
      </c>
      <c r="K53" s="61">
        <f>VLOOKUP($C53,'Table S3 Literature Values'!$A$10:$AV$10000,K$1,FALSE)</f>
        <v>0</v>
      </c>
      <c r="L53" s="61">
        <f>INDEX('Table S3 Literature Values'!$A$10:$AV$10000,MATCH($C53,'Table S3 Literature Values'!$A$10:$A$10000,0)+1,L$1)</f>
        <v>0</v>
      </c>
      <c r="M53" s="63">
        <f>INDEX('Table S3 Literature Values'!$A$10:$AV$10000,MATCH($C53,'Table S3 Literature Values'!$A$10:$A$10000,0)+2,L$1)</f>
        <v>0</v>
      </c>
      <c r="N53" s="61">
        <f>VLOOKUP($C53,'Table S3 Literature Values'!$A$10:$AV$10000,N$1,FALSE)</f>
        <v>63.8</v>
      </c>
      <c r="O53" s="61">
        <f>INDEX('Table S3 Literature Values'!$A$10:$AV$10000,MATCH($C53,'Table S3 Literature Values'!$A$10:$A$10000,0)+1,O$1)</f>
        <v>4.042245745181881</v>
      </c>
      <c r="P53" s="63">
        <f>INDEX('Table S3 Literature Values'!$A$10:$AV$10000,MATCH($C53,'Table S3 Literature Values'!$A$10:$A$10000,0)+2,O$1)</f>
        <v>1</v>
      </c>
      <c r="Q53" s="61">
        <f>VLOOKUP($C53,'Table S3 Literature Values'!$A$10:$AV$10000,Q$1,FALSE)</f>
        <v>0</v>
      </c>
      <c r="R53" s="61">
        <f>INDEX('Table S3 Literature Values'!$A$10:$AV$10000,MATCH($C53,'Table S3 Literature Values'!$A$10:$A$10000,0)+1,R$1)</f>
        <v>0</v>
      </c>
      <c r="S53" s="63">
        <f>INDEX('Table S3 Literature Values'!$A$10:$AV$10000,MATCH($C53,'Table S3 Literature Values'!$A$10:$A$10000,0)+2,R$1)</f>
        <v>0</v>
      </c>
      <c r="T53" s="61">
        <f>VLOOKUP($C53,'Table S3 Literature Values'!$A$10:$AV$10000,T$1,FALSE)</f>
        <v>0</v>
      </c>
      <c r="U53" s="61">
        <f>INDEX('Table S3 Literature Values'!$A$10:$AV$10000,MATCH($C53,'Table S3 Literature Values'!$A$10:$A$10000,0)+1,U$1)</f>
        <v>0</v>
      </c>
      <c r="V53" s="63">
        <f>INDEX('Table S3 Literature Values'!$A$10:$AV$10000,MATCH($C53,'Table S3 Literature Values'!$A$10:$A$10000,0)+2,U$1)</f>
        <v>0</v>
      </c>
      <c r="W53" s="61">
        <f ca="1">VLOOKUP($C53,'Table S3 Literature Values'!$A$10:$AV$10000,W$1,FALSE)</f>
        <v>7.6828040702811879</v>
      </c>
      <c r="X53" s="61">
        <f ca="1">INDEX('Table S3 Literature Values'!$A$10:$AV$10000,MATCH($C53,'Table S3 Literature Values'!$A$10:$A$10000,0)+1,X$1)</f>
        <v>2.1784930946130668E-2</v>
      </c>
      <c r="Y53" s="63">
        <f ca="1">INDEX('Table S3 Literature Values'!$A$10:$AV$10000,MATCH($C53,'Table S3 Literature Values'!$A$10:$A$10000,0)+2,X$1)</f>
        <v>2</v>
      </c>
      <c r="Z53" s="61">
        <f>VLOOKUP($C53,'Table S3 Literature Values'!$A$10:$AV$10000,Z$1,FALSE)</f>
        <v>5.2862499999999999</v>
      </c>
      <c r="AA53" s="61">
        <f>INDEX('Table S3 Literature Values'!$A$10:$AV$10000,MATCH($C53,'Table S3 Literature Values'!$A$10:$A$10000,0)+1,AA$1)</f>
        <v>1.9445436482629957E-2</v>
      </c>
      <c r="AB53" s="63">
        <f>INDEX('Table S3 Literature Values'!$A$10:$AV$10000,MATCH($C53,'Table S3 Literature Values'!$A$10:$A$10000,0)+2,AA$1)</f>
        <v>2</v>
      </c>
      <c r="AC53" s="61">
        <f>VLOOKUP($C53,'Table S3 Literature Values'!$A$10:$AV$10000,AC$1,FALSE)</f>
        <v>0</v>
      </c>
      <c r="AD53" s="61">
        <f>INDEX('Table S3 Literature Values'!$A$10:$AV$10000,MATCH($C53,'Table S3 Literature Values'!$A$10:$A$10000,0)+1,AD$1)</f>
        <v>0</v>
      </c>
      <c r="AE53" s="63">
        <f>INDEX('Table S3 Literature Values'!$A$10:$AV$10000,MATCH($C53,'Table S3 Literature Values'!$A$10:$A$10000,0)+2,AD$1)</f>
        <v>0</v>
      </c>
      <c r="AF53" s="61">
        <f>VLOOKUP($C53,'Table S3 Literature Values'!$A$10:$AV$10000,AF$1,FALSE)</f>
        <v>-1.1641242474646873</v>
      </c>
      <c r="AG53" s="61">
        <f>INDEX('Table S3 Literature Values'!$A$10:$AV$10000,MATCH($C53,'Table S3 Literature Values'!$A$10:$A$10000,0)+1,AG$1)</f>
        <v>0.17316928979703319</v>
      </c>
      <c r="AH53" s="63">
        <f>INDEX('Table S3 Literature Values'!$A$10:$AV$10000,MATCH($C53,'Table S3 Literature Values'!$A$10:$A$10000,0)+2,AG$1)</f>
        <v>2</v>
      </c>
      <c r="AI53" s="61">
        <f>VLOOKUP($C53,'Table S3 Literature Values'!$A$10:$AV$10000,AI$1,FALSE)</f>
        <v>-3.2819205999699497</v>
      </c>
      <c r="AJ53" s="61">
        <f>INDEX('Table S3 Literature Values'!$A$10:$AV$10000,MATCH($C53,'Table S3 Literature Values'!$A$10:$A$10000,0)+1,AJ$1)</f>
        <v>0.44450077171695895</v>
      </c>
      <c r="AK53" s="63">
        <f>INDEX('Table S3 Literature Values'!$A$10:$AV$10000,MATCH($C53,'Table S3 Literature Values'!$A$10:$A$10000,0)+2,AJ$1)</f>
        <v>2</v>
      </c>
      <c r="AL53" s="61">
        <f>VLOOKUP($C53,'Table S3 Literature Values'!$A$10:$AV$10000,AL$1,FALSE)</f>
        <v>0</v>
      </c>
      <c r="AM53" s="61">
        <f>INDEX('Table S3 Literature Values'!$A$10:$AV$10000,MATCH($C53,'Table S3 Literature Values'!$A$10:$A$10000,0)+1,AM$1)</f>
        <v>0</v>
      </c>
      <c r="AN53" s="63">
        <f>INDEX('Table S3 Literature Values'!$A$10:$AV$10000,MATCH($C53,'Table S3 Literature Values'!$A$10:$A$10000,0)+2,AM$1)</f>
        <v>0</v>
      </c>
      <c r="AO53" s="61">
        <f>VLOOKUP($C53,'Table S3 Literature Values'!$A$10:$AV$10000,AO$1,FALSE)</f>
        <v>0</v>
      </c>
      <c r="AP53" s="61">
        <f>INDEX('Table S3 Literature Values'!$A$10:$AV$10000,MATCH($C53,'Table S3 Literature Values'!$A$10:$A$10000,0)+1,AP$1)</f>
        <v>0</v>
      </c>
      <c r="AQ53" s="63">
        <f>INDEX('Table S3 Literature Values'!$A$10:$AV$10000,MATCH($C53,'Table S3 Literature Values'!$A$10:$A$10000,0)+2,AP$1)</f>
        <v>0</v>
      </c>
      <c r="AR53" s="61">
        <f>VLOOKUP($C53,'Table S3 Literature Values'!$A$10:$AV$10000,AR$1,FALSE)</f>
        <v>29.083333333333332</v>
      </c>
      <c r="AS53" s="61">
        <f>INDEX('Table S3 Literature Values'!$A$10:$AV$10000,MATCH($C53,'Table S3 Literature Values'!$A$10:$A$10000,0)+1,AS$1)</f>
        <v>0.38188130791298669</v>
      </c>
      <c r="AT53" s="63">
        <f>INDEX('Table S3 Literature Values'!$A$10:$AV$10000,MATCH($C53,'Table S3 Literature Values'!$A$10:$A$10000,0)+2,AS$1)</f>
        <v>3</v>
      </c>
    </row>
    <row r="54" spans="1:46">
      <c r="A54" t="str">
        <f>'Table S2 Compound Identifiers'!C59</f>
        <v>PCB</v>
      </c>
      <c r="B54">
        <f>COUNTIF($C$3:C54,"&lt;&gt;"&amp;"")</f>
        <v>52</v>
      </c>
      <c r="C54" t="str">
        <f>IF('Table S2 Compound Identifiers'!B59="","",'Table S2 Compound Identifiers'!B59)</f>
        <v>PCB-131</v>
      </c>
      <c r="D54" t="str">
        <f>'Table S2 Compound Identifiers'!D59</f>
        <v>61798-70-7</v>
      </c>
      <c r="E54" s="501">
        <f>VLOOKUP(C54,'Table S3 Literature Values'!$A$10:$AV$10000,E$1,FALSE)</f>
        <v>85.341688061999989</v>
      </c>
      <c r="F54" s="61">
        <f>INDEX('Table S3 Literature Values'!$A$10:$AV$10000,MATCH(C54,'Table S3 Literature Values'!$A$10:$A$10000,0)+1,F$1)</f>
        <v>1.7560120975171565</v>
      </c>
      <c r="G54" s="63">
        <f>INDEX('Table S3 Literature Values'!$A$10:$AV$10000,MATCH($C54,'Table S3 Literature Values'!$A$10:$A$10000,0)+2,F$1)</f>
        <v>2</v>
      </c>
      <c r="H54" s="61">
        <f>VLOOKUP($C54,'Table S3 Literature Values'!$A$10:$AV$10000,H$1,FALSE)</f>
        <v>0</v>
      </c>
      <c r="I54" s="61">
        <f>INDEX('Table S3 Literature Values'!$A$10:$AV$10000,MATCH($C54,'Table S3 Literature Values'!$A$10:$A$10000,0)+1,I$1)</f>
        <v>0</v>
      </c>
      <c r="J54" s="63">
        <f>INDEX('Table S3 Literature Values'!$A$10:$AV$10000,MATCH($C54,'Table S3 Literature Values'!$A$10:$A$10000,0)+2,I$1)</f>
        <v>0</v>
      </c>
      <c r="K54" s="61">
        <f>VLOOKUP($C54,'Table S3 Literature Values'!$A$10:$AV$10000,K$1,FALSE)</f>
        <v>0</v>
      </c>
      <c r="L54" s="61">
        <f>INDEX('Table S3 Literature Values'!$A$10:$AV$10000,MATCH($C54,'Table S3 Literature Values'!$A$10:$A$10000,0)+1,L$1)</f>
        <v>0</v>
      </c>
      <c r="M54" s="63">
        <f>INDEX('Table S3 Literature Values'!$A$10:$AV$10000,MATCH($C54,'Table S3 Literature Values'!$A$10:$A$10000,0)+2,L$1)</f>
        <v>0</v>
      </c>
      <c r="N54" s="61">
        <f>VLOOKUP($C54,'Table S3 Literature Values'!$A$10:$AV$10000,N$1,FALSE)</f>
        <v>83</v>
      </c>
      <c r="O54" s="61">
        <f>INDEX('Table S3 Literature Values'!$A$10:$AV$10000,MATCH($C54,'Table S3 Literature Values'!$A$10:$A$10000,0)+1,O$1)</f>
        <v>5.2587209537632624</v>
      </c>
      <c r="P54" s="63">
        <f>INDEX('Table S3 Literature Values'!$A$10:$AV$10000,MATCH($C54,'Table S3 Literature Values'!$A$10:$A$10000,0)+2,O$1)</f>
        <v>1</v>
      </c>
      <c r="Q54" s="61">
        <f>VLOOKUP($C54,'Table S3 Literature Values'!$A$10:$AV$10000,Q$1,FALSE)</f>
        <v>0</v>
      </c>
      <c r="R54" s="61">
        <f>INDEX('Table S3 Literature Values'!$A$10:$AV$10000,MATCH($C54,'Table S3 Literature Values'!$A$10:$A$10000,0)+1,R$1)</f>
        <v>0</v>
      </c>
      <c r="S54" s="63">
        <f>INDEX('Table S3 Literature Values'!$A$10:$AV$10000,MATCH($C54,'Table S3 Literature Values'!$A$10:$A$10000,0)+2,R$1)</f>
        <v>0</v>
      </c>
      <c r="T54" s="61">
        <f>VLOOKUP($C54,'Table S3 Literature Values'!$A$10:$AV$10000,T$1,FALSE)</f>
        <v>0</v>
      </c>
      <c r="U54" s="61">
        <f>INDEX('Table S3 Literature Values'!$A$10:$AV$10000,MATCH($C54,'Table S3 Literature Values'!$A$10:$A$10000,0)+1,U$1)</f>
        <v>0</v>
      </c>
      <c r="V54" s="63">
        <f>INDEX('Table S3 Literature Values'!$A$10:$AV$10000,MATCH($C54,'Table S3 Literature Values'!$A$10:$A$10000,0)+2,U$1)</f>
        <v>0</v>
      </c>
      <c r="W54" s="61">
        <f ca="1">VLOOKUP($C54,'Table S3 Literature Values'!$A$10:$AV$10000,W$1,FALSE)</f>
        <v>9.5354454649199933</v>
      </c>
      <c r="X54" s="61">
        <f ca="1">INDEX('Table S3 Literature Values'!$A$10:$AV$10000,MATCH($C54,'Table S3 Literature Values'!$A$10:$A$10000,0)+1,X$1)</f>
        <v>6.0454967129327825E-2</v>
      </c>
      <c r="Y54" s="63">
        <f ca="1">INDEX('Table S3 Literature Values'!$A$10:$AV$10000,MATCH($C54,'Table S3 Literature Values'!$A$10:$A$10000,0)+2,X$1)</f>
        <v>2</v>
      </c>
      <c r="Z54" s="61">
        <f>VLOOKUP($C54,'Table S3 Literature Values'!$A$10:$AV$10000,Z$1,FALSE)</f>
        <v>6.665</v>
      </c>
      <c r="AA54" s="61">
        <f>INDEX('Table S3 Literature Values'!$A$10:$AV$10000,MATCH($C54,'Table S3 Literature Values'!$A$10:$A$10000,0)+1,AA$1)</f>
        <v>0.16263455967290624</v>
      </c>
      <c r="AB54" s="63">
        <f>INDEX('Table S3 Literature Values'!$A$10:$AV$10000,MATCH($C54,'Table S3 Literature Values'!$A$10:$A$10000,0)+2,AA$1)</f>
        <v>2</v>
      </c>
      <c r="AC54" s="61">
        <f ca="1">VLOOKUP($C54,'Table S3 Literature Values'!$A$10:$AV$10000,AC$1,FALSE)</f>
        <v>-2.5888519995337749</v>
      </c>
      <c r="AD54" s="61">
        <f ca="1">INDEX('Table S3 Literature Values'!$A$10:$AV$10000,MATCH($C54,'Table S3 Literature Values'!$A$10:$A$10000,0)+1,AD$1)</f>
        <v>0.29502137502894887</v>
      </c>
      <c r="AE54" s="63">
        <f ca="1">INDEX('Table S3 Literature Values'!$A$10:$AV$10000,MATCH($C54,'Table S3 Literature Values'!$A$10:$A$10000,0)+2,AD$1)</f>
        <v>2</v>
      </c>
      <c r="AF54" s="61">
        <f ca="1">VLOOKUP($C54,'Table S3 Literature Values'!$A$10:$AV$10000,AF$1,FALSE)</f>
        <v>-3.0450153498164276</v>
      </c>
      <c r="AG54" s="61">
        <f ca="1">INDEX('Table S3 Literature Values'!$A$10:$AV$10000,MATCH($C54,'Table S3 Literature Values'!$A$10:$A$10000,0)+1,AG$1)</f>
        <v>0.24220774330514885</v>
      </c>
      <c r="AH54" s="63">
        <f ca="1">INDEX('Table S3 Literature Values'!$A$10:$AV$10000,MATCH($C54,'Table S3 Literature Values'!$A$10:$A$10000,0)+2,AG$1)</f>
        <v>4</v>
      </c>
      <c r="AI54" s="61">
        <f ca="1">VLOOKUP($C54,'Table S3 Literature Values'!$A$10:$AV$10000,AI$1,FALSE)</f>
        <v>-4.9723347322518059</v>
      </c>
      <c r="AJ54" s="61">
        <f ca="1">INDEX('Table S3 Literature Values'!$A$10:$AV$10000,MATCH($C54,'Table S3 Literature Values'!$A$10:$A$10000,0)+1,AJ$1)</f>
        <v>0.64224406619288954</v>
      </c>
      <c r="AK54" s="63">
        <f ca="1">INDEX('Table S3 Literature Values'!$A$10:$AV$10000,MATCH($C54,'Table S3 Literature Values'!$A$10:$A$10000,0)+2,AJ$1)</f>
        <v>2</v>
      </c>
      <c r="AL54" s="61">
        <f>VLOOKUP($C54,'Table S3 Literature Values'!$A$10:$AV$10000,AL$1,FALSE)</f>
        <v>0</v>
      </c>
      <c r="AM54" s="61">
        <f>INDEX('Table S3 Literature Values'!$A$10:$AV$10000,MATCH($C54,'Table S3 Literature Values'!$A$10:$A$10000,0)+1,AM$1)</f>
        <v>0</v>
      </c>
      <c r="AN54" s="63">
        <f>INDEX('Table S3 Literature Values'!$A$10:$AV$10000,MATCH($C54,'Table S3 Literature Values'!$A$10:$A$10000,0)+2,AM$1)</f>
        <v>0</v>
      </c>
      <c r="AO54" s="61">
        <f>VLOOKUP($C54,'Table S3 Literature Values'!$A$10:$AV$10000,AO$1,FALSE)</f>
        <v>0</v>
      </c>
      <c r="AP54" s="61">
        <f>INDEX('Table S3 Literature Values'!$A$10:$AV$10000,MATCH($C54,'Table S3 Literature Values'!$A$10:$A$10000,0)+1,AP$1)</f>
        <v>0</v>
      </c>
      <c r="AQ54" s="63">
        <f>INDEX('Table S3 Literature Values'!$A$10:$AV$10000,MATCH($C54,'Table S3 Literature Values'!$A$10:$A$10000,0)+2,AP$1)</f>
        <v>0</v>
      </c>
      <c r="AR54" s="61">
        <f>VLOOKUP($C54,'Table S3 Literature Values'!$A$10:$AV$10000,AR$1,FALSE)</f>
        <v>136</v>
      </c>
      <c r="AS54" s="61">
        <f>INDEX('Table S3 Literature Values'!$A$10:$AV$10000,MATCH($C54,'Table S3 Literature Values'!$A$10:$A$10000,0)+1,AS$1)</f>
        <v>6.2785375376398376</v>
      </c>
      <c r="AT54" s="63">
        <f>INDEX('Table S3 Literature Values'!$A$10:$AV$10000,MATCH($C54,'Table S3 Literature Values'!$A$10:$A$10000,0)+2,AS$1)</f>
        <v>1</v>
      </c>
    </row>
    <row r="55" spans="1:46">
      <c r="A55" t="str">
        <f>'Table S2 Compound Identifiers'!C60</f>
        <v>PCB</v>
      </c>
      <c r="B55">
        <f>COUNTIF($C$3:C55,"&lt;&gt;"&amp;"")</f>
        <v>53</v>
      </c>
      <c r="C55" t="str">
        <f>IF('Table S2 Compound Identifiers'!B60="","",'Table S2 Compound Identifiers'!B60)</f>
        <v>PCB-47</v>
      </c>
      <c r="D55" t="str">
        <f>'Table S2 Compound Identifiers'!D60</f>
        <v>2437-79-8</v>
      </c>
      <c r="E55" s="501">
        <f>VLOOKUP(C55,'Table S3 Literature Values'!$A$10:$AV$10000,E$1,FALSE)</f>
        <v>85.186631759000008</v>
      </c>
      <c r="F55" s="61">
        <f>INDEX('Table S3 Literature Values'!$A$10:$AV$10000,MATCH(C55,'Table S3 Literature Values'!$A$10:$A$10000,0)+1,F$1)</f>
        <v>5.9586025096942681</v>
      </c>
      <c r="G55" s="63">
        <f>INDEX('Table S3 Literature Values'!$A$10:$AV$10000,MATCH($C55,'Table S3 Literature Values'!$A$10:$A$10000,0)+2,F$1)</f>
        <v>2</v>
      </c>
      <c r="H55" s="61">
        <f>VLOOKUP($C55,'Table S3 Literature Values'!$A$10:$AV$10000,H$1,FALSE)</f>
        <v>32</v>
      </c>
      <c r="I55" s="61">
        <f>INDEX('Table S3 Literature Values'!$A$10:$AV$10000,MATCH($C55,'Table S3 Literature Values'!$A$10:$A$10000,0)+1,I$1)</f>
        <v>6.4</v>
      </c>
      <c r="J55" s="63">
        <f>INDEX('Table S3 Literature Values'!$A$10:$AV$10000,MATCH($C55,'Table S3 Literature Values'!$A$10:$A$10000,0)+2,I$1)</f>
        <v>1</v>
      </c>
      <c r="K55" s="61">
        <f>VLOOKUP($C55,'Table S3 Literature Values'!$A$10:$AV$10000,K$1,FALSE)</f>
        <v>0</v>
      </c>
      <c r="L55" s="61">
        <f>INDEX('Table S3 Literature Values'!$A$10:$AV$10000,MATCH($C55,'Table S3 Literature Values'!$A$10:$A$10000,0)+1,L$1)</f>
        <v>0</v>
      </c>
      <c r="M55" s="63">
        <f>INDEX('Table S3 Literature Values'!$A$10:$AV$10000,MATCH($C55,'Table S3 Literature Values'!$A$10:$A$10000,0)+2,L$1)</f>
        <v>0</v>
      </c>
      <c r="N55" s="61">
        <f>VLOOKUP($C55,'Table S3 Literature Values'!$A$10:$AV$10000,N$1,FALSE)</f>
        <v>77</v>
      </c>
      <c r="O55" s="61">
        <f>INDEX('Table S3 Literature Values'!$A$10:$AV$10000,MATCH($C55,'Table S3 Literature Values'!$A$10:$A$10000,0)+1,O$1)</f>
        <v>4.8785724510815802</v>
      </c>
      <c r="P55" s="63">
        <f>INDEX('Table S3 Literature Values'!$A$10:$AV$10000,MATCH($C55,'Table S3 Literature Values'!$A$10:$A$10000,0)+2,O$1)</f>
        <v>1</v>
      </c>
      <c r="Q55" s="61">
        <f>VLOOKUP($C55,'Table S3 Literature Values'!$A$10:$AV$10000,Q$1,FALSE)</f>
        <v>0</v>
      </c>
      <c r="R55" s="61">
        <f>INDEX('Table S3 Literature Values'!$A$10:$AV$10000,MATCH($C55,'Table S3 Literature Values'!$A$10:$A$10000,0)+1,R$1)</f>
        <v>0</v>
      </c>
      <c r="S55" s="63">
        <f>INDEX('Table S3 Literature Values'!$A$10:$AV$10000,MATCH($C55,'Table S3 Literature Values'!$A$10:$A$10000,0)+2,R$1)</f>
        <v>0</v>
      </c>
      <c r="T55" s="61">
        <f>VLOOKUP($C55,'Table S3 Literature Values'!$A$10:$AV$10000,T$1,FALSE)</f>
        <v>0</v>
      </c>
      <c r="U55" s="61">
        <f>INDEX('Table S3 Literature Values'!$A$10:$AV$10000,MATCH($C55,'Table S3 Literature Values'!$A$10:$A$10000,0)+1,U$1)</f>
        <v>0</v>
      </c>
      <c r="V55" s="63">
        <f>INDEX('Table S3 Literature Values'!$A$10:$AV$10000,MATCH($C55,'Table S3 Literature Values'!$A$10:$A$10000,0)+2,U$1)</f>
        <v>0</v>
      </c>
      <c r="W55" s="61">
        <f ca="1">VLOOKUP($C55,'Table S3 Literature Values'!$A$10:$AV$10000,W$1,FALSE)</f>
        <v>8.3783125260505589</v>
      </c>
      <c r="X55" s="61">
        <f ca="1">INDEX('Table S3 Literature Values'!$A$10:$AV$10000,MATCH($C55,'Table S3 Literature Values'!$A$10:$A$10000,0)+1,X$1)</f>
        <v>6.3856714674023748E-2</v>
      </c>
      <c r="Y55" s="63">
        <f ca="1">INDEX('Table S3 Literature Values'!$A$10:$AV$10000,MATCH($C55,'Table S3 Literature Values'!$A$10:$A$10000,0)+2,X$1)</f>
        <v>2</v>
      </c>
      <c r="Z55" s="61">
        <f>VLOOKUP($C55,'Table S3 Literature Values'!$A$10:$AV$10000,Z$1,FALSE)</f>
        <v>5.9708333333333323</v>
      </c>
      <c r="AA55" s="61">
        <f>INDEX('Table S3 Literature Values'!$A$10:$AV$10000,MATCH($C55,'Table S3 Literature Values'!$A$10:$A$10000,0)+1,AA$1)</f>
        <v>0.30598542993635075</v>
      </c>
      <c r="AB55" s="63">
        <f>INDEX('Table S3 Literature Values'!$A$10:$AV$10000,MATCH($C55,'Table S3 Literature Values'!$A$10:$A$10000,0)+2,AA$1)</f>
        <v>3</v>
      </c>
      <c r="AC55" s="61">
        <f>VLOOKUP($C55,'Table S3 Literature Values'!$A$10:$AV$10000,AC$1,FALSE)</f>
        <v>-2.1097746204853944</v>
      </c>
      <c r="AD55" s="61">
        <f>INDEX('Table S3 Literature Values'!$A$10:$AV$10000,MATCH($C55,'Table S3 Literature Values'!$A$10:$A$10000,0)+1,AD$1)</f>
        <v>0.42195492409707891</v>
      </c>
      <c r="AE55" s="63">
        <f>INDEX('Table S3 Literature Values'!$A$10:$AV$10000,MATCH($C55,'Table S3 Literature Values'!$A$10:$A$10000,0)+2,AD$1)</f>
        <v>1</v>
      </c>
      <c r="AF55" s="61">
        <f>VLOOKUP($C55,'Table S3 Literature Values'!$A$10:$AV$10000,AF$1,FALSE)</f>
        <v>-1.8415366630123795</v>
      </c>
      <c r="AG55" s="61">
        <f>INDEX('Table S3 Literature Values'!$A$10:$AV$10000,MATCH($C55,'Table S3 Literature Values'!$A$10:$A$10000,0)+1,AG$1)</f>
        <v>3.7003294481798843E-2</v>
      </c>
      <c r="AH55" s="63">
        <f>INDEX('Table S3 Literature Values'!$A$10:$AV$10000,MATCH($C55,'Table S3 Literature Values'!$A$10:$A$10000,0)+2,AG$1)</f>
        <v>3</v>
      </c>
      <c r="AI55" s="61">
        <f>VLOOKUP($C55,'Table S3 Literature Values'!$A$10:$AV$10000,AI$1,FALSE)</f>
        <v>-3.7707483866126688</v>
      </c>
      <c r="AJ55" s="61">
        <f>INDEX('Table S3 Literature Values'!$A$10:$AV$10000,MATCH($C55,'Table S3 Literature Values'!$A$10:$A$10000,0)+1,AJ$1)</f>
        <v>0.31763768319090768</v>
      </c>
      <c r="AK55" s="63">
        <f>INDEX('Table S3 Literature Values'!$A$10:$AV$10000,MATCH($C55,'Table S3 Literature Values'!$A$10:$A$10000,0)+2,AJ$1)</f>
        <v>3</v>
      </c>
      <c r="AL55" s="61">
        <f>VLOOKUP($C55,'Table S3 Literature Values'!$A$10:$AV$10000,AL$1,FALSE)</f>
        <v>0</v>
      </c>
      <c r="AM55" s="61">
        <f>INDEX('Table S3 Literature Values'!$A$10:$AV$10000,MATCH($C55,'Table S3 Literature Values'!$A$10:$A$10000,0)+1,AM$1)</f>
        <v>0</v>
      </c>
      <c r="AN55" s="63">
        <f>INDEX('Table S3 Literature Values'!$A$10:$AV$10000,MATCH($C55,'Table S3 Literature Values'!$A$10:$A$10000,0)+2,AM$1)</f>
        <v>0</v>
      </c>
      <c r="AO55" s="61">
        <f>VLOOKUP($C55,'Table S3 Literature Values'!$A$10:$AV$10000,AO$1,FALSE)</f>
        <v>60</v>
      </c>
      <c r="AP55" s="61">
        <f>INDEX('Table S3 Literature Values'!$A$10:$AV$10000,MATCH($C55,'Table S3 Literature Values'!$A$10:$A$10000,0)+1,AP$1)</f>
        <v>4.7291775609904514</v>
      </c>
      <c r="AQ55" s="63">
        <f>INDEX('Table S3 Literature Values'!$A$10:$AV$10000,MATCH($C55,'Table S3 Literature Values'!$A$10:$A$10000,0)+2,AP$1)</f>
        <v>1</v>
      </c>
      <c r="AR55" s="61">
        <f>VLOOKUP($C55,'Table S3 Literature Values'!$A$10:$AV$10000,AR$1,FALSE)</f>
        <v>42.916666666666664</v>
      </c>
      <c r="AS55" s="61">
        <f>INDEX('Table S3 Literature Values'!$A$10:$AV$10000,MATCH($C55,'Table S3 Literature Values'!$A$10:$A$10000,0)+1,AS$1)</f>
        <v>2.4537386440559095</v>
      </c>
      <c r="AT55" s="63">
        <f>INDEX('Table S3 Literature Values'!$A$10:$AV$10000,MATCH($C55,'Table S3 Literature Values'!$A$10:$A$10000,0)+2,AS$1)</f>
        <v>3</v>
      </c>
    </row>
    <row r="56" spans="1:46">
      <c r="A56" t="str">
        <f>'Table S2 Compound Identifiers'!C61</f>
        <v>PCB</v>
      </c>
      <c r="B56">
        <f>COUNTIF($C$3:C56,"&lt;&gt;"&amp;"")</f>
        <v>54</v>
      </c>
      <c r="C56" t="str">
        <f>IF('Table S2 Compound Identifiers'!B61="","",'Table S2 Compound Identifiers'!B61)</f>
        <v>PCB-173</v>
      </c>
      <c r="D56" t="str">
        <f>'Table S2 Compound Identifiers'!D61</f>
        <v>68194-16-1</v>
      </c>
      <c r="E56" s="501">
        <f>VLOOKUP(C56,'Table S3 Literature Values'!$A$10:$AV$10000,E$1,FALSE)</f>
        <v>93.6</v>
      </c>
      <c r="F56" s="61">
        <f>INDEX('Table S3 Literature Values'!$A$10:$AV$10000,MATCH(C56,'Table S3 Literature Values'!$A$10:$A$10000,0)+1,F$1)</f>
        <v>6.6796159686982195</v>
      </c>
      <c r="G56" s="63">
        <f>INDEX('Table S3 Literature Values'!$A$10:$AV$10000,MATCH($C56,'Table S3 Literature Values'!$A$10:$A$10000,0)+2,F$1)</f>
        <v>1</v>
      </c>
      <c r="H56" s="61">
        <f>VLOOKUP($C56,'Table S3 Literature Values'!$A$10:$AV$10000,H$1,FALSE)</f>
        <v>0</v>
      </c>
      <c r="I56" s="61">
        <f>INDEX('Table S3 Literature Values'!$A$10:$AV$10000,MATCH($C56,'Table S3 Literature Values'!$A$10:$A$10000,0)+1,I$1)</f>
        <v>0</v>
      </c>
      <c r="J56" s="63">
        <f>INDEX('Table S3 Literature Values'!$A$10:$AV$10000,MATCH($C56,'Table S3 Literature Values'!$A$10:$A$10000,0)+2,I$1)</f>
        <v>0</v>
      </c>
      <c r="K56" s="61">
        <f>VLOOKUP($C56,'Table S3 Literature Values'!$A$10:$AV$10000,K$1,FALSE)</f>
        <v>0</v>
      </c>
      <c r="L56" s="61">
        <f>INDEX('Table S3 Literature Values'!$A$10:$AV$10000,MATCH($C56,'Table S3 Literature Values'!$A$10:$A$10000,0)+1,L$1)</f>
        <v>0</v>
      </c>
      <c r="M56" s="63">
        <f>INDEX('Table S3 Literature Values'!$A$10:$AV$10000,MATCH($C56,'Table S3 Literature Values'!$A$10:$A$10000,0)+2,L$1)</f>
        <v>0</v>
      </c>
      <c r="N56" s="61">
        <f>VLOOKUP($C56,'Table S3 Literature Values'!$A$10:$AV$10000,N$1,FALSE)</f>
        <v>82.3</v>
      </c>
      <c r="O56" s="61">
        <f>INDEX('Table S3 Literature Values'!$A$10:$AV$10000,MATCH($C56,'Table S3 Literature Values'!$A$10:$A$10000,0)+1,O$1)</f>
        <v>5.2143702951170656</v>
      </c>
      <c r="P56" s="63">
        <f>INDEX('Table S3 Literature Values'!$A$10:$AV$10000,MATCH($C56,'Table S3 Literature Values'!$A$10:$A$10000,0)+2,O$1)</f>
        <v>1</v>
      </c>
      <c r="Q56" s="61">
        <f>VLOOKUP($C56,'Table S3 Literature Values'!$A$10:$AV$10000,Q$1,FALSE)</f>
        <v>0</v>
      </c>
      <c r="R56" s="61">
        <f>INDEX('Table S3 Literature Values'!$A$10:$AV$10000,MATCH($C56,'Table S3 Literature Values'!$A$10:$A$10000,0)+1,R$1)</f>
        <v>0</v>
      </c>
      <c r="S56" s="63">
        <f>INDEX('Table S3 Literature Values'!$A$10:$AV$10000,MATCH($C56,'Table S3 Literature Values'!$A$10:$A$10000,0)+2,R$1)</f>
        <v>0</v>
      </c>
      <c r="T56" s="61">
        <f>VLOOKUP($C56,'Table S3 Literature Values'!$A$10:$AV$10000,T$1,FALSE)</f>
        <v>0</v>
      </c>
      <c r="U56" s="61">
        <f>INDEX('Table S3 Literature Values'!$A$10:$AV$10000,MATCH($C56,'Table S3 Literature Values'!$A$10:$A$10000,0)+1,U$1)</f>
        <v>0</v>
      </c>
      <c r="V56" s="63">
        <f>INDEX('Table S3 Literature Values'!$A$10:$AV$10000,MATCH($C56,'Table S3 Literature Values'!$A$10:$A$10000,0)+2,U$1)</f>
        <v>0</v>
      </c>
      <c r="W56" s="61">
        <f ca="1">VLOOKUP($C56,'Table S3 Literature Values'!$A$10:$AV$10000,W$1,FALSE)</f>
        <v>10.270436050858564</v>
      </c>
      <c r="X56" s="61">
        <f ca="1">INDEX('Table S3 Literature Values'!$A$10:$AV$10000,MATCH($C56,'Table S3 Literature Values'!$A$10:$A$10000,0)+1,X$1)</f>
        <v>0.10951371931483565</v>
      </c>
      <c r="Y56" s="63">
        <f ca="1">INDEX('Table S3 Literature Values'!$A$10:$AV$10000,MATCH($C56,'Table S3 Literature Values'!$A$10:$A$10000,0)+2,X$1)</f>
        <v>2</v>
      </c>
      <c r="Z56" s="61">
        <f>VLOOKUP($C56,'Table S3 Literature Values'!$A$10:$AV$10000,Z$1,FALSE)</f>
        <v>0</v>
      </c>
      <c r="AA56" s="61">
        <f>INDEX('Table S3 Literature Values'!$A$10:$AV$10000,MATCH($C56,'Table S3 Literature Values'!$A$10:$A$10000,0)+1,AA$1)</f>
        <v>0</v>
      </c>
      <c r="AB56" s="63">
        <f>INDEX('Table S3 Literature Values'!$A$10:$AV$10000,MATCH($C56,'Table S3 Literature Values'!$A$10:$A$10000,0)+2,AA$1)</f>
        <v>0</v>
      </c>
      <c r="AC56" s="61">
        <f>VLOOKUP($C56,'Table S3 Literature Values'!$A$10:$AV$10000,AC$1,FALSE)</f>
        <v>-3.2424001857599851</v>
      </c>
      <c r="AD56" s="61">
        <f>INDEX('Table S3 Literature Values'!$A$10:$AV$10000,MATCH($C56,'Table S3 Literature Values'!$A$10:$A$10000,0)+1,AD$1)</f>
        <v>0.64848003715199709</v>
      </c>
      <c r="AE56" s="63">
        <f>INDEX('Table S3 Literature Values'!$A$10:$AV$10000,MATCH($C56,'Table S3 Literature Values'!$A$10:$A$10000,0)+2,AD$1)</f>
        <v>1</v>
      </c>
      <c r="AF56" s="61">
        <f>VLOOKUP($C56,'Table S3 Literature Values'!$A$10:$AV$10000,AF$1,FALSE)</f>
        <v>-3.5667759081346233</v>
      </c>
      <c r="AG56" s="61">
        <f>INDEX('Table S3 Literature Values'!$A$10:$AV$10000,MATCH($C56,'Table S3 Literature Values'!$A$10:$A$10000,0)+1,AG$1)</f>
        <v>0.56592027387140831</v>
      </c>
      <c r="AH56" s="63">
        <f>INDEX('Table S3 Literature Values'!$A$10:$AV$10000,MATCH($C56,'Table S3 Literature Values'!$A$10:$A$10000,0)+2,AG$1)</f>
        <v>1</v>
      </c>
      <c r="AI56" s="61">
        <f ca="1">VLOOKUP($C56,'Table S3 Literature Values'!$A$10:$AV$10000,AI$1,FALSE)</f>
        <v>-4.9091550554090064</v>
      </c>
      <c r="AJ56" s="61">
        <f ca="1">INDEX('Table S3 Literature Values'!$A$10:$AV$10000,MATCH($C56,'Table S3 Literature Values'!$A$10:$A$10000,0)+1,AJ$1)</f>
        <v>0.60703954383878933</v>
      </c>
      <c r="AK56" s="63">
        <f ca="1">INDEX('Table S3 Literature Values'!$A$10:$AV$10000,MATCH($C56,'Table S3 Literature Values'!$A$10:$A$10000,0)+2,AJ$1)</f>
        <v>1</v>
      </c>
      <c r="AL56" s="61">
        <f>VLOOKUP($C56,'Table S3 Literature Values'!$A$10:$AV$10000,AL$1,FALSE)</f>
        <v>0</v>
      </c>
      <c r="AM56" s="61">
        <f>INDEX('Table S3 Literature Values'!$A$10:$AV$10000,MATCH($C56,'Table S3 Literature Values'!$A$10:$A$10000,0)+1,AM$1)</f>
        <v>0</v>
      </c>
      <c r="AN56" s="63">
        <f>INDEX('Table S3 Literature Values'!$A$10:$AV$10000,MATCH($C56,'Table S3 Literature Values'!$A$10:$A$10000,0)+2,AM$1)</f>
        <v>0</v>
      </c>
      <c r="AO56" s="61">
        <f>VLOOKUP($C56,'Table S3 Literature Values'!$A$10:$AV$10000,AO$1,FALSE)</f>
        <v>0</v>
      </c>
      <c r="AP56" s="61">
        <f>INDEX('Table S3 Literature Values'!$A$10:$AV$10000,MATCH($C56,'Table S3 Literature Values'!$A$10:$A$10000,0)+1,AP$1)</f>
        <v>0</v>
      </c>
      <c r="AQ56" s="63">
        <f>INDEX('Table S3 Literature Values'!$A$10:$AV$10000,MATCH($C56,'Table S3 Literature Values'!$A$10:$A$10000,0)+2,AP$1)</f>
        <v>0</v>
      </c>
      <c r="AR56" s="61">
        <f>VLOOKUP($C56,'Table S3 Literature Values'!$A$10:$AV$10000,AR$1,FALSE)</f>
        <v>204.5</v>
      </c>
      <c r="AS56" s="61">
        <f>INDEX('Table S3 Literature Values'!$A$10:$AV$10000,MATCH($C56,'Table S3 Literature Values'!$A$10:$A$10000,0)+1,AS$1)</f>
        <v>9.4408891650540205</v>
      </c>
      <c r="AT56" s="63">
        <f>INDEX('Table S3 Literature Values'!$A$10:$AV$10000,MATCH($C56,'Table S3 Literature Values'!$A$10:$A$10000,0)+2,AS$1)</f>
        <v>1</v>
      </c>
    </row>
    <row r="57" spans="1:46">
      <c r="A57" t="str">
        <f>'Table S2 Compound Identifiers'!C62</f>
        <v>PCB</v>
      </c>
      <c r="B57">
        <f>COUNTIF($C$3:C57,"&lt;&gt;"&amp;"")</f>
        <v>55</v>
      </c>
      <c r="C57" t="str">
        <f>IF('Table S2 Compound Identifiers'!B62="","",'Table S2 Compound Identifiers'!B62)</f>
        <v>PCB-176</v>
      </c>
      <c r="D57" t="str">
        <f>'Table S2 Compound Identifiers'!D62</f>
        <v>52663-65-7</v>
      </c>
      <c r="E57" s="501">
        <f>VLOOKUP(C57,'Table S3 Literature Values'!$A$10:$AV$10000,E$1,FALSE)</f>
        <v>88.187381608999999</v>
      </c>
      <c r="F57" s="61">
        <f>INDEX('Table S3 Literature Values'!$A$10:$AV$10000,MATCH(C57,'Table S3 Literature Values'!$A$10:$A$10000,0)+1,F$1)</f>
        <v>0.72495188087407936</v>
      </c>
      <c r="G57" s="63">
        <f>INDEX('Table S3 Literature Values'!$A$10:$AV$10000,MATCH($C57,'Table S3 Literature Values'!$A$10:$A$10000,0)+2,F$1)</f>
        <v>2</v>
      </c>
      <c r="H57" s="61">
        <f>VLOOKUP($C57,'Table S3 Literature Values'!$A$10:$AV$10000,H$1,FALSE)</f>
        <v>0</v>
      </c>
      <c r="I57" s="61">
        <f>INDEX('Table S3 Literature Values'!$A$10:$AV$10000,MATCH($C57,'Table S3 Literature Values'!$A$10:$A$10000,0)+1,I$1)</f>
        <v>0</v>
      </c>
      <c r="J57" s="63">
        <f>INDEX('Table S3 Literature Values'!$A$10:$AV$10000,MATCH($C57,'Table S3 Literature Values'!$A$10:$A$10000,0)+2,I$1)</f>
        <v>0</v>
      </c>
      <c r="K57" s="61">
        <f>VLOOKUP($C57,'Table S3 Literature Values'!$A$10:$AV$10000,K$1,FALSE)</f>
        <v>0</v>
      </c>
      <c r="L57" s="61">
        <f>INDEX('Table S3 Literature Values'!$A$10:$AV$10000,MATCH($C57,'Table S3 Literature Values'!$A$10:$A$10000,0)+1,L$1)</f>
        <v>0</v>
      </c>
      <c r="M57" s="63">
        <f>INDEX('Table S3 Literature Values'!$A$10:$AV$10000,MATCH($C57,'Table S3 Literature Values'!$A$10:$A$10000,0)+2,L$1)</f>
        <v>0</v>
      </c>
      <c r="N57" s="61">
        <f>VLOOKUP($C57,'Table S3 Literature Values'!$A$10:$AV$10000,N$1,FALSE)</f>
        <v>87.5</v>
      </c>
      <c r="O57" s="61">
        <f>INDEX('Table S3 Literature Values'!$A$10:$AV$10000,MATCH($C57,'Table S3 Literature Values'!$A$10:$A$10000,0)+1,O$1)</f>
        <v>5.5438323307745234</v>
      </c>
      <c r="P57" s="63">
        <f>INDEX('Table S3 Literature Values'!$A$10:$AV$10000,MATCH($C57,'Table S3 Literature Values'!$A$10:$A$10000,0)+2,O$1)</f>
        <v>1</v>
      </c>
      <c r="Q57" s="61">
        <f>VLOOKUP($C57,'Table S3 Literature Values'!$A$10:$AV$10000,Q$1,FALSE)</f>
        <v>0</v>
      </c>
      <c r="R57" s="61">
        <f>INDEX('Table S3 Literature Values'!$A$10:$AV$10000,MATCH($C57,'Table S3 Literature Values'!$A$10:$A$10000,0)+1,R$1)</f>
        <v>0</v>
      </c>
      <c r="S57" s="63">
        <f>INDEX('Table S3 Literature Values'!$A$10:$AV$10000,MATCH($C57,'Table S3 Literature Values'!$A$10:$A$10000,0)+2,R$1)</f>
        <v>0</v>
      </c>
      <c r="T57" s="61">
        <f>VLOOKUP($C57,'Table S3 Literature Values'!$A$10:$AV$10000,T$1,FALSE)</f>
        <v>0</v>
      </c>
      <c r="U57" s="61">
        <f>INDEX('Table S3 Literature Values'!$A$10:$AV$10000,MATCH($C57,'Table S3 Literature Values'!$A$10:$A$10000,0)+1,U$1)</f>
        <v>0</v>
      </c>
      <c r="V57" s="63">
        <f>INDEX('Table S3 Literature Values'!$A$10:$AV$10000,MATCH($C57,'Table S3 Literature Values'!$A$10:$A$10000,0)+2,U$1)</f>
        <v>0</v>
      </c>
      <c r="W57" s="61">
        <f ca="1">VLOOKUP($C57,'Table S3 Literature Values'!$A$10:$AV$10000,W$1,FALSE)</f>
        <v>9.80286139538212</v>
      </c>
      <c r="X57" s="61">
        <f ca="1">INDEX('Table S3 Literature Values'!$A$10:$AV$10000,MATCH($C57,'Table S3 Literature Values'!$A$10:$A$10000,0)+1,X$1)</f>
        <v>7.0888148300808597E-3</v>
      </c>
      <c r="Y57" s="63">
        <f ca="1">INDEX('Table S3 Literature Values'!$A$10:$AV$10000,MATCH($C57,'Table S3 Literature Values'!$A$10:$A$10000,0)+2,X$1)</f>
        <v>2</v>
      </c>
      <c r="Z57" s="61">
        <f>VLOOKUP($C57,'Table S3 Literature Values'!$A$10:$AV$10000,Z$1,FALSE)</f>
        <v>6.6549999999999994</v>
      </c>
      <c r="AA57" s="61">
        <f>INDEX('Table S3 Literature Values'!$A$10:$AV$10000,MATCH($C57,'Table S3 Literature Values'!$A$10:$A$10000,0)+1,AA$1)</f>
        <v>0.14849242404917495</v>
      </c>
      <c r="AB57" s="63">
        <f>INDEX('Table S3 Literature Values'!$A$10:$AV$10000,MATCH($C57,'Table S3 Literature Values'!$A$10:$A$10000,0)+2,AA$1)</f>
        <v>2</v>
      </c>
      <c r="AC57" s="61">
        <f ca="1">VLOOKUP($C57,'Table S3 Literature Values'!$A$10:$AV$10000,AC$1,FALSE)</f>
        <v>-2.2302775143706985</v>
      </c>
      <c r="AD57" s="61">
        <f ca="1">INDEX('Table S3 Literature Values'!$A$10:$AV$10000,MATCH($C57,'Table S3 Literature Values'!$A$10:$A$10000,0)+1,AD$1)</f>
        <v>0.44605550287413975</v>
      </c>
      <c r="AE57" s="63">
        <f ca="1">INDEX('Table S3 Literature Values'!$A$10:$AV$10000,MATCH($C57,'Table S3 Literature Values'!$A$10:$A$10000,0)+2,AD$1)</f>
        <v>1</v>
      </c>
      <c r="AF57" s="61">
        <f>VLOOKUP($C57,'Table S3 Literature Values'!$A$10:$AV$10000,AF$1,FALSE)</f>
        <v>-3.2215368249492431</v>
      </c>
      <c r="AG57" s="61">
        <f>INDEX('Table S3 Literature Values'!$A$10:$AV$10000,MATCH($C57,'Table S3 Literature Values'!$A$10:$A$10000,0)+1,AG$1)</f>
        <v>8.1858281942174385E-2</v>
      </c>
      <c r="AH57" s="63">
        <f>INDEX('Table S3 Literature Values'!$A$10:$AV$10000,MATCH($C57,'Table S3 Literature Values'!$A$10:$A$10000,0)+2,AG$1)</f>
        <v>3</v>
      </c>
      <c r="AI57" s="61">
        <f ca="1">VLOOKUP($C57,'Table S3 Literature Values'!$A$10:$AV$10000,AI$1,FALSE)</f>
        <v>-4.6128134783762764</v>
      </c>
      <c r="AJ57" s="61">
        <f ca="1">INDEX('Table S3 Literature Values'!$A$10:$AV$10000,MATCH($C57,'Table S3 Literature Values'!$A$10:$A$10000,0)+1,AJ$1)</f>
        <v>0.23403260873049611</v>
      </c>
      <c r="AK57" s="63">
        <f ca="1">INDEX('Table S3 Literature Values'!$A$10:$AV$10000,MATCH($C57,'Table S3 Literature Values'!$A$10:$A$10000,0)+2,AJ$1)</f>
        <v>2</v>
      </c>
      <c r="AL57" s="61">
        <f>VLOOKUP($C57,'Table S3 Literature Values'!$A$10:$AV$10000,AL$1,FALSE)</f>
        <v>0</v>
      </c>
      <c r="AM57" s="61">
        <f>INDEX('Table S3 Literature Values'!$A$10:$AV$10000,MATCH($C57,'Table S3 Literature Values'!$A$10:$A$10000,0)+1,AM$1)</f>
        <v>0</v>
      </c>
      <c r="AN57" s="63">
        <f>INDEX('Table S3 Literature Values'!$A$10:$AV$10000,MATCH($C57,'Table S3 Literature Values'!$A$10:$A$10000,0)+2,AM$1)</f>
        <v>0</v>
      </c>
      <c r="AO57" s="61">
        <f>VLOOKUP($C57,'Table S3 Literature Values'!$A$10:$AV$10000,AO$1,FALSE)</f>
        <v>0</v>
      </c>
      <c r="AP57" s="61">
        <f>INDEX('Table S3 Literature Values'!$A$10:$AV$10000,MATCH($C57,'Table S3 Literature Values'!$A$10:$A$10000,0)+1,AP$1)</f>
        <v>0</v>
      </c>
      <c r="AQ57" s="63">
        <f>INDEX('Table S3 Literature Values'!$A$10:$AV$10000,MATCH($C57,'Table S3 Literature Values'!$A$10:$A$10000,0)+2,AP$1)</f>
        <v>0</v>
      </c>
      <c r="AR57" s="61">
        <f>VLOOKUP($C57,'Table S3 Literature Values'!$A$10:$AV$10000,AR$1,FALSE)</f>
        <v>102.5</v>
      </c>
      <c r="AS57" s="61">
        <f>INDEX('Table S3 Literature Values'!$A$10:$AV$10000,MATCH($C57,'Table S3 Literature Values'!$A$10:$A$10000,0)+1,AS$1)</f>
        <v>4.7319860118241417</v>
      </c>
      <c r="AT57" s="63">
        <f>INDEX('Table S3 Literature Values'!$A$10:$AV$10000,MATCH($C57,'Table S3 Literature Values'!$A$10:$A$10000,0)+2,AS$1)</f>
        <v>1</v>
      </c>
    </row>
    <row r="58" spans="1:46">
      <c r="A58" t="str">
        <f>'Table S2 Compound Identifiers'!C63</f>
        <v>PCB</v>
      </c>
      <c r="B58">
        <f>COUNTIF($C$3:C58,"&lt;&gt;"&amp;"")</f>
        <v>56</v>
      </c>
      <c r="C58" t="str">
        <f>IF('Table S2 Compound Identifiers'!B63="","",'Table S2 Compound Identifiers'!B63)</f>
        <v>PCB-209</v>
      </c>
      <c r="D58" t="str">
        <f>'Table S2 Compound Identifiers'!D63</f>
        <v>2051-24-3</v>
      </c>
      <c r="E58" s="501">
        <f>VLOOKUP(C58,'Table S3 Literature Values'!$A$10:$AV$10000,E$1,FALSE)</f>
        <v>104.05587005119456</v>
      </c>
      <c r="F58" s="61">
        <f>INDEX('Table S3 Literature Values'!$A$10:$AV$10000,MATCH(C58,'Table S3 Literature Values'!$A$10:$A$10000,0)+1,F$1)</f>
        <v>0.65273974807507618</v>
      </c>
      <c r="G58" s="63">
        <f>INDEX('Table S3 Literature Values'!$A$10:$AV$10000,MATCH($C58,'Table S3 Literature Values'!$A$10:$A$10000,0)+2,F$1)</f>
        <v>3</v>
      </c>
      <c r="H58" s="61">
        <f>VLOOKUP($C58,'Table S3 Literature Values'!$A$10:$AV$10000,H$1,FALSE)</f>
        <v>37.809999999999995</v>
      </c>
      <c r="I58" s="61">
        <f>INDEX('Table S3 Literature Values'!$A$10:$AV$10000,MATCH($C58,'Table S3 Literature Values'!$A$10:$A$10000,0)+1,I$1)</f>
        <v>7.5619999999999994</v>
      </c>
      <c r="J58" s="63">
        <f>INDEX('Table S3 Literature Values'!$A$10:$AV$10000,MATCH($C58,'Table S3 Literature Values'!$A$10:$A$10000,0)+2,I$1)</f>
        <v>1</v>
      </c>
      <c r="K58" s="61">
        <f>VLOOKUP($C58,'Table S3 Literature Values'!$A$10:$AV$10000,K$1,FALSE)</f>
        <v>0</v>
      </c>
      <c r="L58" s="61">
        <f>INDEX('Table S3 Literature Values'!$A$10:$AV$10000,MATCH($C58,'Table S3 Literature Values'!$A$10:$A$10000,0)+1,L$1)</f>
        <v>0</v>
      </c>
      <c r="M58" s="63">
        <f>INDEX('Table S3 Literature Values'!$A$10:$AV$10000,MATCH($C58,'Table S3 Literature Values'!$A$10:$A$10000,0)+2,L$1)</f>
        <v>0</v>
      </c>
      <c r="N58" s="61">
        <f>VLOOKUP($C58,'Table S3 Literature Values'!$A$10:$AV$10000,N$1,FALSE)</f>
        <v>104</v>
      </c>
      <c r="O58" s="61">
        <f>INDEX('Table S3 Literature Values'!$A$10:$AV$10000,MATCH($C58,'Table S3 Literature Values'!$A$10:$A$10000,0)+1,O$1)</f>
        <v>6.5892407131491479</v>
      </c>
      <c r="P58" s="63">
        <f>INDEX('Table S3 Literature Values'!$A$10:$AV$10000,MATCH($C58,'Table S3 Literature Values'!$A$10:$A$10000,0)+2,O$1)</f>
        <v>1</v>
      </c>
      <c r="Q58" s="61">
        <f>VLOOKUP($C58,'Table S3 Literature Values'!$A$10:$AV$10000,Q$1,FALSE)</f>
        <v>0</v>
      </c>
      <c r="R58" s="61">
        <f>INDEX('Table S3 Literature Values'!$A$10:$AV$10000,MATCH($C58,'Table S3 Literature Values'!$A$10:$A$10000,0)+1,R$1)</f>
        <v>0</v>
      </c>
      <c r="S58" s="63">
        <f>INDEX('Table S3 Literature Values'!$A$10:$AV$10000,MATCH($C58,'Table S3 Literature Values'!$A$10:$A$10000,0)+2,R$1)</f>
        <v>0</v>
      </c>
      <c r="T58" s="61">
        <f>VLOOKUP($C58,'Table S3 Literature Values'!$A$10:$AV$10000,T$1,FALSE)</f>
        <v>-23.8</v>
      </c>
      <c r="U58" s="61">
        <f>INDEX('Table S3 Literature Values'!$A$10:$AV$10000,MATCH($C58,'Table S3 Literature Values'!$A$10:$A$10000,0)+1,U$1)</f>
        <v>4.7600000000000007</v>
      </c>
      <c r="V58" s="63">
        <f>INDEX('Table S3 Literature Values'!$A$10:$AV$10000,MATCH($C58,'Table S3 Literature Values'!$A$10:$A$10000,0)+2,U$1)</f>
        <v>1</v>
      </c>
      <c r="W58" s="61">
        <f ca="1">VLOOKUP($C58,'Table S3 Literature Values'!$A$10:$AV$10000,W$1,FALSE)</f>
        <v>11.525637381635953</v>
      </c>
      <c r="X58" s="61">
        <f ca="1">INDEX('Table S3 Literature Values'!$A$10:$AV$10000,MATCH($C58,'Table S3 Literature Values'!$A$10:$A$10000,0)+1,X$1)</f>
        <v>0.19984160559524264</v>
      </c>
      <c r="Y58" s="63">
        <f ca="1">INDEX('Table S3 Literature Values'!$A$10:$AV$10000,MATCH($C58,'Table S3 Literature Values'!$A$10:$A$10000,0)+2,X$1)</f>
        <v>2</v>
      </c>
      <c r="Z58" s="61">
        <f>VLOOKUP($C58,'Table S3 Literature Values'!$A$10:$AV$10000,Z$1,FALSE)</f>
        <v>8.1416737508306145</v>
      </c>
      <c r="AA58" s="61">
        <f>INDEX('Table S3 Literature Values'!$A$10:$AV$10000,MATCH($C58,'Table S3 Literature Values'!$A$10:$A$10000,0)+1,AA$1)</f>
        <v>0.25421187957856911</v>
      </c>
      <c r="AB58" s="63">
        <f>INDEX('Table S3 Literature Values'!$A$10:$AV$10000,MATCH($C58,'Table S3 Literature Values'!$A$10:$A$10000,0)+2,AA$1)</f>
        <v>8</v>
      </c>
      <c r="AC58" s="61">
        <f>VLOOKUP($C58,'Table S3 Literature Values'!$A$10:$AV$10000,AC$1,FALSE)</f>
        <v>0</v>
      </c>
      <c r="AD58" s="61">
        <f>INDEX('Table S3 Literature Values'!$A$10:$AV$10000,MATCH($C58,'Table S3 Literature Values'!$A$10:$A$10000,0)+1,AD$1)</f>
        <v>0</v>
      </c>
      <c r="AE58" s="63">
        <f>INDEX('Table S3 Literature Values'!$A$10:$AV$10000,MATCH($C58,'Table S3 Literature Values'!$A$10:$A$10000,0)+2,AD$1)</f>
        <v>0</v>
      </c>
      <c r="AF58" s="61">
        <f>VLOOKUP($C58,'Table S3 Literature Values'!$A$10:$AV$10000,AF$1,FALSE)</f>
        <v>-4.6996349403159625</v>
      </c>
      <c r="AG58" s="61">
        <f>INDEX('Table S3 Literature Values'!$A$10:$AV$10000,MATCH($C58,'Table S3 Literature Values'!$A$10:$A$10000,0)+1,AG$1)</f>
        <v>0.28490908503016454</v>
      </c>
      <c r="AH58" s="63">
        <f>INDEX('Table S3 Literature Values'!$A$10:$AV$10000,MATCH($C58,'Table S3 Literature Values'!$A$10:$A$10000,0)+2,AG$1)</f>
        <v>4</v>
      </c>
      <c r="AI58" s="61">
        <f ca="1">VLOOKUP($C58,'Table S3 Literature Values'!$A$10:$AV$10000,AI$1,FALSE)</f>
        <v>-4.9065768596922759</v>
      </c>
      <c r="AJ58" s="61">
        <f ca="1">INDEX('Table S3 Literature Values'!$A$10:$AV$10000,MATCH($C58,'Table S3 Literature Values'!$A$10:$A$10000,0)+1,AJ$1)</f>
        <v>0.22757118902063608</v>
      </c>
      <c r="AK58" s="63">
        <f ca="1">INDEX('Table S3 Literature Values'!$A$10:$AV$10000,MATCH($C58,'Table S3 Literature Values'!$A$10:$A$10000,0)+2,AJ$1)</f>
        <v>5</v>
      </c>
      <c r="AL58" s="61">
        <f ca="1">VLOOKUP($C58,'Table S3 Literature Values'!$A$10:$AV$10000,AL$1,FALSE)</f>
        <v>2.013540181656575</v>
      </c>
      <c r="AM58" s="61">
        <f ca="1">INDEX('Table S3 Literature Values'!$A$10:$AV$10000,MATCH($C58,'Table S3 Literature Values'!$A$10:$A$10000,0)+1,AM$1)</f>
        <v>1.3593681325823463</v>
      </c>
      <c r="AN58" s="63">
        <f ca="1">INDEX('Table S3 Literature Values'!$A$10:$AV$10000,MATCH($C58,'Table S3 Literature Values'!$A$10:$A$10000,0)+2,AM$1)</f>
        <v>2</v>
      </c>
      <c r="AO58" s="61">
        <f>VLOOKUP($C58,'Table S3 Literature Values'!$A$10:$AV$10000,AO$1,FALSE)</f>
        <v>55.188213787105745</v>
      </c>
      <c r="AP58" s="61">
        <f>INDEX('Table S3 Literature Values'!$A$10:$AV$10000,MATCH($C58,'Table S3 Literature Values'!$A$10:$A$10000,0)+1,AP$1)</f>
        <v>9.8727770120457699</v>
      </c>
      <c r="AQ58" s="63">
        <f>INDEX('Table S3 Literature Values'!$A$10:$AV$10000,MATCH($C58,'Table S3 Literature Values'!$A$10:$A$10000,0)+2,AP$1)</f>
        <v>3</v>
      </c>
      <c r="AR58" s="61">
        <f>VLOOKUP($C58,'Table S3 Literature Values'!$A$10:$AV$10000,AR$1,FALSE)</f>
        <v>308.39285714285717</v>
      </c>
      <c r="AS58" s="61">
        <f>INDEX('Table S3 Literature Values'!$A$10:$AV$10000,MATCH($C58,'Table S3 Literature Values'!$A$10:$A$10000,0)+1,AS$1)</f>
        <v>5.139425111448797</v>
      </c>
      <c r="AT58" s="63">
        <f>INDEX('Table S3 Literature Values'!$A$10:$AV$10000,MATCH($C58,'Table S3 Literature Values'!$A$10:$A$10000,0)+2,AS$1)</f>
        <v>7</v>
      </c>
    </row>
    <row r="59" spans="1:46">
      <c r="A59" t="str">
        <f>'Table S2 Compound Identifiers'!C64</f>
        <v>Phthalate</v>
      </c>
      <c r="B59">
        <f>COUNTIF($C$3:C59,"&lt;&gt;"&amp;"")</f>
        <v>57</v>
      </c>
      <c r="C59" t="str">
        <f>IF('Table S2 Compound Identifiers'!B64="","",'Table S2 Compound Identifiers'!B64)</f>
        <v>DmP</v>
      </c>
      <c r="D59" t="str">
        <f>'Table S2 Compound Identifiers'!D64</f>
        <v>131-11-3</v>
      </c>
      <c r="E59" s="501">
        <f>VLOOKUP(C59,'Table S3 Literature Values'!$A$10:$AV$10000,E$1,FALSE)</f>
        <v>0.96533834384387507</v>
      </c>
      <c r="F59" s="61">
        <f>INDEX('Table S3 Literature Values'!$A$10:$AV$10000,MATCH(C59,'Table S3 Literature Values'!$A$10:$A$10000,0)+1,F$1)</f>
        <v>7</v>
      </c>
      <c r="G59" s="63">
        <f>INDEX('Table S3 Literature Values'!$A$10:$AV$10000,MATCH($C59,'Table S3 Literature Values'!$A$10:$A$10000,0)+2,F$1)</f>
        <v>0</v>
      </c>
      <c r="H59" s="61">
        <f>VLOOKUP($C59,'Table S3 Literature Values'!$A$10:$AV$10000,H$1,FALSE)</f>
        <v>0</v>
      </c>
      <c r="I59" s="61">
        <f>INDEX('Table S3 Literature Values'!$A$10:$AV$10000,MATCH($C59,'Table S3 Literature Values'!$A$10:$A$10000,0)+1,I$1)</f>
        <v>0</v>
      </c>
      <c r="J59" s="63">
        <f>INDEX('Table S3 Literature Values'!$A$10:$AV$10000,MATCH($C59,'Table S3 Literature Values'!$A$10:$A$10000,0)+2,I$1)</f>
        <v>0</v>
      </c>
      <c r="K59" s="61">
        <f>VLOOKUP($C59,'Table S3 Literature Values'!$A$10:$AV$10000,K$1,FALSE)</f>
        <v>0</v>
      </c>
      <c r="L59" s="61">
        <f>INDEX('Table S3 Literature Values'!$A$10:$AV$10000,MATCH($C59,'Table S3 Literature Values'!$A$10:$A$10000,0)+1,L$1)</f>
        <v>0</v>
      </c>
      <c r="M59" s="63">
        <f>INDEX('Table S3 Literature Values'!$A$10:$AV$10000,MATCH($C59,'Table S3 Literature Values'!$A$10:$A$10000,0)+2,L$1)</f>
        <v>0</v>
      </c>
      <c r="N59" s="61">
        <f>VLOOKUP($C59,'Table S3 Literature Values'!$A$10:$AV$10000,N$1,FALSE)</f>
        <v>3.4824044666190925</v>
      </c>
      <c r="O59" s="61">
        <f>INDEX('Table S3 Literature Values'!$A$10:$AV$10000,MATCH($C59,'Table S3 Literature Values'!$A$10:$A$10000,0)+1,O$1)</f>
        <v>1</v>
      </c>
      <c r="P59" s="63">
        <f>INDEX('Table S3 Literature Values'!$A$10:$AV$10000,MATCH($C59,'Table S3 Literature Values'!$A$10:$A$10000,0)+2,O$1)</f>
        <v>0</v>
      </c>
      <c r="Q59" s="61">
        <f>VLOOKUP($C59,'Table S3 Literature Values'!$A$10:$AV$10000,Q$1,FALSE)</f>
        <v>0</v>
      </c>
      <c r="R59" s="61">
        <f>INDEX('Table S3 Literature Values'!$A$10:$AV$10000,MATCH($C59,'Table S3 Literature Values'!$A$10:$A$10000,0)+1,R$1)</f>
        <v>0</v>
      </c>
      <c r="S59" s="63">
        <f>INDEX('Table S3 Literature Values'!$A$10:$AV$10000,MATCH($C59,'Table S3 Literature Values'!$A$10:$A$10000,0)+2,R$1)</f>
        <v>0</v>
      </c>
      <c r="T59" s="61">
        <f>VLOOKUP($C59,'Table S3 Literature Values'!$A$10:$AV$10000,T$1,FALSE)</f>
        <v>0</v>
      </c>
      <c r="U59" s="61">
        <f>INDEX('Table S3 Literature Values'!$A$10:$AV$10000,MATCH($C59,'Table S3 Literature Values'!$A$10:$A$10000,0)+1,U$1)</f>
        <v>0</v>
      </c>
      <c r="V59" s="63">
        <f>INDEX('Table S3 Literature Values'!$A$10:$AV$10000,MATCH($C59,'Table S3 Literature Values'!$A$10:$A$10000,0)+2,U$1)</f>
        <v>0</v>
      </c>
      <c r="W59" s="61">
        <f>VLOOKUP($C59,'Table S3 Literature Values'!$A$10:$AV$10000,W$1,FALSE)</f>
        <v>0.18023472661974055</v>
      </c>
      <c r="X59" s="61">
        <f>INDEX('Table S3 Literature Values'!$A$10:$AV$10000,MATCH($C59,'Table S3 Literature Values'!$A$10:$A$10000,0)+1,X$1)</f>
        <v>1</v>
      </c>
      <c r="Y59" s="63">
        <f>INDEX('Table S3 Literature Values'!$A$10:$AV$10000,MATCH($C59,'Table S3 Literature Values'!$A$10:$A$10000,0)+2,X$1)</f>
        <v>0</v>
      </c>
      <c r="Z59" s="61" t="e">
        <f ca="1">VLOOKUP($C59,'Table S3 Literature Values'!$A$10:$AV$10000,Z$1,FALSE)</f>
        <v>#N/A</v>
      </c>
      <c r="AA59" s="61">
        <f ca="1">INDEX('Table S3 Literature Values'!$A$10:$AV$10000,MATCH($C59,'Table S3 Literature Values'!$A$10:$A$10000,0)+1,AA$1)</f>
        <v>14</v>
      </c>
      <c r="AB59" s="63">
        <f>INDEX('Table S3 Literature Values'!$A$10:$AV$10000,MATCH($C59,'Table S3 Literature Values'!$A$10:$A$10000,0)+2,AA$1)</f>
        <v>0</v>
      </c>
      <c r="AC59" s="61">
        <f>VLOOKUP($C59,'Table S3 Literature Values'!$A$10:$AV$10000,AC$1,FALSE)</f>
        <v>0.94942939380402136</v>
      </c>
      <c r="AD59" s="61">
        <f>INDEX('Table S3 Literature Values'!$A$10:$AV$10000,MATCH($C59,'Table S3 Literature Values'!$A$10:$A$10000,0)+1,AD$1)</f>
        <v>1</v>
      </c>
      <c r="AE59" s="63">
        <f>INDEX('Table S3 Literature Values'!$A$10:$AV$10000,MATCH($C59,'Table S3 Literature Values'!$A$10:$A$10000,0)+2,AD$1)</f>
        <v>0</v>
      </c>
      <c r="AF59" s="61">
        <f>VLOOKUP($C59,'Table S3 Literature Values'!$A$10:$AV$10000,AF$1,FALSE)</f>
        <v>9.5464368197886035E-2</v>
      </c>
      <c r="AG59" s="61">
        <f>INDEX('Table S3 Literature Values'!$A$10:$AV$10000,MATCH($C59,'Table S3 Literature Values'!$A$10:$A$10000,0)+1,AG$1)</f>
        <v>9</v>
      </c>
      <c r="AH59" s="63">
        <f>INDEX('Table S3 Literature Values'!$A$10:$AV$10000,MATCH($C59,'Table S3 Literature Values'!$A$10:$A$10000,0)+2,AG$1)</f>
        <v>0</v>
      </c>
      <c r="AI59" s="61" t="e">
        <f ca="1">VLOOKUP($C59,'Table S3 Literature Values'!$A$10:$AV$10000,AI$1,FALSE)</f>
        <v>#N/A</v>
      </c>
      <c r="AJ59" s="61">
        <f ca="1">INDEX('Table S3 Literature Values'!$A$10:$AV$10000,MATCH($C59,'Table S3 Literature Values'!$A$10:$A$10000,0)+1,AJ$1)</f>
        <v>3</v>
      </c>
      <c r="AK59" s="63">
        <f>INDEX('Table S3 Literature Values'!$A$10:$AV$10000,MATCH($C59,'Table S3 Literature Values'!$A$10:$A$10000,0)+2,AJ$1)</f>
        <v>0</v>
      </c>
      <c r="AL59" s="61">
        <f>VLOOKUP($C59,'Table S3 Literature Values'!$A$10:$AV$10000,AL$1,FALSE)</f>
        <v>0</v>
      </c>
      <c r="AM59" s="61">
        <f>INDEX('Table S3 Literature Values'!$A$10:$AV$10000,MATCH($C59,'Table S3 Literature Values'!$A$10:$A$10000,0)+1,AM$1)</f>
        <v>0</v>
      </c>
      <c r="AN59" s="63">
        <f>INDEX('Table S3 Literature Values'!$A$10:$AV$10000,MATCH($C59,'Table S3 Literature Values'!$A$10:$A$10000,0)+2,AM$1)</f>
        <v>0</v>
      </c>
      <c r="AO59" s="61">
        <f>VLOOKUP($C59,'Table S3 Literature Values'!$A$10:$AV$10000,AO$1,FALSE)</f>
        <v>4.8710528878201647</v>
      </c>
      <c r="AP59" s="61">
        <f>INDEX('Table S3 Literature Values'!$A$10:$AV$10000,MATCH($C59,'Table S3 Literature Values'!$A$10:$A$10000,0)+1,AP$1)</f>
        <v>1</v>
      </c>
      <c r="AQ59" s="63">
        <f>INDEX('Table S3 Literature Values'!$A$10:$AV$10000,MATCH($C59,'Table S3 Literature Values'!$A$10:$A$10000,0)+2,AP$1)</f>
        <v>0</v>
      </c>
      <c r="AR59" s="61">
        <f>VLOOKUP($C59,'Table S3 Literature Values'!$A$10:$AV$10000,AR$1,FALSE)</f>
        <v>0.23177575369309009</v>
      </c>
      <c r="AS59" s="61">
        <f>INDEX('Table S3 Literature Values'!$A$10:$AV$10000,MATCH($C59,'Table S3 Literature Values'!$A$10:$A$10000,0)+1,AS$1)</f>
        <v>5</v>
      </c>
      <c r="AT59" s="63">
        <f>INDEX('Table S3 Literature Values'!$A$10:$AV$10000,MATCH($C59,'Table S3 Literature Values'!$A$10:$A$10000,0)+2,AS$1)</f>
        <v>0</v>
      </c>
    </row>
    <row r="60" spans="1:46">
      <c r="A60" t="str">
        <f>'Table S2 Compound Identifiers'!C65</f>
        <v>Phthalate</v>
      </c>
      <c r="B60">
        <f>COUNTIF($C$3:C60,"&lt;&gt;"&amp;"")</f>
        <v>58</v>
      </c>
      <c r="C60" t="str">
        <f>IF('Table S2 Compound Identifiers'!B65="","",'Table S2 Compound Identifiers'!B65)</f>
        <v>DEP</v>
      </c>
      <c r="D60" t="str">
        <f>'Table S2 Compound Identifiers'!D65</f>
        <v>84-66-2</v>
      </c>
      <c r="E60" s="501">
        <f>VLOOKUP(C60,'Table S3 Literature Values'!$A$10:$AV$10000,E$1,FALSE)</f>
        <v>2.0167132760553788</v>
      </c>
      <c r="F60" s="61">
        <f>INDEX('Table S3 Literature Values'!$A$10:$AV$10000,MATCH(C60,'Table S3 Literature Values'!$A$10:$A$10000,0)+1,F$1)</f>
        <v>6</v>
      </c>
      <c r="G60" s="63">
        <f>INDEX('Table S3 Literature Values'!$A$10:$AV$10000,MATCH($C60,'Table S3 Literature Values'!$A$10:$A$10000,0)+2,F$1)</f>
        <v>0</v>
      </c>
      <c r="H60" s="61">
        <f>VLOOKUP($C60,'Table S3 Literature Values'!$A$10:$AV$10000,H$1,FALSE)</f>
        <v>0</v>
      </c>
      <c r="I60" s="61">
        <f>INDEX('Table S3 Literature Values'!$A$10:$AV$10000,MATCH($C60,'Table S3 Literature Values'!$A$10:$A$10000,0)+1,I$1)</f>
        <v>0</v>
      </c>
      <c r="J60" s="63">
        <f>INDEX('Table S3 Literature Values'!$A$10:$AV$10000,MATCH($C60,'Table S3 Literature Values'!$A$10:$A$10000,0)+2,I$1)</f>
        <v>0</v>
      </c>
      <c r="K60" s="61">
        <f>VLOOKUP($C60,'Table S3 Literature Values'!$A$10:$AV$10000,K$1,FALSE)</f>
        <v>0</v>
      </c>
      <c r="L60" s="61">
        <f>INDEX('Table S3 Literature Values'!$A$10:$AV$10000,MATCH($C60,'Table S3 Literature Values'!$A$10:$A$10000,0)+1,L$1)</f>
        <v>0</v>
      </c>
      <c r="M60" s="63">
        <f>INDEX('Table S3 Literature Values'!$A$10:$AV$10000,MATCH($C60,'Table S3 Literature Values'!$A$10:$A$10000,0)+2,L$1)</f>
        <v>0</v>
      </c>
      <c r="N60" s="61">
        <f>VLOOKUP($C60,'Table S3 Literature Values'!$A$10:$AV$10000,N$1,FALSE)</f>
        <v>3.7436769844595208</v>
      </c>
      <c r="O60" s="61">
        <f>INDEX('Table S3 Literature Values'!$A$10:$AV$10000,MATCH($C60,'Table S3 Literature Values'!$A$10:$A$10000,0)+1,O$1)</f>
        <v>1</v>
      </c>
      <c r="P60" s="63">
        <f>INDEX('Table S3 Literature Values'!$A$10:$AV$10000,MATCH($C60,'Table S3 Literature Values'!$A$10:$A$10000,0)+2,O$1)</f>
        <v>0</v>
      </c>
      <c r="Q60" s="61">
        <f>VLOOKUP($C60,'Table S3 Literature Values'!$A$10:$AV$10000,Q$1,FALSE)</f>
        <v>0</v>
      </c>
      <c r="R60" s="61">
        <f>INDEX('Table S3 Literature Values'!$A$10:$AV$10000,MATCH($C60,'Table S3 Literature Values'!$A$10:$A$10000,0)+1,R$1)</f>
        <v>0</v>
      </c>
      <c r="S60" s="63">
        <f>INDEX('Table S3 Literature Values'!$A$10:$AV$10000,MATCH($C60,'Table S3 Literature Values'!$A$10:$A$10000,0)+2,R$1)</f>
        <v>0</v>
      </c>
      <c r="T60" s="61">
        <f>VLOOKUP($C60,'Table S3 Literature Values'!$A$10:$AV$10000,T$1,FALSE)</f>
        <v>0</v>
      </c>
      <c r="U60" s="61">
        <f>INDEX('Table S3 Literature Values'!$A$10:$AV$10000,MATCH($C60,'Table S3 Literature Values'!$A$10:$A$10000,0)+1,U$1)</f>
        <v>0</v>
      </c>
      <c r="V60" s="63">
        <f>INDEX('Table S3 Literature Values'!$A$10:$AV$10000,MATCH($C60,'Table S3 Literature Values'!$A$10:$A$10000,0)+2,U$1)</f>
        <v>0</v>
      </c>
      <c r="W60" s="61">
        <f>VLOOKUP($C60,'Table S3 Literature Values'!$A$10:$AV$10000,W$1,FALSE)</f>
        <v>0.19259367930223703</v>
      </c>
      <c r="X60" s="61">
        <f>INDEX('Table S3 Literature Values'!$A$10:$AV$10000,MATCH($C60,'Table S3 Literature Values'!$A$10:$A$10000,0)+1,X$1)</f>
        <v>1</v>
      </c>
      <c r="Y60" s="63">
        <f>INDEX('Table S3 Literature Values'!$A$10:$AV$10000,MATCH($C60,'Table S3 Literature Values'!$A$10:$A$10000,0)+2,X$1)</f>
        <v>0</v>
      </c>
      <c r="Z60" s="61" t="e">
        <f ca="1">VLOOKUP($C60,'Table S3 Literature Values'!$A$10:$AV$10000,Z$1,FALSE)</f>
        <v>#N/A</v>
      </c>
      <c r="AA60" s="61">
        <f ca="1">INDEX('Table S3 Literature Values'!$A$10:$AV$10000,MATCH($C60,'Table S3 Literature Values'!$A$10:$A$10000,0)+1,AA$1)</f>
        <v>10</v>
      </c>
      <c r="AB60" s="63">
        <f>INDEX('Table S3 Literature Values'!$A$10:$AV$10000,MATCH($C60,'Table S3 Literature Values'!$A$10:$A$10000,0)+2,AA$1)</f>
        <v>0</v>
      </c>
      <c r="AC60" s="61">
        <f>VLOOKUP($C60,'Table S3 Literature Values'!$A$10:$AV$10000,AC$1,FALSE)</f>
        <v>0.94750978205391412</v>
      </c>
      <c r="AD60" s="61">
        <f>INDEX('Table S3 Literature Values'!$A$10:$AV$10000,MATCH($C60,'Table S3 Literature Values'!$A$10:$A$10000,0)+1,AD$1)</f>
        <v>1</v>
      </c>
      <c r="AE60" s="63">
        <f>INDEX('Table S3 Literature Values'!$A$10:$AV$10000,MATCH($C60,'Table S3 Literature Values'!$A$10:$A$10000,0)+2,AD$1)</f>
        <v>0</v>
      </c>
      <c r="AF60" s="61" t="e">
        <f ca="1">VLOOKUP($C60,'Table S3 Literature Values'!$A$10:$AV$10000,AF$1,FALSE)</f>
        <v>#N/A</v>
      </c>
      <c r="AG60" s="61">
        <f ca="1">INDEX('Table S3 Literature Values'!$A$10:$AV$10000,MATCH($C60,'Table S3 Literature Values'!$A$10:$A$10000,0)+1,AG$1)</f>
        <v>11</v>
      </c>
      <c r="AH60" s="63">
        <f>INDEX('Table S3 Literature Values'!$A$10:$AV$10000,MATCH($C60,'Table S3 Literature Values'!$A$10:$A$10000,0)+2,AG$1)</f>
        <v>0</v>
      </c>
      <c r="AI60" s="61" t="e">
        <f ca="1">VLOOKUP($C60,'Table S3 Literature Values'!$A$10:$AV$10000,AI$1,FALSE)</f>
        <v>#N/A</v>
      </c>
      <c r="AJ60" s="61">
        <f ca="1">INDEX('Table S3 Literature Values'!$A$10:$AV$10000,MATCH($C60,'Table S3 Literature Values'!$A$10:$A$10000,0)+1,AJ$1)</f>
        <v>6</v>
      </c>
      <c r="AK60" s="63">
        <f>INDEX('Table S3 Literature Values'!$A$10:$AV$10000,MATCH($C60,'Table S3 Literature Values'!$A$10:$A$10000,0)+2,AJ$1)</f>
        <v>0</v>
      </c>
      <c r="AL60" s="61">
        <f>VLOOKUP($C60,'Table S3 Literature Values'!$A$10:$AV$10000,AL$1,FALSE)</f>
        <v>0</v>
      </c>
      <c r="AM60" s="61">
        <f>INDEX('Table S3 Literature Values'!$A$10:$AV$10000,MATCH($C60,'Table S3 Literature Values'!$A$10:$A$10000,0)+1,AM$1)</f>
        <v>0</v>
      </c>
      <c r="AN60" s="63">
        <f>INDEX('Table S3 Literature Values'!$A$10:$AV$10000,MATCH($C60,'Table S3 Literature Values'!$A$10:$A$10000,0)+2,AM$1)</f>
        <v>0</v>
      </c>
      <c r="AO60" s="61">
        <f>VLOOKUP($C60,'Table S3 Literature Values'!$A$10:$AV$10000,AO$1,FALSE)</f>
        <v>5.2525398777400616</v>
      </c>
      <c r="AP60" s="61">
        <f>INDEX('Table S3 Literature Values'!$A$10:$AV$10000,MATCH($C60,'Table S3 Literature Values'!$A$10:$A$10000,0)+1,AP$1)</f>
        <v>1</v>
      </c>
      <c r="AQ60" s="63">
        <f>INDEX('Table S3 Literature Values'!$A$10:$AV$10000,MATCH($C60,'Table S3 Literature Values'!$A$10:$A$10000,0)+2,AP$1)</f>
        <v>0</v>
      </c>
      <c r="AR60" s="61">
        <f>VLOOKUP($C60,'Table S3 Literature Values'!$A$10:$AV$10000,AR$1,FALSE)</f>
        <v>10.907871775312827</v>
      </c>
      <c r="AS60" s="61">
        <f>INDEX('Table S3 Literature Values'!$A$10:$AV$10000,MATCH($C60,'Table S3 Literature Values'!$A$10:$A$10000,0)+1,AS$1)</f>
        <v>6</v>
      </c>
      <c r="AT60" s="63">
        <f>INDEX('Table S3 Literature Values'!$A$10:$AV$10000,MATCH($C60,'Table S3 Literature Values'!$A$10:$A$10000,0)+2,AS$1)</f>
        <v>0</v>
      </c>
    </row>
    <row r="61" spans="1:46">
      <c r="A61" t="str">
        <f>'Table S2 Compound Identifiers'!C66</f>
        <v>Phthalate</v>
      </c>
      <c r="B61">
        <f>COUNTIF($C$3:C61,"&lt;&gt;"&amp;"")</f>
        <v>59</v>
      </c>
      <c r="C61" t="str">
        <f>IF('Table S2 Compound Identifiers'!B66="","",'Table S2 Compound Identifiers'!B66)</f>
        <v>DPP</v>
      </c>
      <c r="D61" t="str">
        <f>'Table S2 Compound Identifiers'!D66</f>
        <v>131-16-8</v>
      </c>
      <c r="E61" s="501">
        <f>VLOOKUP(C61,'Table S3 Literature Values'!$A$10:$AV$10000,E$1,FALSE)</f>
        <v>6.3299352182001298</v>
      </c>
      <c r="F61" s="61">
        <f>INDEX('Table S3 Literature Values'!$A$10:$AV$10000,MATCH(C61,'Table S3 Literature Values'!$A$10:$A$10000,0)+1,F$1)</f>
        <v>1</v>
      </c>
      <c r="G61" s="63">
        <f>INDEX('Table S3 Literature Values'!$A$10:$AV$10000,MATCH($C61,'Table S3 Literature Values'!$A$10:$A$10000,0)+2,F$1)</f>
        <v>0</v>
      </c>
      <c r="H61" s="61">
        <f>VLOOKUP($C61,'Table S3 Literature Values'!$A$10:$AV$10000,H$1,FALSE)</f>
        <v>0</v>
      </c>
      <c r="I61" s="61">
        <f>INDEX('Table S3 Literature Values'!$A$10:$AV$10000,MATCH($C61,'Table S3 Literature Values'!$A$10:$A$10000,0)+1,I$1)</f>
        <v>0</v>
      </c>
      <c r="J61" s="63">
        <f>INDEX('Table S3 Literature Values'!$A$10:$AV$10000,MATCH($C61,'Table S3 Literature Values'!$A$10:$A$10000,0)+2,I$1)</f>
        <v>0</v>
      </c>
      <c r="K61" s="61">
        <f>VLOOKUP($C61,'Table S3 Literature Values'!$A$10:$AV$10000,K$1,FALSE)</f>
        <v>0</v>
      </c>
      <c r="L61" s="61">
        <f>INDEX('Table S3 Literature Values'!$A$10:$AV$10000,MATCH($C61,'Table S3 Literature Values'!$A$10:$A$10000,0)+1,L$1)</f>
        <v>0</v>
      </c>
      <c r="M61" s="63">
        <f>INDEX('Table S3 Literature Values'!$A$10:$AV$10000,MATCH($C61,'Table S3 Literature Values'!$A$10:$A$10000,0)+2,L$1)</f>
        <v>0</v>
      </c>
      <c r="N61" s="61">
        <f>VLOOKUP($C61,'Table S3 Literature Values'!$A$10:$AV$10000,N$1,FALSE)</f>
        <v>0</v>
      </c>
      <c r="O61" s="61">
        <f>INDEX('Table S3 Literature Values'!$A$10:$AV$10000,MATCH($C61,'Table S3 Literature Values'!$A$10:$A$10000,0)+1,O$1)</f>
        <v>0</v>
      </c>
      <c r="P61" s="63">
        <f>INDEX('Table S3 Literature Values'!$A$10:$AV$10000,MATCH($C61,'Table S3 Literature Values'!$A$10:$A$10000,0)+2,O$1)</f>
        <v>0</v>
      </c>
      <c r="Q61" s="61">
        <f>VLOOKUP($C61,'Table S3 Literature Values'!$A$10:$AV$10000,Q$1,FALSE)</f>
        <v>0</v>
      </c>
      <c r="R61" s="61">
        <f>INDEX('Table S3 Literature Values'!$A$10:$AV$10000,MATCH($C61,'Table S3 Literature Values'!$A$10:$A$10000,0)+1,R$1)</f>
        <v>0</v>
      </c>
      <c r="S61" s="63">
        <f>INDEX('Table S3 Literature Values'!$A$10:$AV$10000,MATCH($C61,'Table S3 Literature Values'!$A$10:$A$10000,0)+2,R$1)</f>
        <v>0</v>
      </c>
      <c r="T61" s="61">
        <f>VLOOKUP($C61,'Table S3 Literature Values'!$A$10:$AV$10000,T$1,FALSE)</f>
        <v>0</v>
      </c>
      <c r="U61" s="61">
        <f>INDEX('Table S3 Literature Values'!$A$10:$AV$10000,MATCH($C61,'Table S3 Literature Values'!$A$10:$A$10000,0)+1,U$1)</f>
        <v>0</v>
      </c>
      <c r="V61" s="63">
        <f>INDEX('Table S3 Literature Values'!$A$10:$AV$10000,MATCH($C61,'Table S3 Literature Values'!$A$10:$A$10000,0)+2,U$1)</f>
        <v>0</v>
      </c>
      <c r="W61" s="61">
        <f>VLOOKUP($C61,'Table S3 Literature Values'!$A$10:$AV$10000,W$1,FALSE)</f>
        <v>0</v>
      </c>
      <c r="X61" s="61">
        <f>INDEX('Table S3 Literature Values'!$A$10:$AV$10000,MATCH($C61,'Table S3 Literature Values'!$A$10:$A$10000,0)+1,X$1)</f>
        <v>0</v>
      </c>
      <c r="Y61" s="63">
        <f>INDEX('Table S3 Literature Values'!$A$10:$AV$10000,MATCH($C61,'Table S3 Literature Values'!$A$10:$A$10000,0)+2,X$1)</f>
        <v>0</v>
      </c>
      <c r="Z61" s="61" t="e">
        <f ca="1">VLOOKUP($C61,'Table S3 Literature Values'!$A$10:$AV$10000,Z$1,FALSE)</f>
        <v>#N/A</v>
      </c>
      <c r="AA61" s="61">
        <f ca="1">INDEX('Table S3 Literature Values'!$A$10:$AV$10000,MATCH($C61,'Table S3 Literature Values'!$A$10:$A$10000,0)+1,AA$1)</f>
        <v>3</v>
      </c>
      <c r="AB61" s="63">
        <f>INDEX('Table S3 Literature Values'!$A$10:$AV$10000,MATCH($C61,'Table S3 Literature Values'!$A$10:$A$10000,0)+2,AA$1)</f>
        <v>0</v>
      </c>
      <c r="AC61" s="61">
        <f>VLOOKUP($C61,'Table S3 Literature Values'!$A$10:$AV$10000,AC$1,FALSE)</f>
        <v>0</v>
      </c>
      <c r="AD61" s="61">
        <f>INDEX('Table S3 Literature Values'!$A$10:$AV$10000,MATCH($C61,'Table S3 Literature Values'!$A$10:$A$10000,0)+1,AD$1)</f>
        <v>0</v>
      </c>
      <c r="AE61" s="63">
        <f>INDEX('Table S3 Literature Values'!$A$10:$AV$10000,MATCH($C61,'Table S3 Literature Values'!$A$10:$A$10000,0)+2,AD$1)</f>
        <v>0</v>
      </c>
      <c r="AF61" s="61">
        <f>VLOOKUP($C61,'Table S3 Literature Values'!$A$10:$AV$10000,AF$1,FALSE)</f>
        <v>0.27876727169807036</v>
      </c>
      <c r="AG61" s="61">
        <f>INDEX('Table S3 Literature Values'!$A$10:$AV$10000,MATCH($C61,'Table S3 Literature Values'!$A$10:$A$10000,0)+1,AG$1)</f>
        <v>1</v>
      </c>
      <c r="AH61" s="63">
        <f>INDEX('Table S3 Literature Values'!$A$10:$AV$10000,MATCH($C61,'Table S3 Literature Values'!$A$10:$A$10000,0)+2,AG$1)</f>
        <v>0</v>
      </c>
      <c r="AI61" s="61" t="e">
        <f ca="1">VLOOKUP($C61,'Table S3 Literature Values'!$A$10:$AV$10000,AI$1,FALSE)</f>
        <v>#N/A</v>
      </c>
      <c r="AJ61" s="61">
        <f ca="1">INDEX('Table S3 Literature Values'!$A$10:$AV$10000,MATCH($C61,'Table S3 Literature Values'!$A$10:$A$10000,0)+1,AJ$1)</f>
        <v>0</v>
      </c>
      <c r="AK61" s="63">
        <f>INDEX('Table S3 Literature Values'!$A$10:$AV$10000,MATCH($C61,'Table S3 Literature Values'!$A$10:$A$10000,0)+2,AJ$1)</f>
        <v>0</v>
      </c>
      <c r="AL61" s="61">
        <f>VLOOKUP($C61,'Table S3 Literature Values'!$A$10:$AV$10000,AL$1,FALSE)</f>
        <v>0</v>
      </c>
      <c r="AM61" s="61">
        <f>INDEX('Table S3 Literature Values'!$A$10:$AV$10000,MATCH($C61,'Table S3 Literature Values'!$A$10:$A$10000,0)+1,AM$1)</f>
        <v>0</v>
      </c>
      <c r="AN61" s="63">
        <f>INDEX('Table S3 Literature Values'!$A$10:$AV$10000,MATCH($C61,'Table S3 Literature Values'!$A$10:$A$10000,0)+2,AM$1)</f>
        <v>0</v>
      </c>
      <c r="AO61" s="61">
        <f>VLOOKUP($C61,'Table S3 Literature Values'!$A$10:$AV$10000,AO$1,FALSE)</f>
        <v>0</v>
      </c>
      <c r="AP61" s="61">
        <f>INDEX('Table S3 Literature Values'!$A$10:$AV$10000,MATCH($C61,'Table S3 Literature Values'!$A$10:$A$10000,0)+1,AP$1)</f>
        <v>0</v>
      </c>
      <c r="AQ61" s="63">
        <f>INDEX('Table S3 Literature Values'!$A$10:$AV$10000,MATCH($C61,'Table S3 Literature Values'!$A$10:$A$10000,0)+2,AP$1)</f>
        <v>0</v>
      </c>
      <c r="AR61" s="61">
        <f>VLOOKUP($C61,'Table S3 Literature Values'!$A$10:$AV$10000,AR$1,FALSE)</f>
        <v>1.4311372328443748</v>
      </c>
      <c r="AS61" s="61">
        <f>INDEX('Table S3 Literature Values'!$A$10:$AV$10000,MATCH($C61,'Table S3 Literature Values'!$A$10:$A$10000,0)+1,AS$1)</f>
        <v>1</v>
      </c>
      <c r="AT61" s="63">
        <f>INDEX('Table S3 Literature Values'!$A$10:$AV$10000,MATCH($C61,'Table S3 Literature Values'!$A$10:$A$10000,0)+2,AS$1)</f>
        <v>0</v>
      </c>
    </row>
    <row r="62" spans="1:46">
      <c r="A62" t="str">
        <f>'Table S2 Compound Identifiers'!C67</f>
        <v>Phthalate</v>
      </c>
      <c r="B62">
        <f>COUNTIF($C$3:C62,"&lt;&gt;"&amp;"")</f>
        <v>60</v>
      </c>
      <c r="C62" t="str">
        <f>IF('Table S2 Compound Identifiers'!B67="","",'Table S2 Compound Identifiers'!B67)</f>
        <v>DiBP</v>
      </c>
      <c r="D62" t="str">
        <f>'Table S2 Compound Identifiers'!D67</f>
        <v>84-69-5</v>
      </c>
      <c r="E62" s="501">
        <f>VLOOKUP(C62,'Table S3 Literature Values'!$A$10:$AV$10000,E$1,FALSE)</f>
        <v>11.289652223038836</v>
      </c>
      <c r="F62" s="61">
        <f>INDEX('Table S3 Literature Values'!$A$10:$AV$10000,MATCH(C62,'Table S3 Literature Values'!$A$10:$A$10000,0)+1,F$1)</f>
        <v>3</v>
      </c>
      <c r="G62" s="63">
        <f>INDEX('Table S3 Literature Values'!$A$10:$AV$10000,MATCH($C62,'Table S3 Literature Values'!$A$10:$A$10000,0)+2,F$1)</f>
        <v>0</v>
      </c>
      <c r="H62" s="61">
        <f>VLOOKUP($C62,'Table S3 Literature Values'!$A$10:$AV$10000,H$1,FALSE)</f>
        <v>0.62780000000000002</v>
      </c>
      <c r="I62" s="61">
        <f>INDEX('Table S3 Literature Values'!$A$10:$AV$10000,MATCH($C62,'Table S3 Literature Values'!$A$10:$A$10000,0)+1,I$1)</f>
        <v>1</v>
      </c>
      <c r="J62" s="63">
        <f>INDEX('Table S3 Literature Values'!$A$10:$AV$10000,MATCH($C62,'Table S3 Literature Values'!$A$10:$A$10000,0)+2,I$1)</f>
        <v>0</v>
      </c>
      <c r="K62" s="61">
        <f>VLOOKUP($C62,'Table S3 Literature Values'!$A$10:$AV$10000,K$1,FALSE)</f>
        <v>0</v>
      </c>
      <c r="L62" s="61">
        <f>INDEX('Table S3 Literature Values'!$A$10:$AV$10000,MATCH($C62,'Table S3 Literature Values'!$A$10:$A$10000,0)+1,L$1)</f>
        <v>0</v>
      </c>
      <c r="M62" s="63">
        <f>INDEX('Table S3 Literature Values'!$A$10:$AV$10000,MATCH($C62,'Table S3 Literature Values'!$A$10:$A$10000,0)+2,L$1)</f>
        <v>0</v>
      </c>
      <c r="N62" s="61">
        <f>VLOOKUP($C62,'Table S3 Literature Values'!$A$10:$AV$10000,N$1,FALSE)</f>
        <v>0</v>
      </c>
      <c r="O62" s="61">
        <f>INDEX('Table S3 Literature Values'!$A$10:$AV$10000,MATCH($C62,'Table S3 Literature Values'!$A$10:$A$10000,0)+1,O$1)</f>
        <v>0</v>
      </c>
      <c r="P62" s="63">
        <f>INDEX('Table S3 Literature Values'!$A$10:$AV$10000,MATCH($C62,'Table S3 Literature Values'!$A$10:$A$10000,0)+2,O$1)</f>
        <v>0</v>
      </c>
      <c r="Q62" s="61">
        <f>VLOOKUP($C62,'Table S3 Literature Values'!$A$10:$AV$10000,Q$1,FALSE)</f>
        <v>0</v>
      </c>
      <c r="R62" s="61">
        <f>INDEX('Table S3 Literature Values'!$A$10:$AV$10000,MATCH($C62,'Table S3 Literature Values'!$A$10:$A$10000,0)+1,R$1)</f>
        <v>0</v>
      </c>
      <c r="S62" s="63">
        <f>INDEX('Table S3 Literature Values'!$A$10:$AV$10000,MATCH($C62,'Table S3 Literature Values'!$A$10:$A$10000,0)+2,R$1)</f>
        <v>0</v>
      </c>
      <c r="T62" s="61">
        <f>VLOOKUP($C62,'Table S3 Literature Values'!$A$10:$AV$10000,T$1,FALSE)</f>
        <v>0</v>
      </c>
      <c r="U62" s="61">
        <f>INDEX('Table S3 Literature Values'!$A$10:$AV$10000,MATCH($C62,'Table S3 Literature Values'!$A$10:$A$10000,0)+1,U$1)</f>
        <v>0</v>
      </c>
      <c r="V62" s="63">
        <f>INDEX('Table S3 Literature Values'!$A$10:$AV$10000,MATCH($C62,'Table S3 Literature Values'!$A$10:$A$10000,0)+2,U$1)</f>
        <v>0</v>
      </c>
      <c r="W62" s="61">
        <f>VLOOKUP($C62,'Table S3 Literature Values'!$A$10:$AV$10000,W$1,FALSE)</f>
        <v>0</v>
      </c>
      <c r="X62" s="61">
        <f>INDEX('Table S3 Literature Values'!$A$10:$AV$10000,MATCH($C62,'Table S3 Literature Values'!$A$10:$A$10000,0)+1,X$1)</f>
        <v>0</v>
      </c>
      <c r="Y62" s="63">
        <f>INDEX('Table S3 Literature Values'!$A$10:$AV$10000,MATCH($C62,'Table S3 Literature Values'!$A$10:$A$10000,0)+2,X$1)</f>
        <v>0</v>
      </c>
      <c r="Z62" s="61" t="e">
        <f ca="1">VLOOKUP($C62,'Table S3 Literature Values'!$A$10:$AV$10000,Z$1,FALSE)</f>
        <v>#N/A</v>
      </c>
      <c r="AA62" s="61">
        <f ca="1">INDEX('Table S3 Literature Values'!$A$10:$AV$10000,MATCH($C62,'Table S3 Literature Values'!$A$10:$A$10000,0)+1,AA$1)</f>
        <v>1</v>
      </c>
      <c r="AB62" s="63">
        <f>INDEX('Table S3 Literature Values'!$A$10:$AV$10000,MATCH($C62,'Table S3 Literature Values'!$A$10:$A$10000,0)+2,AA$1)</f>
        <v>0</v>
      </c>
      <c r="AC62" s="61">
        <f>VLOOKUP($C62,'Table S3 Literature Values'!$A$10:$AV$10000,AC$1,FALSE)</f>
        <v>0</v>
      </c>
      <c r="AD62" s="61">
        <f>INDEX('Table S3 Literature Values'!$A$10:$AV$10000,MATCH($C62,'Table S3 Literature Values'!$A$10:$A$10000,0)+1,AD$1)</f>
        <v>0</v>
      </c>
      <c r="AE62" s="63">
        <f>INDEX('Table S3 Literature Values'!$A$10:$AV$10000,MATCH($C62,'Table S3 Literature Values'!$A$10:$A$10000,0)+2,AD$1)</f>
        <v>0</v>
      </c>
      <c r="AF62" s="61">
        <f>VLOOKUP($C62,'Table S3 Literature Values'!$A$10:$AV$10000,AF$1,FALSE)</f>
        <v>0.31732875204227629</v>
      </c>
      <c r="AG62" s="61">
        <f>INDEX('Table S3 Literature Values'!$A$10:$AV$10000,MATCH($C62,'Table S3 Literature Values'!$A$10:$A$10000,0)+1,AG$1)</f>
        <v>1</v>
      </c>
      <c r="AH62" s="63">
        <f>INDEX('Table S3 Literature Values'!$A$10:$AV$10000,MATCH($C62,'Table S3 Literature Values'!$A$10:$A$10000,0)+2,AG$1)</f>
        <v>0</v>
      </c>
      <c r="AI62" s="61" t="e">
        <f ca="1">VLOOKUP($C62,'Table S3 Literature Values'!$A$10:$AV$10000,AI$1,FALSE)</f>
        <v>#N/A</v>
      </c>
      <c r="AJ62" s="61">
        <f ca="1">INDEX('Table S3 Literature Values'!$A$10:$AV$10000,MATCH($C62,'Table S3 Literature Values'!$A$10:$A$10000,0)+1,AJ$1)</f>
        <v>4</v>
      </c>
      <c r="AK62" s="63">
        <f>INDEX('Table S3 Literature Values'!$A$10:$AV$10000,MATCH($C62,'Table S3 Literature Values'!$A$10:$A$10000,0)+2,AJ$1)</f>
        <v>0</v>
      </c>
      <c r="AL62" s="61">
        <f>VLOOKUP($C62,'Table S3 Literature Values'!$A$10:$AV$10000,AL$1,FALSE)</f>
        <v>0</v>
      </c>
      <c r="AM62" s="61">
        <f>INDEX('Table S3 Literature Values'!$A$10:$AV$10000,MATCH($C62,'Table S3 Literature Values'!$A$10:$A$10000,0)+1,AM$1)</f>
        <v>0</v>
      </c>
      <c r="AN62" s="63">
        <f>INDEX('Table S3 Literature Values'!$A$10:$AV$10000,MATCH($C62,'Table S3 Literature Values'!$A$10:$A$10000,0)+2,AM$1)</f>
        <v>0</v>
      </c>
      <c r="AO62" s="61">
        <f>VLOOKUP($C62,'Table S3 Literature Values'!$A$10:$AV$10000,AO$1,FALSE)</f>
        <v>0</v>
      </c>
      <c r="AP62" s="61">
        <f>INDEX('Table S3 Literature Values'!$A$10:$AV$10000,MATCH($C62,'Table S3 Literature Values'!$A$10:$A$10000,0)+1,AP$1)</f>
        <v>0</v>
      </c>
      <c r="AQ62" s="63">
        <f>INDEX('Table S3 Literature Values'!$A$10:$AV$10000,MATCH($C62,'Table S3 Literature Values'!$A$10:$A$10000,0)+2,AP$1)</f>
        <v>0</v>
      </c>
      <c r="AR62" s="61">
        <f>VLOOKUP($C62,'Table S3 Literature Values'!$A$10:$AV$10000,AR$1,FALSE)</f>
        <v>11.3929802949009</v>
      </c>
      <c r="AS62" s="61">
        <f>INDEX('Table S3 Literature Values'!$A$10:$AV$10000,MATCH($C62,'Table S3 Literature Values'!$A$10:$A$10000,0)+1,AS$1)</f>
        <v>5</v>
      </c>
      <c r="AT62" s="63">
        <f>INDEX('Table S3 Literature Values'!$A$10:$AV$10000,MATCH($C62,'Table S3 Literature Values'!$A$10:$A$10000,0)+2,AS$1)</f>
        <v>0</v>
      </c>
    </row>
    <row r="63" spans="1:46">
      <c r="A63" t="str">
        <f>'Table S2 Compound Identifiers'!C68</f>
        <v>Phthalate</v>
      </c>
      <c r="B63">
        <f>COUNTIF($C$3:C63,"&lt;&gt;"&amp;"")</f>
        <v>61</v>
      </c>
      <c r="C63" t="str">
        <f>IF('Table S2 Compound Identifiers'!B68="","",'Table S2 Compound Identifiers'!B68)</f>
        <v>DnBP</v>
      </c>
      <c r="D63" t="str">
        <f>'Table S2 Compound Identifiers'!D68</f>
        <v>84-74-2</v>
      </c>
      <c r="E63" s="501">
        <f>VLOOKUP(C63,'Table S3 Literature Values'!$A$10:$AV$10000,E$1,FALSE)</f>
        <v>2.7191972778775324</v>
      </c>
      <c r="F63" s="61">
        <f>INDEX('Table S3 Literature Values'!$A$10:$AV$10000,MATCH(C63,'Table S3 Literature Values'!$A$10:$A$10000,0)+1,F$1)</f>
        <v>10</v>
      </c>
      <c r="G63" s="63">
        <f>INDEX('Table S3 Literature Values'!$A$10:$AV$10000,MATCH($C63,'Table S3 Literature Values'!$A$10:$A$10000,0)+2,F$1)</f>
        <v>0</v>
      </c>
      <c r="H63" s="61">
        <f>VLOOKUP($C63,'Table S3 Literature Values'!$A$10:$AV$10000,H$1,FALSE)</f>
        <v>0.2162</v>
      </c>
      <c r="I63" s="61">
        <f>INDEX('Table S3 Literature Values'!$A$10:$AV$10000,MATCH($C63,'Table S3 Literature Values'!$A$10:$A$10000,0)+1,I$1)</f>
        <v>1</v>
      </c>
      <c r="J63" s="63">
        <f>INDEX('Table S3 Literature Values'!$A$10:$AV$10000,MATCH($C63,'Table S3 Literature Values'!$A$10:$A$10000,0)+2,I$1)</f>
        <v>0</v>
      </c>
      <c r="K63" s="61">
        <f>VLOOKUP($C63,'Table S3 Literature Values'!$A$10:$AV$10000,K$1,FALSE)</f>
        <v>0</v>
      </c>
      <c r="L63" s="61">
        <f>INDEX('Table S3 Literature Values'!$A$10:$AV$10000,MATCH($C63,'Table S3 Literature Values'!$A$10:$A$10000,0)+1,L$1)</f>
        <v>0</v>
      </c>
      <c r="M63" s="63">
        <f>INDEX('Table S3 Literature Values'!$A$10:$AV$10000,MATCH($C63,'Table S3 Literature Values'!$A$10:$A$10000,0)+2,L$1)</f>
        <v>0</v>
      </c>
      <c r="N63" s="61">
        <f>VLOOKUP($C63,'Table S3 Literature Values'!$A$10:$AV$10000,N$1,FALSE)</f>
        <v>4.3857963377810565</v>
      </c>
      <c r="O63" s="61">
        <f>INDEX('Table S3 Literature Values'!$A$10:$AV$10000,MATCH($C63,'Table S3 Literature Values'!$A$10:$A$10000,0)+1,O$1)</f>
        <v>1</v>
      </c>
      <c r="P63" s="63">
        <f>INDEX('Table S3 Literature Values'!$A$10:$AV$10000,MATCH($C63,'Table S3 Literature Values'!$A$10:$A$10000,0)+2,O$1)</f>
        <v>0</v>
      </c>
      <c r="Q63" s="61">
        <f>VLOOKUP($C63,'Table S3 Literature Values'!$A$10:$AV$10000,Q$1,FALSE)</f>
        <v>0</v>
      </c>
      <c r="R63" s="61">
        <f>INDEX('Table S3 Literature Values'!$A$10:$AV$10000,MATCH($C63,'Table S3 Literature Values'!$A$10:$A$10000,0)+1,R$1)</f>
        <v>0</v>
      </c>
      <c r="S63" s="63">
        <f>INDEX('Table S3 Literature Values'!$A$10:$AV$10000,MATCH($C63,'Table S3 Literature Values'!$A$10:$A$10000,0)+2,R$1)</f>
        <v>0</v>
      </c>
      <c r="T63" s="61">
        <f>VLOOKUP($C63,'Table S3 Literature Values'!$A$10:$AV$10000,T$1,FALSE)</f>
        <v>0</v>
      </c>
      <c r="U63" s="61">
        <f>INDEX('Table S3 Literature Values'!$A$10:$AV$10000,MATCH($C63,'Table S3 Literature Values'!$A$10:$A$10000,0)+1,U$1)</f>
        <v>0</v>
      </c>
      <c r="V63" s="63">
        <f>INDEX('Table S3 Literature Values'!$A$10:$AV$10000,MATCH($C63,'Table S3 Literature Values'!$A$10:$A$10000,0)+2,U$1)</f>
        <v>0</v>
      </c>
      <c r="W63" s="61">
        <f>VLOOKUP($C63,'Table S3 Literature Values'!$A$10:$AV$10000,W$1,FALSE)</f>
        <v>0.22297610464670758</v>
      </c>
      <c r="X63" s="61">
        <f>INDEX('Table S3 Literature Values'!$A$10:$AV$10000,MATCH($C63,'Table S3 Literature Values'!$A$10:$A$10000,0)+1,X$1)</f>
        <v>1</v>
      </c>
      <c r="Y63" s="63">
        <f>INDEX('Table S3 Literature Values'!$A$10:$AV$10000,MATCH($C63,'Table S3 Literature Values'!$A$10:$A$10000,0)+2,X$1)</f>
        <v>0</v>
      </c>
      <c r="Z63" s="61" t="e">
        <f ca="1">VLOOKUP($C63,'Table S3 Literature Values'!$A$10:$AV$10000,Z$1,FALSE)</f>
        <v>#N/A</v>
      </c>
      <c r="AA63" s="61">
        <f ca="1">INDEX('Table S3 Literature Values'!$A$10:$AV$10000,MATCH($C63,'Table S3 Literature Values'!$A$10:$A$10000,0)+1,AA$1)</f>
        <v>12</v>
      </c>
      <c r="AB63" s="63">
        <f>INDEX('Table S3 Literature Values'!$A$10:$AV$10000,MATCH($C63,'Table S3 Literature Values'!$A$10:$A$10000,0)+2,AA$1)</f>
        <v>0</v>
      </c>
      <c r="AC63" s="61">
        <f>VLOOKUP($C63,'Table S3 Literature Values'!$A$10:$AV$10000,AC$1,FALSE)</f>
        <v>0.82616992931380784</v>
      </c>
      <c r="AD63" s="61">
        <f>INDEX('Table S3 Literature Values'!$A$10:$AV$10000,MATCH($C63,'Table S3 Literature Values'!$A$10:$A$10000,0)+1,AD$1)</f>
        <v>1</v>
      </c>
      <c r="AE63" s="63">
        <f>INDEX('Table S3 Literature Values'!$A$10:$AV$10000,MATCH($C63,'Table S3 Literature Values'!$A$10:$A$10000,0)+2,AD$1)</f>
        <v>0</v>
      </c>
      <c r="AF63" s="61" t="e">
        <f ca="1">VLOOKUP($C63,'Table S3 Literature Values'!$A$10:$AV$10000,AF$1,FALSE)</f>
        <v>#N/A</v>
      </c>
      <c r="AG63" s="61">
        <f ca="1">INDEX('Table S3 Literature Values'!$A$10:$AV$10000,MATCH($C63,'Table S3 Literature Values'!$A$10:$A$10000,0)+1,AG$1)</f>
        <v>7</v>
      </c>
      <c r="AH63" s="63">
        <f>INDEX('Table S3 Literature Values'!$A$10:$AV$10000,MATCH($C63,'Table S3 Literature Values'!$A$10:$A$10000,0)+2,AG$1)</f>
        <v>0</v>
      </c>
      <c r="AI63" s="61" t="e">
        <f ca="1">VLOOKUP($C63,'Table S3 Literature Values'!$A$10:$AV$10000,AI$1,FALSE)</f>
        <v>#N/A</v>
      </c>
      <c r="AJ63" s="61">
        <f ca="1">INDEX('Table S3 Literature Values'!$A$10:$AV$10000,MATCH($C63,'Table S3 Literature Values'!$A$10:$A$10000,0)+1,AJ$1)</f>
        <v>5</v>
      </c>
      <c r="AK63" s="63">
        <f>INDEX('Table S3 Literature Values'!$A$10:$AV$10000,MATCH($C63,'Table S3 Literature Values'!$A$10:$A$10000,0)+2,AJ$1)</f>
        <v>0</v>
      </c>
      <c r="AL63" s="61">
        <f>VLOOKUP($C63,'Table S3 Literature Values'!$A$10:$AV$10000,AL$1,FALSE)</f>
        <v>0</v>
      </c>
      <c r="AM63" s="61">
        <f>INDEX('Table S3 Literature Values'!$A$10:$AV$10000,MATCH($C63,'Table S3 Literature Values'!$A$10:$A$10000,0)+1,AM$1)</f>
        <v>0</v>
      </c>
      <c r="AN63" s="63">
        <f>INDEX('Table S3 Literature Values'!$A$10:$AV$10000,MATCH($C63,'Table S3 Literature Values'!$A$10:$A$10000,0)+2,AM$1)</f>
        <v>0</v>
      </c>
      <c r="AO63" s="61">
        <f>VLOOKUP($C63,'Table S3 Literature Values'!$A$10:$AV$10000,AO$1,FALSE)</f>
        <v>0</v>
      </c>
      <c r="AP63" s="61">
        <f>INDEX('Table S3 Literature Values'!$A$10:$AV$10000,MATCH($C63,'Table S3 Literature Values'!$A$10:$A$10000,0)+1,AP$1)</f>
        <v>0</v>
      </c>
      <c r="AQ63" s="63">
        <f>INDEX('Table S3 Literature Values'!$A$10:$AV$10000,MATCH($C63,'Table S3 Literature Values'!$A$10:$A$10000,0)+2,AP$1)</f>
        <v>0</v>
      </c>
      <c r="AR63" s="61">
        <f>VLOOKUP($C63,'Table S3 Literature Values'!$A$10:$AV$10000,AR$1,FALSE)</f>
        <v>0</v>
      </c>
      <c r="AS63" s="61">
        <f>INDEX('Table S3 Literature Values'!$A$10:$AV$10000,MATCH($C63,'Table S3 Literature Values'!$A$10:$A$10000,0)+1,AS$1)</f>
        <v>5</v>
      </c>
      <c r="AT63" s="63">
        <f>INDEX('Table S3 Literature Values'!$A$10:$AV$10000,MATCH($C63,'Table S3 Literature Values'!$A$10:$A$10000,0)+2,AS$1)</f>
        <v>0</v>
      </c>
    </row>
    <row r="64" spans="1:46">
      <c r="A64" t="str">
        <f>'Table S2 Compound Identifiers'!C69</f>
        <v>Phthalate</v>
      </c>
      <c r="B64">
        <f>COUNTIF($C$3:C64,"&lt;&gt;"&amp;"")</f>
        <v>62</v>
      </c>
      <c r="C64" t="str">
        <f>IF('Table S2 Compound Identifiers'!B69="","",'Table S2 Compound Identifiers'!B69)</f>
        <v>BzBP</v>
      </c>
      <c r="D64" t="str">
        <f>'Table S2 Compound Identifiers'!D69</f>
        <v>85-68-7</v>
      </c>
      <c r="E64" s="501">
        <f>VLOOKUP(C64,'Table S3 Literature Values'!$A$10:$AV$10000,E$1,FALSE)</f>
        <v>12.116981802412674</v>
      </c>
      <c r="F64" s="61">
        <f>INDEX('Table S3 Literature Values'!$A$10:$AV$10000,MATCH(C64,'Table S3 Literature Values'!$A$10:$A$10000,0)+1,F$1)</f>
        <v>2</v>
      </c>
      <c r="G64" s="63">
        <f>INDEX('Table S3 Literature Values'!$A$10:$AV$10000,MATCH($C64,'Table S3 Literature Values'!$A$10:$A$10000,0)+2,F$1)</f>
        <v>0</v>
      </c>
      <c r="H64" s="61">
        <f>VLOOKUP($C64,'Table S3 Literature Values'!$A$10:$AV$10000,H$1,FALSE)</f>
        <v>0</v>
      </c>
      <c r="I64" s="61">
        <f>INDEX('Table S3 Literature Values'!$A$10:$AV$10000,MATCH($C64,'Table S3 Literature Values'!$A$10:$A$10000,0)+1,I$1)</f>
        <v>0</v>
      </c>
      <c r="J64" s="63">
        <f>INDEX('Table S3 Literature Values'!$A$10:$AV$10000,MATCH($C64,'Table S3 Literature Values'!$A$10:$A$10000,0)+2,I$1)</f>
        <v>0</v>
      </c>
      <c r="K64" s="61">
        <f>VLOOKUP($C64,'Table S3 Literature Values'!$A$10:$AV$10000,K$1,FALSE)</f>
        <v>0</v>
      </c>
      <c r="L64" s="61">
        <f>INDEX('Table S3 Literature Values'!$A$10:$AV$10000,MATCH($C64,'Table S3 Literature Values'!$A$10:$A$10000,0)+1,L$1)</f>
        <v>0</v>
      </c>
      <c r="M64" s="63">
        <f>INDEX('Table S3 Literature Values'!$A$10:$AV$10000,MATCH($C64,'Table S3 Literature Values'!$A$10:$A$10000,0)+2,L$1)</f>
        <v>0</v>
      </c>
      <c r="N64" s="61">
        <f>VLOOKUP($C64,'Table S3 Literature Values'!$A$10:$AV$10000,N$1,FALSE)</f>
        <v>4.832488061830821</v>
      </c>
      <c r="O64" s="61">
        <f>INDEX('Table S3 Literature Values'!$A$10:$AV$10000,MATCH($C64,'Table S3 Literature Values'!$A$10:$A$10000,0)+1,O$1)</f>
        <v>1</v>
      </c>
      <c r="P64" s="63">
        <f>INDEX('Table S3 Literature Values'!$A$10:$AV$10000,MATCH($C64,'Table S3 Literature Values'!$A$10:$A$10000,0)+2,O$1)</f>
        <v>0</v>
      </c>
      <c r="Q64" s="61">
        <f>VLOOKUP($C64,'Table S3 Literature Values'!$A$10:$AV$10000,Q$1,FALSE)</f>
        <v>0</v>
      </c>
      <c r="R64" s="61">
        <f>INDEX('Table S3 Literature Values'!$A$10:$AV$10000,MATCH($C64,'Table S3 Literature Values'!$A$10:$A$10000,0)+1,R$1)</f>
        <v>0</v>
      </c>
      <c r="S64" s="63">
        <f>INDEX('Table S3 Literature Values'!$A$10:$AV$10000,MATCH($C64,'Table S3 Literature Values'!$A$10:$A$10000,0)+2,R$1)</f>
        <v>0</v>
      </c>
      <c r="T64" s="61">
        <f>VLOOKUP($C64,'Table S3 Literature Values'!$A$10:$AV$10000,T$1,FALSE)</f>
        <v>0</v>
      </c>
      <c r="U64" s="61">
        <f>INDEX('Table S3 Literature Values'!$A$10:$AV$10000,MATCH($C64,'Table S3 Literature Values'!$A$10:$A$10000,0)+1,U$1)</f>
        <v>0</v>
      </c>
      <c r="V64" s="63">
        <f>INDEX('Table S3 Literature Values'!$A$10:$AV$10000,MATCH($C64,'Table S3 Literature Values'!$A$10:$A$10000,0)+2,U$1)</f>
        <v>0</v>
      </c>
      <c r="W64" s="61">
        <f>VLOOKUP($C64,'Table S3 Literature Values'!$A$10:$AV$10000,W$1,FALSE)</f>
        <v>0.24872392273524194</v>
      </c>
      <c r="X64" s="61">
        <f>INDEX('Table S3 Literature Values'!$A$10:$AV$10000,MATCH($C64,'Table S3 Literature Values'!$A$10:$A$10000,0)+1,X$1)</f>
        <v>1</v>
      </c>
      <c r="Y64" s="63">
        <f>INDEX('Table S3 Literature Values'!$A$10:$AV$10000,MATCH($C64,'Table S3 Literature Values'!$A$10:$A$10000,0)+2,X$1)</f>
        <v>0</v>
      </c>
      <c r="Z64" s="61" t="e">
        <f ca="1">VLOOKUP($C64,'Table S3 Literature Values'!$A$10:$AV$10000,Z$1,FALSE)</f>
        <v>#N/A</v>
      </c>
      <c r="AA64" s="61">
        <f ca="1">INDEX('Table S3 Literature Values'!$A$10:$AV$10000,MATCH($C64,'Table S3 Literature Values'!$A$10:$A$10000,0)+1,AA$1)</f>
        <v>6</v>
      </c>
      <c r="AB64" s="63">
        <f>INDEX('Table S3 Literature Values'!$A$10:$AV$10000,MATCH($C64,'Table S3 Literature Values'!$A$10:$A$10000,0)+2,AA$1)</f>
        <v>0</v>
      </c>
      <c r="AC64" s="61">
        <f>VLOOKUP($C64,'Table S3 Literature Values'!$A$10:$AV$10000,AC$1,FALSE)</f>
        <v>0</v>
      </c>
      <c r="AD64" s="61">
        <f>INDEX('Table S3 Literature Values'!$A$10:$AV$10000,MATCH($C64,'Table S3 Literature Values'!$A$10:$A$10000,0)+1,AD$1)</f>
        <v>0</v>
      </c>
      <c r="AE64" s="63">
        <f>INDEX('Table S3 Literature Values'!$A$10:$AV$10000,MATCH($C64,'Table S3 Literature Values'!$A$10:$A$10000,0)+2,AD$1)</f>
        <v>0</v>
      </c>
      <c r="AF64" s="61">
        <f>VLOOKUP($C64,'Table S3 Literature Values'!$A$10:$AV$10000,AF$1,FALSE)</f>
        <v>0.56113384528000032</v>
      </c>
      <c r="AG64" s="61">
        <f>INDEX('Table S3 Literature Values'!$A$10:$AV$10000,MATCH($C64,'Table S3 Literature Values'!$A$10:$A$10000,0)+1,AG$1)</f>
        <v>5</v>
      </c>
      <c r="AH64" s="63">
        <f>INDEX('Table S3 Literature Values'!$A$10:$AV$10000,MATCH($C64,'Table S3 Literature Values'!$A$10:$A$10000,0)+2,AG$1)</f>
        <v>0</v>
      </c>
      <c r="AI64" s="61" t="e">
        <f ca="1">VLOOKUP($C64,'Table S3 Literature Values'!$A$10:$AV$10000,AI$1,FALSE)</f>
        <v>#N/A</v>
      </c>
      <c r="AJ64" s="61">
        <f ca="1">INDEX('Table S3 Literature Values'!$A$10:$AV$10000,MATCH($C64,'Table S3 Literature Values'!$A$10:$A$10000,0)+1,AJ$1)</f>
        <v>2</v>
      </c>
      <c r="AK64" s="63">
        <f>INDEX('Table S3 Literature Values'!$A$10:$AV$10000,MATCH($C64,'Table S3 Literature Values'!$A$10:$A$10000,0)+2,AJ$1)</f>
        <v>0</v>
      </c>
      <c r="AL64" s="61">
        <f>VLOOKUP($C64,'Table S3 Literature Values'!$A$10:$AV$10000,AL$1,FALSE)</f>
        <v>0</v>
      </c>
      <c r="AM64" s="61">
        <f>INDEX('Table S3 Literature Values'!$A$10:$AV$10000,MATCH($C64,'Table S3 Literature Values'!$A$10:$A$10000,0)+1,AM$1)</f>
        <v>0</v>
      </c>
      <c r="AN64" s="63">
        <f>INDEX('Table S3 Literature Values'!$A$10:$AV$10000,MATCH($C64,'Table S3 Literature Values'!$A$10:$A$10000,0)+2,AM$1)</f>
        <v>0</v>
      </c>
      <c r="AO64" s="61">
        <f>VLOOKUP($C64,'Table S3 Literature Values'!$A$10:$AV$10000,AO$1,FALSE)</f>
        <v>0</v>
      </c>
      <c r="AP64" s="61">
        <f>INDEX('Table S3 Literature Values'!$A$10:$AV$10000,MATCH($C64,'Table S3 Literature Values'!$A$10:$A$10000,0)+1,AP$1)</f>
        <v>0</v>
      </c>
      <c r="AQ64" s="63">
        <f>INDEX('Table S3 Literature Values'!$A$10:$AV$10000,MATCH($C64,'Table S3 Literature Values'!$A$10:$A$10000,0)+2,AP$1)</f>
        <v>0</v>
      </c>
      <c r="AR64" s="61">
        <f>VLOOKUP($C64,'Table S3 Literature Values'!$A$10:$AV$10000,AR$1,FALSE)</f>
        <v>0</v>
      </c>
      <c r="AS64" s="61">
        <f>INDEX('Table S3 Literature Values'!$A$10:$AV$10000,MATCH($C64,'Table S3 Literature Values'!$A$10:$A$10000,0)+1,AS$1)</f>
        <v>2</v>
      </c>
      <c r="AT64" s="63">
        <f>INDEX('Table S3 Literature Values'!$A$10:$AV$10000,MATCH($C64,'Table S3 Literature Values'!$A$10:$A$10000,0)+2,AS$1)</f>
        <v>0</v>
      </c>
    </row>
    <row r="65" spans="1:46">
      <c r="A65" t="str">
        <f>'Table S2 Compound Identifiers'!C70</f>
        <v>Phthalate</v>
      </c>
      <c r="B65">
        <f>COUNTIF($C$3:C65,"&lt;&gt;"&amp;"")</f>
        <v>63</v>
      </c>
      <c r="C65" t="str">
        <f>IF('Table S2 Compound Identifiers'!B70="","",'Table S2 Compound Identifiers'!B70)</f>
        <v>TBPH</v>
      </c>
      <c r="D65" t="str">
        <f>'Table S2 Compound Identifiers'!D70</f>
        <v>26040-51-7</v>
      </c>
      <c r="E65" s="501">
        <f>VLOOKUP(C65,'Table S3 Literature Values'!$A$10:$AV$10000,E$1,FALSE)</f>
        <v>0</v>
      </c>
      <c r="F65" s="61">
        <f>INDEX('Table S3 Literature Values'!$A$10:$AV$10000,MATCH(C65,'Table S3 Literature Values'!$A$10:$A$10000,0)+1,F$1)</f>
        <v>0</v>
      </c>
      <c r="G65" s="63">
        <f>INDEX('Table S3 Literature Values'!$A$10:$AV$10000,MATCH($C65,'Table S3 Literature Values'!$A$10:$A$10000,0)+2,F$1)</f>
        <v>0</v>
      </c>
      <c r="H65" s="61">
        <f>VLOOKUP($C65,'Table S3 Literature Values'!$A$10:$AV$10000,H$1,FALSE)</f>
        <v>0</v>
      </c>
      <c r="I65" s="61">
        <f>INDEX('Table S3 Literature Values'!$A$10:$AV$10000,MATCH($C65,'Table S3 Literature Values'!$A$10:$A$10000,0)+1,I$1)</f>
        <v>0</v>
      </c>
      <c r="J65" s="63">
        <f>INDEX('Table S3 Literature Values'!$A$10:$AV$10000,MATCH($C65,'Table S3 Literature Values'!$A$10:$A$10000,0)+2,I$1)</f>
        <v>0</v>
      </c>
      <c r="K65" s="61">
        <f>VLOOKUP($C65,'Table S3 Literature Values'!$A$10:$AV$10000,K$1,FALSE)</f>
        <v>0</v>
      </c>
      <c r="L65" s="61">
        <f>INDEX('Table S3 Literature Values'!$A$10:$AV$10000,MATCH($C65,'Table S3 Literature Values'!$A$10:$A$10000,0)+1,L$1)</f>
        <v>0</v>
      </c>
      <c r="M65" s="63">
        <f>INDEX('Table S3 Literature Values'!$A$10:$AV$10000,MATCH($C65,'Table S3 Literature Values'!$A$10:$A$10000,0)+2,L$1)</f>
        <v>0</v>
      </c>
      <c r="N65" s="61">
        <f>VLOOKUP($C65,'Table S3 Literature Values'!$A$10:$AV$10000,N$1,FALSE)</f>
        <v>0</v>
      </c>
      <c r="O65" s="61">
        <f>INDEX('Table S3 Literature Values'!$A$10:$AV$10000,MATCH($C65,'Table S3 Literature Values'!$A$10:$A$10000,0)+1,O$1)</f>
        <v>0</v>
      </c>
      <c r="P65" s="63">
        <f>INDEX('Table S3 Literature Values'!$A$10:$AV$10000,MATCH($C65,'Table S3 Literature Values'!$A$10:$A$10000,0)+2,O$1)</f>
        <v>0</v>
      </c>
      <c r="Q65" s="61">
        <f>VLOOKUP($C65,'Table S3 Literature Values'!$A$10:$AV$10000,Q$1,FALSE)</f>
        <v>0</v>
      </c>
      <c r="R65" s="61">
        <f>INDEX('Table S3 Literature Values'!$A$10:$AV$10000,MATCH($C65,'Table S3 Literature Values'!$A$10:$A$10000,0)+1,R$1)</f>
        <v>0</v>
      </c>
      <c r="S65" s="63">
        <f>INDEX('Table S3 Literature Values'!$A$10:$AV$10000,MATCH($C65,'Table S3 Literature Values'!$A$10:$A$10000,0)+2,R$1)</f>
        <v>0</v>
      </c>
      <c r="T65" s="61">
        <f>VLOOKUP($C65,'Table S3 Literature Values'!$A$10:$AV$10000,T$1,FALSE)</f>
        <v>0</v>
      </c>
      <c r="U65" s="61">
        <f>INDEX('Table S3 Literature Values'!$A$10:$AV$10000,MATCH($C65,'Table S3 Literature Values'!$A$10:$A$10000,0)+1,U$1)</f>
        <v>0</v>
      </c>
      <c r="V65" s="63">
        <f>INDEX('Table S3 Literature Values'!$A$10:$AV$10000,MATCH($C65,'Table S3 Literature Values'!$A$10:$A$10000,0)+2,U$1)</f>
        <v>0</v>
      </c>
      <c r="W65" s="61">
        <f>VLOOKUP($C65,'Table S3 Literature Values'!$A$10:$AV$10000,W$1,FALSE)</f>
        <v>0</v>
      </c>
      <c r="X65" s="61">
        <f>INDEX('Table S3 Literature Values'!$A$10:$AV$10000,MATCH($C65,'Table S3 Literature Values'!$A$10:$A$10000,0)+1,X$1)</f>
        <v>0</v>
      </c>
      <c r="Y65" s="63">
        <f>INDEX('Table S3 Literature Values'!$A$10:$AV$10000,MATCH($C65,'Table S3 Literature Values'!$A$10:$A$10000,0)+2,X$1)</f>
        <v>0</v>
      </c>
      <c r="Z65" s="61">
        <f>VLOOKUP($C65,'Table S3 Literature Values'!$A$10:$AV$10000,Z$1,FALSE)</f>
        <v>0.69146320276503692</v>
      </c>
      <c r="AA65" s="61">
        <f>INDEX('Table S3 Literature Values'!$A$10:$AV$10000,MATCH($C65,'Table S3 Literature Values'!$A$10:$A$10000,0)+1,AA$1)</f>
        <v>1</v>
      </c>
      <c r="AB65" s="63">
        <f>INDEX('Table S3 Literature Values'!$A$10:$AV$10000,MATCH($C65,'Table S3 Literature Values'!$A$10:$A$10000,0)+2,AA$1)</f>
        <v>0</v>
      </c>
      <c r="AC65" s="61">
        <f>VLOOKUP($C65,'Table S3 Literature Values'!$A$10:$AV$10000,AC$1,FALSE)</f>
        <v>0</v>
      </c>
      <c r="AD65" s="61">
        <f>INDEX('Table S3 Literature Values'!$A$10:$AV$10000,MATCH($C65,'Table S3 Literature Values'!$A$10:$A$10000,0)+1,AD$1)</f>
        <v>0</v>
      </c>
      <c r="AE65" s="63">
        <f>INDEX('Table S3 Literature Values'!$A$10:$AV$10000,MATCH($C65,'Table S3 Literature Values'!$A$10:$A$10000,0)+2,AD$1)</f>
        <v>0</v>
      </c>
      <c r="AF65" s="61">
        <f>VLOOKUP($C65,'Table S3 Literature Values'!$A$10:$AV$10000,AF$1,FALSE)</f>
        <v>0</v>
      </c>
      <c r="AG65" s="61">
        <f>INDEX('Table S3 Literature Values'!$A$10:$AV$10000,MATCH($C65,'Table S3 Literature Values'!$A$10:$A$10000,0)+1,AG$1)</f>
        <v>0</v>
      </c>
      <c r="AH65" s="63">
        <f>INDEX('Table S3 Literature Values'!$A$10:$AV$10000,MATCH($C65,'Table S3 Literature Values'!$A$10:$A$10000,0)+2,AG$1)</f>
        <v>0</v>
      </c>
      <c r="AI65" s="61">
        <f>VLOOKUP($C65,'Table S3 Literature Values'!$A$10:$AV$10000,AI$1,FALSE)</f>
        <v>0</v>
      </c>
      <c r="AJ65" s="61">
        <f>INDEX('Table S3 Literature Values'!$A$10:$AV$10000,MATCH($C65,'Table S3 Literature Values'!$A$10:$A$10000,0)+1,AJ$1)</f>
        <v>0</v>
      </c>
      <c r="AK65" s="63">
        <f>INDEX('Table S3 Literature Values'!$A$10:$AV$10000,MATCH($C65,'Table S3 Literature Values'!$A$10:$A$10000,0)+2,AJ$1)</f>
        <v>0</v>
      </c>
      <c r="AL65" s="61">
        <f>VLOOKUP($C65,'Table S3 Literature Values'!$A$10:$AV$10000,AL$1,FALSE)</f>
        <v>0</v>
      </c>
      <c r="AM65" s="61">
        <f>INDEX('Table S3 Literature Values'!$A$10:$AV$10000,MATCH($C65,'Table S3 Literature Values'!$A$10:$A$10000,0)+1,AM$1)</f>
        <v>0</v>
      </c>
      <c r="AN65" s="63">
        <f>INDEX('Table S3 Literature Values'!$A$10:$AV$10000,MATCH($C65,'Table S3 Literature Values'!$A$10:$A$10000,0)+2,AM$1)</f>
        <v>0</v>
      </c>
      <c r="AO65" s="61">
        <f>VLOOKUP($C65,'Table S3 Literature Values'!$A$10:$AV$10000,AO$1,FALSE)</f>
        <v>0</v>
      </c>
      <c r="AP65" s="61">
        <f>INDEX('Table S3 Literature Values'!$A$10:$AV$10000,MATCH($C65,'Table S3 Literature Values'!$A$10:$A$10000,0)+1,AP$1)</f>
        <v>0</v>
      </c>
      <c r="AQ65" s="63">
        <f>INDEX('Table S3 Literature Values'!$A$10:$AV$10000,MATCH($C65,'Table S3 Literature Values'!$A$10:$A$10000,0)+2,AP$1)</f>
        <v>0</v>
      </c>
      <c r="AR65" s="61">
        <f>VLOOKUP($C65,'Table S3 Literature Values'!$A$10:$AV$10000,AR$1,FALSE)</f>
        <v>1.2464743640902618</v>
      </c>
      <c r="AS65" s="61">
        <f>INDEX('Table S3 Literature Values'!$A$10:$AV$10000,MATCH($C65,'Table S3 Literature Values'!$A$10:$A$10000,0)+1,AS$1)</f>
        <v>1</v>
      </c>
      <c r="AT65" s="63">
        <f>INDEX('Table S3 Literature Values'!$A$10:$AV$10000,MATCH($C65,'Table S3 Literature Values'!$A$10:$A$10000,0)+2,AS$1)</f>
        <v>0</v>
      </c>
    </row>
    <row r="66" spans="1:46">
      <c r="A66" t="str">
        <f>'Table S2 Compound Identifiers'!C71</f>
        <v>Phthalate</v>
      </c>
      <c r="B66">
        <f>COUNTIF($C$3:C66,"&lt;&gt;"&amp;"")</f>
        <v>64</v>
      </c>
      <c r="C66" t="str">
        <f>IF('Table S2 Compound Identifiers'!B71="","",'Table S2 Compound Identifiers'!B71)</f>
        <v>DEHP</v>
      </c>
      <c r="D66" t="str">
        <f>'Table S2 Compound Identifiers'!D71</f>
        <v>117-81-7</v>
      </c>
      <c r="E66" s="501">
        <f>VLOOKUP(C66,'Table S3 Literature Values'!$A$10:$AV$10000,E$1,FALSE)</f>
        <v>4.4625575442630749</v>
      </c>
      <c r="F66" s="61">
        <f>INDEX('Table S3 Literature Values'!$A$10:$AV$10000,MATCH(C66,'Table S3 Literature Values'!$A$10:$A$10000,0)+1,F$1)</f>
        <v>7</v>
      </c>
      <c r="G66" s="63">
        <f>INDEX('Table S3 Literature Values'!$A$10:$AV$10000,MATCH($C66,'Table S3 Literature Values'!$A$10:$A$10000,0)+2,F$1)</f>
        <v>0</v>
      </c>
      <c r="H66" s="61">
        <f>VLOOKUP($C66,'Table S3 Literature Values'!$A$10:$AV$10000,H$1,FALSE)</f>
        <v>0</v>
      </c>
      <c r="I66" s="61">
        <f>INDEX('Table S3 Literature Values'!$A$10:$AV$10000,MATCH($C66,'Table S3 Literature Values'!$A$10:$A$10000,0)+1,I$1)</f>
        <v>0</v>
      </c>
      <c r="J66" s="63">
        <f>INDEX('Table S3 Literature Values'!$A$10:$AV$10000,MATCH($C66,'Table S3 Literature Values'!$A$10:$A$10000,0)+2,I$1)</f>
        <v>0</v>
      </c>
      <c r="K66" s="61">
        <f>VLOOKUP($C66,'Table S3 Literature Values'!$A$10:$AV$10000,K$1,FALSE)</f>
        <v>0</v>
      </c>
      <c r="L66" s="61">
        <f>INDEX('Table S3 Literature Values'!$A$10:$AV$10000,MATCH($C66,'Table S3 Literature Values'!$A$10:$A$10000,0)+1,L$1)</f>
        <v>0</v>
      </c>
      <c r="M66" s="63">
        <f>INDEX('Table S3 Literature Values'!$A$10:$AV$10000,MATCH($C66,'Table S3 Literature Values'!$A$10:$A$10000,0)+2,L$1)</f>
        <v>0</v>
      </c>
      <c r="N66" s="61">
        <f>VLOOKUP($C66,'Table S3 Literature Values'!$A$10:$AV$10000,N$1,FALSE)</f>
        <v>5.4003343808469122</v>
      </c>
      <c r="O66" s="61">
        <f>INDEX('Table S3 Literature Values'!$A$10:$AV$10000,MATCH($C66,'Table S3 Literature Values'!$A$10:$A$10000,0)+1,O$1)</f>
        <v>1</v>
      </c>
      <c r="P66" s="63">
        <f>INDEX('Table S3 Literature Values'!$A$10:$AV$10000,MATCH($C66,'Table S3 Literature Values'!$A$10:$A$10000,0)+2,O$1)</f>
        <v>0</v>
      </c>
      <c r="Q66" s="61">
        <f>VLOOKUP($C66,'Table S3 Literature Values'!$A$10:$AV$10000,Q$1,FALSE)</f>
        <v>0</v>
      </c>
      <c r="R66" s="61">
        <f>INDEX('Table S3 Literature Values'!$A$10:$AV$10000,MATCH($C66,'Table S3 Literature Values'!$A$10:$A$10000,0)+1,R$1)</f>
        <v>0</v>
      </c>
      <c r="S66" s="63">
        <f>INDEX('Table S3 Literature Values'!$A$10:$AV$10000,MATCH($C66,'Table S3 Literature Values'!$A$10:$A$10000,0)+2,R$1)</f>
        <v>0</v>
      </c>
      <c r="T66" s="61">
        <f>VLOOKUP($C66,'Table S3 Literature Values'!$A$10:$AV$10000,T$1,FALSE)</f>
        <v>0</v>
      </c>
      <c r="U66" s="61">
        <f>INDEX('Table S3 Literature Values'!$A$10:$AV$10000,MATCH($C66,'Table S3 Literature Values'!$A$10:$A$10000,0)+1,U$1)</f>
        <v>0</v>
      </c>
      <c r="V66" s="63">
        <f>INDEX('Table S3 Literature Values'!$A$10:$AV$10000,MATCH($C66,'Table S3 Literature Values'!$A$10:$A$10000,0)+2,U$1)</f>
        <v>0</v>
      </c>
      <c r="W66" s="61">
        <f>VLOOKUP($C66,'Table S3 Literature Values'!$A$10:$AV$10000,W$1,FALSE)</f>
        <v>0.26983713356784012</v>
      </c>
      <c r="X66" s="61">
        <f>INDEX('Table S3 Literature Values'!$A$10:$AV$10000,MATCH($C66,'Table S3 Literature Values'!$A$10:$A$10000,0)+1,X$1)</f>
        <v>1</v>
      </c>
      <c r="Y66" s="63">
        <f>INDEX('Table S3 Literature Values'!$A$10:$AV$10000,MATCH($C66,'Table S3 Literature Values'!$A$10:$A$10000,0)+2,X$1)</f>
        <v>0</v>
      </c>
      <c r="Z66" s="61">
        <f>VLOOKUP($C66,'Table S3 Literature Values'!$A$10:$AV$10000,Z$1,FALSE)</f>
        <v>0.35617946252389365</v>
      </c>
      <c r="AA66" s="61">
        <f>INDEX('Table S3 Literature Values'!$A$10:$AV$10000,MATCH($C66,'Table S3 Literature Values'!$A$10:$A$10000,0)+1,AA$1)</f>
        <v>7</v>
      </c>
      <c r="AB66" s="63">
        <f>INDEX('Table S3 Literature Values'!$A$10:$AV$10000,MATCH($C66,'Table S3 Literature Values'!$A$10:$A$10000,0)+2,AA$1)</f>
        <v>0</v>
      </c>
      <c r="AC66" s="61">
        <f>VLOOKUP($C66,'Table S3 Literature Values'!$A$10:$AV$10000,AC$1,FALSE)</f>
        <v>0</v>
      </c>
      <c r="AD66" s="61">
        <f>INDEX('Table S3 Literature Values'!$A$10:$AV$10000,MATCH($C66,'Table S3 Literature Values'!$A$10:$A$10000,0)+1,AD$1)</f>
        <v>0</v>
      </c>
      <c r="AE66" s="63">
        <f>INDEX('Table S3 Literature Values'!$A$10:$AV$10000,MATCH($C66,'Table S3 Literature Values'!$A$10:$A$10000,0)+2,AD$1)</f>
        <v>0</v>
      </c>
      <c r="AF66" s="61" t="e">
        <f ca="1">VLOOKUP($C66,'Table S3 Literature Values'!$A$10:$AV$10000,AF$1,FALSE)</f>
        <v>#N/A</v>
      </c>
      <c r="AG66" s="61">
        <f ca="1">INDEX('Table S3 Literature Values'!$A$10:$AV$10000,MATCH($C66,'Table S3 Literature Values'!$A$10:$A$10000,0)+1,AG$1)</f>
        <v>7</v>
      </c>
      <c r="AH66" s="63">
        <f>INDEX('Table S3 Literature Values'!$A$10:$AV$10000,MATCH($C66,'Table S3 Literature Values'!$A$10:$A$10000,0)+2,AG$1)</f>
        <v>0</v>
      </c>
      <c r="AI66" s="61" t="e">
        <f ca="1">VLOOKUP($C66,'Table S3 Literature Values'!$A$10:$AV$10000,AI$1,FALSE)</f>
        <v>#N/A</v>
      </c>
      <c r="AJ66" s="61">
        <f ca="1">INDEX('Table S3 Literature Values'!$A$10:$AV$10000,MATCH($C66,'Table S3 Literature Values'!$A$10:$A$10000,0)+1,AJ$1)</f>
        <v>2</v>
      </c>
      <c r="AK66" s="63">
        <f>INDEX('Table S3 Literature Values'!$A$10:$AV$10000,MATCH($C66,'Table S3 Literature Values'!$A$10:$A$10000,0)+2,AJ$1)</f>
        <v>0</v>
      </c>
      <c r="AL66" s="61">
        <f>VLOOKUP($C66,'Table S3 Literature Values'!$A$10:$AV$10000,AL$1,FALSE)</f>
        <v>0</v>
      </c>
      <c r="AM66" s="61">
        <f>INDEX('Table S3 Literature Values'!$A$10:$AV$10000,MATCH($C66,'Table S3 Literature Values'!$A$10:$A$10000,0)+1,AM$1)</f>
        <v>0</v>
      </c>
      <c r="AN66" s="63">
        <f>INDEX('Table S3 Literature Values'!$A$10:$AV$10000,MATCH($C66,'Table S3 Literature Values'!$A$10:$A$10000,0)+2,AM$1)</f>
        <v>0</v>
      </c>
      <c r="AO66" s="61">
        <f>VLOOKUP($C66,'Table S3 Literature Values'!$A$10:$AV$10000,AO$1,FALSE)</f>
        <v>0</v>
      </c>
      <c r="AP66" s="61">
        <f>INDEX('Table S3 Literature Values'!$A$10:$AV$10000,MATCH($C66,'Table S3 Literature Values'!$A$10:$A$10000,0)+1,AP$1)</f>
        <v>0</v>
      </c>
      <c r="AQ66" s="63">
        <f>INDEX('Table S3 Literature Values'!$A$10:$AV$10000,MATCH($C66,'Table S3 Literature Values'!$A$10:$A$10000,0)+2,AP$1)</f>
        <v>0</v>
      </c>
      <c r="AR66" s="61">
        <f>VLOOKUP($C66,'Table S3 Literature Values'!$A$10:$AV$10000,AR$1,FALSE)</f>
        <v>2.7386127875258306</v>
      </c>
      <c r="AS66" s="61">
        <f>INDEX('Table S3 Literature Values'!$A$10:$AV$10000,MATCH($C66,'Table S3 Literature Values'!$A$10:$A$10000,0)+1,AS$1)</f>
        <v>5</v>
      </c>
      <c r="AT66" s="63">
        <f>INDEX('Table S3 Literature Values'!$A$10:$AV$10000,MATCH($C66,'Table S3 Literature Values'!$A$10:$A$10000,0)+2,AS$1)</f>
        <v>0</v>
      </c>
    </row>
    <row r="67" spans="1:46">
      <c r="A67" t="str">
        <f>'Table S2 Compound Identifiers'!C72</f>
        <v>Phthalate</v>
      </c>
      <c r="B67">
        <f>COUNTIF($C$3:C67,"&lt;&gt;"&amp;"")</f>
        <v>65</v>
      </c>
      <c r="C67" t="str">
        <f>IF('Table S2 Compound Identifiers'!B72="","",'Table S2 Compound Identifiers'!B72)</f>
        <v>DnOP</v>
      </c>
      <c r="D67" t="str">
        <f>'Table S2 Compound Identifiers'!D72</f>
        <v>117-84-0</v>
      </c>
      <c r="E67" s="501">
        <f>VLOOKUP(C67,'Table S3 Literature Values'!$A$10:$AV$10000,E$1,FALSE)</f>
        <v>8.7652894441655516</v>
      </c>
      <c r="F67" s="61">
        <f>INDEX('Table S3 Literature Values'!$A$10:$AV$10000,MATCH(C67,'Table S3 Literature Values'!$A$10:$A$10000,0)+1,F$1)</f>
        <v>4</v>
      </c>
      <c r="G67" s="63">
        <f>INDEX('Table S3 Literature Values'!$A$10:$AV$10000,MATCH($C67,'Table S3 Literature Values'!$A$10:$A$10000,0)+2,F$1)</f>
        <v>0</v>
      </c>
      <c r="H67" s="61">
        <f>VLOOKUP($C67,'Table S3 Literature Values'!$A$10:$AV$10000,H$1,FALSE)</f>
        <v>0</v>
      </c>
      <c r="I67" s="61">
        <f>INDEX('Table S3 Literature Values'!$A$10:$AV$10000,MATCH($C67,'Table S3 Literature Values'!$A$10:$A$10000,0)+1,I$1)</f>
        <v>0</v>
      </c>
      <c r="J67" s="63">
        <f>INDEX('Table S3 Literature Values'!$A$10:$AV$10000,MATCH($C67,'Table S3 Literature Values'!$A$10:$A$10000,0)+2,I$1)</f>
        <v>0</v>
      </c>
      <c r="K67" s="61">
        <f>VLOOKUP($C67,'Table S3 Literature Values'!$A$10:$AV$10000,K$1,FALSE)</f>
        <v>0</v>
      </c>
      <c r="L67" s="61">
        <f>INDEX('Table S3 Literature Values'!$A$10:$AV$10000,MATCH($C67,'Table S3 Literature Values'!$A$10:$A$10000,0)+1,L$1)</f>
        <v>0</v>
      </c>
      <c r="M67" s="63">
        <f>INDEX('Table S3 Literature Values'!$A$10:$AV$10000,MATCH($C67,'Table S3 Literature Values'!$A$10:$A$10000,0)+2,L$1)</f>
        <v>0</v>
      </c>
      <c r="N67" s="61">
        <f>VLOOKUP($C67,'Table S3 Literature Values'!$A$10:$AV$10000,N$1,FALSE)</f>
        <v>5.8696767465642949</v>
      </c>
      <c r="O67" s="61">
        <f>INDEX('Table S3 Literature Values'!$A$10:$AV$10000,MATCH($C67,'Table S3 Literature Values'!$A$10:$A$10000,0)+1,O$1)</f>
        <v>1</v>
      </c>
      <c r="P67" s="63">
        <f>INDEX('Table S3 Literature Values'!$A$10:$AV$10000,MATCH($C67,'Table S3 Literature Values'!$A$10:$A$10000,0)+2,O$1)</f>
        <v>0</v>
      </c>
      <c r="Q67" s="61">
        <f>VLOOKUP($C67,'Table S3 Literature Values'!$A$10:$AV$10000,Q$1,FALSE)</f>
        <v>0</v>
      </c>
      <c r="R67" s="61">
        <f>INDEX('Table S3 Literature Values'!$A$10:$AV$10000,MATCH($C67,'Table S3 Literature Values'!$A$10:$A$10000,0)+1,R$1)</f>
        <v>0</v>
      </c>
      <c r="S67" s="63">
        <f>INDEX('Table S3 Literature Values'!$A$10:$AV$10000,MATCH($C67,'Table S3 Literature Values'!$A$10:$A$10000,0)+2,R$1)</f>
        <v>0</v>
      </c>
      <c r="T67" s="61">
        <f>VLOOKUP($C67,'Table S3 Literature Values'!$A$10:$AV$10000,T$1,FALSE)</f>
        <v>0</v>
      </c>
      <c r="U67" s="61">
        <f>INDEX('Table S3 Literature Values'!$A$10:$AV$10000,MATCH($C67,'Table S3 Literature Values'!$A$10:$A$10000,0)+1,U$1)</f>
        <v>0</v>
      </c>
      <c r="V67" s="63">
        <f>INDEX('Table S3 Literature Values'!$A$10:$AV$10000,MATCH($C67,'Table S3 Literature Values'!$A$10:$A$10000,0)+2,U$1)</f>
        <v>0</v>
      </c>
      <c r="W67" s="61">
        <f>VLOOKUP($C67,'Table S3 Literature Values'!$A$10:$AV$10000,W$1,FALSE)</f>
        <v>0.28786060622981419</v>
      </c>
      <c r="X67" s="61">
        <f>INDEX('Table S3 Literature Values'!$A$10:$AV$10000,MATCH($C67,'Table S3 Literature Values'!$A$10:$A$10000,0)+1,X$1)</f>
        <v>1</v>
      </c>
      <c r="Y67" s="63">
        <f>INDEX('Table S3 Literature Values'!$A$10:$AV$10000,MATCH($C67,'Table S3 Literature Values'!$A$10:$A$10000,0)+2,X$1)</f>
        <v>0</v>
      </c>
      <c r="Z67" s="61">
        <f>VLOOKUP($C67,'Table S3 Literature Values'!$A$10:$AV$10000,Z$1,FALSE)</f>
        <v>5.5075705472860809E-2</v>
      </c>
      <c r="AA67" s="61">
        <f>INDEX('Table S3 Literature Values'!$A$10:$AV$10000,MATCH($C67,'Table S3 Literature Values'!$A$10:$A$10000,0)+1,AA$1)</f>
        <v>4</v>
      </c>
      <c r="AB67" s="63">
        <f>INDEX('Table S3 Literature Values'!$A$10:$AV$10000,MATCH($C67,'Table S3 Literature Values'!$A$10:$A$10000,0)+2,AA$1)</f>
        <v>0</v>
      </c>
      <c r="AC67" s="61">
        <f>VLOOKUP($C67,'Table S3 Literature Values'!$A$10:$AV$10000,AC$1,FALSE)</f>
        <v>0</v>
      </c>
      <c r="AD67" s="61">
        <f>INDEX('Table S3 Literature Values'!$A$10:$AV$10000,MATCH($C67,'Table S3 Literature Values'!$A$10:$A$10000,0)+1,AD$1)</f>
        <v>0</v>
      </c>
      <c r="AE67" s="63">
        <f>INDEX('Table S3 Literature Values'!$A$10:$AV$10000,MATCH($C67,'Table S3 Literature Values'!$A$10:$A$10000,0)+2,AD$1)</f>
        <v>0</v>
      </c>
      <c r="AF67" s="61" t="e">
        <f ca="1">VLOOKUP($C67,'Table S3 Literature Values'!$A$10:$AV$10000,AF$1,FALSE)</f>
        <v>#N/A</v>
      </c>
      <c r="AG67" s="61">
        <f ca="1">INDEX('Table S3 Literature Values'!$A$10:$AV$10000,MATCH($C67,'Table S3 Literature Values'!$A$10:$A$10000,0)+1,AG$1)</f>
        <v>3</v>
      </c>
      <c r="AH67" s="63">
        <f>INDEX('Table S3 Literature Values'!$A$10:$AV$10000,MATCH($C67,'Table S3 Literature Values'!$A$10:$A$10000,0)+2,AG$1)</f>
        <v>0</v>
      </c>
      <c r="AI67" s="61" t="e">
        <f ca="1">VLOOKUP($C67,'Table S3 Literature Values'!$A$10:$AV$10000,AI$1,FALSE)</f>
        <v>#N/A</v>
      </c>
      <c r="AJ67" s="61">
        <f ca="1">INDEX('Table S3 Literature Values'!$A$10:$AV$10000,MATCH($C67,'Table S3 Literature Values'!$A$10:$A$10000,0)+1,AJ$1)</f>
        <v>3</v>
      </c>
      <c r="AK67" s="63">
        <f>INDEX('Table S3 Literature Values'!$A$10:$AV$10000,MATCH($C67,'Table S3 Literature Values'!$A$10:$A$10000,0)+2,AJ$1)</f>
        <v>0</v>
      </c>
      <c r="AL67" s="61">
        <f>VLOOKUP($C67,'Table S3 Literature Values'!$A$10:$AV$10000,AL$1,FALSE)</f>
        <v>0</v>
      </c>
      <c r="AM67" s="61">
        <f>INDEX('Table S3 Literature Values'!$A$10:$AV$10000,MATCH($C67,'Table S3 Literature Values'!$A$10:$A$10000,0)+1,AM$1)</f>
        <v>0</v>
      </c>
      <c r="AN67" s="63">
        <f>INDEX('Table S3 Literature Values'!$A$10:$AV$10000,MATCH($C67,'Table S3 Literature Values'!$A$10:$A$10000,0)+2,AM$1)</f>
        <v>0</v>
      </c>
      <c r="AO67" s="61">
        <f>VLOOKUP($C67,'Table S3 Literature Values'!$A$10:$AV$10000,AO$1,FALSE)</f>
        <v>0</v>
      </c>
      <c r="AP67" s="61">
        <f>INDEX('Table S3 Literature Values'!$A$10:$AV$10000,MATCH($C67,'Table S3 Literature Values'!$A$10:$A$10000,0)+1,AP$1)</f>
        <v>0</v>
      </c>
      <c r="AQ67" s="63">
        <f>INDEX('Table S3 Literature Values'!$A$10:$AV$10000,MATCH($C67,'Table S3 Literature Values'!$A$10:$A$10000,0)+2,AP$1)</f>
        <v>0</v>
      </c>
      <c r="AR67" s="61">
        <f>VLOOKUP($C67,'Table S3 Literature Values'!$A$10:$AV$10000,AR$1,FALSE)</f>
        <v>0</v>
      </c>
      <c r="AS67" s="61">
        <f>INDEX('Table S3 Literature Values'!$A$10:$AV$10000,MATCH($C67,'Table S3 Literature Values'!$A$10:$A$10000,0)+1,AS$1)</f>
        <v>4</v>
      </c>
      <c r="AT67" s="63">
        <f>INDEX('Table S3 Literature Values'!$A$10:$AV$10000,MATCH($C67,'Table S3 Literature Values'!$A$10:$A$10000,0)+2,AS$1)</f>
        <v>0</v>
      </c>
    </row>
    <row r="68" spans="1:46">
      <c r="A68" t="str">
        <f>'Table S2 Compound Identifiers'!C73</f>
        <v>Phthalate</v>
      </c>
      <c r="B68">
        <f>COUNTIF($C$3:C68,"&lt;&gt;"&amp;"")</f>
        <v>66</v>
      </c>
      <c r="C68" t="str">
        <f>IF('Table S2 Compound Identifiers'!B73="","",'Table S2 Compound Identifiers'!B73)</f>
        <v>DiNP</v>
      </c>
      <c r="D68" t="str">
        <f>'Table S2 Compound Identifiers'!D73</f>
        <v>28553-12-0</v>
      </c>
      <c r="E68" s="501">
        <f>VLOOKUP(C68,'Table S3 Literature Values'!$A$10:$AV$10000,E$1,FALSE)</f>
        <v>0</v>
      </c>
      <c r="F68" s="61">
        <f>INDEX('Table S3 Literature Values'!$A$10:$AV$10000,MATCH(C68,'Table S3 Literature Values'!$A$10:$A$10000,0)+1,F$1)</f>
        <v>0</v>
      </c>
      <c r="G68" s="63">
        <f>INDEX('Table S3 Literature Values'!$A$10:$AV$10000,MATCH($C68,'Table S3 Literature Values'!$A$10:$A$10000,0)+2,F$1)</f>
        <v>0</v>
      </c>
      <c r="H68" s="61">
        <f>VLOOKUP($C68,'Table S3 Literature Values'!$A$10:$AV$10000,H$1,FALSE)</f>
        <v>0</v>
      </c>
      <c r="I68" s="61">
        <f>INDEX('Table S3 Literature Values'!$A$10:$AV$10000,MATCH($C68,'Table S3 Literature Values'!$A$10:$A$10000,0)+1,I$1)</f>
        <v>0</v>
      </c>
      <c r="J68" s="63">
        <f>INDEX('Table S3 Literature Values'!$A$10:$AV$10000,MATCH($C68,'Table S3 Literature Values'!$A$10:$A$10000,0)+2,I$1)</f>
        <v>0</v>
      </c>
      <c r="K68" s="61">
        <f>VLOOKUP($C68,'Table S3 Literature Values'!$A$10:$AV$10000,K$1,FALSE)</f>
        <v>0</v>
      </c>
      <c r="L68" s="61">
        <f>INDEX('Table S3 Literature Values'!$A$10:$AV$10000,MATCH($C68,'Table S3 Literature Values'!$A$10:$A$10000,0)+1,L$1)</f>
        <v>0</v>
      </c>
      <c r="M68" s="63">
        <f>INDEX('Table S3 Literature Values'!$A$10:$AV$10000,MATCH($C68,'Table S3 Literature Values'!$A$10:$A$10000,0)+2,L$1)</f>
        <v>0</v>
      </c>
      <c r="N68" s="61">
        <f>VLOOKUP($C68,'Table S3 Literature Values'!$A$10:$AV$10000,N$1,FALSE)</f>
        <v>0</v>
      </c>
      <c r="O68" s="61">
        <f>INDEX('Table S3 Literature Values'!$A$10:$AV$10000,MATCH($C68,'Table S3 Literature Values'!$A$10:$A$10000,0)+1,O$1)</f>
        <v>0</v>
      </c>
      <c r="P68" s="63">
        <f>INDEX('Table S3 Literature Values'!$A$10:$AV$10000,MATCH($C68,'Table S3 Literature Values'!$A$10:$A$10000,0)+2,O$1)</f>
        <v>0</v>
      </c>
      <c r="Q68" s="61">
        <f>VLOOKUP($C68,'Table S3 Literature Values'!$A$10:$AV$10000,Q$1,FALSE)</f>
        <v>0</v>
      </c>
      <c r="R68" s="61">
        <f>INDEX('Table S3 Literature Values'!$A$10:$AV$10000,MATCH($C68,'Table S3 Literature Values'!$A$10:$A$10000,0)+1,R$1)</f>
        <v>0</v>
      </c>
      <c r="S68" s="63">
        <f>INDEX('Table S3 Literature Values'!$A$10:$AV$10000,MATCH($C68,'Table S3 Literature Values'!$A$10:$A$10000,0)+2,R$1)</f>
        <v>0</v>
      </c>
      <c r="T68" s="61">
        <f>VLOOKUP($C68,'Table S3 Literature Values'!$A$10:$AV$10000,T$1,FALSE)</f>
        <v>0</v>
      </c>
      <c r="U68" s="61">
        <f>INDEX('Table S3 Literature Values'!$A$10:$AV$10000,MATCH($C68,'Table S3 Literature Values'!$A$10:$A$10000,0)+1,U$1)</f>
        <v>0</v>
      </c>
      <c r="V68" s="63">
        <f>INDEX('Table S3 Literature Values'!$A$10:$AV$10000,MATCH($C68,'Table S3 Literature Values'!$A$10:$A$10000,0)+2,U$1)</f>
        <v>0</v>
      </c>
      <c r="W68" s="61">
        <f>VLOOKUP($C68,'Table S3 Literature Values'!$A$10:$AV$10000,W$1,FALSE)</f>
        <v>0</v>
      </c>
      <c r="X68" s="61">
        <f>INDEX('Table S3 Literature Values'!$A$10:$AV$10000,MATCH($C68,'Table S3 Literature Values'!$A$10:$A$10000,0)+1,X$1)</f>
        <v>0</v>
      </c>
      <c r="Y68" s="63">
        <f>INDEX('Table S3 Literature Values'!$A$10:$AV$10000,MATCH($C68,'Table S3 Literature Values'!$A$10:$A$10000,0)+2,X$1)</f>
        <v>0</v>
      </c>
      <c r="Z68" s="61" t="e">
        <f ca="1">VLOOKUP($C68,'Table S3 Literature Values'!$A$10:$AV$10000,Z$1,FALSE)</f>
        <v>#N/A</v>
      </c>
      <c r="AA68" s="61">
        <f ca="1">INDEX('Table S3 Literature Values'!$A$10:$AV$10000,MATCH($C68,'Table S3 Literature Values'!$A$10:$A$10000,0)+1,AA$1)</f>
        <v>1</v>
      </c>
      <c r="AB68" s="63">
        <f>INDEX('Table S3 Literature Values'!$A$10:$AV$10000,MATCH($C68,'Table S3 Literature Values'!$A$10:$A$10000,0)+2,AA$1)</f>
        <v>0</v>
      </c>
      <c r="AC68" s="61">
        <f>VLOOKUP($C68,'Table S3 Literature Values'!$A$10:$AV$10000,AC$1,FALSE)</f>
        <v>0</v>
      </c>
      <c r="AD68" s="61">
        <f>INDEX('Table S3 Literature Values'!$A$10:$AV$10000,MATCH($C68,'Table S3 Literature Values'!$A$10:$A$10000,0)+1,AD$1)</f>
        <v>0</v>
      </c>
      <c r="AE68" s="63">
        <f>INDEX('Table S3 Literature Values'!$A$10:$AV$10000,MATCH($C68,'Table S3 Literature Values'!$A$10:$A$10000,0)+2,AD$1)</f>
        <v>0</v>
      </c>
      <c r="AF68" s="61" t="e">
        <f ca="1">VLOOKUP($C68,'Table S3 Literature Values'!$A$10:$AV$10000,AF$1,FALSE)</f>
        <v>#N/A</v>
      </c>
      <c r="AG68" s="61">
        <f ca="1">INDEX('Table S3 Literature Values'!$A$10:$AV$10000,MATCH($C68,'Table S3 Literature Values'!$A$10:$A$10000,0)+1,AG$1)</f>
        <v>6</v>
      </c>
      <c r="AH68" s="63">
        <f>INDEX('Table S3 Literature Values'!$A$10:$AV$10000,MATCH($C68,'Table S3 Literature Values'!$A$10:$A$10000,0)+2,AG$1)</f>
        <v>0</v>
      </c>
      <c r="AI68" s="61" t="e">
        <f ca="1">VLOOKUP($C68,'Table S3 Literature Values'!$A$10:$AV$10000,AI$1,FALSE)</f>
        <v>#N/A</v>
      </c>
      <c r="AJ68" s="61">
        <f ca="1">INDEX('Table S3 Literature Values'!$A$10:$AV$10000,MATCH($C68,'Table S3 Literature Values'!$A$10:$A$10000,0)+1,AJ$1)</f>
        <v>1</v>
      </c>
      <c r="AK68" s="63">
        <f>INDEX('Table S3 Literature Values'!$A$10:$AV$10000,MATCH($C68,'Table S3 Literature Values'!$A$10:$A$10000,0)+2,AJ$1)</f>
        <v>0</v>
      </c>
      <c r="AL68" s="61">
        <f>VLOOKUP($C68,'Table S3 Literature Values'!$A$10:$AV$10000,AL$1,FALSE)</f>
        <v>0</v>
      </c>
      <c r="AM68" s="61">
        <f>INDEX('Table S3 Literature Values'!$A$10:$AV$10000,MATCH($C68,'Table S3 Literature Values'!$A$10:$A$10000,0)+1,AM$1)</f>
        <v>0</v>
      </c>
      <c r="AN68" s="63">
        <f>INDEX('Table S3 Literature Values'!$A$10:$AV$10000,MATCH($C68,'Table S3 Literature Values'!$A$10:$A$10000,0)+2,AM$1)</f>
        <v>0</v>
      </c>
      <c r="AO68" s="61">
        <f>VLOOKUP($C68,'Table S3 Literature Values'!$A$10:$AV$10000,AO$1,FALSE)</f>
        <v>0</v>
      </c>
      <c r="AP68" s="61">
        <f>INDEX('Table S3 Literature Values'!$A$10:$AV$10000,MATCH($C68,'Table S3 Literature Values'!$A$10:$A$10000,0)+1,AP$1)</f>
        <v>0</v>
      </c>
      <c r="AQ68" s="63">
        <f>INDEX('Table S3 Literature Values'!$A$10:$AV$10000,MATCH($C68,'Table S3 Literature Values'!$A$10:$A$10000,0)+2,AP$1)</f>
        <v>0</v>
      </c>
      <c r="AR68" s="61">
        <f>VLOOKUP($C68,'Table S3 Literature Values'!$A$10:$AV$10000,AR$1,FALSE)</f>
        <v>3.5355339059327378</v>
      </c>
      <c r="AS68" s="61">
        <f>INDEX('Table S3 Literature Values'!$A$10:$AV$10000,MATCH($C68,'Table S3 Literature Values'!$A$10:$A$10000,0)+1,AS$1)</f>
        <v>2</v>
      </c>
      <c r="AT68" s="63">
        <f>INDEX('Table S3 Literature Values'!$A$10:$AV$10000,MATCH($C68,'Table S3 Literature Values'!$A$10:$A$10000,0)+2,AS$1)</f>
        <v>0</v>
      </c>
    </row>
    <row r="69" spans="1:46">
      <c r="A69" t="str">
        <f>'Table S2 Compound Identifiers'!C74</f>
        <v>UV Filter</v>
      </c>
      <c r="B69">
        <f>COUNTIF($C$3:C69,"&lt;&gt;"&amp;"")</f>
        <v>67</v>
      </c>
      <c r="C69" t="str">
        <f>IF('Table S2 Compound Identifiers'!B74="","",'Table S2 Compound Identifiers'!B74)</f>
        <v>benzophenone-D10</v>
      </c>
      <c r="D69" t="str">
        <f>'Table S2 Compound Identifiers'!D74</f>
        <v>22583-75-1</v>
      </c>
      <c r="E69" s="501">
        <f>VLOOKUP(C69,'Table S3 Literature Values'!$A$10:$AV$10000,E$1,FALSE)</f>
        <v>77.099999999999994</v>
      </c>
      <c r="F69" s="61">
        <f>INDEX('Table S3 Literature Values'!$A$10:$AV$10000,MATCH(C69,'Table S3 Literature Values'!$A$10:$A$10000,0)+1,F$1)</f>
        <v>5.5021195639597513</v>
      </c>
      <c r="G69" s="63">
        <f>INDEX('Table S3 Literature Values'!$A$10:$AV$10000,MATCH($C69,'Table S3 Literature Values'!$A$10:$A$10000,0)+2,F$1)</f>
        <v>1</v>
      </c>
      <c r="H69" s="61">
        <f>VLOOKUP($C69,'Table S3 Literature Values'!$A$10:$AV$10000,H$1,FALSE)</f>
        <v>0</v>
      </c>
      <c r="I69" s="61">
        <f>INDEX('Table S3 Literature Values'!$A$10:$AV$10000,MATCH($C69,'Table S3 Literature Values'!$A$10:$A$10000,0)+1,I$1)</f>
        <v>0</v>
      </c>
      <c r="J69" s="63">
        <f>INDEX('Table S3 Literature Values'!$A$10:$AV$10000,MATCH($C69,'Table S3 Literature Values'!$A$10:$A$10000,0)+2,I$1)</f>
        <v>0</v>
      </c>
      <c r="K69" s="61">
        <f>VLOOKUP($C69,'Table S3 Literature Values'!$A$10:$AV$10000,K$1,FALSE)</f>
        <v>0</v>
      </c>
      <c r="L69" s="61">
        <f>INDEX('Table S3 Literature Values'!$A$10:$AV$10000,MATCH($C69,'Table S3 Literature Values'!$A$10:$A$10000,0)+1,L$1)</f>
        <v>0</v>
      </c>
      <c r="M69" s="63">
        <f>INDEX('Table S3 Literature Values'!$A$10:$AV$10000,MATCH($C69,'Table S3 Literature Values'!$A$10:$A$10000,0)+2,L$1)</f>
        <v>0</v>
      </c>
      <c r="N69" s="61">
        <f>VLOOKUP($C69,'Table S3 Literature Values'!$A$10:$AV$10000,N$1,FALSE)</f>
        <v>65.7</v>
      </c>
      <c r="O69" s="61">
        <f>INDEX('Table S3 Literature Values'!$A$10:$AV$10000,MATCH($C69,'Table S3 Literature Values'!$A$10:$A$10000,0)+1,O$1)</f>
        <v>4.1626261043644135</v>
      </c>
      <c r="P69" s="63">
        <f>INDEX('Table S3 Literature Values'!$A$10:$AV$10000,MATCH($C69,'Table S3 Literature Values'!$A$10:$A$10000,0)+2,O$1)</f>
        <v>1</v>
      </c>
      <c r="Q69" s="61">
        <f>VLOOKUP($C69,'Table S3 Literature Values'!$A$10:$AV$10000,Q$1,FALSE)</f>
        <v>0</v>
      </c>
      <c r="R69" s="61">
        <f>INDEX('Table S3 Literature Values'!$A$10:$AV$10000,MATCH($C69,'Table S3 Literature Values'!$A$10:$A$10000,0)+1,R$1)</f>
        <v>0</v>
      </c>
      <c r="S69" s="63">
        <f>INDEX('Table S3 Literature Values'!$A$10:$AV$10000,MATCH($C69,'Table S3 Literature Values'!$A$10:$A$10000,0)+2,R$1)</f>
        <v>0</v>
      </c>
      <c r="T69" s="61">
        <f>VLOOKUP($C69,'Table S3 Literature Values'!$A$10:$AV$10000,T$1,FALSE)</f>
        <v>0</v>
      </c>
      <c r="U69" s="61">
        <f>INDEX('Table S3 Literature Values'!$A$10:$AV$10000,MATCH($C69,'Table S3 Literature Values'!$A$10:$A$10000,0)+1,U$1)</f>
        <v>0</v>
      </c>
      <c r="V69" s="63">
        <f>INDEX('Table S3 Literature Values'!$A$10:$AV$10000,MATCH($C69,'Table S3 Literature Values'!$A$10:$A$10000,0)+2,U$1)</f>
        <v>0</v>
      </c>
      <c r="W69" s="61">
        <f>VLOOKUP($C69,'Table S3 Literature Values'!$A$10:$AV$10000,W$1,FALSE)</f>
        <v>7.4756656115367477</v>
      </c>
      <c r="X69" s="61">
        <f>INDEX('Table S3 Literature Values'!$A$10:$AV$10000,MATCH($C69,'Table S3 Literature Values'!$A$10:$A$10000,0)+1,X$1)</f>
        <v>0.19248207825656016</v>
      </c>
      <c r="Y69" s="63">
        <f>INDEX('Table S3 Literature Values'!$A$10:$AV$10000,MATCH($C69,'Table S3 Literature Values'!$A$10:$A$10000,0)+2,X$1)</f>
        <v>1</v>
      </c>
      <c r="Z69" s="61">
        <f>VLOOKUP($C69,'Table S3 Literature Values'!$A$10:$AV$10000,Z$1,FALSE)</f>
        <v>0</v>
      </c>
      <c r="AA69" s="61">
        <f>INDEX('Table S3 Literature Values'!$A$10:$AV$10000,MATCH($C69,'Table S3 Literature Values'!$A$10:$A$10000,0)+1,AA$1)</f>
        <v>0</v>
      </c>
      <c r="AB69" s="63">
        <f>INDEX('Table S3 Literature Values'!$A$10:$AV$10000,MATCH($C69,'Table S3 Literature Values'!$A$10:$A$10000,0)+2,AA$1)</f>
        <v>0</v>
      </c>
      <c r="AC69" s="61">
        <f>VLOOKUP($C69,'Table S3 Literature Values'!$A$10:$AV$10000,AC$1,FALSE)</f>
        <v>0</v>
      </c>
      <c r="AD69" s="61">
        <f>INDEX('Table S3 Literature Values'!$A$10:$AV$10000,MATCH($C69,'Table S3 Literature Values'!$A$10:$A$10000,0)+1,AD$1)</f>
        <v>0</v>
      </c>
      <c r="AE69" s="63">
        <f>INDEX('Table S3 Literature Values'!$A$10:$AV$10000,MATCH($C69,'Table S3 Literature Values'!$A$10:$A$10000,0)+2,AD$1)</f>
        <v>0</v>
      </c>
      <c r="AF69" s="61">
        <f>VLOOKUP($C69,'Table S3 Literature Values'!$A$10:$AV$10000,AF$1,FALSE)</f>
        <v>-0.83534495289423183</v>
      </c>
      <c r="AG69" s="61">
        <f>INDEX('Table S3 Literature Values'!$A$10:$AV$10000,MATCH($C69,'Table S3 Literature Values'!$A$10:$A$10000,0)+1,AG$1)</f>
        <v>0.13253948571337032</v>
      </c>
      <c r="AH69" s="63">
        <f>INDEX('Table S3 Literature Values'!$A$10:$AV$10000,MATCH($C69,'Table S3 Literature Values'!$A$10:$A$10000,0)+2,AG$1)</f>
        <v>1</v>
      </c>
      <c r="AI69" s="61">
        <f>VLOOKUP($C69,'Table S3 Literature Values'!$A$10:$AV$10000,AI$1,FALSE)</f>
        <v>0</v>
      </c>
      <c r="AJ69" s="61">
        <f>INDEX('Table S3 Literature Values'!$A$10:$AV$10000,MATCH($C69,'Table S3 Literature Values'!$A$10:$A$10000,0)+1,AJ$1)</f>
        <v>0</v>
      </c>
      <c r="AK69" s="63">
        <f>INDEX('Table S3 Literature Values'!$A$10:$AV$10000,MATCH($C69,'Table S3 Literature Values'!$A$10:$A$10000,0)+2,AJ$1)</f>
        <v>0</v>
      </c>
      <c r="AL69" s="61">
        <f>VLOOKUP($C69,'Table S3 Literature Values'!$A$10:$AV$10000,AL$1,FALSE)</f>
        <v>0</v>
      </c>
      <c r="AM69" s="61">
        <f>INDEX('Table S3 Literature Values'!$A$10:$AV$10000,MATCH($C69,'Table S3 Literature Values'!$A$10:$A$10000,0)+1,AM$1)</f>
        <v>0</v>
      </c>
      <c r="AN69" s="63">
        <f>INDEX('Table S3 Literature Values'!$A$10:$AV$10000,MATCH($C69,'Table S3 Literature Values'!$A$10:$A$10000,0)+2,AM$1)</f>
        <v>0</v>
      </c>
      <c r="AO69" s="61">
        <f>VLOOKUP($C69,'Table S3 Literature Values'!$A$10:$AV$10000,AO$1,FALSE)</f>
        <v>0</v>
      </c>
      <c r="AP69" s="61">
        <f>INDEX('Table S3 Literature Values'!$A$10:$AV$10000,MATCH($C69,'Table S3 Literature Values'!$A$10:$A$10000,0)+1,AP$1)</f>
        <v>0</v>
      </c>
      <c r="AQ69" s="63">
        <f>INDEX('Table S3 Literature Values'!$A$10:$AV$10000,MATCH($C69,'Table S3 Literature Values'!$A$10:$A$10000,0)+2,AP$1)</f>
        <v>0</v>
      </c>
      <c r="AR69" s="61">
        <f>VLOOKUP($C69,'Table S3 Literature Values'!$A$10:$AV$10000,AR$1,FALSE)</f>
        <v>51.5</v>
      </c>
      <c r="AS69" s="61">
        <f>INDEX('Table S3 Literature Values'!$A$10:$AV$10000,MATCH($C69,'Table S3 Literature Values'!$A$10:$A$10000,0)+1,AS$1)</f>
        <v>2.1213203435596424</v>
      </c>
      <c r="AT69" s="63">
        <f>INDEX('Table S3 Literature Values'!$A$10:$AV$10000,MATCH($C69,'Table S3 Literature Values'!$A$10:$A$10000,0)+2,AS$1)</f>
        <v>1</v>
      </c>
    </row>
    <row r="70" spans="1:46">
      <c r="A70" t="str">
        <f>'Table S2 Compound Identifiers'!C75</f>
        <v>UV Filter</v>
      </c>
      <c r="B70">
        <f>COUNTIF($C$3:C70,"&lt;&gt;"&amp;"")</f>
        <v>68</v>
      </c>
      <c r="C70" t="str">
        <f>IF('Table S2 Compound Identifiers'!B75="","",'Table S2 Compound Identifiers'!B75)</f>
        <v>Oxybenzone</v>
      </c>
      <c r="D70" t="str">
        <f>'Table S2 Compound Identifiers'!D75</f>
        <v>131-57-7</v>
      </c>
      <c r="E70" s="501">
        <f>VLOOKUP(C70,'Table S3 Literature Values'!$A$10:$AV$10000,E$1,FALSE)</f>
        <v>79.976666666666674</v>
      </c>
      <c r="F70" s="61">
        <f>INDEX('Table S3 Literature Values'!$A$10:$AV$10000,MATCH(C70,'Table S3 Literature Values'!$A$10:$A$10000,0)+1,F$1)</f>
        <v>7.7949748770174621</v>
      </c>
      <c r="G70" s="63">
        <f>INDEX('Table S3 Literature Values'!$A$10:$AV$10000,MATCH($C70,'Table S3 Literature Values'!$A$10:$A$10000,0)+2,F$1)</f>
        <v>3</v>
      </c>
      <c r="H70" s="61">
        <f>VLOOKUP($C70,'Table S3 Literature Values'!$A$10:$AV$10000,H$1,FALSE)</f>
        <v>0</v>
      </c>
      <c r="I70" s="61">
        <f>INDEX('Table S3 Literature Values'!$A$10:$AV$10000,MATCH($C70,'Table S3 Literature Values'!$A$10:$A$10000,0)+1,I$1)</f>
        <v>0</v>
      </c>
      <c r="J70" s="63">
        <f>INDEX('Table S3 Literature Values'!$A$10:$AV$10000,MATCH($C70,'Table S3 Literature Values'!$A$10:$A$10000,0)+2,I$1)</f>
        <v>0</v>
      </c>
      <c r="K70" s="61">
        <f>VLOOKUP($C70,'Table S3 Literature Values'!$A$10:$AV$10000,K$1,FALSE)</f>
        <v>0</v>
      </c>
      <c r="L70" s="61">
        <f>INDEX('Table S3 Literature Values'!$A$10:$AV$10000,MATCH($C70,'Table S3 Literature Values'!$A$10:$A$10000,0)+1,L$1)</f>
        <v>0</v>
      </c>
      <c r="M70" s="63">
        <f>INDEX('Table S3 Literature Values'!$A$10:$AV$10000,MATCH($C70,'Table S3 Literature Values'!$A$10:$A$10000,0)+2,L$1)</f>
        <v>0</v>
      </c>
      <c r="N70" s="61">
        <f>VLOOKUP($C70,'Table S3 Literature Values'!$A$10:$AV$10000,N$1,FALSE)</f>
        <v>75.3</v>
      </c>
      <c r="O70" s="61">
        <f>INDEX('Table S3 Literature Values'!$A$10:$AV$10000,MATCH($C70,'Table S3 Literature Values'!$A$10:$A$10000,0)+1,O$1)</f>
        <v>4.7708637086551038</v>
      </c>
      <c r="P70" s="63">
        <f>INDEX('Table S3 Literature Values'!$A$10:$AV$10000,MATCH($C70,'Table S3 Literature Values'!$A$10:$A$10000,0)+2,O$1)</f>
        <v>1</v>
      </c>
      <c r="Q70" s="61">
        <f>VLOOKUP($C70,'Table S3 Literature Values'!$A$10:$AV$10000,Q$1,FALSE)</f>
        <v>0</v>
      </c>
      <c r="R70" s="61">
        <f>INDEX('Table S3 Literature Values'!$A$10:$AV$10000,MATCH($C70,'Table S3 Literature Values'!$A$10:$A$10000,0)+1,R$1)</f>
        <v>0</v>
      </c>
      <c r="S70" s="63">
        <f>INDEX('Table S3 Literature Values'!$A$10:$AV$10000,MATCH($C70,'Table S3 Literature Values'!$A$10:$A$10000,0)+2,R$1)</f>
        <v>0</v>
      </c>
      <c r="T70" s="61">
        <f>VLOOKUP($C70,'Table S3 Literature Values'!$A$10:$AV$10000,T$1,FALSE)</f>
        <v>0</v>
      </c>
      <c r="U70" s="61">
        <f>INDEX('Table S3 Literature Values'!$A$10:$AV$10000,MATCH($C70,'Table S3 Literature Values'!$A$10:$A$10000,0)+1,U$1)</f>
        <v>0</v>
      </c>
      <c r="V70" s="63">
        <f>INDEX('Table S3 Literature Values'!$A$10:$AV$10000,MATCH($C70,'Table S3 Literature Values'!$A$10:$A$10000,0)+2,U$1)</f>
        <v>0</v>
      </c>
      <c r="W70" s="61">
        <f>VLOOKUP($C70,'Table S3 Literature Values'!$A$10:$AV$10000,W$1,FALSE)</f>
        <v>9.062289783061221</v>
      </c>
      <c r="X70" s="61">
        <f>INDEX('Table S3 Literature Values'!$A$10:$AV$10000,MATCH($C70,'Table S3 Literature Values'!$A$10:$A$10000,0)+1,X$1)</f>
        <v>0.23333418879984386</v>
      </c>
      <c r="Y70" s="63">
        <f>INDEX('Table S3 Literature Values'!$A$10:$AV$10000,MATCH($C70,'Table S3 Literature Values'!$A$10:$A$10000,0)+2,X$1)</f>
        <v>1</v>
      </c>
      <c r="Z70" s="61">
        <f>VLOOKUP($C70,'Table S3 Literature Values'!$A$10:$AV$10000,Z$1,FALSE)</f>
        <v>3.4536576318955827</v>
      </c>
      <c r="AA70" s="61">
        <f>INDEX('Table S3 Literature Values'!$A$10:$AV$10000,MATCH($C70,'Table S3 Literature Values'!$A$10:$A$10000,0)+1,AA$1)</f>
        <v>0.12659127947609147</v>
      </c>
      <c r="AB70" s="63">
        <f>INDEX('Table S3 Literature Values'!$A$10:$AV$10000,MATCH($C70,'Table S3 Literature Values'!$A$10:$A$10000,0)+2,AA$1)</f>
        <v>3</v>
      </c>
      <c r="AC70" s="61">
        <f>VLOOKUP($C70,'Table S3 Literature Values'!$A$10:$AV$10000,AC$1,FALSE)</f>
        <v>0</v>
      </c>
      <c r="AD70" s="61">
        <f>INDEX('Table S3 Literature Values'!$A$10:$AV$10000,MATCH($C70,'Table S3 Literature Values'!$A$10:$A$10000,0)+1,AD$1)</f>
        <v>0</v>
      </c>
      <c r="AE70" s="63">
        <f>INDEX('Table S3 Literature Values'!$A$10:$AV$10000,MATCH($C70,'Table S3 Literature Values'!$A$10:$A$10000,0)+2,AD$1)</f>
        <v>0</v>
      </c>
      <c r="AF70" s="61">
        <f>VLOOKUP($C70,'Table S3 Literature Values'!$A$10:$AV$10000,AF$1,FALSE)</f>
        <v>-2.4901757792294523</v>
      </c>
      <c r="AG70" s="61">
        <f>INDEX('Table S3 Literature Values'!$A$10:$AV$10000,MATCH($C70,'Table S3 Literature Values'!$A$10:$A$10000,0)+1,AG$1)</f>
        <v>0.15804862177910686</v>
      </c>
      <c r="AH70" s="63">
        <f>INDEX('Table S3 Literature Values'!$A$10:$AV$10000,MATCH($C70,'Table S3 Literature Values'!$A$10:$A$10000,0)+2,AG$1)</f>
        <v>3</v>
      </c>
      <c r="AI70" s="61">
        <f ca="1">VLOOKUP($C70,'Table S3 Literature Values'!$A$10:$AV$10000,AI$1,FALSE)</f>
        <v>-0.99160050980834902</v>
      </c>
      <c r="AJ70" s="61">
        <f ca="1">INDEX('Table S3 Literature Values'!$A$10:$AV$10000,MATCH($C70,'Table S3 Literature Values'!$A$10:$A$10000,0)+1,AJ$1)</f>
        <v>0.18611663456422731</v>
      </c>
      <c r="AK70" s="63">
        <f ca="1">INDEX('Table S3 Literature Values'!$A$10:$AV$10000,MATCH($C70,'Table S3 Literature Values'!$A$10:$A$10000,0)+2,AJ$1)</f>
        <v>2</v>
      </c>
      <c r="AL70" s="61">
        <f>VLOOKUP($C70,'Table S3 Literature Values'!$A$10:$AV$10000,AL$1,FALSE)</f>
        <v>0</v>
      </c>
      <c r="AM70" s="61">
        <f>INDEX('Table S3 Literature Values'!$A$10:$AV$10000,MATCH($C70,'Table S3 Literature Values'!$A$10:$A$10000,0)+1,AM$1)</f>
        <v>0</v>
      </c>
      <c r="AN70" s="63">
        <f>INDEX('Table S3 Literature Values'!$A$10:$AV$10000,MATCH($C70,'Table S3 Literature Values'!$A$10:$A$10000,0)+2,AM$1)</f>
        <v>0</v>
      </c>
      <c r="AO70" s="61">
        <f>VLOOKUP($C70,'Table S3 Literature Values'!$A$10:$AV$10000,AO$1,FALSE)</f>
        <v>64.656964656964661</v>
      </c>
      <c r="AP70" s="61">
        <f>INDEX('Table S3 Literature Values'!$A$10:$AV$10000,MATCH($C70,'Table S3 Literature Values'!$A$10:$A$10000,0)+1,AP$1)</f>
        <v>5.096237773624499</v>
      </c>
      <c r="AQ70" s="63">
        <f>INDEX('Table S3 Literature Values'!$A$10:$AV$10000,MATCH($C70,'Table S3 Literature Values'!$A$10:$A$10000,0)+2,AP$1)</f>
        <v>1</v>
      </c>
      <c r="AR70" s="61">
        <f>VLOOKUP($C70,'Table S3 Literature Values'!$A$10:$AV$10000,AR$1,FALSE)</f>
        <v>63.741666666666667</v>
      </c>
      <c r="AS70" s="61">
        <f>INDEX('Table S3 Literature Values'!$A$10:$AV$10000,MATCH($C70,'Table S3 Literature Values'!$A$10:$A$10000,0)+1,AS$1)</f>
        <v>0.94995613933837286</v>
      </c>
      <c r="AT70" s="63">
        <f>INDEX('Table S3 Literature Values'!$A$10:$AV$10000,MATCH($C70,'Table S3 Literature Values'!$A$10:$A$10000,0)+2,AS$1)</f>
        <v>6</v>
      </c>
    </row>
    <row r="71" spans="1:46">
      <c r="A71" t="str">
        <f>'Table S2 Compound Identifiers'!C76</f>
        <v>UV Filter</v>
      </c>
      <c r="B71">
        <f>COUNTIF($C$3:C71,"&lt;&gt;"&amp;"")</f>
        <v>69</v>
      </c>
      <c r="C71" t="str">
        <f>IF('Table S2 Compound Identifiers'!B76="","",'Table S2 Compound Identifiers'!B76)</f>
        <v>3-(4-methylbenzilidine) camphor</v>
      </c>
      <c r="D71" t="str">
        <f>'Table S2 Compound Identifiers'!D76</f>
        <v>36861-47-9</v>
      </c>
      <c r="E71" s="501">
        <f>VLOOKUP(C71,'Table S3 Literature Values'!$A$10:$AV$10000,E$1,FALSE)</f>
        <v>65.7</v>
      </c>
      <c r="F71" s="61">
        <f>INDEX('Table S3 Literature Values'!$A$10:$AV$10000,MATCH(C71,'Table S3 Literature Values'!$A$10:$A$10000,0)+1,F$1)</f>
        <v>4.688576593413174</v>
      </c>
      <c r="G71" s="63">
        <f>INDEX('Table S3 Literature Values'!$A$10:$AV$10000,MATCH($C71,'Table S3 Literature Values'!$A$10:$A$10000,0)+2,F$1)</f>
        <v>1</v>
      </c>
      <c r="H71" s="61">
        <f>VLOOKUP($C71,'Table S3 Literature Values'!$A$10:$AV$10000,H$1,FALSE)</f>
        <v>0</v>
      </c>
      <c r="I71" s="61">
        <f>INDEX('Table S3 Literature Values'!$A$10:$AV$10000,MATCH($C71,'Table S3 Literature Values'!$A$10:$A$10000,0)+1,I$1)</f>
        <v>0</v>
      </c>
      <c r="J71" s="63">
        <f>INDEX('Table S3 Literature Values'!$A$10:$AV$10000,MATCH($C71,'Table S3 Literature Values'!$A$10:$A$10000,0)+2,I$1)</f>
        <v>0</v>
      </c>
      <c r="K71" s="61">
        <f>VLOOKUP($C71,'Table S3 Literature Values'!$A$10:$AV$10000,K$1,FALSE)</f>
        <v>0</v>
      </c>
      <c r="L71" s="61">
        <f>INDEX('Table S3 Literature Values'!$A$10:$AV$10000,MATCH($C71,'Table S3 Literature Values'!$A$10:$A$10000,0)+1,L$1)</f>
        <v>0</v>
      </c>
      <c r="M71" s="63">
        <f>INDEX('Table S3 Literature Values'!$A$10:$AV$10000,MATCH($C71,'Table S3 Literature Values'!$A$10:$A$10000,0)+2,L$1)</f>
        <v>0</v>
      </c>
      <c r="N71" s="61">
        <f>VLOOKUP($C71,'Table S3 Literature Values'!$A$10:$AV$10000,N$1,FALSE)</f>
        <v>64.900000000000006</v>
      </c>
      <c r="O71" s="61">
        <f>INDEX('Table S3 Literature Values'!$A$10:$AV$10000,MATCH($C71,'Table S3 Literature Values'!$A$10:$A$10000,0)+1,O$1)</f>
        <v>4.11193963734019</v>
      </c>
      <c r="P71" s="63">
        <f>INDEX('Table S3 Literature Values'!$A$10:$AV$10000,MATCH($C71,'Table S3 Literature Values'!$A$10:$A$10000,0)+2,O$1)</f>
        <v>1</v>
      </c>
      <c r="Q71" s="61">
        <f>VLOOKUP($C71,'Table S3 Literature Values'!$A$10:$AV$10000,Q$1,FALSE)</f>
        <v>0</v>
      </c>
      <c r="R71" s="61">
        <f>INDEX('Table S3 Literature Values'!$A$10:$AV$10000,MATCH($C71,'Table S3 Literature Values'!$A$10:$A$10000,0)+1,R$1)</f>
        <v>0</v>
      </c>
      <c r="S71" s="63">
        <f>INDEX('Table S3 Literature Values'!$A$10:$AV$10000,MATCH($C71,'Table S3 Literature Values'!$A$10:$A$10000,0)+2,R$1)</f>
        <v>0</v>
      </c>
      <c r="T71" s="61">
        <f>VLOOKUP($C71,'Table S3 Literature Values'!$A$10:$AV$10000,T$1,FALSE)</f>
        <v>0</v>
      </c>
      <c r="U71" s="61">
        <f>INDEX('Table S3 Literature Values'!$A$10:$AV$10000,MATCH($C71,'Table S3 Literature Values'!$A$10:$A$10000,0)+1,U$1)</f>
        <v>0</v>
      </c>
      <c r="V71" s="63">
        <f>INDEX('Table S3 Literature Values'!$A$10:$AV$10000,MATCH($C71,'Table S3 Literature Values'!$A$10:$A$10000,0)+2,U$1)</f>
        <v>0</v>
      </c>
      <c r="W71" s="61">
        <f>VLOOKUP($C71,'Table S3 Literature Values'!$A$10:$AV$10000,W$1,FALSE)</f>
        <v>8.5342489113816207</v>
      </c>
      <c r="X71" s="61">
        <f>INDEX('Table S3 Literature Values'!$A$10:$AV$10000,MATCH($C71,'Table S3 Literature Values'!$A$10:$A$10000,0)+1,X$1)</f>
        <v>0.21973828849252638</v>
      </c>
      <c r="Y71" s="63">
        <f>INDEX('Table S3 Literature Values'!$A$10:$AV$10000,MATCH($C71,'Table S3 Literature Values'!$A$10:$A$10000,0)+2,X$1)</f>
        <v>1</v>
      </c>
      <c r="Z71" s="61">
        <f ca="1">VLOOKUP($C71,'Table S3 Literature Values'!$A$10:$AV$10000,Z$1,FALSE)</f>
        <v>5.1021482939458087</v>
      </c>
      <c r="AA71" s="61">
        <f ca="1">INDEX('Table S3 Literature Values'!$A$10:$AV$10000,MATCH($C71,'Table S3 Literature Values'!$A$10:$A$10000,0)+1,AA$1)</f>
        <v>1.5306444881837427</v>
      </c>
      <c r="AB71" s="63">
        <f ca="1">INDEX('Table S3 Literature Values'!$A$10:$AV$10000,MATCH($C71,'Table S3 Literature Values'!$A$10:$A$10000,0)+2,AA$1)</f>
        <v>1</v>
      </c>
      <c r="AC71" s="61">
        <f>VLOOKUP($C71,'Table S3 Literature Values'!$A$10:$AV$10000,AC$1,FALSE)</f>
        <v>0</v>
      </c>
      <c r="AD71" s="61">
        <f>INDEX('Table S3 Literature Values'!$A$10:$AV$10000,MATCH($C71,'Table S3 Literature Values'!$A$10:$A$10000,0)+1,AD$1)</f>
        <v>0</v>
      </c>
      <c r="AE71" s="63">
        <f>INDEX('Table S3 Literature Values'!$A$10:$AV$10000,MATCH($C71,'Table S3 Literature Values'!$A$10:$A$10000,0)+2,AD$1)</f>
        <v>0</v>
      </c>
      <c r="AF71" s="61">
        <f>VLOOKUP($C71,'Table S3 Literature Values'!$A$10:$AV$10000,AF$1,FALSE)</f>
        <v>-2.1437560717924429</v>
      </c>
      <c r="AG71" s="61">
        <f>INDEX('Table S3 Literature Values'!$A$10:$AV$10000,MATCH($C71,'Table S3 Literature Values'!$A$10:$A$10000,0)+1,AG$1)</f>
        <v>0.57534852774613077</v>
      </c>
      <c r="AH71" s="63">
        <f>INDEX('Table S3 Literature Values'!$A$10:$AV$10000,MATCH($C71,'Table S3 Literature Values'!$A$10:$A$10000,0)+2,AG$1)</f>
        <v>2</v>
      </c>
      <c r="AI71" s="61">
        <f ca="1">VLOOKUP($C71,'Table S3 Literature Values'!$A$10:$AV$10000,AI$1,FALSE)</f>
        <v>-1.9385377595649462</v>
      </c>
      <c r="AJ71" s="61">
        <f ca="1">INDEX('Table S3 Literature Values'!$A$10:$AV$10000,MATCH($C71,'Table S3 Literature Values'!$A$10:$A$10000,0)+1,AJ$1)</f>
        <v>0.23970908720513637</v>
      </c>
      <c r="AK71" s="63">
        <f ca="1">INDEX('Table S3 Literature Values'!$A$10:$AV$10000,MATCH($C71,'Table S3 Literature Values'!$A$10:$A$10000,0)+2,AJ$1)</f>
        <v>1</v>
      </c>
      <c r="AL71" s="61">
        <f>VLOOKUP($C71,'Table S3 Literature Values'!$A$10:$AV$10000,AL$1,FALSE)</f>
        <v>0</v>
      </c>
      <c r="AM71" s="61">
        <f>INDEX('Table S3 Literature Values'!$A$10:$AV$10000,MATCH($C71,'Table S3 Literature Values'!$A$10:$A$10000,0)+1,AM$1)</f>
        <v>0</v>
      </c>
      <c r="AN71" s="63">
        <f>INDEX('Table S3 Literature Values'!$A$10:$AV$10000,MATCH($C71,'Table S3 Literature Values'!$A$10:$A$10000,0)+2,AM$1)</f>
        <v>0</v>
      </c>
      <c r="AO71" s="61">
        <f>VLOOKUP($C71,'Table S3 Literature Values'!$A$10:$AV$10000,AO$1,FALSE)</f>
        <v>0</v>
      </c>
      <c r="AP71" s="61">
        <f>INDEX('Table S3 Literature Values'!$A$10:$AV$10000,MATCH($C71,'Table S3 Literature Values'!$A$10:$A$10000,0)+1,AP$1)</f>
        <v>0</v>
      </c>
      <c r="AQ71" s="63">
        <f>INDEX('Table S3 Literature Values'!$A$10:$AV$10000,MATCH($C71,'Table S3 Literature Values'!$A$10:$A$10000,0)+2,AP$1)</f>
        <v>0</v>
      </c>
      <c r="AR71" s="61">
        <f>VLOOKUP($C71,'Table S3 Literature Values'!$A$10:$AV$10000,AR$1,FALSE)</f>
        <v>70.400000000000006</v>
      </c>
      <c r="AS71" s="61">
        <f>INDEX('Table S3 Literature Values'!$A$10:$AV$10000,MATCH($C71,'Table S3 Literature Values'!$A$10:$A$10000,0)+1,AS$1)</f>
        <v>3.2500664900723866</v>
      </c>
      <c r="AT71" s="63">
        <f>INDEX('Table S3 Literature Values'!$A$10:$AV$10000,MATCH($C71,'Table S3 Literature Values'!$A$10:$A$10000,0)+2,AS$1)</f>
        <v>1</v>
      </c>
    </row>
    <row r="72" spans="1:46">
      <c r="A72" t="str">
        <f>'Table S2 Compound Identifiers'!C77</f>
        <v>UV Filter</v>
      </c>
      <c r="B72">
        <f>COUNTIF($C$3:C72,"&lt;&gt;"&amp;"")</f>
        <v>70</v>
      </c>
      <c r="C72" t="str">
        <f>IF('Table S2 Compound Identifiers'!B77="","",'Table S2 Compound Identifiers'!B77)</f>
        <v>Homosolate</v>
      </c>
      <c r="D72" t="str">
        <f>'Table S2 Compound Identifiers'!D77</f>
        <v>‎118-56-9</v>
      </c>
      <c r="E72" s="501">
        <f>VLOOKUP(C72,'Table S3 Literature Values'!$A$10:$AV$10000,E$1,FALSE)</f>
        <v>95.3</v>
      </c>
      <c r="F72" s="61">
        <f>INDEX('Table S3 Literature Values'!$A$10:$AV$10000,MATCH(C72,'Table S3 Literature Values'!$A$10:$A$10000,0)+1,F$1)</f>
        <v>6.8009337800955159</v>
      </c>
      <c r="G72" s="63">
        <f>INDEX('Table S3 Literature Values'!$A$10:$AV$10000,MATCH($C72,'Table S3 Literature Values'!$A$10:$A$10000,0)+2,F$1)</f>
        <v>1</v>
      </c>
      <c r="H72" s="61">
        <f>VLOOKUP($C72,'Table S3 Literature Values'!$A$10:$AV$10000,H$1,FALSE)</f>
        <v>0</v>
      </c>
      <c r="I72" s="61">
        <f>INDEX('Table S3 Literature Values'!$A$10:$AV$10000,MATCH($C72,'Table S3 Literature Values'!$A$10:$A$10000,0)+1,I$1)</f>
        <v>0</v>
      </c>
      <c r="J72" s="63">
        <f>INDEX('Table S3 Literature Values'!$A$10:$AV$10000,MATCH($C72,'Table S3 Literature Values'!$A$10:$A$10000,0)+2,I$1)</f>
        <v>0</v>
      </c>
      <c r="K72" s="61">
        <f>VLOOKUP($C72,'Table S3 Literature Values'!$A$10:$AV$10000,K$1,FALSE)</f>
        <v>0</v>
      </c>
      <c r="L72" s="61">
        <f>INDEX('Table S3 Literature Values'!$A$10:$AV$10000,MATCH($C72,'Table S3 Literature Values'!$A$10:$A$10000,0)+1,L$1)</f>
        <v>0</v>
      </c>
      <c r="M72" s="63">
        <f>INDEX('Table S3 Literature Values'!$A$10:$AV$10000,MATCH($C72,'Table S3 Literature Values'!$A$10:$A$10000,0)+2,L$1)</f>
        <v>0</v>
      </c>
      <c r="N72" s="61">
        <f>VLOOKUP($C72,'Table S3 Literature Values'!$A$10:$AV$10000,N$1,FALSE)</f>
        <v>82.9</v>
      </c>
      <c r="O72" s="61">
        <f>INDEX('Table S3 Literature Values'!$A$10:$AV$10000,MATCH($C72,'Table S3 Literature Values'!$A$10:$A$10000,0)+1,O$1)</f>
        <v>5.2523851453852348</v>
      </c>
      <c r="P72" s="63">
        <f>INDEX('Table S3 Literature Values'!$A$10:$AV$10000,MATCH($C72,'Table S3 Literature Values'!$A$10:$A$10000,0)+2,O$1)</f>
        <v>1</v>
      </c>
      <c r="Q72" s="61">
        <f>VLOOKUP($C72,'Table S3 Literature Values'!$A$10:$AV$10000,Q$1,FALSE)</f>
        <v>0</v>
      </c>
      <c r="R72" s="61">
        <f>INDEX('Table S3 Literature Values'!$A$10:$AV$10000,MATCH($C72,'Table S3 Literature Values'!$A$10:$A$10000,0)+1,R$1)</f>
        <v>0</v>
      </c>
      <c r="S72" s="63">
        <f>INDEX('Table S3 Literature Values'!$A$10:$AV$10000,MATCH($C72,'Table S3 Literature Values'!$A$10:$A$10000,0)+2,R$1)</f>
        <v>0</v>
      </c>
      <c r="T72" s="61">
        <f>VLOOKUP($C72,'Table S3 Literature Values'!$A$10:$AV$10000,T$1,FALSE)</f>
        <v>0</v>
      </c>
      <c r="U72" s="61">
        <f>INDEX('Table S3 Literature Values'!$A$10:$AV$10000,MATCH($C72,'Table S3 Literature Values'!$A$10:$A$10000,0)+1,U$1)</f>
        <v>0</v>
      </c>
      <c r="V72" s="63">
        <f>INDEX('Table S3 Literature Values'!$A$10:$AV$10000,MATCH($C72,'Table S3 Literature Values'!$A$10:$A$10000,0)+2,U$1)</f>
        <v>0</v>
      </c>
      <c r="W72" s="61">
        <f>VLOOKUP($C72,'Table S3 Literature Values'!$A$10:$AV$10000,W$1,FALSE)</f>
        <v>8.4929739722986248</v>
      </c>
      <c r="X72" s="61">
        <f>INDEX('Table S3 Literature Values'!$A$10:$AV$10000,MATCH($C72,'Table S3 Literature Values'!$A$10:$A$10000,0)+1,X$1)</f>
        <v>0.21867554886940208</v>
      </c>
      <c r="Y72" s="63">
        <f>INDEX('Table S3 Literature Values'!$A$10:$AV$10000,MATCH($C72,'Table S3 Literature Values'!$A$10:$A$10000,0)+2,X$1)</f>
        <v>1</v>
      </c>
      <c r="Z72" s="61">
        <f ca="1">VLOOKUP($C72,'Table S3 Literature Values'!$A$10:$AV$10000,Z$1,FALSE)</f>
        <v>6.4226390597038554</v>
      </c>
      <c r="AA72" s="61">
        <f ca="1">INDEX('Table S3 Literature Values'!$A$10:$AV$10000,MATCH($C72,'Table S3 Literature Values'!$A$10:$A$10000,0)+1,AA$1)</f>
        <v>1.2845278119407713</v>
      </c>
      <c r="AB72" s="63">
        <f ca="1">INDEX('Table S3 Literature Values'!$A$10:$AV$10000,MATCH($C72,'Table S3 Literature Values'!$A$10:$A$10000,0)+2,AA$1)</f>
        <v>1</v>
      </c>
      <c r="AC72" s="61">
        <f>VLOOKUP($C72,'Table S3 Literature Values'!$A$10:$AV$10000,AC$1,FALSE)</f>
        <v>0</v>
      </c>
      <c r="AD72" s="61">
        <f>INDEX('Table S3 Literature Values'!$A$10:$AV$10000,MATCH($C72,'Table S3 Literature Values'!$A$10:$A$10000,0)+1,AD$1)</f>
        <v>0</v>
      </c>
      <c r="AE72" s="63">
        <f>INDEX('Table S3 Literature Values'!$A$10:$AV$10000,MATCH($C72,'Table S3 Literature Values'!$A$10:$A$10000,0)+2,AD$1)</f>
        <v>0</v>
      </c>
      <c r="AF72" s="61">
        <f>VLOOKUP($C72,'Table S3 Literature Values'!$A$10:$AV$10000,AF$1,FALSE)</f>
        <v>-1.8907497643218214</v>
      </c>
      <c r="AG72" s="61">
        <f>INDEX('Table S3 Literature Values'!$A$10:$AV$10000,MATCH($C72,'Table S3 Literature Values'!$A$10:$A$10000,0)+1,AG$1)</f>
        <v>9.4527481783361011E-2</v>
      </c>
      <c r="AH72" s="63">
        <f>INDEX('Table S3 Literature Values'!$A$10:$AV$10000,MATCH($C72,'Table S3 Literature Values'!$A$10:$A$10000,0)+2,AG$1)</f>
        <v>2</v>
      </c>
      <c r="AI72" s="61">
        <f>VLOOKUP($C72,'Table S3 Literature Values'!$A$10:$AV$10000,AI$1,FALSE)</f>
        <v>-2.8168194218021276</v>
      </c>
      <c r="AJ72" s="61">
        <f>INDEX('Table S3 Literature Values'!$A$10:$AV$10000,MATCH($C72,'Table S3 Literature Values'!$A$10:$A$10000,0)+1,AJ$1)</f>
        <v>0.34831264394531203</v>
      </c>
      <c r="AK72" s="63">
        <f>INDEX('Table S3 Literature Values'!$A$10:$AV$10000,MATCH($C72,'Table S3 Literature Values'!$A$10:$A$10000,0)+2,AJ$1)</f>
        <v>1</v>
      </c>
      <c r="AL72" s="61">
        <f>VLOOKUP($C72,'Table S3 Literature Values'!$A$10:$AV$10000,AL$1,FALSE)</f>
        <v>0</v>
      </c>
      <c r="AM72" s="61">
        <f>INDEX('Table S3 Literature Values'!$A$10:$AV$10000,MATCH($C72,'Table S3 Literature Values'!$A$10:$A$10000,0)+1,AM$1)</f>
        <v>0</v>
      </c>
      <c r="AN72" s="63">
        <f>INDEX('Table S3 Literature Values'!$A$10:$AV$10000,MATCH($C72,'Table S3 Literature Values'!$A$10:$A$10000,0)+2,AM$1)</f>
        <v>0</v>
      </c>
      <c r="AO72" s="61">
        <f>VLOOKUP($C72,'Table S3 Literature Values'!$A$10:$AV$10000,AO$1,FALSE)</f>
        <v>0</v>
      </c>
      <c r="AP72" s="61">
        <f>INDEX('Table S3 Literature Values'!$A$10:$AV$10000,MATCH($C72,'Table S3 Literature Values'!$A$10:$A$10000,0)+1,AP$1)</f>
        <v>0</v>
      </c>
      <c r="AQ72" s="63">
        <f>INDEX('Table S3 Literature Values'!$A$10:$AV$10000,MATCH($C72,'Table S3 Literature Values'!$A$10:$A$10000,0)+2,AP$1)</f>
        <v>0</v>
      </c>
      <c r="AR72" s="61">
        <f>VLOOKUP($C72,'Table S3 Literature Values'!$A$10:$AV$10000,AR$1,FALSE)</f>
        <v>-20</v>
      </c>
      <c r="AS72" s="61">
        <f>INDEX('Table S3 Literature Values'!$A$10:$AV$10000,MATCH($C72,'Table S3 Literature Values'!$A$10:$A$10000,0)+1,AS$1)</f>
        <v>6</v>
      </c>
      <c r="AT72" s="63">
        <f>INDEX('Table S3 Literature Values'!$A$10:$AV$10000,MATCH($C72,'Table S3 Literature Values'!$A$10:$A$10000,0)+2,AS$1)</f>
        <v>0</v>
      </c>
    </row>
    <row r="73" spans="1:46">
      <c r="A73" t="str">
        <f>'Table S2 Compound Identifiers'!C78</f>
        <v>UV Filter</v>
      </c>
      <c r="B73">
        <f>COUNTIF($C$3:C73,"&lt;&gt;"&amp;"")</f>
        <v>71</v>
      </c>
      <c r="C73" t="str">
        <f>IF('Table S2 Compound Identifiers'!B78="","",'Table S2 Compound Identifiers'!B78)</f>
        <v>Octocrylene</v>
      </c>
      <c r="D73" t="str">
        <f>'Table S2 Compound Identifiers'!D78</f>
        <v>6197-30-4</v>
      </c>
      <c r="E73" s="501">
        <f>VLOOKUP(C73,'Table S3 Literature Values'!$A$10:$AV$10000,E$1,FALSE)</f>
        <v>94.890864162898467</v>
      </c>
      <c r="F73" s="61">
        <f>INDEX('Table S3 Literature Values'!$A$10:$AV$10000,MATCH(C73,'Table S3 Literature Values'!$A$10:$A$10000,0)+1,F$1)</f>
        <v>6.7717364481417759</v>
      </c>
      <c r="G73" s="63">
        <f>INDEX('Table S3 Literature Values'!$A$10:$AV$10000,MATCH($C73,'Table S3 Literature Values'!$A$10:$A$10000,0)+2,F$1)</f>
        <v>1</v>
      </c>
      <c r="H73" s="61">
        <f>VLOOKUP($C73,'Table S3 Literature Values'!$A$10:$AV$10000,H$1,FALSE)</f>
        <v>0</v>
      </c>
      <c r="I73" s="61">
        <f>INDEX('Table S3 Literature Values'!$A$10:$AV$10000,MATCH($C73,'Table S3 Literature Values'!$A$10:$A$10000,0)+1,I$1)</f>
        <v>0</v>
      </c>
      <c r="J73" s="63">
        <f>INDEX('Table S3 Literature Values'!$A$10:$AV$10000,MATCH($C73,'Table S3 Literature Values'!$A$10:$A$10000,0)+2,I$1)</f>
        <v>0</v>
      </c>
      <c r="K73" s="61">
        <f>VLOOKUP($C73,'Table S3 Literature Values'!$A$10:$AV$10000,K$1,FALSE)</f>
        <v>0</v>
      </c>
      <c r="L73" s="61">
        <f>INDEX('Table S3 Literature Values'!$A$10:$AV$10000,MATCH($C73,'Table S3 Literature Values'!$A$10:$A$10000,0)+1,L$1)</f>
        <v>0</v>
      </c>
      <c r="M73" s="63">
        <f>INDEX('Table S3 Literature Values'!$A$10:$AV$10000,MATCH($C73,'Table S3 Literature Values'!$A$10:$A$10000,0)+2,L$1)</f>
        <v>0</v>
      </c>
      <c r="N73" s="61">
        <f>VLOOKUP($C73,'Table S3 Literature Values'!$A$10:$AV$10000,N$1,FALSE)</f>
        <v>0</v>
      </c>
      <c r="O73" s="61">
        <f>INDEX('Table S3 Literature Values'!$A$10:$AV$10000,MATCH($C73,'Table S3 Literature Values'!$A$10:$A$10000,0)+1,O$1)</f>
        <v>0</v>
      </c>
      <c r="P73" s="63">
        <f>INDEX('Table S3 Literature Values'!$A$10:$AV$10000,MATCH($C73,'Table S3 Literature Values'!$A$10:$A$10000,0)+2,O$1)</f>
        <v>0</v>
      </c>
      <c r="Q73" s="61">
        <f>VLOOKUP($C73,'Table S3 Literature Values'!$A$10:$AV$10000,Q$1,FALSE)</f>
        <v>0</v>
      </c>
      <c r="R73" s="61">
        <f>INDEX('Table S3 Literature Values'!$A$10:$AV$10000,MATCH($C73,'Table S3 Literature Values'!$A$10:$A$10000,0)+1,R$1)</f>
        <v>0</v>
      </c>
      <c r="S73" s="63">
        <f>INDEX('Table S3 Literature Values'!$A$10:$AV$10000,MATCH($C73,'Table S3 Literature Values'!$A$10:$A$10000,0)+2,R$1)</f>
        <v>0</v>
      </c>
      <c r="T73" s="61">
        <f>VLOOKUP($C73,'Table S3 Literature Values'!$A$10:$AV$10000,T$1,FALSE)</f>
        <v>0</v>
      </c>
      <c r="U73" s="61">
        <f>INDEX('Table S3 Literature Values'!$A$10:$AV$10000,MATCH($C73,'Table S3 Literature Values'!$A$10:$A$10000,0)+1,U$1)</f>
        <v>0</v>
      </c>
      <c r="V73" s="63">
        <f>INDEX('Table S3 Literature Values'!$A$10:$AV$10000,MATCH($C73,'Table S3 Literature Values'!$A$10:$A$10000,0)+2,U$1)</f>
        <v>0</v>
      </c>
      <c r="W73" s="61">
        <f>VLOOKUP($C73,'Table S3 Literature Values'!$A$10:$AV$10000,W$1,FALSE)</f>
        <v>0</v>
      </c>
      <c r="X73" s="61">
        <f>INDEX('Table S3 Literature Values'!$A$10:$AV$10000,MATCH($C73,'Table S3 Literature Values'!$A$10:$A$10000,0)+1,X$1)</f>
        <v>0</v>
      </c>
      <c r="Y73" s="63">
        <f>INDEX('Table S3 Literature Values'!$A$10:$AV$10000,MATCH($C73,'Table S3 Literature Values'!$A$10:$A$10000,0)+2,X$1)</f>
        <v>0</v>
      </c>
      <c r="Z73" s="61">
        <f ca="1">VLOOKUP($C73,'Table S3 Literature Values'!$A$10:$AV$10000,Z$1,FALSE)</f>
        <v>6.089186783305113</v>
      </c>
      <c r="AA73" s="61">
        <f ca="1">INDEX('Table S3 Literature Values'!$A$10:$AV$10000,MATCH($C73,'Table S3 Literature Values'!$A$10:$A$10000,0)+1,AA$1)</f>
        <v>1.2178373566610228</v>
      </c>
      <c r="AB73" s="63">
        <f ca="1">INDEX('Table S3 Literature Values'!$A$10:$AV$10000,MATCH($C73,'Table S3 Literature Values'!$A$10:$A$10000,0)+2,AA$1)</f>
        <v>1</v>
      </c>
      <c r="AC73" s="61">
        <f>VLOOKUP($C73,'Table S3 Literature Values'!$A$10:$AV$10000,AC$1,FALSE)</f>
        <v>0</v>
      </c>
      <c r="AD73" s="61">
        <f>INDEX('Table S3 Literature Values'!$A$10:$AV$10000,MATCH($C73,'Table S3 Literature Values'!$A$10:$A$10000,0)+1,AD$1)</f>
        <v>0</v>
      </c>
      <c r="AE73" s="63">
        <f>INDEX('Table S3 Literature Values'!$A$10:$AV$10000,MATCH($C73,'Table S3 Literature Values'!$A$10:$A$10000,0)+2,AD$1)</f>
        <v>0</v>
      </c>
      <c r="AF73" s="61">
        <f>VLOOKUP($C73,'Table S3 Literature Values'!$A$10:$AV$10000,AF$1,FALSE)</f>
        <v>-9.755026966610103</v>
      </c>
      <c r="AG73" s="61">
        <f>INDEX('Table S3 Literature Values'!$A$10:$AV$10000,MATCH($C73,'Table S3 Literature Values'!$A$10:$A$10000,0)+1,AG$1)</f>
        <v>1.5477752667265681</v>
      </c>
      <c r="AH73" s="63">
        <f>INDEX('Table S3 Literature Values'!$A$10:$AV$10000,MATCH($C73,'Table S3 Literature Values'!$A$10:$A$10000,0)+2,AG$1)</f>
        <v>1</v>
      </c>
      <c r="AI73" s="61">
        <f ca="1">VLOOKUP($C73,'Table S3 Literature Values'!$A$10:$AV$10000,AI$1,FALSE)</f>
        <v>-4.1239577006727393</v>
      </c>
      <c r="AJ73" s="61">
        <f ca="1">INDEX('Table S3 Literature Values'!$A$10:$AV$10000,MATCH($C73,'Table S3 Literature Values'!$A$10:$A$10000,0)+1,AJ$1)</f>
        <v>0.22861214103520214</v>
      </c>
      <c r="AK73" s="63">
        <f ca="1">INDEX('Table S3 Literature Values'!$A$10:$AV$10000,MATCH($C73,'Table S3 Literature Values'!$A$10:$A$10000,0)+2,AJ$1)</f>
        <v>2</v>
      </c>
      <c r="AL73" s="61">
        <f>VLOOKUP($C73,'Table S3 Literature Values'!$A$10:$AV$10000,AL$1,FALSE)</f>
        <v>0</v>
      </c>
      <c r="AM73" s="61">
        <f>INDEX('Table S3 Literature Values'!$A$10:$AV$10000,MATCH($C73,'Table S3 Literature Values'!$A$10:$A$10000,0)+1,AM$1)</f>
        <v>0</v>
      </c>
      <c r="AN73" s="63">
        <f>INDEX('Table S3 Literature Values'!$A$10:$AV$10000,MATCH($C73,'Table S3 Literature Values'!$A$10:$A$10000,0)+2,AM$1)</f>
        <v>0</v>
      </c>
      <c r="AO73" s="61">
        <f>VLOOKUP($C73,'Table S3 Literature Values'!$A$10:$AV$10000,AO$1,FALSE)</f>
        <v>0</v>
      </c>
      <c r="AP73" s="61">
        <f>INDEX('Table S3 Literature Values'!$A$10:$AV$10000,MATCH($C73,'Table S3 Literature Values'!$A$10:$A$10000,0)+1,AP$1)</f>
        <v>0</v>
      </c>
      <c r="AQ73" s="63">
        <f>INDEX('Table S3 Literature Values'!$A$10:$AV$10000,MATCH($C73,'Table S3 Literature Values'!$A$10:$A$10000,0)+2,AP$1)</f>
        <v>0</v>
      </c>
      <c r="AR73" s="61">
        <f>VLOOKUP($C73,'Table S3 Literature Values'!$A$10:$AV$10000,AR$1,FALSE)</f>
        <v>-9.9</v>
      </c>
      <c r="AS73" s="61">
        <f>INDEX('Table S3 Literature Values'!$A$10:$AV$10000,MATCH($C73,'Table S3 Literature Values'!$A$10:$A$10000,0)+1,AS$1)</f>
        <v>2.97</v>
      </c>
      <c r="AT73" s="63">
        <f>INDEX('Table S3 Literature Values'!$A$10:$AV$10000,MATCH($C73,'Table S3 Literature Values'!$A$10:$A$10000,0)+2,AS$1)</f>
        <v>1</v>
      </c>
    </row>
    <row r="74" spans="1:46">
      <c r="A74" t="str">
        <f>'Table S2 Compound Identifiers'!C79</f>
        <v>UV Filter</v>
      </c>
      <c r="B74">
        <f>COUNTIF($C$3:C74,"&lt;&gt;"&amp;"")</f>
        <v>72</v>
      </c>
      <c r="C74" t="str">
        <f>IF('Table S2 Compound Identifiers'!B79="","",'Table S2 Compound Identifiers'!B79)</f>
        <v>2-ethylhexyl salicylate</v>
      </c>
      <c r="D74" t="str">
        <f>'Table S2 Compound Identifiers'!D79</f>
        <v>118-60-5</v>
      </c>
      <c r="E74" s="501">
        <f>VLOOKUP(C74,'Table S3 Literature Values'!$A$10:$AV$10000,E$1,FALSE)</f>
        <v>95.314065814702502</v>
      </c>
      <c r="F74" s="61">
        <f>INDEX('Table S3 Literature Values'!$A$10:$AV$10000,MATCH(C74,'Table S3 Literature Values'!$A$10:$A$10000,0)+1,F$1)</f>
        <v>6.8019375647162388</v>
      </c>
      <c r="G74" s="63">
        <f>INDEX('Table S3 Literature Values'!$A$10:$AV$10000,MATCH($C74,'Table S3 Literature Values'!$A$10:$A$10000,0)+2,F$1)</f>
        <v>1</v>
      </c>
      <c r="H74" s="61">
        <f>VLOOKUP($C74,'Table S3 Literature Values'!$A$10:$AV$10000,H$1,FALSE)</f>
        <v>0</v>
      </c>
      <c r="I74" s="61">
        <f>INDEX('Table S3 Literature Values'!$A$10:$AV$10000,MATCH($C74,'Table S3 Literature Values'!$A$10:$A$10000,0)+1,I$1)</f>
        <v>0</v>
      </c>
      <c r="J74" s="63">
        <f>INDEX('Table S3 Literature Values'!$A$10:$AV$10000,MATCH($C74,'Table S3 Literature Values'!$A$10:$A$10000,0)+2,I$1)</f>
        <v>0</v>
      </c>
      <c r="K74" s="61">
        <f>VLOOKUP($C74,'Table S3 Literature Values'!$A$10:$AV$10000,K$1,FALSE)</f>
        <v>0</v>
      </c>
      <c r="L74" s="61">
        <f>INDEX('Table S3 Literature Values'!$A$10:$AV$10000,MATCH($C74,'Table S3 Literature Values'!$A$10:$A$10000,0)+1,L$1)</f>
        <v>0</v>
      </c>
      <c r="M74" s="63">
        <f>INDEX('Table S3 Literature Values'!$A$10:$AV$10000,MATCH($C74,'Table S3 Literature Values'!$A$10:$A$10000,0)+2,L$1)</f>
        <v>0</v>
      </c>
      <c r="N74" s="61">
        <f>VLOOKUP($C74,'Table S3 Literature Values'!$A$10:$AV$10000,N$1,FALSE)</f>
        <v>0</v>
      </c>
      <c r="O74" s="61">
        <f>INDEX('Table S3 Literature Values'!$A$10:$AV$10000,MATCH($C74,'Table S3 Literature Values'!$A$10:$A$10000,0)+1,O$1)</f>
        <v>0</v>
      </c>
      <c r="P74" s="63">
        <f>INDEX('Table S3 Literature Values'!$A$10:$AV$10000,MATCH($C74,'Table S3 Literature Values'!$A$10:$A$10000,0)+2,O$1)</f>
        <v>0</v>
      </c>
      <c r="Q74" s="61">
        <f>VLOOKUP($C74,'Table S3 Literature Values'!$A$10:$AV$10000,Q$1,FALSE)</f>
        <v>0</v>
      </c>
      <c r="R74" s="61">
        <f>INDEX('Table S3 Literature Values'!$A$10:$AV$10000,MATCH($C74,'Table S3 Literature Values'!$A$10:$A$10000,0)+1,R$1)</f>
        <v>0</v>
      </c>
      <c r="S74" s="63">
        <f>INDEX('Table S3 Literature Values'!$A$10:$AV$10000,MATCH($C74,'Table S3 Literature Values'!$A$10:$A$10000,0)+2,R$1)</f>
        <v>0</v>
      </c>
      <c r="T74" s="61">
        <f>VLOOKUP($C74,'Table S3 Literature Values'!$A$10:$AV$10000,T$1,FALSE)</f>
        <v>0</v>
      </c>
      <c r="U74" s="61">
        <f>INDEX('Table S3 Literature Values'!$A$10:$AV$10000,MATCH($C74,'Table S3 Literature Values'!$A$10:$A$10000,0)+1,U$1)</f>
        <v>0</v>
      </c>
      <c r="V74" s="63">
        <f>INDEX('Table S3 Literature Values'!$A$10:$AV$10000,MATCH($C74,'Table S3 Literature Values'!$A$10:$A$10000,0)+2,U$1)</f>
        <v>0</v>
      </c>
      <c r="W74" s="61">
        <f>VLOOKUP($C74,'Table S3 Literature Values'!$A$10:$AV$10000,W$1,FALSE)</f>
        <v>0</v>
      </c>
      <c r="X74" s="61">
        <f>INDEX('Table S3 Literature Values'!$A$10:$AV$10000,MATCH($C74,'Table S3 Literature Values'!$A$10:$A$10000,0)+1,X$1)</f>
        <v>0</v>
      </c>
      <c r="Y74" s="63">
        <f>INDEX('Table S3 Literature Values'!$A$10:$AV$10000,MATCH($C74,'Table S3 Literature Values'!$A$10:$A$10000,0)+2,X$1)</f>
        <v>0</v>
      </c>
      <c r="Z74" s="61">
        <f ca="1">VLOOKUP($C74,'Table S3 Literature Values'!$A$10:$AV$10000,Z$1,FALSE)</f>
        <v>6.4362128672865646</v>
      </c>
      <c r="AA74" s="61">
        <f ca="1">INDEX('Table S3 Literature Values'!$A$10:$AV$10000,MATCH($C74,'Table S3 Literature Values'!$A$10:$A$10000,0)+1,AA$1)</f>
        <v>1.9308638601859693</v>
      </c>
      <c r="AB74" s="63">
        <f ca="1">INDEX('Table S3 Literature Values'!$A$10:$AV$10000,MATCH($C74,'Table S3 Literature Values'!$A$10:$A$10000,0)+2,AA$1)</f>
        <v>1</v>
      </c>
      <c r="AC74" s="61">
        <f>VLOOKUP($C74,'Table S3 Literature Values'!$A$10:$AV$10000,AC$1,FALSE)</f>
        <v>0</v>
      </c>
      <c r="AD74" s="61">
        <f>INDEX('Table S3 Literature Values'!$A$10:$AV$10000,MATCH($C74,'Table S3 Literature Values'!$A$10:$A$10000,0)+1,AD$1)</f>
        <v>0</v>
      </c>
      <c r="AE74" s="63">
        <f>INDEX('Table S3 Literature Values'!$A$10:$AV$10000,MATCH($C74,'Table S3 Literature Values'!$A$10:$A$10000,0)+2,AD$1)</f>
        <v>0</v>
      </c>
      <c r="AF74" s="61">
        <f>VLOOKUP($C74,'Table S3 Literature Values'!$A$10:$AV$10000,AF$1,FALSE)</f>
        <v>-1.2839966563652008</v>
      </c>
      <c r="AG74" s="61">
        <f>INDEX('Table S3 Literature Values'!$A$10:$AV$10000,MATCH($C74,'Table S3 Literature Values'!$A$10:$A$10000,0)+1,AG$1)</f>
        <v>0.20372452829541232</v>
      </c>
      <c r="AH74" s="63">
        <f>INDEX('Table S3 Literature Values'!$A$10:$AV$10000,MATCH($C74,'Table S3 Literature Values'!$A$10:$A$10000,0)+2,AG$1)</f>
        <v>1</v>
      </c>
      <c r="AI74" s="61">
        <f ca="1">VLOOKUP($C74,'Table S3 Literature Values'!$A$10:$AV$10000,AI$1,FALSE)</f>
        <v>-2.6450973005369249</v>
      </c>
      <c r="AJ74" s="61">
        <f ca="1">INDEX('Table S3 Literature Values'!$A$10:$AV$10000,MATCH($C74,'Table S3 Literature Values'!$A$10:$A$10000,0)+1,AJ$1)</f>
        <v>0.32707841585854547</v>
      </c>
      <c r="AK74" s="63">
        <f ca="1">INDEX('Table S3 Literature Values'!$A$10:$AV$10000,MATCH($C74,'Table S3 Literature Values'!$A$10:$A$10000,0)+2,AJ$1)</f>
        <v>1</v>
      </c>
      <c r="AL74" s="61">
        <f>VLOOKUP($C74,'Table S3 Literature Values'!$A$10:$AV$10000,AL$1,FALSE)</f>
        <v>0</v>
      </c>
      <c r="AM74" s="61">
        <f>INDEX('Table S3 Literature Values'!$A$10:$AV$10000,MATCH($C74,'Table S3 Literature Values'!$A$10:$A$10000,0)+1,AM$1)</f>
        <v>0</v>
      </c>
      <c r="AN74" s="63">
        <f>INDEX('Table S3 Literature Values'!$A$10:$AV$10000,MATCH($C74,'Table S3 Literature Values'!$A$10:$A$10000,0)+2,AM$1)</f>
        <v>0</v>
      </c>
      <c r="AO74" s="61">
        <f>VLOOKUP($C74,'Table S3 Literature Values'!$A$10:$AV$10000,AO$1,FALSE)</f>
        <v>0</v>
      </c>
      <c r="AP74" s="61">
        <f>INDEX('Table S3 Literature Values'!$A$10:$AV$10000,MATCH($C74,'Table S3 Literature Values'!$A$10:$A$10000,0)+1,AP$1)</f>
        <v>0</v>
      </c>
      <c r="AQ74" s="63">
        <f>INDEX('Table S3 Literature Values'!$A$10:$AV$10000,MATCH($C74,'Table S3 Literature Values'!$A$10:$A$10000,0)+2,AP$1)</f>
        <v>0</v>
      </c>
      <c r="AR74" s="61">
        <f>VLOOKUP($C74,'Table S3 Literature Values'!$A$10:$AV$10000,AR$1,FALSE)</f>
        <v>-20</v>
      </c>
      <c r="AS74" s="61">
        <f>INDEX('Table S3 Literature Values'!$A$10:$AV$10000,MATCH($C74,'Table S3 Literature Values'!$A$10:$A$10000,0)+1,AS$1)</f>
        <v>6</v>
      </c>
      <c r="AT74" s="63">
        <f>INDEX('Table S3 Literature Values'!$A$10:$AV$10000,MATCH($C74,'Table S3 Literature Values'!$A$10:$A$10000,0)+2,AS$1)</f>
        <v>1</v>
      </c>
    </row>
    <row r="75" spans="1:46">
      <c r="A75" t="str">
        <f>'Table S2 Compound Identifiers'!C80</f>
        <v>UV Filter</v>
      </c>
      <c r="B75">
        <f>COUNTIF($C$3:C75,"&lt;&gt;"&amp;"")</f>
        <v>73</v>
      </c>
      <c r="C75" t="str">
        <f>IF('Table S2 Compound Identifiers'!B80="","",'Table S2 Compound Identifiers'!B80)</f>
        <v>Avobenzone</v>
      </c>
      <c r="D75" t="str">
        <f>'Table S2 Compound Identifiers'!D80</f>
        <v>70356-09-1</v>
      </c>
      <c r="E75" s="501">
        <f>VLOOKUP(C75,'Table S3 Literature Values'!$A$10:$AV$10000,E$1,FALSE)</f>
        <v>0</v>
      </c>
      <c r="F75" s="61">
        <f>INDEX('Table S3 Literature Values'!$A$10:$AV$10000,MATCH(C75,'Table S3 Literature Values'!$A$10:$A$10000,0)+1,F$1)</f>
        <v>0</v>
      </c>
      <c r="G75" s="63">
        <f>INDEX('Table S3 Literature Values'!$A$10:$AV$10000,MATCH($C75,'Table S3 Literature Values'!$A$10:$A$10000,0)+2,F$1)</f>
        <v>0</v>
      </c>
      <c r="H75" s="61">
        <f>VLOOKUP($C75,'Table S3 Literature Values'!$A$10:$AV$10000,H$1,FALSE)</f>
        <v>0</v>
      </c>
      <c r="I75" s="61">
        <f>INDEX('Table S3 Literature Values'!$A$10:$AV$10000,MATCH($C75,'Table S3 Literature Values'!$A$10:$A$10000,0)+1,I$1)</f>
        <v>0</v>
      </c>
      <c r="J75" s="63">
        <f>INDEX('Table S3 Literature Values'!$A$10:$AV$10000,MATCH($C75,'Table S3 Literature Values'!$A$10:$A$10000,0)+2,I$1)</f>
        <v>0</v>
      </c>
      <c r="K75" s="61">
        <f>VLOOKUP($C75,'Table S3 Literature Values'!$A$10:$AV$10000,K$1,FALSE)</f>
        <v>0</v>
      </c>
      <c r="L75" s="61">
        <f>INDEX('Table S3 Literature Values'!$A$10:$AV$10000,MATCH($C75,'Table S3 Literature Values'!$A$10:$A$10000,0)+1,L$1)</f>
        <v>0</v>
      </c>
      <c r="M75" s="63">
        <f>INDEX('Table S3 Literature Values'!$A$10:$AV$10000,MATCH($C75,'Table S3 Literature Values'!$A$10:$A$10000,0)+2,L$1)</f>
        <v>0</v>
      </c>
      <c r="N75" s="61">
        <f>VLOOKUP($C75,'Table S3 Literature Values'!$A$10:$AV$10000,N$1,FALSE)</f>
        <v>0</v>
      </c>
      <c r="O75" s="61">
        <f>INDEX('Table S3 Literature Values'!$A$10:$AV$10000,MATCH($C75,'Table S3 Literature Values'!$A$10:$A$10000,0)+1,O$1)</f>
        <v>0</v>
      </c>
      <c r="P75" s="63">
        <f>INDEX('Table S3 Literature Values'!$A$10:$AV$10000,MATCH($C75,'Table S3 Literature Values'!$A$10:$A$10000,0)+2,O$1)</f>
        <v>0</v>
      </c>
      <c r="Q75" s="61">
        <f>VLOOKUP($C75,'Table S3 Literature Values'!$A$10:$AV$10000,Q$1,FALSE)</f>
        <v>0</v>
      </c>
      <c r="R75" s="61">
        <f>INDEX('Table S3 Literature Values'!$A$10:$AV$10000,MATCH($C75,'Table S3 Literature Values'!$A$10:$A$10000,0)+1,R$1)</f>
        <v>0</v>
      </c>
      <c r="S75" s="63">
        <f>INDEX('Table S3 Literature Values'!$A$10:$AV$10000,MATCH($C75,'Table S3 Literature Values'!$A$10:$A$10000,0)+2,R$1)</f>
        <v>0</v>
      </c>
      <c r="T75" s="61">
        <f>VLOOKUP($C75,'Table S3 Literature Values'!$A$10:$AV$10000,T$1,FALSE)</f>
        <v>0</v>
      </c>
      <c r="U75" s="61">
        <f>INDEX('Table S3 Literature Values'!$A$10:$AV$10000,MATCH($C75,'Table S3 Literature Values'!$A$10:$A$10000,0)+1,U$1)</f>
        <v>0</v>
      </c>
      <c r="V75" s="63">
        <f>INDEX('Table S3 Literature Values'!$A$10:$AV$10000,MATCH($C75,'Table S3 Literature Values'!$A$10:$A$10000,0)+2,U$1)</f>
        <v>0</v>
      </c>
      <c r="W75" s="61">
        <f>VLOOKUP($C75,'Table S3 Literature Values'!$A$10:$AV$10000,W$1,FALSE)</f>
        <v>0</v>
      </c>
      <c r="X75" s="61">
        <f>INDEX('Table S3 Literature Values'!$A$10:$AV$10000,MATCH($C75,'Table S3 Literature Values'!$A$10:$A$10000,0)+1,X$1)</f>
        <v>0</v>
      </c>
      <c r="Y75" s="63">
        <f>INDEX('Table S3 Literature Values'!$A$10:$AV$10000,MATCH($C75,'Table S3 Literature Values'!$A$10:$A$10000,0)+2,X$1)</f>
        <v>0</v>
      </c>
      <c r="Z75" s="61">
        <f>VLOOKUP($C75,'Table S3 Literature Values'!$A$10:$AV$10000,Z$1,FALSE)</f>
        <v>0</v>
      </c>
      <c r="AA75" s="61">
        <f>INDEX('Table S3 Literature Values'!$A$10:$AV$10000,MATCH($C75,'Table S3 Literature Values'!$A$10:$A$10000,0)+1,AA$1)</f>
        <v>0</v>
      </c>
      <c r="AB75" s="63">
        <f>INDEX('Table S3 Literature Values'!$A$10:$AV$10000,MATCH($C75,'Table S3 Literature Values'!$A$10:$A$10000,0)+2,AA$1)</f>
        <v>0</v>
      </c>
      <c r="AC75" s="61">
        <f>VLOOKUP($C75,'Table S3 Literature Values'!$A$10:$AV$10000,AC$1,FALSE)</f>
        <v>0</v>
      </c>
      <c r="AD75" s="61">
        <f>INDEX('Table S3 Literature Values'!$A$10:$AV$10000,MATCH($C75,'Table S3 Literature Values'!$A$10:$A$10000,0)+1,AD$1)</f>
        <v>0</v>
      </c>
      <c r="AE75" s="63">
        <f>INDEX('Table S3 Literature Values'!$A$10:$AV$10000,MATCH($C75,'Table S3 Literature Values'!$A$10:$A$10000,0)+2,AD$1)</f>
        <v>0</v>
      </c>
      <c r="AF75" s="61">
        <f>VLOOKUP($C75,'Table S3 Literature Values'!$A$10:$AV$10000,AF$1,FALSE)</f>
        <v>-4.8499999999999996</v>
      </c>
      <c r="AG75" s="61">
        <f>INDEX('Table S3 Literature Values'!$A$10:$AV$10000,MATCH($C75,'Table S3 Literature Values'!$A$10:$A$10000,0)+1,AG$1)</f>
        <v>0.76952222370251988</v>
      </c>
      <c r="AH75" s="63">
        <f>INDEX('Table S3 Literature Values'!$A$10:$AV$10000,MATCH($C75,'Table S3 Literature Values'!$A$10:$A$10000,0)+2,AG$1)</f>
        <v>1</v>
      </c>
      <c r="AI75" s="61">
        <f ca="1">VLOOKUP($C75,'Table S3 Literature Values'!$A$10:$AV$10000,AI$1,FALSE)</f>
        <v>-4.0495573269641527</v>
      </c>
      <c r="AJ75" s="61">
        <f ca="1">INDEX('Table S3 Literature Values'!$A$10:$AV$10000,MATCH($C75,'Table S3 Literature Values'!$A$10:$A$10000,0)+1,AJ$1)</f>
        <v>0.50074634122644102</v>
      </c>
      <c r="AK75" s="63">
        <f ca="1">INDEX('Table S3 Literature Values'!$A$10:$AV$10000,MATCH($C75,'Table S3 Literature Values'!$A$10:$A$10000,0)+2,AJ$1)</f>
        <v>1</v>
      </c>
      <c r="AL75" s="61">
        <f>VLOOKUP($C75,'Table S3 Literature Values'!$A$10:$AV$10000,AL$1,FALSE)</f>
        <v>2.0133316945093855</v>
      </c>
      <c r="AM75" s="61">
        <f>INDEX('Table S3 Literature Values'!$A$10:$AV$10000,MATCH($C75,'Table S3 Literature Values'!$A$10:$A$10000,0)+1,AM$1)</f>
        <v>0.40266633890187714</v>
      </c>
      <c r="AN75" s="63">
        <f>INDEX('Table S3 Literature Values'!$A$10:$AV$10000,MATCH($C75,'Table S3 Literature Values'!$A$10:$A$10000,0)+2,AM$1)</f>
        <v>1</v>
      </c>
      <c r="AO75" s="61">
        <f>VLOOKUP($C75,'Table S3 Literature Values'!$A$10:$AV$10000,AO$1,FALSE)</f>
        <v>0</v>
      </c>
      <c r="AP75" s="61">
        <f>INDEX('Table S3 Literature Values'!$A$10:$AV$10000,MATCH($C75,'Table S3 Literature Values'!$A$10:$A$10000,0)+1,AP$1)</f>
        <v>0</v>
      </c>
      <c r="AQ75" s="63">
        <f>INDEX('Table S3 Literature Values'!$A$10:$AV$10000,MATCH($C75,'Table S3 Literature Values'!$A$10:$A$10000,0)+2,AP$1)</f>
        <v>0</v>
      </c>
      <c r="AR75" s="61">
        <f>VLOOKUP($C75,'Table S3 Literature Values'!$A$10:$AV$10000,AR$1,FALSE)</f>
        <v>39.783333333333331</v>
      </c>
      <c r="AS75" s="61">
        <f>INDEX('Table S3 Literature Values'!$A$10:$AV$10000,MATCH($C75,'Table S3 Literature Values'!$A$10:$A$10000,0)+1,AS$1)</f>
        <v>68.339020088575069</v>
      </c>
      <c r="AT75" s="63">
        <f>INDEX('Table S3 Literature Values'!$A$10:$AV$10000,MATCH($C75,'Table S3 Literature Values'!$A$10:$A$10000,0)+2,AS$1)</f>
        <v>4</v>
      </c>
    </row>
    <row r="76" spans="1:46">
      <c r="A76" t="str">
        <f>'Table S2 Compound Identifiers'!C81</f>
        <v>UV Filter</v>
      </c>
      <c r="B76">
        <f>COUNTIF($C$3:C76,"&lt;&gt;"&amp;"")</f>
        <v>74</v>
      </c>
      <c r="C76" t="str">
        <f>IF('Table S2 Compound Identifiers'!B81="","",'Table S2 Compound Identifiers'!B81)</f>
        <v>Octinoxate</v>
      </c>
      <c r="D76" t="str">
        <f>'Table S2 Compound Identifiers'!D81</f>
        <v>5466-77-3</v>
      </c>
      <c r="E76" s="501">
        <f>VLOOKUP(C76,'Table S3 Literature Values'!$A$10:$AV$10000,E$1,FALSE)</f>
        <v>110.96000000000001</v>
      </c>
      <c r="F76" s="61">
        <f>INDEX('Table S3 Literature Values'!$A$10:$AV$10000,MATCH(C76,'Table S3 Literature Values'!$A$10:$A$10000,0)+1,F$1)</f>
        <v>9.9560634791065876</v>
      </c>
      <c r="G76" s="63">
        <f>INDEX('Table S3 Literature Values'!$A$10:$AV$10000,MATCH($C76,'Table S3 Literature Values'!$A$10:$A$10000,0)+2,F$1)</f>
        <v>2</v>
      </c>
      <c r="H76" s="61">
        <f>VLOOKUP($C76,'Table S3 Literature Values'!$A$10:$AV$10000,H$1,FALSE)</f>
        <v>0</v>
      </c>
      <c r="I76" s="61">
        <f>INDEX('Table S3 Literature Values'!$A$10:$AV$10000,MATCH($C76,'Table S3 Literature Values'!$A$10:$A$10000,0)+1,I$1)</f>
        <v>0</v>
      </c>
      <c r="J76" s="63">
        <f>INDEX('Table S3 Literature Values'!$A$10:$AV$10000,MATCH($C76,'Table S3 Literature Values'!$A$10:$A$10000,0)+2,I$1)</f>
        <v>0</v>
      </c>
      <c r="K76" s="61">
        <f>VLOOKUP($C76,'Table S3 Literature Values'!$A$10:$AV$10000,K$1,FALSE)</f>
        <v>0</v>
      </c>
      <c r="L76" s="61">
        <f>INDEX('Table S3 Literature Values'!$A$10:$AV$10000,MATCH($C76,'Table S3 Literature Values'!$A$10:$A$10000,0)+1,L$1)</f>
        <v>0</v>
      </c>
      <c r="M76" s="63">
        <f>INDEX('Table S3 Literature Values'!$A$10:$AV$10000,MATCH($C76,'Table S3 Literature Values'!$A$10:$A$10000,0)+2,L$1)</f>
        <v>0</v>
      </c>
      <c r="N76" s="61">
        <f>VLOOKUP($C76,'Table S3 Literature Values'!$A$10:$AV$10000,N$1,FALSE)</f>
        <v>101.7366255</v>
      </c>
      <c r="O76" s="61">
        <f>INDEX('Table S3 Literature Values'!$A$10:$AV$10000,MATCH($C76,'Table S3 Literature Values'!$A$10:$A$10000,0)+1,O$1)</f>
        <v>20.17145766310653</v>
      </c>
      <c r="P76" s="63">
        <f>INDEX('Table S3 Literature Values'!$A$10:$AV$10000,MATCH($C76,'Table S3 Literature Values'!$A$10:$A$10000,0)+2,O$1)</f>
        <v>2</v>
      </c>
      <c r="Q76" s="61">
        <f>VLOOKUP($C76,'Table S3 Literature Values'!$A$10:$AV$10000,Q$1,FALSE)</f>
        <v>0</v>
      </c>
      <c r="R76" s="61">
        <f>INDEX('Table S3 Literature Values'!$A$10:$AV$10000,MATCH($C76,'Table S3 Literature Values'!$A$10:$A$10000,0)+1,R$1)</f>
        <v>0</v>
      </c>
      <c r="S76" s="63">
        <f>INDEX('Table S3 Literature Values'!$A$10:$AV$10000,MATCH($C76,'Table S3 Literature Values'!$A$10:$A$10000,0)+2,R$1)</f>
        <v>0</v>
      </c>
      <c r="T76" s="61">
        <f>VLOOKUP($C76,'Table S3 Literature Values'!$A$10:$AV$10000,T$1,FALSE)</f>
        <v>0</v>
      </c>
      <c r="U76" s="61">
        <f>INDEX('Table S3 Literature Values'!$A$10:$AV$10000,MATCH($C76,'Table S3 Literature Values'!$A$10:$A$10000,0)+1,U$1)</f>
        <v>0</v>
      </c>
      <c r="V76" s="63">
        <f>INDEX('Table S3 Literature Values'!$A$10:$AV$10000,MATCH($C76,'Table S3 Literature Values'!$A$10:$A$10000,0)+2,U$1)</f>
        <v>0</v>
      </c>
      <c r="W76" s="61">
        <f>VLOOKUP($C76,'Table S3 Literature Values'!$A$10:$AV$10000,W$1,FALSE)</f>
        <v>10.330951337636964</v>
      </c>
      <c r="X76" s="61">
        <f>INDEX('Table S3 Literature Values'!$A$10:$AV$10000,MATCH($C76,'Table S3 Literature Values'!$A$10:$A$10000,0)+1,X$1)</f>
        <v>1.3307061432192995</v>
      </c>
      <c r="Y76" s="63">
        <f>INDEX('Table S3 Literature Values'!$A$10:$AV$10000,MATCH($C76,'Table S3 Literature Values'!$A$10:$A$10000,0)+2,X$1)</f>
        <v>2</v>
      </c>
      <c r="Z76" s="61">
        <f ca="1">VLOOKUP($C76,'Table S3 Literature Values'!$A$10:$AV$10000,Z$1,FALSE)</f>
        <v>6.0022541387692874</v>
      </c>
      <c r="AA76" s="61">
        <f ca="1">INDEX('Table S3 Literature Values'!$A$10:$AV$10000,MATCH($C76,'Table S3 Literature Values'!$A$10:$A$10000,0)+1,AA$1)</f>
        <v>1.2004508277538575</v>
      </c>
      <c r="AB76" s="63">
        <f ca="1">INDEX('Table S3 Literature Values'!$A$10:$AV$10000,MATCH($C76,'Table S3 Literature Values'!$A$10:$A$10000,0)+2,AA$1)</f>
        <v>1</v>
      </c>
      <c r="AC76" s="61">
        <f>VLOOKUP($C76,'Table S3 Literature Values'!$A$10:$AV$10000,AC$1,FALSE)</f>
        <v>0</v>
      </c>
      <c r="AD76" s="61">
        <f>INDEX('Table S3 Literature Values'!$A$10:$AV$10000,MATCH($C76,'Table S3 Literature Values'!$A$10:$A$10000,0)+1,AD$1)</f>
        <v>0</v>
      </c>
      <c r="AE76" s="63">
        <f>INDEX('Table S3 Literature Values'!$A$10:$AV$10000,MATCH($C76,'Table S3 Literature Values'!$A$10:$A$10000,0)+2,AD$1)</f>
        <v>0</v>
      </c>
      <c r="AF76" s="61">
        <f>VLOOKUP($C76,'Table S3 Literature Values'!$A$10:$AV$10000,AF$1,FALSE)</f>
        <v>-4.0845351391156468</v>
      </c>
      <c r="AG76" s="61">
        <f>INDEX('Table S3 Literature Values'!$A$10:$AV$10000,MATCH($C76,'Table S3 Literature Values'!$A$10:$A$10000,0)+1,AG$1)</f>
        <v>0.98176864457868018</v>
      </c>
      <c r="AH76" s="63">
        <f>INDEX('Table S3 Literature Values'!$A$10:$AV$10000,MATCH($C76,'Table S3 Literature Values'!$A$10:$A$10000,0)+2,AG$1)</f>
        <v>2</v>
      </c>
      <c r="AI76" s="61">
        <f ca="1">VLOOKUP($C76,'Table S3 Literature Values'!$A$10:$AV$10000,AI$1,FALSE)</f>
        <v>-3.3038705028971718</v>
      </c>
      <c r="AJ76" s="61">
        <f ca="1">INDEX('Table S3 Literature Values'!$A$10:$AV$10000,MATCH($C76,'Table S3 Literature Values'!$A$10:$A$10000,0)+1,AJ$1)</f>
        <v>0.76711407451090985</v>
      </c>
      <c r="AK76" s="63">
        <f ca="1">INDEX('Table S3 Literature Values'!$A$10:$AV$10000,MATCH($C76,'Table S3 Literature Values'!$A$10:$A$10000,0)+2,AJ$1)</f>
        <v>2</v>
      </c>
      <c r="AL76" s="61">
        <f>VLOOKUP($C76,'Table S3 Literature Values'!$A$10:$AV$10000,AL$1,FALSE)</f>
        <v>0</v>
      </c>
      <c r="AM76" s="61">
        <f>INDEX('Table S3 Literature Values'!$A$10:$AV$10000,MATCH($C76,'Table S3 Literature Values'!$A$10:$A$10000,0)+1,AM$1)</f>
        <v>0</v>
      </c>
      <c r="AN76" s="63">
        <f>INDEX('Table S3 Literature Values'!$A$10:$AV$10000,MATCH($C76,'Table S3 Literature Values'!$A$10:$A$10000,0)+2,AM$1)</f>
        <v>0</v>
      </c>
      <c r="AO76" s="61">
        <f>VLOOKUP($C76,'Table S3 Literature Values'!$A$10:$AV$10000,AO$1,FALSE)</f>
        <v>0</v>
      </c>
      <c r="AP76" s="61">
        <f>INDEX('Table S3 Literature Values'!$A$10:$AV$10000,MATCH($C76,'Table S3 Literature Values'!$A$10:$A$10000,0)+1,AP$1)</f>
        <v>0</v>
      </c>
      <c r="AQ76" s="63">
        <f>INDEX('Table S3 Literature Values'!$A$10:$AV$10000,MATCH($C76,'Table S3 Literature Values'!$A$10:$A$10000,0)+2,AP$1)</f>
        <v>0</v>
      </c>
      <c r="AR76" s="61">
        <f>VLOOKUP($C76,'Table S3 Literature Values'!$A$10:$AV$10000,AR$1,FALSE)</f>
        <v>-68.3</v>
      </c>
      <c r="AS76" s="61">
        <f>INDEX('Table S3 Literature Values'!$A$10:$AV$10000,MATCH($C76,'Table S3 Literature Values'!$A$10:$A$10000,0)+1,AS$1)</f>
        <v>3.1531184839764772</v>
      </c>
      <c r="AT76" s="63">
        <f>INDEX('Table S3 Literature Values'!$A$10:$AV$10000,MATCH($C76,'Table S3 Literature Values'!$A$10:$A$10000,0)+2,AS$1)</f>
        <v>1</v>
      </c>
    </row>
    <row r="77" spans="1:46">
      <c r="E77" s="61"/>
    </row>
    <row r="78" spans="1:46">
      <c r="E78" s="61"/>
    </row>
    <row r="79" spans="1:46">
      <c r="E79" s="61"/>
    </row>
    <row r="80" spans="1:46">
      <c r="E80" s="61"/>
    </row>
    <row r="81" spans="5:5">
      <c r="E81" s="6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2C6E-472A-4D68-B787-0F07937E570E}">
  <sheetPr codeName="Sheet9"/>
  <dimension ref="A1:AT81"/>
  <sheetViews>
    <sheetView tabSelected="1" workbookViewId="0">
      <selection activeCell="T6" sqref="T6"/>
    </sheetView>
  </sheetViews>
  <sheetFormatPr defaultRowHeight="15"/>
  <cols>
    <col min="1" max="1" width="9.5703125" bestFit="1" customWidth="1"/>
    <col min="3" max="3" width="31" bestFit="1" customWidth="1"/>
    <col min="5" max="5" width="12" bestFit="1" customWidth="1"/>
    <col min="6" max="6" width="9.85546875" bestFit="1" customWidth="1"/>
  </cols>
  <sheetData>
    <row r="1" spans="1:46">
      <c r="C1" s="116" t="s">
        <v>1028</v>
      </c>
      <c r="D1">
        <v>2</v>
      </c>
      <c r="E1">
        <v>3</v>
      </c>
      <c r="F1">
        <v>3</v>
      </c>
      <c r="G1" s="63"/>
      <c r="H1">
        <v>6</v>
      </c>
      <c r="I1">
        <v>6</v>
      </c>
      <c r="J1" s="63"/>
      <c r="K1">
        <v>9</v>
      </c>
      <c r="L1">
        <v>9</v>
      </c>
      <c r="M1" s="63"/>
      <c r="N1">
        <v>12</v>
      </c>
      <c r="O1">
        <v>12</v>
      </c>
      <c r="P1" s="63"/>
      <c r="Q1">
        <v>15</v>
      </c>
      <c r="R1">
        <v>15</v>
      </c>
      <c r="S1" s="63"/>
      <c r="T1">
        <v>18</v>
      </c>
      <c r="U1">
        <v>18</v>
      </c>
      <c r="V1" s="63"/>
      <c r="W1">
        <v>21</v>
      </c>
      <c r="X1">
        <v>21</v>
      </c>
      <c r="Y1" s="63"/>
      <c r="Z1">
        <v>24</v>
      </c>
      <c r="AA1">
        <v>24</v>
      </c>
      <c r="AB1" s="63"/>
      <c r="AC1">
        <v>27</v>
      </c>
      <c r="AD1">
        <v>27</v>
      </c>
      <c r="AE1" s="63"/>
      <c r="AF1">
        <v>31</v>
      </c>
      <c r="AG1">
        <v>31</v>
      </c>
      <c r="AH1" s="63"/>
      <c r="AI1">
        <v>34</v>
      </c>
      <c r="AJ1">
        <v>34</v>
      </c>
      <c r="AK1" s="63"/>
      <c r="AL1">
        <v>38</v>
      </c>
      <c r="AM1">
        <v>38</v>
      </c>
      <c r="AN1" s="63"/>
      <c r="AO1">
        <v>42</v>
      </c>
      <c r="AP1">
        <v>42</v>
      </c>
      <c r="AQ1" s="63"/>
      <c r="AR1">
        <v>45</v>
      </c>
      <c r="AS1">
        <v>45</v>
      </c>
      <c r="AT1" s="63"/>
    </row>
    <row r="2" spans="1:46">
      <c r="A2" s="314" t="s">
        <v>1018</v>
      </c>
      <c r="B2" s="314" t="s">
        <v>1017</v>
      </c>
      <c r="C2" s="314" t="s">
        <v>1027</v>
      </c>
      <c r="D2" s="314" t="s">
        <v>1029</v>
      </c>
      <c r="E2" s="502" t="s">
        <v>3069</v>
      </c>
      <c r="F2" s="314" t="s">
        <v>3070</v>
      </c>
      <c r="G2" s="314" t="s">
        <v>3071</v>
      </c>
      <c r="H2" s="314" t="s">
        <v>3072</v>
      </c>
      <c r="I2" s="314" t="s">
        <v>3073</v>
      </c>
      <c r="J2" s="314" t="s">
        <v>3074</v>
      </c>
      <c r="K2" s="314" t="s">
        <v>3075</v>
      </c>
      <c r="L2" s="314" t="s">
        <v>3076</v>
      </c>
      <c r="M2" s="314" t="s">
        <v>3077</v>
      </c>
      <c r="N2" s="314" t="s">
        <v>3078</v>
      </c>
      <c r="O2" s="314" t="s">
        <v>3079</v>
      </c>
      <c r="P2" s="314" t="s">
        <v>3080</v>
      </c>
      <c r="Q2" s="314" t="s">
        <v>3081</v>
      </c>
      <c r="R2" s="314" t="s">
        <v>3082</v>
      </c>
      <c r="S2" s="314" t="s">
        <v>3083</v>
      </c>
      <c r="T2" s="314" t="s">
        <v>3084</v>
      </c>
      <c r="U2" s="314" t="s">
        <v>3085</v>
      </c>
      <c r="V2" s="314" t="s">
        <v>3086</v>
      </c>
      <c r="W2" s="314" t="s">
        <v>3087</v>
      </c>
      <c r="X2" s="314" t="s">
        <v>3088</v>
      </c>
      <c r="Y2" s="314" t="s">
        <v>3089</v>
      </c>
      <c r="Z2" s="314" t="s">
        <v>3090</v>
      </c>
      <c r="AA2" s="314" t="s">
        <v>3091</v>
      </c>
      <c r="AB2" s="314" t="s">
        <v>3092</v>
      </c>
      <c r="AC2" s="314" t="s">
        <v>3093</v>
      </c>
      <c r="AD2" s="314" t="s">
        <v>3094</v>
      </c>
      <c r="AE2" s="314" t="s">
        <v>3095</v>
      </c>
      <c r="AF2" s="314" t="s">
        <v>3096</v>
      </c>
      <c r="AG2" s="314" t="s">
        <v>3097</v>
      </c>
      <c r="AH2" s="314" t="s">
        <v>3098</v>
      </c>
      <c r="AI2" s="314" t="s">
        <v>3099</v>
      </c>
      <c r="AJ2" s="314" t="s">
        <v>3100</v>
      </c>
      <c r="AK2" s="314" t="s">
        <v>3101</v>
      </c>
      <c r="AL2" s="314" t="s">
        <v>3102</v>
      </c>
      <c r="AM2" s="314" t="s">
        <v>3103</v>
      </c>
      <c r="AN2" s="314" t="s">
        <v>3104</v>
      </c>
      <c r="AO2" s="314" t="s">
        <v>3105</v>
      </c>
      <c r="AP2" s="314" t="s">
        <v>3106</v>
      </c>
      <c r="AQ2" s="314" t="s">
        <v>3107</v>
      </c>
      <c r="AR2" s="314" t="s">
        <v>569</v>
      </c>
      <c r="AS2" s="314" t="s">
        <v>3108</v>
      </c>
      <c r="AT2" s="314" t="s">
        <v>3109</v>
      </c>
    </row>
    <row r="3" spans="1:46">
      <c r="A3" t="str">
        <f>'Table S2 Compound Identifiers'!C8</f>
        <v>Musk</v>
      </c>
      <c r="B3">
        <f>COUNTIF($C$3:C3,"&lt;&gt;"&amp;"")</f>
        <v>1</v>
      </c>
      <c r="C3" t="str">
        <f>IF('Table S2 Compound Identifiers'!B8="","",'Table S2 Compound Identifiers'!B8)</f>
        <v>cyclopentadecanone</v>
      </c>
      <c r="D3" t="str">
        <f>'Table S2 Compound Identifiers'!D8</f>
        <v>502-72-7</v>
      </c>
      <c r="E3" s="501">
        <f>IF(VLOOKUP($C3,'Table S3 Literature Values'!$A$10:$AV$10000,E$1,FALSE)=0,VLOOKUP($C3,'Table S9 Model Derived Values'!$A$10:$AV$10000,E$1,FALSE),VLOOKUP($C3,'Table S3 Literature Values'!$A$10:$AV$10000,E$1,FALSE))</f>
        <v>65.209156034639165</v>
      </c>
      <c r="F3" s="61">
        <f>IF(INDEX('Table S3 Literature Values'!$A$10:$AV$10000,MATCH($C3,'Table S3 Literature Values'!$A$10:$A$10000,0)+1,F$1)=0,INDEX('Table S9 Model Derived Values'!$A$10:$AV$10000,MATCH($C3,'Table S9 Model Derived Values'!$A$10:$A$10000,0)+1,F$1),INDEX('Table S3 Literature Values'!$A$10:$AV$10000,MATCH($C3,'Table S3 Literature Values'!$A$10:$A$10000,0)+1,F$1))</f>
        <v>12.406667724169532</v>
      </c>
      <c r="G3" s="63">
        <f>INDEX('Table S3 Literature Values'!$A$10:$AV$10000,MATCH($C3,'Table S3 Literature Values'!$A$10:$A$10000,0)+2,F$1)</f>
        <v>4</v>
      </c>
      <c r="H3" s="501">
        <f>IF(VLOOKUP($C3,'Table S3 Literature Values'!$A$10:$AV$10000,H$1,FALSE)=0,VLOOKUP($C3,'Table S9 Model Derived Values'!$A$10:$AV$10000,H$1,FALSE),VLOOKUP($C3,'Table S3 Literature Values'!$A$10:$AV$10000,H$1,FALSE))</f>
        <v>1.523041337784008</v>
      </c>
      <c r="I3" s="61">
        <f>IF(INDEX('Table S3 Literature Values'!$A$10:$AV$10000,MATCH($C3,'Table S3 Literature Values'!$A$10:$A$10000,0)+1,I$1)=0,INDEX('Table S9 Model Derived Values'!$A$10:$AV$10000,MATCH($C3,'Table S9 Model Derived Values'!$A$10:$A$10000,0)+1,I$1),INDEX('Table S3 Literature Values'!$A$10:$AV$10000,MATCH($C3,'Table S3 Literature Values'!$A$10:$A$10000,0)+1,I$1))</f>
        <v>1.2844310205174008</v>
      </c>
      <c r="J3" s="63">
        <f>INDEX('Table S3 Literature Values'!$A$10:$AV$10000,MATCH($C3,'Table S3 Literature Values'!$A$10:$A$10000,0)+2,I$1)</f>
        <v>0</v>
      </c>
      <c r="K3" s="501">
        <f>IF(VLOOKUP($C3,'Table S3 Literature Values'!$A$10:$AV$10000,K$1,FALSE)=0,VLOOKUP($C3,'Table S9 Model Derived Values'!$A$10:$AV$10000,K$1,FALSE),VLOOKUP($C3,'Table S3 Literature Values'!$A$10:$AV$10000,K$1,FALSE))</f>
        <v>0</v>
      </c>
      <c r="L3" s="61">
        <f>IF(INDEX('Table S3 Literature Values'!$A$10:$AV$10000,MATCH($C3,'Table S3 Literature Values'!$A$10:$A$10000,0)+1,L$1)=0,INDEX('Table S9 Model Derived Values'!$A$10:$AV$10000,MATCH($C3,'Table S9 Model Derived Values'!$A$10:$A$10000,0)+1,L$1),INDEX('Table S3 Literature Values'!$A$10:$AV$10000,MATCH($C3,'Table S3 Literature Values'!$A$10:$A$10000,0)+1,L$1))</f>
        <v>0</v>
      </c>
      <c r="M3" s="63">
        <f>INDEX('Table S3 Literature Values'!$A$10:$AV$10000,MATCH($C3,'Table S3 Literature Values'!$A$10:$A$10000,0)+2,L$1)</f>
        <v>0</v>
      </c>
      <c r="N3" s="501">
        <f>IF(VLOOKUP($C3,'Table S3 Literature Values'!$A$10:$AV$10000,N$1,FALSE)=0,VLOOKUP($C3,'Table S9 Model Derived Values'!$A$10:$AV$10000,N$1,FALSE),VLOOKUP($C3,'Table S3 Literature Values'!$A$10:$AV$10000,N$1,FALSE))</f>
        <v>35.5</v>
      </c>
      <c r="O3" s="61">
        <f>IF(INDEX('Table S3 Literature Values'!$A$10:$AV$10000,MATCH($C3,'Table S3 Literature Values'!$A$10:$A$10000,0)+1,O$1)=0,INDEX('Table S9 Model Derived Values'!$A$10:$AV$10000,MATCH($C3,'Table S9 Model Derived Values'!$A$10:$A$10000,0)+1,O$1),INDEX('Table S3 Literature Values'!$A$10:$AV$10000,MATCH($C3,'Table S3 Literature Values'!$A$10:$A$10000,0)+1,O$1))</f>
        <v>2.2492119741999494</v>
      </c>
      <c r="P3" s="63">
        <f>INDEX('Table S3 Literature Values'!$A$10:$AV$10000,MATCH($C3,'Table S3 Literature Values'!$A$10:$A$10000,0)+2,O$1)</f>
        <v>1</v>
      </c>
      <c r="Q3" s="501">
        <f>IF(VLOOKUP($C3,'Table S3 Literature Values'!$A$10:$AV$10000,Q$1,FALSE)=0,VLOOKUP($C3,'Table S9 Model Derived Values'!$A$10:$AV$10000,Q$1,FALSE),VLOOKUP($C3,'Table S3 Literature Values'!$A$10:$AV$10000,Q$1,FALSE))</f>
        <v>68.97436159999998</v>
      </c>
      <c r="R3" s="61">
        <f>IF(INDEX('Table S3 Literature Values'!$A$10:$AV$10000,MATCH($C3,'Table S3 Literature Values'!$A$10:$A$10000,0)+1,R$1)=0,INDEX('Table S9 Model Derived Values'!$A$10:$AV$10000,MATCH($C3,'Table S9 Model Derived Values'!$A$10:$A$10000,0)+1,R$1),INDEX('Table S3 Literature Values'!$A$10:$AV$10000,MATCH($C3,'Table S3 Literature Values'!$A$10:$A$10000,0)+1,R$1))</f>
        <v>11.615834288332797</v>
      </c>
      <c r="S3" s="63">
        <f>INDEX('Table S3 Literature Values'!$A$10:$AV$10000,MATCH($C3,'Table S3 Literature Values'!$A$10:$A$10000,0)+2,R$1)</f>
        <v>0</v>
      </c>
      <c r="T3" s="501">
        <f>IF(VLOOKUP($C3,'Table S3 Literature Values'!$A$10:$AV$10000,T$1,FALSE)=0,VLOOKUP($C3,'Table S9 Model Derived Values'!$A$10:$AV$10000,T$1,FALSE),VLOOKUP($C3,'Table S3 Literature Values'!$A$10:$AV$10000,T$1,FALSE))</f>
        <v>1.244728481007968</v>
      </c>
      <c r="U3" s="61">
        <f>IF(INDEX('Table S3 Literature Values'!$A$10:$AV$10000,MATCH($C3,'Table S3 Literature Values'!$A$10:$A$10000,0)+1,U$1)=0,INDEX('Table S9 Model Derived Values'!$A$10:$AV$10000,MATCH($C3,'Table S9 Model Derived Values'!$A$10:$A$10000,0)+1,U$1),INDEX('Table S3 Literature Values'!$A$10:$AV$10000,MATCH($C3,'Table S3 Literature Values'!$A$10:$A$10000,0)+1,U$1))</f>
        <v>2.3326049919386791</v>
      </c>
      <c r="V3" s="63">
        <f>INDEX('Table S3 Literature Values'!$A$10:$AV$10000,MATCH($C3,'Table S3 Literature Values'!$A$10:$A$10000,0)+2,U$1)</f>
        <v>0</v>
      </c>
      <c r="W3" s="501">
        <f>IF(VLOOKUP($C3,'Table S3 Literature Values'!$A$10:$AV$10000,W$1,FALSE)=0,VLOOKUP($C3,'Table S9 Model Derived Values'!$A$10:$AV$10000,W$1,FALSE),VLOOKUP($C3,'Table S3 Literature Values'!$A$10:$AV$10000,W$1,FALSE))</f>
        <v>6.5903532568443328</v>
      </c>
      <c r="X3" s="61">
        <f>IF(INDEX('Table S3 Literature Values'!$A$10:$AV$10000,MATCH($C3,'Table S3 Literature Values'!$A$10:$A$10000,0)+1,X$1)=0,INDEX('Table S9 Model Derived Values'!$A$10:$AV$10000,MATCH($C3,'Table S9 Model Derived Values'!$A$10:$A$10000,0)+1,X$1),INDEX('Table S3 Literature Values'!$A$10:$AV$10000,MATCH($C3,'Table S3 Literature Values'!$A$10:$A$10000,0)+1,X$1))</f>
        <v>0.16968721679640786</v>
      </c>
      <c r="Y3" s="63">
        <f>INDEX('Table S3 Literature Values'!$A$10:$AV$10000,MATCH($C3,'Table S3 Literature Values'!$A$10:$A$10000,0)+2,X$1)</f>
        <v>1</v>
      </c>
      <c r="Z3" s="501">
        <f ca="1">IF(VLOOKUP($C3,'Table S3 Literature Values'!$A$10:$AV$10000,Z$1,FALSE)=0,VLOOKUP($C3,'Table S9 Model Derived Values'!$A$10:$AV$10000,Z$1,FALSE),VLOOKUP($C3,'Table S3 Literature Values'!$A$10:$AV$10000,Z$1,FALSE))</f>
        <v>5.6510775932648061</v>
      </c>
      <c r="AA3" s="61">
        <f ca="1">IF(INDEX('Table S3 Literature Values'!$A$10:$AV$10000,MATCH($C3,'Table S3 Literature Values'!$A$10:$A$10000,0)+1,AA$1)=0,INDEX('Table S9 Model Derived Values'!$A$10:$AV$10000,MATCH($C3,'Table S9 Model Derived Values'!$A$10:$A$10000,0)+1,AA$1),INDEX('Table S3 Literature Values'!$A$10:$AV$10000,MATCH($C3,'Table S3 Literature Values'!$A$10:$A$10000,0)+1,AA$1))</f>
        <v>1.1302155186529612</v>
      </c>
      <c r="AB3" s="63">
        <f ca="1">INDEX('Table S3 Literature Values'!$A$10:$AV$10000,MATCH($C3,'Table S3 Literature Values'!$A$10:$A$10000,0)+2,AA$1)</f>
        <v>1</v>
      </c>
      <c r="AC3" s="501">
        <f>IF(VLOOKUP($C3,'Table S3 Literature Values'!$A$10:$AV$10000,AC$1,FALSE)=0,VLOOKUP($C3,'Table S9 Model Derived Values'!$A$10:$AV$10000,AC$1,FALSE),VLOOKUP($C3,'Table S3 Literature Values'!$A$10:$AV$10000,AC$1,FALSE))</f>
        <v>-0.7172759999999998</v>
      </c>
      <c r="AD3" s="61">
        <f>IF(INDEX('Table S3 Literature Values'!$A$10:$AV$10000,MATCH($C3,'Table S3 Literature Values'!$A$10:$A$10000,0)+1,AD$1)=0,INDEX('Table S9 Model Derived Values'!$A$10:$AV$10000,MATCH($C3,'Table S9 Model Derived Values'!$A$10:$A$10000,0)+1,AD$1),INDEX('Table S3 Literature Values'!$A$10:$AV$10000,MATCH($C3,'Table S3 Literature Values'!$A$10:$A$10000,0)+1,AD$1))</f>
        <v>0.30392131761599989</v>
      </c>
      <c r="AE3" s="63">
        <f>INDEX('Table S3 Literature Values'!$A$10:$AV$10000,MATCH($C3,'Table S3 Literature Values'!$A$10:$A$10000,0)+2,AD$1)</f>
        <v>0</v>
      </c>
      <c r="AF3" s="501">
        <f>IF(VLOOKUP($C3,'Table S3 Literature Values'!$A$10:$AV$10000,AF$1,FALSE)=0,VLOOKUP($C3,'Table S9 Model Derived Values'!$A$10:$AV$10000,AF$1,FALSE),VLOOKUP($C3,'Table S3 Literature Values'!$A$10:$AV$10000,AF$1,FALSE))</f>
        <v>-0.27186946994290417</v>
      </c>
      <c r="AG3" s="61">
        <f>IF(INDEX('Table S3 Literature Values'!$A$10:$AV$10000,MATCH($C3,'Table S3 Literature Values'!$A$10:$A$10000,0)+1,AG$1)=0,INDEX('Table S9 Model Derived Values'!$A$10:$AV$10000,MATCH($C3,'Table S9 Model Derived Values'!$A$10:$A$10000,0)+1,AG$1),INDEX('Table S3 Literature Values'!$A$10:$AV$10000,MATCH($C3,'Table S3 Literature Values'!$A$10:$A$10000,0)+1,AG$1))</f>
        <v>0.43981008116415443</v>
      </c>
      <c r="AH3" s="63">
        <f>INDEX('Table S3 Literature Values'!$A$10:$AV$10000,MATCH($C3,'Table S3 Literature Values'!$A$10:$A$10000,0)+2,AG$1)</f>
        <v>3</v>
      </c>
      <c r="AI3" s="501">
        <f ca="1">IF(VLOOKUP($C3,'Table S3 Literature Values'!$A$10:$AV$10000,AI$1,FALSE)=0,VLOOKUP($C3,'Table S9 Model Derived Values'!$A$10:$AV$10000,AI$1,FALSE),VLOOKUP($C3,'Table S3 Literature Values'!$A$10:$AV$10000,AI$1,FALSE))</f>
        <v>-2.3871012037113615</v>
      </c>
      <c r="AJ3" s="61">
        <f ca="1">IF(INDEX('Table S3 Literature Values'!$A$10:$AV$10000,MATCH($C3,'Table S3 Literature Values'!$A$10:$A$10000,0)+1,AJ$1)=0,INDEX('Table S9 Model Derived Values'!$A$10:$AV$10000,MATCH($C3,'Table S9 Model Derived Values'!$A$10:$A$10000,0)+1,AJ$1),INDEX('Table S3 Literature Values'!$A$10:$AV$10000,MATCH($C3,'Table S3 Literature Values'!$A$10:$A$10000,0)+1,AJ$1))</f>
        <v>0.29517601490328987</v>
      </c>
      <c r="AK3" s="63">
        <f ca="1">INDEX('Table S3 Literature Values'!$A$10:$AV$10000,MATCH($C3,'Table S3 Literature Values'!$A$10:$A$10000,0)+2,AJ$1)</f>
        <v>1</v>
      </c>
      <c r="AL3" s="501">
        <f>IF(VLOOKUP($C3,'Table S3 Literature Values'!$A$10:$AV$10000,AL$1,FALSE)=0,VLOOKUP($C3,'Table S9 Model Derived Values'!$A$10:$AV$10000,AL$1,FALSE),VLOOKUP($C3,'Table S3 Literature Values'!$A$10:$AV$10000,AL$1,FALSE))</f>
        <v>4.1383071999999981</v>
      </c>
      <c r="AM3" s="61">
        <f>IF(INDEX('Table S3 Literature Values'!$A$10:$AV$10000,MATCH($C3,'Table S3 Literature Values'!$A$10:$A$10000,0)+1,AM$1)=0,INDEX('Table S9 Model Derived Values'!$A$10:$AV$10000,MATCH($C3,'Table S9 Model Derived Values'!$A$10:$A$10000,0)+1,AM$1),INDEX('Table S3 Literature Values'!$A$10:$AV$10000,MATCH($C3,'Table S3 Literature Values'!$A$10:$A$10000,0)+1,AM$1))</f>
        <v>0.7479203985631997</v>
      </c>
      <c r="AN3" s="63">
        <f>INDEX('Table S3 Literature Values'!$A$10:$AV$10000,MATCH($C3,'Table S3 Literature Values'!$A$10:$A$10000,0)+2,AM$1)</f>
        <v>0</v>
      </c>
      <c r="AO3" s="501">
        <f>IF(VLOOKUP($C3,'Table S3 Literature Values'!$A$10:$AV$10000,AO$1,FALSE)=0,VLOOKUP($C3,'Table S9 Model Derived Values'!$A$10:$AV$10000,AO$1,FALSE),VLOOKUP($C3,'Table S3 Literature Values'!$A$10:$AV$10000,AO$1,FALSE))</f>
        <v>27.437164066193851</v>
      </c>
      <c r="AP3" s="61">
        <f>IF(INDEX('Table S3 Literature Values'!$A$10:$AV$10000,MATCH($C3,'Table S3 Literature Values'!$A$10:$A$10000,0)+1,AP$1)=0,INDEX('Table S9 Model Derived Values'!$A$10:$AV$10000,MATCH($C3,'Table S9 Model Derived Values'!$A$10:$A$10000,0)+1,AP$1),INDEX('Table S3 Literature Values'!$A$10:$AV$10000,MATCH($C3,'Table S3 Literature Values'!$A$10:$A$10000,0)+1,AP$1))</f>
        <v>2.0257703248192196</v>
      </c>
      <c r="AQ3" s="63">
        <f>INDEX('Table S3 Literature Values'!$A$10:$AV$10000,MATCH($C3,'Table S3 Literature Values'!$A$10:$A$10000,0)+2,AP$1)</f>
        <v>2</v>
      </c>
      <c r="AR3" s="501">
        <f>IF(VLOOKUP($C3,'Table S3 Literature Values'!$A$10:$AV$10000,AR$1,FALSE)=0,VLOOKUP($C3,'Table S9 Model Derived Values'!$A$10:$AV$10000,AR$1,FALSE),VLOOKUP($C3,'Table S3 Literature Values'!$A$10:$AV$10000,AR$1,FALSE))</f>
        <v>63.82222222222223</v>
      </c>
      <c r="AS3" s="61">
        <f>IF(INDEX('Table S3 Literature Values'!$A$10:$AV$10000,MATCH($C3,'Table S3 Literature Values'!$A$10:$A$10000,0)+1,AS$1)=0,INDEX('Table S9 Model Derived Values'!$A$10:$AV$10000,MATCH($C3,'Table S9 Model Derived Values'!$A$10:$A$10000,0)+1,AS$1),INDEX('Table S3 Literature Values'!$A$10:$AV$10000,MATCH($C3,'Table S3 Literature Values'!$A$10:$A$10000,0)+1,AS$1))</f>
        <v>3.0339857357022035</v>
      </c>
      <c r="AT3" s="63">
        <f>INDEX('Table S3 Literature Values'!$A$10:$AV$10000,MATCH($C3,'Table S3 Literature Values'!$A$10:$A$10000,0)+2,AS$1)</f>
        <v>9</v>
      </c>
    </row>
    <row r="4" spans="1:46">
      <c r="A4" t="str">
        <f>'Table S2 Compound Identifiers'!C9</f>
        <v>Musk</v>
      </c>
      <c r="B4">
        <f>COUNTIF($C$3:C4,"&lt;&gt;"&amp;"")</f>
        <v>2</v>
      </c>
      <c r="C4" t="str">
        <f>IF('Table S2 Compound Identifiers'!B9="","",'Table S2 Compound Identifiers'!B9)</f>
        <v>15-pentadecanolide</v>
      </c>
      <c r="D4" t="str">
        <f>'Table S2 Compound Identifiers'!D9</f>
        <v>106-02-5</v>
      </c>
      <c r="E4" s="501">
        <f>IF(VLOOKUP($C4,'Table S3 Literature Values'!$A$10:$AV$10000,E$1,FALSE)=0,VLOOKUP($C4,'Table S9 Model Derived Values'!$A$10:$AV$10000,E$1,FALSE),VLOOKUP($C4,'Table S3 Literature Values'!$A$10:$AV$10000,E$1,FALSE))</f>
        <v>76.989318255250396</v>
      </c>
      <c r="F4" s="61">
        <f>IF(INDEX('Table S3 Literature Values'!$A$10:$AV$10000,MATCH($C4,'Table S3 Literature Values'!$A$10:$A$10000,0)+1,F$1)=0,INDEX('Table S9 Model Derived Values'!$A$10:$AV$10000,MATCH($C4,'Table S9 Model Derived Values'!$A$10:$A$10000,0)+1,F$1),INDEX('Table S3 Literature Values'!$A$10:$AV$10000,MATCH($C4,'Table S3 Literature Values'!$A$10:$A$10000,0)+1,F$1))</f>
        <v>2.5069905941640158</v>
      </c>
      <c r="G4" s="63">
        <f>INDEX('Table S3 Literature Values'!$A$10:$AV$10000,MATCH($C4,'Table S3 Literature Values'!$A$10:$A$10000,0)+2,F$1)</f>
        <v>4</v>
      </c>
      <c r="H4" s="501">
        <f>IF(VLOOKUP($C4,'Table S3 Literature Values'!$A$10:$AV$10000,H$1,FALSE)=0,VLOOKUP($C4,'Table S9 Model Derived Values'!$A$10:$AV$10000,H$1,FALSE),VLOOKUP($C4,'Table S3 Literature Values'!$A$10:$AV$10000,H$1,FALSE))</f>
        <v>4.7269968092080745</v>
      </c>
      <c r="I4" s="61">
        <f>IF(INDEX('Table S3 Literature Values'!$A$10:$AV$10000,MATCH($C4,'Table S3 Literature Values'!$A$10:$A$10000,0)+1,I$1)=0,INDEX('Table S9 Model Derived Values'!$A$10:$AV$10000,MATCH($C4,'Table S9 Model Derived Values'!$A$10:$A$10000,0)+1,I$1),INDEX('Table S3 Literature Values'!$A$10:$AV$10000,MATCH($C4,'Table S3 Literature Values'!$A$10:$A$10000,0)+1,I$1))</f>
        <v>3.986432400099873</v>
      </c>
      <c r="J4" s="63">
        <f>INDEX('Table S3 Literature Values'!$A$10:$AV$10000,MATCH($C4,'Table S3 Literature Values'!$A$10:$A$10000,0)+2,I$1)</f>
        <v>0</v>
      </c>
      <c r="K4" s="501">
        <f>IF(VLOOKUP($C4,'Table S3 Literature Values'!$A$10:$AV$10000,K$1,FALSE)=0,VLOOKUP($C4,'Table S9 Model Derived Values'!$A$10:$AV$10000,K$1,FALSE),VLOOKUP($C4,'Table S3 Literature Values'!$A$10:$AV$10000,K$1,FALSE))</f>
        <v>0</v>
      </c>
      <c r="L4" s="61">
        <f>IF(INDEX('Table S3 Literature Values'!$A$10:$AV$10000,MATCH($C4,'Table S3 Literature Values'!$A$10:$A$10000,0)+1,L$1)=0,INDEX('Table S9 Model Derived Values'!$A$10:$AV$10000,MATCH($C4,'Table S9 Model Derived Values'!$A$10:$A$10000,0)+1,L$1),INDEX('Table S3 Literature Values'!$A$10:$AV$10000,MATCH($C4,'Table S3 Literature Values'!$A$10:$A$10000,0)+1,L$1))</f>
        <v>0</v>
      </c>
      <c r="M4" s="63">
        <f>INDEX('Table S3 Literature Values'!$A$10:$AV$10000,MATCH($C4,'Table S3 Literature Values'!$A$10:$A$10000,0)+2,L$1)</f>
        <v>0</v>
      </c>
      <c r="N4" s="501">
        <f>IF(VLOOKUP($C4,'Table S3 Literature Values'!$A$10:$AV$10000,N$1,FALSE)=0,VLOOKUP($C4,'Table S9 Model Derived Values'!$A$10:$AV$10000,N$1,FALSE),VLOOKUP($C4,'Table S3 Literature Values'!$A$10:$AV$10000,N$1,FALSE))</f>
        <v>-76.107469125855815</v>
      </c>
      <c r="O4" s="61">
        <f>IF(INDEX('Table S3 Literature Values'!$A$10:$AV$10000,MATCH($C4,'Table S3 Literature Values'!$A$10:$A$10000,0)+1,O$1)=0,INDEX('Table S9 Model Derived Values'!$A$10:$AV$10000,MATCH($C4,'Table S9 Model Derived Values'!$A$10:$A$10000,0)+1,O$1),INDEX('Table S3 Literature Values'!$A$10:$AV$10000,MATCH($C4,'Table S3 Literature Values'!$A$10:$A$10000,0)+1,O$1))</f>
        <v>24.96226047618207</v>
      </c>
      <c r="P4" s="63">
        <f>INDEX('Table S3 Literature Values'!$A$10:$AV$10000,MATCH($C4,'Table S3 Literature Values'!$A$10:$A$10000,0)+2,O$1)</f>
        <v>0</v>
      </c>
      <c r="Q4" s="501">
        <f>IF(VLOOKUP($C4,'Table S3 Literature Values'!$A$10:$AV$10000,Q$1,FALSE)=0,VLOOKUP($C4,'Table S9 Model Derived Values'!$A$10:$AV$10000,Q$1,FALSE),VLOOKUP($C4,'Table S3 Literature Values'!$A$10:$AV$10000,Q$1,FALSE))</f>
        <v>70.803798699999987</v>
      </c>
      <c r="R4" s="61">
        <f>IF(INDEX('Table S3 Literature Values'!$A$10:$AV$10000,MATCH($C4,'Table S3 Literature Values'!$A$10:$A$10000,0)+1,R$1)=0,INDEX('Table S9 Model Derived Values'!$A$10:$AV$10000,MATCH($C4,'Table S9 Model Derived Values'!$A$10:$A$10000,0)+1,R$1),INDEX('Table S3 Literature Values'!$A$10:$AV$10000,MATCH($C4,'Table S3 Literature Values'!$A$10:$A$10000,0)+1,R$1))</f>
        <v>11.923926131469598</v>
      </c>
      <c r="S4" s="63">
        <f>INDEX('Table S3 Literature Values'!$A$10:$AV$10000,MATCH($C4,'Table S3 Literature Values'!$A$10:$A$10000,0)+2,R$1)</f>
        <v>0</v>
      </c>
      <c r="T4" s="501">
        <f>IF(VLOOKUP($C4,'Table S3 Literature Values'!$A$10:$AV$10000,T$1,FALSE)=0,VLOOKUP($C4,'Table S9 Model Derived Values'!$A$10:$AV$10000,T$1,FALSE),VLOOKUP($C4,'Table S3 Literature Values'!$A$10:$AV$10000,T$1,FALSE))</f>
        <v>-0.64147985978388533</v>
      </c>
      <c r="U4" s="61">
        <f>IF(INDEX('Table S3 Literature Values'!$A$10:$AV$10000,MATCH($C4,'Table S3 Literature Values'!$A$10:$A$10000,0)+1,U$1)=0,INDEX('Table S9 Model Derived Values'!$A$10:$AV$10000,MATCH($C4,'Table S9 Model Derived Values'!$A$10:$A$10000,0)+1,U$1),INDEX('Table S3 Literature Values'!$A$10:$AV$10000,MATCH($C4,'Table S3 Literature Values'!$A$10:$A$10000,0)+1,U$1))</f>
        <v>1.2021249179968239</v>
      </c>
      <c r="V4" s="63">
        <f>INDEX('Table S3 Literature Values'!$A$10:$AV$10000,MATCH($C4,'Table S3 Literature Values'!$A$10:$A$10000,0)+2,U$1)</f>
        <v>0</v>
      </c>
      <c r="W4" s="501">
        <f>IF(VLOOKUP($C4,'Table S3 Literature Values'!$A$10:$AV$10000,W$1,FALSE)=0,VLOOKUP($C4,'Table S9 Model Derived Values'!$A$10:$AV$10000,W$1,FALSE),VLOOKUP($C4,'Table S3 Literature Values'!$A$10:$AV$10000,W$1,FALSE))</f>
        <v>8.6320200000000007</v>
      </c>
      <c r="X4" s="61">
        <f>IF(INDEX('Table S3 Literature Values'!$A$10:$AV$10000,MATCH($C4,'Table S3 Literature Values'!$A$10:$A$10000,0)+1,X$1)=0,INDEX('Table S9 Model Derived Values'!$A$10:$AV$10000,MATCH($C4,'Table S9 Model Derived Values'!$A$10:$A$10000,0)+1,X$1),INDEX('Table S3 Literature Values'!$A$10:$AV$10000,MATCH($C4,'Table S3 Literature Values'!$A$10:$A$10000,0)+1,X$1))</f>
        <v>1.13353960236</v>
      </c>
      <c r="Y4" s="63">
        <f>INDEX('Table S3 Literature Values'!$A$10:$AV$10000,MATCH($C4,'Table S3 Literature Values'!$A$10:$A$10000,0)+2,X$1)</f>
        <v>0</v>
      </c>
      <c r="Z4" s="501">
        <f ca="1">IF(VLOOKUP($C4,'Table S3 Literature Values'!$A$10:$AV$10000,Z$1,FALSE)=0,VLOOKUP($C4,'Table S9 Model Derived Values'!$A$10:$AV$10000,Z$1,FALSE),VLOOKUP($C4,'Table S3 Literature Values'!$A$10:$AV$10000,Z$1,FALSE))</f>
        <v>5.7878793370575732</v>
      </c>
      <c r="AA4" s="61">
        <f ca="1">IF(INDEX('Table S3 Literature Values'!$A$10:$AV$10000,MATCH($C4,'Table S3 Literature Values'!$A$10:$A$10000,0)+1,AA$1)=0,INDEX('Table S9 Model Derived Values'!$A$10:$AV$10000,MATCH($C4,'Table S9 Model Derived Values'!$A$10:$A$10000,0)+1,AA$1),INDEX('Table S3 Literature Values'!$A$10:$AV$10000,MATCH($C4,'Table S3 Literature Values'!$A$10:$A$10000,0)+1,AA$1))</f>
        <v>0.57878793370575732</v>
      </c>
      <c r="AB4" s="63">
        <f ca="1">INDEX('Table S3 Literature Values'!$A$10:$AV$10000,MATCH($C4,'Table S3 Literature Values'!$A$10:$A$10000,0)+2,AA$1)</f>
        <v>1</v>
      </c>
      <c r="AC4" s="501">
        <f>IF(VLOOKUP($C4,'Table S3 Literature Values'!$A$10:$AV$10000,AC$1,FALSE)=0,VLOOKUP($C4,'Table S9 Model Derived Values'!$A$10:$AV$10000,AC$1,FALSE),VLOOKUP($C4,'Table S3 Literature Values'!$A$10:$AV$10000,AC$1,FALSE))</f>
        <v>-0.40163699999999958</v>
      </c>
      <c r="AD4" s="61">
        <f>IF(INDEX('Table S3 Literature Values'!$A$10:$AV$10000,MATCH($C4,'Table S3 Literature Values'!$A$10:$A$10000,0)+1,AD$1)=0,INDEX('Table S9 Model Derived Values'!$A$10:$AV$10000,MATCH($C4,'Table S9 Model Derived Values'!$A$10:$A$10000,0)+1,AD$1),INDEX('Table S3 Literature Values'!$A$10:$AV$10000,MATCH($C4,'Table S3 Literature Values'!$A$10:$A$10000,0)+1,AD$1))</f>
        <v>0.17018002309199981</v>
      </c>
      <c r="AE4" s="63">
        <f>INDEX('Table S3 Literature Values'!$A$10:$AV$10000,MATCH($C4,'Table S3 Literature Values'!$A$10:$A$10000,0)+2,AD$1)</f>
        <v>0</v>
      </c>
      <c r="AF4" s="501">
        <f>IF(VLOOKUP($C4,'Table S3 Literature Values'!$A$10:$AV$10000,AF$1,FALSE)=0,VLOOKUP($C4,'Table S9 Model Derived Values'!$A$10:$AV$10000,AF$1,FALSE),VLOOKUP($C4,'Table S3 Literature Values'!$A$10:$AV$10000,AF$1,FALSE))</f>
        <v>-1.0752173599150463</v>
      </c>
      <c r="AG4" s="61">
        <f>IF(INDEX('Table S3 Literature Values'!$A$10:$AV$10000,MATCH($C4,'Table S3 Literature Values'!$A$10:$A$10000,0)+1,AG$1)=0,INDEX('Table S9 Model Derived Values'!$A$10:$AV$10000,MATCH($C4,'Table S9 Model Derived Values'!$A$10:$A$10000,0)+1,AG$1),INDEX('Table S3 Literature Values'!$A$10:$AV$10000,MATCH($C4,'Table S3 Literature Values'!$A$10:$A$10000,0)+1,AG$1))</f>
        <v>5.8617107041970429E-2</v>
      </c>
      <c r="AH4" s="63">
        <f>INDEX('Table S3 Literature Values'!$A$10:$AV$10000,MATCH($C4,'Table S3 Literature Values'!$A$10:$A$10000,0)+2,AG$1)</f>
        <v>2</v>
      </c>
      <c r="AI4" s="501">
        <f ca="1">IF(VLOOKUP($C4,'Table S3 Literature Values'!$A$10:$AV$10000,AI$1,FALSE)=0,VLOOKUP($C4,'Table S9 Model Derived Values'!$A$10:$AV$10000,AI$1,FALSE),VLOOKUP($C4,'Table S3 Literature Values'!$A$10:$AV$10000,AI$1,FALSE))</f>
        <v>-2.8535418227388263</v>
      </c>
      <c r="AJ4" s="61">
        <f ca="1">IF(INDEX('Table S3 Literature Values'!$A$10:$AV$10000,MATCH($C4,'Table S3 Literature Values'!$A$10:$A$10000,0)+1,AJ$1)=0,INDEX('Table S9 Model Derived Values'!$A$10:$AV$10000,MATCH($C4,'Table S9 Model Derived Values'!$A$10:$A$10000,0)+1,AJ$1),INDEX('Table S3 Literature Values'!$A$10:$AV$10000,MATCH($C4,'Table S3 Literature Values'!$A$10:$A$10000,0)+1,AJ$1))</f>
        <v>0.35285353728880442</v>
      </c>
      <c r="AK4" s="63">
        <f ca="1">INDEX('Table S3 Literature Values'!$A$10:$AV$10000,MATCH($C4,'Table S3 Literature Values'!$A$10:$A$10000,0)+2,AJ$1)</f>
        <v>1</v>
      </c>
      <c r="AL4" s="501">
        <f>IF(VLOOKUP($C4,'Table S3 Literature Values'!$A$10:$AV$10000,AL$1,FALSE)=0,VLOOKUP($C4,'Table S9 Model Derived Values'!$A$10:$AV$10000,AL$1,FALSE),VLOOKUP($C4,'Table S3 Literature Values'!$A$10:$AV$10000,AL$1,FALSE))</f>
        <v>4.3127088999999987</v>
      </c>
      <c r="AM4" s="61">
        <f>IF(INDEX('Table S3 Literature Values'!$A$10:$AV$10000,MATCH($C4,'Table S3 Literature Values'!$A$10:$A$10000,0)+1,AM$1)=0,INDEX('Table S9 Model Derived Values'!$A$10:$AV$10000,MATCH($C4,'Table S9 Model Derived Values'!$A$10:$A$10000,0)+1,AM$1),INDEX('Table S3 Literature Values'!$A$10:$AV$10000,MATCH($C4,'Table S3 Literature Values'!$A$10:$A$10000,0)+1,AM$1))</f>
        <v>0.77944019220589977</v>
      </c>
      <c r="AN4" s="63">
        <f>INDEX('Table S3 Literature Values'!$A$10:$AV$10000,MATCH($C4,'Table S3 Literature Values'!$A$10:$A$10000,0)+2,AM$1)</f>
        <v>0</v>
      </c>
      <c r="AO4" s="501">
        <f>IF(VLOOKUP($C4,'Table S3 Literature Values'!$A$10:$AV$10000,AO$1,FALSE)=0,VLOOKUP($C4,'Table S9 Model Derived Values'!$A$10:$AV$10000,AO$1,FALSE),VLOOKUP($C4,'Table S3 Literature Values'!$A$10:$AV$10000,AO$1,FALSE))</f>
        <v>22.617124394184167</v>
      </c>
      <c r="AP4" s="61">
        <f>IF(INDEX('Table S3 Literature Values'!$A$10:$AV$10000,MATCH($C4,'Table S3 Literature Values'!$A$10:$A$10000,0)+1,AP$1)=0,INDEX('Table S9 Model Derived Values'!$A$10:$AV$10000,MATCH($C4,'Table S9 Model Derived Values'!$A$10:$A$10000,0)+1,AP$1),INDEX('Table S3 Literature Values'!$A$10:$AV$10000,MATCH($C4,'Table S3 Literature Values'!$A$10:$A$10000,0)+1,AP$1))</f>
        <v>1.7826732863184251</v>
      </c>
      <c r="AQ4" s="63">
        <f>INDEX('Table S3 Literature Values'!$A$10:$AV$10000,MATCH($C4,'Table S3 Literature Values'!$A$10:$A$10000,0)+2,AP$1)</f>
        <v>1</v>
      </c>
      <c r="AR4" s="501">
        <f>IF(VLOOKUP($C4,'Table S3 Literature Values'!$A$10:$AV$10000,AR$1,FALSE)=0,VLOOKUP($C4,'Table S9 Model Derived Values'!$A$10:$AV$10000,AR$1,FALSE),VLOOKUP($C4,'Table S3 Literature Values'!$A$10:$AV$10000,AR$1,FALSE))</f>
        <v>34.290000000000006</v>
      </c>
      <c r="AS4" s="61">
        <f>IF(INDEX('Table S3 Literature Values'!$A$10:$AV$10000,MATCH($C4,'Table S3 Literature Values'!$A$10:$A$10000,0)+1,AS$1)=0,INDEX('Table S9 Model Derived Values'!$A$10:$AV$10000,MATCH($C4,'Table S9 Model Derived Values'!$A$10:$A$10000,0)+1,AS$1),INDEX('Table S3 Literature Values'!$A$10:$AV$10000,MATCH($C4,'Table S3 Literature Values'!$A$10:$A$10000,0)+1,AS$1))</f>
        <v>1.6364595931461381</v>
      </c>
      <c r="AT4" s="63">
        <f>INDEX('Table S3 Literature Values'!$A$10:$AV$10000,MATCH($C4,'Table S3 Literature Values'!$A$10:$A$10000,0)+2,AS$1)</f>
        <v>5</v>
      </c>
    </row>
    <row r="5" spans="1:46">
      <c r="A5" t="str">
        <f>'Table S2 Compound Identifiers'!C10</f>
        <v>Musk</v>
      </c>
      <c r="B5">
        <f>COUNTIF($C$3:C5,"&lt;&gt;"&amp;"")</f>
        <v>3</v>
      </c>
      <c r="C5" t="str">
        <f>IF('Table S2 Compound Identifiers'!B10="","",'Table S2 Compound Identifiers'!B10)</f>
        <v>Musk Ambrette</v>
      </c>
      <c r="D5" t="str">
        <f>'Table S2 Compound Identifiers'!D10</f>
        <v>83-66-9</v>
      </c>
      <c r="E5" s="501">
        <f>IF(VLOOKUP($C5,'Table S3 Literature Values'!$A$10:$AV$10000,E$1,FALSE)=0,VLOOKUP($C5,'Table S9 Model Derived Values'!$A$10:$AV$10000,E$1,FALSE),VLOOKUP($C5,'Table S3 Literature Values'!$A$10:$AV$10000,E$1,FALSE))</f>
        <v>79.5</v>
      </c>
      <c r="F5" s="61">
        <f>IF(INDEX('Table S3 Literature Values'!$A$10:$AV$10000,MATCH($C5,'Table S3 Literature Values'!$A$10:$A$10000,0)+1,F$1)=0,INDEX('Table S9 Model Derived Values'!$A$10:$AV$10000,MATCH($C5,'Table S9 Model Derived Values'!$A$10:$A$10000,0)+1,F$1),INDEX('Table S3 Literature Values'!$A$10:$AV$10000,MATCH($C5,'Table S3 Literature Values'!$A$10:$A$10000,0)+1,F$1))</f>
        <v>5.673391768285347</v>
      </c>
      <c r="G5" s="63">
        <f>INDEX('Table S3 Literature Values'!$A$10:$AV$10000,MATCH($C5,'Table S3 Literature Values'!$A$10:$A$10000,0)+2,F$1)</f>
        <v>1</v>
      </c>
      <c r="H5" s="501">
        <f>IF(VLOOKUP($C5,'Table S3 Literature Values'!$A$10:$AV$10000,H$1,FALSE)=0,VLOOKUP($C5,'Table S9 Model Derived Values'!$A$10:$AV$10000,H$1,FALSE),VLOOKUP($C5,'Table S3 Literature Values'!$A$10:$AV$10000,H$1,FALSE))</f>
        <v>48.037836661553541</v>
      </c>
      <c r="I5" s="61">
        <f>IF(INDEX('Table S3 Literature Values'!$A$10:$AV$10000,MATCH($C5,'Table S3 Literature Values'!$A$10:$A$10000,0)+1,I$1)=0,INDEX('Table S9 Model Derived Values'!$A$10:$AV$10000,MATCH($C5,'Table S9 Model Derived Values'!$A$10:$A$10000,0)+1,I$1),INDEX('Table S3 Literature Values'!$A$10:$AV$10000,MATCH($C5,'Table S3 Literature Values'!$A$10:$A$10000,0)+1,I$1))</f>
        <v>14.411350998466062</v>
      </c>
      <c r="J5" s="63">
        <f>INDEX('Table S3 Literature Values'!$A$10:$AV$10000,MATCH($C5,'Table S3 Literature Values'!$A$10:$A$10000,0)+2,I$1)</f>
        <v>1</v>
      </c>
      <c r="K5" s="501">
        <f>IF(VLOOKUP($C5,'Table S3 Literature Values'!$A$10:$AV$10000,K$1,FALSE)=0,VLOOKUP($C5,'Table S9 Model Derived Values'!$A$10:$AV$10000,K$1,FALSE),VLOOKUP($C5,'Table S3 Literature Values'!$A$10:$AV$10000,K$1,FALSE))</f>
        <v>0</v>
      </c>
      <c r="L5" s="61">
        <f>IF(INDEX('Table S3 Literature Values'!$A$10:$AV$10000,MATCH($C5,'Table S3 Literature Values'!$A$10:$A$10000,0)+1,L$1)=0,INDEX('Table S9 Model Derived Values'!$A$10:$AV$10000,MATCH($C5,'Table S9 Model Derived Values'!$A$10:$A$10000,0)+1,L$1),INDEX('Table S3 Literature Values'!$A$10:$AV$10000,MATCH($C5,'Table S3 Literature Values'!$A$10:$A$10000,0)+1,L$1))</f>
        <v>0</v>
      </c>
      <c r="M5" s="63">
        <f>INDEX('Table S3 Literature Values'!$A$10:$AV$10000,MATCH($C5,'Table S3 Literature Values'!$A$10:$A$10000,0)+2,L$1)</f>
        <v>0</v>
      </c>
      <c r="N5" s="501">
        <f>IF(VLOOKUP($C5,'Table S3 Literature Values'!$A$10:$AV$10000,N$1,FALSE)=0,VLOOKUP($C5,'Table S9 Model Derived Values'!$A$10:$AV$10000,N$1,FALSE),VLOOKUP($C5,'Table S3 Literature Values'!$A$10:$AV$10000,N$1,FALSE))</f>
        <v>69.05</v>
      </c>
      <c r="O5" s="61">
        <f>IF(INDEX('Table S3 Literature Values'!$A$10:$AV$10000,MATCH($C5,'Table S3 Literature Values'!$A$10:$A$10000,0)+1,O$1)=0,INDEX('Table S9 Model Derived Values'!$A$10:$AV$10000,MATCH($C5,'Table S9 Model Derived Values'!$A$10:$A$10000,0)+1,O$1),INDEX('Table S3 Literature Values'!$A$10:$AV$10000,MATCH($C5,'Table S3 Literature Values'!$A$10:$A$10000,0)+1,O$1))</f>
        <v>2.7577164466275392</v>
      </c>
      <c r="P5" s="63">
        <f>INDEX('Table S3 Literature Values'!$A$10:$AV$10000,MATCH($C5,'Table S3 Literature Values'!$A$10:$A$10000,0)+2,O$1)</f>
        <v>2</v>
      </c>
      <c r="Q5" s="501">
        <f>IF(VLOOKUP($C5,'Table S3 Literature Values'!$A$10:$AV$10000,Q$1,FALSE)=0,VLOOKUP($C5,'Table S9 Model Derived Values'!$A$10:$AV$10000,Q$1,FALSE),VLOOKUP($C5,'Table S3 Literature Values'!$A$10:$AV$10000,Q$1,FALSE))</f>
        <v>76.026879699999995</v>
      </c>
      <c r="R5" s="61">
        <f>IF(INDEX('Table S3 Literature Values'!$A$10:$AV$10000,MATCH($C5,'Table S3 Literature Values'!$A$10:$A$10000,0)+1,R$1)=0,INDEX('Table S9 Model Derived Values'!$A$10:$AV$10000,MATCH($C5,'Table S9 Model Derived Values'!$A$10:$A$10000,0)+1,R$1),INDEX('Table S3 Literature Values'!$A$10:$AV$10000,MATCH($C5,'Table S3 Literature Values'!$A$10:$A$10000,0)+1,R$1))</f>
        <v>12.8035347565176</v>
      </c>
      <c r="S5" s="63">
        <f>INDEX('Table S3 Literature Values'!$A$10:$AV$10000,MATCH($C5,'Table S3 Literature Values'!$A$10:$A$10000,0)+2,R$1)</f>
        <v>0</v>
      </c>
      <c r="T5" s="501">
        <f>IF(VLOOKUP($C5,'Table S3 Literature Values'!$A$10:$AV$10000,T$1,FALSE)=0,VLOOKUP($C5,'Table S9 Model Derived Values'!$A$10:$AV$10000,T$1,FALSE),VLOOKUP($C5,'Table S3 Literature Values'!$A$10:$AV$10000,T$1,FALSE))</f>
        <v>2.496337497195086</v>
      </c>
      <c r="U5" s="61">
        <f>IF(INDEX('Table S3 Literature Values'!$A$10:$AV$10000,MATCH($C5,'Table S3 Literature Values'!$A$10:$A$10000,0)+1,U$1)=0,INDEX('Table S9 Model Derived Values'!$A$10:$AV$10000,MATCH($C5,'Table S9 Model Derived Values'!$A$10:$A$10000,0)+1,U$1),INDEX('Table S3 Literature Values'!$A$10:$AV$10000,MATCH($C5,'Table S3 Literature Values'!$A$10:$A$10000,0)+1,U$1))</f>
        <v>0.74890124915852574</v>
      </c>
      <c r="V5" s="63">
        <f>INDEX('Table S3 Literature Values'!$A$10:$AV$10000,MATCH($C5,'Table S3 Literature Values'!$A$10:$A$10000,0)+2,U$1)</f>
        <v>1</v>
      </c>
      <c r="W5" s="501">
        <f>IF(VLOOKUP($C5,'Table S3 Literature Values'!$A$10:$AV$10000,W$1,FALSE)=0,VLOOKUP($C5,'Table S9 Model Derived Values'!$A$10:$AV$10000,W$1,FALSE),VLOOKUP($C5,'Table S3 Literature Values'!$A$10:$AV$10000,W$1,FALSE))</f>
        <v>8.0299999999999994</v>
      </c>
      <c r="X5" s="61">
        <f>IF(INDEX('Table S3 Literature Values'!$A$10:$AV$10000,MATCH($C5,'Table S3 Literature Values'!$A$10:$A$10000,0)+1,X$1)=0,INDEX('Table S9 Model Derived Values'!$A$10:$AV$10000,MATCH($C5,'Table S9 Model Derived Values'!$A$10:$A$10000,0)+1,X$1),INDEX('Table S3 Literature Values'!$A$10:$AV$10000,MATCH($C5,'Table S3 Literature Values'!$A$10:$A$10000,0)+1,X$1))</f>
        <v>0.11313708498984708</v>
      </c>
      <c r="Y5" s="63">
        <f>INDEX('Table S3 Literature Values'!$A$10:$AV$10000,MATCH($C5,'Table S3 Literature Values'!$A$10:$A$10000,0)+2,X$1)</f>
        <v>2</v>
      </c>
      <c r="Z5" s="501">
        <f ca="1">IF(VLOOKUP($C5,'Table S3 Literature Values'!$A$10:$AV$10000,Z$1,FALSE)=0,VLOOKUP($C5,'Table S9 Model Derived Values'!$A$10:$AV$10000,Z$1,FALSE),VLOOKUP($C5,'Table S3 Literature Values'!$A$10:$AV$10000,Z$1,FALSE))</f>
        <v>4.2148793247020135</v>
      </c>
      <c r="AA5" s="61">
        <f ca="1">IF(INDEX('Table S3 Literature Values'!$A$10:$AV$10000,MATCH($C5,'Table S3 Literature Values'!$A$10:$A$10000,0)+1,AA$1)=0,INDEX('Table S9 Model Derived Values'!$A$10:$AV$10000,MATCH($C5,'Table S9 Model Derived Values'!$A$10:$A$10000,0)+1,AA$1),INDEX('Table S3 Literature Values'!$A$10:$AV$10000,MATCH($C5,'Table S3 Literature Values'!$A$10:$A$10000,0)+1,AA$1))</f>
        <v>0.28572881932613631</v>
      </c>
      <c r="AB5" s="63">
        <f ca="1">INDEX('Table S3 Literature Values'!$A$10:$AV$10000,MATCH($C5,'Table S3 Literature Values'!$A$10:$A$10000,0)+2,AA$1)</f>
        <v>1</v>
      </c>
      <c r="AC5" s="501">
        <f>IF(VLOOKUP($C5,'Table S3 Literature Values'!$A$10:$AV$10000,AC$1,FALSE)=0,VLOOKUP($C5,'Table S9 Model Derived Values'!$A$10:$AV$10000,AC$1,FALSE),VLOOKUP($C5,'Table S3 Literature Values'!$A$10:$AV$10000,AC$1,FALSE))</f>
        <v>-4.7292670000000001</v>
      </c>
      <c r="AD5" s="61">
        <f>IF(INDEX('Table S3 Literature Values'!$A$10:$AV$10000,MATCH($C5,'Table S3 Literature Values'!$A$10:$A$10000,0)+1,AD$1)=0,INDEX('Table S9 Model Derived Values'!$A$10:$AV$10000,MATCH($C5,'Table S9 Model Derived Values'!$A$10:$A$10000,0)+1,AD$1),INDEX('Table S3 Literature Values'!$A$10:$AV$10000,MATCH($C5,'Table S3 Literature Values'!$A$10:$A$10000,0)+1,AD$1))</f>
        <v>2.0038660961720001</v>
      </c>
      <c r="AE5" s="63">
        <f>INDEX('Table S3 Literature Values'!$A$10:$AV$10000,MATCH($C5,'Table S3 Literature Values'!$A$10:$A$10000,0)+2,AD$1)</f>
        <v>0</v>
      </c>
      <c r="AF5" s="501">
        <f>IF(VLOOKUP($C5,'Table S3 Literature Values'!$A$10:$AV$10000,AF$1,FALSE)=0,VLOOKUP($C5,'Table S9 Model Derived Values'!$A$10:$AV$10000,AF$1,FALSE),VLOOKUP($C5,'Table S3 Literature Values'!$A$10:$AV$10000,AF$1,FALSE))</f>
        <v>-1.2257354196510586</v>
      </c>
      <c r="AG5" s="61">
        <f>IF(INDEX('Table S3 Literature Values'!$A$10:$AV$10000,MATCH($C5,'Table S3 Literature Values'!$A$10:$A$10000,0)+1,AG$1)=0,INDEX('Table S9 Model Derived Values'!$A$10:$AV$10000,MATCH($C5,'Table S9 Model Derived Values'!$A$10:$A$10000,0)+1,AG$1),INDEX('Table S3 Literature Values'!$A$10:$AV$10000,MATCH($C5,'Table S3 Literature Values'!$A$10:$A$10000,0)+1,AG$1))</f>
        <v>0.19195887136493303</v>
      </c>
      <c r="AH5" s="63">
        <f>INDEX('Table S3 Literature Values'!$A$10:$AV$10000,MATCH($C5,'Table S3 Literature Values'!$A$10:$A$10000,0)+2,AG$1)</f>
        <v>2</v>
      </c>
      <c r="AI5" s="501">
        <f ca="1">IF(VLOOKUP($C5,'Table S3 Literature Values'!$A$10:$AV$10000,AI$1,FALSE)=0,VLOOKUP($C5,'Table S9 Model Derived Values'!$A$10:$AV$10000,AI$1,FALSE),VLOOKUP($C5,'Table S3 Literature Values'!$A$10:$AV$10000,AI$1,FALSE))</f>
        <v>-2.4718095505620594</v>
      </c>
      <c r="AJ5" s="61">
        <f ca="1">IF(INDEX('Table S3 Literature Values'!$A$10:$AV$10000,MATCH($C5,'Table S3 Literature Values'!$A$10:$A$10000,0)+1,AJ$1)=0,INDEX('Table S9 Model Derived Values'!$A$10:$AV$10000,MATCH($C5,'Table S9 Model Derived Values'!$A$10:$A$10000,0)+1,AJ$1),INDEX('Table S3 Literature Values'!$A$10:$AV$10000,MATCH($C5,'Table S3 Literature Values'!$A$10:$A$10000,0)+1,AJ$1))</f>
        <v>0.30565059059935157</v>
      </c>
      <c r="AK5" s="63">
        <f ca="1">INDEX('Table S3 Literature Values'!$A$10:$AV$10000,MATCH($C5,'Table S3 Literature Values'!$A$10:$A$10000,0)+2,AJ$1)</f>
        <v>1</v>
      </c>
      <c r="AL5" s="501">
        <f>IF(VLOOKUP($C5,'Table S3 Literature Values'!$A$10:$AV$10000,AL$1,FALSE)=0,VLOOKUP($C5,'Table S9 Model Derived Values'!$A$10:$AV$10000,AL$1,FALSE),VLOOKUP($C5,'Table S3 Literature Values'!$A$10:$AV$10000,AL$1,FALSE))</f>
        <v>2.7309598999999993</v>
      </c>
      <c r="AM5" s="61">
        <f>IF(INDEX('Table S3 Literature Values'!$A$10:$AV$10000,MATCH($C5,'Table S3 Literature Values'!$A$10:$A$10000,0)+1,AM$1)=0,INDEX('Table S9 Model Derived Values'!$A$10:$AV$10000,MATCH($C5,'Table S9 Model Derived Values'!$A$10:$A$10000,0)+1,AM$1),INDEX('Table S3 Literature Values'!$A$10:$AV$10000,MATCH($C5,'Table S3 Literature Values'!$A$10:$A$10000,0)+1,AM$1))</f>
        <v>0.49356911368689987</v>
      </c>
      <c r="AN5" s="63">
        <f>INDEX('Table S3 Literature Values'!$A$10:$AV$10000,MATCH($C5,'Table S3 Literature Values'!$A$10:$A$10000,0)+2,AM$1)</f>
        <v>0</v>
      </c>
      <c r="AO5" s="501">
        <f>IF(VLOOKUP($C5,'Table S3 Literature Values'!$A$10:$AV$10000,AO$1,FALSE)=0,VLOOKUP($C5,'Table S9 Model Derived Values'!$A$10:$AV$10000,AO$1,FALSE),VLOOKUP($C5,'Table S3 Literature Values'!$A$10:$AV$10000,AO$1,FALSE))</f>
        <v>0</v>
      </c>
      <c r="AP5" s="61">
        <f>IF(INDEX('Table S3 Literature Values'!$A$10:$AV$10000,MATCH($C5,'Table S3 Literature Values'!$A$10:$A$10000,0)+1,AP$1)=0,INDEX('Table S9 Model Derived Values'!$A$10:$AV$10000,MATCH($C5,'Table S9 Model Derived Values'!$A$10:$A$10000,0)+1,AP$1),INDEX('Table S3 Literature Values'!$A$10:$AV$10000,MATCH($C5,'Table S3 Literature Values'!$A$10:$A$10000,0)+1,AP$1))</f>
        <v>0</v>
      </c>
      <c r="AQ5" s="63">
        <f>INDEX('Table S3 Literature Values'!$A$10:$AV$10000,MATCH($C5,'Table S3 Literature Values'!$A$10:$A$10000,0)+2,AP$1)</f>
        <v>0</v>
      </c>
      <c r="AR5" s="501">
        <f>IF(VLOOKUP($C5,'Table S3 Literature Values'!$A$10:$AV$10000,AR$1,FALSE)=0,VLOOKUP($C5,'Table S9 Model Derived Values'!$A$10:$AV$10000,AR$1,FALSE),VLOOKUP($C5,'Table S3 Literature Values'!$A$10:$AV$10000,AR$1,FALSE))</f>
        <v>85.25</v>
      </c>
      <c r="AS5" s="61">
        <f>IF(INDEX('Table S3 Literature Values'!$A$10:$AV$10000,MATCH($C5,'Table S3 Literature Values'!$A$10:$A$10000,0)+1,AS$1)=0,INDEX('Table S9 Model Derived Values'!$A$10:$AV$10000,MATCH($C5,'Table S9 Model Derived Values'!$A$10:$A$10000,0)+1,AS$1),INDEX('Table S3 Literature Values'!$A$10:$AV$10000,MATCH($C5,'Table S3 Literature Values'!$A$10:$A$10000,0)+1,AS$1))</f>
        <v>0.5</v>
      </c>
      <c r="AT5" s="63">
        <f>INDEX('Table S3 Literature Values'!$A$10:$AV$10000,MATCH($C5,'Table S3 Literature Values'!$A$10:$A$10000,0)+2,AS$1)</f>
        <v>4</v>
      </c>
    </row>
    <row r="6" spans="1:46">
      <c r="A6" t="str">
        <f>'Table S2 Compound Identifiers'!C11</f>
        <v>Musk</v>
      </c>
      <c r="B6">
        <f>COUNTIF($C$3:C6,"&lt;&gt;"&amp;"")</f>
        <v>4</v>
      </c>
      <c r="C6" t="str">
        <f>IF('Table S2 Compound Identifiers'!B11="","",'Table S2 Compound Identifiers'!B11)</f>
        <v>16-hexadecanolide</v>
      </c>
      <c r="D6" t="str">
        <f>'Table S2 Compound Identifiers'!D11</f>
        <v>109-29-5</v>
      </c>
      <c r="E6" s="501">
        <f>IF(VLOOKUP($C6,'Table S3 Literature Values'!$A$10:$AV$10000,E$1,FALSE)=0,VLOOKUP($C6,'Table S9 Model Derived Values'!$A$10:$AV$10000,E$1,FALSE),VLOOKUP($C6,'Table S3 Literature Values'!$A$10:$AV$10000,E$1,FALSE))</f>
        <v>73.3</v>
      </c>
      <c r="F6" s="61">
        <f>IF(INDEX('Table S3 Literature Values'!$A$10:$AV$10000,MATCH($C6,'Table S3 Literature Values'!$A$10:$A$10000,0)+1,F$1)=0,INDEX('Table S9 Model Derived Values'!$A$10:$AV$10000,MATCH($C6,'Table S9 Model Derived Values'!$A$10:$A$10000,0)+1,F$1),INDEX('Table S3 Literature Values'!$A$10:$AV$10000,MATCH($C6,'Table S3 Literature Values'!$A$10:$A$10000,0)+1,F$1))</f>
        <v>9.7616596949493708</v>
      </c>
      <c r="G6" s="63">
        <f>INDEX('Table S3 Literature Values'!$A$10:$AV$10000,MATCH($C6,'Table S3 Literature Values'!$A$10:$A$10000,0)+2,F$1)</f>
        <v>3</v>
      </c>
      <c r="H6" s="501">
        <f>IF(VLOOKUP($C6,'Table S3 Literature Values'!$A$10:$AV$10000,H$1,FALSE)=0,VLOOKUP($C6,'Table S9 Model Derived Values'!$A$10:$AV$10000,H$1,FALSE),VLOOKUP($C6,'Table S3 Literature Values'!$A$10:$AV$10000,H$1,FALSE))</f>
        <v>7.8802933416640002</v>
      </c>
      <c r="I6" s="61">
        <f>IF(INDEX('Table S3 Literature Values'!$A$10:$AV$10000,MATCH($C6,'Table S3 Literature Values'!$A$10:$A$10000,0)+1,I$1)=0,INDEX('Table S9 Model Derived Values'!$A$10:$AV$10000,MATCH($C6,'Table S9 Model Derived Values'!$A$10:$A$10000,0)+1,I$1),INDEX('Table S3 Literature Values'!$A$10:$AV$10000,MATCH($C6,'Table S3 Literature Values'!$A$10:$A$10000,0)+1,I$1))</f>
        <v>6.6457114247055262</v>
      </c>
      <c r="J6" s="63">
        <f>INDEX('Table S3 Literature Values'!$A$10:$AV$10000,MATCH($C6,'Table S3 Literature Values'!$A$10:$A$10000,0)+2,I$1)</f>
        <v>0</v>
      </c>
      <c r="K6" s="501">
        <f>IF(VLOOKUP($C6,'Table S3 Literature Values'!$A$10:$AV$10000,K$1,FALSE)=0,VLOOKUP($C6,'Table S9 Model Derived Values'!$A$10:$AV$10000,K$1,FALSE),VLOOKUP($C6,'Table S3 Literature Values'!$A$10:$AV$10000,K$1,FALSE))</f>
        <v>0</v>
      </c>
      <c r="L6" s="61">
        <f>IF(INDEX('Table S3 Literature Values'!$A$10:$AV$10000,MATCH($C6,'Table S3 Literature Values'!$A$10:$A$10000,0)+1,L$1)=0,INDEX('Table S9 Model Derived Values'!$A$10:$AV$10000,MATCH($C6,'Table S9 Model Derived Values'!$A$10:$A$10000,0)+1,L$1),INDEX('Table S3 Literature Values'!$A$10:$AV$10000,MATCH($C6,'Table S3 Literature Values'!$A$10:$A$10000,0)+1,L$1))</f>
        <v>0</v>
      </c>
      <c r="M6" s="63">
        <f>INDEX('Table S3 Literature Values'!$A$10:$AV$10000,MATCH($C6,'Table S3 Literature Values'!$A$10:$A$10000,0)+2,L$1)</f>
        <v>0</v>
      </c>
      <c r="N6" s="501">
        <f>IF(VLOOKUP($C6,'Table S3 Literature Values'!$A$10:$AV$10000,N$1,FALSE)=0,VLOOKUP($C6,'Table S9 Model Derived Values'!$A$10:$AV$10000,N$1,FALSE),VLOOKUP($C6,'Table S3 Literature Values'!$A$10:$AV$10000,N$1,FALSE))</f>
        <v>52.3</v>
      </c>
      <c r="O6" s="61">
        <f>IF(INDEX('Table S3 Literature Values'!$A$10:$AV$10000,MATCH($C6,'Table S3 Literature Values'!$A$10:$A$10000,0)+1,O$1)=0,INDEX('Table S9 Model Derived Values'!$A$10:$AV$10000,MATCH($C6,'Table S9 Model Derived Values'!$A$10:$A$10000,0)+1,O$1),INDEX('Table S3 Literature Values'!$A$10:$AV$10000,MATCH($C6,'Table S3 Literature Values'!$A$10:$A$10000,0)+1,O$1))</f>
        <v>3.3136277817086577</v>
      </c>
      <c r="P6" s="63">
        <f>INDEX('Table S3 Literature Values'!$A$10:$AV$10000,MATCH($C6,'Table S3 Literature Values'!$A$10:$A$10000,0)+2,O$1)</f>
        <v>1</v>
      </c>
      <c r="Q6" s="501">
        <f>IF(VLOOKUP($C6,'Table S3 Literature Values'!$A$10:$AV$10000,Q$1,FALSE)=0,VLOOKUP($C6,'Table S9 Model Derived Values'!$A$10:$AV$10000,Q$1,FALSE),VLOOKUP($C6,'Table S3 Literature Values'!$A$10:$AV$10000,Q$1,FALSE))</f>
        <v>74.363602399999991</v>
      </c>
      <c r="R6" s="61">
        <f>IF(INDEX('Table S3 Literature Values'!$A$10:$AV$10000,MATCH($C6,'Table S3 Literature Values'!$A$10:$A$10000,0)+1,R$1)=0,INDEX('Table S9 Model Derived Values'!$A$10:$AV$10000,MATCH($C6,'Table S9 Model Derived Values'!$A$10:$A$10000,0)+1,R$1),INDEX('Table S3 Literature Values'!$A$10:$AV$10000,MATCH($C6,'Table S3 Literature Values'!$A$10:$A$10000,0)+1,R$1))</f>
        <v>12.523425552979198</v>
      </c>
      <c r="S6" s="63">
        <f>INDEX('Table S3 Literature Values'!$A$10:$AV$10000,MATCH($C6,'Table S3 Literature Values'!$A$10:$A$10000,0)+2,R$1)</f>
        <v>0</v>
      </c>
      <c r="T6" s="501">
        <f>IF(VLOOKUP($C6,'Table S3 Literature Values'!$A$10:$AV$10000,T$1,FALSE)=0,VLOOKUP($C6,'Table S9 Model Derived Values'!$A$10:$AV$10000,T$1,FALSE),VLOOKUP($C6,'Table S3 Literature Values'!$A$10:$AV$10000,T$1,FALSE))</f>
        <v>-3.8094693826958661</v>
      </c>
      <c r="U6" s="61">
        <f>IF(INDEX('Table S3 Literature Values'!$A$10:$AV$10000,MATCH($C6,'Table S3 Literature Values'!$A$10:$A$10000,0)+1,U$1)=0,INDEX('Table S9 Model Derived Values'!$A$10:$AV$10000,MATCH($C6,'Table S9 Model Derived Values'!$A$10:$A$10000,0)+1,U$1),INDEX('Table S3 Literature Values'!$A$10:$AV$10000,MATCH($C6,'Table S3 Literature Values'!$A$10:$A$10000,0)+1,U$1))</f>
        <v>7.1388961000700784</v>
      </c>
      <c r="V6" s="63">
        <f>INDEX('Table S3 Literature Values'!$A$10:$AV$10000,MATCH($C6,'Table S3 Literature Values'!$A$10:$A$10000,0)+2,U$1)</f>
        <v>0</v>
      </c>
      <c r="W6" s="501">
        <f>IF(VLOOKUP($C6,'Table S3 Literature Values'!$A$10:$AV$10000,W$1,FALSE)=0,VLOOKUP($C6,'Table S9 Model Derived Values'!$A$10:$AV$10000,W$1,FALSE),VLOOKUP($C6,'Table S3 Literature Values'!$A$10:$AV$10000,W$1,FALSE))</f>
        <v>7.313836917880459</v>
      </c>
      <c r="X6" s="61">
        <f>IF(INDEX('Table S3 Literature Values'!$A$10:$AV$10000,MATCH($C6,'Table S3 Literature Values'!$A$10:$A$10000,0)+1,X$1)=0,INDEX('Table S9 Model Derived Values'!$A$10:$AV$10000,MATCH($C6,'Table S9 Model Derived Values'!$A$10:$A$10000,0)+1,X$1),INDEX('Table S3 Literature Values'!$A$10:$AV$10000,MATCH($C6,'Table S3 Literature Values'!$A$10:$A$10000,0)+1,X$1))</f>
        <v>0.1883153424907929</v>
      </c>
      <c r="Y6" s="63">
        <f>INDEX('Table S3 Literature Values'!$A$10:$AV$10000,MATCH($C6,'Table S3 Literature Values'!$A$10:$A$10000,0)+2,X$1)</f>
        <v>1</v>
      </c>
      <c r="Z6" s="501">
        <f ca="1">IF(VLOOKUP($C6,'Table S3 Literature Values'!$A$10:$AV$10000,Z$1,FALSE)=0,VLOOKUP($C6,'Table S9 Model Derived Values'!$A$10:$AV$10000,Z$1,FALSE),VLOOKUP($C6,'Table S3 Literature Values'!$A$10:$AV$10000,Z$1,FALSE))</f>
        <v>7.3238670905524286</v>
      </c>
      <c r="AA6" s="61">
        <f ca="1">IF(INDEX('Table S3 Literature Values'!$A$10:$AV$10000,MATCH($C6,'Table S3 Literature Values'!$A$10:$A$10000,0)+1,AA$1)=0,INDEX('Table S9 Model Derived Values'!$A$10:$AV$10000,MATCH($C6,'Table S9 Model Derived Values'!$A$10:$A$10000,0)+1,AA$1),INDEX('Table S3 Literature Values'!$A$10:$AV$10000,MATCH($C6,'Table S3 Literature Values'!$A$10:$A$10000,0)+1,AA$1))</f>
        <v>1.4647734181104859</v>
      </c>
      <c r="AB6" s="63">
        <f ca="1">INDEX('Table S3 Literature Values'!$A$10:$AV$10000,MATCH($C6,'Table S3 Literature Values'!$A$10:$A$10000,0)+2,AA$1)</f>
        <v>1</v>
      </c>
      <c r="AC6" s="501">
        <f>IF(VLOOKUP($C6,'Table S3 Literature Values'!$A$10:$AV$10000,AC$1,FALSE)=0,VLOOKUP($C6,'Table S9 Model Derived Values'!$A$10:$AV$10000,AC$1,FALSE),VLOOKUP($C6,'Table S3 Literature Values'!$A$10:$AV$10000,AC$1,FALSE))</f>
        <v>-0.33406399999999969</v>
      </c>
      <c r="AD6" s="61">
        <f>IF(INDEX('Table S3 Literature Values'!$A$10:$AV$10000,MATCH($C6,'Table S3 Literature Values'!$A$10:$A$10000,0)+1,AD$1)=0,INDEX('Table S9 Model Derived Values'!$A$10:$AV$10000,MATCH($C6,'Table S9 Model Derived Values'!$A$10:$A$10000,0)+1,AD$1),INDEX('Table S3 Literature Values'!$A$10:$AV$10000,MATCH($C6,'Table S3 Literature Values'!$A$10:$A$10000,0)+1,AD$1))</f>
        <v>0.14154826182399988</v>
      </c>
      <c r="AE6" s="63">
        <f>INDEX('Table S3 Literature Values'!$A$10:$AV$10000,MATCH($C6,'Table S3 Literature Values'!$A$10:$A$10000,0)+2,AD$1)</f>
        <v>0</v>
      </c>
      <c r="AF6" s="501">
        <f>IF(VLOOKUP($C6,'Table S3 Literature Values'!$A$10:$AV$10000,AF$1,FALSE)=0,VLOOKUP($C6,'Table S9 Model Derived Values'!$A$10:$AV$10000,AF$1,FALSE),VLOOKUP($C6,'Table S3 Literature Values'!$A$10:$AV$10000,AF$1,FALSE))</f>
        <v>-1.1355420887223011</v>
      </c>
      <c r="AG6" s="61">
        <f>IF(INDEX('Table S3 Literature Values'!$A$10:$AV$10000,MATCH($C6,'Table S3 Literature Values'!$A$10:$A$10000,0)+1,AG$1)=0,INDEX('Table S9 Model Derived Values'!$A$10:$AV$10000,MATCH($C6,'Table S9 Model Derived Values'!$A$10:$A$10000,0)+1,AG$1),INDEX('Table S3 Literature Values'!$A$10:$AV$10000,MATCH($C6,'Table S3 Literature Values'!$A$10:$A$10000,0)+1,AG$1))</f>
        <v>0.43924064333015556</v>
      </c>
      <c r="AH6" s="63">
        <f>INDEX('Table S3 Literature Values'!$A$10:$AV$10000,MATCH($C6,'Table S3 Literature Values'!$A$10:$A$10000,0)+2,AG$1)</f>
        <v>3</v>
      </c>
      <c r="AI6" s="501">
        <f ca="1">IF(VLOOKUP($C6,'Table S3 Literature Values'!$A$10:$AV$10000,AI$1,FALSE)=0,VLOOKUP($C6,'Table S9 Model Derived Values'!$A$10:$AV$10000,AI$1,FALSE),VLOOKUP($C6,'Table S3 Literature Values'!$A$10:$AV$10000,AI$1,FALSE))</f>
        <v>-3.3238142345210746</v>
      </c>
      <c r="AJ6" s="61">
        <f ca="1">IF(INDEX('Table S3 Literature Values'!$A$10:$AV$10000,MATCH($C6,'Table S3 Literature Values'!$A$10:$A$10000,0)+1,AJ$1)=0,INDEX('Table S9 Model Derived Values'!$A$10:$AV$10000,MATCH($C6,'Table S9 Model Derived Values'!$A$10:$A$10000,0)+1,AJ$1),INDEX('Table S3 Literature Values'!$A$10:$AV$10000,MATCH($C6,'Table S3 Literature Values'!$A$10:$A$10000,0)+1,AJ$1))</f>
        <v>0.41100487842717859</v>
      </c>
      <c r="AK6" s="63">
        <f ca="1">INDEX('Table S3 Literature Values'!$A$10:$AV$10000,MATCH($C6,'Table S3 Literature Values'!$A$10:$A$10000,0)+2,AJ$1)</f>
        <v>1</v>
      </c>
      <c r="AL6" s="501">
        <f>IF(VLOOKUP($C6,'Table S3 Literature Values'!$A$10:$AV$10000,AL$1,FALSE)=0,VLOOKUP($C6,'Table S9 Model Derived Values'!$A$10:$AV$10000,AL$1,FALSE),VLOOKUP($C6,'Table S3 Literature Values'!$A$10:$AV$10000,AL$1,FALSE))</f>
        <v>4.4211807999999992</v>
      </c>
      <c r="AM6" s="61">
        <f>IF(INDEX('Table S3 Literature Values'!$A$10:$AV$10000,MATCH($C6,'Table S3 Literature Values'!$A$10:$A$10000,0)+1,AM$1)=0,INDEX('Table S9 Model Derived Values'!$A$10:$AV$10000,MATCH($C6,'Table S9 Model Derived Values'!$A$10:$A$10000,0)+1,AM$1),INDEX('Table S3 Literature Values'!$A$10:$AV$10000,MATCH($C6,'Table S3 Literature Values'!$A$10:$A$10000,0)+1,AM$1))</f>
        <v>0.79904442716479984</v>
      </c>
      <c r="AN6" s="63">
        <f>INDEX('Table S3 Literature Values'!$A$10:$AV$10000,MATCH($C6,'Table S3 Literature Values'!$A$10:$A$10000,0)+2,AM$1)</f>
        <v>0</v>
      </c>
      <c r="AO6" s="501">
        <f>IF(VLOOKUP($C6,'Table S3 Literature Values'!$A$10:$AV$10000,AO$1,FALSE)=0,VLOOKUP($C6,'Table S9 Model Derived Values'!$A$10:$AV$10000,AO$1,FALSE),VLOOKUP($C6,'Table S3 Literature Values'!$A$10:$AV$10000,AO$1,FALSE))</f>
        <v>24.902975420439848</v>
      </c>
      <c r="AP6" s="61">
        <f>IF(INDEX('Table S3 Literature Values'!$A$10:$AV$10000,MATCH($C6,'Table S3 Literature Values'!$A$10:$A$10000,0)+1,AP$1)=0,INDEX('Table S9 Model Derived Values'!$A$10:$AV$10000,MATCH($C6,'Table S9 Model Derived Values'!$A$10:$A$10000,0)+1,AP$1),INDEX('Table S3 Literature Values'!$A$10:$AV$10000,MATCH($C6,'Table S3 Literature Values'!$A$10:$A$10000,0)+1,AP$1))</f>
        <v>1.962843209337348</v>
      </c>
      <c r="AQ6" s="63">
        <f>INDEX('Table S3 Literature Values'!$A$10:$AV$10000,MATCH($C6,'Table S3 Literature Values'!$A$10:$A$10000,0)+2,AP$1)</f>
        <v>1</v>
      </c>
      <c r="AR6" s="501">
        <f>IF(VLOOKUP($C6,'Table S3 Literature Values'!$A$10:$AV$10000,AR$1,FALSE)=0,VLOOKUP($C6,'Table S9 Model Derived Values'!$A$10:$AV$10000,AR$1,FALSE),VLOOKUP($C6,'Table S3 Literature Values'!$A$10:$AV$10000,AR$1,FALSE))</f>
        <v>35.525000000000006</v>
      </c>
      <c r="AS6" s="61">
        <f>IF(INDEX('Table S3 Literature Values'!$A$10:$AV$10000,MATCH($C6,'Table S3 Literature Values'!$A$10:$A$10000,0)+1,AS$1)=0,INDEX('Table S9 Model Derived Values'!$A$10:$AV$10000,MATCH($C6,'Table S9 Model Derived Values'!$A$10:$A$10000,0)+1,AS$1),INDEX('Table S3 Literature Values'!$A$10:$AV$10000,MATCH($C6,'Table S3 Literature Values'!$A$10:$A$10000,0)+1,AS$1))</f>
        <v>0.74246212024588287</v>
      </c>
      <c r="AT6" s="63">
        <f>INDEX('Table S3 Literature Values'!$A$10:$AV$10000,MATCH($C6,'Table S3 Literature Values'!$A$10:$A$10000,0)+2,AS$1)</f>
        <v>2</v>
      </c>
    </row>
    <row r="7" spans="1:46">
      <c r="A7" t="str">
        <f>'Table S2 Compound Identifiers'!C12</f>
        <v>Musk</v>
      </c>
      <c r="B7">
        <f>COUNTIF($C$3:C7,"&lt;&gt;"&amp;"")</f>
        <v>5</v>
      </c>
      <c r="C7" t="str">
        <f>IF('Table S2 Compound Identifiers'!B12="","",'Table S2 Compound Identifiers'!B12)</f>
        <v>Celestolide</v>
      </c>
      <c r="D7" t="str">
        <f>'Table S2 Compound Identifiers'!D12</f>
        <v>13171-00-1</v>
      </c>
      <c r="E7" s="501">
        <f>IF(VLOOKUP($C7,'Table S3 Literature Values'!$A$10:$AV$10000,E$1,FALSE)=0,VLOOKUP($C7,'Table S9 Model Derived Values'!$A$10:$AV$10000,E$1,FALSE),VLOOKUP($C7,'Table S3 Literature Values'!$A$10:$AV$10000,E$1,FALSE))</f>
        <v>78.515084253840001</v>
      </c>
      <c r="F7" s="61">
        <f>IF(INDEX('Table S3 Literature Values'!$A$10:$AV$10000,MATCH($C7,'Table S3 Literature Values'!$A$10:$A$10000,0)+1,F$1)=0,INDEX('Table S9 Model Derived Values'!$A$10:$AV$10000,MATCH($C7,'Table S9 Model Derived Values'!$A$10:$A$10000,0)+1,F$1),INDEX('Table S3 Literature Values'!$A$10:$AV$10000,MATCH($C7,'Table S3 Literature Values'!$A$10:$A$10000,0)+1,F$1))</f>
        <v>19.87248188498392</v>
      </c>
      <c r="G7" s="63">
        <f>INDEX('Table S3 Literature Values'!$A$10:$AV$10000,MATCH($C7,'Table S3 Literature Values'!$A$10:$A$10000,0)+2,F$1)</f>
        <v>0</v>
      </c>
      <c r="H7" s="501">
        <f>IF(VLOOKUP($C7,'Table S3 Literature Values'!$A$10:$AV$10000,H$1,FALSE)=0,VLOOKUP($C7,'Table S9 Model Derived Values'!$A$10:$AV$10000,H$1,FALSE),VLOOKUP($C7,'Table S3 Literature Values'!$A$10:$AV$10000,H$1,FALSE))</f>
        <v>-21.899453175314246</v>
      </c>
      <c r="I7" s="61">
        <f>IF(INDEX('Table S3 Literature Values'!$A$10:$AV$10000,MATCH($C7,'Table S3 Literature Values'!$A$10:$A$10000,0)+1,I$1)=0,INDEX('Table S9 Model Derived Values'!$A$10:$AV$10000,MATCH($C7,'Table S9 Model Derived Values'!$A$10:$A$10000,0)+1,I$1),INDEX('Table S3 Literature Values'!$A$10:$AV$10000,MATCH($C7,'Table S3 Literature Values'!$A$10:$A$10000,0)+1,I$1))</f>
        <v>6.569835952594274</v>
      </c>
      <c r="J7" s="63">
        <f>INDEX('Table S3 Literature Values'!$A$10:$AV$10000,MATCH($C7,'Table S3 Literature Values'!$A$10:$A$10000,0)+2,I$1)</f>
        <v>1</v>
      </c>
      <c r="K7" s="501">
        <f>IF(VLOOKUP($C7,'Table S3 Literature Values'!$A$10:$AV$10000,K$1,FALSE)=0,VLOOKUP($C7,'Table S9 Model Derived Values'!$A$10:$AV$10000,K$1,FALSE),VLOOKUP($C7,'Table S3 Literature Values'!$A$10:$AV$10000,K$1,FALSE))</f>
        <v>0</v>
      </c>
      <c r="L7" s="61">
        <f>IF(INDEX('Table S3 Literature Values'!$A$10:$AV$10000,MATCH($C7,'Table S3 Literature Values'!$A$10:$A$10000,0)+1,L$1)=0,INDEX('Table S9 Model Derived Values'!$A$10:$AV$10000,MATCH($C7,'Table S9 Model Derived Values'!$A$10:$A$10000,0)+1,L$1),INDEX('Table S3 Literature Values'!$A$10:$AV$10000,MATCH($C7,'Table S3 Literature Values'!$A$10:$A$10000,0)+1,L$1))</f>
        <v>0</v>
      </c>
      <c r="M7" s="63">
        <f>INDEX('Table S3 Literature Values'!$A$10:$AV$10000,MATCH($C7,'Table S3 Literature Values'!$A$10:$A$10000,0)+2,L$1)</f>
        <v>0</v>
      </c>
      <c r="N7" s="501">
        <f>IF(VLOOKUP($C7,'Table S3 Literature Values'!$A$10:$AV$10000,N$1,FALSE)=0,VLOOKUP($C7,'Table S9 Model Derived Values'!$A$10:$AV$10000,N$1,FALSE),VLOOKUP($C7,'Table S3 Literature Values'!$A$10:$AV$10000,N$1,FALSE))</f>
        <v>64.900000000000006</v>
      </c>
      <c r="O7" s="61">
        <f>IF(INDEX('Table S3 Literature Values'!$A$10:$AV$10000,MATCH($C7,'Table S3 Literature Values'!$A$10:$A$10000,0)+1,O$1)=0,INDEX('Table S9 Model Derived Values'!$A$10:$AV$10000,MATCH($C7,'Table S9 Model Derived Values'!$A$10:$A$10000,0)+1,O$1),INDEX('Table S3 Literature Values'!$A$10:$AV$10000,MATCH($C7,'Table S3 Literature Values'!$A$10:$A$10000,0)+1,O$1))</f>
        <v>4.11193963734019</v>
      </c>
      <c r="P7" s="63">
        <f>INDEX('Table S3 Literature Values'!$A$10:$AV$10000,MATCH($C7,'Table S3 Literature Values'!$A$10:$A$10000,0)+2,O$1)</f>
        <v>1</v>
      </c>
      <c r="Q7" s="501">
        <f>IF(VLOOKUP($C7,'Table S3 Literature Values'!$A$10:$AV$10000,Q$1,FALSE)=0,VLOOKUP($C7,'Table S9 Model Derived Values'!$A$10:$AV$10000,Q$1,FALSE),VLOOKUP($C7,'Table S3 Literature Values'!$A$10:$AV$10000,Q$1,FALSE))</f>
        <v>76.371950200000001</v>
      </c>
      <c r="R7" s="61">
        <f>IF(INDEX('Table S3 Literature Values'!$A$10:$AV$10000,MATCH($C7,'Table S3 Literature Values'!$A$10:$A$10000,0)+1,R$1)=0,INDEX('Table S9 Model Derived Values'!$A$10:$AV$10000,MATCH($C7,'Table S9 Model Derived Values'!$A$10:$A$10000,0)+1,R$1),INDEX('Table S3 Literature Values'!$A$10:$AV$10000,MATCH($C7,'Table S3 Literature Values'!$A$10:$A$10000,0)+1,R$1))</f>
        <v>12.8616473892816</v>
      </c>
      <c r="S7" s="63">
        <f>INDEX('Table S3 Literature Values'!$A$10:$AV$10000,MATCH($C7,'Table S3 Literature Values'!$A$10:$A$10000,0)+2,R$1)</f>
        <v>0</v>
      </c>
      <c r="T7" s="501">
        <f>IF(VLOOKUP($C7,'Table S3 Literature Values'!$A$10:$AV$10000,T$1,FALSE)=0,VLOOKUP($C7,'Table S9 Model Derived Values'!$A$10:$AV$10000,T$1,FALSE),VLOOKUP($C7,'Table S3 Literature Values'!$A$10:$AV$10000,T$1,FALSE))</f>
        <v>5.8579698937246648E-2</v>
      </c>
      <c r="U7" s="61">
        <f>IF(INDEX('Table S3 Literature Values'!$A$10:$AV$10000,MATCH($C7,'Table S3 Literature Values'!$A$10:$A$10000,0)+1,U$1)=0,INDEX('Table S9 Model Derived Values'!$A$10:$AV$10000,MATCH($C7,'Table S9 Model Derived Values'!$A$10:$A$10000,0)+1,U$1),INDEX('Table S3 Literature Values'!$A$10:$AV$10000,MATCH($C7,'Table S3 Literature Values'!$A$10:$A$10000,0)+1,U$1))</f>
        <v>1.7573909681173994E-2</v>
      </c>
      <c r="V7" s="63">
        <f>INDEX('Table S3 Literature Values'!$A$10:$AV$10000,MATCH($C7,'Table S3 Literature Values'!$A$10:$A$10000,0)+2,U$1)</f>
        <v>1</v>
      </c>
      <c r="W7" s="501">
        <f>IF(VLOOKUP($C7,'Table S3 Literature Values'!$A$10:$AV$10000,W$1,FALSE)=0,VLOOKUP($C7,'Table S9 Model Derived Values'!$A$10:$AV$10000,W$1,FALSE),VLOOKUP($C7,'Table S3 Literature Values'!$A$10:$AV$10000,W$1,FALSE))</f>
        <v>7.58</v>
      </c>
      <c r="X7" s="61">
        <f>IF(INDEX('Table S3 Literature Values'!$A$10:$AV$10000,MATCH($C7,'Table S3 Literature Values'!$A$10:$A$10000,0)+1,X$1)=0,INDEX('Table S9 Model Derived Values'!$A$10:$AV$10000,MATCH($C7,'Table S9 Model Derived Values'!$A$10:$A$10000,0)+1,X$1),INDEX('Table S3 Literature Values'!$A$10:$AV$10000,MATCH($C7,'Table S3 Literature Values'!$A$10:$A$10000,0)+1,X$1))</f>
        <v>0.19516846111109046</v>
      </c>
      <c r="Y7" s="63">
        <f>INDEX('Table S3 Literature Values'!$A$10:$AV$10000,MATCH($C7,'Table S3 Literature Values'!$A$10:$A$10000,0)+2,X$1)</f>
        <v>1</v>
      </c>
      <c r="Z7" s="501">
        <f>IF(VLOOKUP($C7,'Table S3 Literature Values'!$A$10:$AV$10000,Z$1,FALSE)=0,VLOOKUP($C7,'Table S9 Model Derived Values'!$A$10:$AV$10000,Z$1,FALSE),VLOOKUP($C7,'Table S3 Literature Values'!$A$10:$AV$10000,Z$1,FALSE))</f>
        <v>5.7</v>
      </c>
      <c r="AA7" s="61">
        <f>IF(INDEX('Table S3 Literature Values'!$A$10:$AV$10000,MATCH($C7,'Table S3 Literature Values'!$A$10:$A$10000,0)+1,AA$1)=0,INDEX('Table S9 Model Derived Values'!$A$10:$AV$10000,MATCH($C7,'Table S9 Model Derived Values'!$A$10:$A$10000,0)+1,AA$1),INDEX('Table S3 Literature Values'!$A$10:$AV$10000,MATCH($C7,'Table S3 Literature Values'!$A$10:$A$10000,0)+1,AA$1))</f>
        <v>1.1400000000000001</v>
      </c>
      <c r="AB7" s="63">
        <f>INDEX('Table S3 Literature Values'!$A$10:$AV$10000,MATCH($C7,'Table S3 Literature Values'!$A$10:$A$10000,0)+2,AA$1)</f>
        <v>1</v>
      </c>
      <c r="AC7" s="501">
        <f>IF(VLOOKUP($C7,'Table S3 Literature Values'!$A$10:$AV$10000,AC$1,FALSE)=0,VLOOKUP($C7,'Table S9 Model Derived Values'!$A$10:$AV$10000,AC$1,FALSE),VLOOKUP($C7,'Table S3 Literature Values'!$A$10:$AV$10000,AC$1,FALSE))</f>
        <v>-1.9819019999999989</v>
      </c>
      <c r="AD7" s="61">
        <f>IF(INDEX('Table S3 Literature Values'!$A$10:$AV$10000,MATCH($C7,'Table S3 Literature Values'!$A$10:$A$10000,0)+1,AD$1)=0,INDEX('Table S9 Model Derived Values'!$A$10:$AV$10000,MATCH($C7,'Table S9 Model Derived Values'!$A$10:$A$10000,0)+1,AD$1),INDEX('Table S3 Literature Values'!$A$10:$AV$10000,MATCH($C7,'Table S3 Literature Values'!$A$10:$A$10000,0)+1,AD$1))</f>
        <v>0.83976358783199956</v>
      </c>
      <c r="AE7" s="63">
        <f>INDEX('Table S3 Literature Values'!$A$10:$AV$10000,MATCH($C7,'Table S3 Literature Values'!$A$10:$A$10000,0)+2,AD$1)</f>
        <v>0</v>
      </c>
      <c r="AF7" s="501">
        <f>IF(VLOOKUP($C7,'Table S3 Literature Values'!$A$10:$AV$10000,AF$1,FALSE)=0,VLOOKUP($C7,'Table S9 Model Derived Values'!$A$10:$AV$10000,AF$1,FALSE),VLOOKUP($C7,'Table S3 Literature Values'!$A$10:$AV$10000,AF$1,FALSE))</f>
        <v>-0.77638710177176951</v>
      </c>
      <c r="AG7" s="61">
        <f>IF(INDEX('Table S3 Literature Values'!$A$10:$AV$10000,MATCH($C7,'Table S3 Literature Values'!$A$10:$A$10000,0)+1,AG$1)=0,INDEX('Table S9 Model Derived Values'!$A$10:$AV$10000,MATCH($C7,'Table S9 Model Derived Values'!$A$10:$A$10000,0)+1,AG$1),INDEX('Table S3 Literature Values'!$A$10:$AV$10000,MATCH($C7,'Table S3 Literature Values'!$A$10:$A$10000,0)+1,AG$1))</f>
        <v>0.12318497505347768</v>
      </c>
      <c r="AH7" s="63">
        <f>INDEX('Table S3 Literature Values'!$A$10:$AV$10000,MATCH($C7,'Table S3 Literature Values'!$A$10:$A$10000,0)+2,AG$1)</f>
        <v>1</v>
      </c>
      <c r="AI7" s="501">
        <f>IF(VLOOKUP($C7,'Table S3 Literature Values'!$A$10:$AV$10000,AI$1,FALSE)=0,VLOOKUP($C7,'Table S9 Model Derived Values'!$A$10:$AV$10000,AI$1,FALSE),VLOOKUP($C7,'Table S3 Literature Values'!$A$10:$AV$10000,AI$1,FALSE))</f>
        <v>-1.3462233143573918</v>
      </c>
      <c r="AJ7" s="61">
        <f>IF(INDEX('Table S3 Literature Values'!$A$10:$AV$10000,MATCH($C7,'Table S3 Literature Values'!$A$10:$A$10000,0)+1,AJ$1)=0,INDEX('Table S9 Model Derived Values'!$A$10:$AV$10000,MATCH($C7,'Table S9 Model Derived Values'!$A$10:$A$10000,0)+1,AJ$1),INDEX('Table S3 Literature Values'!$A$10:$AV$10000,MATCH($C7,'Table S3 Literature Values'!$A$10:$A$10000,0)+1,AJ$1))</f>
        <v>0.1664666887537469</v>
      </c>
      <c r="AK7" s="63">
        <f>INDEX('Table S3 Literature Values'!$A$10:$AV$10000,MATCH($C7,'Table S3 Literature Values'!$A$10:$A$10000,0)+2,AJ$1)</f>
        <v>1</v>
      </c>
      <c r="AL7" s="501">
        <f>IF(VLOOKUP($C7,'Table S3 Literature Values'!$A$10:$AV$10000,AL$1,FALSE)=0,VLOOKUP($C7,'Table S9 Model Derived Values'!$A$10:$AV$10000,AL$1,FALSE),VLOOKUP($C7,'Table S3 Literature Values'!$A$10:$AV$10000,AL$1,FALSE))</f>
        <v>3.6582493999999981</v>
      </c>
      <c r="AM7" s="61">
        <f>IF(INDEX('Table S3 Literature Values'!$A$10:$AV$10000,MATCH($C7,'Table S3 Literature Values'!$A$10:$A$10000,0)+1,AM$1)=0,INDEX('Table S9 Model Derived Values'!$A$10:$AV$10000,MATCH($C7,'Table S9 Model Derived Values'!$A$10:$A$10000,0)+1,AM$1),INDEX('Table S3 Literature Values'!$A$10:$AV$10000,MATCH($C7,'Table S3 Literature Values'!$A$10:$A$10000,0)+1,AM$1))</f>
        <v>0.6611590723113997</v>
      </c>
      <c r="AN7" s="63">
        <f>INDEX('Table S3 Literature Values'!$A$10:$AV$10000,MATCH($C7,'Table S3 Literature Values'!$A$10:$A$10000,0)+2,AM$1)</f>
        <v>0</v>
      </c>
      <c r="AO7" s="501">
        <f>IF(VLOOKUP($C7,'Table S3 Literature Values'!$A$10:$AV$10000,AO$1,FALSE)=0,VLOOKUP($C7,'Table S9 Model Derived Values'!$A$10:$AV$10000,AO$1,FALSE),VLOOKUP($C7,'Table S3 Literature Values'!$A$10:$AV$10000,AO$1,FALSE))</f>
        <v>0</v>
      </c>
      <c r="AP7" s="61">
        <f>IF(INDEX('Table S3 Literature Values'!$A$10:$AV$10000,MATCH($C7,'Table S3 Literature Values'!$A$10:$A$10000,0)+1,AP$1)=0,INDEX('Table S9 Model Derived Values'!$A$10:$AV$10000,MATCH($C7,'Table S9 Model Derived Values'!$A$10:$A$10000,0)+1,AP$1),INDEX('Table S3 Literature Values'!$A$10:$AV$10000,MATCH($C7,'Table S3 Literature Values'!$A$10:$A$10000,0)+1,AP$1))</f>
        <v>0</v>
      </c>
      <c r="AQ7" s="63">
        <f>INDEX('Table S3 Literature Values'!$A$10:$AV$10000,MATCH($C7,'Table S3 Literature Values'!$A$10:$A$10000,0)+2,AP$1)</f>
        <v>0</v>
      </c>
      <c r="AR7" s="501">
        <f>IF(VLOOKUP($C7,'Table S3 Literature Values'!$A$10:$AV$10000,AR$1,FALSE)=0,VLOOKUP($C7,'Table S9 Model Derived Values'!$A$10:$AV$10000,AR$1,FALSE),VLOOKUP($C7,'Table S3 Literature Values'!$A$10:$AV$10000,AR$1,FALSE))</f>
        <v>78</v>
      </c>
      <c r="AS7" s="61">
        <f>IF(INDEX('Table S3 Literature Values'!$A$10:$AV$10000,MATCH($C7,'Table S3 Literature Values'!$A$10:$A$10000,0)+1,AS$1)=0,INDEX('Table S9 Model Derived Values'!$A$10:$AV$10000,MATCH($C7,'Table S9 Model Derived Values'!$A$10:$A$10000,0)+1,AS$1),INDEX('Table S3 Literature Values'!$A$10:$AV$10000,MATCH($C7,'Table S3 Literature Values'!$A$10:$A$10000,0)+1,AS$1))</f>
        <v>0.5</v>
      </c>
      <c r="AT7" s="63">
        <f>INDEX('Table S3 Literature Values'!$A$10:$AV$10000,MATCH($C7,'Table S3 Literature Values'!$A$10:$A$10000,0)+2,AS$1)</f>
        <v>3</v>
      </c>
    </row>
    <row r="8" spans="1:46">
      <c r="A8" t="str">
        <f>'Table S2 Compound Identifiers'!C13</f>
        <v>Musk</v>
      </c>
      <c r="B8">
        <f>COUNTIF($C$3:C8,"&lt;&gt;"&amp;"")</f>
        <v>6</v>
      </c>
      <c r="C8" t="str">
        <f>IF('Table S2 Compound Identifiers'!B13="","",'Table S2 Compound Identifiers'!B13)</f>
        <v>Muskonate</v>
      </c>
      <c r="D8" t="str">
        <f>'Table S2 Compound Identifiers'!D13</f>
        <v>54982-83-1</v>
      </c>
      <c r="E8" s="501">
        <f>IF(VLOOKUP($C8,'Table S3 Literature Values'!$A$10:$AV$10000,E$1,FALSE)=0,VLOOKUP($C8,'Table S9 Model Derived Values'!$A$10:$AV$10000,E$1,FALSE),VLOOKUP($C8,'Table S3 Literature Values'!$A$10:$AV$10000,E$1,FALSE))</f>
        <v>77.5</v>
      </c>
      <c r="F8" s="61">
        <f>IF(INDEX('Table S3 Literature Values'!$A$10:$AV$10000,MATCH($C8,'Table S3 Literature Values'!$A$10:$A$10000,0)+1,F$1)=0,INDEX('Table S9 Model Derived Values'!$A$10:$AV$10000,MATCH($C8,'Table S9 Model Derived Values'!$A$10:$A$10000,0)+1,F$1),INDEX('Table S3 Literature Values'!$A$10:$AV$10000,MATCH($C8,'Table S3 Literature Values'!$A$10:$A$10000,0)+1,F$1))</f>
        <v>5.530664931347351</v>
      </c>
      <c r="G8" s="63">
        <f>INDEX('Table S3 Literature Values'!$A$10:$AV$10000,MATCH($C8,'Table S3 Literature Values'!$A$10:$A$10000,0)+2,F$1)</f>
        <v>1</v>
      </c>
      <c r="H8" s="501">
        <f>IF(VLOOKUP($C8,'Table S3 Literature Values'!$A$10:$AV$10000,H$1,FALSE)=0,VLOOKUP($C8,'Table S9 Model Derived Values'!$A$10:$AV$10000,H$1,FALSE),VLOOKUP($C8,'Table S3 Literature Values'!$A$10:$AV$10000,H$1,FALSE))</f>
        <v>-1.1161344418160724</v>
      </c>
      <c r="I8" s="61">
        <f>IF(INDEX('Table S3 Literature Values'!$A$10:$AV$10000,MATCH($C8,'Table S3 Literature Values'!$A$10:$A$10000,0)+1,I$1)=0,INDEX('Table S9 Model Derived Values'!$A$10:$AV$10000,MATCH($C8,'Table S9 Model Derived Values'!$A$10:$A$10000,0)+1,I$1),INDEX('Table S3 Literature Values'!$A$10:$AV$10000,MATCH($C8,'Table S3 Literature Values'!$A$10:$A$10000,0)+1,I$1))</f>
        <v>0.94127300722007379</v>
      </c>
      <c r="J8" s="63">
        <f>INDEX('Table S3 Literature Values'!$A$10:$AV$10000,MATCH($C8,'Table S3 Literature Values'!$A$10:$A$10000,0)+2,I$1)</f>
        <v>0</v>
      </c>
      <c r="K8" s="501">
        <f>IF(VLOOKUP($C8,'Table S3 Literature Values'!$A$10:$AV$10000,K$1,FALSE)=0,VLOOKUP($C8,'Table S9 Model Derived Values'!$A$10:$AV$10000,K$1,FALSE),VLOOKUP($C8,'Table S3 Literature Values'!$A$10:$AV$10000,K$1,FALSE))</f>
        <v>0</v>
      </c>
      <c r="L8" s="61">
        <f>IF(INDEX('Table S3 Literature Values'!$A$10:$AV$10000,MATCH($C8,'Table S3 Literature Values'!$A$10:$A$10000,0)+1,L$1)=0,INDEX('Table S9 Model Derived Values'!$A$10:$AV$10000,MATCH($C8,'Table S9 Model Derived Values'!$A$10:$A$10000,0)+1,L$1),INDEX('Table S3 Literature Values'!$A$10:$AV$10000,MATCH($C8,'Table S3 Literature Values'!$A$10:$A$10000,0)+1,L$1))</f>
        <v>0</v>
      </c>
      <c r="M8" s="63">
        <f>INDEX('Table S3 Literature Values'!$A$10:$AV$10000,MATCH($C8,'Table S3 Literature Values'!$A$10:$A$10000,0)+2,L$1)</f>
        <v>0</v>
      </c>
      <c r="N8" s="501">
        <f>IF(VLOOKUP($C8,'Table S3 Literature Values'!$A$10:$AV$10000,N$1,FALSE)=0,VLOOKUP($C8,'Table S9 Model Derived Values'!$A$10:$AV$10000,N$1,FALSE),VLOOKUP($C8,'Table S3 Literature Values'!$A$10:$AV$10000,N$1,FALSE))</f>
        <v>65.2</v>
      </c>
      <c r="O8" s="61">
        <f>IF(INDEX('Table S3 Literature Values'!$A$10:$AV$10000,MATCH($C8,'Table S3 Literature Values'!$A$10:$A$10000,0)+1,O$1)=0,INDEX('Table S9 Model Derived Values'!$A$10:$AV$10000,MATCH($C8,'Table S9 Model Derived Values'!$A$10:$A$10000,0)+1,O$1),INDEX('Table S3 Literature Values'!$A$10:$AV$10000,MATCH($C8,'Table S3 Literature Values'!$A$10:$A$10000,0)+1,O$1))</f>
        <v>4.1309470624742737</v>
      </c>
      <c r="P8" s="63">
        <f>INDEX('Table S3 Literature Values'!$A$10:$AV$10000,MATCH($C8,'Table S3 Literature Values'!$A$10:$A$10000,0)+2,O$1)</f>
        <v>1</v>
      </c>
      <c r="Q8" s="501">
        <f>IF(VLOOKUP($C8,'Table S3 Literature Values'!$A$10:$AV$10000,Q$1,FALSE)=0,VLOOKUP($C8,'Table S9 Model Derived Values'!$A$10:$AV$10000,Q$1,FALSE),VLOOKUP($C8,'Table S3 Literature Values'!$A$10:$AV$10000,Q$1,FALSE))</f>
        <v>83.877201200000002</v>
      </c>
      <c r="R8" s="61">
        <f>IF(INDEX('Table S3 Literature Values'!$A$10:$AV$10000,MATCH($C8,'Table S3 Literature Values'!$A$10:$A$10000,0)+1,R$1)=0,INDEX('Table S9 Model Derived Values'!$A$10:$AV$10000,MATCH($C8,'Table S9 Model Derived Values'!$A$10:$A$10000,0)+1,R$1),INDEX('Table S3 Literature Values'!$A$10:$AV$10000,MATCH($C8,'Table S3 Literature Values'!$A$10:$A$10000,0)+1,R$1))</f>
        <v>14.1255916996896</v>
      </c>
      <c r="S8" s="63">
        <f>INDEX('Table S3 Literature Values'!$A$10:$AV$10000,MATCH($C8,'Table S3 Literature Values'!$A$10:$A$10000,0)+2,R$1)</f>
        <v>0</v>
      </c>
      <c r="T8" s="501">
        <f>IF(VLOOKUP($C8,'Table S3 Literature Values'!$A$10:$AV$10000,T$1,FALSE)=0,VLOOKUP($C8,'Table S9 Model Derived Values'!$A$10:$AV$10000,T$1,FALSE),VLOOKUP($C8,'Table S3 Literature Values'!$A$10:$AV$10000,T$1,FALSE))</f>
        <v>8.6325153288641303</v>
      </c>
      <c r="U8" s="61">
        <f>IF(INDEX('Table S3 Literature Values'!$A$10:$AV$10000,MATCH($C8,'Table S3 Literature Values'!$A$10:$A$10000,0)+1,U$1)=0,INDEX('Table S9 Model Derived Values'!$A$10:$AV$10000,MATCH($C8,'Table S9 Model Derived Values'!$A$10:$A$10000,0)+1,U$1),INDEX('Table S3 Literature Values'!$A$10:$AV$10000,MATCH($C8,'Table S3 Literature Values'!$A$10:$A$10000,0)+1,U$1))</f>
        <v>16.177221503592104</v>
      </c>
      <c r="V8" s="63">
        <f>INDEX('Table S3 Literature Values'!$A$10:$AV$10000,MATCH($C8,'Table S3 Literature Values'!$A$10:$A$10000,0)+2,U$1)</f>
        <v>0</v>
      </c>
      <c r="W8" s="501">
        <f>IF(VLOOKUP($C8,'Table S3 Literature Values'!$A$10:$AV$10000,W$1,FALSE)=0,VLOOKUP($C8,'Table S9 Model Derived Values'!$A$10:$AV$10000,W$1,FALSE),VLOOKUP($C8,'Table S3 Literature Values'!$A$10:$AV$10000,W$1,FALSE))</f>
        <v>7.8241175322339735</v>
      </c>
      <c r="X8" s="61">
        <f>IF(INDEX('Table S3 Literature Values'!$A$10:$AV$10000,MATCH($C8,'Table S3 Literature Values'!$A$10:$A$10000,0)+1,X$1)=0,INDEX('Table S9 Model Derived Values'!$A$10:$AV$10000,MATCH($C8,'Table S9 Model Derived Values'!$A$10:$A$10000,0)+1,X$1),INDEX('Table S3 Literature Values'!$A$10:$AV$10000,MATCH($C8,'Table S3 Literature Values'!$A$10:$A$10000,0)+1,X$1))</f>
        <v>0.20145395492327275</v>
      </c>
      <c r="Y8" s="63">
        <f>INDEX('Table S3 Literature Values'!$A$10:$AV$10000,MATCH($C8,'Table S3 Literature Values'!$A$10:$A$10000,0)+2,X$1)</f>
        <v>1</v>
      </c>
      <c r="Z8" s="501">
        <f ca="1">IF(VLOOKUP($C8,'Table S3 Literature Values'!$A$10:$AV$10000,Z$1,FALSE)=0,VLOOKUP($C8,'Table S9 Model Derived Values'!$A$10:$AV$10000,Z$1,FALSE),VLOOKUP($C8,'Table S3 Literature Values'!$A$10:$AV$10000,Z$1,FALSE))</f>
        <v>3.6861571944287661</v>
      </c>
      <c r="AA8" s="61">
        <f ca="1">IF(INDEX('Table S3 Literature Values'!$A$10:$AV$10000,MATCH($C8,'Table S3 Literature Values'!$A$10:$A$10000,0)+1,AA$1)=0,INDEX('Table S9 Model Derived Values'!$A$10:$AV$10000,MATCH($C8,'Table S9 Model Derived Values'!$A$10:$A$10000,0)+1,AA$1),INDEX('Table S3 Literature Values'!$A$10:$AV$10000,MATCH($C8,'Table S3 Literature Values'!$A$10:$A$10000,0)+1,AA$1))</f>
        <v>0.73723143888575327</v>
      </c>
      <c r="AB8" s="63">
        <f ca="1">INDEX('Table S3 Literature Values'!$A$10:$AV$10000,MATCH($C8,'Table S3 Literature Values'!$A$10:$A$10000,0)+2,AA$1)</f>
        <v>1</v>
      </c>
      <c r="AC8" s="501">
        <f>IF(VLOOKUP($C8,'Table S3 Literature Values'!$A$10:$AV$10000,AC$1,FALSE)=0,VLOOKUP($C8,'Table S9 Model Derived Values'!$A$10:$AV$10000,AC$1,FALSE),VLOOKUP($C8,'Table S3 Literature Values'!$A$10:$AV$10000,AC$1,FALSE))</f>
        <v>-2.9360420000000005</v>
      </c>
      <c r="AD8" s="61">
        <f>IF(INDEX('Table S3 Literature Values'!$A$10:$AV$10000,MATCH($C8,'Table S3 Literature Values'!$A$10:$A$10000,0)+1,AD$1)=0,INDEX('Table S9 Model Derived Values'!$A$10:$AV$10000,MATCH($C8,'Table S9 Model Derived Values'!$A$10:$A$10000,0)+1,AD$1),INDEX('Table S3 Literature Values'!$A$10:$AV$10000,MATCH($C8,'Table S3 Literature Values'!$A$10:$A$10000,0)+1,AD$1))</f>
        <v>1.2440479720720001</v>
      </c>
      <c r="AE8" s="63">
        <f>INDEX('Table S3 Literature Values'!$A$10:$AV$10000,MATCH($C8,'Table S3 Literature Values'!$A$10:$A$10000,0)+2,AD$1)</f>
        <v>0</v>
      </c>
      <c r="AF8" s="501">
        <f>IF(VLOOKUP($C8,'Table S3 Literature Values'!$A$10:$AV$10000,AF$1,FALSE)=0,VLOOKUP($C8,'Table S9 Model Derived Values'!$A$10:$AV$10000,AF$1,FALSE),VLOOKUP($C8,'Table S3 Literature Values'!$A$10:$AV$10000,AF$1,FALSE))</f>
        <v>-1.345</v>
      </c>
      <c r="AG8" s="61">
        <f>IF(INDEX('Table S3 Literature Values'!$A$10:$AV$10000,MATCH($C8,'Table S3 Literature Values'!$A$10:$A$10000,0)+1,AG$1)=0,INDEX('Table S9 Model Derived Values'!$A$10:$AV$10000,MATCH($C8,'Table S9 Model Derived Values'!$A$10:$A$10000,0)+1,AG$1),INDEX('Table S3 Literature Values'!$A$10:$AV$10000,MATCH($C8,'Table S3 Literature Values'!$A$10:$A$10000,0)+1,AG$1))</f>
        <v>0.28991378028648518</v>
      </c>
      <c r="AH8" s="63">
        <f>INDEX('Table S3 Literature Values'!$A$10:$AV$10000,MATCH($C8,'Table S3 Literature Values'!$A$10:$A$10000,0)+2,AG$1)</f>
        <v>2</v>
      </c>
      <c r="AI8" s="501">
        <f ca="1">IF(VLOOKUP($C8,'Table S3 Literature Values'!$A$10:$AV$10000,AI$1,FALSE)=0,VLOOKUP($C8,'Table S9 Model Derived Values'!$A$10:$AV$10000,AI$1,FALSE),VLOOKUP($C8,'Table S3 Literature Values'!$A$10:$AV$10000,AI$1,FALSE))</f>
        <v>-0.53943539372837501</v>
      </c>
      <c r="AJ8" s="61">
        <f ca="1">IF(INDEX('Table S3 Literature Values'!$A$10:$AV$10000,MATCH($C8,'Table S3 Literature Values'!$A$10:$A$10000,0)+1,AJ$1)=0,INDEX('Table S9 Model Derived Values'!$A$10:$AV$10000,MATCH($C8,'Table S9 Model Derived Values'!$A$10:$A$10000,0)+1,AJ$1),INDEX('Table S3 Literature Values'!$A$10:$AV$10000,MATCH($C8,'Table S3 Literature Values'!$A$10:$A$10000,0)+1,AJ$1))</f>
        <v>6.6703661148076784E-2</v>
      </c>
      <c r="AK8" s="63">
        <f ca="1">INDEX('Table S3 Literature Values'!$A$10:$AV$10000,MATCH($C8,'Table S3 Literature Values'!$A$10:$A$10000,0)+2,AJ$1)</f>
        <v>1</v>
      </c>
      <c r="AL8" s="501">
        <f>IF(VLOOKUP($C8,'Table S3 Literature Values'!$A$10:$AV$10000,AL$1,FALSE)=0,VLOOKUP($C8,'Table S9 Model Derived Values'!$A$10:$AV$10000,AL$1,FALSE),VLOOKUP($C8,'Table S3 Literature Values'!$A$10:$AV$10000,AL$1,FALSE))</f>
        <v>3.6189873999999982</v>
      </c>
      <c r="AM8" s="61">
        <f>IF(INDEX('Table S3 Literature Values'!$A$10:$AV$10000,MATCH($C8,'Table S3 Literature Values'!$A$10:$A$10000,0)+1,AM$1)=0,INDEX('Table S9 Model Derived Values'!$A$10:$AV$10000,MATCH($C8,'Table S9 Model Derived Values'!$A$10:$A$10000,0)+1,AM$1),INDEX('Table S3 Literature Values'!$A$10:$AV$10000,MATCH($C8,'Table S3 Literature Values'!$A$10:$A$10000,0)+1,AM$1))</f>
        <v>0.65406321178939963</v>
      </c>
      <c r="AN8" s="63">
        <f>INDEX('Table S3 Literature Values'!$A$10:$AV$10000,MATCH($C8,'Table S3 Literature Values'!$A$10:$A$10000,0)+2,AM$1)</f>
        <v>0</v>
      </c>
      <c r="AO8" s="501">
        <f>IF(VLOOKUP($C8,'Table S3 Literature Values'!$A$10:$AV$10000,AO$1,FALSE)=0,VLOOKUP($C8,'Table S9 Model Derived Values'!$A$10:$AV$10000,AO$1,FALSE),VLOOKUP($C8,'Table S3 Literature Values'!$A$10:$AV$10000,AO$1,FALSE))</f>
        <v>0</v>
      </c>
      <c r="AP8" s="61">
        <f>IF(INDEX('Table S3 Literature Values'!$A$10:$AV$10000,MATCH($C8,'Table S3 Literature Values'!$A$10:$A$10000,0)+1,AP$1)=0,INDEX('Table S9 Model Derived Values'!$A$10:$AV$10000,MATCH($C8,'Table S9 Model Derived Values'!$A$10:$A$10000,0)+1,AP$1),INDEX('Table S3 Literature Values'!$A$10:$AV$10000,MATCH($C8,'Table S3 Literature Values'!$A$10:$A$10000,0)+1,AP$1))</f>
        <v>0</v>
      </c>
      <c r="AQ8" s="63">
        <f>INDEX('Table S3 Literature Values'!$A$10:$AV$10000,MATCH($C8,'Table S3 Literature Values'!$A$10:$A$10000,0)+2,AP$1)</f>
        <v>0</v>
      </c>
      <c r="AR8" s="501">
        <f>IF(VLOOKUP($C8,'Table S3 Literature Values'!$A$10:$AV$10000,AR$1,FALSE)=0,VLOOKUP($C8,'Table S9 Model Derived Values'!$A$10:$AV$10000,AR$1,FALSE),VLOOKUP($C8,'Table S3 Literature Values'!$A$10:$AV$10000,AR$1,FALSE))</f>
        <v>17.36</v>
      </c>
      <c r="AS8" s="61">
        <f>IF(INDEX('Table S3 Literature Values'!$A$10:$AV$10000,MATCH($C8,'Table S3 Literature Values'!$A$10:$A$10000,0)+1,AS$1)=0,INDEX('Table S9 Model Derived Values'!$A$10:$AV$10000,MATCH($C8,'Table S9 Model Derived Values'!$A$10:$A$10000,0)+1,AS$1),INDEX('Table S3 Literature Values'!$A$10:$AV$10000,MATCH($C8,'Table S3 Literature Values'!$A$10:$A$10000,0)+1,AS$1))</f>
        <v>0.90509667991878162</v>
      </c>
      <c r="AT8" s="63">
        <f>INDEX('Table S3 Literature Values'!$A$10:$AV$10000,MATCH($C8,'Table S3 Literature Values'!$A$10:$A$10000,0)+2,AS$1)</f>
        <v>2</v>
      </c>
    </row>
    <row r="9" spans="1:46">
      <c r="A9" t="str">
        <f>'Table S2 Compound Identifiers'!C14</f>
        <v>Musk</v>
      </c>
      <c r="B9">
        <f>COUNTIF($C$3:C9,"&lt;&gt;"&amp;"")</f>
        <v>7</v>
      </c>
      <c r="C9" t="str">
        <f>IF('Table S2 Compound Identifiers'!B14="","",'Table S2 Compound Identifiers'!B14)</f>
        <v>Phantolide</v>
      </c>
      <c r="D9" t="str">
        <f>'Table S2 Compound Identifiers'!D14</f>
        <v>15323-35-0</v>
      </c>
      <c r="E9" s="501">
        <f>IF(VLOOKUP($C9,'Table S3 Literature Values'!$A$10:$AV$10000,E$1,FALSE)=0,VLOOKUP($C9,'Table S9 Model Derived Values'!$A$10:$AV$10000,E$1,FALSE),VLOOKUP($C9,'Table S3 Literature Values'!$A$10:$AV$10000,E$1,FALSE))</f>
        <v>70.5</v>
      </c>
      <c r="F9" s="61">
        <f>IF(INDEX('Table S3 Literature Values'!$A$10:$AV$10000,MATCH($C9,'Table S3 Literature Values'!$A$10:$A$10000,0)+1,F$1)=0,INDEX('Table S9 Model Derived Values'!$A$10:$AV$10000,MATCH($C9,'Table S9 Model Derived Values'!$A$10:$A$10000,0)+1,F$1),INDEX('Table S3 Literature Values'!$A$10:$AV$10000,MATCH($C9,'Table S3 Literature Values'!$A$10:$A$10000,0)+1,F$1))</f>
        <v>5.0311210020643644</v>
      </c>
      <c r="G9" s="63">
        <f>INDEX('Table S3 Literature Values'!$A$10:$AV$10000,MATCH($C9,'Table S3 Literature Values'!$A$10:$A$10000,0)+2,F$1)</f>
        <v>1</v>
      </c>
      <c r="H9" s="501">
        <f>IF(VLOOKUP($C9,'Table S3 Literature Values'!$A$10:$AV$10000,H$1,FALSE)=0,VLOOKUP($C9,'Table S9 Model Derived Values'!$A$10:$AV$10000,H$1,FALSE),VLOOKUP($C9,'Table S3 Literature Values'!$A$10:$AV$10000,H$1,FALSE))</f>
        <v>-19.961429878840377</v>
      </c>
      <c r="I9" s="61">
        <f>IF(INDEX('Table S3 Literature Values'!$A$10:$AV$10000,MATCH($C9,'Table S3 Literature Values'!$A$10:$A$10000,0)+1,I$1)=0,INDEX('Table S9 Model Derived Values'!$A$10:$AV$10000,MATCH($C9,'Table S9 Model Derived Values'!$A$10:$A$10000,0)+1,I$1),INDEX('Table S3 Literature Values'!$A$10:$AV$10000,MATCH($C9,'Table S3 Literature Values'!$A$10:$A$10000,0)+1,I$1))</f>
        <v>5.9884289636521126</v>
      </c>
      <c r="J9" s="63">
        <f>INDEX('Table S3 Literature Values'!$A$10:$AV$10000,MATCH($C9,'Table S3 Literature Values'!$A$10:$A$10000,0)+2,I$1)</f>
        <v>1</v>
      </c>
      <c r="K9" s="501">
        <f>IF(VLOOKUP($C9,'Table S3 Literature Values'!$A$10:$AV$10000,K$1,FALSE)=0,VLOOKUP($C9,'Table S9 Model Derived Values'!$A$10:$AV$10000,K$1,FALSE),VLOOKUP($C9,'Table S3 Literature Values'!$A$10:$AV$10000,K$1,FALSE))</f>
        <v>0</v>
      </c>
      <c r="L9" s="61">
        <f>IF(INDEX('Table S3 Literature Values'!$A$10:$AV$10000,MATCH($C9,'Table S3 Literature Values'!$A$10:$A$10000,0)+1,L$1)=0,INDEX('Table S9 Model Derived Values'!$A$10:$AV$10000,MATCH($C9,'Table S9 Model Derived Values'!$A$10:$A$10000,0)+1,L$1),INDEX('Table S3 Literature Values'!$A$10:$AV$10000,MATCH($C9,'Table S3 Literature Values'!$A$10:$A$10000,0)+1,L$1))</f>
        <v>0</v>
      </c>
      <c r="M9" s="63">
        <f>INDEX('Table S3 Literature Values'!$A$10:$AV$10000,MATCH($C9,'Table S3 Literature Values'!$A$10:$A$10000,0)+2,L$1)</f>
        <v>0</v>
      </c>
      <c r="N9" s="501">
        <f>IF(VLOOKUP($C9,'Table S3 Literature Values'!$A$10:$AV$10000,N$1,FALSE)=0,VLOOKUP($C9,'Table S9 Model Derived Values'!$A$10:$AV$10000,N$1,FALSE),VLOOKUP($C9,'Table S3 Literature Values'!$A$10:$AV$10000,N$1,FALSE))</f>
        <v>62.5</v>
      </c>
      <c r="O9" s="61">
        <f>IF(INDEX('Table S3 Literature Values'!$A$10:$AV$10000,MATCH($C9,'Table S3 Literature Values'!$A$10:$A$10000,0)+1,O$1)=0,INDEX('Table S9 Model Derived Values'!$A$10:$AV$10000,MATCH($C9,'Table S9 Model Derived Values'!$A$10:$A$10000,0)+1,O$1),INDEX('Table S3 Literature Values'!$A$10:$AV$10000,MATCH($C9,'Table S3 Literature Values'!$A$10:$A$10000,0)+1,O$1))</f>
        <v>6.0811183182043047</v>
      </c>
      <c r="P9" s="63">
        <f>INDEX('Table S3 Literature Values'!$A$10:$AV$10000,MATCH($C9,'Table S3 Literature Values'!$A$10:$A$10000,0)+2,O$1)</f>
        <v>2</v>
      </c>
      <c r="Q9" s="501">
        <f>IF(VLOOKUP($C9,'Table S3 Literature Values'!$A$10:$AV$10000,Q$1,FALSE)=0,VLOOKUP($C9,'Table S9 Model Derived Values'!$A$10:$AV$10000,Q$1,FALSE),VLOOKUP($C9,'Table S3 Literature Values'!$A$10:$AV$10000,Q$1,FALSE))</f>
        <v>77.529065199999991</v>
      </c>
      <c r="R9" s="61">
        <f>IF(INDEX('Table S3 Literature Values'!$A$10:$AV$10000,MATCH($C9,'Table S3 Literature Values'!$A$10:$A$10000,0)+1,R$1)=0,INDEX('Table S9 Model Derived Values'!$A$10:$AV$10000,MATCH($C9,'Table S9 Model Derived Values'!$A$10:$A$10000,0)+1,R$1),INDEX('Table S3 Literature Values'!$A$10:$AV$10000,MATCH($C9,'Table S3 Literature Values'!$A$10:$A$10000,0)+1,R$1))</f>
        <v>13.056514812201598</v>
      </c>
      <c r="S9" s="63">
        <f>INDEX('Table S3 Literature Values'!$A$10:$AV$10000,MATCH($C9,'Table S3 Literature Values'!$A$10:$A$10000,0)+2,R$1)</f>
        <v>0</v>
      </c>
      <c r="T9" s="501">
        <f>IF(VLOOKUP($C9,'Table S3 Literature Values'!$A$10:$AV$10000,T$1,FALSE)=0,VLOOKUP($C9,'Table S9 Model Derived Values'!$A$10:$AV$10000,T$1,FALSE),VLOOKUP($C9,'Table S3 Literature Values'!$A$10:$AV$10000,T$1,FALSE))</f>
        <v>2.2398120181888418E-2</v>
      </c>
      <c r="U9" s="61">
        <f>IF(INDEX('Table S3 Literature Values'!$A$10:$AV$10000,MATCH($C9,'Table S3 Literature Values'!$A$10:$A$10000,0)+1,U$1)=0,INDEX('Table S9 Model Derived Values'!$A$10:$AV$10000,MATCH($C9,'Table S9 Model Derived Values'!$A$10:$A$10000,0)+1,U$1),INDEX('Table S3 Literature Values'!$A$10:$AV$10000,MATCH($C9,'Table S3 Literature Values'!$A$10:$A$10000,0)+1,U$1))</f>
        <v>6.7194360545665254E-3</v>
      </c>
      <c r="V9" s="63">
        <f>INDEX('Table S3 Literature Values'!$A$10:$AV$10000,MATCH($C9,'Table S3 Literature Values'!$A$10:$A$10000,0)+2,U$1)</f>
        <v>1</v>
      </c>
      <c r="W9" s="501">
        <f>IF(VLOOKUP($C9,'Table S3 Literature Values'!$A$10:$AV$10000,W$1,FALSE)=0,VLOOKUP($C9,'Table S9 Model Derived Values'!$A$10:$AV$10000,W$1,FALSE),VLOOKUP($C9,'Table S3 Literature Values'!$A$10:$AV$10000,W$1,FALSE))</f>
        <v>7.6006955888277421</v>
      </c>
      <c r="X9" s="61">
        <f>IF(INDEX('Table S3 Literature Values'!$A$10:$AV$10000,MATCH($C9,'Table S3 Literature Values'!$A$10:$A$10000,0)+1,X$1)=0,INDEX('Table S9 Model Derived Values'!$A$10:$AV$10000,MATCH($C9,'Table S9 Model Derived Values'!$A$10:$A$10000,0)+1,X$1),INDEX('Table S3 Literature Values'!$A$10:$AV$10000,MATCH($C9,'Table S3 Literature Values'!$A$10:$A$10000,0)+1,X$1))</f>
        <v>0.22529045882566684</v>
      </c>
      <c r="Y9" s="63">
        <f>INDEX('Table S3 Literature Values'!$A$10:$AV$10000,MATCH($C9,'Table S3 Literature Values'!$A$10:$A$10000,0)+2,X$1)</f>
        <v>2</v>
      </c>
      <c r="Z9" s="501">
        <f ca="1">IF(VLOOKUP($C9,'Table S3 Literature Values'!$A$10:$AV$10000,Z$1,FALSE)=0,VLOOKUP($C9,'Table S9 Model Derived Values'!$A$10:$AV$10000,Z$1,FALSE),VLOOKUP($C9,'Table S3 Literature Values'!$A$10:$AV$10000,Z$1,FALSE))</f>
        <v>5.6060544545641475</v>
      </c>
      <c r="AA9" s="61">
        <f ca="1">IF(INDEX('Table S3 Literature Values'!$A$10:$AV$10000,MATCH($C9,'Table S3 Literature Values'!$A$10:$A$10000,0)+1,AA$1)=0,INDEX('Table S9 Model Derived Values'!$A$10:$AV$10000,MATCH($C9,'Table S9 Model Derived Values'!$A$10:$A$10000,0)+1,AA$1),INDEX('Table S3 Literature Values'!$A$10:$AV$10000,MATCH($C9,'Table S3 Literature Values'!$A$10:$A$10000,0)+1,AA$1))</f>
        <v>1.1212108909128295</v>
      </c>
      <c r="AB9" s="63">
        <f ca="1">INDEX('Table S3 Literature Values'!$A$10:$AV$10000,MATCH($C9,'Table S3 Literature Values'!$A$10:$A$10000,0)+2,AA$1)</f>
        <v>1</v>
      </c>
      <c r="AC9" s="501">
        <f>IF(VLOOKUP($C9,'Table S3 Literature Values'!$A$10:$AV$10000,AC$1,FALSE)=0,VLOOKUP($C9,'Table S9 Model Derived Values'!$A$10:$AV$10000,AC$1,FALSE),VLOOKUP($C9,'Table S3 Literature Values'!$A$10:$AV$10000,AC$1,FALSE))</f>
        <v>-2.0666020000000001</v>
      </c>
      <c r="AD9" s="61">
        <f>IF(INDEX('Table S3 Literature Values'!$A$10:$AV$10000,MATCH($C9,'Table S3 Literature Values'!$A$10:$A$10000,0)+1,AD$1)=0,INDEX('Table S9 Model Derived Values'!$A$10:$AV$10000,MATCH($C9,'Table S9 Model Derived Values'!$A$10:$A$10000,0)+1,AD$1),INDEX('Table S3 Literature Values'!$A$10:$AV$10000,MATCH($C9,'Table S3 Literature Values'!$A$10:$A$10000,0)+1,AD$1))</f>
        <v>0.87565233303199996</v>
      </c>
      <c r="AE9" s="63">
        <f>INDEX('Table S3 Literature Values'!$A$10:$AV$10000,MATCH($C9,'Table S3 Literature Values'!$A$10:$A$10000,0)+2,AD$1)</f>
        <v>0</v>
      </c>
      <c r="AF9" s="501">
        <f>IF(VLOOKUP($C9,'Table S3 Literature Values'!$A$10:$AV$10000,AF$1,FALSE)=0,VLOOKUP($C9,'Table S9 Model Derived Values'!$A$10:$AV$10000,AF$1,FALSE),VLOOKUP($C9,'Table S3 Literature Values'!$A$10:$AV$10000,AF$1,FALSE))</f>
        <v>-0.78068417864398842</v>
      </c>
      <c r="AG9" s="61">
        <f>IF(INDEX('Table S3 Literature Values'!$A$10:$AV$10000,MATCH($C9,'Table S3 Literature Values'!$A$10:$A$10000,0)+1,AG$1)=0,INDEX('Table S9 Model Derived Values'!$A$10:$AV$10000,MATCH($C9,'Table S9 Model Derived Values'!$A$10:$A$10000,0)+1,AG$1),INDEX('Table S3 Literature Values'!$A$10:$AV$10000,MATCH($C9,'Table S3 Literature Values'!$A$10:$A$10000,0)+1,AG$1))</f>
        <v>0.23818872039740308</v>
      </c>
      <c r="AH9" s="63">
        <f>INDEX('Table S3 Literature Values'!$A$10:$AV$10000,MATCH($C9,'Table S3 Literature Values'!$A$10:$A$10000,0)+2,AG$1)</f>
        <v>3</v>
      </c>
      <c r="AI9" s="501">
        <f ca="1">IF(VLOOKUP($C9,'Table S3 Literature Values'!$A$10:$AV$10000,AI$1,FALSE)=0,VLOOKUP($C9,'Table S9 Model Derived Values'!$A$10:$AV$10000,AI$1,FALSE),VLOOKUP($C9,'Table S3 Literature Values'!$A$10:$AV$10000,AI$1,FALSE))</f>
        <v>-1.396741318857573</v>
      </c>
      <c r="AJ9" s="61">
        <f ca="1">IF(INDEX('Table S3 Literature Values'!$A$10:$AV$10000,MATCH($C9,'Table S3 Literature Values'!$A$10:$A$10000,0)+1,AJ$1)=0,INDEX('Table S9 Model Derived Values'!$A$10:$AV$10000,MATCH($C9,'Table S9 Model Derived Values'!$A$10:$A$10000,0)+1,AJ$1),INDEX('Table S3 Literature Values'!$A$10:$AV$10000,MATCH($C9,'Table S3 Literature Values'!$A$10:$A$10000,0)+1,AJ$1))</f>
        <v>0.17271347176656843</v>
      </c>
      <c r="AK9" s="63">
        <f ca="1">INDEX('Table S3 Literature Values'!$A$10:$AV$10000,MATCH($C9,'Table S3 Literature Values'!$A$10:$A$10000,0)+2,AJ$1)</f>
        <v>1</v>
      </c>
      <c r="AL9" s="501">
        <f>IF(VLOOKUP($C9,'Table S3 Literature Values'!$A$10:$AV$10000,AL$1,FALSE)=0,VLOOKUP($C9,'Table S9 Model Derived Values'!$A$10:$AV$10000,AL$1,FALSE),VLOOKUP($C9,'Table S3 Literature Values'!$A$10:$AV$10000,AL$1,FALSE))</f>
        <v>3.6384993999999988</v>
      </c>
      <c r="AM9" s="61">
        <f>IF(INDEX('Table S3 Literature Values'!$A$10:$AV$10000,MATCH($C9,'Table S3 Literature Values'!$A$10:$A$10000,0)+1,AM$1)=0,INDEX('Table S9 Model Derived Values'!$A$10:$AV$10000,MATCH($C9,'Table S9 Model Derived Values'!$A$10:$A$10000,0)+1,AM$1),INDEX('Table S3 Literature Values'!$A$10:$AV$10000,MATCH($C9,'Table S3 Literature Values'!$A$10:$A$10000,0)+1,AM$1))</f>
        <v>0.65758963506139978</v>
      </c>
      <c r="AN9" s="63">
        <f>INDEX('Table S3 Literature Values'!$A$10:$AV$10000,MATCH($C9,'Table S3 Literature Values'!$A$10:$A$10000,0)+2,AM$1)</f>
        <v>0</v>
      </c>
      <c r="AO9" s="501">
        <f>IF(VLOOKUP($C9,'Table S3 Literature Values'!$A$10:$AV$10000,AO$1,FALSE)=0,VLOOKUP($C9,'Table S9 Model Derived Values'!$A$10:$AV$10000,AO$1,FALSE),VLOOKUP($C9,'Table S3 Literature Values'!$A$10:$AV$10000,AO$1,FALSE))</f>
        <v>0</v>
      </c>
      <c r="AP9" s="61">
        <f>IF(INDEX('Table S3 Literature Values'!$A$10:$AV$10000,MATCH($C9,'Table S3 Literature Values'!$A$10:$A$10000,0)+1,AP$1)=0,INDEX('Table S9 Model Derived Values'!$A$10:$AV$10000,MATCH($C9,'Table S9 Model Derived Values'!$A$10:$A$10000,0)+1,AP$1),INDEX('Table S3 Literature Values'!$A$10:$AV$10000,MATCH($C9,'Table S3 Literature Values'!$A$10:$A$10000,0)+1,AP$1))</f>
        <v>0</v>
      </c>
      <c r="AQ9" s="63">
        <f>INDEX('Table S3 Literature Values'!$A$10:$AV$10000,MATCH($C9,'Table S3 Literature Values'!$A$10:$A$10000,0)+2,AP$1)</f>
        <v>0</v>
      </c>
      <c r="AR9" s="501">
        <f>IF(VLOOKUP($C9,'Table S3 Literature Values'!$A$10:$AV$10000,AR$1,FALSE)=0,VLOOKUP($C9,'Table S9 Model Derived Values'!$A$10:$AV$10000,AR$1,FALSE),VLOOKUP($C9,'Table S3 Literature Values'!$A$10:$AV$10000,AR$1,FALSE))</f>
        <v>59.8</v>
      </c>
      <c r="AS9" s="61">
        <f>IF(INDEX('Table S3 Literature Values'!$A$10:$AV$10000,MATCH($C9,'Table S3 Literature Values'!$A$10:$A$10000,0)+1,AS$1)=0,INDEX('Table S9 Model Derived Values'!$A$10:$AV$10000,MATCH($C9,'Table S9 Model Derived Values'!$A$10:$A$10000,0)+1,AS$1),INDEX('Table S3 Literature Values'!$A$10:$AV$10000,MATCH($C9,'Table S3 Literature Values'!$A$10:$A$10000,0)+1,AS$1))</f>
        <v>2.4041630560342604</v>
      </c>
      <c r="AT9" s="63">
        <f>INDEX('Table S3 Literature Values'!$A$10:$AV$10000,MATCH($C9,'Table S3 Literature Values'!$A$10:$A$10000,0)+2,AS$1)</f>
        <v>3</v>
      </c>
    </row>
    <row r="10" spans="1:46">
      <c r="A10" t="str">
        <f>'Table S2 Compound Identifiers'!C15</f>
        <v>Musk</v>
      </c>
      <c r="B10">
        <f>COUNTIF($C$3:C10,"&lt;&gt;"&amp;"")</f>
        <v>8</v>
      </c>
      <c r="C10" t="str">
        <f>IF('Table S2 Compound Identifiers'!B15="","",'Table S2 Compound Identifiers'!B15)</f>
        <v>Cervolide</v>
      </c>
      <c r="D10" t="str">
        <f>'Table S2 Compound Identifiers'!D15</f>
        <v>6707-60-4</v>
      </c>
      <c r="E10" s="501">
        <f>IF(VLOOKUP($C10,'Table S3 Literature Values'!$A$10:$AV$10000,E$1,FALSE)=0,VLOOKUP($C10,'Table S9 Model Derived Values'!$A$10:$AV$10000,E$1,FALSE),VLOOKUP($C10,'Table S3 Literature Values'!$A$10:$AV$10000,E$1,FALSE))</f>
        <v>62.150000000000006</v>
      </c>
      <c r="F10" s="61">
        <f>IF(INDEX('Table S3 Literature Values'!$A$10:$AV$10000,MATCH($C10,'Table S3 Literature Values'!$A$10:$A$10000,0)+1,F$1)=0,INDEX('Table S9 Model Derived Values'!$A$10:$AV$10000,MATCH($C10,'Table S9 Model Derived Values'!$A$10:$A$10000,0)+1,F$1),INDEX('Table S3 Literature Values'!$A$10:$AV$10000,MATCH($C10,'Table S3 Literature Values'!$A$10:$A$10000,0)+1,F$1))</f>
        <v>19.445436482630033</v>
      </c>
      <c r="G10" s="63">
        <f>INDEX('Table S3 Literature Values'!$A$10:$AV$10000,MATCH($C10,'Table S3 Literature Values'!$A$10:$A$10000,0)+2,F$1)</f>
        <v>2</v>
      </c>
      <c r="H10" s="501">
        <f>IF(VLOOKUP($C10,'Table S3 Literature Values'!$A$10:$AV$10000,H$1,FALSE)=0,VLOOKUP($C10,'Table S9 Model Derived Values'!$A$10:$AV$10000,H$1,FALSE),VLOOKUP($C10,'Table S3 Literature Values'!$A$10:$AV$10000,H$1,FALSE))</f>
        <v>-6.4118555004559141</v>
      </c>
      <c r="I10" s="61">
        <f>IF(INDEX('Table S3 Literature Values'!$A$10:$AV$10000,MATCH($C10,'Table S3 Literature Values'!$A$10:$A$10000,0)+1,I$1)=0,INDEX('Table S9 Model Derived Values'!$A$10:$AV$10000,MATCH($C10,'Table S9 Model Derived Values'!$A$10:$A$10000,0)+1,I$1),INDEX('Table S3 Literature Values'!$A$10:$AV$10000,MATCH($C10,'Table S3 Literature Values'!$A$10:$A$10000,0)+1,I$1))</f>
        <v>5.4073293347659872</v>
      </c>
      <c r="J10" s="63">
        <f>INDEX('Table S3 Literature Values'!$A$10:$AV$10000,MATCH($C10,'Table S3 Literature Values'!$A$10:$A$10000,0)+2,I$1)</f>
        <v>0</v>
      </c>
      <c r="K10" s="501">
        <f>IF(VLOOKUP($C10,'Table S3 Literature Values'!$A$10:$AV$10000,K$1,FALSE)=0,VLOOKUP($C10,'Table S9 Model Derived Values'!$A$10:$AV$10000,K$1,FALSE),VLOOKUP($C10,'Table S3 Literature Values'!$A$10:$AV$10000,K$1,FALSE))</f>
        <v>0</v>
      </c>
      <c r="L10" s="61">
        <f>IF(INDEX('Table S3 Literature Values'!$A$10:$AV$10000,MATCH($C10,'Table S3 Literature Values'!$A$10:$A$10000,0)+1,L$1)=0,INDEX('Table S9 Model Derived Values'!$A$10:$AV$10000,MATCH($C10,'Table S9 Model Derived Values'!$A$10:$A$10000,0)+1,L$1),INDEX('Table S3 Literature Values'!$A$10:$AV$10000,MATCH($C10,'Table S3 Literature Values'!$A$10:$A$10000,0)+1,L$1))</f>
        <v>0</v>
      </c>
      <c r="M10" s="63">
        <f>INDEX('Table S3 Literature Values'!$A$10:$AV$10000,MATCH($C10,'Table S3 Literature Values'!$A$10:$A$10000,0)+2,L$1)</f>
        <v>0</v>
      </c>
      <c r="N10" s="501">
        <f>IF(VLOOKUP($C10,'Table S3 Literature Values'!$A$10:$AV$10000,N$1,FALSE)=0,VLOOKUP($C10,'Table S9 Model Derived Values'!$A$10:$AV$10000,N$1,FALSE),VLOOKUP($C10,'Table S3 Literature Values'!$A$10:$AV$10000,N$1,FALSE))</f>
        <v>47.6</v>
      </c>
      <c r="O10" s="61">
        <f>IF(INDEX('Table S3 Literature Values'!$A$10:$AV$10000,MATCH($C10,'Table S3 Literature Values'!$A$10:$A$10000,0)+1,O$1)=0,INDEX('Table S9 Model Derived Values'!$A$10:$AV$10000,MATCH($C10,'Table S9 Model Derived Values'!$A$10:$A$10000,0)+1,O$1),INDEX('Table S3 Literature Values'!$A$10:$AV$10000,MATCH($C10,'Table S3 Literature Values'!$A$10:$A$10000,0)+1,O$1))</f>
        <v>3.0158447879413406</v>
      </c>
      <c r="P10" s="63">
        <f>INDEX('Table S3 Literature Values'!$A$10:$AV$10000,MATCH($C10,'Table S3 Literature Values'!$A$10:$A$10000,0)+2,O$1)</f>
        <v>1</v>
      </c>
      <c r="Q10" s="501">
        <f>IF(VLOOKUP($C10,'Table S3 Literature Values'!$A$10:$AV$10000,Q$1,FALSE)=0,VLOOKUP($C10,'Table S9 Model Derived Values'!$A$10:$AV$10000,Q$1,FALSE),VLOOKUP($C10,'Table S3 Literature Values'!$A$10:$AV$10000,Q$1,FALSE))</f>
        <v>81.788230799999994</v>
      </c>
      <c r="R10" s="61">
        <f>IF(INDEX('Table S3 Literature Values'!$A$10:$AV$10000,MATCH($C10,'Table S3 Literature Values'!$A$10:$A$10000,0)+1,R$1)=0,INDEX('Table S9 Model Derived Values'!$A$10:$AV$10000,MATCH($C10,'Table S9 Model Derived Values'!$A$10:$A$10000,0)+1,R$1),INDEX('Table S3 Literature Values'!$A$10:$AV$10000,MATCH($C10,'Table S3 Literature Values'!$A$10:$A$10000,0)+1,R$1))</f>
        <v>13.773792372566399</v>
      </c>
      <c r="S10" s="63">
        <f>INDEX('Table S3 Literature Values'!$A$10:$AV$10000,MATCH($C10,'Table S3 Literature Values'!$A$10:$A$10000,0)+2,R$1)</f>
        <v>0</v>
      </c>
      <c r="T10" s="501">
        <f>IF(VLOOKUP($C10,'Table S3 Literature Values'!$A$10:$AV$10000,T$1,FALSE)=0,VLOOKUP($C10,'Table S9 Model Derived Values'!$A$10:$AV$10000,T$1,FALSE),VLOOKUP($C10,'Table S3 Literature Values'!$A$10:$AV$10000,T$1,FALSE))</f>
        <v>8.7000992758477622</v>
      </c>
      <c r="U10" s="61">
        <f>IF(INDEX('Table S3 Literature Values'!$A$10:$AV$10000,MATCH($C10,'Table S3 Literature Values'!$A$10:$A$10000,0)+1,U$1)=0,INDEX('Table S9 Model Derived Values'!$A$10:$AV$10000,MATCH($C10,'Table S9 Model Derived Values'!$A$10:$A$10000,0)+1,U$1),INDEX('Table S3 Literature Values'!$A$10:$AV$10000,MATCH($C10,'Table S3 Literature Values'!$A$10:$A$10000,0)+1,U$1))</f>
        <v>16.30387294164812</v>
      </c>
      <c r="V10" s="63">
        <f>INDEX('Table S3 Literature Values'!$A$10:$AV$10000,MATCH($C10,'Table S3 Literature Values'!$A$10:$A$10000,0)+2,U$1)</f>
        <v>0</v>
      </c>
      <c r="W10" s="501">
        <f>IF(VLOOKUP($C10,'Table S3 Literature Values'!$A$10:$AV$10000,W$1,FALSE)=0,VLOOKUP($C10,'Table S9 Model Derived Values'!$A$10:$AV$10000,W$1,FALSE),VLOOKUP($C10,'Table S3 Literature Values'!$A$10:$AV$10000,W$1,FALSE))</f>
        <v>7.7366088067909136</v>
      </c>
      <c r="X10" s="61">
        <f>IF(INDEX('Table S3 Literature Values'!$A$10:$AV$10000,MATCH($C10,'Table S3 Literature Values'!$A$10:$A$10000,0)+1,X$1)=0,INDEX('Table S9 Model Derived Values'!$A$10:$AV$10000,MATCH($C10,'Table S9 Model Derived Values'!$A$10:$A$10000,0)+1,X$1),INDEX('Table S3 Literature Values'!$A$10:$AV$10000,MATCH($C10,'Table S3 Literature Values'!$A$10:$A$10000,0)+1,X$1))</f>
        <v>0.19920079617940534</v>
      </c>
      <c r="Y10" s="63">
        <f>INDEX('Table S3 Literature Values'!$A$10:$AV$10000,MATCH($C10,'Table S3 Literature Values'!$A$10:$A$10000,0)+2,X$1)</f>
        <v>1</v>
      </c>
      <c r="Z10" s="501">
        <f ca="1">IF(VLOOKUP($C10,'Table S3 Literature Values'!$A$10:$AV$10000,Z$1,FALSE)=0,VLOOKUP($C10,'Table S9 Model Derived Values'!$A$10:$AV$10000,Z$1,FALSE),VLOOKUP($C10,'Table S3 Literature Values'!$A$10:$AV$10000,Z$1,FALSE))</f>
        <v>4.2892948003267835</v>
      </c>
      <c r="AA10" s="61">
        <f ca="1">IF(INDEX('Table S3 Literature Values'!$A$10:$AV$10000,MATCH($C10,'Table S3 Literature Values'!$A$10:$A$10000,0)+1,AA$1)=0,INDEX('Table S9 Model Derived Values'!$A$10:$AV$10000,MATCH($C10,'Table S9 Model Derived Values'!$A$10:$A$10000,0)+1,AA$1),INDEX('Table S3 Literature Values'!$A$10:$AV$10000,MATCH($C10,'Table S3 Literature Values'!$A$10:$A$10000,0)+1,AA$1))</f>
        <v>1.2867884400980349</v>
      </c>
      <c r="AB10" s="63">
        <f ca="1">INDEX('Table S3 Literature Values'!$A$10:$AV$10000,MATCH($C10,'Table S3 Literature Values'!$A$10:$A$10000,0)+2,AA$1)</f>
        <v>1</v>
      </c>
      <c r="AC10" s="501">
        <f>IF(VLOOKUP($C10,'Table S3 Literature Values'!$A$10:$AV$10000,AC$1,FALSE)=0,VLOOKUP($C10,'Table S9 Model Derived Values'!$A$10:$AV$10000,AC$1,FALSE),VLOOKUP($C10,'Table S3 Literature Values'!$A$10:$AV$10000,AC$1,FALSE))</f>
        <v>-1.7342979999999999</v>
      </c>
      <c r="AD10" s="61">
        <f>IF(INDEX('Table S3 Literature Values'!$A$10:$AV$10000,MATCH($C10,'Table S3 Literature Values'!$A$10:$A$10000,0)+1,AD$1)=0,INDEX('Table S9 Model Derived Values'!$A$10:$AV$10000,MATCH($C10,'Table S9 Model Derived Values'!$A$10:$A$10000,0)+1,AD$1),INDEX('Table S3 Literature Values'!$A$10:$AV$10000,MATCH($C10,'Table S3 Literature Values'!$A$10:$A$10000,0)+1,AD$1))</f>
        <v>0.73484981136799987</v>
      </c>
      <c r="AE10" s="63">
        <f>INDEX('Table S3 Literature Values'!$A$10:$AV$10000,MATCH($C10,'Table S3 Literature Values'!$A$10:$A$10000,0)+2,AD$1)</f>
        <v>0</v>
      </c>
      <c r="AF10" s="501">
        <f>IF(VLOOKUP($C10,'Table S3 Literature Values'!$A$10:$AV$10000,AF$1,FALSE)=0,VLOOKUP($C10,'Table S9 Model Derived Values'!$A$10:$AV$10000,AF$1,FALSE),VLOOKUP($C10,'Table S3 Literature Values'!$A$10:$AV$10000,AF$1,FALSE))</f>
        <v>-1.0485024426567202</v>
      </c>
      <c r="AG10" s="61">
        <f>IF(INDEX('Table S3 Literature Values'!$A$10:$AV$10000,MATCH($C10,'Table S3 Literature Values'!$A$10:$A$10000,0)+1,AG$1)=0,INDEX('Table S9 Model Derived Values'!$A$10:$AV$10000,MATCH($C10,'Table S9 Model Derived Values'!$A$10:$A$10000,0)+1,AG$1),INDEX('Table S3 Literature Values'!$A$10:$AV$10000,MATCH($C10,'Table S3 Literature Values'!$A$10:$A$10000,0)+1,AG$1))</f>
        <v>0.27081844275618577</v>
      </c>
      <c r="AH10" s="63">
        <f>INDEX('Table S3 Literature Values'!$A$10:$AV$10000,MATCH($C10,'Table S3 Literature Values'!$A$10:$A$10000,0)+2,AG$1)</f>
        <v>2</v>
      </c>
      <c r="AI10" s="501">
        <f ca="1">IF(VLOOKUP($C10,'Table S3 Literature Values'!$A$10:$AV$10000,AI$1,FALSE)=0,VLOOKUP($C10,'Table S9 Model Derived Values'!$A$10:$AV$10000,AI$1,FALSE),VLOOKUP($C10,'Table S3 Literature Values'!$A$10:$AV$10000,AI$1,FALSE))</f>
        <v>-1.0416446631836234</v>
      </c>
      <c r="AJ10" s="61">
        <f ca="1">IF(INDEX('Table S3 Literature Values'!$A$10:$AV$10000,MATCH($C10,'Table S3 Literature Values'!$A$10:$A$10000,0)+1,AJ$1)=0,INDEX('Table S9 Model Derived Values'!$A$10:$AV$10000,MATCH($C10,'Table S9 Model Derived Values'!$A$10:$A$10000,0)+1,AJ$1),INDEX('Table S3 Literature Values'!$A$10:$AV$10000,MATCH($C10,'Table S3 Literature Values'!$A$10:$A$10000,0)+1,AJ$1))</f>
        <v>0.12880414125123094</v>
      </c>
      <c r="AK10" s="63">
        <f ca="1">INDEX('Table S3 Literature Values'!$A$10:$AV$10000,MATCH($C10,'Table S3 Literature Values'!$A$10:$A$10000,0)+2,AJ$1)</f>
        <v>1</v>
      </c>
      <c r="AL10" s="501">
        <f>IF(VLOOKUP($C10,'Table S3 Literature Values'!$A$10:$AV$10000,AL$1,FALSE)=0,VLOOKUP($C10,'Table S9 Model Derived Values'!$A$10:$AV$10000,AL$1,FALSE),VLOOKUP($C10,'Table S3 Literature Values'!$A$10:$AV$10000,AL$1,FALSE))</f>
        <v>4.0142305999999994</v>
      </c>
      <c r="AM10" s="61">
        <f>IF(INDEX('Table S3 Literature Values'!$A$10:$AV$10000,MATCH($C10,'Table S3 Literature Values'!$A$10:$A$10000,0)+1,AM$1)=0,INDEX('Table S9 Model Derived Values'!$A$10:$AV$10000,MATCH($C10,'Table S9 Model Derived Values'!$A$10:$A$10000,0)+1,AM$1),INDEX('Table S3 Literature Values'!$A$10:$AV$10000,MATCH($C10,'Table S3 Literature Values'!$A$10:$A$10000,0)+1,AM$1))</f>
        <v>0.72549591056859986</v>
      </c>
      <c r="AN10" s="63">
        <f>INDEX('Table S3 Literature Values'!$A$10:$AV$10000,MATCH($C10,'Table S3 Literature Values'!$A$10:$A$10000,0)+2,AM$1)</f>
        <v>0</v>
      </c>
      <c r="AO10" s="501">
        <f>IF(VLOOKUP($C10,'Table S3 Literature Values'!$A$10:$AV$10000,AO$1,FALSE)=0,VLOOKUP($C10,'Table S9 Model Derived Values'!$A$10:$AV$10000,AO$1,FALSE),VLOOKUP($C10,'Table S3 Literature Values'!$A$10:$AV$10000,AO$1,FALSE))</f>
        <v>0</v>
      </c>
      <c r="AP10" s="61">
        <f>IF(INDEX('Table S3 Literature Values'!$A$10:$AV$10000,MATCH($C10,'Table S3 Literature Values'!$A$10:$A$10000,0)+1,AP$1)=0,INDEX('Table S9 Model Derived Values'!$A$10:$AV$10000,MATCH($C10,'Table S9 Model Derived Values'!$A$10:$A$10000,0)+1,AP$1),INDEX('Table S3 Literature Values'!$A$10:$AV$10000,MATCH($C10,'Table S3 Literature Values'!$A$10:$A$10000,0)+1,AP$1))</f>
        <v>0</v>
      </c>
      <c r="AQ10" s="63">
        <f>INDEX('Table S3 Literature Values'!$A$10:$AV$10000,MATCH($C10,'Table S3 Literature Values'!$A$10:$A$10000,0)+2,AP$1)</f>
        <v>0</v>
      </c>
      <c r="AR10" s="501">
        <f>IF(VLOOKUP($C10,'Table S3 Literature Values'!$A$10:$AV$10000,AR$1,FALSE)=0,VLOOKUP($C10,'Table S9 Model Derived Values'!$A$10:$AV$10000,AR$1,FALSE),VLOOKUP($C10,'Table S3 Literature Values'!$A$10:$AV$10000,AR$1,FALSE))</f>
        <v>-27.1</v>
      </c>
      <c r="AS10" s="61">
        <f>IF(INDEX('Table S3 Literature Values'!$A$10:$AV$10000,MATCH($C10,'Table S3 Literature Values'!$A$10:$A$10000,0)+1,AS$1)=0,INDEX('Table S9 Model Derived Values'!$A$10:$AV$10000,MATCH($C10,'Table S9 Model Derived Values'!$A$10:$A$10000,0)+1,AS$1),INDEX('Table S3 Literature Values'!$A$10:$AV$10000,MATCH($C10,'Table S3 Literature Values'!$A$10:$A$10000,0)+1,AS$1))</f>
        <v>1.2510909358091147</v>
      </c>
      <c r="AT10" s="63">
        <f>INDEX('Table S3 Literature Values'!$A$10:$AV$10000,MATCH($C10,'Table S3 Literature Values'!$A$10:$A$10000,0)+2,AS$1)</f>
        <v>1</v>
      </c>
    </row>
    <row r="11" spans="1:46">
      <c r="A11" t="str">
        <f>'Table S2 Compound Identifiers'!C16</f>
        <v>Musk</v>
      </c>
      <c r="B11">
        <f>COUNTIF($C$3:C11,"&lt;&gt;"&amp;"")</f>
        <v>9</v>
      </c>
      <c r="C11" t="str">
        <f>IF('Table S2 Compound Identifiers'!B16="","",'Table S2 Compound Identifiers'!B16)</f>
        <v>Traseolide</v>
      </c>
      <c r="D11" t="str">
        <f>'Table S2 Compound Identifiers'!D16</f>
        <v>68140-48-7</v>
      </c>
      <c r="E11" s="501">
        <f>IF(VLOOKUP($C11,'Table S3 Literature Values'!$A$10:$AV$10000,E$1,FALSE)=0,VLOOKUP($C11,'Table S9 Model Derived Values'!$A$10:$AV$10000,E$1,FALSE),VLOOKUP($C11,'Table S3 Literature Values'!$A$10:$AV$10000,E$1,FALSE))</f>
        <v>76.8</v>
      </c>
      <c r="F11" s="61">
        <f>IF(INDEX('Table S3 Literature Values'!$A$10:$AV$10000,MATCH($C11,'Table S3 Literature Values'!$A$10:$A$10000,0)+1,F$1)=0,INDEX('Table S9 Model Derived Values'!$A$10:$AV$10000,MATCH($C11,'Table S9 Model Derived Values'!$A$10:$A$10000,0)+1,F$1),INDEX('Table S3 Literature Values'!$A$10:$AV$10000,MATCH($C11,'Table S3 Literature Values'!$A$10:$A$10000,0)+1,F$1))</f>
        <v>5.4807105384190518</v>
      </c>
      <c r="G11" s="63">
        <f>INDEX('Table S3 Literature Values'!$A$10:$AV$10000,MATCH($C11,'Table S3 Literature Values'!$A$10:$A$10000,0)+2,F$1)</f>
        <v>1</v>
      </c>
      <c r="H11" s="501">
        <f>IF(VLOOKUP($C11,'Table S3 Literature Values'!$A$10:$AV$10000,H$1,FALSE)=0,VLOOKUP($C11,'Table S9 Model Derived Values'!$A$10:$AV$10000,H$1,FALSE),VLOOKUP($C11,'Table S3 Literature Values'!$A$10:$AV$10000,H$1,FALSE))</f>
        <v>-36.996452467197493</v>
      </c>
      <c r="I11" s="61">
        <f>IF(INDEX('Table S3 Literature Values'!$A$10:$AV$10000,MATCH($C11,'Table S3 Literature Values'!$A$10:$A$10000,0)+1,I$1)=0,INDEX('Table S9 Model Derived Values'!$A$10:$AV$10000,MATCH($C11,'Table S9 Model Derived Values'!$A$10:$A$10000,0)+1,I$1),INDEX('Table S3 Literature Values'!$A$10:$AV$10000,MATCH($C11,'Table S3 Literature Values'!$A$10:$A$10000,0)+1,I$1))</f>
        <v>11.098935740159247</v>
      </c>
      <c r="J11" s="63">
        <f>INDEX('Table S3 Literature Values'!$A$10:$AV$10000,MATCH($C11,'Table S3 Literature Values'!$A$10:$A$10000,0)+2,I$1)</f>
        <v>1</v>
      </c>
      <c r="K11" s="501">
        <f>IF(VLOOKUP($C11,'Table S3 Literature Values'!$A$10:$AV$10000,K$1,FALSE)=0,VLOOKUP($C11,'Table S9 Model Derived Values'!$A$10:$AV$10000,K$1,FALSE),VLOOKUP($C11,'Table S3 Literature Values'!$A$10:$AV$10000,K$1,FALSE))</f>
        <v>0</v>
      </c>
      <c r="L11" s="61">
        <f>IF(INDEX('Table S3 Literature Values'!$A$10:$AV$10000,MATCH($C11,'Table S3 Literature Values'!$A$10:$A$10000,0)+1,L$1)=0,INDEX('Table S9 Model Derived Values'!$A$10:$AV$10000,MATCH($C11,'Table S9 Model Derived Values'!$A$10:$A$10000,0)+1,L$1),INDEX('Table S3 Literature Values'!$A$10:$AV$10000,MATCH($C11,'Table S3 Literature Values'!$A$10:$A$10000,0)+1,L$1))</f>
        <v>0</v>
      </c>
      <c r="M11" s="63">
        <f>INDEX('Table S3 Literature Values'!$A$10:$AV$10000,MATCH($C11,'Table S3 Literature Values'!$A$10:$A$10000,0)+2,L$1)</f>
        <v>0</v>
      </c>
      <c r="N11" s="501">
        <f>IF(VLOOKUP($C11,'Table S3 Literature Values'!$A$10:$AV$10000,N$1,FALSE)=0,VLOOKUP($C11,'Table S9 Model Derived Values'!$A$10:$AV$10000,N$1,FALSE),VLOOKUP($C11,'Table S3 Literature Values'!$A$10:$AV$10000,N$1,FALSE))</f>
        <v>64.5</v>
      </c>
      <c r="O11" s="61">
        <f>IF(INDEX('Table S3 Literature Values'!$A$10:$AV$10000,MATCH($C11,'Table S3 Literature Values'!$A$10:$A$10000,0)+1,O$1)=0,INDEX('Table S9 Model Derived Values'!$A$10:$AV$10000,MATCH($C11,'Table S9 Model Derived Values'!$A$10:$A$10000,0)+1,O$1),INDEX('Table S3 Literature Values'!$A$10:$AV$10000,MATCH($C11,'Table S3 Literature Values'!$A$10:$A$10000,0)+1,O$1))</f>
        <v>4.0865964038280769</v>
      </c>
      <c r="P11" s="63">
        <f>INDEX('Table S3 Literature Values'!$A$10:$AV$10000,MATCH($C11,'Table S3 Literature Values'!$A$10:$A$10000,0)+2,O$1)</f>
        <v>1</v>
      </c>
      <c r="Q11" s="501">
        <f>IF(VLOOKUP($C11,'Table S3 Literature Values'!$A$10:$AV$10000,Q$1,FALSE)=0,VLOOKUP($C11,'Table S9 Model Derived Values'!$A$10:$AV$10000,Q$1,FALSE),VLOOKUP($C11,'Table S3 Literature Values'!$A$10:$AV$10000,Q$1,FALSE))</f>
        <v>81.65030689999999</v>
      </c>
      <c r="R11" s="61">
        <f>IF(INDEX('Table S3 Literature Values'!$A$10:$AV$10000,MATCH($C11,'Table S3 Literature Values'!$A$10:$A$10000,0)+1,R$1)=0,INDEX('Table S9 Model Derived Values'!$A$10:$AV$10000,MATCH($C11,'Table S9 Model Derived Values'!$A$10:$A$10000,0)+1,R$1),INDEX('Table S3 Literature Values'!$A$10:$AV$10000,MATCH($C11,'Table S3 Literature Values'!$A$10:$A$10000,0)+1,R$1))</f>
        <v>13.750564884415198</v>
      </c>
      <c r="S11" s="63">
        <f>INDEX('Table S3 Literature Values'!$A$10:$AV$10000,MATCH($C11,'Table S3 Literature Values'!$A$10:$A$10000,0)+2,R$1)</f>
        <v>0</v>
      </c>
      <c r="T11" s="501">
        <f>IF(VLOOKUP($C11,'Table S3 Literature Values'!$A$10:$AV$10000,T$1,FALSE)=0,VLOOKUP($C11,'Table S9 Model Derived Values'!$A$10:$AV$10000,T$1,FALSE),VLOOKUP($C11,'Table S3 Literature Values'!$A$10:$AV$10000,T$1,FALSE))</f>
        <v>-2.8524101770097222E-2</v>
      </c>
      <c r="U11" s="61">
        <f>IF(INDEX('Table S3 Literature Values'!$A$10:$AV$10000,MATCH($C11,'Table S3 Literature Values'!$A$10:$A$10000,0)+1,U$1)=0,INDEX('Table S9 Model Derived Values'!$A$10:$AV$10000,MATCH($C11,'Table S9 Model Derived Values'!$A$10:$A$10000,0)+1,U$1),INDEX('Table S3 Literature Values'!$A$10:$AV$10000,MATCH($C11,'Table S3 Literature Values'!$A$10:$A$10000,0)+1,U$1))</f>
        <v>8.5572305310291658E-3</v>
      </c>
      <c r="V11" s="63">
        <f>INDEX('Table S3 Literature Values'!$A$10:$AV$10000,MATCH($C11,'Table S3 Literature Values'!$A$10:$A$10000,0)+2,U$1)</f>
        <v>1</v>
      </c>
      <c r="W11" s="501">
        <f>IF(VLOOKUP($C11,'Table S3 Literature Values'!$A$10:$AV$10000,W$1,FALSE)=0,VLOOKUP($C11,'Table S9 Model Derived Values'!$A$10:$AV$10000,W$1,FALSE),VLOOKUP($C11,'Table S3 Literature Values'!$A$10:$AV$10000,W$1,FALSE))</f>
        <v>7.9485634665041607</v>
      </c>
      <c r="X11" s="61">
        <f>IF(INDEX('Table S3 Literature Values'!$A$10:$AV$10000,MATCH($C11,'Table S3 Literature Values'!$A$10:$A$10000,0)+1,X$1)=0,INDEX('Table S9 Model Derived Values'!$A$10:$AV$10000,MATCH($C11,'Table S9 Model Derived Values'!$A$10:$A$10000,0)+1,X$1),INDEX('Table S3 Literature Values'!$A$10:$AV$10000,MATCH($C11,'Table S3 Literature Values'!$A$10:$A$10000,0)+1,X$1))</f>
        <v>0.32730068449843069</v>
      </c>
      <c r="Y11" s="63">
        <f>INDEX('Table S3 Literature Values'!$A$10:$AV$10000,MATCH($C11,'Table S3 Literature Values'!$A$10:$A$10000,0)+2,X$1)</f>
        <v>2</v>
      </c>
      <c r="Z11" s="501">
        <f ca="1">IF(VLOOKUP($C11,'Table S3 Literature Values'!$A$10:$AV$10000,Z$1,FALSE)=0,VLOOKUP($C11,'Table S9 Model Derived Values'!$A$10:$AV$10000,Z$1,FALSE),VLOOKUP($C11,'Table S3 Literature Values'!$A$10:$AV$10000,Z$1,FALSE))</f>
        <v>5.6401972406215748</v>
      </c>
      <c r="AA11" s="61">
        <f ca="1">IF(INDEX('Table S3 Literature Values'!$A$10:$AV$10000,MATCH($C11,'Table S3 Literature Values'!$A$10:$A$10000,0)+1,AA$1)=0,INDEX('Table S9 Model Derived Values'!$A$10:$AV$10000,MATCH($C11,'Table S9 Model Derived Values'!$A$10:$A$10000,0)+1,AA$1),INDEX('Table S3 Literature Values'!$A$10:$AV$10000,MATCH($C11,'Table S3 Literature Values'!$A$10:$A$10000,0)+1,AA$1))</f>
        <v>1.6920591721864724</v>
      </c>
      <c r="AB11" s="63">
        <f ca="1">INDEX('Table S3 Literature Values'!$A$10:$AV$10000,MATCH($C11,'Table S3 Literature Values'!$A$10:$A$10000,0)+2,AA$1)</f>
        <v>1</v>
      </c>
      <c r="AC11" s="501">
        <f>IF(VLOOKUP($C11,'Table S3 Literature Values'!$A$10:$AV$10000,AC$1,FALSE)=0,VLOOKUP($C11,'Table S9 Model Derived Values'!$A$10:$AV$10000,AC$1,FALSE),VLOOKUP($C11,'Table S3 Literature Values'!$A$10:$AV$10000,AC$1,FALSE))</f>
        <v>-2.1431289999999996</v>
      </c>
      <c r="AD11" s="61">
        <f>IF(INDEX('Table S3 Literature Values'!$A$10:$AV$10000,MATCH($C11,'Table S3 Literature Values'!$A$10:$A$10000,0)+1,AD$1)=0,INDEX('Table S9 Model Derived Values'!$A$10:$AV$10000,MATCH($C11,'Table S9 Model Derived Values'!$A$10:$A$10000,0)+1,AD$1),INDEX('Table S3 Literature Values'!$A$10:$AV$10000,MATCH($C11,'Table S3 Literature Values'!$A$10:$A$10000,0)+1,AD$1))</f>
        <v>0.90807804736399977</v>
      </c>
      <c r="AE11" s="63">
        <f>INDEX('Table S3 Literature Values'!$A$10:$AV$10000,MATCH($C11,'Table S3 Literature Values'!$A$10:$A$10000,0)+2,AD$1)</f>
        <v>0</v>
      </c>
      <c r="AF11" s="501">
        <f ca="1">IF(VLOOKUP($C11,'Table S3 Literature Values'!$A$10:$AV$10000,AF$1,FALSE)=0,VLOOKUP($C11,'Table S9 Model Derived Values'!$A$10:$AV$10000,AF$1,FALSE),VLOOKUP($C11,'Table S3 Literature Values'!$A$10:$AV$10000,AF$1,FALSE))</f>
        <v>-1.4354646307627545</v>
      </c>
      <c r="AG11" s="61">
        <f ca="1">IF(INDEX('Table S3 Literature Values'!$A$10:$AV$10000,MATCH($C11,'Table S3 Literature Values'!$A$10:$A$10000,0)+1,AG$1)=0,INDEX('Table S9 Model Derived Values'!$A$10:$AV$10000,MATCH($C11,'Table S9 Model Derived Values'!$A$10:$A$10000,0)+1,AG$1),INDEX('Table S3 Literature Values'!$A$10:$AV$10000,MATCH($C11,'Table S3 Literature Values'!$A$10:$A$10000,0)+1,AG$1))</f>
        <v>0.35282277344123536</v>
      </c>
      <c r="AH11" s="63">
        <f ca="1">INDEX('Table S3 Literature Values'!$A$10:$AV$10000,MATCH($C11,'Table S3 Literature Values'!$A$10:$A$10000,0)+2,AG$1)</f>
        <v>3</v>
      </c>
      <c r="AI11" s="501">
        <f ca="1">IF(VLOOKUP($C11,'Table S3 Literature Values'!$A$10:$AV$10000,AI$1,FALSE)=0,VLOOKUP($C11,'Table S9 Model Derived Values'!$A$10:$AV$10000,AI$1,FALSE),VLOOKUP($C11,'Table S3 Literature Values'!$A$10:$AV$10000,AI$1,FALSE))</f>
        <v>-2.7483112949199486</v>
      </c>
      <c r="AJ11" s="61">
        <f ca="1">IF(INDEX('Table S3 Literature Values'!$A$10:$AV$10000,MATCH($C11,'Table S3 Literature Values'!$A$10:$A$10000,0)+1,AJ$1)=0,INDEX('Table S9 Model Derived Values'!$A$10:$AV$10000,MATCH($C11,'Table S9 Model Derived Values'!$A$10:$A$10000,0)+1,AJ$1),INDEX('Table S3 Literature Values'!$A$10:$AV$10000,MATCH($C11,'Table S3 Literature Values'!$A$10:$A$10000,0)+1,AJ$1))</f>
        <v>0.33984129976847932</v>
      </c>
      <c r="AK11" s="63">
        <f ca="1">INDEX('Table S3 Literature Values'!$A$10:$AV$10000,MATCH($C11,'Table S3 Literature Values'!$A$10:$A$10000,0)+2,AJ$1)</f>
        <v>1</v>
      </c>
      <c r="AL11" s="501">
        <f>IF(VLOOKUP($C11,'Table S3 Literature Values'!$A$10:$AV$10000,AL$1,FALSE)=0,VLOOKUP($C11,'Table S9 Model Derived Values'!$A$10:$AV$10000,AL$1,FALSE),VLOOKUP($C11,'Table S3 Literature Values'!$A$10:$AV$10000,AL$1,FALSE))</f>
        <v>3.6969012999999986</v>
      </c>
      <c r="AM11" s="61">
        <f>IF(INDEX('Table S3 Literature Values'!$A$10:$AV$10000,MATCH($C11,'Table S3 Literature Values'!$A$10:$A$10000,0)+1,AM$1)=0,INDEX('Table S9 Model Derived Values'!$A$10:$AV$10000,MATCH($C11,'Table S9 Model Derived Values'!$A$10:$A$10000,0)+1,AM$1),INDEX('Table S3 Literature Values'!$A$10:$AV$10000,MATCH($C11,'Table S3 Literature Values'!$A$10:$A$10000,0)+1,AM$1))</f>
        <v>0.66814466885029977</v>
      </c>
      <c r="AN11" s="63">
        <f>INDEX('Table S3 Literature Values'!$A$10:$AV$10000,MATCH($C11,'Table S3 Literature Values'!$A$10:$A$10000,0)+2,AM$1)</f>
        <v>0</v>
      </c>
      <c r="AO11" s="501">
        <f>IF(VLOOKUP($C11,'Table S3 Literature Values'!$A$10:$AV$10000,AO$1,FALSE)=0,VLOOKUP($C11,'Table S9 Model Derived Values'!$A$10:$AV$10000,AO$1,FALSE),VLOOKUP($C11,'Table S3 Literature Values'!$A$10:$AV$10000,AO$1,FALSE))</f>
        <v>0</v>
      </c>
      <c r="AP11" s="61">
        <f>IF(INDEX('Table S3 Literature Values'!$A$10:$AV$10000,MATCH($C11,'Table S3 Literature Values'!$A$10:$A$10000,0)+1,AP$1)=0,INDEX('Table S9 Model Derived Values'!$A$10:$AV$10000,MATCH($C11,'Table S9 Model Derived Values'!$A$10:$A$10000,0)+1,AP$1),INDEX('Table S3 Literature Values'!$A$10:$AV$10000,MATCH($C11,'Table S3 Literature Values'!$A$10:$A$10000,0)+1,AP$1))</f>
        <v>0</v>
      </c>
      <c r="AQ11" s="63">
        <f>INDEX('Table S3 Literature Values'!$A$10:$AV$10000,MATCH($C11,'Table S3 Literature Values'!$A$10:$A$10000,0)+2,AP$1)</f>
        <v>0</v>
      </c>
      <c r="AR11" s="501">
        <f>IF(VLOOKUP($C11,'Table S3 Literature Values'!$A$10:$AV$10000,AR$1,FALSE)=0,VLOOKUP($C11,'Table S9 Model Derived Values'!$A$10:$AV$10000,AR$1,FALSE),VLOOKUP($C11,'Table S3 Literature Values'!$A$10:$AV$10000,AR$1,FALSE))</f>
        <v>-50</v>
      </c>
      <c r="AS11" s="61">
        <f>IF(INDEX('Table S3 Literature Values'!$A$10:$AV$10000,MATCH($C11,'Table S3 Literature Values'!$A$10:$A$10000,0)+1,AS$1)=0,INDEX('Table S9 Model Derived Values'!$A$10:$AV$10000,MATCH($C11,'Table S9 Model Derived Values'!$A$10:$A$10000,0)+1,AS$1),INDEX('Table S3 Literature Values'!$A$10:$AV$10000,MATCH($C11,'Table S3 Literature Values'!$A$10:$A$10000,0)+1,AS$1))</f>
        <v>15</v>
      </c>
      <c r="AT11" s="63">
        <f>INDEX('Table S3 Literature Values'!$A$10:$AV$10000,MATCH($C11,'Table S3 Literature Values'!$A$10:$A$10000,0)+2,AS$1)</f>
        <v>1</v>
      </c>
    </row>
    <row r="12" spans="1:46">
      <c r="A12" t="str">
        <f>'Table S2 Compound Identifiers'!C17</f>
        <v>Musk</v>
      </c>
      <c r="B12">
        <f>COUNTIF($C$3:C12,"&lt;&gt;"&amp;"")</f>
        <v>10</v>
      </c>
      <c r="C12" t="str">
        <f>IF('Table S2 Compound Identifiers'!B17="","",'Table S2 Compound Identifiers'!B17)</f>
        <v>Moskene</v>
      </c>
      <c r="D12" t="str">
        <f>'Table S2 Compound Identifiers'!D17</f>
        <v>116-66-5</v>
      </c>
      <c r="E12" s="501">
        <f>IF(VLOOKUP($C12,'Table S3 Literature Values'!$A$10:$AV$10000,E$1,FALSE)=0,VLOOKUP($C12,'Table S9 Model Derived Values'!$A$10:$AV$10000,E$1,FALSE),VLOOKUP($C12,'Table S3 Literature Values'!$A$10:$AV$10000,E$1,FALSE))</f>
        <v>53.6</v>
      </c>
      <c r="F12" s="61">
        <f>IF(INDEX('Table S3 Literature Values'!$A$10:$AV$10000,MATCH($C12,'Table S3 Literature Values'!$A$10:$A$10000,0)+1,F$1)=0,INDEX('Table S9 Model Derived Values'!$A$10:$AV$10000,MATCH($C12,'Table S9 Model Derived Values'!$A$10:$A$10000,0)+1,F$1),INDEX('Table S3 Literature Values'!$A$10:$AV$10000,MATCH($C12,'Table S3 Literature Values'!$A$10:$A$10000,0)+1,F$1))</f>
        <v>3.825079229938297</v>
      </c>
      <c r="G12" s="63">
        <f>INDEX('Table S3 Literature Values'!$A$10:$AV$10000,MATCH($C12,'Table S3 Literature Values'!$A$10:$A$10000,0)+2,F$1)</f>
        <v>1</v>
      </c>
      <c r="H12" s="501">
        <f>IF(VLOOKUP($C12,'Table S3 Literature Values'!$A$10:$AV$10000,H$1,FALSE)=0,VLOOKUP($C12,'Table S9 Model Derived Values'!$A$10:$AV$10000,H$1,FALSE),VLOOKUP($C12,'Table S3 Literature Values'!$A$10:$AV$10000,H$1,FALSE))</f>
        <v>14.26040524040792</v>
      </c>
      <c r="I12" s="61">
        <f>IF(INDEX('Table S3 Literature Values'!$A$10:$AV$10000,MATCH($C12,'Table S3 Literature Values'!$A$10:$A$10000,0)+1,I$1)=0,INDEX('Table S9 Model Derived Values'!$A$10:$AV$10000,MATCH($C12,'Table S9 Model Derived Values'!$A$10:$A$10000,0)+1,I$1),INDEX('Table S3 Literature Values'!$A$10:$AV$10000,MATCH($C12,'Table S3 Literature Values'!$A$10:$A$10000,0)+1,I$1))</f>
        <v>12.026270332608933</v>
      </c>
      <c r="J12" s="63">
        <f>INDEX('Table S3 Literature Values'!$A$10:$AV$10000,MATCH($C12,'Table S3 Literature Values'!$A$10:$A$10000,0)+2,I$1)</f>
        <v>0</v>
      </c>
      <c r="K12" s="501">
        <f>IF(VLOOKUP($C12,'Table S3 Literature Values'!$A$10:$AV$10000,K$1,FALSE)=0,VLOOKUP($C12,'Table S9 Model Derived Values'!$A$10:$AV$10000,K$1,FALSE),VLOOKUP($C12,'Table S3 Literature Values'!$A$10:$AV$10000,K$1,FALSE))</f>
        <v>0</v>
      </c>
      <c r="L12" s="61">
        <f>IF(INDEX('Table S3 Literature Values'!$A$10:$AV$10000,MATCH($C12,'Table S3 Literature Values'!$A$10:$A$10000,0)+1,L$1)=0,INDEX('Table S9 Model Derived Values'!$A$10:$AV$10000,MATCH($C12,'Table S9 Model Derived Values'!$A$10:$A$10000,0)+1,L$1),INDEX('Table S3 Literature Values'!$A$10:$AV$10000,MATCH($C12,'Table S3 Literature Values'!$A$10:$A$10000,0)+1,L$1))</f>
        <v>0</v>
      </c>
      <c r="M12" s="63">
        <f>INDEX('Table S3 Literature Values'!$A$10:$AV$10000,MATCH($C12,'Table S3 Literature Values'!$A$10:$A$10000,0)+2,L$1)</f>
        <v>0</v>
      </c>
      <c r="N12" s="501">
        <f>IF(VLOOKUP($C12,'Table S3 Literature Values'!$A$10:$AV$10000,N$1,FALSE)=0,VLOOKUP($C12,'Table S9 Model Derived Values'!$A$10:$AV$10000,N$1,FALSE),VLOOKUP($C12,'Table S3 Literature Values'!$A$10:$AV$10000,N$1,FALSE))</f>
        <v>62.949999999999996</v>
      </c>
      <c r="O12" s="61">
        <f>IF(INDEX('Table S3 Literature Values'!$A$10:$AV$10000,MATCH($C12,'Table S3 Literature Values'!$A$10:$A$10000,0)+1,O$1)=0,INDEX('Table S9 Model Derived Values'!$A$10:$AV$10000,MATCH($C12,'Table S9 Model Derived Values'!$A$10:$A$10000,0)+1,O$1),INDEX('Table S3 Literature Values'!$A$10:$AV$10000,MATCH($C12,'Table S3 Literature Values'!$A$10:$A$10000,0)+1,O$1))</f>
        <v>14.354267658086917</v>
      </c>
      <c r="P12" s="63">
        <f>INDEX('Table S3 Literature Values'!$A$10:$AV$10000,MATCH($C12,'Table S3 Literature Values'!$A$10:$A$10000,0)+2,O$1)</f>
        <v>2</v>
      </c>
      <c r="Q12" s="501">
        <f>IF(VLOOKUP($C12,'Table S3 Literature Values'!$A$10:$AV$10000,Q$1,FALSE)=0,VLOOKUP($C12,'Table S9 Model Derived Values'!$A$10:$AV$10000,Q$1,FALSE),VLOOKUP($C12,'Table S3 Literature Values'!$A$10:$AV$10000,Q$1,FALSE))</f>
        <v>70.2114282</v>
      </c>
      <c r="R12" s="61">
        <f>IF(INDEX('Table S3 Literature Values'!$A$10:$AV$10000,MATCH($C12,'Table S3 Literature Values'!$A$10:$A$10000,0)+1,R$1)=0,INDEX('Table S9 Model Derived Values'!$A$10:$AV$10000,MATCH($C12,'Table S9 Model Derived Values'!$A$10:$A$10000,0)+1,R$1),INDEX('Table S3 Literature Values'!$A$10:$AV$10000,MATCH($C12,'Table S3 Literature Values'!$A$10:$A$10000,0)+1,R$1))</f>
        <v>11.8241662003056</v>
      </c>
      <c r="S12" s="63">
        <f>INDEX('Table S3 Literature Values'!$A$10:$AV$10000,MATCH($C12,'Table S3 Literature Values'!$A$10:$A$10000,0)+2,R$1)</f>
        <v>0</v>
      </c>
      <c r="T12" s="501">
        <f>IF(VLOOKUP($C12,'Table S3 Literature Values'!$A$10:$AV$10000,T$1,FALSE)=0,VLOOKUP($C12,'Table S9 Model Derived Values'!$A$10:$AV$10000,T$1,FALSE),VLOOKUP($C12,'Table S3 Literature Values'!$A$10:$AV$10000,T$1,FALSE))</f>
        <v>1.7750031651834997</v>
      </c>
      <c r="U12" s="61">
        <f>IF(INDEX('Table S3 Literature Values'!$A$10:$AV$10000,MATCH($C12,'Table S3 Literature Values'!$A$10:$A$10000,0)+1,U$1)=0,INDEX('Table S9 Model Derived Values'!$A$10:$AV$10000,MATCH($C12,'Table S9 Model Derived Values'!$A$10:$A$10000,0)+1,U$1),INDEX('Table S3 Literature Values'!$A$10:$AV$10000,MATCH($C12,'Table S3 Literature Values'!$A$10:$A$10000,0)+1,U$1))</f>
        <v>0.5325009495550499</v>
      </c>
      <c r="V12" s="63">
        <f>INDEX('Table S3 Literature Values'!$A$10:$AV$10000,MATCH($C12,'Table S3 Literature Values'!$A$10:$A$10000,0)+2,U$1)</f>
        <v>1</v>
      </c>
      <c r="W12" s="501">
        <f>IF(VLOOKUP($C12,'Table S3 Literature Values'!$A$10:$AV$10000,W$1,FALSE)=0,VLOOKUP($C12,'Table S9 Model Derived Values'!$A$10:$AV$10000,W$1,FALSE),VLOOKUP($C12,'Table S3 Literature Values'!$A$10:$AV$10000,W$1,FALSE))</f>
        <v>8.0706983277410878</v>
      </c>
      <c r="X12" s="61">
        <f>IF(INDEX('Table S3 Literature Values'!$A$10:$AV$10000,MATCH($C12,'Table S3 Literature Values'!$A$10:$A$10000,0)+1,X$1)=0,INDEX('Table S9 Model Derived Values'!$A$10:$AV$10000,MATCH($C12,'Table S9 Model Derived Values'!$A$10:$A$10000,0)+1,X$1),INDEX('Table S3 Literature Values'!$A$10:$AV$10000,MATCH($C12,'Table S3 Literature Values'!$A$10:$A$10000,0)+1,X$1))</f>
        <v>0.33842367040711524</v>
      </c>
      <c r="Y12" s="63">
        <f>INDEX('Table S3 Literature Values'!$A$10:$AV$10000,MATCH($C12,'Table S3 Literature Values'!$A$10:$A$10000,0)+2,X$1)</f>
        <v>2</v>
      </c>
      <c r="Z12" s="501">
        <f ca="1">IF(VLOOKUP($C12,'Table S3 Literature Values'!$A$10:$AV$10000,Z$1,FALSE)=0,VLOOKUP($C12,'Table S9 Model Derived Values'!$A$10:$AV$10000,Z$1,FALSE),VLOOKUP($C12,'Table S3 Literature Values'!$A$10:$AV$10000,Z$1,FALSE))</f>
        <v>4.4030033796665915</v>
      </c>
      <c r="AA12" s="61">
        <f ca="1">IF(INDEX('Table S3 Literature Values'!$A$10:$AV$10000,MATCH($C12,'Table S3 Literature Values'!$A$10:$A$10000,0)+1,AA$1)=0,INDEX('Table S9 Model Derived Values'!$A$10:$AV$10000,MATCH($C12,'Table S9 Model Derived Values'!$A$10:$A$10000,0)+1,AA$1),INDEX('Table S3 Literature Values'!$A$10:$AV$10000,MATCH($C12,'Table S3 Literature Values'!$A$10:$A$10000,0)+1,AA$1))</f>
        <v>0.29848184496956309</v>
      </c>
      <c r="AB12" s="63">
        <f>INDEX('Table S3 Literature Values'!$A$10:$AV$10000,MATCH($C12,'Table S3 Literature Values'!$A$10:$A$10000,0)+2,AA$1)</f>
        <v>1</v>
      </c>
      <c r="AC12" s="501">
        <f>IF(VLOOKUP($C12,'Table S3 Literature Values'!$A$10:$AV$10000,AC$1,FALSE)=0,VLOOKUP($C12,'Table S9 Model Derived Values'!$A$10:$AV$10000,AC$1,FALSE),VLOOKUP($C12,'Table S3 Literature Values'!$A$10:$AV$10000,AC$1,FALSE))</f>
        <v>-3.5046020000000007</v>
      </c>
      <c r="AD12" s="61">
        <f>IF(INDEX('Table S3 Literature Values'!$A$10:$AV$10000,MATCH($C12,'Table S3 Literature Values'!$A$10:$A$10000,0)+1,AD$1)=0,INDEX('Table S9 Model Derived Values'!$A$10:$AV$10000,MATCH($C12,'Table S9 Model Derived Values'!$A$10:$A$10000,0)+1,AD$1),INDEX('Table S3 Literature Values'!$A$10:$AV$10000,MATCH($C12,'Table S3 Literature Values'!$A$10:$A$10000,0)+1,AD$1))</f>
        <v>1.4849559410320001</v>
      </c>
      <c r="AE12" s="63">
        <f>INDEX('Table S3 Literature Values'!$A$10:$AV$10000,MATCH($C12,'Table S3 Literature Values'!$A$10:$A$10000,0)+2,AD$1)</f>
        <v>0</v>
      </c>
      <c r="AF12" s="501">
        <f>IF(VLOOKUP($C12,'Table S3 Literature Values'!$A$10:$AV$10000,AF$1,FALSE)=0,VLOOKUP($C12,'Table S9 Model Derived Values'!$A$10:$AV$10000,AF$1,FALSE),VLOOKUP($C12,'Table S3 Literature Values'!$A$10:$AV$10000,AF$1,FALSE))</f>
        <v>-1.4557851489072775</v>
      </c>
      <c r="AG12" s="61">
        <f>IF(INDEX('Table S3 Literature Values'!$A$10:$AV$10000,MATCH($C12,'Table S3 Literature Values'!$A$10:$A$10000,0)+1,AG$1)=0,INDEX('Table S9 Model Derived Values'!$A$10:$AV$10000,MATCH($C12,'Table S9 Model Derived Values'!$A$10:$A$10000,0)+1,AG$1),INDEX('Table S3 Literature Values'!$A$10:$AV$10000,MATCH($C12,'Table S3 Literature Values'!$A$10:$A$10000,0)+1,AG$1))</f>
        <v>0.6989253451415276</v>
      </c>
      <c r="AH12" s="63">
        <f>INDEX('Table S3 Literature Values'!$A$10:$AV$10000,MATCH($C12,'Table S3 Literature Values'!$A$10:$A$10000,0)+2,AG$1)</f>
        <v>2</v>
      </c>
      <c r="AI12" s="501">
        <f ca="1">IF(VLOOKUP($C12,'Table S3 Literature Values'!$A$10:$AV$10000,AI$1,FALSE)=0,VLOOKUP($C12,'Table S9 Model Derived Values'!$A$10:$AV$10000,AI$1,FALSE),VLOOKUP($C12,'Table S3 Literature Values'!$A$10:$AV$10000,AI$1,FALSE))</f>
        <v>-3.7889277024825319</v>
      </c>
      <c r="AJ12" s="61">
        <f ca="1">IF(INDEX('Table S3 Literature Values'!$A$10:$AV$10000,MATCH($C12,'Table S3 Literature Values'!$A$10:$A$10000,0)+1,AJ$1)=0,INDEX('Table S9 Model Derived Values'!$A$10:$AV$10000,MATCH($C12,'Table S9 Model Derived Values'!$A$10:$A$10000,0)+1,AJ$1),INDEX('Table S3 Literature Values'!$A$10:$AV$10000,MATCH($C12,'Table S3 Literature Values'!$A$10:$A$10000,0)+1,AJ$1))</f>
        <v>0.46851829249494364</v>
      </c>
      <c r="AK12" s="63">
        <f ca="1">INDEX('Table S3 Literature Values'!$A$10:$AV$10000,MATCH($C12,'Table S3 Literature Values'!$A$10:$A$10000,0)+2,AJ$1)</f>
        <v>1</v>
      </c>
      <c r="AL12" s="501">
        <f>IF(VLOOKUP($C12,'Table S3 Literature Values'!$A$10:$AV$10000,AL$1,FALSE)=0,VLOOKUP($C12,'Table S9 Model Derived Values'!$A$10:$AV$10000,AL$1,FALSE),VLOOKUP($C12,'Table S3 Literature Values'!$A$10:$AV$10000,AL$1,FALSE))</f>
        <v>3.0542393999999984</v>
      </c>
      <c r="AM12" s="61">
        <f>IF(INDEX('Table S3 Literature Values'!$A$10:$AV$10000,MATCH($C12,'Table S3 Literature Values'!$A$10:$A$10000,0)+1,AM$1)=0,INDEX('Table S9 Model Derived Values'!$A$10:$AV$10000,MATCH($C12,'Table S9 Model Derived Values'!$A$10:$A$10000,0)+1,AM$1),INDEX('Table S3 Literature Values'!$A$10:$AV$10000,MATCH($C12,'Table S3 Literature Values'!$A$10:$A$10000,0)+1,AM$1))</f>
        <v>0.5519957410013997</v>
      </c>
      <c r="AN12" s="63">
        <f>INDEX('Table S3 Literature Values'!$A$10:$AV$10000,MATCH($C12,'Table S3 Literature Values'!$A$10:$A$10000,0)+2,AM$1)</f>
        <v>0</v>
      </c>
      <c r="AO12" s="501">
        <f>IF(VLOOKUP($C12,'Table S3 Literature Values'!$A$10:$AV$10000,AO$1,FALSE)=0,VLOOKUP($C12,'Table S9 Model Derived Values'!$A$10:$AV$10000,AO$1,FALSE),VLOOKUP($C12,'Table S3 Literature Values'!$A$10:$AV$10000,AO$1,FALSE))</f>
        <v>0</v>
      </c>
      <c r="AP12" s="61">
        <f>IF(INDEX('Table S3 Literature Values'!$A$10:$AV$10000,MATCH($C12,'Table S3 Literature Values'!$A$10:$A$10000,0)+1,AP$1)=0,INDEX('Table S9 Model Derived Values'!$A$10:$AV$10000,MATCH($C12,'Table S9 Model Derived Values'!$A$10:$A$10000,0)+1,AP$1),INDEX('Table S3 Literature Values'!$A$10:$AV$10000,MATCH($C12,'Table S3 Literature Values'!$A$10:$A$10000,0)+1,AP$1))</f>
        <v>0</v>
      </c>
      <c r="AQ12" s="63">
        <f>INDEX('Table S3 Literature Values'!$A$10:$AV$10000,MATCH($C12,'Table S3 Literature Values'!$A$10:$A$10000,0)+2,AP$1)</f>
        <v>0</v>
      </c>
      <c r="AR12" s="501">
        <f>IF(VLOOKUP($C12,'Table S3 Literature Values'!$A$10:$AV$10000,AR$1,FALSE)=0,VLOOKUP($C12,'Table S9 Model Derived Values'!$A$10:$AV$10000,AR$1,FALSE),VLOOKUP($C12,'Table S3 Literature Values'!$A$10:$AV$10000,AR$1,FALSE))</f>
        <v>133</v>
      </c>
      <c r="AS12" s="61">
        <f>IF(INDEX('Table S3 Literature Values'!$A$10:$AV$10000,MATCH($C12,'Table S3 Literature Values'!$A$10:$A$10000,0)+1,AS$1)=0,INDEX('Table S9 Model Derived Values'!$A$10:$AV$10000,MATCH($C12,'Table S9 Model Derived Values'!$A$10:$A$10000,0)+1,AS$1),INDEX('Table S3 Literature Values'!$A$10:$AV$10000,MATCH($C12,'Table S3 Literature Values'!$A$10:$A$10000,0)+1,AS$1))</f>
        <v>39.9</v>
      </c>
      <c r="AT12" s="63">
        <f>INDEX('Table S3 Literature Values'!$A$10:$AV$10000,MATCH($C12,'Table S3 Literature Values'!$A$10:$A$10000,0)+2,AS$1)</f>
        <v>1</v>
      </c>
    </row>
    <row r="13" spans="1:46">
      <c r="A13" t="str">
        <f>'Table S2 Compound Identifiers'!C18</f>
        <v>Musk</v>
      </c>
      <c r="B13">
        <f>COUNTIF($C$3:C13,"&lt;&gt;"&amp;"")</f>
        <v>11</v>
      </c>
      <c r="C13" t="str">
        <f>IF('Table S2 Compound Identifiers'!B18="","",'Table S2 Compound Identifiers'!B18)</f>
        <v>Tonalide</v>
      </c>
      <c r="D13" t="str">
        <f>'Table S2 Compound Identifiers'!D18</f>
        <v>21145-77-7</v>
      </c>
      <c r="E13" s="501">
        <f>IF(VLOOKUP($C13,'Table S3 Literature Values'!$A$10:$AV$10000,E$1,FALSE)=0,VLOOKUP($C13,'Table S9 Model Derived Values'!$A$10:$AV$10000,E$1,FALSE),VLOOKUP($C13,'Table S3 Literature Values'!$A$10:$AV$10000,E$1,FALSE))</f>
        <v>83.718157117680008</v>
      </c>
      <c r="F13" s="61">
        <f>IF(INDEX('Table S3 Literature Values'!$A$10:$AV$10000,MATCH($C13,'Table S3 Literature Values'!$A$10:$A$10000,0)+1,F$1)=0,INDEX('Table S9 Model Derived Values'!$A$10:$AV$10000,MATCH($C13,'Table S9 Model Derived Values'!$A$10:$A$10000,0)+1,F$1),INDEX('Table S3 Literature Values'!$A$10:$AV$10000,MATCH($C13,'Table S3 Literature Values'!$A$10:$A$10000,0)+1,F$1))</f>
        <v>21.189400439113282</v>
      </c>
      <c r="G13" s="63">
        <f>INDEX('Table S3 Literature Values'!$A$10:$AV$10000,MATCH($C13,'Table S3 Literature Values'!$A$10:$A$10000,0)+2,F$1)</f>
        <v>0</v>
      </c>
      <c r="H13" s="501">
        <f>IF(VLOOKUP($C13,'Table S3 Literature Values'!$A$10:$AV$10000,H$1,FALSE)=0,VLOOKUP($C13,'Table S9 Model Derived Values'!$A$10:$AV$10000,H$1,FALSE),VLOOKUP($C13,'Table S3 Literature Values'!$A$10:$AV$10000,H$1,FALSE))</f>
        <v>-28.986481274746431</v>
      </c>
      <c r="I13" s="61">
        <f>IF(INDEX('Table S3 Literature Values'!$A$10:$AV$10000,MATCH($C13,'Table S3 Literature Values'!$A$10:$A$10000,0)+1,I$1)=0,INDEX('Table S9 Model Derived Values'!$A$10:$AV$10000,MATCH($C13,'Table S9 Model Derived Values'!$A$10:$A$10000,0)+1,I$1),INDEX('Table S3 Literature Values'!$A$10:$AV$10000,MATCH($C13,'Table S3 Literature Values'!$A$10:$A$10000,0)+1,I$1))</f>
        <v>8.6959443824239298</v>
      </c>
      <c r="J13" s="63">
        <f>INDEX('Table S3 Literature Values'!$A$10:$AV$10000,MATCH($C13,'Table S3 Literature Values'!$A$10:$A$10000,0)+2,I$1)</f>
        <v>1</v>
      </c>
      <c r="K13" s="501">
        <f>IF(VLOOKUP($C13,'Table S3 Literature Values'!$A$10:$AV$10000,K$1,FALSE)=0,VLOOKUP($C13,'Table S9 Model Derived Values'!$A$10:$AV$10000,K$1,FALSE),VLOOKUP($C13,'Table S3 Literature Values'!$A$10:$AV$10000,K$1,FALSE))</f>
        <v>0</v>
      </c>
      <c r="L13" s="61">
        <f>IF(INDEX('Table S3 Literature Values'!$A$10:$AV$10000,MATCH($C13,'Table S3 Literature Values'!$A$10:$A$10000,0)+1,L$1)=0,INDEX('Table S9 Model Derived Values'!$A$10:$AV$10000,MATCH($C13,'Table S9 Model Derived Values'!$A$10:$A$10000,0)+1,L$1),INDEX('Table S3 Literature Values'!$A$10:$AV$10000,MATCH($C13,'Table S3 Literature Values'!$A$10:$A$10000,0)+1,L$1))</f>
        <v>0</v>
      </c>
      <c r="M13" s="63">
        <f>INDEX('Table S3 Literature Values'!$A$10:$AV$10000,MATCH($C13,'Table S3 Literature Values'!$A$10:$A$10000,0)+2,L$1)</f>
        <v>0</v>
      </c>
      <c r="N13" s="501">
        <f>IF(VLOOKUP($C13,'Table S3 Literature Values'!$A$10:$AV$10000,N$1,FALSE)=0,VLOOKUP($C13,'Table S9 Model Derived Values'!$A$10:$AV$10000,N$1,FALSE),VLOOKUP($C13,'Table S3 Literature Values'!$A$10:$AV$10000,N$1,FALSE))</f>
        <v>72.400000000000006</v>
      </c>
      <c r="O13" s="61">
        <f>IF(INDEX('Table S3 Literature Values'!$A$10:$AV$10000,MATCH($C13,'Table S3 Literature Values'!$A$10:$A$10000,0)+1,O$1)=0,INDEX('Table S9 Model Derived Values'!$A$10:$AV$10000,MATCH($C13,'Table S9 Model Derived Values'!$A$10:$A$10000,0)+1,O$1),INDEX('Table S3 Literature Values'!$A$10:$AV$10000,MATCH($C13,'Table S3 Literature Values'!$A$10:$A$10000,0)+1,O$1))</f>
        <v>4.5871252656922916</v>
      </c>
      <c r="P13" s="63">
        <f>INDEX('Table S3 Literature Values'!$A$10:$AV$10000,MATCH($C13,'Table S3 Literature Values'!$A$10:$A$10000,0)+2,O$1)</f>
        <v>1</v>
      </c>
      <c r="Q13" s="501">
        <f>IF(VLOOKUP($C13,'Table S3 Literature Values'!$A$10:$AV$10000,Q$1,FALSE)=0,VLOOKUP($C13,'Table S9 Model Derived Values'!$A$10:$AV$10000,Q$1,FALSE),VLOOKUP($C13,'Table S3 Literature Values'!$A$10:$AV$10000,Q$1,FALSE))</f>
        <v>80.655651899999995</v>
      </c>
      <c r="R13" s="61">
        <f>IF(INDEX('Table S3 Literature Values'!$A$10:$AV$10000,MATCH($C13,'Table S3 Literature Values'!$A$10:$A$10000,0)+1,R$1)=0,INDEX('Table S9 Model Derived Values'!$A$10:$AV$10000,MATCH($C13,'Table S9 Model Derived Values'!$A$10:$A$10000,0)+1,R$1),INDEX('Table S3 Literature Values'!$A$10:$AV$10000,MATCH($C13,'Table S3 Literature Values'!$A$10:$A$10000,0)+1,R$1))</f>
        <v>13.583057025175199</v>
      </c>
      <c r="S13" s="63">
        <f>INDEX('Table S3 Literature Values'!$A$10:$AV$10000,MATCH($C13,'Table S3 Literature Values'!$A$10:$A$10000,0)+2,R$1)</f>
        <v>0</v>
      </c>
      <c r="T13" s="501">
        <f>IF(VLOOKUP($C13,'Table S3 Literature Values'!$A$10:$AV$10000,T$1,FALSE)=0,VLOOKUP($C13,'Table S9 Model Derived Values'!$A$10:$AV$10000,T$1,FALSE),VLOOKUP($C13,'Table S3 Literature Values'!$A$10:$AV$10000,T$1,FALSE))</f>
        <v>3.8287384926305001E-3</v>
      </c>
      <c r="U13" s="61">
        <f>IF(INDEX('Table S3 Literature Values'!$A$10:$AV$10000,MATCH($C13,'Table S3 Literature Values'!$A$10:$A$10000,0)+1,U$1)=0,INDEX('Table S9 Model Derived Values'!$A$10:$AV$10000,MATCH($C13,'Table S9 Model Derived Values'!$A$10:$A$10000,0)+1,U$1),INDEX('Table S3 Literature Values'!$A$10:$AV$10000,MATCH($C13,'Table S3 Literature Values'!$A$10:$A$10000,0)+1,U$1))</f>
        <v>1.14862154778915E-3</v>
      </c>
      <c r="V13" s="63">
        <f>INDEX('Table S3 Literature Values'!$A$10:$AV$10000,MATCH($C13,'Table S3 Literature Values'!$A$10:$A$10000,0)+2,U$1)</f>
        <v>1</v>
      </c>
      <c r="W13" s="501">
        <f>IF(VLOOKUP($C13,'Table S3 Literature Values'!$A$10:$AV$10000,W$1,FALSE)=0,VLOOKUP($C13,'Table S9 Model Derived Values'!$A$10:$AV$10000,W$1,FALSE),VLOOKUP($C13,'Table S3 Literature Values'!$A$10:$AV$10000,W$1,FALSE))</f>
        <v>8.24</v>
      </c>
      <c r="X13" s="61">
        <f>IF(INDEX('Table S3 Literature Values'!$A$10:$AV$10000,MATCH($C13,'Table S3 Literature Values'!$A$10:$A$10000,0)+1,X$1)=0,INDEX('Table S9 Model Derived Values'!$A$10:$AV$10000,MATCH($C13,'Table S9 Model Derived Values'!$A$10:$A$10000,0)+1,X$1),INDEX('Table S3 Literature Values'!$A$10:$AV$10000,MATCH($C13,'Table S3 Literature Values'!$A$10:$A$10000,0)+1,X$1))</f>
        <v>0.21216202104952314</v>
      </c>
      <c r="Y13" s="63">
        <f>INDEX('Table S3 Literature Values'!$A$10:$AV$10000,MATCH($C13,'Table S3 Literature Values'!$A$10:$A$10000,0)+2,X$1)</f>
        <v>1</v>
      </c>
      <c r="Z13" s="501">
        <f>IF(VLOOKUP($C13,'Table S3 Literature Values'!$A$10:$AV$10000,Z$1,FALSE)=0,VLOOKUP($C13,'Table S9 Model Derived Values'!$A$10:$AV$10000,Z$1,FALSE),VLOOKUP($C13,'Table S3 Literature Values'!$A$10:$AV$10000,Z$1,FALSE))</f>
        <v>5.5500000000000007</v>
      </c>
      <c r="AA13" s="61">
        <f>IF(INDEX('Table S3 Literature Values'!$A$10:$AV$10000,MATCH($C13,'Table S3 Literature Values'!$A$10:$A$10000,0)+1,AA$1)=0,INDEX('Table S9 Model Derived Values'!$A$10:$AV$10000,MATCH($C13,'Table S9 Model Derived Values'!$A$10:$A$10000,0)+1,AA$1),INDEX('Table S3 Literature Values'!$A$10:$AV$10000,MATCH($C13,'Table S3 Literature Values'!$A$10:$A$10000,0)+1,AA$1))</f>
        <v>0.21213203435596412</v>
      </c>
      <c r="AB13" s="63">
        <f>INDEX('Table S3 Literature Values'!$A$10:$AV$10000,MATCH($C13,'Table S3 Literature Values'!$A$10:$A$10000,0)+2,AA$1)</f>
        <v>2</v>
      </c>
      <c r="AC13" s="501">
        <f>IF(VLOOKUP($C13,'Table S3 Literature Values'!$A$10:$AV$10000,AC$1,FALSE)=0,VLOOKUP($C13,'Table S9 Model Derived Values'!$A$10:$AV$10000,AC$1,FALSE),VLOOKUP($C13,'Table S3 Literature Values'!$A$10:$AV$10000,AC$1,FALSE))</f>
        <v>-1.8248709242369081</v>
      </c>
      <c r="AD13" s="61">
        <f>IF(INDEX('Table S3 Literature Values'!$A$10:$AV$10000,MATCH($C13,'Table S3 Literature Values'!$A$10:$A$10000,0)+1,AD$1)=0,INDEX('Table S9 Model Derived Values'!$A$10:$AV$10000,MATCH($C13,'Table S9 Model Derived Values'!$A$10:$A$10000,0)+1,AD$1),INDEX('Table S3 Literature Values'!$A$10:$AV$10000,MATCH($C13,'Table S3 Literature Values'!$A$10:$A$10000,0)+1,AD$1))</f>
        <v>0.36497418484738164</v>
      </c>
      <c r="AE13" s="63">
        <f>INDEX('Table S3 Literature Values'!$A$10:$AV$10000,MATCH($C13,'Table S3 Literature Values'!$A$10:$A$10000,0)+2,AD$1)</f>
        <v>1</v>
      </c>
      <c r="AF13" s="501">
        <f>IF(VLOOKUP($C13,'Table S3 Literature Values'!$A$10:$AV$10000,AF$1,FALSE)=0,VLOOKUP($C13,'Table S9 Model Derived Values'!$A$10:$AV$10000,AF$1,FALSE),VLOOKUP($C13,'Table S3 Literature Values'!$A$10:$AV$10000,AF$1,FALSE))</f>
        <v>-0.86974289568179053</v>
      </c>
      <c r="AG13" s="61">
        <f>IF(INDEX('Table S3 Literature Values'!$A$10:$AV$10000,MATCH($C13,'Table S3 Literature Values'!$A$10:$A$10000,0)+1,AG$1)=0,INDEX('Table S9 Model Derived Values'!$A$10:$AV$10000,MATCH($C13,'Table S9 Model Derived Values'!$A$10:$A$10000,0)+1,AG$1),INDEX('Table S3 Literature Values'!$A$10:$AV$10000,MATCH($C13,'Table S3 Literature Values'!$A$10:$A$10000,0)+1,AG$1))</f>
        <v>0.13799721384216915</v>
      </c>
      <c r="AH13" s="63">
        <f>INDEX('Table S3 Literature Values'!$A$10:$AV$10000,MATCH($C13,'Table S3 Literature Values'!$A$10:$A$10000,0)+2,AG$1)</f>
        <v>1</v>
      </c>
      <c r="AI13" s="501">
        <f>IF(VLOOKUP($C13,'Table S3 Literature Values'!$A$10:$AV$10000,AI$1,FALSE)=0,VLOOKUP($C13,'Table S9 Model Derived Values'!$A$10:$AV$10000,AI$1,FALSE),VLOOKUP($C13,'Table S3 Literature Values'!$A$10:$AV$10000,AI$1,FALSE))</f>
        <v>-2.0189181701029537</v>
      </c>
      <c r="AJ13" s="61">
        <f>IF(INDEX('Table S3 Literature Values'!$A$10:$AV$10000,MATCH($C13,'Table S3 Literature Values'!$A$10:$A$10000,0)+1,AJ$1)=0,INDEX('Table S9 Model Derived Values'!$A$10:$AV$10000,MATCH($C13,'Table S9 Model Derived Values'!$A$10:$A$10000,0)+1,AJ$1),INDEX('Table S3 Literature Values'!$A$10:$AV$10000,MATCH($C13,'Table S3 Literature Values'!$A$10:$A$10000,0)+1,AJ$1))</f>
        <v>0.24964849372129527</v>
      </c>
      <c r="AK13" s="63">
        <f>INDEX('Table S3 Literature Values'!$A$10:$AV$10000,MATCH($C13,'Table S3 Literature Values'!$A$10:$A$10000,0)+2,AJ$1)</f>
        <v>1</v>
      </c>
      <c r="AL13" s="501">
        <f>IF(VLOOKUP($C13,'Table S3 Literature Values'!$A$10:$AV$10000,AL$1,FALSE)=0,VLOOKUP($C13,'Table S9 Model Derived Values'!$A$10:$AV$10000,AL$1,FALSE),VLOOKUP($C13,'Table S3 Literature Values'!$A$10:$AV$10000,AL$1,FALSE))</f>
        <v>3.7568212999999977</v>
      </c>
      <c r="AM13" s="61">
        <f>IF(INDEX('Table S3 Literature Values'!$A$10:$AV$10000,MATCH($C13,'Table S3 Literature Values'!$A$10:$A$10000,0)+1,AM$1)=0,INDEX('Table S9 Model Derived Values'!$A$10:$AV$10000,MATCH($C13,'Table S9 Model Derived Values'!$A$10:$A$10000,0)+1,AM$1),INDEX('Table S3 Literature Values'!$A$10:$AV$10000,MATCH($C13,'Table S3 Literature Values'!$A$10:$A$10000,0)+1,AM$1))</f>
        <v>0.67897407037029955</v>
      </c>
      <c r="AN13" s="63">
        <f>INDEX('Table S3 Literature Values'!$A$10:$AV$10000,MATCH($C13,'Table S3 Literature Values'!$A$10:$A$10000,0)+2,AM$1)</f>
        <v>0</v>
      </c>
      <c r="AO13" s="501">
        <f>IF(VLOOKUP($C13,'Table S3 Literature Values'!$A$10:$AV$10000,AO$1,FALSE)=0,VLOOKUP($C13,'Table S9 Model Derived Values'!$A$10:$AV$10000,AO$1,FALSE),VLOOKUP($C13,'Table S3 Literature Values'!$A$10:$AV$10000,AO$1,FALSE))</f>
        <v>0</v>
      </c>
      <c r="AP13" s="61">
        <f>IF(INDEX('Table S3 Literature Values'!$A$10:$AV$10000,MATCH($C13,'Table S3 Literature Values'!$A$10:$A$10000,0)+1,AP$1)=0,INDEX('Table S9 Model Derived Values'!$A$10:$AV$10000,MATCH($C13,'Table S9 Model Derived Values'!$A$10:$A$10000,0)+1,AP$1),INDEX('Table S3 Literature Values'!$A$10:$AV$10000,MATCH($C13,'Table S3 Literature Values'!$A$10:$A$10000,0)+1,AP$1))</f>
        <v>0</v>
      </c>
      <c r="AQ13" s="63">
        <f>INDEX('Table S3 Literature Values'!$A$10:$AV$10000,MATCH($C13,'Table S3 Literature Values'!$A$10:$A$10000,0)+2,AP$1)</f>
        <v>0</v>
      </c>
      <c r="AR13" s="501">
        <f>IF(VLOOKUP($C13,'Table S3 Literature Values'!$A$10:$AV$10000,AR$1,FALSE)=0,VLOOKUP($C13,'Table S9 Model Derived Values'!$A$10:$AV$10000,AR$1,FALSE),VLOOKUP($C13,'Table S3 Literature Values'!$A$10:$AV$10000,AR$1,FALSE))</f>
        <v>54.949999999999996</v>
      </c>
      <c r="AS13" s="61">
        <f>IF(INDEX('Table S3 Literature Values'!$A$10:$AV$10000,MATCH($C13,'Table S3 Literature Values'!$A$10:$A$10000,0)+1,AS$1)=0,INDEX('Table S9 Model Derived Values'!$A$10:$AV$10000,MATCH($C13,'Table S9 Model Derived Values'!$A$10:$A$10000,0)+1,AS$1),INDEX('Table S3 Literature Values'!$A$10:$AV$10000,MATCH($C13,'Table S3 Literature Values'!$A$10:$A$10000,0)+1,AS$1))</f>
        <v>1.2379418403139955</v>
      </c>
      <c r="AT13" s="63">
        <f>INDEX('Table S3 Literature Values'!$A$10:$AV$10000,MATCH($C13,'Table S3 Literature Values'!$A$10:$A$10000,0)+2,AS$1)</f>
        <v>3</v>
      </c>
    </row>
    <row r="14" spans="1:46">
      <c r="A14" t="str">
        <f>'Table S2 Compound Identifiers'!C19</f>
        <v>Musk</v>
      </c>
      <c r="B14">
        <f>COUNTIF($C$3:C14,"&lt;&gt;"&amp;"")</f>
        <v>12</v>
      </c>
      <c r="C14" t="str">
        <f>IF('Table S2 Compound Identifiers'!B19="","",'Table S2 Compound Identifiers'!B19)</f>
        <v>Galaxolide 1</v>
      </c>
      <c r="D14" t="str">
        <f>'Table S2 Compound Identifiers'!D19</f>
        <v>1222-05-5</v>
      </c>
      <c r="E14" s="501">
        <f>IF(VLOOKUP($C14,'Table S3 Literature Values'!$A$10:$AV$10000,E$1,FALSE)=0,VLOOKUP($C14,'Table S9 Model Derived Values'!$A$10:$AV$10000,E$1,FALSE),VLOOKUP($C14,'Table S3 Literature Values'!$A$10:$AV$10000,E$1,FALSE))</f>
        <v>85.300000000000011</v>
      </c>
      <c r="F14" s="61">
        <f>IF(INDEX('Table S3 Literature Values'!$A$10:$AV$10000,MATCH($C14,'Table S3 Literature Values'!$A$10:$A$10000,0)+1,F$1)=0,INDEX('Table S9 Model Derived Values'!$A$10:$AV$10000,MATCH($C14,'Table S9 Model Derived Values'!$A$10:$A$10000,0)+1,F$1),INDEX('Table S3 Literature Values'!$A$10:$AV$10000,MATCH($C14,'Table S3 Literature Values'!$A$10:$A$10000,0)+1,F$1))</f>
        <v>1.9798989873223309</v>
      </c>
      <c r="G14" s="63">
        <f>INDEX('Table S3 Literature Values'!$A$10:$AV$10000,MATCH($C14,'Table S3 Literature Values'!$A$10:$A$10000,0)+2,F$1)</f>
        <v>2</v>
      </c>
      <c r="H14" s="501">
        <f>IF(VLOOKUP($C14,'Table S3 Literature Values'!$A$10:$AV$10000,H$1,FALSE)=0,VLOOKUP($C14,'Table S9 Model Derived Values'!$A$10:$AV$10000,H$1,FALSE),VLOOKUP($C14,'Table S3 Literature Values'!$A$10:$AV$10000,H$1,FALSE))</f>
        <v>23.077500195159161</v>
      </c>
      <c r="I14" s="61">
        <f>IF(INDEX('Table S3 Literature Values'!$A$10:$AV$10000,MATCH($C14,'Table S3 Literature Values'!$A$10:$A$10000,0)+1,I$1)=0,INDEX('Table S9 Model Derived Values'!$A$10:$AV$10000,MATCH($C14,'Table S9 Model Derived Values'!$A$10:$A$10000,0)+1,I$1),INDEX('Table S3 Literature Values'!$A$10:$AV$10000,MATCH($C14,'Table S3 Literature Values'!$A$10:$A$10000,0)+1,I$1))</f>
        <v>6.9232500585477483</v>
      </c>
      <c r="J14" s="63">
        <f>INDEX('Table S3 Literature Values'!$A$10:$AV$10000,MATCH($C14,'Table S3 Literature Values'!$A$10:$A$10000,0)+2,I$1)</f>
        <v>1</v>
      </c>
      <c r="K14" s="501">
        <f>IF(VLOOKUP($C14,'Table S3 Literature Values'!$A$10:$AV$10000,K$1,FALSE)=0,VLOOKUP($C14,'Table S9 Model Derived Values'!$A$10:$AV$10000,K$1,FALSE),VLOOKUP($C14,'Table S3 Literature Values'!$A$10:$AV$10000,K$1,FALSE))</f>
        <v>0</v>
      </c>
      <c r="L14" s="61">
        <f>IF(INDEX('Table S3 Literature Values'!$A$10:$AV$10000,MATCH($C14,'Table S3 Literature Values'!$A$10:$A$10000,0)+1,L$1)=0,INDEX('Table S9 Model Derived Values'!$A$10:$AV$10000,MATCH($C14,'Table S9 Model Derived Values'!$A$10:$A$10000,0)+1,L$1),INDEX('Table S3 Literature Values'!$A$10:$AV$10000,MATCH($C14,'Table S3 Literature Values'!$A$10:$A$10000,0)+1,L$1))</f>
        <v>0</v>
      </c>
      <c r="M14" s="63">
        <f>INDEX('Table S3 Literature Values'!$A$10:$AV$10000,MATCH($C14,'Table S3 Literature Values'!$A$10:$A$10000,0)+2,L$1)</f>
        <v>0</v>
      </c>
      <c r="N14" s="501">
        <f>IF(VLOOKUP($C14,'Table S3 Literature Values'!$A$10:$AV$10000,N$1,FALSE)=0,VLOOKUP($C14,'Table S9 Model Derived Values'!$A$10:$AV$10000,N$1,FALSE),VLOOKUP($C14,'Table S3 Literature Values'!$A$10:$AV$10000,N$1,FALSE))</f>
        <v>71.349999999999994</v>
      </c>
      <c r="O14" s="61">
        <f>IF(INDEX('Table S3 Literature Values'!$A$10:$AV$10000,MATCH($C14,'Table S3 Literature Values'!$A$10:$A$10000,0)+1,O$1)=0,INDEX('Table S9 Model Derived Values'!$A$10:$AV$10000,MATCH($C14,'Table S9 Model Derived Values'!$A$10:$A$10000,0)+1,O$1),INDEX('Table S3 Literature Values'!$A$10:$AV$10000,MATCH($C14,'Table S3 Literature Values'!$A$10:$A$10000,0)+1,O$1))</f>
        <v>0.21213203435596226</v>
      </c>
      <c r="P14" s="63">
        <f>INDEX('Table S3 Literature Values'!$A$10:$AV$10000,MATCH($C14,'Table S3 Literature Values'!$A$10:$A$10000,0)+2,O$1)</f>
        <v>2</v>
      </c>
      <c r="Q14" s="501">
        <f>IF(VLOOKUP($C14,'Table S3 Literature Values'!$A$10:$AV$10000,Q$1,FALSE)=0,VLOOKUP($C14,'Table S9 Model Derived Values'!$A$10:$AV$10000,Q$1,FALSE),VLOOKUP($C14,'Table S3 Literature Values'!$A$10:$AV$10000,Q$1,FALSE))</f>
        <v>75.583765099999994</v>
      </c>
      <c r="R14" s="61">
        <f>IF(INDEX('Table S3 Literature Values'!$A$10:$AV$10000,MATCH($C14,'Table S3 Literature Values'!$A$10:$A$10000,0)+1,R$1)=0,INDEX('Table S9 Model Derived Values'!$A$10:$AV$10000,MATCH($C14,'Table S9 Model Derived Values'!$A$10:$A$10000,0)+1,R$1),INDEX('Table S3 Literature Values'!$A$10:$AV$10000,MATCH($C14,'Table S3 Literature Values'!$A$10:$A$10000,0)+1,R$1))</f>
        <v>12.728910712960799</v>
      </c>
      <c r="S14" s="63">
        <f>INDEX('Table S3 Literature Values'!$A$10:$AV$10000,MATCH($C14,'Table S3 Literature Values'!$A$10:$A$10000,0)+2,R$1)</f>
        <v>0</v>
      </c>
      <c r="T14" s="501">
        <f>IF(VLOOKUP($C14,'Table S3 Literature Values'!$A$10:$AV$10000,T$1,FALSE)=0,VLOOKUP($C14,'Table S9 Model Derived Values'!$A$10:$AV$10000,T$1,FALSE),VLOOKUP($C14,'Table S3 Literature Values'!$A$10:$AV$10000,T$1,FALSE))</f>
        <v>4.7093483459355143E-2</v>
      </c>
      <c r="U14" s="61">
        <f>IF(INDEX('Table S3 Literature Values'!$A$10:$AV$10000,MATCH($C14,'Table S3 Literature Values'!$A$10:$A$10000,0)+1,U$1)=0,INDEX('Table S9 Model Derived Values'!$A$10:$AV$10000,MATCH($C14,'Table S9 Model Derived Values'!$A$10:$A$10000,0)+1,U$1),INDEX('Table S3 Literature Values'!$A$10:$AV$10000,MATCH($C14,'Table S3 Literature Values'!$A$10:$A$10000,0)+1,U$1))</f>
        <v>1.4128045037806541E-2</v>
      </c>
      <c r="V14" s="63">
        <f>INDEX('Table S3 Literature Values'!$A$10:$AV$10000,MATCH($C14,'Table S3 Literature Values'!$A$10:$A$10000,0)+2,U$1)</f>
        <v>1</v>
      </c>
      <c r="W14" s="501">
        <f>IF(VLOOKUP($C14,'Table S3 Literature Values'!$A$10:$AV$10000,W$1,FALSE)=0,VLOOKUP($C14,'Table S9 Model Derived Values'!$A$10:$AV$10000,W$1,FALSE),VLOOKUP($C14,'Table S3 Literature Values'!$A$10:$AV$10000,W$1,FALSE))</f>
        <v>7.9998604803912841</v>
      </c>
      <c r="X14" s="61">
        <f>IF(INDEX('Table S3 Literature Values'!$A$10:$AV$10000,MATCH($C14,'Table S3 Literature Values'!$A$10:$A$10000,0)+1,X$1)=0,INDEX('Table S9 Model Derived Values'!$A$10:$AV$10000,MATCH($C14,'Table S9 Model Derived Values'!$A$10:$A$10000,0)+1,X$1),INDEX('Table S3 Literature Values'!$A$10:$AV$10000,MATCH($C14,'Table S3 Literature Values'!$A$10:$A$10000,0)+1,X$1))</f>
        <v>0.21232934487882721</v>
      </c>
      <c r="Y14" s="63">
        <f>INDEX('Table S3 Literature Values'!$A$10:$AV$10000,MATCH($C14,'Table S3 Literature Values'!$A$10:$A$10000,0)+2,X$1)</f>
        <v>2</v>
      </c>
      <c r="Z14" s="501">
        <f>IF(VLOOKUP($C14,'Table S3 Literature Values'!$A$10:$AV$10000,Z$1,FALSE)=0,VLOOKUP($C14,'Table S9 Model Derived Values'!$A$10:$AV$10000,Z$1,FALSE),VLOOKUP($C14,'Table S3 Literature Values'!$A$10:$AV$10000,Z$1,FALSE))</f>
        <v>5.6</v>
      </c>
      <c r="AA14" s="61">
        <f>IF(INDEX('Table S3 Literature Values'!$A$10:$AV$10000,MATCH($C14,'Table S3 Literature Values'!$A$10:$A$10000,0)+1,AA$1)=0,INDEX('Table S9 Model Derived Values'!$A$10:$AV$10000,MATCH($C14,'Table S9 Model Derived Values'!$A$10:$A$10000,0)+1,AA$1),INDEX('Table S3 Literature Values'!$A$10:$AV$10000,MATCH($C14,'Table S3 Literature Values'!$A$10:$A$10000,0)+1,AA$1))</f>
        <v>0.4242640687119289</v>
      </c>
      <c r="AB14" s="63">
        <f>INDEX('Table S3 Literature Values'!$A$10:$AV$10000,MATCH($C14,'Table S3 Literature Values'!$A$10:$A$10000,0)+2,AA$1)</f>
        <v>2</v>
      </c>
      <c r="AC14" s="501">
        <f>IF(VLOOKUP($C14,'Table S3 Literature Values'!$A$10:$AV$10000,AC$1,FALSE)=0,VLOOKUP($C14,'Table S9 Model Derived Values'!$A$10:$AV$10000,AC$1,FALSE),VLOOKUP($C14,'Table S3 Literature Values'!$A$10:$AV$10000,AC$1,FALSE))</f>
        <v>-1.8272184676928935</v>
      </c>
      <c r="AD14" s="61">
        <f>IF(INDEX('Table S3 Literature Values'!$A$10:$AV$10000,MATCH($C14,'Table S3 Literature Values'!$A$10:$A$10000,0)+1,AD$1)=0,INDEX('Table S9 Model Derived Values'!$A$10:$AV$10000,MATCH($C14,'Table S9 Model Derived Values'!$A$10:$A$10000,0)+1,AD$1),INDEX('Table S3 Literature Values'!$A$10:$AV$10000,MATCH($C14,'Table S3 Literature Values'!$A$10:$A$10000,0)+1,AD$1))</f>
        <v>0.36544369353857875</v>
      </c>
      <c r="AE14" s="63">
        <f>INDEX('Table S3 Literature Values'!$A$10:$AV$10000,MATCH($C14,'Table S3 Literature Values'!$A$10:$A$10000,0)+2,AD$1)</f>
        <v>1</v>
      </c>
      <c r="AF14" s="501">
        <f>IF(VLOOKUP($C14,'Table S3 Literature Values'!$A$10:$AV$10000,AF$1,FALSE)=0,VLOOKUP($C14,'Table S9 Model Derived Values'!$A$10:$AV$10000,AF$1,FALSE),VLOOKUP($C14,'Table S3 Literature Values'!$A$10:$AV$10000,AF$1,FALSE))</f>
        <v>-1.2693282965604173</v>
      </c>
      <c r="AG14" s="61">
        <f>IF(INDEX('Table S3 Literature Values'!$A$10:$AV$10000,MATCH($C14,'Table S3 Literature Values'!$A$10:$A$10000,0)+1,AG$1)=0,INDEX('Table S9 Model Derived Values'!$A$10:$AV$10000,MATCH($C14,'Table S9 Model Derived Values'!$A$10:$A$10000,0)+1,AG$1),INDEX('Table S3 Literature Values'!$A$10:$AV$10000,MATCH($C14,'Table S3 Literature Values'!$A$10:$A$10000,0)+1,AG$1))</f>
        <v>0.14121492754984227</v>
      </c>
      <c r="AH14" s="63">
        <f>INDEX('Table S3 Literature Values'!$A$10:$AV$10000,MATCH($C14,'Table S3 Literature Values'!$A$10:$A$10000,0)+2,AG$1)</f>
        <v>3</v>
      </c>
      <c r="AI14" s="501">
        <f>IF(VLOOKUP($C14,'Table S3 Literature Values'!$A$10:$AV$10000,AI$1,FALSE)=0,VLOOKUP($C14,'Table S9 Model Derived Values'!$A$10:$AV$10000,AI$1,FALSE),VLOOKUP($C14,'Table S3 Literature Values'!$A$10:$AV$10000,AI$1,FALSE))</f>
        <v>-2.1382176364668095</v>
      </c>
      <c r="AJ14" s="61">
        <f>IF(INDEX('Table S3 Literature Values'!$A$10:$AV$10000,MATCH($C14,'Table S3 Literature Values'!$A$10:$A$10000,0)+1,AJ$1)=0,INDEX('Table S9 Model Derived Values'!$A$10:$AV$10000,MATCH($C14,'Table S9 Model Derived Values'!$A$10:$A$10000,0)+1,AJ$1),INDEX('Table S3 Literature Values'!$A$10:$AV$10000,MATCH($C14,'Table S3 Literature Values'!$A$10:$A$10000,0)+1,AJ$1))</f>
        <v>7.6970317000352298E-2</v>
      </c>
      <c r="AK14" s="63">
        <f>INDEX('Table S3 Literature Values'!$A$10:$AV$10000,MATCH($C14,'Table S3 Literature Values'!$A$10:$A$10000,0)+2,AJ$1)</f>
        <v>3</v>
      </c>
      <c r="AL14" s="501">
        <f>IF(VLOOKUP($C14,'Table S3 Literature Values'!$A$10:$AV$10000,AL$1,FALSE)=0,VLOOKUP($C14,'Table S9 Model Derived Values'!$A$10:$AV$10000,AL$1,FALSE),VLOOKUP($C14,'Table S3 Literature Values'!$A$10:$AV$10000,AL$1,FALSE))</f>
        <v>3.9587616999999984</v>
      </c>
      <c r="AM14" s="61">
        <f>IF(INDEX('Table S3 Literature Values'!$A$10:$AV$10000,MATCH($C14,'Table S3 Literature Values'!$A$10:$A$10000,0)+1,AM$1)=0,INDEX('Table S9 Model Derived Values'!$A$10:$AV$10000,MATCH($C14,'Table S9 Model Derived Values'!$A$10:$A$10000,0)+1,AM$1),INDEX('Table S3 Literature Values'!$A$10:$AV$10000,MATCH($C14,'Table S3 Literature Values'!$A$10:$A$10000,0)+1,AM$1))</f>
        <v>0.71547096080269967</v>
      </c>
      <c r="AN14" s="63">
        <f>INDEX('Table S3 Literature Values'!$A$10:$AV$10000,MATCH($C14,'Table S3 Literature Values'!$A$10:$A$10000,0)+2,AM$1)</f>
        <v>0</v>
      </c>
      <c r="AO14" s="501">
        <f>IF(VLOOKUP($C14,'Table S3 Literature Values'!$A$10:$AV$10000,AO$1,FALSE)=0,VLOOKUP($C14,'Table S9 Model Derived Values'!$A$10:$AV$10000,AO$1,FALSE),VLOOKUP($C14,'Table S3 Literature Values'!$A$10:$AV$10000,AO$1,FALSE))</f>
        <v>0</v>
      </c>
      <c r="AP14" s="61">
        <f>IF(INDEX('Table S3 Literature Values'!$A$10:$AV$10000,MATCH($C14,'Table S3 Literature Values'!$A$10:$A$10000,0)+1,AP$1)=0,INDEX('Table S9 Model Derived Values'!$A$10:$AV$10000,MATCH($C14,'Table S9 Model Derived Values'!$A$10:$A$10000,0)+1,AP$1),INDEX('Table S3 Literature Values'!$A$10:$AV$10000,MATCH($C14,'Table S3 Literature Values'!$A$10:$A$10000,0)+1,AP$1))</f>
        <v>0</v>
      </c>
      <c r="AQ14" s="63">
        <f>INDEX('Table S3 Literature Values'!$A$10:$AV$10000,MATCH($C14,'Table S3 Literature Values'!$A$10:$A$10000,0)+2,AP$1)</f>
        <v>0</v>
      </c>
      <c r="AR14" s="501">
        <f>IF(VLOOKUP($C14,'Table S3 Literature Values'!$A$10:$AV$10000,AR$1,FALSE)=0,VLOOKUP($C14,'Table S9 Model Derived Values'!$A$10:$AV$10000,AR$1,FALSE),VLOOKUP($C14,'Table S3 Literature Values'!$A$10:$AV$10000,AR$1,FALSE))</f>
        <v>-20</v>
      </c>
      <c r="AS14" s="61">
        <f>IF(INDEX('Table S3 Literature Values'!$A$10:$AV$10000,MATCH($C14,'Table S3 Literature Values'!$A$10:$A$10000,0)+1,AS$1)=0,INDEX('Table S9 Model Derived Values'!$A$10:$AV$10000,MATCH($C14,'Table S9 Model Derived Values'!$A$10:$A$10000,0)+1,AS$1),INDEX('Table S3 Literature Values'!$A$10:$AV$10000,MATCH($C14,'Table S3 Literature Values'!$A$10:$A$10000,0)+1,AS$1))</f>
        <v>6</v>
      </c>
      <c r="AT14" s="63">
        <f>INDEX('Table S3 Literature Values'!$A$10:$AV$10000,MATCH($C14,'Table S3 Literature Values'!$A$10:$A$10000,0)+2,AS$1)</f>
        <v>1</v>
      </c>
    </row>
    <row r="15" spans="1:46">
      <c r="A15" t="str">
        <f>'Table S2 Compound Identifiers'!C20</f>
        <v>Musk</v>
      </c>
      <c r="B15">
        <f>COUNTIF($C$3:C15,"&lt;&gt;"&amp;"")</f>
        <v>13</v>
      </c>
      <c r="C15" t="str">
        <f>IF('Table S2 Compound Identifiers'!B20="","",'Table S2 Compound Identifiers'!B20)</f>
        <v>Musk Tibetene</v>
      </c>
      <c r="D15" t="str">
        <f>'Table S2 Compound Identifiers'!D20</f>
        <v>145-39-1</v>
      </c>
      <c r="E15" s="501">
        <f>IF(VLOOKUP($C15,'Table S3 Literature Values'!$A$10:$AV$10000,E$1,FALSE)=0,VLOOKUP($C15,'Table S9 Model Derived Values'!$A$10:$AV$10000,E$1,FALSE),VLOOKUP($C15,'Table S3 Literature Values'!$A$10:$AV$10000,E$1,FALSE))</f>
        <v>89.6</v>
      </c>
      <c r="F15" s="61">
        <f>IF(INDEX('Table S3 Literature Values'!$A$10:$AV$10000,MATCH($C15,'Table S3 Literature Values'!$A$10:$A$10000,0)+1,F$1)=0,INDEX('Table S9 Model Derived Values'!$A$10:$AV$10000,MATCH($C15,'Table S9 Model Derived Values'!$A$10:$A$10000,0)+1,F$1),INDEX('Table S3 Literature Values'!$A$10:$AV$10000,MATCH($C15,'Table S3 Literature Values'!$A$10:$A$10000,0)+1,F$1))</f>
        <v>6.3941622948222268</v>
      </c>
      <c r="G15" s="63">
        <f>INDEX('Table S3 Literature Values'!$A$10:$AV$10000,MATCH($C15,'Table S3 Literature Values'!$A$10:$A$10000,0)+2,F$1)</f>
        <v>1</v>
      </c>
      <c r="H15" s="501">
        <f>IF(VLOOKUP($C15,'Table S3 Literature Values'!$A$10:$AV$10000,H$1,FALSE)=0,VLOOKUP($C15,'Table S9 Model Derived Values'!$A$10:$AV$10000,H$1,FALSE),VLOOKUP($C15,'Table S3 Literature Values'!$A$10:$AV$10000,H$1,FALSE))</f>
        <v>23.479493637232562</v>
      </c>
      <c r="I15" s="61">
        <f>IF(INDEX('Table S3 Literature Values'!$A$10:$AV$10000,MATCH($C15,'Table S3 Literature Values'!$A$10:$A$10000,0)+1,I$1)=0,INDEX('Table S9 Model Derived Values'!$A$10:$AV$10000,MATCH($C15,'Table S9 Model Derived Values'!$A$10:$A$10000,0)+1,I$1),INDEX('Table S3 Literature Values'!$A$10:$AV$10000,MATCH($C15,'Table S3 Literature Values'!$A$10:$A$10000,0)+1,I$1))</f>
        <v>7.0438480911697683</v>
      </c>
      <c r="J15" s="63">
        <f>INDEX('Table S3 Literature Values'!$A$10:$AV$10000,MATCH($C15,'Table S3 Literature Values'!$A$10:$A$10000,0)+2,I$1)</f>
        <v>1</v>
      </c>
      <c r="K15" s="501">
        <f>IF(VLOOKUP($C15,'Table S3 Literature Values'!$A$10:$AV$10000,K$1,FALSE)=0,VLOOKUP($C15,'Table S9 Model Derived Values'!$A$10:$AV$10000,K$1,FALSE),VLOOKUP($C15,'Table S3 Literature Values'!$A$10:$AV$10000,K$1,FALSE))</f>
        <v>0</v>
      </c>
      <c r="L15" s="61">
        <f>IF(INDEX('Table S3 Literature Values'!$A$10:$AV$10000,MATCH($C15,'Table S3 Literature Values'!$A$10:$A$10000,0)+1,L$1)=0,INDEX('Table S9 Model Derived Values'!$A$10:$AV$10000,MATCH($C15,'Table S9 Model Derived Values'!$A$10:$A$10000,0)+1,L$1),INDEX('Table S3 Literature Values'!$A$10:$AV$10000,MATCH($C15,'Table S3 Literature Values'!$A$10:$A$10000,0)+1,L$1))</f>
        <v>0</v>
      </c>
      <c r="M15" s="63">
        <f>INDEX('Table S3 Literature Values'!$A$10:$AV$10000,MATCH($C15,'Table S3 Literature Values'!$A$10:$A$10000,0)+2,L$1)</f>
        <v>0</v>
      </c>
      <c r="N15" s="501">
        <f>IF(VLOOKUP($C15,'Table S3 Literature Values'!$A$10:$AV$10000,N$1,FALSE)=0,VLOOKUP($C15,'Table S9 Model Derived Values'!$A$10:$AV$10000,N$1,FALSE),VLOOKUP($C15,'Table S3 Literature Values'!$A$10:$AV$10000,N$1,FALSE))</f>
        <v>75.95</v>
      </c>
      <c r="O15" s="61">
        <f>IF(INDEX('Table S3 Literature Values'!$A$10:$AV$10000,MATCH($C15,'Table S3 Literature Values'!$A$10:$A$10000,0)+1,O$1)=0,INDEX('Table S9 Model Derived Values'!$A$10:$AV$10000,MATCH($C15,'Table S9 Model Derived Values'!$A$10:$A$10000,0)+1,O$1),INDEX('Table S3 Literature Values'!$A$10:$AV$10000,MATCH($C15,'Table S3 Literature Values'!$A$10:$A$10000,0)+1,O$1))</f>
        <v>1.7677669529663689</v>
      </c>
      <c r="P15" s="63">
        <f>INDEX('Table S3 Literature Values'!$A$10:$AV$10000,MATCH($C15,'Table S3 Literature Values'!$A$10:$A$10000,0)+2,O$1)</f>
        <v>2</v>
      </c>
      <c r="Q15" s="501">
        <f>IF(VLOOKUP($C15,'Table S3 Literature Values'!$A$10:$AV$10000,Q$1,FALSE)=0,VLOOKUP($C15,'Table S9 Model Derived Values'!$A$10:$AV$10000,Q$1,FALSE),VLOOKUP($C15,'Table S3 Literature Values'!$A$10:$AV$10000,Q$1,FALSE))</f>
        <v>68.615185299999993</v>
      </c>
      <c r="R15" s="61">
        <f>IF(INDEX('Table S3 Literature Values'!$A$10:$AV$10000,MATCH($C15,'Table S3 Literature Values'!$A$10:$A$10000,0)+1,R$1)=0,INDEX('Table S9 Model Derived Values'!$A$10:$AV$10000,MATCH($C15,'Table S9 Model Derived Values'!$A$10:$A$10000,0)+1,R$1),INDEX('Table S3 Literature Values'!$A$10:$AV$10000,MATCH($C15,'Table S3 Literature Values'!$A$10:$A$10000,0)+1,R$1))</f>
        <v>11.5553461260024</v>
      </c>
      <c r="S15" s="63">
        <f>INDEX('Table S3 Literature Values'!$A$10:$AV$10000,MATCH($C15,'Table S3 Literature Values'!$A$10:$A$10000,0)+2,R$1)</f>
        <v>0</v>
      </c>
      <c r="T15" s="501">
        <f>IF(VLOOKUP($C15,'Table S3 Literature Values'!$A$10:$AV$10000,T$1,FALSE)=0,VLOOKUP($C15,'Table S9 Model Derived Values'!$A$10:$AV$10000,T$1,FALSE),VLOOKUP($C15,'Table S3 Literature Values'!$A$10:$AV$10000,T$1,FALSE))</f>
        <v>4.0866040301091635</v>
      </c>
      <c r="U15" s="61">
        <f>IF(INDEX('Table S3 Literature Values'!$A$10:$AV$10000,MATCH($C15,'Table S3 Literature Values'!$A$10:$A$10000,0)+1,U$1)=0,INDEX('Table S9 Model Derived Values'!$A$10:$AV$10000,MATCH($C15,'Table S9 Model Derived Values'!$A$10:$A$10000,0)+1,U$1),INDEX('Table S3 Literature Values'!$A$10:$AV$10000,MATCH($C15,'Table S3 Literature Values'!$A$10:$A$10000,0)+1,U$1))</f>
        <v>1.2259812090327491</v>
      </c>
      <c r="V15" s="63">
        <f>INDEX('Table S3 Literature Values'!$A$10:$AV$10000,MATCH($C15,'Table S3 Literature Values'!$A$10:$A$10000,0)+2,U$1)</f>
        <v>1</v>
      </c>
      <c r="W15" s="501">
        <f>IF(VLOOKUP($C15,'Table S3 Literature Values'!$A$10:$AV$10000,W$1,FALSE)=0,VLOOKUP($C15,'Table S9 Model Derived Values'!$A$10:$AV$10000,W$1,FALSE),VLOOKUP($C15,'Table S3 Literature Values'!$A$10:$AV$10000,W$1,FALSE))</f>
        <v>8.3924145244009445</v>
      </c>
      <c r="X15" s="61">
        <f>IF(INDEX('Table S3 Literature Values'!$A$10:$AV$10000,MATCH($C15,'Table S3 Literature Values'!$A$10:$A$10000,0)+1,X$1)=0,INDEX('Table S9 Model Derived Values'!$A$10:$AV$10000,MATCH($C15,'Table S9 Model Derived Values'!$A$10:$A$10000,0)+1,X$1),INDEX('Table S3 Literature Values'!$A$10:$AV$10000,MATCH($C15,'Table S3 Literature Values'!$A$10:$A$10000,0)+1,X$1))</f>
        <v>0.12386456745908143</v>
      </c>
      <c r="Y15" s="63">
        <f>INDEX('Table S3 Literature Values'!$A$10:$AV$10000,MATCH($C15,'Table S3 Literature Values'!$A$10:$A$10000,0)+2,X$1)</f>
        <v>2</v>
      </c>
      <c r="Z15" s="501">
        <f ca="1">IF(VLOOKUP($C15,'Table S3 Literature Values'!$A$10:$AV$10000,Z$1,FALSE)=0,VLOOKUP($C15,'Table S9 Model Derived Values'!$A$10:$AV$10000,Z$1,FALSE),VLOOKUP($C15,'Table S3 Literature Values'!$A$10:$AV$10000,Z$1,FALSE))</f>
        <v>4.2666073372318234</v>
      </c>
      <c r="AA15" s="61">
        <f ca="1">IF(INDEX('Table S3 Literature Values'!$A$10:$AV$10000,MATCH($C15,'Table S3 Literature Values'!$A$10:$A$10000,0)+1,AA$1)=0,INDEX('Table S9 Model Derived Values'!$A$10:$AV$10000,MATCH($C15,'Table S9 Model Derived Values'!$A$10:$A$10000,0)+1,AA$1),INDEX('Table S3 Literature Values'!$A$10:$AV$10000,MATCH($C15,'Table S3 Literature Values'!$A$10:$A$10000,0)+1,AA$1))</f>
        <v>0.28923548768069834</v>
      </c>
      <c r="AB15" s="63">
        <f ca="1">INDEX('Table S3 Literature Values'!$A$10:$AV$10000,MATCH($C15,'Table S3 Literature Values'!$A$10:$A$10000,0)+2,AA$1)</f>
        <v>1</v>
      </c>
      <c r="AC15" s="501">
        <f>IF(VLOOKUP($C15,'Table S3 Literature Values'!$A$10:$AV$10000,AC$1,FALSE)=0,VLOOKUP($C15,'Table S9 Model Derived Values'!$A$10:$AV$10000,AC$1,FALSE),VLOOKUP($C15,'Table S3 Literature Values'!$A$10:$AV$10000,AC$1,FALSE))</f>
        <v>-3.1866329999999992</v>
      </c>
      <c r="AD15" s="61">
        <f>IF(INDEX('Table S3 Literature Values'!$A$10:$AV$10000,MATCH($C15,'Table S3 Literature Values'!$A$10:$A$10000,0)+1,AD$1)=0,INDEX('Table S9 Model Derived Values'!$A$10:$AV$10000,MATCH($C15,'Table S9 Model Derived Values'!$A$10:$A$10000,0)+1,AD$1),INDEX('Table S3 Literature Values'!$A$10:$AV$10000,MATCH($C15,'Table S3 Literature Values'!$A$10:$A$10000,0)+1,AD$1))</f>
        <v>1.3502273882279996</v>
      </c>
      <c r="AE15" s="63">
        <f>INDEX('Table S3 Literature Values'!$A$10:$AV$10000,MATCH($C15,'Table S3 Literature Values'!$A$10:$A$10000,0)+2,AD$1)</f>
        <v>0</v>
      </c>
      <c r="AF15" s="501">
        <f>IF(VLOOKUP($C15,'Table S3 Literature Values'!$A$10:$AV$10000,AF$1,FALSE)=0,VLOOKUP($C15,'Table S9 Model Derived Values'!$A$10:$AV$10000,AF$1,FALSE),VLOOKUP($C15,'Table S3 Literature Values'!$A$10:$AV$10000,AF$1,FALSE))</f>
        <v>-1.9375421369556207</v>
      </c>
      <c r="AG15" s="61">
        <f>IF(INDEX('Table S3 Literature Values'!$A$10:$AV$10000,MATCH($C15,'Table S3 Literature Values'!$A$10:$A$10000,0)+1,AG$1)=0,INDEX('Table S9 Model Derived Values'!$A$10:$AV$10000,MATCH($C15,'Table S9 Model Derived Values'!$A$10:$A$10000,0)+1,AG$1),INDEX('Table S3 Literature Values'!$A$10:$AV$10000,MATCH($C15,'Table S3 Literature Values'!$A$10:$A$10000,0)+1,AG$1))</f>
        <v>0.26517043543960583</v>
      </c>
      <c r="AH15" s="63">
        <f>INDEX('Table S3 Literature Values'!$A$10:$AV$10000,MATCH($C15,'Table S3 Literature Values'!$A$10:$A$10000,0)+2,AG$1)</f>
        <v>2</v>
      </c>
      <c r="AI15" s="501">
        <f ca="1">IF(VLOOKUP($C15,'Table S3 Literature Values'!$A$10:$AV$10000,AI$1,FALSE)=0,VLOOKUP($C15,'Table S9 Model Derived Values'!$A$10:$AV$10000,AI$1,FALSE),VLOOKUP($C15,'Table S3 Literature Values'!$A$10:$AV$10000,AI$1,FALSE))</f>
        <v>-3.6798824238437673</v>
      </c>
      <c r="AJ15" s="61">
        <f ca="1">IF(INDEX('Table S3 Literature Values'!$A$10:$AV$10000,MATCH($C15,'Table S3 Literature Values'!$A$10:$A$10000,0)+1,AJ$1)=0,INDEX('Table S9 Model Derived Values'!$A$10:$AV$10000,MATCH($C15,'Table S9 Model Derived Values'!$A$10:$A$10000,0)+1,AJ$1),INDEX('Table S3 Literature Values'!$A$10:$AV$10000,MATCH($C15,'Table S3 Literature Values'!$A$10:$A$10000,0)+1,AJ$1))</f>
        <v>0.45503434353519046</v>
      </c>
      <c r="AK15" s="63">
        <f>INDEX('Table S3 Literature Values'!$A$10:$AV$10000,MATCH($C15,'Table S3 Literature Values'!$A$10:$A$10000,0)+2,AJ$1)</f>
        <v>1</v>
      </c>
      <c r="AL15" s="501">
        <f>IF(VLOOKUP($C15,'Table S3 Literature Values'!$A$10:$AV$10000,AL$1,FALSE)=0,VLOOKUP($C15,'Table S9 Model Derived Values'!$A$10:$AV$10000,AL$1,FALSE),VLOOKUP($C15,'Table S3 Literature Values'!$A$10:$AV$10000,AL$1,FALSE))</f>
        <v>3.1719500999999983</v>
      </c>
      <c r="AM15" s="61">
        <f>IF(INDEX('Table S3 Literature Values'!$A$10:$AV$10000,MATCH($C15,'Table S3 Literature Values'!$A$10:$A$10000,0)+1,AM$1)=0,INDEX('Table S9 Model Derived Values'!$A$10:$AV$10000,MATCH($C15,'Table S9 Model Derived Values'!$A$10:$A$10000,0)+1,AM$1),INDEX('Table S3 Literature Values'!$A$10:$AV$10000,MATCH($C15,'Table S3 Literature Values'!$A$10:$A$10000,0)+1,AM$1))</f>
        <v>0.57326971352309974</v>
      </c>
      <c r="AN15" s="63">
        <f>INDEX('Table S3 Literature Values'!$A$10:$AV$10000,MATCH($C15,'Table S3 Literature Values'!$A$10:$A$10000,0)+2,AM$1)</f>
        <v>0</v>
      </c>
      <c r="AO15" s="501">
        <f>IF(VLOOKUP($C15,'Table S3 Literature Values'!$A$10:$AV$10000,AO$1,FALSE)=0,VLOOKUP($C15,'Table S9 Model Derived Values'!$A$10:$AV$10000,AO$1,FALSE),VLOOKUP($C15,'Table S3 Literature Values'!$A$10:$AV$10000,AO$1,FALSE))</f>
        <v>0</v>
      </c>
      <c r="AP15" s="61">
        <f>IF(INDEX('Table S3 Literature Values'!$A$10:$AV$10000,MATCH($C15,'Table S3 Literature Values'!$A$10:$A$10000,0)+1,AP$1)=0,INDEX('Table S9 Model Derived Values'!$A$10:$AV$10000,MATCH($C15,'Table S9 Model Derived Values'!$A$10:$A$10000,0)+1,AP$1),INDEX('Table S3 Literature Values'!$A$10:$AV$10000,MATCH($C15,'Table S3 Literature Values'!$A$10:$A$10000,0)+1,AP$1))</f>
        <v>0</v>
      </c>
      <c r="AQ15" s="63">
        <f>INDEX('Table S3 Literature Values'!$A$10:$AV$10000,MATCH($C15,'Table S3 Literature Values'!$A$10:$A$10000,0)+2,AP$1)</f>
        <v>0</v>
      </c>
      <c r="AR15" s="501">
        <f>IF(VLOOKUP($C15,'Table S3 Literature Values'!$A$10:$AV$10000,AR$1,FALSE)=0,VLOOKUP($C15,'Table S9 Model Derived Values'!$A$10:$AV$10000,AR$1,FALSE),VLOOKUP($C15,'Table S3 Literature Values'!$A$10:$AV$10000,AR$1,FALSE))</f>
        <v>135.5</v>
      </c>
      <c r="AS15" s="61">
        <f>IF(INDEX('Table S3 Literature Values'!$A$10:$AV$10000,MATCH($C15,'Table S3 Literature Values'!$A$10:$A$10000,0)+1,AS$1)=0,INDEX('Table S9 Model Derived Values'!$A$10:$AV$10000,MATCH($C15,'Table S9 Model Derived Values'!$A$10:$A$10000,0)+1,AS$1),INDEX('Table S3 Literature Values'!$A$10:$AV$10000,MATCH($C15,'Table S3 Literature Values'!$A$10:$A$10000,0)+1,AS$1))</f>
        <v>0.70710678118654757</v>
      </c>
      <c r="AT15" s="63">
        <f>INDEX('Table S3 Literature Values'!$A$10:$AV$10000,MATCH($C15,'Table S3 Literature Values'!$A$10:$A$10000,0)+2,AS$1)</f>
        <v>2</v>
      </c>
    </row>
    <row r="16" spans="1:46">
      <c r="A16" t="str">
        <f>'Table S2 Compound Identifiers'!C21</f>
        <v>NBFR</v>
      </c>
      <c r="B16">
        <f>COUNTIF($C$3:C16,"&lt;&gt;"&amp;"")</f>
        <v>14</v>
      </c>
      <c r="C16" t="str">
        <f>IF('Table S2 Compound Identifiers'!B21="","",'Table S2 Compound Identifiers'!B21)</f>
        <v>TBP-AE</v>
      </c>
      <c r="D16" t="str">
        <f>'Table S2 Compound Identifiers'!D21</f>
        <v>3278-89-5</v>
      </c>
      <c r="E16" s="501">
        <f>IF(VLOOKUP($C16,'Table S3 Literature Values'!$A$10:$AV$10000,E$1,FALSE)=0,VLOOKUP($C16,'Table S9 Model Derived Values'!$A$10:$AV$10000,E$1,FALSE),VLOOKUP($C16,'Table S3 Literature Values'!$A$10:$AV$10000,E$1,FALSE))</f>
        <v>75</v>
      </c>
      <c r="F16" s="61">
        <f>IF(INDEX('Table S3 Literature Values'!$A$10:$AV$10000,MATCH($C16,'Table S3 Literature Values'!$A$10:$A$10000,0)+1,F$1)=0,INDEX('Table S9 Model Derived Values'!$A$10:$AV$10000,MATCH($C16,'Table S9 Model Derived Values'!$A$10:$A$10000,0)+1,F$1),INDEX('Table S3 Literature Values'!$A$10:$AV$10000,MATCH($C16,'Table S3 Literature Values'!$A$10:$A$10000,0)+1,F$1))</f>
        <v>5.3522563851748552</v>
      </c>
      <c r="G16" s="63">
        <f>INDEX('Table S3 Literature Values'!$A$10:$AV$10000,MATCH($C16,'Table S3 Literature Values'!$A$10:$A$10000,0)+2,F$1)</f>
        <v>1</v>
      </c>
      <c r="H16" s="501">
        <f>IF(VLOOKUP($C16,'Table S3 Literature Values'!$A$10:$AV$10000,H$1,FALSE)=0,VLOOKUP($C16,'Table S9 Model Derived Values'!$A$10:$AV$10000,H$1,FALSE),VLOOKUP($C16,'Table S3 Literature Values'!$A$10:$AV$10000,H$1,FALSE))</f>
        <v>12.041129332759994</v>
      </c>
      <c r="I16" s="61">
        <f>IF(INDEX('Table S3 Literature Values'!$A$10:$AV$10000,MATCH($C16,'Table S3 Literature Values'!$A$10:$A$10000,0)+1,I$1)=0,INDEX('Table S9 Model Derived Values'!$A$10:$AV$10000,MATCH($C16,'Table S9 Model Derived Values'!$A$10:$A$10000,0)+1,I$1),INDEX('Table S3 Literature Values'!$A$10:$AV$10000,MATCH($C16,'Table S3 Literature Values'!$A$10:$A$10000,0)+1,I$1))</f>
        <v>16.891055405409062</v>
      </c>
      <c r="J16" s="63">
        <f>INDEX('Table S3 Literature Values'!$A$10:$AV$10000,MATCH($C16,'Table S3 Literature Values'!$A$10:$A$10000,0)+2,I$1)</f>
        <v>0</v>
      </c>
      <c r="K16" s="501">
        <f>IF(VLOOKUP($C16,'Table S3 Literature Values'!$A$10:$AV$10000,K$1,FALSE)=0,VLOOKUP($C16,'Table S9 Model Derived Values'!$A$10:$AV$10000,K$1,FALSE),VLOOKUP($C16,'Table S3 Literature Values'!$A$10:$AV$10000,K$1,FALSE))</f>
        <v>0</v>
      </c>
      <c r="L16" s="61">
        <f>IF(INDEX('Table S3 Literature Values'!$A$10:$AV$10000,MATCH($C16,'Table S3 Literature Values'!$A$10:$A$10000,0)+1,L$1)=0,INDEX('Table S9 Model Derived Values'!$A$10:$AV$10000,MATCH($C16,'Table S9 Model Derived Values'!$A$10:$A$10000,0)+1,L$1),INDEX('Table S3 Literature Values'!$A$10:$AV$10000,MATCH($C16,'Table S3 Literature Values'!$A$10:$A$10000,0)+1,L$1))</f>
        <v>0</v>
      </c>
      <c r="M16" s="63">
        <f>INDEX('Table S3 Literature Values'!$A$10:$AV$10000,MATCH($C16,'Table S3 Literature Values'!$A$10:$A$10000,0)+2,L$1)</f>
        <v>0</v>
      </c>
      <c r="N16" s="501">
        <f>IF(VLOOKUP($C16,'Table S3 Literature Values'!$A$10:$AV$10000,N$1,FALSE)=0,VLOOKUP($C16,'Table S9 Model Derived Values'!$A$10:$AV$10000,N$1,FALSE),VLOOKUP($C16,'Table S3 Literature Values'!$A$10:$AV$10000,N$1,FALSE))</f>
        <v>50.2</v>
      </c>
      <c r="O16" s="61">
        <f>IF(INDEX('Table S3 Literature Values'!$A$10:$AV$10000,MATCH($C16,'Table S3 Literature Values'!$A$10:$A$10000,0)+1,O$1)=0,INDEX('Table S9 Model Derived Values'!$A$10:$AV$10000,MATCH($C16,'Table S9 Model Derived Values'!$A$10:$A$10000,0)+1,O$1),INDEX('Table S3 Literature Values'!$A$10:$AV$10000,MATCH($C16,'Table S3 Literature Values'!$A$10:$A$10000,0)+1,O$1))</f>
        <v>3.1805758057700695</v>
      </c>
      <c r="P16" s="63">
        <f>INDEX('Table S3 Literature Values'!$A$10:$AV$10000,MATCH($C16,'Table S3 Literature Values'!$A$10:$A$10000,0)+2,O$1)</f>
        <v>1</v>
      </c>
      <c r="Q16" s="501">
        <f>IF(VLOOKUP($C16,'Table S3 Literature Values'!$A$10:$AV$10000,Q$1,FALSE)=0,VLOOKUP($C16,'Table S9 Model Derived Values'!$A$10:$AV$10000,Q$1,FALSE),VLOOKUP($C16,'Table S3 Literature Values'!$A$10:$AV$10000,Q$1,FALSE))</f>
        <v>61.7891014</v>
      </c>
      <c r="R16" s="61">
        <f>IF(INDEX('Table S3 Literature Values'!$A$10:$AV$10000,MATCH($C16,'Table S3 Literature Values'!$A$10:$A$10000,0)+1,R$1)=0,INDEX('Table S9 Model Derived Values'!$A$10:$AV$10000,MATCH($C16,'Table S9 Model Derived Values'!$A$10:$A$10000,0)+1,R$1),INDEX('Table S3 Literature Values'!$A$10:$AV$10000,MATCH($C16,'Table S3 Literature Values'!$A$10:$A$10000,0)+1,R$1))</f>
        <v>11.583541050356599</v>
      </c>
      <c r="S16" s="63">
        <f>INDEX('Table S3 Literature Values'!$A$10:$AV$10000,MATCH($C16,'Table S3 Literature Values'!$A$10:$A$10000,0)+2,R$1)</f>
        <v>0</v>
      </c>
      <c r="T16" s="501">
        <f>IF(VLOOKUP($C16,'Table S3 Literature Values'!$A$10:$AV$10000,T$1,FALSE)=0,VLOOKUP($C16,'Table S9 Model Derived Values'!$A$10:$AV$10000,T$1,FALSE),VLOOKUP($C16,'Table S3 Literature Values'!$A$10:$AV$10000,T$1,FALSE))</f>
        <v>-20.865455999999995</v>
      </c>
      <c r="U16" s="61">
        <f>IF(INDEX('Table S3 Literature Values'!$A$10:$AV$10000,MATCH($C16,'Table S3 Literature Values'!$A$10:$A$10000,0)+1,U$1)=0,INDEX('Table S9 Model Derived Values'!$A$10:$AV$10000,MATCH($C16,'Table S9 Model Derived Values'!$A$10:$A$10000,0)+1,U$1),INDEX('Table S3 Literature Values'!$A$10:$AV$10000,MATCH($C16,'Table S3 Literature Values'!$A$10:$A$10000,0)+1,U$1))</f>
        <v>8.5592843851820071</v>
      </c>
      <c r="V16" s="63">
        <f>INDEX('Table S3 Literature Values'!$A$10:$AV$10000,MATCH($C16,'Table S3 Literature Values'!$A$10:$A$10000,0)+2,U$1)</f>
        <v>0</v>
      </c>
      <c r="W16" s="501">
        <f>IF(VLOOKUP($C16,'Table S3 Literature Values'!$A$10:$AV$10000,W$1,FALSE)=0,VLOOKUP($C16,'Table S9 Model Derived Values'!$A$10:$AV$10000,W$1,FALSE),VLOOKUP($C16,'Table S3 Literature Values'!$A$10:$AV$10000,W$1,FALSE))</f>
        <v>6.7979039072356926</v>
      </c>
      <c r="X16" s="61">
        <f>IF(INDEX('Table S3 Literature Values'!$A$10:$AV$10000,MATCH($C16,'Table S3 Literature Values'!$A$10:$A$10000,0)+1,X$1)=0,INDEX('Table S9 Model Derived Values'!$A$10:$AV$10000,MATCH($C16,'Table S9 Model Derived Values'!$A$10:$A$10000,0)+1,X$1),INDEX('Table S3 Literature Values'!$A$10:$AV$10000,MATCH($C16,'Table S3 Literature Values'!$A$10:$A$10000,0)+1,X$1))</f>
        <v>0.17503119318684157</v>
      </c>
      <c r="Y16" s="63">
        <f>INDEX('Table S3 Literature Values'!$A$10:$AV$10000,MATCH($C16,'Table S3 Literature Values'!$A$10:$A$10000,0)+2,X$1)</f>
        <v>1</v>
      </c>
      <c r="Z16" s="501">
        <f>IF(VLOOKUP($C16,'Table S3 Literature Values'!$A$10:$AV$10000,Z$1,FALSE)=0,VLOOKUP($C16,'Table S9 Model Derived Values'!$A$10:$AV$10000,Z$1,FALSE),VLOOKUP($C16,'Table S3 Literature Values'!$A$10:$AV$10000,Z$1,FALSE))</f>
        <v>4.8600000000000003</v>
      </c>
      <c r="AA16" s="61">
        <f>IF(INDEX('Table S3 Literature Values'!$A$10:$AV$10000,MATCH($C16,'Table S3 Literature Values'!$A$10:$A$10000,0)+1,AA$1)=0,INDEX('Table S9 Model Derived Values'!$A$10:$AV$10000,MATCH($C16,'Table S9 Model Derived Values'!$A$10:$A$10000,0)+1,AA$1),INDEX('Table S3 Literature Values'!$A$10:$AV$10000,MATCH($C16,'Table S3 Literature Values'!$A$10:$A$10000,0)+1,AA$1))</f>
        <v>1.458</v>
      </c>
      <c r="AB16" s="63">
        <f>INDEX('Table S3 Literature Values'!$A$10:$AV$10000,MATCH($C16,'Table S3 Literature Values'!$A$10:$A$10000,0)+2,AA$1)</f>
        <v>1</v>
      </c>
      <c r="AC16" s="501">
        <f>IF(VLOOKUP($C16,'Table S3 Literature Values'!$A$10:$AV$10000,AC$1,FALSE)=0,VLOOKUP($C16,'Table S9 Model Derived Values'!$A$10:$AV$10000,AC$1,FALSE),VLOOKUP($C16,'Table S3 Literature Values'!$A$10:$AV$10000,AC$1,FALSE))</f>
        <v>-2.9661100398231652</v>
      </c>
      <c r="AD16" s="61">
        <f>IF(INDEX('Table S3 Literature Values'!$A$10:$AV$10000,MATCH($C16,'Table S3 Literature Values'!$A$10:$A$10000,0)+1,AD$1)=0,INDEX('Table S9 Model Derived Values'!$A$10:$AV$10000,MATCH($C16,'Table S9 Model Derived Values'!$A$10:$A$10000,0)+1,AD$1),INDEX('Table S3 Literature Values'!$A$10:$AV$10000,MATCH($C16,'Table S3 Literature Values'!$A$10:$A$10000,0)+1,AD$1))</f>
        <v>0.98237267907939252</v>
      </c>
      <c r="AE16" s="63">
        <f>INDEX('Table S3 Literature Values'!$A$10:$AV$10000,MATCH($C16,'Table S3 Literature Values'!$A$10:$A$10000,0)+2,AD$1)</f>
        <v>0</v>
      </c>
      <c r="AF16" s="501">
        <f>IF(VLOOKUP($C16,'Table S3 Literature Values'!$A$10:$AV$10000,AF$1,FALSE)=0,VLOOKUP($C16,'Table S9 Model Derived Values'!$A$10:$AV$10000,AF$1,FALSE),VLOOKUP($C16,'Table S3 Literature Values'!$A$10:$AV$10000,AF$1,FALSE))</f>
        <v>-0.96330666731063319</v>
      </c>
      <c r="AG16" s="61">
        <f>IF(INDEX('Table S3 Literature Values'!$A$10:$AV$10000,MATCH($C16,'Table S3 Literature Values'!$A$10:$A$10000,0)+1,AG$1)=0,INDEX('Table S9 Model Derived Values'!$A$10:$AV$10000,MATCH($C16,'Table S9 Model Derived Values'!$A$10:$A$10000,0)+1,AG$1),INDEX('Table S3 Literature Values'!$A$10:$AV$10000,MATCH($C16,'Table S3 Literature Values'!$A$10:$A$10000,0)+1,AG$1))</f>
        <v>0.15284245128584373</v>
      </c>
      <c r="AH16" s="63">
        <f>INDEX('Table S3 Literature Values'!$A$10:$AV$10000,MATCH($C16,'Table S3 Literature Values'!$A$10:$A$10000,0)+2,AG$1)</f>
        <v>1</v>
      </c>
      <c r="AI16" s="501">
        <f>IF(VLOOKUP($C16,'Table S3 Literature Values'!$A$10:$AV$10000,AI$1,FALSE)=0,VLOOKUP($C16,'Table S9 Model Derived Values'!$A$10:$AV$10000,AI$1,FALSE),VLOOKUP($C16,'Table S3 Literature Values'!$A$10:$AV$10000,AI$1,FALSE))</f>
        <v>-2.752123843199989</v>
      </c>
      <c r="AJ16" s="61">
        <f>IF(INDEX('Table S3 Literature Values'!$A$10:$AV$10000,MATCH($C16,'Table S3 Literature Values'!$A$10:$A$10000,0)+1,AJ$1)=0,INDEX('Table S9 Model Derived Values'!$A$10:$AV$10000,MATCH($C16,'Table S9 Model Derived Values'!$A$10:$A$10000,0)+1,AJ$1),INDEX('Table S3 Literature Values'!$A$10:$AV$10000,MATCH($C16,'Table S3 Literature Values'!$A$10:$A$10000,0)+1,AJ$1))</f>
        <v>0.34031273885375107</v>
      </c>
      <c r="AK16" s="63">
        <f>INDEX('Table S3 Literature Values'!$A$10:$AV$10000,MATCH($C16,'Table S3 Literature Values'!$A$10:$A$10000,0)+2,AJ$1)</f>
        <v>1</v>
      </c>
      <c r="AL16" s="501">
        <f>IF(VLOOKUP($C16,'Table S3 Literature Values'!$A$10:$AV$10000,AL$1,FALSE)=0,VLOOKUP($C16,'Table S9 Model Derived Values'!$A$10:$AV$10000,AL$1,FALSE),VLOOKUP($C16,'Table S3 Literature Values'!$A$10:$AV$10000,AL$1,FALSE))</f>
        <v>2.9623931999999993</v>
      </c>
      <c r="AM16" s="61">
        <f>IF(INDEX('Table S3 Literature Values'!$A$10:$AV$10000,MATCH($C16,'Table S3 Literature Values'!$A$10:$A$10000,0)+1,AM$1)=0,INDEX('Table S9 Model Derived Values'!$A$10:$AV$10000,MATCH($C16,'Table S9 Model Derived Values'!$A$10:$A$10000,0)+1,AM$1),INDEX('Table S3 Literature Values'!$A$10:$AV$10000,MATCH($C16,'Table S3 Literature Values'!$A$10:$A$10000,0)+1,AM$1))</f>
        <v>0.53539628542919993</v>
      </c>
      <c r="AN16" s="63">
        <f>INDEX('Table S3 Literature Values'!$A$10:$AV$10000,MATCH($C16,'Table S3 Literature Values'!$A$10:$A$10000,0)+2,AM$1)</f>
        <v>0</v>
      </c>
      <c r="AO16" s="501">
        <f>IF(VLOOKUP($C16,'Table S3 Literature Values'!$A$10:$AV$10000,AO$1,FALSE)=0,VLOOKUP($C16,'Table S9 Model Derived Values'!$A$10:$AV$10000,AO$1,FALSE),VLOOKUP($C16,'Table S3 Literature Values'!$A$10:$AV$10000,AO$1,FALSE))</f>
        <v>0</v>
      </c>
      <c r="AP16" s="61">
        <f>IF(INDEX('Table S3 Literature Values'!$A$10:$AV$10000,MATCH($C16,'Table S3 Literature Values'!$A$10:$A$10000,0)+1,AP$1)=0,INDEX('Table S9 Model Derived Values'!$A$10:$AV$10000,MATCH($C16,'Table S9 Model Derived Values'!$A$10:$A$10000,0)+1,AP$1),INDEX('Table S3 Literature Values'!$A$10:$AV$10000,MATCH($C16,'Table S3 Literature Values'!$A$10:$A$10000,0)+1,AP$1))</f>
        <v>0</v>
      </c>
      <c r="AQ16" s="63">
        <f>INDEX('Table S3 Literature Values'!$A$10:$AV$10000,MATCH($C16,'Table S3 Literature Values'!$A$10:$A$10000,0)+2,AP$1)</f>
        <v>0</v>
      </c>
      <c r="AR16" s="501">
        <f>IF(VLOOKUP($C16,'Table S3 Literature Values'!$A$10:$AV$10000,AR$1,FALSE)=0,VLOOKUP($C16,'Table S9 Model Derived Values'!$A$10:$AV$10000,AR$1,FALSE),VLOOKUP($C16,'Table S3 Literature Values'!$A$10:$AV$10000,AR$1,FALSE))</f>
        <v>75.400000000000006</v>
      </c>
      <c r="AS16" s="61">
        <f>IF(INDEX('Table S3 Literature Values'!$A$10:$AV$10000,MATCH($C16,'Table S3 Literature Values'!$A$10:$A$10000,0)+1,AS$1)=0,INDEX('Table S9 Model Derived Values'!$A$10:$AV$10000,MATCH($C16,'Table S9 Model Derived Values'!$A$10:$A$10000,0)+1,AS$1),INDEX('Table S3 Literature Values'!$A$10:$AV$10000,MATCH($C16,'Table S3 Literature Values'!$A$10:$A$10000,0)+1,AS$1))</f>
        <v>0.56568542494923602</v>
      </c>
      <c r="AT16" s="63">
        <f>INDEX('Table S3 Literature Values'!$A$10:$AV$10000,MATCH($C16,'Table S3 Literature Values'!$A$10:$A$10000,0)+2,AS$1)</f>
        <v>2</v>
      </c>
    </row>
    <row r="17" spans="1:46">
      <c r="A17" t="str">
        <f>'Table S2 Compound Identifiers'!C22</f>
        <v>NBFR</v>
      </c>
      <c r="B17">
        <f>COUNTIF($C$3:C17,"&lt;&gt;"&amp;"")</f>
        <v>15</v>
      </c>
      <c r="C17" t="str">
        <f>IF('Table S2 Compound Identifiers'!B22="","",'Table S2 Compound Identifiers'!B22)</f>
        <v>β-TBCO</v>
      </c>
      <c r="D17" t="str">
        <f>'Table S2 Compound Identifiers'!D22</f>
        <v>3194-57-8</v>
      </c>
      <c r="E17" s="501">
        <f>IF(VLOOKUP($C17,'Table S3 Literature Values'!$A$10:$AV$10000,E$1,FALSE)=0,VLOOKUP($C17,'Table S9 Model Derived Values'!$A$10:$AV$10000,E$1,FALSE),VLOOKUP($C17,'Table S3 Literature Values'!$A$10:$AV$10000,E$1,FALSE))</f>
        <v>64.599999999999994</v>
      </c>
      <c r="F17" s="61">
        <f>IF(INDEX('Table S3 Literature Values'!$A$10:$AV$10000,MATCH($C17,'Table S3 Literature Values'!$A$10:$A$10000,0)+1,F$1)=0,INDEX('Table S9 Model Derived Values'!$A$10:$AV$10000,MATCH($C17,'Table S9 Model Derived Values'!$A$10:$A$10000,0)+1,F$1),INDEX('Table S3 Literature Values'!$A$10:$AV$10000,MATCH($C17,'Table S3 Literature Values'!$A$10:$A$10000,0)+1,F$1))</f>
        <v>4.610076833097275</v>
      </c>
      <c r="G17" s="63">
        <f>INDEX('Table S3 Literature Values'!$A$10:$AV$10000,MATCH($C17,'Table S3 Literature Values'!$A$10:$A$10000,0)+2,F$1)</f>
        <v>1</v>
      </c>
      <c r="H17" s="501">
        <f>IF(VLOOKUP($C17,'Table S3 Literature Values'!$A$10:$AV$10000,H$1,FALSE)=0,VLOOKUP($C17,'Table S9 Model Derived Values'!$A$10:$AV$10000,H$1,FALSE),VLOOKUP($C17,'Table S3 Literature Values'!$A$10:$AV$10000,H$1,FALSE))</f>
        <v>12.968037981815996</v>
      </c>
      <c r="I17" s="61">
        <f>IF(INDEX('Table S3 Literature Values'!$A$10:$AV$10000,MATCH($C17,'Table S3 Literature Values'!$A$10:$A$10000,0)+1,I$1)=0,INDEX('Table S9 Model Derived Values'!$A$10:$AV$10000,MATCH($C17,'Table S9 Model Derived Values'!$A$10:$A$10000,0)+1,I$1),INDEX('Table S3 Literature Values'!$A$10:$AV$10000,MATCH($C17,'Table S3 Literature Values'!$A$10:$A$10000,0)+1,I$1))</f>
        <v>18.191304320131842</v>
      </c>
      <c r="J17" s="63">
        <f>INDEX('Table S3 Literature Values'!$A$10:$AV$10000,MATCH($C17,'Table S3 Literature Values'!$A$10:$A$10000,0)+2,I$1)</f>
        <v>0</v>
      </c>
      <c r="K17" s="501">
        <f>IF(VLOOKUP($C17,'Table S3 Literature Values'!$A$10:$AV$10000,K$1,FALSE)=0,VLOOKUP($C17,'Table S9 Model Derived Values'!$A$10:$AV$10000,K$1,FALSE),VLOOKUP($C17,'Table S3 Literature Values'!$A$10:$AV$10000,K$1,FALSE))</f>
        <v>0</v>
      </c>
      <c r="L17" s="61">
        <f>IF(INDEX('Table S3 Literature Values'!$A$10:$AV$10000,MATCH($C17,'Table S3 Literature Values'!$A$10:$A$10000,0)+1,L$1)=0,INDEX('Table S9 Model Derived Values'!$A$10:$AV$10000,MATCH($C17,'Table S9 Model Derived Values'!$A$10:$A$10000,0)+1,L$1),INDEX('Table S3 Literature Values'!$A$10:$AV$10000,MATCH($C17,'Table S3 Literature Values'!$A$10:$A$10000,0)+1,L$1))</f>
        <v>0</v>
      </c>
      <c r="M17" s="63">
        <f>INDEX('Table S3 Literature Values'!$A$10:$AV$10000,MATCH($C17,'Table S3 Literature Values'!$A$10:$A$10000,0)+2,L$1)</f>
        <v>0</v>
      </c>
      <c r="N17" s="501">
        <f>IF(VLOOKUP($C17,'Table S3 Literature Values'!$A$10:$AV$10000,N$1,FALSE)=0,VLOOKUP($C17,'Table S9 Model Derived Values'!$A$10:$AV$10000,N$1,FALSE),VLOOKUP($C17,'Table S3 Literature Values'!$A$10:$AV$10000,N$1,FALSE))</f>
        <v>52.3</v>
      </c>
      <c r="O17" s="61">
        <f>IF(INDEX('Table S3 Literature Values'!$A$10:$AV$10000,MATCH($C17,'Table S3 Literature Values'!$A$10:$A$10000,0)+1,O$1)=0,INDEX('Table S9 Model Derived Values'!$A$10:$AV$10000,MATCH($C17,'Table S9 Model Derived Values'!$A$10:$A$10000,0)+1,O$1),INDEX('Table S3 Literature Values'!$A$10:$AV$10000,MATCH($C17,'Table S3 Literature Values'!$A$10:$A$10000,0)+1,O$1))</f>
        <v>3.3136277817086577</v>
      </c>
      <c r="P17" s="63">
        <f>INDEX('Table S3 Literature Values'!$A$10:$AV$10000,MATCH($C17,'Table S3 Literature Values'!$A$10:$A$10000,0)+2,O$1)</f>
        <v>1</v>
      </c>
      <c r="Q17" s="501">
        <f>IF(VLOOKUP($C17,'Table S3 Literature Values'!$A$10:$AV$10000,Q$1,FALSE)=0,VLOOKUP($C17,'Table S9 Model Derived Values'!$A$10:$AV$10000,Q$1,FALSE),VLOOKUP($C17,'Table S3 Literature Values'!$A$10:$AV$10000,Q$1,FALSE))</f>
        <v>61.460961599999997</v>
      </c>
      <c r="R17" s="61">
        <f>IF(INDEX('Table S3 Literature Values'!$A$10:$AV$10000,MATCH($C17,'Table S3 Literature Values'!$A$10:$A$10000,0)+1,R$1)=0,INDEX('Table S9 Model Derived Values'!$A$10:$AV$10000,MATCH($C17,'Table S9 Model Derived Values'!$A$10:$A$10000,0)+1,R$1),INDEX('Table S3 Literature Values'!$A$10:$AV$10000,MATCH($C17,'Table S3 Literature Values'!$A$10:$A$10000,0)+1,R$1))</f>
        <v>11.522025010190399</v>
      </c>
      <c r="S17" s="63">
        <f>INDEX('Table S3 Literature Values'!$A$10:$AV$10000,MATCH($C17,'Table S3 Literature Values'!$A$10:$A$10000,0)+2,R$1)</f>
        <v>0</v>
      </c>
      <c r="T17" s="501">
        <f>IF(VLOOKUP($C17,'Table S3 Literature Values'!$A$10:$AV$10000,T$1,FALSE)=0,VLOOKUP($C17,'Table S9 Model Derived Values'!$A$10:$AV$10000,T$1,FALSE),VLOOKUP($C17,'Table S3 Literature Values'!$A$10:$AV$10000,T$1,FALSE))</f>
        <v>-21.488224000000013</v>
      </c>
      <c r="U17" s="61">
        <f>IF(INDEX('Table S3 Literature Values'!$A$10:$AV$10000,MATCH($C17,'Table S3 Literature Values'!$A$10:$A$10000,0)+1,U$1)=0,INDEX('Table S9 Model Derived Values'!$A$10:$AV$10000,MATCH($C17,'Table S9 Model Derived Values'!$A$10:$A$10000,0)+1,U$1),INDEX('Table S3 Literature Values'!$A$10:$AV$10000,MATCH($C17,'Table S3 Literature Values'!$A$10:$A$10000,0)+1,U$1))</f>
        <v>8.8147520067854455</v>
      </c>
      <c r="V17" s="63">
        <f>INDEX('Table S3 Literature Values'!$A$10:$AV$10000,MATCH($C17,'Table S3 Literature Values'!$A$10:$A$10000,0)+2,U$1)</f>
        <v>0</v>
      </c>
      <c r="W17" s="501">
        <f>IF(VLOOKUP($C17,'Table S3 Literature Values'!$A$10:$AV$10000,W$1,FALSE)=0,VLOOKUP($C17,'Table S9 Model Derived Values'!$A$10:$AV$10000,W$1,FALSE),VLOOKUP($C17,'Table S3 Literature Values'!$A$10:$AV$10000,W$1,FALSE))</f>
        <v>7.4000524662295337</v>
      </c>
      <c r="X17" s="61">
        <f>IF(INDEX('Table S3 Literature Values'!$A$10:$AV$10000,MATCH($C17,'Table S3 Literature Values'!$A$10:$A$10000,0)+1,X$1)=0,INDEX('Table S9 Model Derived Values'!$A$10:$AV$10000,MATCH($C17,'Table S9 Model Derived Values'!$A$10:$A$10000,0)+1,X$1),INDEX('Table S3 Literature Values'!$A$10:$AV$10000,MATCH($C17,'Table S3 Literature Values'!$A$10:$A$10000,0)+1,X$1))</f>
        <v>0.19053520474608812</v>
      </c>
      <c r="Y17" s="63">
        <f>INDEX('Table S3 Literature Values'!$A$10:$AV$10000,MATCH($C17,'Table S3 Literature Values'!$A$10:$A$10000,0)+2,X$1)</f>
        <v>1</v>
      </c>
      <c r="Z17" s="501">
        <f>IF(VLOOKUP($C17,'Table S3 Literature Values'!$A$10:$AV$10000,Z$1,FALSE)=0,VLOOKUP($C17,'Table S9 Model Derived Values'!$A$10:$AV$10000,Z$1,FALSE),VLOOKUP($C17,'Table S3 Literature Values'!$A$10:$AV$10000,Z$1,FALSE))</f>
        <v>5.1360400000000004</v>
      </c>
      <c r="AA17" s="61">
        <f>IF(INDEX('Table S3 Literature Values'!$A$10:$AV$10000,MATCH($C17,'Table S3 Literature Values'!$A$10:$A$10000,0)+1,AA$1)=0,INDEX('Table S9 Model Derived Values'!$A$10:$AV$10000,MATCH($C17,'Table S9 Model Derived Values'!$A$10:$A$10000,0)+1,AA$1),INDEX('Table S3 Literature Values'!$A$10:$AV$10000,MATCH($C17,'Table S3 Literature Values'!$A$10:$A$10000,0)+1,AA$1))</f>
        <v>0.95565269072000014</v>
      </c>
      <c r="AB17" s="63">
        <f>INDEX('Table S3 Literature Values'!$A$10:$AV$10000,MATCH($C17,'Table S3 Literature Values'!$A$10:$A$10000,0)+2,AA$1)</f>
        <v>0</v>
      </c>
      <c r="AC17" s="501">
        <f>IF(VLOOKUP($C17,'Table S3 Literature Values'!$A$10:$AV$10000,AC$1,FALSE)=0,VLOOKUP($C17,'Table S9 Model Derived Values'!$A$10:$AV$10000,AC$1,FALSE),VLOOKUP($C17,'Table S3 Literature Values'!$A$10:$AV$10000,AC$1,FALSE))</f>
        <v>-2.7689323828902799</v>
      </c>
      <c r="AD17" s="61">
        <f>IF(INDEX('Table S3 Literature Values'!$A$10:$AV$10000,MATCH($C17,'Table S3 Literature Values'!$A$10:$A$10000,0)+1,AD$1)=0,INDEX('Table S9 Model Derived Values'!$A$10:$AV$10000,MATCH($C17,'Table S9 Model Derived Values'!$A$10:$A$10000,0)+1,AD$1),INDEX('Table S3 Literature Values'!$A$10:$AV$10000,MATCH($C17,'Table S3 Literature Values'!$A$10:$A$10000,0)+1,AD$1))</f>
        <v>0.91706763628087784</v>
      </c>
      <c r="AE17" s="63">
        <f>INDEX('Table S3 Literature Values'!$A$10:$AV$10000,MATCH($C17,'Table S3 Literature Values'!$A$10:$A$10000,0)+2,AD$1)</f>
        <v>0</v>
      </c>
      <c r="AF17" s="501">
        <f>IF(VLOOKUP($C17,'Table S3 Literature Values'!$A$10:$AV$10000,AF$1,FALSE)=0,VLOOKUP($C17,'Table S9 Model Derived Values'!$A$10:$AV$10000,AF$1,FALSE),VLOOKUP($C17,'Table S3 Literature Values'!$A$10:$AV$10000,AF$1,FALSE))</f>
        <v>-0.75193215432646821</v>
      </c>
      <c r="AG17" s="61">
        <f>IF(INDEX('Table S3 Literature Values'!$A$10:$AV$10000,MATCH($C17,'Table S3 Literature Values'!$A$10:$A$10000,0)+1,AG$1)=0,INDEX('Table S9 Model Derived Values'!$A$10:$AV$10000,MATCH($C17,'Table S9 Model Derived Values'!$A$10:$A$10000,0)+1,AG$1),INDEX('Table S3 Literature Values'!$A$10:$AV$10000,MATCH($C17,'Table S3 Literature Values'!$A$10:$A$10000,0)+1,AG$1))</f>
        <v>0.11930484607643922</v>
      </c>
      <c r="AH17" s="63">
        <f>INDEX('Table S3 Literature Values'!$A$10:$AV$10000,MATCH($C17,'Table S3 Literature Values'!$A$10:$A$10000,0)+2,AG$1)</f>
        <v>1</v>
      </c>
      <c r="AI17" s="501">
        <f>IF(VLOOKUP($C17,'Table S3 Literature Values'!$A$10:$AV$10000,AI$1,FALSE)=0,VLOOKUP($C17,'Table S9 Model Derived Values'!$A$10:$AV$10000,AI$1,FALSE),VLOOKUP($C17,'Table S3 Literature Values'!$A$10:$AV$10000,AI$1,FALSE))</f>
        <v>-3.0523487999999999</v>
      </c>
      <c r="AJ17" s="61">
        <f>IF(INDEX('Table S3 Literature Values'!$A$10:$AV$10000,MATCH($C17,'Table S3 Literature Values'!$A$10:$A$10000,0)+1,AJ$1)=0,INDEX('Table S9 Model Derived Values'!$A$10:$AV$10000,MATCH($C17,'Table S9 Model Derived Values'!$A$10:$A$10000,0)+1,AJ$1),INDEX('Table S3 Literature Values'!$A$10:$AV$10000,MATCH($C17,'Table S3 Literature Values'!$A$10:$A$10000,0)+1,AJ$1))</f>
        <v>0.7902185437435868</v>
      </c>
      <c r="AK17" s="63">
        <f>INDEX('Table S3 Literature Values'!$A$10:$AV$10000,MATCH($C17,'Table S3 Literature Values'!$A$10:$A$10000,0)+2,AJ$1)</f>
        <v>0</v>
      </c>
      <c r="AL17" s="501">
        <f>IF(VLOOKUP($C17,'Table S3 Literature Values'!$A$10:$AV$10000,AL$1,FALSE)=0,VLOOKUP($C17,'Table S9 Model Derived Values'!$A$10:$AV$10000,AL$1,FALSE),VLOOKUP($C17,'Table S3 Literature Values'!$A$10:$AV$10000,AL$1,FALSE))</f>
        <v>3.0776351999999996</v>
      </c>
      <c r="AM17" s="61">
        <f>IF(INDEX('Table S3 Literature Values'!$A$10:$AV$10000,MATCH($C17,'Table S3 Literature Values'!$A$10:$A$10000,0)+1,AM$1)=0,INDEX('Table S9 Model Derived Values'!$A$10:$AV$10000,MATCH($C17,'Table S9 Model Derived Values'!$A$10:$A$10000,0)+1,AM$1),INDEX('Table S3 Literature Values'!$A$10:$AV$10000,MATCH($C17,'Table S3 Literature Values'!$A$10:$A$10000,0)+1,AM$1))</f>
        <v>0.55622408733119988</v>
      </c>
      <c r="AN17" s="63">
        <f>INDEX('Table S3 Literature Values'!$A$10:$AV$10000,MATCH($C17,'Table S3 Literature Values'!$A$10:$A$10000,0)+2,AM$1)</f>
        <v>0</v>
      </c>
      <c r="AO17" s="501">
        <f>IF(VLOOKUP($C17,'Table S3 Literature Values'!$A$10:$AV$10000,AO$1,FALSE)=0,VLOOKUP($C17,'Table S9 Model Derived Values'!$A$10:$AV$10000,AO$1,FALSE),VLOOKUP($C17,'Table S3 Literature Values'!$A$10:$AV$10000,AO$1,FALSE))</f>
        <v>0</v>
      </c>
      <c r="AP17" s="61">
        <f>IF(INDEX('Table S3 Literature Values'!$A$10:$AV$10000,MATCH($C17,'Table S3 Literature Values'!$A$10:$A$10000,0)+1,AP$1)=0,INDEX('Table S9 Model Derived Values'!$A$10:$AV$10000,MATCH($C17,'Table S9 Model Derived Values'!$A$10:$A$10000,0)+1,AP$1),INDEX('Table S3 Literature Values'!$A$10:$AV$10000,MATCH($C17,'Table S3 Literature Values'!$A$10:$A$10000,0)+1,AP$1))</f>
        <v>0</v>
      </c>
      <c r="AQ17" s="63">
        <f>INDEX('Table S3 Literature Values'!$A$10:$AV$10000,MATCH($C17,'Table S3 Literature Values'!$A$10:$A$10000,0)+2,AP$1)</f>
        <v>0</v>
      </c>
      <c r="AR17" s="501">
        <f>IF(VLOOKUP($C17,'Table S3 Literature Values'!$A$10:$AV$10000,AR$1,FALSE)=0,VLOOKUP($C17,'Table S9 Model Derived Values'!$A$10:$AV$10000,AR$1,FALSE),VLOOKUP($C17,'Table S3 Literature Values'!$A$10:$AV$10000,AR$1,FALSE))</f>
        <v>147.5</v>
      </c>
      <c r="AS17" s="61">
        <f>IF(INDEX('Table S3 Literature Values'!$A$10:$AV$10000,MATCH($C17,'Table S3 Literature Values'!$A$10:$A$10000,0)+1,AS$1)=0,INDEX('Table S9 Model Derived Values'!$A$10:$AV$10000,MATCH($C17,'Table S9 Model Derived Values'!$A$10:$A$10000,0)+1,AS$1),INDEX('Table S3 Literature Values'!$A$10:$AV$10000,MATCH($C17,'Table S3 Literature Values'!$A$10:$A$10000,0)+1,AS$1))</f>
        <v>44.25</v>
      </c>
      <c r="AT17" s="63">
        <f>INDEX('Table S3 Literature Values'!$A$10:$AV$10000,MATCH($C17,'Table S3 Literature Values'!$A$10:$A$10000,0)+2,AS$1)</f>
        <v>1</v>
      </c>
    </row>
    <row r="18" spans="1:46">
      <c r="A18" t="str">
        <f>'Table S2 Compound Identifiers'!C23</f>
        <v>NBFR</v>
      </c>
      <c r="B18">
        <f>COUNTIF($C$3:C18,"&lt;&gt;"&amp;"")</f>
        <v>16</v>
      </c>
      <c r="C18" t="str">
        <f>IF('Table S2 Compound Identifiers'!B23="","",'Table S2 Compound Identifiers'!B23)</f>
        <v>PBBZ</v>
      </c>
      <c r="D18" t="str">
        <f>'Table S2 Compound Identifiers'!D23</f>
        <v>608-90-2</v>
      </c>
      <c r="E18" s="501">
        <f>IF(VLOOKUP($C18,'Table S3 Literature Values'!$A$10:$AV$10000,E$1,FALSE)=0,VLOOKUP($C18,'Table S9 Model Derived Values'!$A$10:$AV$10000,E$1,FALSE),VLOOKUP($C18,'Table S3 Literature Values'!$A$10:$AV$10000,E$1,FALSE))</f>
        <v>61.6</v>
      </c>
      <c r="F18" s="61">
        <f>IF(INDEX('Table S3 Literature Values'!$A$10:$AV$10000,MATCH($C18,'Table S3 Literature Values'!$A$10:$A$10000,0)+1,F$1)=0,INDEX('Table S9 Model Derived Values'!$A$10:$AV$10000,MATCH($C18,'Table S9 Model Derived Values'!$A$10:$A$10000,0)+1,F$1),INDEX('Table S3 Literature Values'!$A$10:$AV$10000,MATCH($C18,'Table S3 Literature Values'!$A$10:$A$10000,0)+1,F$1))</f>
        <v>4.3959865776902811</v>
      </c>
      <c r="G18" s="63">
        <f>INDEX('Table S3 Literature Values'!$A$10:$AV$10000,MATCH($C18,'Table S3 Literature Values'!$A$10:$A$10000,0)+2,F$1)</f>
        <v>1</v>
      </c>
      <c r="H18" s="501">
        <f>IF(VLOOKUP($C18,'Table S3 Literature Values'!$A$10:$AV$10000,H$1,FALSE)=0,VLOOKUP($C18,'Table S9 Model Derived Values'!$A$10:$AV$10000,H$1,FALSE),VLOOKUP($C18,'Table S3 Literature Values'!$A$10:$AV$10000,H$1,FALSE))</f>
        <v>11.302201736904053</v>
      </c>
      <c r="I18" s="61">
        <f>IF(INDEX('Table S3 Literature Values'!$A$10:$AV$10000,MATCH($C18,'Table S3 Literature Values'!$A$10:$A$10000,0)+1,I$1)=0,INDEX('Table S9 Model Derived Values'!$A$10:$AV$10000,MATCH($C18,'Table S9 Model Derived Values'!$A$10:$A$10000,0)+1,I$1),INDEX('Table S3 Literature Values'!$A$10:$AV$10000,MATCH($C18,'Table S3 Literature Values'!$A$10:$A$10000,0)+1,I$1))</f>
        <v>15.854502552494266</v>
      </c>
      <c r="J18" s="63">
        <f>INDEX('Table S3 Literature Values'!$A$10:$AV$10000,MATCH($C18,'Table S3 Literature Values'!$A$10:$A$10000,0)+2,I$1)</f>
        <v>0</v>
      </c>
      <c r="K18" s="501">
        <f>IF(VLOOKUP($C18,'Table S3 Literature Values'!$A$10:$AV$10000,K$1,FALSE)=0,VLOOKUP($C18,'Table S9 Model Derived Values'!$A$10:$AV$10000,K$1,FALSE),VLOOKUP($C18,'Table S3 Literature Values'!$A$10:$AV$10000,K$1,FALSE))</f>
        <v>0</v>
      </c>
      <c r="L18" s="61">
        <f>IF(INDEX('Table S3 Literature Values'!$A$10:$AV$10000,MATCH($C18,'Table S3 Literature Values'!$A$10:$A$10000,0)+1,L$1)=0,INDEX('Table S9 Model Derived Values'!$A$10:$AV$10000,MATCH($C18,'Table S9 Model Derived Values'!$A$10:$A$10000,0)+1,L$1),INDEX('Table S3 Literature Values'!$A$10:$AV$10000,MATCH($C18,'Table S3 Literature Values'!$A$10:$A$10000,0)+1,L$1))</f>
        <v>0</v>
      </c>
      <c r="M18" s="63">
        <f>INDEX('Table S3 Literature Values'!$A$10:$AV$10000,MATCH($C18,'Table S3 Literature Values'!$A$10:$A$10000,0)+2,L$1)</f>
        <v>0</v>
      </c>
      <c r="N18" s="501">
        <f>IF(VLOOKUP($C18,'Table S3 Literature Values'!$A$10:$AV$10000,N$1,FALSE)=0,VLOOKUP($C18,'Table S9 Model Derived Values'!$A$10:$AV$10000,N$1,FALSE),VLOOKUP($C18,'Table S3 Literature Values'!$A$10:$AV$10000,N$1,FALSE))</f>
        <v>60.8</v>
      </c>
      <c r="O18" s="61">
        <f>IF(INDEX('Table S3 Literature Values'!$A$10:$AV$10000,MATCH($C18,'Table S3 Literature Values'!$A$10:$A$10000,0)+1,O$1)=0,INDEX('Table S9 Model Derived Values'!$A$10:$AV$10000,MATCH($C18,'Table S9 Model Derived Values'!$A$10:$A$10000,0)+1,O$1),INDEX('Table S3 Literature Values'!$A$10:$AV$10000,MATCH($C18,'Table S3 Literature Values'!$A$10:$A$10000,0)+1,O$1))</f>
        <v>3.8521714938410399</v>
      </c>
      <c r="P18" s="63">
        <f>INDEX('Table S3 Literature Values'!$A$10:$AV$10000,MATCH($C18,'Table S3 Literature Values'!$A$10:$A$10000,0)+2,O$1)</f>
        <v>1</v>
      </c>
      <c r="Q18" s="501">
        <f>IF(VLOOKUP($C18,'Table S3 Literature Values'!$A$10:$AV$10000,Q$1,FALSE)=0,VLOOKUP($C18,'Table S9 Model Derived Values'!$A$10:$AV$10000,Q$1,FALSE),VLOOKUP($C18,'Table S3 Literature Values'!$A$10:$AV$10000,Q$1,FALSE))</f>
        <v>44.778869200000003</v>
      </c>
      <c r="R18" s="61">
        <f>IF(INDEX('Table S3 Literature Values'!$A$10:$AV$10000,MATCH($C18,'Table S3 Literature Values'!$A$10:$A$10000,0)+1,R$1)=0,INDEX('Table S9 Model Derived Values'!$A$10:$AV$10000,MATCH($C18,'Table S9 Model Derived Values'!$A$10:$A$10000,0)+1,R$1),INDEX('Table S3 Literature Values'!$A$10:$AV$10000,MATCH($C18,'Table S3 Literature Values'!$A$10:$A$10000,0)+1,R$1))</f>
        <v>8.3946498300548011</v>
      </c>
      <c r="S18" s="63">
        <f>INDEX('Table S3 Literature Values'!$A$10:$AV$10000,MATCH($C18,'Table S3 Literature Values'!$A$10:$A$10000,0)+2,R$1)</f>
        <v>0</v>
      </c>
      <c r="T18" s="501">
        <f>IF(VLOOKUP($C18,'Table S3 Literature Values'!$A$10:$AV$10000,T$1,FALSE)=0,VLOOKUP($C18,'Table S9 Model Derived Values'!$A$10:$AV$10000,T$1,FALSE),VLOOKUP($C18,'Table S3 Literature Values'!$A$10:$AV$10000,T$1,FALSE))</f>
        <v>-32.617588000000005</v>
      </c>
      <c r="U18" s="61">
        <f>IF(INDEX('Table S3 Literature Values'!$A$10:$AV$10000,MATCH($C18,'Table S3 Literature Values'!$A$10:$A$10000,0)+1,U$1)=0,INDEX('Table S9 Model Derived Values'!$A$10:$AV$10000,MATCH($C18,'Table S9 Model Derived Values'!$A$10:$A$10000,0)+1,U$1),INDEX('Table S3 Literature Values'!$A$10:$AV$10000,MATCH($C18,'Table S3 Literature Values'!$A$10:$A$10000,0)+1,U$1))</f>
        <v>13.380163445778521</v>
      </c>
      <c r="V18" s="63">
        <f>INDEX('Table S3 Literature Values'!$A$10:$AV$10000,MATCH($C18,'Table S3 Literature Values'!$A$10:$A$10000,0)+2,U$1)</f>
        <v>0</v>
      </c>
      <c r="W18" s="501">
        <f>IF(VLOOKUP($C18,'Table S3 Literature Values'!$A$10:$AV$10000,W$1,FALSE)=0,VLOOKUP($C18,'Table S9 Model Derived Values'!$A$10:$AV$10000,W$1,FALSE),VLOOKUP($C18,'Table S3 Literature Values'!$A$10:$AV$10000,W$1,FALSE))</f>
        <v>8.2998774637940009</v>
      </c>
      <c r="X18" s="61">
        <f>IF(INDEX('Table S3 Literature Values'!$A$10:$AV$10000,MATCH($C18,'Table S3 Literature Values'!$A$10:$A$10000,0)+1,X$1)=0,INDEX('Table S9 Model Derived Values'!$A$10:$AV$10000,MATCH($C18,'Table S9 Model Derived Values'!$A$10:$A$10000,0)+1,X$1),INDEX('Table S3 Literature Values'!$A$10:$AV$10000,MATCH($C18,'Table S3 Literature Values'!$A$10:$A$10000,0)+1,X$1))</f>
        <v>0.21370373509489388</v>
      </c>
      <c r="Y18" s="63">
        <f>INDEX('Table S3 Literature Values'!$A$10:$AV$10000,MATCH($C18,'Table S3 Literature Values'!$A$10:$A$10000,0)+2,X$1)</f>
        <v>1</v>
      </c>
      <c r="Z18" s="501">
        <f>IF(VLOOKUP($C18,'Table S3 Literature Values'!$A$10:$AV$10000,Z$1,FALSE)=0,VLOOKUP($C18,'Table S9 Model Derived Values'!$A$10:$AV$10000,Z$1,FALSE),VLOOKUP($C18,'Table S3 Literature Values'!$A$10:$AV$10000,Z$1,FALSE))</f>
        <v>4.7283799999999996</v>
      </c>
      <c r="AA18" s="61">
        <f>IF(INDEX('Table S3 Literature Values'!$A$10:$AV$10000,MATCH($C18,'Table S3 Literature Values'!$A$10:$A$10000,0)+1,AA$1)=0,INDEX('Table S9 Model Derived Values'!$A$10:$AV$10000,MATCH($C18,'Table S9 Model Derived Values'!$A$10:$A$10000,0)+1,AA$1),INDEX('Table S3 Literature Values'!$A$10:$AV$10000,MATCH($C18,'Table S3 Literature Values'!$A$10:$A$10000,0)+1,AA$1))</f>
        <v>0.87980020983999996</v>
      </c>
      <c r="AB18" s="63">
        <f>INDEX('Table S3 Literature Values'!$A$10:$AV$10000,MATCH($C18,'Table S3 Literature Values'!$A$10:$A$10000,0)+2,AA$1)</f>
        <v>0</v>
      </c>
      <c r="AC18" s="501">
        <f>IF(VLOOKUP($C18,'Table S3 Literature Values'!$A$10:$AV$10000,AC$1,FALSE)=0,VLOOKUP($C18,'Table S9 Model Derived Values'!$A$10:$AV$10000,AC$1,FALSE),VLOOKUP($C18,'Table S3 Literature Values'!$A$10:$AV$10000,AC$1,FALSE))</f>
        <v>-2.6554642753675846</v>
      </c>
      <c r="AD18" s="61">
        <f>IF(INDEX('Table S3 Literature Values'!$A$10:$AV$10000,MATCH($C18,'Table S3 Literature Values'!$A$10:$A$10000,0)+1,AD$1)=0,INDEX('Table S9 Model Derived Values'!$A$10:$AV$10000,MATCH($C18,'Table S9 Model Derived Values'!$A$10:$A$10000,0)+1,AD$1),INDEX('Table S3 Literature Values'!$A$10:$AV$10000,MATCH($C18,'Table S3 Literature Values'!$A$10:$A$10000,0)+1,AD$1))</f>
        <v>0.8794871125374687</v>
      </c>
      <c r="AE18" s="63">
        <f>INDEX('Table S3 Literature Values'!$A$10:$AV$10000,MATCH($C18,'Table S3 Literature Values'!$A$10:$A$10000,0)+2,AD$1)</f>
        <v>0</v>
      </c>
      <c r="AF18" s="501">
        <f>IF(VLOOKUP($C18,'Table S3 Literature Values'!$A$10:$AV$10000,AF$1,FALSE)=0,VLOOKUP($C18,'Table S9 Model Derived Values'!$A$10:$AV$10000,AF$1,FALSE),VLOOKUP($C18,'Table S3 Literature Values'!$A$10:$AV$10000,AF$1,FALSE))</f>
        <v>-1.4783758762335981</v>
      </c>
      <c r="AG18" s="61">
        <f>IF(INDEX('Table S3 Literature Values'!$A$10:$AV$10000,MATCH($C18,'Table S3 Literature Values'!$A$10:$A$10000,0)+1,AG$1)=0,INDEX('Table S9 Model Derived Values'!$A$10:$AV$10000,MATCH($C18,'Table S9 Model Derived Values'!$A$10:$A$10000,0)+1,AG$1),INDEX('Table S3 Literature Values'!$A$10:$AV$10000,MATCH($C18,'Table S3 Literature Values'!$A$10:$A$10000,0)+1,AG$1))</f>
        <v>0.2345655859273072</v>
      </c>
      <c r="AH18" s="63">
        <f>INDEX('Table S3 Literature Values'!$A$10:$AV$10000,MATCH($C18,'Table S3 Literature Values'!$A$10:$A$10000,0)+2,AG$1)</f>
        <v>1</v>
      </c>
      <c r="AI18" s="501">
        <f>IF(VLOOKUP($C18,'Table S3 Literature Values'!$A$10:$AV$10000,AI$1,FALSE)=0,VLOOKUP($C18,'Table S9 Model Derived Values'!$A$10:$AV$10000,AI$1,FALSE),VLOOKUP($C18,'Table S3 Literature Values'!$A$10:$AV$10000,AI$1,FALSE))</f>
        <v>-3.4299906</v>
      </c>
      <c r="AJ18" s="61">
        <f>IF(INDEX('Table S3 Literature Values'!$A$10:$AV$10000,MATCH($C18,'Table S3 Literature Values'!$A$10:$A$10000,0)+1,AJ$1)=0,INDEX('Table S9 Model Derived Values'!$A$10:$AV$10000,MATCH($C18,'Table S9 Model Derived Values'!$A$10:$A$10000,0)+1,AJ$1),INDEX('Table S3 Literature Values'!$A$10:$AV$10000,MATCH($C18,'Table S3 Literature Values'!$A$10:$A$10000,0)+1,AJ$1))</f>
        <v>0.88798572987012214</v>
      </c>
      <c r="AK18" s="63">
        <f>INDEX('Table S3 Literature Values'!$A$10:$AV$10000,MATCH($C18,'Table S3 Literature Values'!$A$10:$A$10000,0)+2,AJ$1)</f>
        <v>0</v>
      </c>
      <c r="AL18" s="501">
        <f>IF(VLOOKUP($C18,'Table S3 Literature Values'!$A$10:$AV$10000,AL$1,FALSE)=0,VLOOKUP($C18,'Table S9 Model Derived Values'!$A$10:$AV$10000,AL$1,FALSE),VLOOKUP($C18,'Table S3 Literature Values'!$A$10:$AV$10000,AL$1,FALSE))</f>
        <v>2.6880173999999988</v>
      </c>
      <c r="AM18" s="61">
        <f>IF(INDEX('Table S3 Literature Values'!$A$10:$AV$10000,MATCH($C18,'Table S3 Literature Values'!$A$10:$A$10000,0)+1,AM$1)=0,INDEX('Table S9 Model Derived Values'!$A$10:$AV$10000,MATCH($C18,'Table S9 Model Derived Values'!$A$10:$A$10000,0)+1,AM$1),INDEX('Table S3 Literature Values'!$A$10:$AV$10000,MATCH($C18,'Table S3 Literature Values'!$A$10:$A$10000,0)+1,AM$1))</f>
        <v>0.4858080727193998</v>
      </c>
      <c r="AN18" s="63">
        <f>INDEX('Table S3 Literature Values'!$A$10:$AV$10000,MATCH($C18,'Table S3 Literature Values'!$A$10:$A$10000,0)+2,AM$1)</f>
        <v>0</v>
      </c>
      <c r="AO18" s="501">
        <f>IF(VLOOKUP($C18,'Table S3 Literature Values'!$A$10:$AV$10000,AO$1,FALSE)=0,VLOOKUP($C18,'Table S9 Model Derived Values'!$A$10:$AV$10000,AO$1,FALSE),VLOOKUP($C18,'Table S3 Literature Values'!$A$10:$AV$10000,AO$1,FALSE))</f>
        <v>0</v>
      </c>
      <c r="AP18" s="61">
        <f>IF(INDEX('Table S3 Literature Values'!$A$10:$AV$10000,MATCH($C18,'Table S3 Literature Values'!$A$10:$A$10000,0)+1,AP$1)=0,INDEX('Table S9 Model Derived Values'!$A$10:$AV$10000,MATCH($C18,'Table S9 Model Derived Values'!$A$10:$A$10000,0)+1,AP$1),INDEX('Table S3 Literature Values'!$A$10:$AV$10000,MATCH($C18,'Table S3 Literature Values'!$A$10:$A$10000,0)+1,AP$1))</f>
        <v>0</v>
      </c>
      <c r="AQ18" s="63">
        <f>INDEX('Table S3 Literature Values'!$A$10:$AV$10000,MATCH($C18,'Table S3 Literature Values'!$A$10:$A$10000,0)+2,AP$1)</f>
        <v>0</v>
      </c>
      <c r="AR18" s="501">
        <f>IF(VLOOKUP($C18,'Table S3 Literature Values'!$A$10:$AV$10000,AR$1,FALSE)=0,VLOOKUP($C18,'Table S9 Model Derived Values'!$A$10:$AV$10000,AR$1,FALSE),VLOOKUP($C18,'Table S3 Literature Values'!$A$10:$AV$10000,AR$1,FALSE))</f>
        <v>159.66666666666666</v>
      </c>
      <c r="AS18" s="61">
        <f>IF(INDEX('Table S3 Literature Values'!$A$10:$AV$10000,MATCH($C18,'Table S3 Literature Values'!$A$10:$A$10000,0)+1,AS$1)=0,INDEX('Table S9 Model Derived Values'!$A$10:$AV$10000,MATCH($C18,'Table S9 Model Derived Values'!$A$10:$A$10000,0)+1,AS$1),INDEX('Table S3 Literature Values'!$A$10:$AV$10000,MATCH($C18,'Table S3 Literature Values'!$A$10:$A$10000,0)+1,AS$1))</f>
        <v>1.2583057392117916</v>
      </c>
      <c r="AT18" s="63">
        <f>INDEX('Table S3 Literature Values'!$A$10:$AV$10000,MATCH($C18,'Table S3 Literature Values'!$A$10:$A$10000,0)+2,AS$1)</f>
        <v>3</v>
      </c>
    </row>
    <row r="19" spans="1:46">
      <c r="A19" t="str">
        <f>'Table S2 Compound Identifiers'!C24</f>
        <v>NBFR</v>
      </c>
      <c r="B19">
        <f>COUNTIF($C$3:C19,"&lt;&gt;"&amp;"")</f>
        <v>17</v>
      </c>
      <c r="C19" t="str">
        <f>IF('Table S2 Compound Identifiers'!B24="","",'Table S2 Compound Identifiers'!B24)</f>
        <v>PBEB</v>
      </c>
      <c r="D19" t="str">
        <f>'Table S2 Compound Identifiers'!D24</f>
        <v>85-22-3</v>
      </c>
      <c r="E19" s="501">
        <f>IF(VLOOKUP($C19,'Table S3 Literature Values'!$A$10:$AV$10000,E$1,FALSE)=0,VLOOKUP($C19,'Table S9 Model Derived Values'!$A$10:$AV$10000,E$1,FALSE),VLOOKUP($C19,'Table S3 Literature Values'!$A$10:$AV$10000,E$1,FALSE))</f>
        <v>78.3</v>
      </c>
      <c r="F19" s="61">
        <f>IF(INDEX('Table S3 Literature Values'!$A$10:$AV$10000,MATCH($C19,'Table S3 Literature Values'!$A$10:$A$10000,0)+1,F$1)=0,INDEX('Table S9 Model Derived Values'!$A$10:$AV$10000,MATCH($C19,'Table S9 Model Derived Values'!$A$10:$A$10000,0)+1,F$1),INDEX('Table S3 Literature Values'!$A$10:$AV$10000,MATCH($C19,'Table S3 Literature Values'!$A$10:$A$10000,0)+1,F$1))</f>
        <v>5.5877556661225487</v>
      </c>
      <c r="G19" s="63">
        <f>INDEX('Table S3 Literature Values'!$A$10:$AV$10000,MATCH($C19,'Table S3 Literature Values'!$A$10:$A$10000,0)+2,F$1)</f>
        <v>1</v>
      </c>
      <c r="H19" s="501">
        <f>IF(VLOOKUP($C19,'Table S3 Literature Values'!$A$10:$AV$10000,H$1,FALSE)=0,VLOOKUP($C19,'Table S9 Model Derived Values'!$A$10:$AV$10000,H$1,FALSE),VLOOKUP($C19,'Table S3 Literature Values'!$A$10:$AV$10000,H$1,FALSE))</f>
        <v>12.626384733992026</v>
      </c>
      <c r="I19" s="61">
        <f>IF(INDEX('Table S3 Literature Values'!$A$10:$AV$10000,MATCH($C19,'Table S3 Literature Values'!$A$10:$A$10000,0)+1,I$1)=0,INDEX('Table S9 Model Derived Values'!$A$10:$AV$10000,MATCH($C19,'Table S9 Model Derived Values'!$A$10:$A$10000,0)+1,I$1),INDEX('Table S3 Literature Values'!$A$10:$AV$10000,MATCH($C19,'Table S3 Literature Values'!$A$10:$A$10000,0)+1,I$1))</f>
        <v>17.712039977149335</v>
      </c>
      <c r="J19" s="63">
        <f>INDEX('Table S3 Literature Values'!$A$10:$AV$10000,MATCH($C19,'Table S3 Literature Values'!$A$10:$A$10000,0)+2,I$1)</f>
        <v>0</v>
      </c>
      <c r="K19" s="501">
        <f>IF(VLOOKUP($C19,'Table S3 Literature Values'!$A$10:$AV$10000,K$1,FALSE)=0,VLOOKUP($C19,'Table S9 Model Derived Values'!$A$10:$AV$10000,K$1,FALSE),VLOOKUP($C19,'Table S3 Literature Values'!$A$10:$AV$10000,K$1,FALSE))</f>
        <v>0</v>
      </c>
      <c r="L19" s="61">
        <f>IF(INDEX('Table S3 Literature Values'!$A$10:$AV$10000,MATCH($C19,'Table S3 Literature Values'!$A$10:$A$10000,0)+1,L$1)=0,INDEX('Table S9 Model Derived Values'!$A$10:$AV$10000,MATCH($C19,'Table S9 Model Derived Values'!$A$10:$A$10000,0)+1,L$1),INDEX('Table S3 Literature Values'!$A$10:$AV$10000,MATCH($C19,'Table S3 Literature Values'!$A$10:$A$10000,0)+1,L$1))</f>
        <v>0</v>
      </c>
      <c r="M19" s="63">
        <f>INDEX('Table S3 Literature Values'!$A$10:$AV$10000,MATCH($C19,'Table S3 Literature Values'!$A$10:$A$10000,0)+2,L$1)</f>
        <v>0</v>
      </c>
      <c r="N19" s="501">
        <f>IF(VLOOKUP($C19,'Table S3 Literature Values'!$A$10:$AV$10000,N$1,FALSE)=0,VLOOKUP($C19,'Table S9 Model Derived Values'!$A$10:$AV$10000,N$1,FALSE),VLOOKUP($C19,'Table S3 Literature Values'!$A$10:$AV$10000,N$1,FALSE))</f>
        <v>77</v>
      </c>
      <c r="O19" s="61">
        <f>IF(INDEX('Table S3 Literature Values'!$A$10:$AV$10000,MATCH($C19,'Table S3 Literature Values'!$A$10:$A$10000,0)+1,O$1)=0,INDEX('Table S9 Model Derived Values'!$A$10:$AV$10000,MATCH($C19,'Table S9 Model Derived Values'!$A$10:$A$10000,0)+1,O$1),INDEX('Table S3 Literature Values'!$A$10:$AV$10000,MATCH($C19,'Table S3 Literature Values'!$A$10:$A$10000,0)+1,O$1))</f>
        <v>4.8785724510815802</v>
      </c>
      <c r="P19" s="63">
        <f>INDEX('Table S3 Literature Values'!$A$10:$AV$10000,MATCH($C19,'Table S3 Literature Values'!$A$10:$A$10000,0)+2,O$1)</f>
        <v>1</v>
      </c>
      <c r="Q19" s="501">
        <f>IF(VLOOKUP($C19,'Table S3 Literature Values'!$A$10:$AV$10000,Q$1,FALSE)=0,VLOOKUP($C19,'Table S9 Model Derived Values'!$A$10:$AV$10000,Q$1,FALSE),VLOOKUP($C19,'Table S3 Literature Values'!$A$10:$AV$10000,Q$1,FALSE))</f>
        <v>63.830761599999995</v>
      </c>
      <c r="R19" s="61">
        <f>IF(INDEX('Table S3 Literature Values'!$A$10:$AV$10000,MATCH($C19,'Table S3 Literature Values'!$A$10:$A$10000,0)+1,R$1)=0,INDEX('Table S9 Model Derived Values'!$A$10:$AV$10000,MATCH($C19,'Table S9 Model Derived Values'!$A$10:$A$10000,0)+1,R$1),INDEX('Table S3 Literature Values'!$A$10:$AV$10000,MATCH($C19,'Table S3 Literature Values'!$A$10:$A$10000,0)+1,R$1))</f>
        <v>11.966289046390399</v>
      </c>
      <c r="S19" s="63">
        <f>INDEX('Table S3 Literature Values'!$A$10:$AV$10000,MATCH($C19,'Table S3 Literature Values'!$A$10:$A$10000,0)+2,R$1)</f>
        <v>0</v>
      </c>
      <c r="T19" s="501">
        <f>IF(VLOOKUP($C19,'Table S3 Literature Values'!$A$10:$AV$10000,T$1,FALSE)=0,VLOOKUP($C19,'Table S9 Model Derived Values'!$A$10:$AV$10000,T$1,FALSE),VLOOKUP($C19,'Table S3 Literature Values'!$A$10:$AV$10000,T$1,FALSE))</f>
        <v>-32.895783999999992</v>
      </c>
      <c r="U19" s="61">
        <f>IF(INDEX('Table S3 Literature Values'!$A$10:$AV$10000,MATCH($C19,'Table S3 Literature Values'!$A$10:$A$10000,0)+1,U$1)=0,INDEX('Table S9 Model Derived Values'!$A$10:$AV$10000,MATCH($C19,'Table S9 Model Derived Values'!$A$10:$A$10000,0)+1,U$1),INDEX('Table S3 Literature Values'!$A$10:$AV$10000,MATCH($C19,'Table S3 Literature Values'!$A$10:$A$10000,0)+1,U$1))</f>
        <v>13.494283102632414</v>
      </c>
      <c r="V19" s="63">
        <f>INDEX('Table S3 Literature Values'!$A$10:$AV$10000,MATCH($C19,'Table S3 Literature Values'!$A$10:$A$10000,0)+2,U$1)</f>
        <v>0</v>
      </c>
      <c r="W19" s="501">
        <f>IF(VLOOKUP($C19,'Table S3 Literature Values'!$A$10:$AV$10000,W$1,FALSE)=0,VLOOKUP($C19,'Table S9 Model Derived Values'!$A$10:$AV$10000,W$1,FALSE),VLOOKUP($C19,'Table S3 Literature Values'!$A$10:$AV$10000,W$1,FALSE))</f>
        <v>9.3461858616439955</v>
      </c>
      <c r="X19" s="61">
        <f>IF(INDEX('Table S3 Literature Values'!$A$10:$AV$10000,MATCH($C19,'Table S3 Literature Values'!$A$10:$A$10000,0)+1,X$1)=0,INDEX('Table S9 Model Derived Values'!$A$10:$AV$10000,MATCH($C19,'Table S9 Model Derived Values'!$A$10:$A$10000,0)+1,X$1),INDEX('Table S3 Literature Values'!$A$10:$AV$10000,MATCH($C19,'Table S3 Literature Values'!$A$10:$A$10000,0)+1,X$1))</f>
        <v>0.11853109118167626</v>
      </c>
      <c r="Y19" s="63">
        <f>INDEX('Table S3 Literature Values'!$A$10:$AV$10000,MATCH($C19,'Table S3 Literature Values'!$A$10:$A$10000,0)+2,X$1)</f>
        <v>2</v>
      </c>
      <c r="Z19" s="501">
        <f>IF(VLOOKUP($C19,'Table S3 Literature Values'!$A$10:$AV$10000,Z$1,FALSE)=0,VLOOKUP($C19,'Table S9 Model Derived Values'!$A$10:$AV$10000,Z$1,FALSE),VLOOKUP($C19,'Table S3 Literature Values'!$A$10:$AV$10000,Z$1,FALSE))</f>
        <v>5.93241</v>
      </c>
      <c r="AA19" s="61">
        <f>IF(INDEX('Table S3 Literature Values'!$A$10:$AV$10000,MATCH($C19,'Table S3 Literature Values'!$A$10:$A$10000,0)+1,AA$1)=0,INDEX('Table S9 Model Derived Values'!$A$10:$AV$10000,MATCH($C19,'Table S9 Model Derived Values'!$A$10:$A$10000,0)+1,AA$1),INDEX('Table S3 Literature Values'!$A$10:$AV$10000,MATCH($C19,'Table S3 Literature Values'!$A$10:$A$10000,0)+1,AA$1))</f>
        <v>1.1038316638800001</v>
      </c>
      <c r="AB19" s="63">
        <f>INDEX('Table S3 Literature Values'!$A$10:$AV$10000,MATCH($C19,'Table S3 Literature Values'!$A$10:$A$10000,0)+2,AA$1)</f>
        <v>0</v>
      </c>
      <c r="AC19" s="501">
        <f>IF(VLOOKUP($C19,'Table S3 Literature Values'!$A$10:$AV$10000,AC$1,FALSE)=0,VLOOKUP($C19,'Table S9 Model Derived Values'!$A$10:$AV$10000,AC$1,FALSE),VLOOKUP($C19,'Table S3 Literature Values'!$A$10:$AV$10000,AC$1,FALSE))</f>
        <v>-2.4895292885732729</v>
      </c>
      <c r="AD19" s="61">
        <f>IF(INDEX('Table S3 Literature Values'!$A$10:$AV$10000,MATCH($C19,'Table S3 Literature Values'!$A$10:$A$10000,0)+1,AD$1)=0,INDEX('Table S9 Model Derived Values'!$A$10:$AV$10000,MATCH($C19,'Table S9 Model Derived Values'!$A$10:$A$10000,0)+1,AD$1),INDEX('Table S3 Literature Values'!$A$10:$AV$10000,MATCH($C19,'Table S3 Literature Values'!$A$10:$A$10000,0)+1,AD$1))</f>
        <v>0.82452961084617948</v>
      </c>
      <c r="AE19" s="63">
        <f>INDEX('Table S3 Literature Values'!$A$10:$AV$10000,MATCH($C19,'Table S3 Literature Values'!$A$10:$A$10000,0)+2,AD$1)</f>
        <v>0</v>
      </c>
      <c r="AF19" s="501">
        <f>IF(VLOOKUP($C19,'Table S3 Literature Values'!$A$10:$AV$10000,AF$1,FALSE)=0,VLOOKUP($C19,'Table S9 Model Derived Values'!$A$10:$AV$10000,AF$1,FALSE),VLOOKUP($C19,'Table S3 Literature Values'!$A$10:$AV$10000,AF$1,FALSE))</f>
        <v>-2.8450767105888928</v>
      </c>
      <c r="AG19" s="61">
        <f>IF(INDEX('Table S3 Literature Values'!$A$10:$AV$10000,MATCH($C19,'Table S3 Literature Values'!$A$10:$A$10000,0)+1,AG$1)=0,INDEX('Table S9 Model Derived Values'!$A$10:$AV$10000,MATCH($C19,'Table S9 Model Derived Values'!$A$10:$A$10000,0)+1,AG$1),INDEX('Table S3 Literature Values'!$A$10:$AV$10000,MATCH($C19,'Table S3 Literature Values'!$A$10:$A$10000,0)+1,AG$1))</f>
        <v>0.43122665136860511</v>
      </c>
      <c r="AH19" s="63">
        <f>INDEX('Table S3 Literature Values'!$A$10:$AV$10000,MATCH($C19,'Table S3 Literature Values'!$A$10:$A$10000,0)+2,AG$1)</f>
        <v>2</v>
      </c>
      <c r="AI19" s="501">
        <f>IF(VLOOKUP($C19,'Table S3 Literature Values'!$A$10:$AV$10000,AI$1,FALSE)=0,VLOOKUP($C19,'Table S9 Model Derived Values'!$A$10:$AV$10000,AI$1,FALSE),VLOOKUP($C19,'Table S3 Literature Values'!$A$10:$AV$10000,AI$1,FALSE))</f>
        <v>-3.6736928000000013</v>
      </c>
      <c r="AJ19" s="61">
        <f>IF(INDEX('Table S3 Literature Values'!$A$10:$AV$10000,MATCH($C19,'Table S3 Literature Values'!$A$10:$A$10000,0)+1,AJ$1)=0,INDEX('Table S9 Model Derived Values'!$A$10:$AV$10000,MATCH($C19,'Table S9 Model Derived Values'!$A$10:$A$10000,0)+1,AJ$1),INDEX('Table S3 Literature Values'!$A$10:$AV$10000,MATCH($C19,'Table S3 Literature Values'!$A$10:$A$10000,0)+1,AJ$1))</f>
        <v>0.95107747010344978</v>
      </c>
      <c r="AK19" s="63">
        <f>INDEX('Table S3 Literature Values'!$A$10:$AV$10000,MATCH($C19,'Table S3 Literature Values'!$A$10:$A$10000,0)+2,AJ$1)</f>
        <v>0</v>
      </c>
      <c r="AL19" s="501">
        <f>IF(VLOOKUP($C19,'Table S3 Literature Values'!$A$10:$AV$10000,AL$1,FALSE)=0,VLOOKUP($C19,'Table S9 Model Derived Values'!$A$10:$AV$10000,AL$1,FALSE),VLOOKUP($C19,'Table S3 Literature Values'!$A$10:$AV$10000,AL$1,FALSE))</f>
        <v>3.0130111999999984</v>
      </c>
      <c r="AM19" s="61">
        <f>IF(INDEX('Table S3 Literature Values'!$A$10:$AV$10000,MATCH($C19,'Table S3 Literature Values'!$A$10:$A$10000,0)+1,AM$1)=0,INDEX('Table S9 Model Derived Values'!$A$10:$AV$10000,MATCH($C19,'Table S9 Model Derived Values'!$A$10:$A$10000,0)+1,AM$1),INDEX('Table S3 Literature Values'!$A$10:$AV$10000,MATCH($C19,'Table S3 Literature Values'!$A$10:$A$10000,0)+1,AM$1))</f>
        <v>0.5445445271871997</v>
      </c>
      <c r="AN19" s="63">
        <f>INDEX('Table S3 Literature Values'!$A$10:$AV$10000,MATCH($C19,'Table S3 Literature Values'!$A$10:$A$10000,0)+2,AM$1)</f>
        <v>0</v>
      </c>
      <c r="AO19" s="501">
        <f>IF(VLOOKUP($C19,'Table S3 Literature Values'!$A$10:$AV$10000,AO$1,FALSE)=0,VLOOKUP($C19,'Table S9 Model Derived Values'!$A$10:$AV$10000,AO$1,FALSE),VLOOKUP($C19,'Table S3 Literature Values'!$A$10:$AV$10000,AO$1,FALSE))</f>
        <v>32.770848618244074</v>
      </c>
      <c r="AP19" s="61">
        <f>IF(INDEX('Table S3 Literature Values'!$A$10:$AV$10000,MATCH($C19,'Table S3 Literature Values'!$A$10:$A$10000,0)+1,AP$1)=0,INDEX('Table S9 Model Derived Values'!$A$10:$AV$10000,MATCH($C19,'Table S9 Model Derived Values'!$A$10:$A$10000,0)+1,AP$1),INDEX('Table S3 Literature Values'!$A$10:$AV$10000,MATCH($C19,'Table S3 Literature Values'!$A$10:$A$10000,0)+1,AP$1))</f>
        <v>2.5829860323335803</v>
      </c>
      <c r="AQ19" s="63">
        <f>INDEX('Table S3 Literature Values'!$A$10:$AV$10000,MATCH($C19,'Table S3 Literature Values'!$A$10:$A$10000,0)+2,AP$1)</f>
        <v>1</v>
      </c>
      <c r="AR19" s="501">
        <f>IF(VLOOKUP($C19,'Table S3 Literature Values'!$A$10:$AV$10000,AR$1,FALSE)=0,VLOOKUP($C19,'Table S9 Model Derived Values'!$A$10:$AV$10000,AR$1,FALSE),VLOOKUP($C19,'Table S3 Literature Values'!$A$10:$AV$10000,AR$1,FALSE))</f>
        <v>137.16666666666666</v>
      </c>
      <c r="AS19" s="61">
        <f>IF(INDEX('Table S3 Literature Values'!$A$10:$AV$10000,MATCH($C19,'Table S3 Literature Values'!$A$10:$A$10000,0)+1,AS$1)=0,INDEX('Table S9 Model Derived Values'!$A$10:$AV$10000,MATCH($C19,'Table S9 Model Derived Values'!$A$10:$A$10000,0)+1,AS$1),INDEX('Table S3 Literature Values'!$A$10:$AV$10000,MATCH($C19,'Table S3 Literature Values'!$A$10:$A$10000,0)+1,AS$1))</f>
        <v>1.2332207155790618</v>
      </c>
      <c r="AT19" s="63">
        <f>INDEX('Table S3 Literature Values'!$A$10:$AV$10000,MATCH($C19,'Table S3 Literature Values'!$A$10:$A$10000,0)+2,AS$1)</f>
        <v>3</v>
      </c>
    </row>
    <row r="20" spans="1:46">
      <c r="A20" t="str">
        <f>'Table S2 Compound Identifiers'!C25</f>
        <v>NBFR</v>
      </c>
      <c r="B20">
        <f>COUNTIF($C$3:C20,"&lt;&gt;"&amp;"")</f>
        <v>18</v>
      </c>
      <c r="C20" t="str">
        <f>IF('Table S2 Compound Identifiers'!B25="","",'Table S2 Compound Identifiers'!B25)</f>
        <v>DPTE</v>
      </c>
      <c r="D20" t="str">
        <f>'Table S2 Compound Identifiers'!D25</f>
        <v>35109-60-5</v>
      </c>
      <c r="E20" s="501">
        <f>IF(VLOOKUP($C20,'Table S3 Literature Values'!$A$10:$AV$10000,E$1,FALSE)=0,VLOOKUP($C20,'Table S9 Model Derived Values'!$A$10:$AV$10000,E$1,FALSE),VLOOKUP($C20,'Table S3 Literature Values'!$A$10:$AV$10000,E$1,FALSE))</f>
        <v>82.6</v>
      </c>
      <c r="F20" s="61">
        <f>IF(INDEX('Table S3 Literature Values'!$A$10:$AV$10000,MATCH($C20,'Table S3 Literature Values'!$A$10:$A$10000,0)+1,F$1)=0,INDEX('Table S9 Model Derived Values'!$A$10:$AV$10000,MATCH($C20,'Table S9 Model Derived Values'!$A$10:$A$10000,0)+1,F$1),INDEX('Table S3 Literature Values'!$A$10:$AV$10000,MATCH($C20,'Table S3 Literature Values'!$A$10:$A$10000,0)+1,F$1))</f>
        <v>24.183051916579956</v>
      </c>
      <c r="G20" s="63">
        <f>INDEX('Table S3 Literature Values'!$A$10:$AV$10000,MATCH($C20,'Table S3 Literature Values'!$A$10:$A$10000,0)+2,F$1)</f>
        <v>2</v>
      </c>
      <c r="H20" s="501">
        <f>IF(VLOOKUP($C20,'Table S3 Literature Values'!$A$10:$AV$10000,H$1,FALSE)=0,VLOOKUP($C20,'Table S9 Model Derived Values'!$A$10:$AV$10000,H$1,FALSE),VLOOKUP($C20,'Table S3 Literature Values'!$A$10:$AV$10000,H$1,FALSE))</f>
        <v>14.877243356439891</v>
      </c>
      <c r="I20" s="61">
        <f>IF(INDEX('Table S3 Literature Values'!$A$10:$AV$10000,MATCH($C20,'Table S3 Literature Values'!$A$10:$A$10000,0)+1,I$1)=0,INDEX('Table S9 Model Derived Values'!$A$10:$AV$10000,MATCH($C20,'Table S9 Model Derived Values'!$A$10:$A$10000,0)+1,I$1),INDEX('Table S3 Literature Values'!$A$10:$AV$10000,MATCH($C20,'Table S3 Literature Values'!$A$10:$A$10000,0)+1,I$1))</f>
        <v>20.86949943554675</v>
      </c>
      <c r="J20" s="63">
        <f>INDEX('Table S3 Literature Values'!$A$10:$AV$10000,MATCH($C20,'Table S3 Literature Values'!$A$10:$A$10000,0)+2,I$1)</f>
        <v>0</v>
      </c>
      <c r="K20" s="501">
        <f>IF(VLOOKUP($C20,'Table S3 Literature Values'!$A$10:$AV$10000,K$1,FALSE)=0,VLOOKUP($C20,'Table S9 Model Derived Values'!$A$10:$AV$10000,K$1,FALSE),VLOOKUP($C20,'Table S3 Literature Values'!$A$10:$AV$10000,K$1,FALSE))</f>
        <v>0</v>
      </c>
      <c r="L20" s="61">
        <f>IF(INDEX('Table S3 Literature Values'!$A$10:$AV$10000,MATCH($C20,'Table S3 Literature Values'!$A$10:$A$10000,0)+1,L$1)=0,INDEX('Table S9 Model Derived Values'!$A$10:$AV$10000,MATCH($C20,'Table S9 Model Derived Values'!$A$10:$A$10000,0)+1,L$1),INDEX('Table S3 Literature Values'!$A$10:$AV$10000,MATCH($C20,'Table S3 Literature Values'!$A$10:$A$10000,0)+1,L$1))</f>
        <v>0</v>
      </c>
      <c r="M20" s="63">
        <f>INDEX('Table S3 Literature Values'!$A$10:$AV$10000,MATCH($C20,'Table S3 Literature Values'!$A$10:$A$10000,0)+2,L$1)</f>
        <v>0</v>
      </c>
      <c r="N20" s="501">
        <f>IF(VLOOKUP($C20,'Table S3 Literature Values'!$A$10:$AV$10000,N$1,FALSE)=0,VLOOKUP($C20,'Table S9 Model Derived Values'!$A$10:$AV$10000,N$1,FALSE),VLOOKUP($C20,'Table S3 Literature Values'!$A$10:$AV$10000,N$1,FALSE))</f>
        <v>77.2</v>
      </c>
      <c r="O20" s="61">
        <f>IF(INDEX('Table S3 Literature Values'!$A$10:$AV$10000,MATCH($C20,'Table S3 Literature Values'!$A$10:$A$10000,0)+1,O$1)=0,INDEX('Table S9 Model Derived Values'!$A$10:$AV$10000,MATCH($C20,'Table S9 Model Derived Values'!$A$10:$A$10000,0)+1,O$1),INDEX('Table S3 Literature Values'!$A$10:$AV$10000,MATCH($C20,'Table S3 Literature Values'!$A$10:$A$10000,0)+1,O$1))</f>
        <v>4.8912440678376363</v>
      </c>
      <c r="P20" s="63">
        <f>INDEX('Table S3 Literature Values'!$A$10:$AV$10000,MATCH($C20,'Table S3 Literature Values'!$A$10:$A$10000,0)+2,O$1)</f>
        <v>1</v>
      </c>
      <c r="Q20" s="501">
        <f>IF(VLOOKUP($C20,'Table S3 Literature Values'!$A$10:$AV$10000,Q$1,FALSE)=0,VLOOKUP($C20,'Table S9 Model Derived Values'!$A$10:$AV$10000,Q$1,FALSE),VLOOKUP($C20,'Table S3 Literature Values'!$A$10:$AV$10000,Q$1,FALSE))</f>
        <v>80.419296399999993</v>
      </c>
      <c r="R20" s="61">
        <f>IF(INDEX('Table S3 Literature Values'!$A$10:$AV$10000,MATCH($C20,'Table S3 Literature Values'!$A$10:$A$10000,0)+1,R$1)=0,INDEX('Table S9 Model Derived Values'!$A$10:$AV$10000,MATCH($C20,'Table S9 Model Derived Values'!$A$10:$A$10000,0)+1,R$1),INDEX('Table S3 Literature Values'!$A$10:$AV$10000,MATCH($C20,'Table S3 Literature Values'!$A$10:$A$10000,0)+1,R$1))</f>
        <v>15.076125076811598</v>
      </c>
      <c r="S20" s="63">
        <f>INDEX('Table S3 Literature Values'!$A$10:$AV$10000,MATCH($C20,'Table S3 Literature Values'!$A$10:$A$10000,0)+2,R$1)</f>
        <v>0</v>
      </c>
      <c r="T20" s="501">
        <f>IF(VLOOKUP($C20,'Table S3 Literature Values'!$A$10:$AV$10000,T$1,FALSE)=0,VLOOKUP($C20,'Table S9 Model Derived Values'!$A$10:$AV$10000,T$1,FALSE),VLOOKUP($C20,'Table S3 Literature Values'!$A$10:$AV$10000,T$1,FALSE))</f>
        <v>-15.87223600000001</v>
      </c>
      <c r="U20" s="61">
        <f>IF(INDEX('Table S3 Literature Values'!$A$10:$AV$10000,MATCH($C20,'Table S3 Literature Values'!$A$10:$A$10000,0)+1,U$1)=0,INDEX('Table S9 Model Derived Values'!$A$10:$AV$10000,MATCH($C20,'Table S9 Model Derived Values'!$A$10:$A$10000,0)+1,U$1),INDEX('Table S3 Literature Values'!$A$10:$AV$10000,MATCH($C20,'Table S3 Literature Values'!$A$10:$A$10000,0)+1,U$1))</f>
        <v>6.5109998915299929</v>
      </c>
      <c r="V20" s="63">
        <f>INDEX('Table S3 Literature Values'!$A$10:$AV$10000,MATCH($C20,'Table S3 Literature Values'!$A$10:$A$10000,0)+2,U$1)</f>
        <v>0</v>
      </c>
      <c r="W20" s="501">
        <f>IF(VLOOKUP($C20,'Table S3 Literature Values'!$A$10:$AV$10000,W$1,FALSE)=0,VLOOKUP($C20,'Table S9 Model Derived Values'!$A$10:$AV$10000,W$1,FALSE),VLOOKUP($C20,'Table S3 Literature Values'!$A$10:$AV$10000,W$1,FALSE))</f>
        <v>8.7698145846704172</v>
      </c>
      <c r="X20" s="61">
        <f>IF(INDEX('Table S3 Literature Values'!$A$10:$AV$10000,MATCH($C20,'Table S3 Literature Values'!$A$10:$A$10000,0)+1,X$1)=0,INDEX('Table S9 Model Derived Values'!$A$10:$AV$10000,MATCH($C20,'Table S9 Model Derived Values'!$A$10:$A$10000,0)+1,X$1),INDEX('Table S3 Literature Values'!$A$10:$AV$10000,MATCH($C20,'Table S3 Literature Values'!$A$10:$A$10000,0)+1,X$1))</f>
        <v>0.22580359059626945</v>
      </c>
      <c r="Y20" s="63">
        <f>INDEX('Table S3 Literature Values'!$A$10:$AV$10000,MATCH($C20,'Table S3 Literature Values'!$A$10:$A$10000,0)+2,X$1)</f>
        <v>1</v>
      </c>
      <c r="Z20" s="501">
        <f>IF(VLOOKUP($C20,'Table S3 Literature Values'!$A$10:$AV$10000,Z$1,FALSE)=0,VLOOKUP($C20,'Table S9 Model Derived Values'!$A$10:$AV$10000,Z$1,FALSE),VLOOKUP($C20,'Table S3 Literature Values'!$A$10:$AV$10000,Z$1,FALSE))</f>
        <v>5.9713399999999996</v>
      </c>
      <c r="AA20" s="61">
        <f>IF(INDEX('Table S3 Literature Values'!$A$10:$AV$10000,MATCH($C20,'Table S3 Literature Values'!$A$10:$A$10000,0)+1,AA$1)=0,INDEX('Table S9 Model Derived Values'!$A$10:$AV$10000,MATCH($C20,'Table S9 Model Derived Values'!$A$10:$A$10000,0)+1,AA$1),INDEX('Table S3 Literature Values'!$A$10:$AV$10000,MATCH($C20,'Table S3 Literature Values'!$A$10:$A$10000,0)+1,AA$1))</f>
        <v>1.1110752911199999</v>
      </c>
      <c r="AB20" s="63">
        <f>INDEX('Table S3 Literature Values'!$A$10:$AV$10000,MATCH($C20,'Table S3 Literature Values'!$A$10:$A$10000,0)+2,AA$1)</f>
        <v>0</v>
      </c>
      <c r="AC20" s="501">
        <f>IF(VLOOKUP($C20,'Table S3 Literature Values'!$A$10:$AV$10000,AC$1,FALSE)=0,VLOOKUP($C20,'Table S9 Model Derived Values'!$A$10:$AV$10000,AC$1,FALSE),VLOOKUP($C20,'Table S3 Literature Values'!$A$10:$AV$10000,AC$1,FALSE))</f>
        <v>-4.714816937239835</v>
      </c>
      <c r="AD20" s="61">
        <f>IF(INDEX('Table S3 Literature Values'!$A$10:$AV$10000,MATCH($C20,'Table S3 Literature Values'!$A$10:$A$10000,0)+1,AD$1)=0,INDEX('Table S9 Model Derived Values'!$A$10:$AV$10000,MATCH($C20,'Table S9 Model Derived Values'!$A$10:$A$10000,0)+1,AD$1),INDEX('Table S3 Literature Values'!$A$10:$AV$10000,MATCH($C20,'Table S3 Literature Values'!$A$10:$A$10000,0)+1,AD$1))</f>
        <v>1.5615426547968962</v>
      </c>
      <c r="AE20" s="63">
        <f>INDEX('Table S3 Literature Values'!$A$10:$AV$10000,MATCH($C20,'Table S3 Literature Values'!$A$10:$A$10000,0)+2,AD$1)</f>
        <v>0</v>
      </c>
      <c r="AF20" s="501">
        <f>IF(VLOOKUP($C20,'Table S3 Literature Values'!$A$10:$AV$10000,AF$1,FALSE)=0,VLOOKUP($C20,'Table S9 Model Derived Values'!$A$10:$AV$10000,AF$1,FALSE),VLOOKUP($C20,'Table S3 Literature Values'!$A$10:$AV$10000,AF$1,FALSE))</f>
        <v>-3.8123009188630648</v>
      </c>
      <c r="AG20" s="61">
        <f>IF(INDEX('Table S3 Literature Values'!$A$10:$AV$10000,MATCH($C20,'Table S3 Literature Values'!$A$10:$A$10000,0)+1,AG$1)=0,INDEX('Table S9 Model Derived Values'!$A$10:$AV$10000,MATCH($C20,'Table S9 Model Derived Values'!$A$10:$A$10000,0)+1,AG$1),INDEX('Table S3 Literature Values'!$A$10:$AV$10000,MATCH($C20,'Table S3 Literature Values'!$A$10:$A$10000,0)+1,AG$1))</f>
        <v>0.35029939993120696</v>
      </c>
      <c r="AH20" s="63">
        <f>INDEX('Table S3 Literature Values'!$A$10:$AV$10000,MATCH($C20,'Table S3 Literature Values'!$A$10:$A$10000,0)+2,AG$1)</f>
        <v>2</v>
      </c>
      <c r="AI20" s="501">
        <f>IF(VLOOKUP($C20,'Table S3 Literature Values'!$A$10:$AV$10000,AI$1,FALSE)=0,VLOOKUP($C20,'Table S9 Model Derived Values'!$A$10:$AV$10000,AI$1,FALSE),VLOOKUP($C20,'Table S3 Literature Values'!$A$10:$AV$10000,AI$1,FALSE))</f>
        <v>-3.2845912000000013</v>
      </c>
      <c r="AJ20" s="61">
        <f>IF(INDEX('Table S3 Literature Values'!$A$10:$AV$10000,MATCH($C20,'Table S3 Literature Values'!$A$10:$A$10000,0)+1,AJ$1)=0,INDEX('Table S9 Model Derived Values'!$A$10:$AV$10000,MATCH($C20,'Table S9 Model Derived Values'!$A$10:$A$10000,0)+1,AJ$1),INDEX('Table S3 Literature Values'!$A$10:$AV$10000,MATCH($C20,'Table S3 Literature Values'!$A$10:$A$10000,0)+1,AJ$1))</f>
        <v>0.85034347151184075</v>
      </c>
      <c r="AK20" s="63">
        <f>INDEX('Table S3 Literature Values'!$A$10:$AV$10000,MATCH($C20,'Table S3 Literature Values'!$A$10:$A$10000,0)+2,AJ$1)</f>
        <v>0</v>
      </c>
      <c r="AL20" s="501">
        <f>IF(VLOOKUP($C20,'Table S3 Literature Values'!$A$10:$AV$10000,AL$1,FALSE)=0,VLOOKUP($C20,'Table S9 Model Derived Values'!$A$10:$AV$10000,AL$1,FALSE),VLOOKUP($C20,'Table S3 Literature Values'!$A$10:$AV$10000,AL$1,FALSE))</f>
        <v>2.3636247999999984</v>
      </c>
      <c r="AM20" s="61">
        <f>IF(INDEX('Table S3 Literature Values'!$A$10:$AV$10000,MATCH($C20,'Table S3 Literature Values'!$A$10:$A$10000,0)+1,AM$1)=0,INDEX('Table S9 Model Derived Values'!$A$10:$AV$10000,MATCH($C20,'Table S9 Model Derived Values'!$A$10:$A$10000,0)+1,AM$1),INDEX('Table S3 Literature Values'!$A$10:$AV$10000,MATCH($C20,'Table S3 Literature Values'!$A$10:$A$10000,0)+1,AM$1))</f>
        <v>0.42718027372879974</v>
      </c>
      <c r="AN20" s="63">
        <f>INDEX('Table S3 Literature Values'!$A$10:$AV$10000,MATCH($C20,'Table S3 Literature Values'!$A$10:$A$10000,0)+2,AM$1)</f>
        <v>0</v>
      </c>
      <c r="AO20" s="501">
        <f>IF(VLOOKUP($C20,'Table S3 Literature Values'!$A$10:$AV$10000,AO$1,FALSE)=0,VLOOKUP($C20,'Table S9 Model Derived Values'!$A$10:$AV$10000,AO$1,FALSE),VLOOKUP($C20,'Table S3 Literature Values'!$A$10:$AV$10000,AO$1,FALSE))</f>
        <v>8.1606630538731277</v>
      </c>
      <c r="AP20" s="61">
        <f>IF(INDEX('Table S3 Literature Values'!$A$10:$AV$10000,MATCH($C20,'Table S3 Literature Values'!$A$10:$A$10000,0)+1,AP$1)=0,INDEX('Table S9 Model Derived Values'!$A$10:$AV$10000,MATCH($C20,'Table S9 Model Derived Values'!$A$10:$A$10000,0)+1,AP$1),INDEX('Table S3 Literature Values'!$A$10:$AV$10000,MATCH($C20,'Table S3 Literature Values'!$A$10:$A$10000,0)+1,AP$1))</f>
        <v>0.64322040995301011</v>
      </c>
      <c r="AQ20" s="63">
        <f>INDEX('Table S3 Literature Values'!$A$10:$AV$10000,MATCH($C20,'Table S3 Literature Values'!$A$10:$A$10000,0)+2,AP$1)</f>
        <v>1</v>
      </c>
      <c r="AR20" s="501">
        <f>IF(VLOOKUP($C20,'Table S3 Literature Values'!$A$10:$AV$10000,AR$1,FALSE)=0,VLOOKUP($C20,'Table S9 Model Derived Values'!$A$10:$AV$10000,AR$1,FALSE),VLOOKUP($C20,'Table S3 Literature Values'!$A$10:$AV$10000,AR$1,FALSE))</f>
        <v>40.550000000000011</v>
      </c>
      <c r="AS20" s="61">
        <f>IF(INDEX('Table S3 Literature Values'!$A$10:$AV$10000,MATCH($C20,'Table S3 Literature Values'!$A$10:$A$10000,0)+1,AS$1)=0,INDEX('Table S9 Model Derived Values'!$A$10:$AV$10000,MATCH($C20,'Table S9 Model Derived Values'!$A$10:$A$10000,0)+1,AS$1),INDEX('Table S3 Literature Values'!$A$10:$AV$10000,MATCH($C20,'Table S3 Literature Values'!$A$10:$A$10000,0)+1,AS$1))</f>
        <v>1.8720198319948196</v>
      </c>
      <c r="AT20" s="63">
        <f>INDEX('Table S3 Literature Values'!$A$10:$AV$10000,MATCH($C20,'Table S3 Literature Values'!$A$10:$A$10000,0)+2,AS$1)</f>
        <v>1</v>
      </c>
    </row>
    <row r="21" spans="1:46">
      <c r="A21" t="str">
        <f>'Table S2 Compound Identifiers'!C26</f>
        <v>NBFR</v>
      </c>
      <c r="B21">
        <f>COUNTIF($C$3:C21,"&lt;&gt;"&amp;"")</f>
        <v>19</v>
      </c>
      <c r="C21" t="str">
        <f>IF('Table S2 Compound Identifiers'!B26="","",'Table S2 Compound Identifiers'!B26)</f>
        <v>β-HBCDD</v>
      </c>
      <c r="D21" t="str">
        <f>'Table S2 Compound Identifiers'!D26</f>
        <v>134237-51-7</v>
      </c>
      <c r="E21" s="501">
        <f>IF(VLOOKUP($C21,'Table S3 Literature Values'!$A$10:$AV$10000,E$1,FALSE)=0,VLOOKUP($C21,'Table S9 Model Derived Values'!$A$10:$AV$10000,E$1,FALSE),VLOOKUP($C21,'Table S3 Literature Values'!$A$10:$AV$10000,E$1,FALSE))</f>
        <v>101</v>
      </c>
      <c r="F21" s="61">
        <f>IF(INDEX('Table S3 Literature Values'!$A$10:$AV$10000,MATCH($C21,'Table S3 Literature Values'!$A$10:$A$10000,0)+1,F$1)=0,INDEX('Table S9 Model Derived Values'!$A$10:$AV$10000,MATCH($C21,'Table S9 Model Derived Values'!$A$10:$A$10000,0)+1,F$1),INDEX('Table S3 Literature Values'!$A$10:$AV$10000,MATCH($C21,'Table S3 Literature Values'!$A$10:$A$10000,0)+1,F$1))</f>
        <v>7.2077052653688058</v>
      </c>
      <c r="G21" s="63">
        <f>INDEX('Table S3 Literature Values'!$A$10:$AV$10000,MATCH($C21,'Table S3 Literature Values'!$A$10:$A$10000,0)+2,F$1)</f>
        <v>1</v>
      </c>
      <c r="H21" s="501">
        <f>IF(VLOOKUP($C21,'Table S3 Literature Values'!$A$10:$AV$10000,H$1,FALSE)=0,VLOOKUP($C21,'Table S9 Model Derived Values'!$A$10:$AV$10000,H$1,FALSE),VLOOKUP($C21,'Table S3 Literature Values'!$A$10:$AV$10000,H$1,FALSE))</f>
        <v>11.864889399439761</v>
      </c>
      <c r="I21" s="61">
        <f>IF(INDEX('Table S3 Literature Values'!$A$10:$AV$10000,MATCH($C21,'Table S3 Literature Values'!$A$10:$A$10000,0)+1,I$1)=0,INDEX('Table S9 Model Derived Values'!$A$10:$AV$10000,MATCH($C21,'Table S9 Model Derived Values'!$A$10:$A$10000,0)+1,I$1),INDEX('Table S3 Literature Values'!$A$10:$AV$10000,MATCH($C21,'Table S3 Literature Values'!$A$10:$A$10000,0)+1,I$1))</f>
        <v>16.643829551746109</v>
      </c>
      <c r="J21" s="63">
        <f>INDEX('Table S3 Literature Values'!$A$10:$AV$10000,MATCH($C21,'Table S3 Literature Values'!$A$10:$A$10000,0)+2,I$1)</f>
        <v>0</v>
      </c>
      <c r="K21" s="501">
        <f>IF(VLOOKUP($C21,'Table S3 Literature Values'!$A$10:$AV$10000,K$1,FALSE)=0,VLOOKUP($C21,'Table S9 Model Derived Values'!$A$10:$AV$10000,K$1,FALSE),VLOOKUP($C21,'Table S3 Literature Values'!$A$10:$AV$10000,K$1,FALSE))</f>
        <v>0</v>
      </c>
      <c r="L21" s="61">
        <f>IF(INDEX('Table S3 Literature Values'!$A$10:$AV$10000,MATCH($C21,'Table S3 Literature Values'!$A$10:$A$10000,0)+1,L$1)=0,INDEX('Table S9 Model Derived Values'!$A$10:$AV$10000,MATCH($C21,'Table S9 Model Derived Values'!$A$10:$A$10000,0)+1,L$1),INDEX('Table S3 Literature Values'!$A$10:$AV$10000,MATCH($C21,'Table S3 Literature Values'!$A$10:$A$10000,0)+1,L$1))</f>
        <v>0</v>
      </c>
      <c r="M21" s="63">
        <f>INDEX('Table S3 Literature Values'!$A$10:$AV$10000,MATCH($C21,'Table S3 Literature Values'!$A$10:$A$10000,0)+2,L$1)</f>
        <v>0</v>
      </c>
      <c r="N21" s="501">
        <f>IF(VLOOKUP($C21,'Table S3 Literature Values'!$A$10:$AV$10000,N$1,FALSE)=0,VLOOKUP($C21,'Table S9 Model Derived Values'!$A$10:$AV$10000,N$1,FALSE),VLOOKUP($C21,'Table S3 Literature Values'!$A$10:$AV$10000,N$1,FALSE))</f>
        <v>-119.25054482618397</v>
      </c>
      <c r="O21" s="61">
        <f>IF(INDEX('Table S3 Literature Values'!$A$10:$AV$10000,MATCH($C21,'Table S3 Literature Values'!$A$10:$A$10000,0)+1,O$1)=0,INDEX('Table S9 Model Derived Values'!$A$10:$AV$10000,MATCH($C21,'Table S9 Model Derived Values'!$A$10:$A$10000,0)+1,O$1),INDEX('Table S3 Literature Values'!$A$10:$AV$10000,MATCH($C21,'Table S3 Literature Values'!$A$10:$A$10000,0)+1,O$1))</f>
        <v>36.890394543069668</v>
      </c>
      <c r="P21" s="63">
        <f>INDEX('Table S3 Literature Values'!$A$10:$AV$10000,MATCH($C21,'Table S3 Literature Values'!$A$10:$A$10000,0)+2,O$1)</f>
        <v>0</v>
      </c>
      <c r="Q21" s="501">
        <f>IF(VLOOKUP($C21,'Table S3 Literature Values'!$A$10:$AV$10000,Q$1,FALSE)=0,VLOOKUP($C21,'Table S9 Model Derived Values'!$A$10:$AV$10000,Q$1,FALSE),VLOOKUP($C21,'Table S3 Literature Values'!$A$10:$AV$10000,Q$1,FALSE))</f>
        <v>89.23246739999999</v>
      </c>
      <c r="R21" s="61">
        <f>IF(INDEX('Table S3 Literature Values'!$A$10:$AV$10000,MATCH($C21,'Table S3 Literature Values'!$A$10:$A$10000,0)+1,R$1)=0,INDEX('Table S9 Model Derived Values'!$A$10:$AV$10000,MATCH($C21,'Table S9 Model Derived Values'!$A$10:$A$10000,0)+1,R$1),INDEX('Table S3 Literature Values'!$A$10:$AV$10000,MATCH($C21,'Table S3 Literature Values'!$A$10:$A$10000,0)+1,R$1))</f>
        <v>16.728321431010599</v>
      </c>
      <c r="S21" s="63">
        <f>INDEX('Table S3 Literature Values'!$A$10:$AV$10000,MATCH($C21,'Table S3 Literature Values'!$A$10:$A$10000,0)+2,R$1)</f>
        <v>0</v>
      </c>
      <c r="T21" s="501">
        <f>IF(VLOOKUP($C21,'Table S3 Literature Values'!$A$10:$AV$10000,T$1,FALSE)=0,VLOOKUP($C21,'Table S9 Model Derived Values'!$A$10:$AV$10000,T$1,FALSE),VLOOKUP($C21,'Table S3 Literature Values'!$A$10:$AV$10000,T$1,FALSE))</f>
        <v>-22.4</v>
      </c>
      <c r="U21" s="61">
        <f>IF(INDEX('Table S3 Literature Values'!$A$10:$AV$10000,MATCH($C21,'Table S3 Literature Values'!$A$10:$A$10000,0)+1,U$1)=0,INDEX('Table S9 Model Derived Values'!$A$10:$AV$10000,MATCH($C21,'Table S9 Model Derived Values'!$A$10:$A$10000,0)+1,U$1),INDEX('Table S3 Literature Values'!$A$10:$AV$10000,MATCH($C21,'Table S3 Literature Values'!$A$10:$A$10000,0)+1,U$1))</f>
        <v>4.4799999999999995</v>
      </c>
      <c r="V21" s="63">
        <f>INDEX('Table S3 Literature Values'!$A$10:$AV$10000,MATCH($C21,'Table S3 Literature Values'!$A$10:$A$10000,0)+2,U$1)</f>
        <v>1</v>
      </c>
      <c r="W21" s="501">
        <f>IF(VLOOKUP($C21,'Table S3 Literature Values'!$A$10:$AV$10000,W$1,FALSE)=0,VLOOKUP($C21,'Table S9 Model Derived Values'!$A$10:$AV$10000,W$1,FALSE),VLOOKUP($C21,'Table S3 Literature Values'!$A$10:$AV$10000,W$1,FALSE))</f>
        <v>13.707361624522813</v>
      </c>
      <c r="X21" s="61">
        <f>IF(INDEX('Table S3 Literature Values'!$A$10:$AV$10000,MATCH($C21,'Table S3 Literature Values'!$A$10:$A$10000,0)+1,X$1)=0,INDEX('Table S9 Model Derived Values'!$A$10:$AV$10000,MATCH($C21,'Table S9 Model Derived Values'!$A$10:$A$10000,0)+1,X$1),INDEX('Table S3 Literature Values'!$A$10:$AV$10000,MATCH($C21,'Table S3 Literature Values'!$A$10:$A$10000,0)+1,X$1))</f>
        <v>1.2685820499455251</v>
      </c>
      <c r="Y21" s="63">
        <f>INDEX('Table S3 Literature Values'!$A$10:$AV$10000,MATCH($C21,'Table S3 Literature Values'!$A$10:$A$10000,0)+2,X$1)</f>
        <v>0</v>
      </c>
      <c r="Z21" s="501">
        <f>IF(VLOOKUP($C21,'Table S3 Literature Values'!$A$10:$AV$10000,Z$1,FALSE)=0,VLOOKUP($C21,'Table S9 Model Derived Values'!$A$10:$AV$10000,Z$1,FALSE),VLOOKUP($C21,'Table S3 Literature Values'!$A$10:$AV$10000,Z$1,FALSE))</f>
        <v>5.6</v>
      </c>
      <c r="AA21" s="61">
        <f>IF(INDEX('Table S3 Literature Values'!$A$10:$AV$10000,MATCH($C21,'Table S3 Literature Values'!$A$10:$A$10000,0)+1,AA$1)=0,INDEX('Table S9 Model Derived Values'!$A$10:$AV$10000,MATCH($C21,'Table S9 Model Derived Values'!$A$10:$A$10000,0)+1,AA$1),INDEX('Table S3 Literature Values'!$A$10:$AV$10000,MATCH($C21,'Table S3 Literature Values'!$A$10:$A$10000,0)+1,AA$1))</f>
        <v>0.268700576850888</v>
      </c>
      <c r="AB21" s="63">
        <f>INDEX('Table S3 Literature Values'!$A$10:$AV$10000,MATCH($C21,'Table S3 Literature Values'!$A$10:$A$10000,0)+2,AA$1)</f>
        <v>2</v>
      </c>
      <c r="AC21" s="501">
        <f>IF(VLOOKUP($C21,'Table S3 Literature Values'!$A$10:$AV$10000,AC$1,FALSE)=0,VLOOKUP($C21,'Table S9 Model Derived Values'!$A$10:$AV$10000,AC$1,FALSE),VLOOKUP($C21,'Table S3 Literature Values'!$A$10:$AV$10000,AC$1,FALSE))</f>
        <v>-4.1536955855693538</v>
      </c>
      <c r="AD21" s="61">
        <f>IF(INDEX('Table S3 Literature Values'!$A$10:$AV$10000,MATCH($C21,'Table S3 Literature Values'!$A$10:$A$10000,0)+1,AD$1)=0,INDEX('Table S9 Model Derived Values'!$A$10:$AV$10000,MATCH($C21,'Table S9 Model Derived Values'!$A$10:$A$10000,0)+1,AD$1),INDEX('Table S3 Literature Values'!$A$10:$AV$10000,MATCH($C21,'Table S3 Literature Values'!$A$10:$A$10000,0)+1,AD$1))</f>
        <v>1.3756998242449845</v>
      </c>
      <c r="AE21" s="63">
        <f>INDEX('Table S3 Literature Values'!$A$10:$AV$10000,MATCH($C21,'Table S3 Literature Values'!$A$10:$A$10000,0)+2,AD$1)</f>
        <v>0</v>
      </c>
      <c r="AF21" s="501">
        <f>IF(VLOOKUP($C21,'Table S3 Literature Values'!$A$10:$AV$10000,AF$1,FALSE)=0,VLOOKUP($C21,'Table S9 Model Derived Values'!$A$10:$AV$10000,AF$1,FALSE),VLOOKUP($C21,'Table S3 Literature Values'!$A$10:$AV$10000,AF$1,FALSE))</f>
        <v>-3.755444851511903</v>
      </c>
      <c r="AG21" s="61">
        <f>IF(INDEX('Table S3 Literature Values'!$A$10:$AV$10000,MATCH($C21,'Table S3 Literature Values'!$A$10:$A$10000,0)+1,AG$1)=0,INDEX('Table S9 Model Derived Values'!$A$10:$AV$10000,MATCH($C21,'Table S9 Model Derived Values'!$A$10:$A$10000,0)+1,AG$1),INDEX('Table S3 Literature Values'!$A$10:$AV$10000,MATCH($C21,'Table S3 Literature Values'!$A$10:$A$10000,0)+1,AG$1))</f>
        <v>0.59585531404693193</v>
      </c>
      <c r="AH21" s="63">
        <f>INDEX('Table S3 Literature Values'!$A$10:$AV$10000,MATCH($C21,'Table S3 Literature Values'!$A$10:$A$10000,0)+2,AG$1)</f>
        <v>1</v>
      </c>
      <c r="AI21" s="501">
        <f ca="1">IF(VLOOKUP($C21,'Table S3 Literature Values'!$A$10:$AV$10000,AI$1,FALSE)=0,VLOOKUP($C21,'Table S9 Model Derived Values'!$A$10:$AV$10000,AI$1,FALSE),VLOOKUP($C21,'Table S3 Literature Values'!$A$10:$AV$10000,AI$1,FALSE))</f>
        <v>-3.5474021302973409</v>
      </c>
      <c r="AJ21" s="61">
        <f ca="1">IF(INDEX('Table S3 Literature Values'!$A$10:$AV$10000,MATCH($C21,'Table S3 Literature Values'!$A$10:$A$10000,0)+1,AJ$1)=0,INDEX('Table S9 Model Derived Values'!$A$10:$AV$10000,MATCH($C21,'Table S9 Model Derived Values'!$A$10:$A$10000,0)+1,AJ$1),INDEX('Table S3 Literature Values'!$A$10:$AV$10000,MATCH($C21,'Table S3 Literature Values'!$A$10:$A$10000,0)+1,AJ$1))</f>
        <v>0.53026415625939816</v>
      </c>
      <c r="AK21" s="63">
        <f ca="1">INDEX('Table S3 Literature Values'!$A$10:$AV$10000,MATCH($C21,'Table S3 Literature Values'!$A$10:$A$10000,0)+2,AJ$1)</f>
        <v>2</v>
      </c>
      <c r="AL21" s="501">
        <f>IF(VLOOKUP($C21,'Table S3 Literature Values'!$A$10:$AV$10000,AL$1,FALSE)=0,VLOOKUP($C21,'Table S9 Model Derived Values'!$A$10:$AV$10000,AL$1,FALSE),VLOOKUP($C21,'Table S3 Literature Values'!$A$10:$AV$10000,AL$1,FALSE))</f>
        <v>3.0782728000000006</v>
      </c>
      <c r="AM21" s="61">
        <f>IF(INDEX('Table S3 Literature Values'!$A$10:$AV$10000,MATCH($C21,'Table S3 Literature Values'!$A$10:$A$10000,0)+1,AM$1)=0,INDEX('Table S9 Model Derived Values'!$A$10:$AV$10000,MATCH($C21,'Table S9 Model Derived Values'!$A$10:$A$10000,0)+1,AM$1),INDEX('Table S3 Literature Values'!$A$10:$AV$10000,MATCH($C21,'Table S3 Literature Values'!$A$10:$A$10000,0)+1,AM$1))</f>
        <v>0.55633932141680009</v>
      </c>
      <c r="AN21" s="63">
        <f>INDEX('Table S3 Literature Values'!$A$10:$AV$10000,MATCH($C21,'Table S3 Literature Values'!$A$10:$A$10000,0)+2,AM$1)</f>
        <v>0</v>
      </c>
      <c r="AO21" s="501">
        <f>IF(VLOOKUP($C21,'Table S3 Literature Values'!$A$10:$AV$10000,AO$1,FALSE)=0,VLOOKUP($C21,'Table S9 Model Derived Values'!$A$10:$AV$10000,AO$1,FALSE),VLOOKUP($C21,'Table S3 Literature Values'!$A$10:$AV$10000,AO$1,FALSE))</f>
        <v>0</v>
      </c>
      <c r="AP21" s="61">
        <f>IF(INDEX('Table S3 Literature Values'!$A$10:$AV$10000,MATCH($C21,'Table S3 Literature Values'!$A$10:$A$10000,0)+1,AP$1)=0,INDEX('Table S9 Model Derived Values'!$A$10:$AV$10000,MATCH($C21,'Table S9 Model Derived Values'!$A$10:$A$10000,0)+1,AP$1),INDEX('Table S3 Literature Values'!$A$10:$AV$10000,MATCH($C21,'Table S3 Literature Values'!$A$10:$A$10000,0)+1,AP$1))</f>
        <v>0</v>
      </c>
      <c r="AQ21" s="63">
        <f>INDEX('Table S3 Literature Values'!$A$10:$AV$10000,MATCH($C21,'Table S3 Literature Values'!$A$10:$A$10000,0)+2,AP$1)</f>
        <v>0</v>
      </c>
      <c r="AR21" s="501">
        <f>IF(VLOOKUP($C21,'Table S3 Literature Values'!$A$10:$AV$10000,AR$1,FALSE)=0,VLOOKUP($C21,'Table S9 Model Derived Values'!$A$10:$AV$10000,AR$1,FALSE),VLOOKUP($C21,'Table S3 Literature Values'!$A$10:$AV$10000,AR$1,FALSE))</f>
        <v>170.25</v>
      </c>
      <c r="AS21" s="61">
        <f>IF(INDEX('Table S3 Literature Values'!$A$10:$AV$10000,MATCH($C21,'Table S3 Literature Values'!$A$10:$A$10000,0)+1,AS$1)=0,INDEX('Table S9 Model Derived Values'!$A$10:$AV$10000,MATCH($C21,'Table S9 Model Derived Values'!$A$10:$A$10000,0)+1,AS$1),INDEX('Table S3 Literature Values'!$A$10:$AV$10000,MATCH($C21,'Table S3 Literature Values'!$A$10:$A$10000,0)+1,AS$1))</f>
        <v>1.0606601717798212</v>
      </c>
      <c r="AT21" s="63">
        <f>INDEX('Table S3 Literature Values'!$A$10:$AV$10000,MATCH($C21,'Table S3 Literature Values'!$A$10:$A$10000,0)+2,AS$1)</f>
        <v>2</v>
      </c>
    </row>
    <row r="22" spans="1:46">
      <c r="A22" t="str">
        <f>'Table S2 Compound Identifiers'!C27</f>
        <v>NBFR</v>
      </c>
      <c r="B22">
        <f>COUNTIF($C$3:C22,"&lt;&gt;"&amp;"")</f>
        <v>20</v>
      </c>
      <c r="C22" t="str">
        <f>IF('Table S2 Compound Identifiers'!B27="","",'Table S2 Compound Identifiers'!B27)</f>
        <v>anti-DDC-CO</v>
      </c>
      <c r="D22" t="str">
        <f>'Table S2 Compound Identifiers'!D27</f>
        <v>13560-92-4</v>
      </c>
      <c r="E22" s="501">
        <f>IF(VLOOKUP($C22,'Table S3 Literature Values'!$A$10:$AV$10000,E$1,FALSE)=0,VLOOKUP($C22,'Table S9 Model Derived Values'!$A$10:$AV$10000,E$1,FALSE),VLOOKUP($C22,'Table S3 Literature Values'!$A$10:$AV$10000,E$1,FALSE))</f>
        <v>138</v>
      </c>
      <c r="F22" s="61">
        <f>IF(INDEX('Table S3 Literature Values'!$A$10:$AV$10000,MATCH($C22,'Table S3 Literature Values'!$A$10:$A$10000,0)+1,F$1)=0,INDEX('Table S9 Model Derived Values'!$A$10:$AV$10000,MATCH($C22,'Table S9 Model Derived Values'!$A$10:$A$10000,0)+1,F$1),INDEX('Table S3 Literature Values'!$A$10:$AV$10000,MATCH($C22,'Table S3 Literature Values'!$A$10:$A$10000,0)+1,F$1))</f>
        <v>9.8481517487217349</v>
      </c>
      <c r="G22" s="63">
        <f>INDEX('Table S3 Literature Values'!$A$10:$AV$10000,MATCH($C22,'Table S3 Literature Values'!$A$10:$A$10000,0)+2,F$1)</f>
        <v>1</v>
      </c>
      <c r="H22" s="501">
        <f>IF(VLOOKUP($C22,'Table S3 Literature Values'!$A$10:$AV$10000,H$1,FALSE)=0,VLOOKUP($C22,'Table S9 Model Derived Values'!$A$10:$AV$10000,H$1,FALSE),VLOOKUP($C22,'Table S3 Literature Values'!$A$10:$AV$10000,H$1,FALSE))</f>
        <v>-0.38474256468006729</v>
      </c>
      <c r="I22" s="61">
        <f>IF(INDEX('Table S3 Literature Values'!$A$10:$AV$10000,MATCH($C22,'Table S3 Literature Values'!$A$10:$A$10000,0)+1,I$1)=0,INDEX('Table S9 Model Derived Values'!$A$10:$AV$10000,MATCH($C22,'Table S9 Model Derived Values'!$A$10:$A$10000,0)+1,I$1),INDEX('Table S3 Literature Values'!$A$10:$AV$10000,MATCH($C22,'Table S3 Literature Values'!$A$10:$A$10000,0)+1,I$1))</f>
        <v>0.53970917488190473</v>
      </c>
      <c r="J22" s="63">
        <f>INDEX('Table S3 Literature Values'!$A$10:$AV$10000,MATCH($C22,'Table S3 Literature Values'!$A$10:$A$10000,0)+2,I$1)</f>
        <v>0</v>
      </c>
      <c r="K22" s="501">
        <f>IF(VLOOKUP($C22,'Table S3 Literature Values'!$A$10:$AV$10000,K$1,FALSE)=0,VLOOKUP($C22,'Table S9 Model Derived Values'!$A$10:$AV$10000,K$1,FALSE),VLOOKUP($C22,'Table S3 Literature Values'!$A$10:$AV$10000,K$1,FALSE))</f>
        <v>0</v>
      </c>
      <c r="L22" s="61">
        <f>IF(INDEX('Table S3 Literature Values'!$A$10:$AV$10000,MATCH($C22,'Table S3 Literature Values'!$A$10:$A$10000,0)+1,L$1)=0,INDEX('Table S9 Model Derived Values'!$A$10:$AV$10000,MATCH($C22,'Table S9 Model Derived Values'!$A$10:$A$10000,0)+1,L$1),INDEX('Table S3 Literature Values'!$A$10:$AV$10000,MATCH($C22,'Table S3 Literature Values'!$A$10:$A$10000,0)+1,L$1))</f>
        <v>0</v>
      </c>
      <c r="M22" s="63">
        <f>INDEX('Table S3 Literature Values'!$A$10:$AV$10000,MATCH($C22,'Table S3 Literature Values'!$A$10:$A$10000,0)+2,L$1)</f>
        <v>0</v>
      </c>
      <c r="N22" s="501">
        <f>IF(VLOOKUP($C22,'Table S3 Literature Values'!$A$10:$AV$10000,N$1,FALSE)=0,VLOOKUP($C22,'Table S9 Model Derived Values'!$A$10:$AV$10000,N$1,FALSE),VLOOKUP($C22,'Table S3 Literature Values'!$A$10:$AV$10000,N$1,FALSE))</f>
        <v>-128.00807523036855</v>
      </c>
      <c r="O22" s="61">
        <f>IF(INDEX('Table S3 Literature Values'!$A$10:$AV$10000,MATCH($C22,'Table S3 Literature Values'!$A$10:$A$10000,0)+1,O$1)=0,INDEX('Table S9 Model Derived Values'!$A$10:$AV$10000,MATCH($C22,'Table S9 Model Derived Values'!$A$10:$A$10000,0)+1,O$1),INDEX('Table S3 Literature Values'!$A$10:$AV$10000,MATCH($C22,'Table S3 Literature Values'!$A$10:$A$10000,0)+1,O$1))</f>
        <v>39.599554088664974</v>
      </c>
      <c r="P22" s="63">
        <f>INDEX('Table S3 Literature Values'!$A$10:$AV$10000,MATCH($C22,'Table S3 Literature Values'!$A$10:$A$10000,0)+2,O$1)</f>
        <v>0</v>
      </c>
      <c r="Q22" s="501">
        <f>IF(VLOOKUP($C22,'Table S3 Literature Values'!$A$10:$AV$10000,Q$1,FALSE)=0,VLOOKUP($C22,'Table S9 Model Derived Values'!$A$10:$AV$10000,Q$1,FALSE),VLOOKUP($C22,'Table S3 Literature Values'!$A$10:$AV$10000,Q$1,FALSE))</f>
        <v>115.48447279999999</v>
      </c>
      <c r="R22" s="61">
        <f>IF(INDEX('Table S3 Literature Values'!$A$10:$AV$10000,MATCH($C22,'Table S3 Literature Values'!$A$10:$A$10000,0)+1,R$1)=0,INDEX('Table S9 Model Derived Values'!$A$10:$AV$10000,MATCH($C22,'Table S9 Model Derived Values'!$A$10:$A$10000,0)+1,R$1),INDEX('Table S3 Literature Values'!$A$10:$AV$10000,MATCH($C22,'Table S3 Literature Values'!$A$10:$A$10000,0)+1,R$1))</f>
        <v>21.649758631343197</v>
      </c>
      <c r="S22" s="63">
        <f>INDEX('Table S3 Literature Values'!$A$10:$AV$10000,MATCH($C22,'Table S3 Literature Values'!$A$10:$A$10000,0)+2,R$1)</f>
        <v>0</v>
      </c>
      <c r="T22" s="501">
        <f>IF(VLOOKUP($C22,'Table S3 Literature Values'!$A$10:$AV$10000,T$1,FALSE)=0,VLOOKUP($C22,'Table S9 Model Derived Values'!$A$10:$AV$10000,T$1,FALSE),VLOOKUP($C22,'Table S3 Literature Values'!$A$10:$AV$10000,T$1,FALSE))</f>
        <v>-31.295112</v>
      </c>
      <c r="U22" s="61">
        <f>IF(INDEX('Table S3 Literature Values'!$A$10:$AV$10000,MATCH($C22,'Table S3 Literature Values'!$A$10:$A$10000,0)+1,U$1)=0,INDEX('Table S9 Model Derived Values'!$A$10:$AV$10000,MATCH($C22,'Table S9 Model Derived Values'!$A$10:$A$10000,0)+1,U$1),INDEX('Table S3 Literature Values'!$A$10:$AV$10000,MATCH($C22,'Table S3 Literature Values'!$A$10:$A$10000,0)+1,U$1))</f>
        <v>12.8376664029831</v>
      </c>
      <c r="V22" s="63">
        <f>INDEX('Table S3 Literature Values'!$A$10:$AV$10000,MATCH($C22,'Table S3 Literature Values'!$A$10:$A$10000,0)+2,U$1)</f>
        <v>0</v>
      </c>
      <c r="W22" s="501">
        <f>IF(VLOOKUP($C22,'Table S3 Literature Values'!$A$10:$AV$10000,W$1,FALSE)=0,VLOOKUP($C22,'Table S9 Model Derived Values'!$A$10:$AV$10000,W$1,FALSE),VLOOKUP($C22,'Table S3 Literature Values'!$A$10:$AV$10000,W$1,FALSE))</f>
        <v>14.390340114716981</v>
      </c>
      <c r="X22" s="61">
        <f>IF(INDEX('Table S3 Literature Values'!$A$10:$AV$10000,MATCH($C22,'Table S3 Literature Values'!$A$10:$A$10000,0)+1,X$1)=0,INDEX('Table S9 Model Derived Values'!$A$10:$AV$10000,MATCH($C22,'Table S9 Model Derived Values'!$A$10:$A$10000,0)+1,X$1),INDEX('Table S3 Literature Values'!$A$10:$AV$10000,MATCH($C22,'Table S3 Literature Values'!$A$10:$A$10000,0)+1,X$1))</f>
        <v>1.3317900017667699</v>
      </c>
      <c r="Y22" s="63">
        <f>INDEX('Table S3 Literature Values'!$A$10:$AV$10000,MATCH($C22,'Table S3 Literature Values'!$A$10:$A$10000,0)+2,X$1)</f>
        <v>0</v>
      </c>
      <c r="Z22" s="501">
        <f>IF(VLOOKUP($C22,'Table S3 Literature Values'!$A$10:$AV$10000,Z$1,FALSE)=0,VLOOKUP($C22,'Table S9 Model Derived Values'!$A$10:$AV$10000,Z$1,FALSE),VLOOKUP($C22,'Table S3 Literature Values'!$A$10:$AV$10000,Z$1,FALSE))</f>
        <v>6.2161099999999996</v>
      </c>
      <c r="AA22" s="61">
        <f>IF(INDEX('Table S3 Literature Values'!$A$10:$AV$10000,MATCH($C22,'Table S3 Literature Values'!$A$10:$A$10000,0)+1,AA$1)=0,INDEX('Table S9 Model Derived Values'!$A$10:$AV$10000,MATCH($C22,'Table S9 Model Derived Values'!$A$10:$A$10000,0)+1,AA$1),INDEX('Table S3 Literature Values'!$A$10:$AV$10000,MATCH($C22,'Table S3 Literature Values'!$A$10:$A$10000,0)+1,AA$1))</f>
        <v>1.15661915548</v>
      </c>
      <c r="AB22" s="63">
        <f>INDEX('Table S3 Literature Values'!$A$10:$AV$10000,MATCH($C22,'Table S3 Literature Values'!$A$10:$A$10000,0)+2,AA$1)</f>
        <v>0</v>
      </c>
      <c r="AC22" s="501">
        <f>IF(VLOOKUP($C22,'Table S3 Literature Values'!$A$10:$AV$10000,AC$1,FALSE)=0,VLOOKUP($C22,'Table S9 Model Derived Values'!$A$10:$AV$10000,AC$1,FALSE),VLOOKUP($C22,'Table S3 Literature Values'!$A$10:$AV$10000,AC$1,FALSE))</f>
        <v>-3.5168734879821799</v>
      </c>
      <c r="AD22" s="61">
        <f>IF(INDEX('Table S3 Literature Values'!$A$10:$AV$10000,MATCH($C22,'Table S3 Literature Values'!$A$10:$A$10000,0)+1,AD$1)=0,INDEX('Table S9 Model Derived Values'!$A$10:$AV$10000,MATCH($C22,'Table S9 Model Derived Values'!$A$10:$A$10000,0)+1,AD$1),INDEX('Table S3 Literature Values'!$A$10:$AV$10000,MATCH($C22,'Table S3 Literature Values'!$A$10:$A$10000,0)+1,AD$1))</f>
        <v>1.16478498234621</v>
      </c>
      <c r="AE22" s="63">
        <f>INDEX('Table S3 Literature Values'!$A$10:$AV$10000,MATCH($C22,'Table S3 Literature Values'!$A$10:$A$10000,0)+2,AD$1)</f>
        <v>0</v>
      </c>
      <c r="AF22" s="501">
        <f>IF(VLOOKUP($C22,'Table S3 Literature Values'!$A$10:$AV$10000,AF$1,FALSE)=0,VLOOKUP($C22,'Table S9 Model Derived Values'!$A$10:$AV$10000,AF$1,FALSE),VLOOKUP($C22,'Table S3 Literature Values'!$A$10:$AV$10000,AF$1,FALSE))</f>
        <v>-8.7574316117610298</v>
      </c>
      <c r="AG22" s="61">
        <f>IF(INDEX('Table S3 Literature Values'!$A$10:$AV$10000,MATCH($C22,'Table S3 Literature Values'!$A$10:$A$10000,0)+1,AG$1)=0,INDEX('Table S9 Model Derived Values'!$A$10:$AV$10000,MATCH($C22,'Table S9 Model Derived Values'!$A$10:$A$10000,0)+1,AG$1),INDEX('Table S3 Literature Values'!$A$10:$AV$10000,MATCH($C22,'Table S3 Literature Values'!$A$10:$A$10000,0)+1,AG$1))</f>
        <v>1.389492422227854</v>
      </c>
      <c r="AH22" s="63">
        <f>INDEX('Table S3 Literature Values'!$A$10:$AV$10000,MATCH($C22,'Table S3 Literature Values'!$A$10:$A$10000,0)+2,AG$1)</f>
        <v>1</v>
      </c>
      <c r="AI22" s="501">
        <f>IF(VLOOKUP($C22,'Table S3 Literature Values'!$A$10:$AV$10000,AI$1,FALSE)=0,VLOOKUP($C22,'Table S9 Model Derived Values'!$A$10:$AV$10000,AI$1,FALSE),VLOOKUP($C22,'Table S3 Literature Values'!$A$10:$AV$10000,AI$1,FALSE))</f>
        <v>-8.4148834000000008</v>
      </c>
      <c r="AJ22" s="61">
        <f>IF(INDEX('Table S3 Literature Values'!$A$10:$AV$10000,MATCH($C22,'Table S3 Literature Values'!$A$10:$A$10000,0)+1,AJ$1)=0,INDEX('Table S9 Model Derived Values'!$A$10:$AV$10000,MATCH($C22,'Table S9 Model Derived Values'!$A$10:$A$10000,0)+1,AJ$1),INDEX('Table S3 Literature Values'!$A$10:$AV$10000,MATCH($C22,'Table S3 Literature Values'!$A$10:$A$10000,0)+1,AJ$1))</f>
        <v>2.1785180337581611</v>
      </c>
      <c r="AK22" s="63">
        <f>INDEX('Table S3 Literature Values'!$A$10:$AV$10000,MATCH($C22,'Table S3 Literature Values'!$A$10:$A$10000,0)+2,AJ$1)</f>
        <v>0</v>
      </c>
      <c r="AL22" s="501">
        <f>IF(VLOOKUP($C22,'Table S3 Literature Values'!$A$10:$AV$10000,AL$1,FALSE)=0,VLOOKUP($C22,'Table S9 Model Derived Values'!$A$10:$AV$10000,AL$1,FALSE),VLOOKUP($C22,'Table S3 Literature Values'!$A$10:$AV$10000,AL$1,FALSE))</f>
        <v>3.1009285999999978</v>
      </c>
      <c r="AM22" s="61">
        <f>IF(INDEX('Table S3 Literature Values'!$A$10:$AV$10000,MATCH($C22,'Table S3 Literature Values'!$A$10:$A$10000,0)+1,AM$1)=0,INDEX('Table S9 Model Derived Values'!$A$10:$AV$10000,MATCH($C22,'Table S9 Model Derived Values'!$A$10:$A$10000,0)+1,AM$1),INDEX('Table S3 Literature Values'!$A$10:$AV$10000,MATCH($C22,'Table S3 Literature Values'!$A$10:$A$10000,0)+1,AM$1))</f>
        <v>0.56043392680659965</v>
      </c>
      <c r="AN22" s="63">
        <f>INDEX('Table S3 Literature Values'!$A$10:$AV$10000,MATCH($C22,'Table S3 Literature Values'!$A$10:$A$10000,0)+2,AM$1)</f>
        <v>0</v>
      </c>
      <c r="AO22" s="501">
        <f>IF(VLOOKUP($C22,'Table S3 Literature Values'!$A$10:$AV$10000,AO$1,FALSE)=0,VLOOKUP($C22,'Table S9 Model Derived Values'!$A$10:$AV$10000,AO$1,FALSE),VLOOKUP($C22,'Table S3 Literature Values'!$A$10:$AV$10000,AO$1,FALSE))</f>
        <v>0</v>
      </c>
      <c r="AP22" s="61">
        <f>IF(INDEX('Table S3 Literature Values'!$A$10:$AV$10000,MATCH($C22,'Table S3 Literature Values'!$A$10:$A$10000,0)+1,AP$1)=0,INDEX('Table S9 Model Derived Values'!$A$10:$AV$10000,MATCH($C22,'Table S9 Model Derived Values'!$A$10:$A$10000,0)+1,AP$1),INDEX('Table S3 Literature Values'!$A$10:$AV$10000,MATCH($C22,'Table S3 Literature Values'!$A$10:$A$10000,0)+1,AP$1))</f>
        <v>0</v>
      </c>
      <c r="AQ22" s="63">
        <f>INDEX('Table S3 Literature Values'!$A$10:$AV$10000,MATCH($C22,'Table S3 Literature Values'!$A$10:$A$10000,0)+2,AP$1)</f>
        <v>0</v>
      </c>
      <c r="AR22" s="501">
        <f>IF(VLOOKUP($C22,'Table S3 Literature Values'!$A$10:$AV$10000,AR$1,FALSE)=0,VLOOKUP($C22,'Table S9 Model Derived Values'!$A$10:$AV$10000,AR$1,FALSE),VLOOKUP($C22,'Table S3 Literature Values'!$A$10:$AV$10000,AR$1,FALSE))</f>
        <v>0</v>
      </c>
      <c r="AS22" s="61">
        <f>IF(INDEX('Table S3 Literature Values'!$A$10:$AV$10000,MATCH($C22,'Table S3 Literature Values'!$A$10:$A$10000,0)+1,AS$1)=0,INDEX('Table S9 Model Derived Values'!$A$10:$AV$10000,MATCH($C22,'Table S9 Model Derived Values'!$A$10:$A$10000,0)+1,AS$1),INDEX('Table S3 Literature Values'!$A$10:$AV$10000,MATCH($C22,'Table S3 Literature Values'!$A$10:$A$10000,0)+1,AS$1))</f>
        <v>0</v>
      </c>
      <c r="AT22" s="63">
        <f>INDEX('Table S3 Literature Values'!$A$10:$AV$10000,MATCH($C22,'Table S3 Literature Values'!$A$10:$A$10000,0)+2,AS$1)</f>
        <v>0</v>
      </c>
    </row>
    <row r="23" spans="1:46">
      <c r="A23" t="str">
        <f>'Table S2 Compound Identifiers'!C28</f>
        <v>NBFR</v>
      </c>
      <c r="B23">
        <f>COUNTIF($C$3:C23,"&lt;&gt;"&amp;"")</f>
        <v>21</v>
      </c>
      <c r="C23" t="str">
        <f>IF('Table S2 Compound Identifiers'!B28="","",'Table S2 Compound Identifiers'!B28)</f>
        <v>syn-DDC-CO</v>
      </c>
      <c r="D23" t="str">
        <f>'Table S2 Compound Identifiers'!D28</f>
        <v>13560-89-9</v>
      </c>
      <c r="E23" s="501">
        <f>IF(VLOOKUP($C23,'Table S3 Literature Values'!$A$10:$AV$10000,E$1,FALSE)=0,VLOOKUP($C23,'Table S9 Model Derived Values'!$A$10:$AV$10000,E$1,FALSE),VLOOKUP($C23,'Table S3 Literature Values'!$A$10:$AV$10000,E$1,FALSE))</f>
        <v>145</v>
      </c>
      <c r="F23" s="61">
        <f>IF(INDEX('Table S3 Literature Values'!$A$10:$AV$10000,MATCH($C23,'Table S3 Literature Values'!$A$10:$A$10000,0)+1,F$1)=0,INDEX('Table S9 Model Derived Values'!$A$10:$AV$10000,MATCH($C23,'Table S9 Model Derived Values'!$A$10:$A$10000,0)+1,F$1),INDEX('Table S3 Literature Values'!$A$10:$AV$10000,MATCH($C23,'Table S3 Literature Values'!$A$10:$A$10000,0)+1,F$1))</f>
        <v>10.347695678004721</v>
      </c>
      <c r="G23" s="63">
        <f>INDEX('Table S3 Literature Values'!$A$10:$AV$10000,MATCH($C23,'Table S3 Literature Values'!$A$10:$A$10000,0)+2,F$1)</f>
        <v>1</v>
      </c>
      <c r="H23" s="501">
        <f>IF(VLOOKUP($C23,'Table S3 Literature Values'!$A$10:$AV$10000,H$1,FALSE)=0,VLOOKUP($C23,'Table S9 Model Derived Values'!$A$10:$AV$10000,H$1,FALSE),VLOOKUP($C23,'Table S3 Literature Values'!$A$10:$AV$10000,H$1,FALSE))</f>
        <v>11.186780235120139</v>
      </c>
      <c r="I23" s="61">
        <f>IF(INDEX('Table S3 Literature Values'!$A$10:$AV$10000,MATCH($C23,'Table S3 Literature Values'!$A$10:$A$10000,0)+1,I$1)=0,INDEX('Table S9 Model Derived Values'!$A$10:$AV$10000,MATCH($C23,'Table S9 Model Derived Values'!$A$10:$A$10000,0)+1,I$1),INDEX('Table S3 Literature Values'!$A$10:$AV$10000,MATCH($C23,'Table S3 Literature Values'!$A$10:$A$10000,0)+1,I$1))</f>
        <v>15.692591578221828</v>
      </c>
      <c r="J23" s="63">
        <f>INDEX('Table S3 Literature Values'!$A$10:$AV$10000,MATCH($C23,'Table S3 Literature Values'!$A$10:$A$10000,0)+2,I$1)</f>
        <v>0</v>
      </c>
      <c r="K23" s="501">
        <f>IF(VLOOKUP($C23,'Table S3 Literature Values'!$A$10:$AV$10000,K$1,FALSE)=0,VLOOKUP($C23,'Table S9 Model Derived Values'!$A$10:$AV$10000,K$1,FALSE),VLOOKUP($C23,'Table S3 Literature Values'!$A$10:$AV$10000,K$1,FALSE))</f>
        <v>0</v>
      </c>
      <c r="L23" s="61">
        <f>IF(INDEX('Table S3 Literature Values'!$A$10:$AV$10000,MATCH($C23,'Table S3 Literature Values'!$A$10:$A$10000,0)+1,L$1)=0,INDEX('Table S9 Model Derived Values'!$A$10:$AV$10000,MATCH($C23,'Table S9 Model Derived Values'!$A$10:$A$10000,0)+1,L$1),INDEX('Table S3 Literature Values'!$A$10:$AV$10000,MATCH($C23,'Table S3 Literature Values'!$A$10:$A$10000,0)+1,L$1))</f>
        <v>0</v>
      </c>
      <c r="M23" s="63">
        <f>INDEX('Table S3 Literature Values'!$A$10:$AV$10000,MATCH($C23,'Table S3 Literature Values'!$A$10:$A$10000,0)+2,L$1)</f>
        <v>0</v>
      </c>
      <c r="N23" s="501">
        <f>IF(VLOOKUP($C23,'Table S3 Literature Values'!$A$10:$AV$10000,N$1,FALSE)=0,VLOOKUP($C23,'Table S9 Model Derived Values'!$A$10:$AV$10000,N$1,FALSE),VLOOKUP($C23,'Table S3 Literature Values'!$A$10:$AV$10000,N$1,FALSE))</f>
        <v>-113.24133633098381</v>
      </c>
      <c r="O23" s="61">
        <f>IF(INDEX('Table S3 Literature Values'!$A$10:$AV$10000,MATCH($C23,'Table S3 Literature Values'!$A$10:$A$10000,0)+1,O$1)=0,INDEX('Table S9 Model Derived Values'!$A$10:$AV$10000,MATCH($C23,'Table S9 Model Derived Values'!$A$10:$A$10000,0)+1,O$1),INDEX('Table S3 Literature Values'!$A$10:$AV$10000,MATCH($C23,'Table S3 Literature Values'!$A$10:$A$10000,0)+1,O$1))</f>
        <v>35.031433876662504</v>
      </c>
      <c r="P23" s="63">
        <f>INDEX('Table S3 Literature Values'!$A$10:$AV$10000,MATCH($C23,'Table S3 Literature Values'!$A$10:$A$10000,0)+2,O$1)</f>
        <v>0</v>
      </c>
      <c r="Q23" s="501">
        <f>IF(VLOOKUP($C23,'Table S3 Literature Values'!$A$10:$AV$10000,Q$1,FALSE)=0,VLOOKUP($C23,'Table S9 Model Derived Values'!$A$10:$AV$10000,Q$1,FALSE),VLOOKUP($C23,'Table S3 Literature Values'!$A$10:$AV$10000,Q$1,FALSE))</f>
        <v>115.48447279999999</v>
      </c>
      <c r="R23" s="61">
        <f>IF(INDEX('Table S3 Literature Values'!$A$10:$AV$10000,MATCH($C23,'Table S3 Literature Values'!$A$10:$A$10000,0)+1,R$1)=0,INDEX('Table S9 Model Derived Values'!$A$10:$AV$10000,MATCH($C23,'Table S9 Model Derived Values'!$A$10:$A$10000,0)+1,R$1),INDEX('Table S3 Literature Values'!$A$10:$AV$10000,MATCH($C23,'Table S3 Literature Values'!$A$10:$A$10000,0)+1,R$1))</f>
        <v>21.649758631343197</v>
      </c>
      <c r="S23" s="63">
        <f>INDEX('Table S3 Literature Values'!$A$10:$AV$10000,MATCH($C23,'Table S3 Literature Values'!$A$10:$A$10000,0)+2,R$1)</f>
        <v>0</v>
      </c>
      <c r="T23" s="501">
        <f>IF(VLOOKUP($C23,'Table S3 Literature Values'!$A$10:$AV$10000,T$1,FALSE)=0,VLOOKUP($C23,'Table S9 Model Derived Values'!$A$10:$AV$10000,T$1,FALSE),VLOOKUP($C23,'Table S3 Literature Values'!$A$10:$AV$10000,T$1,FALSE))</f>
        <v>-31.295112</v>
      </c>
      <c r="U23" s="61">
        <f>IF(INDEX('Table S3 Literature Values'!$A$10:$AV$10000,MATCH($C23,'Table S3 Literature Values'!$A$10:$A$10000,0)+1,U$1)=0,INDEX('Table S9 Model Derived Values'!$A$10:$AV$10000,MATCH($C23,'Table S9 Model Derived Values'!$A$10:$A$10000,0)+1,U$1),INDEX('Table S3 Literature Values'!$A$10:$AV$10000,MATCH($C23,'Table S3 Literature Values'!$A$10:$A$10000,0)+1,U$1))</f>
        <v>12.8376664029831</v>
      </c>
      <c r="V23" s="63">
        <f>INDEX('Table S3 Literature Values'!$A$10:$AV$10000,MATCH($C23,'Table S3 Literature Values'!$A$10:$A$10000,0)+2,U$1)</f>
        <v>0</v>
      </c>
      <c r="W23" s="501">
        <f>IF(VLOOKUP($C23,'Table S3 Literature Values'!$A$10:$AV$10000,W$1,FALSE)=0,VLOOKUP($C23,'Table S9 Model Derived Values'!$A$10:$AV$10000,W$1,FALSE),VLOOKUP($C23,'Table S3 Literature Values'!$A$10:$AV$10000,W$1,FALSE))</f>
        <v>12.908807698145912</v>
      </c>
      <c r="X23" s="61">
        <f>IF(INDEX('Table S3 Literature Values'!$A$10:$AV$10000,MATCH($C23,'Table S3 Literature Values'!$A$10:$A$10000,0)+1,X$1)=0,INDEX('Table S9 Model Derived Values'!$A$10:$AV$10000,MATCH($C23,'Table S9 Model Derived Values'!$A$10:$A$10000,0)+1,X$1),INDEX('Table S3 Literature Values'!$A$10:$AV$10000,MATCH($C23,'Table S3 Literature Values'!$A$10:$A$10000,0)+1,X$1))</f>
        <v>1.1946778804441589</v>
      </c>
      <c r="Y23" s="63">
        <f>INDEX('Table S3 Literature Values'!$A$10:$AV$10000,MATCH($C23,'Table S3 Literature Values'!$A$10:$A$10000,0)+2,X$1)</f>
        <v>0</v>
      </c>
      <c r="Z23" s="501">
        <f>IF(VLOOKUP($C23,'Table S3 Literature Values'!$A$10:$AV$10000,Z$1,FALSE)=0,VLOOKUP($C23,'Table S9 Model Derived Values'!$A$10:$AV$10000,Z$1,FALSE),VLOOKUP($C23,'Table S3 Literature Values'!$A$10:$AV$10000,Z$1,FALSE))</f>
        <v>6.2161099999999996</v>
      </c>
      <c r="AA23" s="61">
        <f>IF(INDEX('Table S3 Literature Values'!$A$10:$AV$10000,MATCH($C23,'Table S3 Literature Values'!$A$10:$A$10000,0)+1,AA$1)=0,INDEX('Table S9 Model Derived Values'!$A$10:$AV$10000,MATCH($C23,'Table S9 Model Derived Values'!$A$10:$A$10000,0)+1,AA$1),INDEX('Table S3 Literature Values'!$A$10:$AV$10000,MATCH($C23,'Table S3 Literature Values'!$A$10:$A$10000,0)+1,AA$1))</f>
        <v>1.15661915548</v>
      </c>
      <c r="AB23" s="63">
        <f>INDEX('Table S3 Literature Values'!$A$10:$AV$10000,MATCH($C23,'Table S3 Literature Values'!$A$10:$A$10000,0)+2,AA$1)</f>
        <v>0</v>
      </c>
      <c r="AC23" s="501">
        <f>IF(VLOOKUP($C23,'Table S3 Literature Values'!$A$10:$AV$10000,AC$1,FALSE)=0,VLOOKUP($C23,'Table S9 Model Derived Values'!$A$10:$AV$10000,AC$1,FALSE),VLOOKUP($C23,'Table S3 Literature Values'!$A$10:$AV$10000,AC$1,FALSE))</f>
        <v>-3.5168734879821799</v>
      </c>
      <c r="AD23" s="61">
        <f>IF(INDEX('Table S3 Literature Values'!$A$10:$AV$10000,MATCH($C23,'Table S3 Literature Values'!$A$10:$A$10000,0)+1,AD$1)=0,INDEX('Table S9 Model Derived Values'!$A$10:$AV$10000,MATCH($C23,'Table S9 Model Derived Values'!$A$10:$A$10000,0)+1,AD$1),INDEX('Table S3 Literature Values'!$A$10:$AV$10000,MATCH($C23,'Table S3 Literature Values'!$A$10:$A$10000,0)+1,AD$1))</f>
        <v>1.16478498234621</v>
      </c>
      <c r="AE23" s="63">
        <f>INDEX('Table S3 Literature Values'!$A$10:$AV$10000,MATCH($C23,'Table S3 Literature Values'!$A$10:$A$10000,0)+2,AD$1)</f>
        <v>0</v>
      </c>
      <c r="AF23" s="501">
        <f>IF(VLOOKUP($C23,'Table S3 Literature Values'!$A$10:$AV$10000,AF$1,FALSE)=0,VLOOKUP($C23,'Table S9 Model Derived Values'!$A$10:$AV$10000,AF$1,FALSE),VLOOKUP($C23,'Table S3 Literature Values'!$A$10:$AV$10000,AF$1,FALSE))</f>
        <v>-9.1887291340467172</v>
      </c>
      <c r="AG23" s="61">
        <f>IF(INDEX('Table S3 Literature Values'!$A$10:$AV$10000,MATCH($C23,'Table S3 Literature Values'!$A$10:$A$10000,0)+1,AG$1)=0,INDEX('Table S9 Model Derived Values'!$A$10:$AV$10000,MATCH($C23,'Table S9 Model Derived Values'!$A$10:$A$10000,0)+1,AG$1),INDEX('Table S3 Literature Values'!$A$10:$AV$10000,MATCH($C23,'Table S3 Literature Values'!$A$10:$A$10000,0)+1,AG$1))</f>
        <v>1.4579239744807755</v>
      </c>
      <c r="AH23" s="63">
        <f>INDEX('Table S3 Literature Values'!$A$10:$AV$10000,MATCH($C23,'Table S3 Literature Values'!$A$10:$A$10000,0)+2,AG$1)</f>
        <v>1</v>
      </c>
      <c r="AI23" s="501">
        <f>IF(VLOOKUP($C23,'Table S3 Literature Values'!$A$10:$AV$10000,AI$1,FALSE)=0,VLOOKUP($C23,'Table S9 Model Derived Values'!$A$10:$AV$10000,AI$1,FALSE),VLOOKUP($C23,'Table S3 Literature Values'!$A$10:$AV$10000,AI$1,FALSE))</f>
        <v>-11.17626232745083</v>
      </c>
      <c r="AJ23" s="61">
        <f>IF(INDEX('Table S3 Literature Values'!$A$10:$AV$10000,MATCH($C23,'Table S3 Literature Values'!$A$10:$A$10000,0)+1,AJ$1)=0,INDEX('Table S9 Model Derived Values'!$A$10:$AV$10000,MATCH($C23,'Table S9 Model Derived Values'!$A$10:$A$10000,0)+1,AJ$1),INDEX('Table S3 Literature Values'!$A$10:$AV$10000,MATCH($C23,'Table S3 Literature Values'!$A$10:$A$10000,0)+1,AJ$1))</f>
        <v>3.3528786982352492</v>
      </c>
      <c r="AK23" s="63">
        <f>INDEX('Table S3 Literature Values'!$A$10:$AV$10000,MATCH($C23,'Table S3 Literature Values'!$A$10:$A$10000,0)+2,AJ$1)</f>
        <v>1</v>
      </c>
      <c r="AL23" s="501">
        <f>IF(VLOOKUP($C23,'Table S3 Literature Values'!$A$10:$AV$10000,AL$1,FALSE)=0,VLOOKUP($C23,'Table S9 Model Derived Values'!$A$10:$AV$10000,AL$1,FALSE),VLOOKUP($C23,'Table S3 Literature Values'!$A$10:$AV$10000,AL$1,FALSE))</f>
        <v>3.1009285999999978</v>
      </c>
      <c r="AM23" s="61">
        <f>IF(INDEX('Table S3 Literature Values'!$A$10:$AV$10000,MATCH($C23,'Table S3 Literature Values'!$A$10:$A$10000,0)+1,AM$1)=0,INDEX('Table S9 Model Derived Values'!$A$10:$AV$10000,MATCH($C23,'Table S9 Model Derived Values'!$A$10:$A$10000,0)+1,AM$1),INDEX('Table S3 Literature Values'!$A$10:$AV$10000,MATCH($C23,'Table S3 Literature Values'!$A$10:$A$10000,0)+1,AM$1))</f>
        <v>0.56043392680659965</v>
      </c>
      <c r="AN23" s="63">
        <f>INDEX('Table S3 Literature Values'!$A$10:$AV$10000,MATCH($C23,'Table S3 Literature Values'!$A$10:$A$10000,0)+2,AM$1)</f>
        <v>0</v>
      </c>
      <c r="AO23" s="501">
        <f>IF(VLOOKUP($C23,'Table S3 Literature Values'!$A$10:$AV$10000,AO$1,FALSE)=0,VLOOKUP($C23,'Table S9 Model Derived Values'!$A$10:$AV$10000,AO$1,FALSE),VLOOKUP($C23,'Table S3 Literature Values'!$A$10:$AV$10000,AO$1,FALSE))</f>
        <v>0</v>
      </c>
      <c r="AP23" s="61">
        <f>IF(INDEX('Table S3 Literature Values'!$A$10:$AV$10000,MATCH($C23,'Table S3 Literature Values'!$A$10:$A$10000,0)+1,AP$1)=0,INDEX('Table S9 Model Derived Values'!$A$10:$AV$10000,MATCH($C23,'Table S9 Model Derived Values'!$A$10:$A$10000,0)+1,AP$1),INDEX('Table S3 Literature Values'!$A$10:$AV$10000,MATCH($C23,'Table S3 Literature Values'!$A$10:$A$10000,0)+1,AP$1))</f>
        <v>0</v>
      </c>
      <c r="AQ23" s="63">
        <f>INDEX('Table S3 Literature Values'!$A$10:$AV$10000,MATCH($C23,'Table S3 Literature Values'!$A$10:$A$10000,0)+2,AP$1)</f>
        <v>0</v>
      </c>
      <c r="AR23" s="501">
        <f>IF(VLOOKUP($C23,'Table S3 Literature Values'!$A$10:$AV$10000,AR$1,FALSE)=0,VLOOKUP($C23,'Table S9 Model Derived Values'!$A$10:$AV$10000,AR$1,FALSE),VLOOKUP($C23,'Table S3 Literature Values'!$A$10:$AV$10000,AR$1,FALSE))</f>
        <v>380</v>
      </c>
      <c r="AS23" s="61">
        <f>IF(INDEX('Table S3 Literature Values'!$A$10:$AV$10000,MATCH($C23,'Table S3 Literature Values'!$A$10:$A$10000,0)+1,AS$1)=0,INDEX('Table S9 Model Derived Values'!$A$10:$AV$10000,MATCH($C23,'Table S9 Model Derived Values'!$A$10:$A$10000,0)+1,AS$1),INDEX('Table S3 Literature Values'!$A$10:$AV$10000,MATCH($C23,'Table S3 Literature Values'!$A$10:$A$10000,0)+1,AS$1))</f>
        <v>114</v>
      </c>
      <c r="AT23" s="63">
        <f>INDEX('Table S3 Literature Values'!$A$10:$AV$10000,MATCH($C23,'Table S3 Literature Values'!$A$10:$A$10000,0)+2,AS$1)</f>
        <v>1</v>
      </c>
    </row>
    <row r="24" spans="1:46">
      <c r="A24" t="str">
        <f>'Table S2 Compound Identifiers'!C29</f>
        <v>OCP</v>
      </c>
      <c r="B24">
        <f>COUNTIF($C$3:C24,"&lt;&gt;"&amp;"")</f>
        <v>22</v>
      </c>
      <c r="C24" t="str">
        <f>IF('Table S2 Compound Identifiers'!B29="","",'Table S2 Compound Identifiers'!B29)</f>
        <v>p,p'- DDE</v>
      </c>
      <c r="D24" t="str">
        <f>'Table S2 Compound Identifiers'!D29</f>
        <v>72-55-9</v>
      </c>
      <c r="E24" s="501">
        <f>IF(VLOOKUP($C24,'Table S3 Literature Values'!$A$10:$AV$10000,E$1,FALSE)=0,VLOOKUP($C24,'Table S9 Model Derived Values'!$A$10:$AV$10000,E$1,FALSE),VLOOKUP($C24,'Table S3 Literature Values'!$A$10:$AV$10000,E$1,FALSE))</f>
        <v>84.568750000000009</v>
      </c>
      <c r="F24" s="61">
        <f>IF(INDEX('Table S3 Literature Values'!$A$10:$AV$10000,MATCH($C24,'Table S3 Literature Values'!$A$10:$A$10000,0)+1,F$1)=0,INDEX('Table S9 Model Derived Values'!$A$10:$AV$10000,MATCH($C24,'Table S9 Model Derived Values'!$A$10:$A$10000,0)+1,F$1),INDEX('Table S3 Literature Values'!$A$10:$AV$10000,MATCH($C24,'Table S3 Literature Values'!$A$10:$A$10000,0)+1,F$1))</f>
        <v>2.7668327711181484</v>
      </c>
      <c r="G24" s="63">
        <f>INDEX('Table S3 Literature Values'!$A$10:$AV$10000,MATCH($C24,'Table S3 Literature Values'!$A$10:$A$10000,0)+2,F$1)</f>
        <v>4</v>
      </c>
      <c r="H24" s="501">
        <f>IF(VLOOKUP($C24,'Table S3 Literature Values'!$A$10:$AV$10000,H$1,FALSE)=0,VLOOKUP($C24,'Table S9 Model Derived Values'!$A$10:$AV$10000,H$1,FALSE),VLOOKUP($C24,'Table S3 Literature Values'!$A$10:$AV$10000,H$1,FALSE))</f>
        <v>32.782409563371495</v>
      </c>
      <c r="I24" s="61">
        <f>IF(INDEX('Table S3 Literature Values'!$A$10:$AV$10000,MATCH($C24,'Table S3 Literature Values'!$A$10:$A$10000,0)+1,I$1)=0,INDEX('Table S9 Model Derived Values'!$A$10:$AV$10000,MATCH($C24,'Table S9 Model Derived Values'!$A$10:$A$10000,0)+1,I$1),INDEX('Table S3 Literature Values'!$A$10:$AV$10000,MATCH($C24,'Table S3 Literature Values'!$A$10:$A$10000,0)+1,I$1))</f>
        <v>6.5564819126742995</v>
      </c>
      <c r="J24" s="63">
        <f>INDEX('Table S3 Literature Values'!$A$10:$AV$10000,MATCH($C24,'Table S3 Literature Values'!$A$10:$A$10000,0)+2,I$1)</f>
        <v>1</v>
      </c>
      <c r="K24" s="501">
        <f>IF(VLOOKUP($C24,'Table S3 Literature Values'!$A$10:$AV$10000,K$1,FALSE)=0,VLOOKUP($C24,'Table S9 Model Derived Values'!$A$10:$AV$10000,K$1,FALSE),VLOOKUP($C24,'Table S3 Literature Values'!$A$10:$AV$10000,K$1,FALSE))</f>
        <v>-8.4189731462477848</v>
      </c>
      <c r="L24" s="61">
        <f>IF(INDEX('Table S3 Literature Values'!$A$10:$AV$10000,MATCH($C24,'Table S3 Literature Values'!$A$10:$A$10000,0)+1,L$1)=0,INDEX('Table S9 Model Derived Values'!$A$10:$AV$10000,MATCH($C24,'Table S9 Model Derived Values'!$A$10:$A$10000,0)+1,L$1),INDEX('Table S3 Literature Values'!$A$10:$AV$10000,MATCH($C24,'Table S3 Literature Values'!$A$10:$A$10000,0)+1,L$1))</f>
        <v>1.6837946292495571</v>
      </c>
      <c r="M24" s="63">
        <f>INDEX('Table S3 Literature Values'!$A$10:$AV$10000,MATCH($C24,'Table S3 Literature Values'!$A$10:$A$10000,0)+2,L$1)</f>
        <v>1</v>
      </c>
      <c r="N24" s="501">
        <f>IF(VLOOKUP($C24,'Table S3 Literature Values'!$A$10:$AV$10000,N$1,FALSE)=0,VLOOKUP($C24,'Table S9 Model Derived Values'!$A$10:$AV$10000,N$1,FALSE),VLOOKUP($C24,'Table S3 Literature Values'!$A$10:$AV$10000,N$1,FALSE))</f>
        <v>81.75</v>
      </c>
      <c r="O24" s="61">
        <f>IF(INDEX('Table S3 Literature Values'!$A$10:$AV$10000,MATCH($C24,'Table S3 Literature Values'!$A$10:$A$10000,0)+1,O$1)=0,INDEX('Table S9 Model Derived Values'!$A$10:$AV$10000,MATCH($C24,'Table S9 Model Derived Values'!$A$10:$A$10000,0)+1,O$1),INDEX('Table S3 Literature Values'!$A$10:$AV$10000,MATCH($C24,'Table S3 Literature Values'!$A$10:$A$10000,0)+1,O$1))</f>
        <v>2.8991378028648409</v>
      </c>
      <c r="P24" s="63">
        <f>INDEX('Table S3 Literature Values'!$A$10:$AV$10000,MATCH($C24,'Table S3 Literature Values'!$A$10:$A$10000,0)+2,O$1)</f>
        <v>2</v>
      </c>
      <c r="Q24" s="501">
        <f>IF(VLOOKUP($C24,'Table S3 Literature Values'!$A$10:$AV$10000,Q$1,FALSE)=0,VLOOKUP($C24,'Table S9 Model Derived Values'!$A$10:$AV$10000,Q$1,FALSE),VLOOKUP($C24,'Table S3 Literature Values'!$A$10:$AV$10000,Q$1,FALSE))</f>
        <v>39.308999999999997</v>
      </c>
      <c r="R24" s="61">
        <f>IF(INDEX('Table S3 Literature Values'!$A$10:$AV$10000,MATCH($C24,'Table S3 Literature Values'!$A$10:$A$10000,0)+1,R$1)=0,INDEX('Table S9 Model Derived Values'!$A$10:$AV$10000,MATCH($C24,'Table S9 Model Derived Values'!$A$10:$A$10000,0)+1,R$1),INDEX('Table S3 Literature Values'!$A$10:$AV$10000,MATCH($C24,'Table S3 Literature Values'!$A$10:$A$10000,0)+1,R$1))</f>
        <v>3.6769552621700443</v>
      </c>
      <c r="S24" s="63">
        <f>INDEX('Table S3 Literature Values'!$A$10:$AV$10000,MATCH($C24,'Table S3 Literature Values'!$A$10:$A$10000,0)+2,R$1)</f>
        <v>2</v>
      </c>
      <c r="T24" s="501">
        <f>IF(VLOOKUP($C24,'Table S3 Literature Values'!$A$10:$AV$10000,T$1,FALSE)=0,VLOOKUP($C24,'Table S9 Model Derived Values'!$A$10:$AV$10000,T$1,FALSE),VLOOKUP($C24,'Table S3 Literature Values'!$A$10:$AV$10000,T$1,FALSE))</f>
        <v>-24.578272000000002</v>
      </c>
      <c r="U24" s="61">
        <f>IF(INDEX('Table S3 Literature Values'!$A$10:$AV$10000,MATCH($C24,'Table S3 Literature Values'!$A$10:$A$10000,0)+1,U$1)=0,INDEX('Table S9 Model Derived Values'!$A$10:$AV$10000,MATCH($C24,'Table S9 Model Derived Values'!$A$10:$A$10000,0)+1,U$1),INDEX('Table S3 Literature Values'!$A$10:$AV$10000,MATCH($C24,'Table S3 Literature Values'!$A$10:$A$10000,0)+1,U$1))</f>
        <v>10.082330323591117</v>
      </c>
      <c r="V24" s="63">
        <f>INDEX('Table S3 Literature Values'!$A$10:$AV$10000,MATCH($C24,'Table S3 Literature Values'!$A$10:$A$10000,0)+2,U$1)</f>
        <v>0</v>
      </c>
      <c r="W24" s="501">
        <f>IF(VLOOKUP($C24,'Table S3 Literature Values'!$A$10:$AV$10000,W$1,FALSE)=0,VLOOKUP($C24,'Table S9 Model Derived Values'!$A$10:$AV$10000,W$1,FALSE),VLOOKUP($C24,'Table S3 Literature Values'!$A$10:$AV$10000,W$1,FALSE))</f>
        <v>9.49394862833846</v>
      </c>
      <c r="X24" s="61">
        <f>IF(INDEX('Table S3 Literature Values'!$A$10:$AV$10000,MATCH($C24,'Table S3 Literature Values'!$A$10:$A$10000,0)+1,X$1)=0,INDEX('Table S9 Model Derived Values'!$A$10:$AV$10000,MATCH($C24,'Table S9 Model Derived Values'!$A$10:$A$10000,0)+1,X$1),INDEX('Table S3 Literature Values'!$A$10:$AV$10000,MATCH($C24,'Table S3 Literature Values'!$A$10:$A$10000,0)+1,X$1))</f>
        <v>0.22642182954226633</v>
      </c>
      <c r="Y24" s="63">
        <f>INDEX('Table S3 Literature Values'!$A$10:$AV$10000,MATCH($C24,'Table S3 Literature Values'!$A$10:$A$10000,0)+2,X$1)</f>
        <v>3</v>
      </c>
      <c r="Z24" s="501">
        <f>IF(VLOOKUP($C24,'Table S3 Literature Values'!$A$10:$AV$10000,Z$1,FALSE)=0,VLOOKUP($C24,'Table S9 Model Derived Values'!$A$10:$AV$10000,Z$1,FALSE),VLOOKUP($C24,'Table S3 Literature Values'!$A$10:$AV$10000,Z$1,FALSE))</f>
        <v>6.9560000000000004</v>
      </c>
      <c r="AA24" s="61">
        <f>IF(INDEX('Table S3 Literature Values'!$A$10:$AV$10000,MATCH($C24,'Table S3 Literature Values'!$A$10:$A$10000,0)+1,AA$1)=0,INDEX('Table S9 Model Derived Values'!$A$10:$AV$10000,MATCH($C24,'Table S9 Model Derived Values'!$A$10:$A$10000,0)+1,AA$1),INDEX('Table S3 Literature Values'!$A$10:$AV$10000,MATCH($C24,'Table S3 Literature Values'!$A$10:$A$10000,0)+1,AA$1))</f>
        <v>0.47155078808172524</v>
      </c>
      <c r="AB24" s="63">
        <f>INDEX('Table S3 Literature Values'!$A$10:$AV$10000,MATCH($C24,'Table S3 Literature Values'!$A$10:$A$10000,0)+2,AA$1)</f>
        <v>1</v>
      </c>
      <c r="AC24" s="501">
        <f>IF(VLOOKUP($C24,'Table S3 Literature Values'!$A$10:$AV$10000,AC$1,FALSE)=0,VLOOKUP($C24,'Table S9 Model Derived Values'!$A$10:$AV$10000,AC$1,FALSE),VLOOKUP($C24,'Table S3 Literature Values'!$A$10:$AV$10000,AC$1,FALSE))</f>
        <v>-2.7281124801669447</v>
      </c>
      <c r="AD24" s="61">
        <f>IF(INDEX('Table S3 Literature Values'!$A$10:$AV$10000,MATCH($C24,'Table S3 Literature Values'!$A$10:$A$10000,0)+1,AD$1)=0,INDEX('Table S9 Model Derived Values'!$A$10:$AV$10000,MATCH($C24,'Table S9 Model Derived Values'!$A$10:$A$10000,0)+1,AD$1),INDEX('Table S3 Literature Values'!$A$10:$AV$10000,MATCH($C24,'Table S3 Literature Values'!$A$10:$A$10000,0)+1,AD$1))</f>
        <v>0.54562249603338897</v>
      </c>
      <c r="AE24" s="63">
        <f>INDEX('Table S3 Literature Values'!$A$10:$AV$10000,MATCH($C24,'Table S3 Literature Values'!$A$10:$A$10000,0)+2,AD$1)</f>
        <v>1</v>
      </c>
      <c r="AF24" s="501">
        <f ca="1">IF(VLOOKUP($C24,'Table S3 Literature Values'!$A$10:$AV$10000,AF$1,FALSE)=0,VLOOKUP($C24,'Table S9 Model Derived Values'!$A$10:$AV$10000,AF$1,FALSE),VLOOKUP($C24,'Table S3 Literature Values'!$A$10:$AV$10000,AF$1,FALSE))</f>
        <v>-2.5790539975289355</v>
      </c>
      <c r="AG24" s="61">
        <f ca="1">IF(INDEX('Table S3 Literature Values'!$A$10:$AV$10000,MATCH($C24,'Table S3 Literature Values'!$A$10:$A$10000,0)+1,AG$1)=0,INDEX('Table S9 Model Derived Values'!$A$10:$AV$10000,MATCH($C24,'Table S9 Model Derived Values'!$A$10:$A$10000,0)+1,AG$1),INDEX('Table S3 Literature Values'!$A$10:$AV$10000,MATCH($C24,'Table S3 Literature Values'!$A$10:$A$10000,0)+1,AG$1))</f>
        <v>0.19619774377662969</v>
      </c>
      <c r="AH24" s="63">
        <f ca="1">INDEX('Table S3 Literature Values'!$A$10:$AV$10000,MATCH($C24,'Table S3 Literature Values'!$A$10:$A$10000,0)+2,AG$1)</f>
        <v>7</v>
      </c>
      <c r="AI24" s="501">
        <f ca="1">IF(VLOOKUP($C24,'Table S3 Literature Values'!$A$10:$AV$10000,AI$1,FALSE)=0,VLOOKUP($C24,'Table S9 Model Derived Values'!$A$10:$AV$10000,AI$1,FALSE),VLOOKUP($C24,'Table S3 Literature Values'!$A$10:$AV$10000,AI$1,FALSE))</f>
        <v>-3.1846505142387245</v>
      </c>
      <c r="AJ24" s="61">
        <f ca="1">IF(INDEX('Table S3 Literature Values'!$A$10:$AV$10000,MATCH($C24,'Table S3 Literature Values'!$A$10:$A$10000,0)+1,AJ$1)=0,INDEX('Table S9 Model Derived Values'!$A$10:$AV$10000,MATCH($C24,'Table S9 Model Derived Values'!$A$10:$A$10000,0)+1,AJ$1),INDEX('Table S3 Literature Values'!$A$10:$AV$10000,MATCH($C24,'Table S3 Literature Values'!$A$10:$A$10000,0)+1,AJ$1))</f>
        <v>0.36127290596858164</v>
      </c>
      <c r="AK24" s="63">
        <f ca="1">INDEX('Table S3 Literature Values'!$A$10:$AV$10000,MATCH($C24,'Table S3 Literature Values'!$A$10:$A$10000,0)+2,AJ$1)</f>
        <v>5</v>
      </c>
      <c r="AL24" s="501">
        <f ca="1">IF(VLOOKUP($C24,'Table S3 Literature Values'!$A$10:$AV$10000,AL$1,FALSE)=0,VLOOKUP($C24,'Table S9 Model Derived Values'!$A$10:$AV$10000,AL$1,FALSE),VLOOKUP($C24,'Table S3 Literature Values'!$A$10:$AV$10000,AL$1,FALSE))</f>
        <v>2.8358769443038372</v>
      </c>
      <c r="AM24" s="61">
        <f ca="1">IF(INDEX('Table S3 Literature Values'!$A$10:$AV$10000,MATCH($C24,'Table S3 Literature Values'!$A$10:$A$10000,0)+1,AM$1)=0,INDEX('Table S9 Model Derived Values'!$A$10:$AV$10000,MATCH($C24,'Table S9 Model Derived Values'!$A$10:$A$10000,0)+1,AM$1),INDEX('Table S3 Literature Values'!$A$10:$AV$10000,MATCH($C24,'Table S3 Literature Values'!$A$10:$A$10000,0)+1,AM$1))</f>
        <v>0.56717538886076746</v>
      </c>
      <c r="AN24" s="63">
        <f ca="1">INDEX('Table S3 Literature Values'!$A$10:$AV$10000,MATCH($C24,'Table S3 Literature Values'!$A$10:$A$10000,0)+2,AM$1)</f>
        <v>1</v>
      </c>
      <c r="AO24" s="501">
        <f>IF(VLOOKUP($C24,'Table S3 Literature Values'!$A$10:$AV$10000,AO$1,FALSE)=0,VLOOKUP($C24,'Table S9 Model Derived Values'!$A$10:$AV$10000,AO$1,FALSE),VLOOKUP($C24,'Table S3 Literature Values'!$A$10:$AV$10000,AO$1,FALSE))</f>
        <v>65.848126363730174</v>
      </c>
      <c r="AP24" s="61">
        <f>IF(INDEX('Table S3 Literature Values'!$A$10:$AV$10000,MATCH($C24,'Table S3 Literature Values'!$A$10:$A$10000,0)+1,AP$1)=0,INDEX('Table S9 Model Derived Values'!$A$10:$AV$10000,MATCH($C24,'Table S9 Model Derived Values'!$A$10:$A$10000,0)+1,AP$1),INDEX('Table S3 Literature Values'!$A$10:$AV$10000,MATCH($C24,'Table S3 Literature Values'!$A$10:$A$10000,0)+1,AP$1))</f>
        <v>0.86935111572526058</v>
      </c>
      <c r="AQ24" s="63">
        <f>INDEX('Table S3 Literature Values'!$A$10:$AV$10000,MATCH($C24,'Table S3 Literature Values'!$A$10:$A$10000,0)+2,AP$1)</f>
        <v>3</v>
      </c>
      <c r="AR24" s="501">
        <f>IF(VLOOKUP($C24,'Table S3 Literature Values'!$A$10:$AV$10000,AR$1,FALSE)=0,VLOOKUP($C24,'Table S9 Model Derived Values'!$A$10:$AV$10000,AR$1,FALSE),VLOOKUP($C24,'Table S3 Literature Values'!$A$10:$AV$10000,AR$1,FALSE))</f>
        <v>88.638000000000005</v>
      </c>
      <c r="AS24" s="61">
        <f>IF(INDEX('Table S3 Literature Values'!$A$10:$AV$10000,MATCH($C24,'Table S3 Literature Values'!$A$10:$A$10000,0)+1,AS$1)=0,INDEX('Table S9 Model Derived Values'!$A$10:$AV$10000,MATCH($C24,'Table S9 Model Derived Values'!$A$10:$A$10000,0)+1,AS$1),INDEX('Table S3 Literature Values'!$A$10:$AV$10000,MATCH($C24,'Table S3 Literature Values'!$A$10:$A$10000,0)+1,AS$1))</f>
        <v>0.92923086474782779</v>
      </c>
      <c r="AT24" s="63">
        <f>INDEX('Table S3 Literature Values'!$A$10:$AV$10000,MATCH($C24,'Table S3 Literature Values'!$A$10:$A$10000,0)+2,AS$1)</f>
        <v>5</v>
      </c>
    </row>
    <row r="25" spans="1:46">
      <c r="A25" t="str">
        <f>'Table S2 Compound Identifiers'!C30</f>
        <v>OCP</v>
      </c>
      <c r="B25">
        <f>COUNTIF($C$3:C25,"&lt;&gt;"&amp;"")</f>
        <v>23</v>
      </c>
      <c r="C25" t="str">
        <f>IF('Table S2 Compound Identifiers'!B30="","",'Table S2 Compound Identifiers'!B30)</f>
        <v>o,p'-DDD</v>
      </c>
      <c r="D25" t="str">
        <f>'Table S2 Compound Identifiers'!D30</f>
        <v>53-19-0</v>
      </c>
      <c r="E25" s="501">
        <f>IF(VLOOKUP($C25,'Table S3 Literature Values'!$A$10:$AV$10000,E$1,FALSE)=0,VLOOKUP($C25,'Table S9 Model Derived Values'!$A$10:$AV$10000,E$1,FALSE),VLOOKUP($C25,'Table S3 Literature Values'!$A$10:$AV$10000,E$1,FALSE))</f>
        <v>84.896999999999991</v>
      </c>
      <c r="F25" s="61">
        <f>IF(INDEX('Table S3 Literature Values'!$A$10:$AV$10000,MATCH($C25,'Table S3 Literature Values'!$A$10:$A$10000,0)+1,F$1)=0,INDEX('Table S9 Model Derived Values'!$A$10:$AV$10000,MATCH($C25,'Table S9 Model Derived Values'!$A$10:$A$10000,0)+1,F$1),INDEX('Table S3 Literature Values'!$A$10:$AV$10000,MATCH($C25,'Table S3 Literature Values'!$A$10:$A$10000,0)+1,F$1))</f>
        <v>3.9337802429723991</v>
      </c>
      <c r="G25" s="63">
        <f>INDEX('Table S3 Literature Values'!$A$10:$AV$10000,MATCH($C25,'Table S3 Literature Values'!$A$10:$A$10000,0)+2,F$1)</f>
        <v>3</v>
      </c>
      <c r="H25" s="501">
        <f>IF(VLOOKUP($C25,'Table S3 Literature Values'!$A$10:$AV$10000,H$1,FALSE)=0,VLOOKUP($C25,'Table S9 Model Derived Values'!$A$10:$AV$10000,H$1,FALSE),VLOOKUP($C25,'Table S3 Literature Values'!$A$10:$AV$10000,H$1,FALSE))</f>
        <v>19.577876175193587</v>
      </c>
      <c r="I25" s="61">
        <f>IF(INDEX('Table S3 Literature Values'!$A$10:$AV$10000,MATCH($C25,'Table S3 Literature Values'!$A$10:$A$10000,0)+1,I$1)=0,INDEX('Table S9 Model Derived Values'!$A$10:$AV$10000,MATCH($C25,'Table S9 Model Derived Values'!$A$10:$A$10000,0)+1,I$1),INDEX('Table S3 Literature Values'!$A$10:$AV$10000,MATCH($C25,'Table S3 Literature Values'!$A$10:$A$10000,0)+1,I$1))</f>
        <v>3.9155752350387178</v>
      </c>
      <c r="J25" s="63">
        <f>INDEX('Table S3 Literature Values'!$A$10:$AV$10000,MATCH($C25,'Table S3 Literature Values'!$A$10:$A$10000,0)+2,I$1)</f>
        <v>1</v>
      </c>
      <c r="K25" s="501">
        <f>IF(VLOOKUP($C25,'Table S3 Literature Values'!$A$10:$AV$10000,K$1,FALSE)=0,VLOOKUP($C25,'Table S9 Model Derived Values'!$A$10:$AV$10000,K$1,FALSE),VLOOKUP($C25,'Table S3 Literature Values'!$A$10:$AV$10000,K$1,FALSE))</f>
        <v>0</v>
      </c>
      <c r="L25" s="61">
        <f>IF(INDEX('Table S3 Literature Values'!$A$10:$AV$10000,MATCH($C25,'Table S3 Literature Values'!$A$10:$A$10000,0)+1,L$1)=0,INDEX('Table S9 Model Derived Values'!$A$10:$AV$10000,MATCH($C25,'Table S9 Model Derived Values'!$A$10:$A$10000,0)+1,L$1),INDEX('Table S3 Literature Values'!$A$10:$AV$10000,MATCH($C25,'Table S3 Literature Values'!$A$10:$A$10000,0)+1,L$1))</f>
        <v>0</v>
      </c>
      <c r="M25" s="63">
        <f>INDEX('Table S3 Literature Values'!$A$10:$AV$10000,MATCH($C25,'Table S3 Literature Values'!$A$10:$A$10000,0)+2,L$1)</f>
        <v>0</v>
      </c>
      <c r="N25" s="501">
        <f>IF(VLOOKUP($C25,'Table S3 Literature Values'!$A$10:$AV$10000,N$1,FALSE)=0,VLOOKUP($C25,'Table S9 Model Derived Values'!$A$10:$AV$10000,N$1,FALSE),VLOOKUP($C25,'Table S3 Literature Values'!$A$10:$AV$10000,N$1,FALSE))</f>
        <v>81.650000000000006</v>
      </c>
      <c r="O25" s="61">
        <f>IF(INDEX('Table S3 Literature Values'!$A$10:$AV$10000,MATCH($C25,'Table S3 Literature Values'!$A$10:$A$10000,0)+1,O$1)=0,INDEX('Table S9 Model Derived Values'!$A$10:$AV$10000,MATCH($C25,'Table S9 Model Derived Values'!$A$10:$A$10000,0)+1,O$1),INDEX('Table S3 Literature Values'!$A$10:$AV$10000,MATCH($C25,'Table S3 Literature Values'!$A$10:$A$10000,0)+1,O$1))</f>
        <v>2.8991378028648507</v>
      </c>
      <c r="P25" s="63">
        <f>INDEX('Table S3 Literature Values'!$A$10:$AV$10000,MATCH($C25,'Table S3 Literature Values'!$A$10:$A$10000,0)+2,O$1)</f>
        <v>2</v>
      </c>
      <c r="Q25" s="501">
        <f>IF(VLOOKUP($C25,'Table S3 Literature Values'!$A$10:$AV$10000,Q$1,FALSE)=0,VLOOKUP($C25,'Table S9 Model Derived Values'!$A$10:$AV$10000,Q$1,FALSE),VLOOKUP($C25,'Table S3 Literature Values'!$A$10:$AV$10000,Q$1,FALSE))</f>
        <v>67.198563799999988</v>
      </c>
      <c r="R25" s="61">
        <f>IF(INDEX('Table S3 Literature Values'!$A$10:$AV$10000,MATCH($C25,'Table S3 Literature Values'!$A$10:$A$10000,0)+1,R$1)=0,INDEX('Table S9 Model Derived Values'!$A$10:$AV$10000,MATCH($C25,'Table S9 Model Derived Values'!$A$10:$A$10000,0)+1,R$1),INDEX('Table S3 Literature Values'!$A$10:$AV$10000,MATCH($C25,'Table S3 Literature Values'!$A$10:$A$10000,0)+1,R$1))</f>
        <v>14.517510524788198</v>
      </c>
      <c r="S25" s="63">
        <f>INDEX('Table S3 Literature Values'!$A$10:$AV$10000,MATCH($C25,'Table S3 Literature Values'!$A$10:$A$10000,0)+2,R$1)</f>
        <v>0</v>
      </c>
      <c r="T25" s="501">
        <f>IF(VLOOKUP($C25,'Table S3 Literature Values'!$A$10:$AV$10000,T$1,FALSE)=0,VLOOKUP($C25,'Table S9 Model Derived Values'!$A$10:$AV$10000,T$1,FALSE),VLOOKUP($C25,'Table S3 Literature Values'!$A$10:$AV$10000,T$1,FALSE))</f>
        <v>-23.654891999999993</v>
      </c>
      <c r="U25" s="61">
        <f>IF(INDEX('Table S3 Literature Values'!$A$10:$AV$10000,MATCH($C25,'Table S3 Literature Values'!$A$10:$A$10000,0)+1,U$1)=0,INDEX('Table S9 Model Derived Values'!$A$10:$AV$10000,MATCH($C25,'Table S9 Model Derived Values'!$A$10:$A$10000,0)+1,U$1),INDEX('Table S3 Literature Values'!$A$10:$AV$10000,MATCH($C25,'Table S3 Literature Values'!$A$10:$A$10000,0)+1,U$1))</f>
        <v>9.7035477072136249</v>
      </c>
      <c r="V25" s="63">
        <f>INDEX('Table S3 Literature Values'!$A$10:$AV$10000,MATCH($C25,'Table S3 Literature Values'!$A$10:$A$10000,0)+2,U$1)</f>
        <v>0</v>
      </c>
      <c r="W25" s="501">
        <f>IF(VLOOKUP($C25,'Table S3 Literature Values'!$A$10:$AV$10000,W$1,FALSE)=0,VLOOKUP($C25,'Table S9 Model Derived Values'!$A$10:$AV$10000,W$1,FALSE),VLOOKUP($C25,'Table S3 Literature Values'!$A$10:$AV$10000,W$1,FALSE))</f>
        <v>9.4062489048902727</v>
      </c>
      <c r="X25" s="61">
        <f>IF(INDEX('Table S3 Literature Values'!$A$10:$AV$10000,MATCH($C25,'Table S3 Literature Values'!$A$10:$A$10000,0)+1,X$1)=0,INDEX('Table S9 Model Derived Values'!$A$10:$AV$10000,MATCH($C25,'Table S9 Model Derived Values'!$A$10:$A$10000,0)+1,X$1),INDEX('Table S3 Literature Values'!$A$10:$AV$10000,MATCH($C25,'Table S3 Literature Values'!$A$10:$A$10000,0)+1,X$1))</f>
        <v>0.23157901955762342</v>
      </c>
      <c r="Y25" s="63">
        <f>INDEX('Table S3 Literature Values'!$A$10:$AV$10000,MATCH($C25,'Table S3 Literature Values'!$A$10:$A$10000,0)+2,X$1)</f>
        <v>2</v>
      </c>
      <c r="Z25" s="501">
        <f ca="1">IF(VLOOKUP($C25,'Table S3 Literature Values'!$A$10:$AV$10000,Z$1,FALSE)=0,VLOOKUP($C25,'Table S9 Model Derived Values'!$A$10:$AV$10000,Z$1,FALSE),VLOOKUP($C25,'Table S3 Literature Values'!$A$10:$AV$10000,Z$1,FALSE))</f>
        <v>4.846614783104398</v>
      </c>
      <c r="AA25" s="61">
        <f ca="1">IF(INDEX('Table S3 Literature Values'!$A$10:$AV$10000,MATCH($C25,'Table S3 Literature Values'!$A$10:$A$10000,0)+1,AA$1)=0,INDEX('Table S9 Model Derived Values'!$A$10:$AV$10000,MATCH($C25,'Table S9 Model Derived Values'!$A$10:$A$10000,0)+1,AA$1),INDEX('Table S3 Literature Values'!$A$10:$AV$10000,MATCH($C25,'Table S3 Literature Values'!$A$10:$A$10000,0)+1,AA$1))</f>
        <v>0.96932295662087964</v>
      </c>
      <c r="AB25" s="63">
        <f ca="1">INDEX('Table S3 Literature Values'!$A$10:$AV$10000,MATCH($C25,'Table S3 Literature Values'!$A$10:$A$10000,0)+2,AA$1)</f>
        <v>1</v>
      </c>
      <c r="AC25" s="501">
        <f>IF(VLOOKUP($C25,'Table S3 Literature Values'!$A$10:$AV$10000,AC$1,FALSE)=0,VLOOKUP($C25,'Table S9 Model Derived Values'!$A$10:$AV$10000,AC$1,FALSE),VLOOKUP($C25,'Table S3 Literature Values'!$A$10:$AV$10000,AC$1,FALSE))</f>
        <v>-3.1838277580227832</v>
      </c>
      <c r="AD25" s="61">
        <f>IF(INDEX('Table S3 Literature Values'!$A$10:$AV$10000,MATCH($C25,'Table S3 Literature Values'!$A$10:$A$10000,0)+1,AD$1)=0,INDEX('Table S9 Model Derived Values'!$A$10:$AV$10000,MATCH($C25,'Table S9 Model Derived Values'!$A$10:$A$10000,0)+1,AD$1),INDEX('Table S3 Literature Values'!$A$10:$AV$10000,MATCH($C25,'Table S3 Literature Values'!$A$10:$A$10000,0)+1,AD$1))</f>
        <v>0.40236896823116131</v>
      </c>
      <c r="AE25" s="63">
        <f>INDEX('Table S3 Literature Values'!$A$10:$AV$10000,MATCH($C25,'Table S3 Literature Values'!$A$10:$A$10000,0)+2,AD$1)</f>
        <v>0</v>
      </c>
      <c r="AF25" s="501">
        <f>IF(VLOOKUP($C25,'Table S3 Literature Values'!$A$10:$AV$10000,AF$1,FALSE)=0,VLOOKUP($C25,'Table S9 Model Derived Values'!$A$10:$AV$10000,AF$1,FALSE),VLOOKUP($C25,'Table S3 Literature Values'!$A$10:$AV$10000,AF$1,FALSE))</f>
        <v>-2.5591147360710078</v>
      </c>
      <c r="AG25" s="61">
        <f>IF(INDEX('Table S3 Literature Values'!$A$10:$AV$10000,MATCH($C25,'Table S3 Literature Values'!$A$10:$A$10000,0)+1,AG$1)=0,INDEX('Table S9 Model Derived Values'!$A$10:$AV$10000,MATCH($C25,'Table S9 Model Derived Values'!$A$10:$A$10000,0)+1,AG$1),INDEX('Table S3 Literature Values'!$A$10:$AV$10000,MATCH($C25,'Table S3 Literature Values'!$A$10:$A$10000,0)+1,AG$1))</f>
        <v>5.7820494749584374E-2</v>
      </c>
      <c r="AH25" s="63">
        <f>INDEX('Table S3 Literature Values'!$A$10:$AV$10000,MATCH($C25,'Table S3 Literature Values'!$A$10:$A$10000,0)+2,AG$1)</f>
        <v>2</v>
      </c>
      <c r="AI25" s="501">
        <f>IF(VLOOKUP($C25,'Table S3 Literature Values'!$A$10:$AV$10000,AI$1,FALSE)=0,VLOOKUP($C25,'Table S9 Model Derived Values'!$A$10:$AV$10000,AI$1,FALSE),VLOOKUP($C25,'Table S3 Literature Values'!$A$10:$AV$10000,AI$1,FALSE))</f>
        <v>-2.8132219825685367</v>
      </c>
      <c r="AJ25" s="61">
        <f>IF(INDEX('Table S3 Literature Values'!$A$10:$AV$10000,MATCH($C25,'Table S3 Literature Values'!$A$10:$A$10000,0)+1,AJ$1)=0,INDEX('Table S9 Model Derived Values'!$A$10:$AV$10000,MATCH($C25,'Table S9 Model Derived Values'!$A$10:$A$10000,0)+1,AJ$1),INDEX('Table S3 Literature Values'!$A$10:$AV$10000,MATCH($C25,'Table S3 Literature Values'!$A$10:$A$10000,0)+1,AJ$1))</f>
        <v>0.34786780408046797</v>
      </c>
      <c r="AK25" s="63">
        <f>INDEX('Table S3 Literature Values'!$A$10:$AV$10000,MATCH($C25,'Table S3 Literature Values'!$A$10:$A$10000,0)+2,AJ$1)</f>
        <v>1</v>
      </c>
      <c r="AL25" s="501">
        <f>IF(VLOOKUP($C25,'Table S3 Literature Values'!$A$10:$AV$10000,AL$1,FALSE)=0,VLOOKUP($C25,'Table S9 Model Derived Values'!$A$10:$AV$10000,AL$1,FALSE),VLOOKUP($C25,'Table S3 Literature Values'!$A$10:$AV$10000,AL$1,FALSE))</f>
        <v>3.2420019999999985</v>
      </c>
      <c r="AM25" s="61">
        <f>IF(INDEX('Table S3 Literature Values'!$A$10:$AV$10000,MATCH($C25,'Table S3 Literature Values'!$A$10:$A$10000,0)+1,AM$1)=0,INDEX('Table S9 Model Derived Values'!$A$10:$AV$10000,MATCH($C25,'Table S9 Model Derived Values'!$A$10:$A$10000,0)+1,AM$1),INDEX('Table S3 Literature Values'!$A$10:$AV$10000,MATCH($C25,'Table S3 Literature Values'!$A$10:$A$10000,0)+1,AM$1))</f>
        <v>0.58593026346199972</v>
      </c>
      <c r="AN25" s="63">
        <f>INDEX('Table S3 Literature Values'!$A$10:$AV$10000,MATCH($C25,'Table S3 Literature Values'!$A$10:$A$10000,0)+2,AM$1)</f>
        <v>0</v>
      </c>
      <c r="AO25" s="501">
        <f>IF(VLOOKUP($C25,'Table S3 Literature Values'!$A$10:$AV$10000,AO$1,FALSE)=0,VLOOKUP($C25,'Table S9 Model Derived Values'!$A$10:$AV$10000,AO$1,FALSE),VLOOKUP($C25,'Table S3 Literature Values'!$A$10:$AV$10000,AO$1,FALSE))</f>
        <v>75.441327990841444</v>
      </c>
      <c r="AP25" s="61">
        <f>IF(INDEX('Table S3 Literature Values'!$A$10:$AV$10000,MATCH($C25,'Table S3 Literature Values'!$A$10:$A$10000,0)+1,AP$1)=0,INDEX('Table S9 Model Derived Values'!$A$10:$AV$10000,MATCH($C25,'Table S9 Model Derived Values'!$A$10:$A$10000,0)+1,AP$1),INDEX('Table S3 Literature Values'!$A$10:$AV$10000,MATCH($C25,'Table S3 Literature Values'!$A$10:$A$10000,0)+1,AP$1))</f>
        <v>5.9462572584268036</v>
      </c>
      <c r="AQ25" s="63">
        <f>INDEX('Table S3 Literature Values'!$A$10:$AV$10000,MATCH($C25,'Table S3 Literature Values'!$A$10:$A$10000,0)+2,AP$1)</f>
        <v>1</v>
      </c>
      <c r="AR25" s="501">
        <f>IF(VLOOKUP($C25,'Table S3 Literature Values'!$A$10:$AV$10000,AR$1,FALSE)=0,VLOOKUP($C25,'Table S9 Model Derived Values'!$A$10:$AV$10000,AR$1,FALSE),VLOOKUP($C25,'Table S3 Literature Values'!$A$10:$AV$10000,AR$1,FALSE))</f>
        <v>76.083333333333329</v>
      </c>
      <c r="AS25" s="61">
        <f>IF(INDEX('Table S3 Literature Values'!$A$10:$AV$10000,MATCH($C25,'Table S3 Literature Values'!$A$10:$A$10000,0)+1,AS$1)=0,INDEX('Table S9 Model Derived Values'!$A$10:$AV$10000,MATCH($C25,'Table S9 Model Derived Values'!$A$10:$A$10000,0)+1,AS$1),INDEX('Table S3 Literature Values'!$A$10:$AV$10000,MATCH($C25,'Table S3 Literature Values'!$A$10:$A$10000,0)+1,AS$1))</f>
        <v>1.0103629710818451</v>
      </c>
      <c r="AT25" s="63">
        <f>INDEX('Table S3 Literature Values'!$A$10:$AV$10000,MATCH($C25,'Table S3 Literature Values'!$A$10:$A$10000,0)+2,AS$1)</f>
        <v>3</v>
      </c>
    </row>
    <row r="26" spans="1:46">
      <c r="A26" t="str">
        <f>'Table S2 Compound Identifiers'!C31</f>
        <v>OCP</v>
      </c>
      <c r="B26">
        <f>COUNTIF($C$3:C26,"&lt;&gt;"&amp;"")</f>
        <v>24</v>
      </c>
      <c r="C26" t="str">
        <f>IF('Table S2 Compound Identifiers'!B31="","",'Table S2 Compound Identifiers'!B31)</f>
        <v>p,p'-DDD</v>
      </c>
      <c r="D26" t="str">
        <f>'Table S2 Compound Identifiers'!D31</f>
        <v>72-54-8</v>
      </c>
      <c r="E26" s="501">
        <f>IF(VLOOKUP($C26,'Table S3 Literature Values'!$A$10:$AV$10000,E$1,FALSE)=0,VLOOKUP($C26,'Table S9 Model Derived Values'!$A$10:$AV$10000,E$1,FALSE),VLOOKUP($C26,'Table S3 Literature Values'!$A$10:$AV$10000,E$1,FALSE))</f>
        <v>87.153382188230282</v>
      </c>
      <c r="F26" s="61">
        <f>IF(INDEX('Table S3 Literature Values'!$A$10:$AV$10000,MATCH($C26,'Table S3 Literature Values'!$A$10:$A$10000,0)+1,F$1)=0,INDEX('Table S9 Model Derived Values'!$A$10:$AV$10000,MATCH($C26,'Table S9 Model Derived Values'!$A$10:$A$10000,0)+1,F$1),INDEX('Table S3 Literature Values'!$A$10:$AV$10000,MATCH($C26,'Table S3 Literature Values'!$A$10:$A$10000,0)+1,F$1))</f>
        <v>2.1271417621101278</v>
      </c>
      <c r="G26" s="63">
        <f>INDEX('Table S3 Literature Values'!$A$10:$AV$10000,MATCH($C26,'Table S3 Literature Values'!$A$10:$A$10000,0)+2,F$1)</f>
        <v>3</v>
      </c>
      <c r="H26" s="501">
        <f>IF(VLOOKUP($C26,'Table S3 Literature Values'!$A$10:$AV$10000,H$1,FALSE)=0,VLOOKUP($C26,'Table S9 Model Derived Values'!$A$10:$AV$10000,H$1,FALSE),VLOOKUP($C26,'Table S3 Literature Values'!$A$10:$AV$10000,H$1,FALSE))</f>
        <v>10.601937492331281</v>
      </c>
      <c r="I26" s="61">
        <f>IF(INDEX('Table S3 Literature Values'!$A$10:$AV$10000,MATCH($C26,'Table S3 Literature Values'!$A$10:$A$10000,0)+1,I$1)=0,INDEX('Table S9 Model Derived Values'!$A$10:$AV$10000,MATCH($C26,'Table S9 Model Derived Values'!$A$10:$A$10000,0)+1,I$1),INDEX('Table S3 Literature Values'!$A$10:$AV$10000,MATCH($C26,'Table S3 Literature Values'!$A$10:$A$10000,0)+1,I$1))</f>
        <v>2.1203874984662563</v>
      </c>
      <c r="J26" s="63">
        <f>INDEX('Table S3 Literature Values'!$A$10:$AV$10000,MATCH($C26,'Table S3 Literature Values'!$A$10:$A$10000,0)+2,I$1)</f>
        <v>1</v>
      </c>
      <c r="K26" s="501">
        <f>IF(VLOOKUP($C26,'Table S3 Literature Values'!$A$10:$AV$10000,K$1,FALSE)=0,VLOOKUP($C26,'Table S9 Model Derived Values'!$A$10:$AV$10000,K$1,FALSE),VLOOKUP($C26,'Table S3 Literature Values'!$A$10:$AV$10000,K$1,FALSE))</f>
        <v>0</v>
      </c>
      <c r="L26" s="61">
        <f>IF(INDEX('Table S3 Literature Values'!$A$10:$AV$10000,MATCH($C26,'Table S3 Literature Values'!$A$10:$A$10000,0)+1,L$1)=0,INDEX('Table S9 Model Derived Values'!$A$10:$AV$10000,MATCH($C26,'Table S9 Model Derived Values'!$A$10:$A$10000,0)+1,L$1),INDEX('Table S3 Literature Values'!$A$10:$AV$10000,MATCH($C26,'Table S3 Literature Values'!$A$10:$A$10000,0)+1,L$1))</f>
        <v>0</v>
      </c>
      <c r="M26" s="63">
        <f>INDEX('Table S3 Literature Values'!$A$10:$AV$10000,MATCH($C26,'Table S3 Literature Values'!$A$10:$A$10000,0)+2,L$1)</f>
        <v>0</v>
      </c>
      <c r="N26" s="501">
        <f>IF(VLOOKUP($C26,'Table S3 Literature Values'!$A$10:$AV$10000,N$1,FALSE)=0,VLOOKUP($C26,'Table S9 Model Derived Values'!$A$10:$AV$10000,N$1,FALSE),VLOOKUP($C26,'Table S3 Literature Values'!$A$10:$AV$10000,N$1,FALSE))</f>
        <v>85</v>
      </c>
      <c r="O26" s="61">
        <f>IF(INDEX('Table S3 Literature Values'!$A$10:$AV$10000,MATCH($C26,'Table S3 Literature Values'!$A$10:$A$10000,0)+1,O$1)=0,INDEX('Table S9 Model Derived Values'!$A$10:$AV$10000,MATCH($C26,'Table S9 Model Derived Values'!$A$10:$A$10000,0)+1,O$1),INDEX('Table S3 Literature Values'!$A$10:$AV$10000,MATCH($C26,'Table S3 Literature Values'!$A$10:$A$10000,0)+1,O$1))</f>
        <v>1.9798989873223412</v>
      </c>
      <c r="P26" s="63">
        <f>INDEX('Table S3 Literature Values'!$A$10:$AV$10000,MATCH($C26,'Table S3 Literature Values'!$A$10:$A$10000,0)+2,O$1)</f>
        <v>2</v>
      </c>
      <c r="Q26" s="501">
        <f>IF(VLOOKUP($C26,'Table S3 Literature Values'!$A$10:$AV$10000,Q$1,FALSE)=0,VLOOKUP($C26,'Table S9 Model Derived Values'!$A$10:$AV$10000,Q$1,FALSE),VLOOKUP($C26,'Table S3 Literature Values'!$A$10:$AV$10000,Q$1,FALSE))</f>
        <v>39.809000000000005</v>
      </c>
      <c r="R26" s="61">
        <f>IF(INDEX('Table S3 Literature Values'!$A$10:$AV$10000,MATCH($C26,'Table S3 Literature Values'!$A$10:$A$10000,0)+1,R$1)=0,INDEX('Table S9 Model Derived Values'!$A$10:$AV$10000,MATCH($C26,'Table S9 Model Derived Values'!$A$10:$A$10000,0)+1,R$1),INDEX('Table S3 Literature Values'!$A$10:$AV$10000,MATCH($C26,'Table S3 Literature Values'!$A$10:$A$10000,0)+1,R$1))</f>
        <v>11.9427</v>
      </c>
      <c r="S26" s="63">
        <f>INDEX('Table S3 Literature Values'!$A$10:$AV$10000,MATCH($C26,'Table S3 Literature Values'!$A$10:$A$10000,0)+2,R$1)</f>
        <v>1</v>
      </c>
      <c r="T26" s="501">
        <f>IF(VLOOKUP($C26,'Table S3 Literature Values'!$A$10:$AV$10000,T$1,FALSE)=0,VLOOKUP($C26,'Table S9 Model Derived Values'!$A$10:$AV$10000,T$1,FALSE),VLOOKUP($C26,'Table S3 Literature Values'!$A$10:$AV$10000,T$1,FALSE))</f>
        <v>-26.927071999999999</v>
      </c>
      <c r="U26" s="61">
        <f>IF(INDEX('Table S3 Literature Values'!$A$10:$AV$10000,MATCH($C26,'Table S3 Literature Values'!$A$10:$A$10000,0)+1,U$1)=0,INDEX('Table S9 Model Derived Values'!$A$10:$AV$10000,MATCH($C26,'Table S9 Model Derived Values'!$A$10:$A$10000,0)+1,U$1),INDEX('Table S3 Literature Values'!$A$10:$AV$10000,MATCH($C26,'Table S3 Literature Values'!$A$10:$A$10000,0)+1,U$1))</f>
        <v>11.045838965046903</v>
      </c>
      <c r="V26" s="63">
        <f>INDEX('Table S3 Literature Values'!$A$10:$AV$10000,MATCH($C26,'Table S3 Literature Values'!$A$10:$A$10000,0)+2,U$1)</f>
        <v>0</v>
      </c>
      <c r="W26" s="501">
        <f>IF(VLOOKUP($C26,'Table S3 Literature Values'!$A$10:$AV$10000,W$1,FALSE)=0,VLOOKUP($C26,'Table S9 Model Derived Values'!$A$10:$AV$10000,W$1,FALSE),VLOOKUP($C26,'Table S3 Literature Values'!$A$10:$AV$10000,W$1,FALSE))</f>
        <v>9.8266666666666662</v>
      </c>
      <c r="X26" s="61">
        <f>IF(INDEX('Table S3 Literature Values'!$A$10:$AV$10000,MATCH($C26,'Table S3 Literature Values'!$A$10:$A$10000,0)+1,X$1)=0,INDEX('Table S9 Model Derived Values'!$A$10:$AV$10000,MATCH($C26,'Table S9 Model Derived Values'!$A$10:$A$10000,0)+1,X$1),INDEX('Table S3 Literature Values'!$A$10:$AV$10000,MATCH($C26,'Table S3 Literature Values'!$A$10:$A$10000,0)+1,X$1))</f>
        <v>0.2973774257292125</v>
      </c>
      <c r="Y26" s="63">
        <f>INDEX('Table S3 Literature Values'!$A$10:$AV$10000,MATCH($C26,'Table S3 Literature Values'!$A$10:$A$10000,0)+2,X$1)</f>
        <v>3</v>
      </c>
      <c r="Z26" s="501">
        <f>IF(VLOOKUP($C26,'Table S3 Literature Values'!$A$10:$AV$10000,Z$1,FALSE)=0,VLOOKUP($C26,'Table S9 Model Derived Values'!$A$10:$AV$10000,Z$1,FALSE),VLOOKUP($C26,'Table S3 Literature Values'!$A$10:$AV$10000,Z$1,FALSE))</f>
        <v>6.2169999999999996</v>
      </c>
      <c r="AA26" s="61">
        <f>IF(INDEX('Table S3 Literature Values'!$A$10:$AV$10000,MATCH($C26,'Table S3 Literature Values'!$A$10:$A$10000,0)+1,AA$1)=0,INDEX('Table S9 Model Derived Values'!$A$10:$AV$10000,MATCH($C26,'Table S9 Model Derived Values'!$A$10:$A$10000,0)+1,AA$1),INDEX('Table S3 Literature Values'!$A$10:$AV$10000,MATCH($C26,'Table S3 Literature Values'!$A$10:$A$10000,0)+1,AA$1))</f>
        <v>0.42145360113629754</v>
      </c>
      <c r="AB26" s="63">
        <f>INDEX('Table S3 Literature Values'!$A$10:$AV$10000,MATCH($C26,'Table S3 Literature Values'!$A$10:$A$10000,0)+2,AA$1)</f>
        <v>1</v>
      </c>
      <c r="AC26" s="501">
        <f>IF(VLOOKUP($C26,'Table S3 Literature Values'!$A$10:$AV$10000,AC$1,FALSE)=0,VLOOKUP($C26,'Table S9 Model Derived Values'!$A$10:$AV$10000,AC$1,FALSE),VLOOKUP($C26,'Table S3 Literature Values'!$A$10:$AV$10000,AC$1,FALSE))</f>
        <v>-3.5688187160841309</v>
      </c>
      <c r="AD26" s="61">
        <f>IF(INDEX('Table S3 Literature Values'!$A$10:$AV$10000,MATCH($C26,'Table S3 Literature Values'!$A$10:$A$10000,0)+1,AD$1)=0,INDEX('Table S9 Model Derived Values'!$A$10:$AV$10000,MATCH($C26,'Table S9 Model Derived Values'!$A$10:$A$10000,0)+1,AD$1),INDEX('Table S3 Literature Values'!$A$10:$AV$10000,MATCH($C26,'Table S3 Literature Values'!$A$10:$A$10000,0)+1,AD$1))</f>
        <v>0.71376374321682623</v>
      </c>
      <c r="AE26" s="63">
        <f>INDEX('Table S3 Literature Values'!$A$10:$AV$10000,MATCH($C26,'Table S3 Literature Values'!$A$10:$A$10000,0)+2,AD$1)</f>
        <v>1</v>
      </c>
      <c r="AF26" s="501">
        <f ca="1">IF(VLOOKUP($C26,'Table S3 Literature Values'!$A$10:$AV$10000,AF$1,FALSE)=0,VLOOKUP($C26,'Table S9 Model Derived Values'!$A$10:$AV$10000,AF$1,FALSE),VLOOKUP($C26,'Table S3 Literature Values'!$A$10:$AV$10000,AF$1,FALSE))</f>
        <v>-2.9619416913154448</v>
      </c>
      <c r="AG26" s="61">
        <f ca="1">IF(INDEX('Table S3 Literature Values'!$A$10:$AV$10000,MATCH($C26,'Table S3 Literature Values'!$A$10:$A$10000,0)+1,AG$1)=0,INDEX('Table S9 Model Derived Values'!$A$10:$AV$10000,MATCH($C26,'Table S9 Model Derived Values'!$A$10:$A$10000,0)+1,AG$1),INDEX('Table S3 Literature Values'!$A$10:$AV$10000,MATCH($C26,'Table S3 Literature Values'!$A$10:$A$10000,0)+1,AG$1))</f>
        <v>0.16052646786295441</v>
      </c>
      <c r="AH26" s="63">
        <f ca="1">INDEX('Table S3 Literature Values'!$A$10:$AV$10000,MATCH($C26,'Table S3 Literature Values'!$A$10:$A$10000,0)+2,AG$1)</f>
        <v>6</v>
      </c>
      <c r="AI26" s="501">
        <f>IF(VLOOKUP($C26,'Table S3 Literature Values'!$A$10:$AV$10000,AI$1,FALSE)=0,VLOOKUP($C26,'Table S9 Model Derived Values'!$A$10:$AV$10000,AI$1,FALSE),VLOOKUP($C26,'Table S3 Literature Values'!$A$10:$AV$10000,AI$1,FALSE))</f>
        <v>-2.633280260227703</v>
      </c>
      <c r="AJ26" s="61">
        <f>IF(INDEX('Table S3 Literature Values'!$A$10:$AV$10000,MATCH($C26,'Table S3 Literature Values'!$A$10:$A$10000,0)+1,AJ$1)=0,INDEX('Table S9 Model Derived Values'!$A$10:$AV$10000,MATCH($C26,'Table S9 Model Derived Values'!$A$10:$A$10000,0)+1,AJ$1),INDEX('Table S3 Literature Values'!$A$10:$AV$10000,MATCH($C26,'Table S3 Literature Values'!$A$10:$A$10000,0)+1,AJ$1))</f>
        <v>0.46795754401306722</v>
      </c>
      <c r="AK26" s="63">
        <f>INDEX('Table S3 Literature Values'!$A$10:$AV$10000,MATCH($C26,'Table S3 Literature Values'!$A$10:$A$10000,0)+2,AJ$1)</f>
        <v>3</v>
      </c>
      <c r="AL26" s="501">
        <f>IF(VLOOKUP($C26,'Table S3 Literature Values'!$A$10:$AV$10000,AL$1,FALSE)=0,VLOOKUP($C26,'Table S9 Model Derived Values'!$A$10:$AV$10000,AL$1,FALSE),VLOOKUP($C26,'Table S3 Literature Values'!$A$10:$AV$10000,AL$1,FALSE))</f>
        <v>3.2836867999999981</v>
      </c>
      <c r="AM26" s="61">
        <f>IF(INDEX('Table S3 Literature Values'!$A$10:$AV$10000,MATCH($C26,'Table S3 Literature Values'!$A$10:$A$10000,0)+1,AM$1)=0,INDEX('Table S9 Model Derived Values'!$A$10:$AV$10000,MATCH($C26,'Table S9 Model Derived Values'!$A$10:$A$10000,0)+1,AM$1),INDEX('Table S3 Literature Values'!$A$10:$AV$10000,MATCH($C26,'Table S3 Literature Values'!$A$10:$A$10000,0)+1,AM$1))</f>
        <v>0.59346399905079972</v>
      </c>
      <c r="AN26" s="63">
        <f>INDEX('Table S3 Literature Values'!$A$10:$AV$10000,MATCH($C26,'Table S3 Literature Values'!$A$10:$A$10000,0)+2,AM$1)</f>
        <v>0</v>
      </c>
      <c r="AO26" s="501">
        <f>IF(VLOOKUP($C26,'Table S3 Literature Values'!$A$10:$AV$10000,AO$1,FALSE)=0,VLOOKUP($C26,'Table S9 Model Derived Values'!$A$10:$AV$10000,AO$1,FALSE),VLOOKUP($C26,'Table S3 Literature Values'!$A$10:$AV$10000,AO$1,FALSE))</f>
        <v>76.233760351550458</v>
      </c>
      <c r="AP26" s="61">
        <f>IF(INDEX('Table S3 Literature Values'!$A$10:$AV$10000,MATCH($C26,'Table S3 Literature Values'!$A$10:$A$10000,0)+1,AP$1)=0,INDEX('Table S9 Model Derived Values'!$A$10:$AV$10000,MATCH($C26,'Table S9 Model Derived Values'!$A$10:$A$10000,0)+1,AP$1),INDEX('Table S3 Literature Values'!$A$10:$AV$10000,MATCH($C26,'Table S3 Literature Values'!$A$10:$A$10000,0)+1,AP$1))</f>
        <v>6.7230943967648491</v>
      </c>
      <c r="AQ26" s="63">
        <f>INDEX('Table S3 Literature Values'!$A$10:$AV$10000,MATCH($C26,'Table S3 Literature Values'!$A$10:$A$10000,0)+2,AP$1)</f>
        <v>2</v>
      </c>
      <c r="AR26" s="501">
        <f>IF(VLOOKUP($C26,'Table S3 Literature Values'!$A$10:$AV$10000,AR$1,FALSE)=0,VLOOKUP($C26,'Table S9 Model Derived Values'!$A$10:$AV$10000,AR$1,FALSE),VLOOKUP($C26,'Table S3 Literature Values'!$A$10:$AV$10000,AR$1,FALSE))</f>
        <v>109.78000000000002</v>
      </c>
      <c r="AS26" s="61">
        <f>IF(INDEX('Table S3 Literature Values'!$A$10:$AV$10000,MATCH($C26,'Table S3 Literature Values'!$A$10:$A$10000,0)+1,AS$1)=0,INDEX('Table S9 Model Derived Values'!$A$10:$AV$10000,MATCH($C26,'Table S9 Model Derived Values'!$A$10:$A$10000,0)+1,AS$1),INDEX('Table S3 Literature Values'!$A$10:$AV$10000,MATCH($C26,'Table S3 Literature Values'!$A$10:$A$10000,0)+1,AS$1))</f>
        <v>0.7973393255070198</v>
      </c>
      <c r="AT26" s="63">
        <f>INDEX('Table S3 Literature Values'!$A$10:$AV$10000,MATCH($C26,'Table S3 Literature Values'!$A$10:$A$10000,0)+2,AS$1)</f>
        <v>5</v>
      </c>
    </row>
    <row r="27" spans="1:46">
      <c r="A27" t="str">
        <f>'Table S2 Compound Identifiers'!C32</f>
        <v>OCP</v>
      </c>
      <c r="B27">
        <f>COUNTIF($C$3:C27,"&lt;&gt;"&amp;"")</f>
        <v>25</v>
      </c>
      <c r="C27" t="str">
        <f>IF('Table S2 Compound Identifiers'!B32="","",'Table S2 Compound Identifiers'!B32)</f>
        <v>o,p'-DDT</v>
      </c>
      <c r="D27" t="str">
        <f>'Table S2 Compound Identifiers'!D32</f>
        <v>789-02-6</v>
      </c>
      <c r="E27" s="501">
        <f>IF(VLOOKUP($C27,'Table S3 Literature Values'!$A$10:$AV$10000,E$1,FALSE)=0,VLOOKUP($C27,'Table S9 Model Derived Values'!$A$10:$AV$10000,E$1,FALSE),VLOOKUP($C27,'Table S3 Literature Values'!$A$10:$AV$10000,E$1,FALSE))</f>
        <v>86.832573778181157</v>
      </c>
      <c r="F27" s="61">
        <f>IF(INDEX('Table S3 Literature Values'!$A$10:$AV$10000,MATCH($C27,'Table S3 Literature Values'!$A$10:$A$10000,0)+1,F$1)=0,INDEX('Table S9 Model Derived Values'!$A$10:$AV$10000,MATCH($C27,'Table S9 Model Derived Values'!$A$10:$A$10000,0)+1,F$1),INDEX('Table S3 Literature Values'!$A$10:$AV$10000,MATCH($C27,'Table S3 Literature Values'!$A$10:$A$10000,0)+1,F$1))</f>
        <v>1.7293696220738028</v>
      </c>
      <c r="G27" s="63">
        <f>INDEX('Table S3 Literature Values'!$A$10:$AV$10000,MATCH($C27,'Table S3 Literature Values'!$A$10:$A$10000,0)+2,F$1)</f>
        <v>3</v>
      </c>
      <c r="H27" s="501">
        <f>IF(VLOOKUP($C27,'Table S3 Literature Values'!$A$10:$AV$10000,H$1,FALSE)=0,VLOOKUP($C27,'Table S9 Model Derived Values'!$A$10:$AV$10000,H$1,FALSE),VLOOKUP($C27,'Table S3 Literature Values'!$A$10:$AV$10000,H$1,FALSE))</f>
        <v>10.485851058199955</v>
      </c>
      <c r="I27" s="61">
        <f>IF(INDEX('Table S3 Literature Values'!$A$10:$AV$10000,MATCH($C27,'Table S3 Literature Values'!$A$10:$A$10000,0)+1,I$1)=0,INDEX('Table S9 Model Derived Values'!$A$10:$AV$10000,MATCH($C27,'Table S9 Model Derived Values'!$A$10:$A$10000,0)+1,I$1),INDEX('Table S3 Literature Values'!$A$10:$AV$10000,MATCH($C27,'Table S3 Literature Values'!$A$10:$A$10000,0)+1,I$1))</f>
        <v>2.0971702116399911</v>
      </c>
      <c r="J27" s="63">
        <f>INDEX('Table S3 Literature Values'!$A$10:$AV$10000,MATCH($C27,'Table S3 Literature Values'!$A$10:$A$10000,0)+2,I$1)</f>
        <v>1</v>
      </c>
      <c r="K27" s="501">
        <f>IF(VLOOKUP($C27,'Table S3 Literature Values'!$A$10:$AV$10000,K$1,FALSE)=0,VLOOKUP($C27,'Table S9 Model Derived Values'!$A$10:$AV$10000,K$1,FALSE),VLOOKUP($C27,'Table S3 Literature Values'!$A$10:$AV$10000,K$1,FALSE))</f>
        <v>3.3169414751899033</v>
      </c>
      <c r="L27" s="61">
        <f>IF(INDEX('Table S3 Literature Values'!$A$10:$AV$10000,MATCH($C27,'Table S3 Literature Values'!$A$10:$A$10000,0)+1,L$1)=0,INDEX('Table S9 Model Derived Values'!$A$10:$AV$10000,MATCH($C27,'Table S9 Model Derived Values'!$A$10:$A$10000,0)+1,L$1),INDEX('Table S3 Literature Values'!$A$10:$AV$10000,MATCH($C27,'Table S3 Literature Values'!$A$10:$A$10000,0)+1,L$1))</f>
        <v>0.99508244255697098</v>
      </c>
      <c r="M27" s="63">
        <f>INDEX('Table S3 Literature Values'!$A$10:$AV$10000,MATCH($C27,'Table S3 Literature Values'!$A$10:$A$10000,0)+2,L$1)</f>
        <v>1</v>
      </c>
      <c r="N27" s="501">
        <f>IF(VLOOKUP($C27,'Table S3 Literature Values'!$A$10:$AV$10000,N$1,FALSE)=0,VLOOKUP($C27,'Table S9 Model Derived Values'!$A$10:$AV$10000,N$1,FALSE),VLOOKUP($C27,'Table S3 Literature Values'!$A$10:$AV$10000,N$1,FALSE))</f>
        <v>84.5</v>
      </c>
      <c r="O27" s="61">
        <f>IF(INDEX('Table S3 Literature Values'!$A$10:$AV$10000,MATCH($C27,'Table S3 Literature Values'!$A$10:$A$10000,0)+1,O$1)=0,INDEX('Table S9 Model Derived Values'!$A$10:$AV$10000,MATCH($C27,'Table S9 Model Derived Values'!$A$10:$A$10000,0)+1,O$1),INDEX('Table S3 Literature Values'!$A$10:$AV$10000,MATCH($C27,'Table S3 Literature Values'!$A$10:$A$10000,0)+1,O$1))</f>
        <v>0.84852813742384892</v>
      </c>
      <c r="P27" s="63">
        <f>INDEX('Table S3 Literature Values'!$A$10:$AV$10000,MATCH($C27,'Table S3 Literature Values'!$A$10:$A$10000,0)+2,O$1)</f>
        <v>2</v>
      </c>
      <c r="Q27" s="501">
        <f>IF(VLOOKUP($C27,'Table S3 Literature Values'!$A$10:$AV$10000,Q$1,FALSE)=0,VLOOKUP($C27,'Table S9 Model Derived Values'!$A$10:$AV$10000,Q$1,FALSE),VLOOKUP($C27,'Table S3 Literature Values'!$A$10:$AV$10000,Q$1,FALSE))</f>
        <v>66.954663999999994</v>
      </c>
      <c r="R27" s="61">
        <f>IF(INDEX('Table S3 Literature Values'!$A$10:$AV$10000,MATCH($C27,'Table S3 Literature Values'!$A$10:$A$10000,0)+1,R$1)=0,INDEX('Table S9 Model Derived Values'!$A$10:$AV$10000,MATCH($C27,'Table S9 Model Derived Values'!$A$10:$A$10000,0)+1,R$1),INDEX('Table S3 Literature Values'!$A$10:$AV$10000,MATCH($C27,'Table S3 Literature Values'!$A$10:$A$10000,0)+1,R$1))</f>
        <v>14.464818655896</v>
      </c>
      <c r="S27" s="63">
        <f>INDEX('Table S3 Literature Values'!$A$10:$AV$10000,MATCH($C27,'Table S3 Literature Values'!$A$10:$A$10000,0)+2,R$1)</f>
        <v>0</v>
      </c>
      <c r="T27" s="501">
        <f>IF(VLOOKUP($C27,'Table S3 Literature Values'!$A$10:$AV$10000,T$1,FALSE)=0,VLOOKUP($C27,'Table S9 Model Derived Values'!$A$10:$AV$10000,T$1,FALSE),VLOOKUP($C27,'Table S3 Literature Values'!$A$10:$AV$10000,T$1,FALSE))</f>
        <v>-23.674459999999993</v>
      </c>
      <c r="U27" s="61">
        <f>IF(INDEX('Table S3 Literature Values'!$A$10:$AV$10000,MATCH($C27,'Table S3 Literature Values'!$A$10:$A$10000,0)+1,U$1)=0,INDEX('Table S9 Model Derived Values'!$A$10:$AV$10000,MATCH($C27,'Table S9 Model Derived Values'!$A$10:$A$10000,0)+1,U$1),INDEX('Table S3 Literature Values'!$A$10:$AV$10000,MATCH($C27,'Table S3 Literature Values'!$A$10:$A$10000,0)+1,U$1))</f>
        <v>9.7115747580889682</v>
      </c>
      <c r="V27" s="63">
        <f>INDEX('Table S3 Literature Values'!$A$10:$AV$10000,MATCH($C27,'Table S3 Literature Values'!$A$10:$A$10000,0)+2,U$1)</f>
        <v>0</v>
      </c>
      <c r="W27" s="501">
        <f>IF(VLOOKUP($C27,'Table S3 Literature Values'!$A$10:$AV$10000,W$1,FALSE)=0,VLOOKUP($C27,'Table S9 Model Derived Values'!$A$10:$AV$10000,W$1,FALSE),VLOOKUP($C27,'Table S3 Literature Values'!$A$10:$AV$10000,W$1,FALSE))</f>
        <v>9.5980644474268235</v>
      </c>
      <c r="X27" s="61">
        <f>IF(INDEX('Table S3 Literature Values'!$A$10:$AV$10000,MATCH($C27,'Table S3 Literature Values'!$A$10:$A$10000,0)+1,X$1)=0,INDEX('Table S9 Model Derived Values'!$A$10:$AV$10000,MATCH($C27,'Table S9 Model Derived Values'!$A$10:$A$10000,0)+1,X$1),INDEX('Table S3 Literature Values'!$A$10:$AV$10000,MATCH($C27,'Table S3 Literature Values'!$A$10:$A$10000,0)+1,X$1))</f>
        <v>0.18111204260696584</v>
      </c>
      <c r="Y27" s="63">
        <f>INDEX('Table S3 Literature Values'!$A$10:$AV$10000,MATCH($C27,'Table S3 Literature Values'!$A$10:$A$10000,0)+2,X$1)</f>
        <v>3</v>
      </c>
      <c r="Z27" s="501">
        <f ca="1">IF(VLOOKUP($C27,'Table S3 Literature Values'!$A$10:$AV$10000,Z$1,FALSE)=0,VLOOKUP($C27,'Table S9 Model Derived Values'!$A$10:$AV$10000,Z$1,FALSE),VLOOKUP($C27,'Table S3 Literature Values'!$A$10:$AV$10000,Z$1,FALSE))</f>
        <v>5.4158182479874863</v>
      </c>
      <c r="AA27" s="61">
        <f ca="1">IF(INDEX('Table S3 Literature Values'!$A$10:$AV$10000,MATCH($C27,'Table S3 Literature Values'!$A$10:$A$10000,0)+1,AA$1)=0,INDEX('Table S9 Model Derived Values'!$A$10:$AV$10000,MATCH($C27,'Table S9 Model Derived Values'!$A$10:$A$10000,0)+1,AA$1),INDEX('Table S3 Literature Values'!$A$10:$AV$10000,MATCH($C27,'Table S3 Literature Values'!$A$10:$A$10000,0)+1,AA$1))</f>
        <v>0.23630218299684957</v>
      </c>
      <c r="AB27" s="63">
        <f ca="1">INDEX('Table S3 Literature Values'!$A$10:$AV$10000,MATCH($C27,'Table S3 Literature Values'!$A$10:$A$10000,0)+2,AA$1)</f>
        <v>2</v>
      </c>
      <c r="AC27" s="501">
        <f>IF(VLOOKUP($C27,'Table S3 Literature Values'!$A$10:$AV$10000,AC$1,FALSE)=0,VLOOKUP($C27,'Table S9 Model Derived Values'!$A$10:$AV$10000,AC$1,FALSE),VLOOKUP($C27,'Table S3 Literature Values'!$A$10:$AV$10000,AC$1,FALSE))</f>
        <v>-3.2242527126542679</v>
      </c>
      <c r="AD27" s="61">
        <f>IF(INDEX('Table S3 Literature Values'!$A$10:$AV$10000,MATCH($C27,'Table S3 Literature Values'!$A$10:$A$10000,0)+1,AD$1)=0,INDEX('Table S9 Model Derived Values'!$A$10:$AV$10000,MATCH($C27,'Table S9 Model Derived Values'!$A$10:$A$10000,0)+1,AD$1),INDEX('Table S3 Literature Values'!$A$10:$AV$10000,MATCH($C27,'Table S3 Literature Values'!$A$10:$A$10000,0)+1,AD$1))</f>
        <v>0.4074778335725337</v>
      </c>
      <c r="AE27" s="63">
        <f>INDEX('Table S3 Literature Values'!$A$10:$AV$10000,MATCH($C27,'Table S3 Literature Values'!$A$10:$A$10000,0)+2,AD$1)</f>
        <v>0</v>
      </c>
      <c r="AF27" s="501">
        <f ca="1">IF(VLOOKUP($C27,'Table S3 Literature Values'!$A$10:$AV$10000,AF$1,FALSE)=0,VLOOKUP($C27,'Table S9 Model Derived Values'!$A$10:$AV$10000,AF$1,FALSE),VLOOKUP($C27,'Table S3 Literature Values'!$A$10:$AV$10000,AF$1,FALSE))</f>
        <v>-2.8321231551578703</v>
      </c>
      <c r="AG27" s="61">
        <f ca="1">IF(INDEX('Table S3 Literature Values'!$A$10:$AV$10000,MATCH($C27,'Table S3 Literature Values'!$A$10:$A$10000,0)+1,AG$1)=0,INDEX('Table S9 Model Derived Values'!$A$10:$AV$10000,MATCH($C27,'Table S9 Model Derived Values'!$A$10:$A$10000,0)+1,AG$1),INDEX('Table S3 Literature Values'!$A$10:$AV$10000,MATCH($C27,'Table S3 Literature Values'!$A$10:$A$10000,0)+1,AG$1))</f>
        <v>0.19585145013701558</v>
      </c>
      <c r="AH27" s="63">
        <f ca="1">INDEX('Table S3 Literature Values'!$A$10:$AV$10000,MATCH($C27,'Table S3 Literature Values'!$A$10:$A$10000,0)+2,AG$1)</f>
        <v>7</v>
      </c>
      <c r="AI27" s="501">
        <f>IF(VLOOKUP($C27,'Table S3 Literature Values'!$A$10:$AV$10000,AI$1,FALSE)=0,VLOOKUP($C27,'Table S9 Model Derived Values'!$A$10:$AV$10000,AI$1,FALSE),VLOOKUP($C27,'Table S3 Literature Values'!$A$10:$AV$10000,AI$1,FALSE))</f>
        <v>-2.9785206413920569</v>
      </c>
      <c r="AJ27" s="61">
        <f>IF(INDEX('Table S3 Literature Values'!$A$10:$AV$10000,MATCH($C27,'Table S3 Literature Values'!$A$10:$A$10000,0)+1,AJ$1)=0,INDEX('Table S9 Model Derived Values'!$A$10:$AV$10000,MATCH($C27,'Table S9 Model Derived Values'!$A$10:$A$10000,0)+1,AJ$1),INDEX('Table S3 Literature Values'!$A$10:$AV$10000,MATCH($C27,'Table S3 Literature Values'!$A$10:$A$10000,0)+1,AJ$1))</f>
        <v>0.36830774156804713</v>
      </c>
      <c r="AK27" s="63">
        <f>INDEX('Table S3 Literature Values'!$A$10:$AV$10000,MATCH($C27,'Table S3 Literature Values'!$A$10:$A$10000,0)+2,AJ$1)</f>
        <v>1</v>
      </c>
      <c r="AL27" s="501">
        <f ca="1">IF(VLOOKUP($C27,'Table S3 Literature Values'!$A$10:$AV$10000,AL$1,FALSE)=0,VLOOKUP($C27,'Table S9 Model Derived Values'!$A$10:$AV$10000,AL$1,FALSE),VLOOKUP($C27,'Table S3 Literature Values'!$A$10:$AV$10000,AL$1,FALSE))</f>
        <v>3.105241939387922</v>
      </c>
      <c r="AM27" s="61">
        <f ca="1">IF(INDEX('Table S3 Literature Values'!$A$10:$AV$10000,MATCH($C27,'Table S3 Literature Values'!$A$10:$A$10000,0)+1,AM$1)=0,INDEX('Table S9 Model Derived Values'!$A$10:$AV$10000,MATCH($C27,'Table S9 Model Derived Values'!$A$10:$A$10000,0)+1,AM$1),INDEX('Table S3 Literature Values'!$A$10:$AV$10000,MATCH($C27,'Table S3 Literature Values'!$A$10:$A$10000,0)+1,AM$1))</f>
        <v>0.62104838787758443</v>
      </c>
      <c r="AN27" s="63">
        <f ca="1">INDEX('Table S3 Literature Values'!$A$10:$AV$10000,MATCH($C27,'Table S3 Literature Values'!$A$10:$A$10000,0)+2,AM$1)</f>
        <v>1</v>
      </c>
      <c r="AO27" s="501">
        <f>IF(VLOOKUP($C27,'Table S3 Literature Values'!$A$10:$AV$10000,AO$1,FALSE)=0,VLOOKUP($C27,'Table S9 Model Derived Values'!$A$10:$AV$10000,AO$1,FALSE),VLOOKUP($C27,'Table S3 Literature Values'!$A$10:$AV$10000,AO$1,FALSE))</f>
        <v>71.225632154001929</v>
      </c>
      <c r="AP27" s="61">
        <f>IF(INDEX('Table S3 Literature Values'!$A$10:$AV$10000,MATCH($C27,'Table S3 Literature Values'!$A$10:$A$10000,0)+1,AP$1)=0,INDEX('Table S9 Model Derived Values'!$A$10:$AV$10000,MATCH($C27,'Table S9 Model Derived Values'!$A$10:$A$10000,0)+1,AP$1),INDEX('Table S3 Literature Values'!$A$10:$AV$10000,MATCH($C27,'Table S3 Literature Values'!$A$10:$A$10000,0)+1,AP$1))</f>
        <v>4.7361176093360013</v>
      </c>
      <c r="AQ27" s="63">
        <f>INDEX('Table S3 Literature Values'!$A$10:$AV$10000,MATCH($C27,'Table S3 Literature Values'!$A$10:$A$10000,0)+2,AP$1)</f>
        <v>4</v>
      </c>
      <c r="AR27" s="501">
        <f>IF(VLOOKUP($C27,'Table S3 Literature Values'!$A$10:$AV$10000,AR$1,FALSE)=0,VLOOKUP($C27,'Table S9 Model Derived Values'!$A$10:$AV$10000,AR$1,FALSE),VLOOKUP($C27,'Table S3 Literature Values'!$A$10:$AV$10000,AR$1,FALSE))</f>
        <v>74.825000000000003</v>
      </c>
      <c r="AS27" s="61">
        <f>IF(INDEX('Table S3 Literature Values'!$A$10:$AV$10000,MATCH($C27,'Table S3 Literature Values'!$A$10:$A$10000,0)+1,AS$1)=0,INDEX('Table S9 Model Derived Values'!$A$10:$AV$10000,MATCH($C27,'Table S9 Model Derived Values'!$A$10:$A$10000,0)+1,AS$1),INDEX('Table S3 Literature Values'!$A$10:$AV$10000,MATCH($C27,'Table S3 Literature Values'!$A$10:$A$10000,0)+1,AS$1))</f>
        <v>0.77513439694890829</v>
      </c>
      <c r="AT27" s="63">
        <f>INDEX('Table S3 Literature Values'!$A$10:$AV$10000,MATCH($C27,'Table S3 Literature Values'!$A$10:$A$10000,0)+2,AS$1)</f>
        <v>4</v>
      </c>
    </row>
    <row r="28" spans="1:46">
      <c r="A28" t="str">
        <f>'Table S2 Compound Identifiers'!C33</f>
        <v>OCP</v>
      </c>
      <c r="B28">
        <f>COUNTIF($C$3:C28,"&lt;&gt;"&amp;"")</f>
        <v>26</v>
      </c>
      <c r="C28" t="str">
        <f>IF('Table S2 Compound Identifiers'!B33="","",'Table S2 Compound Identifiers'!B33)</f>
        <v>aldrin</v>
      </c>
      <c r="D28" t="str">
        <f>'Table S2 Compound Identifiers'!D33</f>
        <v>309-00-2</v>
      </c>
      <c r="E28" s="501">
        <f>IF(VLOOKUP($C28,'Table S3 Literature Values'!$A$10:$AV$10000,E$1,FALSE)=0,VLOOKUP($C28,'Table S9 Model Derived Values'!$A$10:$AV$10000,E$1,FALSE),VLOOKUP($C28,'Table S3 Literature Values'!$A$10:$AV$10000,E$1,FALSE))</f>
        <v>77.347043836255963</v>
      </c>
      <c r="F28" s="61">
        <f>IF(INDEX('Table S3 Literature Values'!$A$10:$AV$10000,MATCH($C28,'Table S3 Literature Values'!$A$10:$A$10000,0)+1,F$1)=0,INDEX('Table S9 Model Derived Values'!$A$10:$AV$10000,MATCH($C28,'Table S9 Model Derived Values'!$A$10:$A$10000,0)+1,F$1),INDEX('Table S3 Literature Values'!$A$10:$AV$10000,MATCH($C28,'Table S3 Literature Values'!$A$10:$A$10000,0)+1,F$1))</f>
        <v>7.3953189102177799</v>
      </c>
      <c r="G28" s="63">
        <f>INDEX('Table S3 Literature Values'!$A$10:$AV$10000,MATCH($C28,'Table S3 Literature Values'!$A$10:$A$10000,0)+2,F$1)</f>
        <v>3</v>
      </c>
      <c r="H28" s="501">
        <f>IF(VLOOKUP($C28,'Table S3 Literature Values'!$A$10:$AV$10000,H$1,FALSE)=0,VLOOKUP($C28,'Table S9 Model Derived Values'!$A$10:$AV$10000,H$1,FALSE),VLOOKUP($C28,'Table S3 Literature Values'!$A$10:$AV$10000,H$1,FALSE))</f>
        <v>29.079368261186517</v>
      </c>
      <c r="I28" s="61">
        <f>IF(INDEX('Table S3 Literature Values'!$A$10:$AV$10000,MATCH($C28,'Table S3 Literature Values'!$A$10:$A$10000,0)+1,I$1)=0,INDEX('Table S9 Model Derived Values'!$A$10:$AV$10000,MATCH($C28,'Table S9 Model Derived Values'!$A$10:$A$10000,0)+1,I$1),INDEX('Table S3 Literature Values'!$A$10:$AV$10000,MATCH($C28,'Table S3 Literature Values'!$A$10:$A$10000,0)+1,I$1))</f>
        <v>6.5344819987476823</v>
      </c>
      <c r="J28" s="63">
        <f>INDEX('Table S3 Literature Values'!$A$10:$AV$10000,MATCH($C28,'Table S3 Literature Values'!$A$10:$A$10000,0)+2,I$1)</f>
        <v>2</v>
      </c>
      <c r="K28" s="501">
        <f>IF(VLOOKUP($C28,'Table S3 Literature Values'!$A$10:$AV$10000,K$1,FALSE)=0,VLOOKUP($C28,'Table S9 Model Derived Values'!$A$10:$AV$10000,K$1,FALSE),VLOOKUP($C28,'Table S3 Literature Values'!$A$10:$AV$10000,K$1,FALSE))</f>
        <v>0</v>
      </c>
      <c r="L28" s="61">
        <f>IF(INDEX('Table S3 Literature Values'!$A$10:$AV$10000,MATCH($C28,'Table S3 Literature Values'!$A$10:$A$10000,0)+1,L$1)=0,INDEX('Table S9 Model Derived Values'!$A$10:$AV$10000,MATCH($C28,'Table S9 Model Derived Values'!$A$10:$A$10000,0)+1,L$1),INDEX('Table S3 Literature Values'!$A$10:$AV$10000,MATCH($C28,'Table S3 Literature Values'!$A$10:$A$10000,0)+1,L$1))</f>
        <v>0</v>
      </c>
      <c r="M28" s="63">
        <f>INDEX('Table S3 Literature Values'!$A$10:$AV$10000,MATCH($C28,'Table S3 Literature Values'!$A$10:$A$10000,0)+2,L$1)</f>
        <v>0</v>
      </c>
      <c r="N28" s="501">
        <f>IF(VLOOKUP($C28,'Table S3 Literature Values'!$A$10:$AV$10000,N$1,FALSE)=0,VLOOKUP($C28,'Table S9 Model Derived Values'!$A$10:$AV$10000,N$1,FALSE),VLOOKUP($C28,'Table S3 Literature Values'!$A$10:$AV$10000,N$1,FALSE))</f>
        <v>73.2</v>
      </c>
      <c r="O28" s="61">
        <f>IF(INDEX('Table S3 Literature Values'!$A$10:$AV$10000,MATCH($C28,'Table S3 Literature Values'!$A$10:$A$10000,0)+1,O$1)=0,INDEX('Table S9 Model Derived Values'!$A$10:$AV$10000,MATCH($C28,'Table S9 Model Derived Values'!$A$10:$A$10000,0)+1,O$1),INDEX('Table S3 Literature Values'!$A$10:$AV$10000,MATCH($C28,'Table S3 Literature Values'!$A$10:$A$10000,0)+1,O$1))</f>
        <v>4.637811732716516</v>
      </c>
      <c r="P28" s="63">
        <f>INDEX('Table S3 Literature Values'!$A$10:$AV$10000,MATCH($C28,'Table S3 Literature Values'!$A$10:$A$10000,0)+2,O$1)</f>
        <v>1</v>
      </c>
      <c r="Q28" s="501">
        <f>IF(VLOOKUP($C28,'Table S3 Literature Values'!$A$10:$AV$10000,Q$1,FALSE)=0,VLOOKUP($C28,'Table S9 Model Derived Values'!$A$10:$AV$10000,Q$1,FALSE),VLOOKUP($C28,'Table S3 Literature Values'!$A$10:$AV$10000,Q$1,FALSE))</f>
        <v>29.809000000000005</v>
      </c>
      <c r="R28" s="61">
        <f>IF(INDEX('Table S3 Literature Values'!$A$10:$AV$10000,MATCH($C28,'Table S3 Literature Values'!$A$10:$A$10000,0)+1,R$1)=0,INDEX('Table S9 Model Derived Values'!$A$10:$AV$10000,MATCH($C28,'Table S9 Model Derived Values'!$A$10:$A$10000,0)+1,R$1),INDEX('Table S3 Literature Values'!$A$10:$AV$10000,MATCH($C28,'Table S3 Literature Values'!$A$10:$A$10000,0)+1,R$1))</f>
        <v>8.9427000000000003</v>
      </c>
      <c r="S28" s="63">
        <f>INDEX('Table S3 Literature Values'!$A$10:$AV$10000,MATCH($C28,'Table S3 Literature Values'!$A$10:$A$10000,0)+2,R$1)</f>
        <v>1</v>
      </c>
      <c r="T28" s="501">
        <f>IF(VLOOKUP($C28,'Table S3 Literature Values'!$A$10:$AV$10000,T$1,FALSE)=0,VLOOKUP($C28,'Table S9 Model Derived Values'!$A$10:$AV$10000,T$1,FALSE),VLOOKUP($C28,'Table S3 Literature Values'!$A$10:$AV$10000,T$1,FALSE))</f>
        <v>-17.663428</v>
      </c>
      <c r="U28" s="61">
        <f>IF(INDEX('Table S3 Literature Values'!$A$10:$AV$10000,MATCH($C28,'Table S3 Literature Values'!$A$10:$A$10000,0)+1,U$1)=0,INDEX('Table S9 Model Derived Values'!$A$10:$AV$10000,MATCH($C28,'Table S9 Model Derived Values'!$A$10:$A$10000,0)+1,U$1),INDEX('Table S3 Literature Values'!$A$10:$AV$10000,MATCH($C28,'Table S3 Literature Values'!$A$10:$A$10000,0)+1,U$1))</f>
        <v>7.2457704000903069</v>
      </c>
      <c r="V28" s="63">
        <f>INDEX('Table S3 Literature Values'!$A$10:$AV$10000,MATCH($C28,'Table S3 Literature Values'!$A$10:$A$10000,0)+2,U$1)</f>
        <v>0</v>
      </c>
      <c r="W28" s="501">
        <f>IF(VLOOKUP($C28,'Table S3 Literature Values'!$A$10:$AV$10000,W$1,FALSE)=0,VLOOKUP($C28,'Table S9 Model Derived Values'!$A$10:$AV$10000,W$1,FALSE),VLOOKUP($C28,'Table S3 Literature Values'!$A$10:$AV$10000,W$1,FALSE))</f>
        <v>8.222192323207425</v>
      </c>
      <c r="X28" s="61">
        <f>IF(INDEX('Table S3 Literature Values'!$A$10:$AV$10000,MATCH($C28,'Table S3 Literature Values'!$A$10:$A$10000,0)+1,X$1)=0,INDEX('Table S9 Model Derived Values'!$A$10:$AV$10000,MATCH($C28,'Table S9 Model Derived Values'!$A$10:$A$10000,0)+1,X$1),INDEX('Table S3 Literature Values'!$A$10:$AV$10000,MATCH($C28,'Table S3 Literature Values'!$A$10:$A$10000,0)+1,X$1))</f>
        <v>0.13232171787153463</v>
      </c>
      <c r="Y28" s="63">
        <f>INDEX('Table S3 Literature Values'!$A$10:$AV$10000,MATCH($C28,'Table S3 Literature Values'!$A$10:$A$10000,0)+2,X$1)</f>
        <v>3</v>
      </c>
      <c r="Z28" s="501">
        <f>IF(VLOOKUP($C28,'Table S3 Literature Values'!$A$10:$AV$10000,Z$1,FALSE)=0,VLOOKUP($C28,'Table S9 Model Derived Values'!$A$10:$AV$10000,Z$1,FALSE),VLOOKUP($C28,'Table S3 Literature Values'!$A$10:$AV$10000,Z$1,FALSE))</f>
        <v>6.4960000000000004</v>
      </c>
      <c r="AA28" s="61">
        <f>IF(INDEX('Table S3 Literature Values'!$A$10:$AV$10000,MATCH($C28,'Table S3 Literature Values'!$A$10:$A$10000,0)+1,AA$1)=0,INDEX('Table S9 Model Derived Values'!$A$10:$AV$10000,MATCH($C28,'Table S9 Model Derived Values'!$A$10:$A$10000,0)+1,AA$1),INDEX('Table S3 Literature Values'!$A$10:$AV$10000,MATCH($C28,'Table S3 Literature Values'!$A$10:$A$10000,0)+1,AA$1))</f>
        <v>0.4403671534472236</v>
      </c>
      <c r="AB28" s="63">
        <f>INDEX('Table S3 Literature Values'!$A$10:$AV$10000,MATCH($C28,'Table S3 Literature Values'!$A$10:$A$10000,0)+2,AA$1)</f>
        <v>1</v>
      </c>
      <c r="AC28" s="501">
        <f>IF(VLOOKUP($C28,'Table S3 Literature Values'!$A$10:$AV$10000,AC$1,FALSE)=0,VLOOKUP($C28,'Table S9 Model Derived Values'!$A$10:$AV$10000,AC$1,FALSE),VLOOKUP($C28,'Table S3 Literature Values'!$A$10:$AV$10000,AC$1,FALSE))</f>
        <v>-2.7753503109531596</v>
      </c>
      <c r="AD28" s="61">
        <f>IF(INDEX('Table S3 Literature Values'!$A$10:$AV$10000,MATCH($C28,'Table S3 Literature Values'!$A$10:$A$10000,0)+1,AD$1)=0,INDEX('Table S9 Model Derived Values'!$A$10:$AV$10000,MATCH($C28,'Table S9 Model Derived Values'!$A$10:$A$10000,0)+1,AD$1),INDEX('Table S3 Literature Values'!$A$10:$AV$10000,MATCH($C28,'Table S3 Literature Values'!$A$10:$A$10000,0)+1,AD$1))</f>
        <v>4.8532968131012003E-2</v>
      </c>
      <c r="AE28" s="63">
        <f>INDEX('Table S3 Literature Values'!$A$10:$AV$10000,MATCH($C28,'Table S3 Literature Values'!$A$10:$A$10000,0)+2,AD$1)</f>
        <v>2</v>
      </c>
      <c r="AF28" s="501">
        <f>IF(VLOOKUP($C28,'Table S3 Literature Values'!$A$10:$AV$10000,AF$1,FALSE)=0,VLOOKUP($C28,'Table S9 Model Derived Values'!$A$10:$AV$10000,AF$1,FALSE),VLOOKUP($C28,'Table S3 Literature Values'!$A$10:$AV$10000,AF$1,FALSE))</f>
        <v>-1.4798096171291917</v>
      </c>
      <c r="AG28" s="61">
        <f>IF(INDEX('Table S3 Literature Values'!$A$10:$AV$10000,MATCH($C28,'Table S3 Literature Values'!$A$10:$A$10000,0)+1,AG$1)=0,INDEX('Table S9 Model Derived Values'!$A$10:$AV$10000,MATCH($C28,'Table S9 Model Derived Values'!$A$10:$A$10000,0)+1,AG$1),INDEX('Table S3 Literature Values'!$A$10:$AV$10000,MATCH($C28,'Table S3 Literature Values'!$A$10:$A$10000,0)+1,AG$1))</f>
        <v>0.2105699012314845</v>
      </c>
      <c r="AH28" s="63">
        <f>INDEX('Table S3 Literature Values'!$A$10:$AV$10000,MATCH($C28,'Table S3 Literature Values'!$A$10:$A$10000,0)+2,AG$1)</f>
        <v>6</v>
      </c>
      <c r="AI28" s="501">
        <f>IF(VLOOKUP($C28,'Table S3 Literature Values'!$A$10:$AV$10000,AI$1,FALSE)=0,VLOOKUP($C28,'Table S9 Model Derived Values'!$A$10:$AV$10000,AI$1,FALSE),VLOOKUP($C28,'Table S3 Literature Values'!$A$10:$AV$10000,AI$1,FALSE))</f>
        <v>-2.6051793070033451</v>
      </c>
      <c r="AJ28" s="61">
        <f>IF(INDEX('Table S3 Literature Values'!$A$10:$AV$10000,MATCH($C28,'Table S3 Literature Values'!$A$10:$A$10000,0)+1,AJ$1)=0,INDEX('Table S9 Model Derived Values'!$A$10:$AV$10000,MATCH($C28,'Table S9 Model Derived Values'!$A$10:$A$10000,0)+1,AJ$1),INDEX('Table S3 Literature Values'!$A$10:$AV$10000,MATCH($C28,'Table S3 Literature Values'!$A$10:$A$10000,0)+1,AJ$1))</f>
        <v>3.2355431865532899E-2</v>
      </c>
      <c r="AK28" s="63">
        <f>INDEX('Table S3 Literature Values'!$A$10:$AV$10000,MATCH($C28,'Table S3 Literature Values'!$A$10:$A$10000,0)+2,AJ$1)</f>
        <v>2</v>
      </c>
      <c r="AL28" s="501">
        <f>IF(VLOOKUP($C28,'Table S3 Literature Values'!$A$10:$AV$10000,AL$1,FALSE)=0,VLOOKUP($C28,'Table S9 Model Derived Values'!$A$10:$AV$10000,AL$1,FALSE),VLOOKUP($C28,'Table S3 Literature Values'!$A$10:$AV$10000,AL$1,FALSE))</f>
        <v>3.2225393999999987</v>
      </c>
      <c r="AM28" s="61">
        <f>IF(INDEX('Table S3 Literature Values'!$A$10:$AV$10000,MATCH($C28,'Table S3 Literature Values'!$A$10:$A$10000,0)+1,AM$1)=0,INDEX('Table S9 Model Derived Values'!$A$10:$AV$10000,MATCH($C28,'Table S9 Model Derived Values'!$A$10:$A$10000,0)+1,AM$1),INDEX('Table S3 Literature Values'!$A$10:$AV$10000,MATCH($C28,'Table S3 Literature Values'!$A$10:$A$10000,0)+1,AM$1))</f>
        <v>0.58241276830139976</v>
      </c>
      <c r="AN28" s="63">
        <f>INDEX('Table S3 Literature Values'!$A$10:$AV$10000,MATCH($C28,'Table S3 Literature Values'!$A$10:$A$10000,0)+2,AM$1)</f>
        <v>0</v>
      </c>
      <c r="AO28" s="501">
        <f>IF(VLOOKUP($C28,'Table S3 Literature Values'!$A$10:$AV$10000,AO$1,FALSE)=0,VLOOKUP($C28,'Table S9 Model Derived Values'!$A$10:$AV$10000,AO$1,FALSE),VLOOKUP($C28,'Table S3 Literature Values'!$A$10:$AV$10000,AO$1,FALSE))</f>
        <v>54.267815648747543</v>
      </c>
      <c r="AP28" s="61">
        <f>IF(INDEX('Table S3 Literature Values'!$A$10:$AV$10000,MATCH($C28,'Table S3 Literature Values'!$A$10:$A$10000,0)+1,AP$1)=0,INDEX('Table S9 Model Derived Values'!$A$10:$AV$10000,MATCH($C28,'Table S9 Model Derived Values'!$A$10:$A$10000,0)+1,AP$1),INDEX('Table S3 Literature Values'!$A$10:$AV$10000,MATCH($C28,'Table S3 Literature Values'!$A$10:$A$10000,0)+1,AP$1))</f>
        <v>2.9667593418172813</v>
      </c>
      <c r="AQ28" s="63">
        <f>INDEX('Table S3 Literature Values'!$A$10:$AV$10000,MATCH($C28,'Table S3 Literature Values'!$A$10:$A$10000,0)+2,AP$1)</f>
        <v>2</v>
      </c>
      <c r="AR28" s="501">
        <f>IF(VLOOKUP($C28,'Table S3 Literature Values'!$A$10:$AV$10000,AR$1,FALSE)=0,VLOOKUP($C28,'Table S9 Model Derived Values'!$A$10:$AV$10000,AR$1,FALSE),VLOOKUP($C28,'Table S3 Literature Values'!$A$10:$AV$10000,AR$1,FALSE))</f>
        <v>103.37</v>
      </c>
      <c r="AS28" s="61">
        <f>IF(INDEX('Table S3 Literature Values'!$A$10:$AV$10000,MATCH($C28,'Table S3 Literature Values'!$A$10:$A$10000,0)+1,AS$1)=0,INDEX('Table S9 Model Derived Values'!$A$10:$AV$10000,MATCH($C28,'Table S9 Model Derived Values'!$A$10:$A$10000,0)+1,AS$1),INDEX('Table S3 Literature Values'!$A$10:$AV$10000,MATCH($C28,'Table S3 Literature Values'!$A$10:$A$10000,0)+1,AS$1))</f>
        <v>1.050357082139215</v>
      </c>
      <c r="AT28" s="63">
        <f>INDEX('Table S3 Literature Values'!$A$10:$AV$10000,MATCH($C28,'Table S3 Literature Values'!$A$10:$A$10000,0)+2,AS$1)</f>
        <v>5</v>
      </c>
    </row>
    <row r="29" spans="1:46">
      <c r="A29" t="str">
        <f>'Table S2 Compound Identifiers'!C34</f>
        <v>OCP</v>
      </c>
      <c r="B29">
        <f>COUNTIF($C$3:C29,"&lt;&gt;"&amp;"")</f>
        <v>27</v>
      </c>
      <c r="C29" t="str">
        <f>IF('Table S2 Compound Identifiers'!B34="","",'Table S2 Compound Identifiers'!B34)</f>
        <v>TN</v>
      </c>
      <c r="D29" t="str">
        <f>'Table S2 Compound Identifiers'!D34</f>
        <v>39765-80-5</v>
      </c>
      <c r="E29" s="501">
        <f>IF(VLOOKUP($C29,'Table S3 Literature Values'!$A$10:$AV$10000,E$1,FALSE)=0,VLOOKUP($C29,'Table S9 Model Derived Values'!$A$10:$AV$10000,E$1,FALSE),VLOOKUP($C29,'Table S3 Literature Values'!$A$10:$AV$10000,E$1,FALSE))</f>
        <v>80.667008962682672</v>
      </c>
      <c r="F29" s="61">
        <f>IF(INDEX('Table S3 Literature Values'!$A$10:$AV$10000,MATCH($C29,'Table S3 Literature Values'!$A$10:$A$10000,0)+1,F$1)=0,INDEX('Table S9 Model Derived Values'!$A$10:$AV$10000,MATCH($C29,'Table S9 Model Derived Values'!$A$10:$A$10000,0)+1,F$1),INDEX('Table S3 Literature Values'!$A$10:$AV$10000,MATCH($C29,'Table S3 Literature Values'!$A$10:$A$10000,0)+1,F$1))</f>
        <v>6.8829900832172575</v>
      </c>
      <c r="G29" s="63">
        <f>INDEX('Table S3 Literature Values'!$A$10:$AV$10000,MATCH($C29,'Table S3 Literature Values'!$A$10:$A$10000,0)+2,F$1)</f>
        <v>2</v>
      </c>
      <c r="H29" s="501">
        <f>IF(VLOOKUP($C29,'Table S3 Literature Values'!$A$10:$AV$10000,H$1,FALSE)=0,VLOOKUP($C29,'Table S9 Model Derived Values'!$A$10:$AV$10000,H$1,FALSE),VLOOKUP($C29,'Table S3 Literature Values'!$A$10:$AV$10000,H$1,FALSE))</f>
        <v>0.27822774122417115</v>
      </c>
      <c r="I29" s="61">
        <f>IF(INDEX('Table S3 Literature Values'!$A$10:$AV$10000,MATCH($C29,'Table S3 Literature Values'!$A$10:$A$10000,0)+1,I$1)=0,INDEX('Table S9 Model Derived Values'!$A$10:$AV$10000,MATCH($C29,'Table S9 Model Derived Values'!$A$10:$A$10000,0)+1,I$1),INDEX('Table S3 Literature Values'!$A$10:$AV$10000,MATCH($C29,'Table S3 Literature Values'!$A$10:$A$10000,0)+1,I$1))</f>
        <v>0.17655414306539863</v>
      </c>
      <c r="J29" s="63">
        <f>INDEX('Table S3 Literature Values'!$A$10:$AV$10000,MATCH($C29,'Table S3 Literature Values'!$A$10:$A$10000,0)+2,I$1)</f>
        <v>0</v>
      </c>
      <c r="K29" s="501">
        <f>IF(VLOOKUP($C29,'Table S3 Literature Values'!$A$10:$AV$10000,K$1,FALSE)=0,VLOOKUP($C29,'Table S9 Model Derived Values'!$A$10:$AV$10000,K$1,FALSE),VLOOKUP($C29,'Table S3 Literature Values'!$A$10:$AV$10000,K$1,FALSE))</f>
        <v>0</v>
      </c>
      <c r="L29" s="61">
        <f>IF(INDEX('Table S3 Literature Values'!$A$10:$AV$10000,MATCH($C29,'Table S3 Literature Values'!$A$10:$A$10000,0)+1,L$1)=0,INDEX('Table S9 Model Derived Values'!$A$10:$AV$10000,MATCH($C29,'Table S9 Model Derived Values'!$A$10:$A$10000,0)+1,L$1),INDEX('Table S3 Literature Values'!$A$10:$AV$10000,MATCH($C29,'Table S3 Literature Values'!$A$10:$A$10000,0)+1,L$1))</f>
        <v>0</v>
      </c>
      <c r="M29" s="63">
        <f>INDEX('Table S3 Literature Values'!$A$10:$AV$10000,MATCH($C29,'Table S3 Literature Values'!$A$10:$A$10000,0)+2,L$1)</f>
        <v>0</v>
      </c>
      <c r="N29" s="501">
        <f>IF(VLOOKUP($C29,'Table S3 Literature Values'!$A$10:$AV$10000,N$1,FALSE)=0,VLOOKUP($C29,'Table S9 Model Derived Values'!$A$10:$AV$10000,N$1,FALSE),VLOOKUP($C29,'Table S3 Literature Values'!$A$10:$AV$10000,N$1,FALSE))</f>
        <v>74.7</v>
      </c>
      <c r="O29" s="61">
        <f>IF(INDEX('Table S3 Literature Values'!$A$10:$AV$10000,MATCH($C29,'Table S3 Literature Values'!$A$10:$A$10000,0)+1,O$1)=0,INDEX('Table S9 Model Derived Values'!$A$10:$AV$10000,MATCH($C29,'Table S9 Model Derived Values'!$A$10:$A$10000,0)+1,O$1),INDEX('Table S3 Literature Values'!$A$10:$AV$10000,MATCH($C29,'Table S3 Literature Values'!$A$10:$A$10000,0)+1,O$1))</f>
        <v>4.7328488583869364</v>
      </c>
      <c r="P29" s="63">
        <f>INDEX('Table S3 Literature Values'!$A$10:$AV$10000,MATCH($C29,'Table S3 Literature Values'!$A$10:$A$10000,0)+2,O$1)</f>
        <v>1</v>
      </c>
      <c r="Q29" s="501">
        <f>IF(VLOOKUP($C29,'Table S3 Literature Values'!$A$10:$AV$10000,Q$1,FALSE)=0,VLOOKUP($C29,'Table S9 Model Derived Values'!$A$10:$AV$10000,Q$1,FALSE),VLOOKUP($C29,'Table S3 Literature Values'!$A$10:$AV$10000,Q$1,FALSE))</f>
        <v>50.459000000000003</v>
      </c>
      <c r="R29" s="61">
        <f>IF(INDEX('Table S3 Literature Values'!$A$10:$AV$10000,MATCH($C29,'Table S3 Literature Values'!$A$10:$A$10000,0)+1,R$1)=0,INDEX('Table S9 Model Derived Values'!$A$10:$AV$10000,MATCH($C29,'Table S9 Model Derived Values'!$A$10:$A$10000,0)+1,R$1),INDEX('Table S3 Literature Values'!$A$10:$AV$10000,MATCH($C29,'Table S3 Literature Values'!$A$10:$A$10000,0)+1,R$1))</f>
        <v>18.738329701443487</v>
      </c>
      <c r="S29" s="63">
        <f>INDEX('Table S3 Literature Values'!$A$10:$AV$10000,MATCH($C29,'Table S3 Literature Values'!$A$10:$A$10000,0)+2,R$1)</f>
        <v>2</v>
      </c>
      <c r="T29" s="501">
        <f>IF(VLOOKUP($C29,'Table S3 Literature Values'!$A$10:$AV$10000,T$1,FALSE)=0,VLOOKUP($C29,'Table S9 Model Derived Values'!$A$10:$AV$10000,T$1,FALSE),VLOOKUP($C29,'Table S3 Literature Values'!$A$10:$AV$10000,T$1,FALSE))</f>
        <v>-16.38782800000001</v>
      </c>
      <c r="U29" s="61">
        <f>IF(INDEX('Table S3 Literature Values'!$A$10:$AV$10000,MATCH($C29,'Table S3 Literature Values'!$A$10:$A$10000,0)+1,U$1)=0,INDEX('Table S9 Model Derived Values'!$A$10:$AV$10000,MATCH($C29,'Table S9 Model Derived Values'!$A$10:$A$10000,0)+1,U$1),INDEX('Table S3 Literature Values'!$A$10:$AV$10000,MATCH($C29,'Table S3 Literature Values'!$A$10:$A$10000,0)+1,U$1))</f>
        <v>6.7225025088092298</v>
      </c>
      <c r="V29" s="63">
        <f>INDEX('Table S3 Literature Values'!$A$10:$AV$10000,MATCH($C29,'Table S3 Literature Values'!$A$10:$A$10000,0)+2,U$1)</f>
        <v>0</v>
      </c>
      <c r="W29" s="501">
        <f>IF(VLOOKUP($C29,'Table S3 Literature Values'!$A$10:$AV$10000,W$1,FALSE)=0,VLOOKUP($C29,'Table S9 Model Derived Values'!$A$10:$AV$10000,W$1,FALSE),VLOOKUP($C29,'Table S3 Literature Values'!$A$10:$AV$10000,W$1,FALSE))</f>
        <v>9.1223628792302236</v>
      </c>
      <c r="X29" s="61">
        <f>IF(INDEX('Table S3 Literature Values'!$A$10:$AV$10000,MATCH($C29,'Table S3 Literature Values'!$A$10:$A$10000,0)+1,X$1)=0,INDEX('Table S9 Model Derived Values'!$A$10:$AV$10000,MATCH($C29,'Table S9 Model Derived Values'!$A$10:$A$10000,0)+1,X$1),INDEX('Table S3 Literature Values'!$A$10:$AV$10000,MATCH($C29,'Table S3 Literature Values'!$A$10:$A$10000,0)+1,X$1))</f>
        <v>0.23707468974979304</v>
      </c>
      <c r="Y29" s="63">
        <f>INDEX('Table S3 Literature Values'!$A$10:$AV$10000,MATCH($C29,'Table S3 Literature Values'!$A$10:$A$10000,0)+2,X$1)</f>
        <v>2</v>
      </c>
      <c r="Z29" s="501">
        <f>IF(VLOOKUP($C29,'Table S3 Literature Values'!$A$10:$AV$10000,Z$1,FALSE)=0,VLOOKUP($C29,'Table S9 Model Derived Values'!$A$10:$AV$10000,Z$1,FALSE),VLOOKUP($C29,'Table S3 Literature Values'!$A$10:$AV$10000,Z$1,FALSE))</f>
        <v>6.35</v>
      </c>
      <c r="AA29" s="61">
        <f>IF(INDEX('Table S3 Literature Values'!$A$10:$AV$10000,MATCH($C29,'Table S3 Literature Values'!$A$10:$A$10000,0)+1,AA$1)=0,INDEX('Table S9 Model Derived Values'!$A$10:$AV$10000,MATCH($C29,'Table S9 Model Derived Values'!$A$10:$A$10000,0)+1,AA$1),INDEX('Table S3 Literature Values'!$A$10:$AV$10000,MATCH($C29,'Table S3 Literature Values'!$A$10:$A$10000,0)+1,AA$1))</f>
        <v>0.63500000000000001</v>
      </c>
      <c r="AB29" s="63">
        <f>INDEX('Table S3 Literature Values'!$A$10:$AV$10000,MATCH($C29,'Table S3 Literature Values'!$A$10:$A$10000,0)+2,AA$1)</f>
        <v>1</v>
      </c>
      <c r="AC29" s="501">
        <f>IF(VLOOKUP($C29,'Table S3 Literature Values'!$A$10:$AV$10000,AC$1,FALSE)=0,VLOOKUP($C29,'Table S9 Model Derived Values'!$A$10:$AV$10000,AC$1,FALSE),VLOOKUP($C29,'Table S3 Literature Values'!$A$10:$AV$10000,AC$1,FALSE))</f>
        <v>-2.5242420587327659</v>
      </c>
      <c r="AD29" s="61">
        <f>IF(INDEX('Table S3 Literature Values'!$A$10:$AV$10000,MATCH($C29,'Table S3 Literature Values'!$A$10:$A$10000,0)+1,AD$1)=0,INDEX('Table S9 Model Derived Values'!$A$10:$AV$10000,MATCH($C29,'Table S9 Model Derived Values'!$A$10:$A$10000,0)+1,AD$1),INDEX('Table S3 Literature Values'!$A$10:$AV$10000,MATCH($C29,'Table S3 Literature Values'!$A$10:$A$10000,0)+1,AD$1))</f>
        <v>0.31901118714058818</v>
      </c>
      <c r="AE29" s="63">
        <f>INDEX('Table S3 Literature Values'!$A$10:$AV$10000,MATCH($C29,'Table S3 Literature Values'!$A$10:$A$10000,0)+2,AD$1)</f>
        <v>0</v>
      </c>
      <c r="AF29" s="501">
        <f>IF(VLOOKUP($C29,'Table S3 Literature Values'!$A$10:$AV$10000,AF$1,FALSE)=0,VLOOKUP($C29,'Table S9 Model Derived Values'!$A$10:$AV$10000,AF$1,FALSE),VLOOKUP($C29,'Table S3 Literature Values'!$A$10:$AV$10000,AF$1,FALSE))</f>
        <v>-2.3516932036933884</v>
      </c>
      <c r="AG29" s="61">
        <f>IF(INDEX('Table S3 Literature Values'!$A$10:$AV$10000,MATCH($C29,'Table S3 Literature Values'!$A$10:$A$10000,0)+1,AG$1)=0,INDEX('Table S9 Model Derived Values'!$A$10:$AV$10000,MATCH($C29,'Table S9 Model Derived Values'!$A$10:$A$10000,0)+1,AG$1),INDEX('Table S3 Literature Values'!$A$10:$AV$10000,MATCH($C29,'Table S3 Literature Values'!$A$10:$A$10000,0)+1,AG$1))</f>
        <v>0.13078312861872404</v>
      </c>
      <c r="AH29" s="63">
        <f>INDEX('Table S3 Literature Values'!$A$10:$AV$10000,MATCH($C29,'Table S3 Literature Values'!$A$10:$A$10000,0)+2,AG$1)</f>
        <v>3</v>
      </c>
      <c r="AI29" s="501">
        <f>IF(VLOOKUP($C29,'Table S3 Literature Values'!$A$10:$AV$10000,AI$1,FALSE)=0,VLOOKUP($C29,'Table S9 Model Derived Values'!$A$10:$AV$10000,AI$1,FALSE),VLOOKUP($C29,'Table S3 Literature Values'!$A$10:$AV$10000,AI$1,FALSE))</f>
        <v>-0.92277053000000075</v>
      </c>
      <c r="AJ29" s="61">
        <f>IF(INDEX('Table S3 Literature Values'!$A$10:$AV$10000,MATCH($C29,'Table S3 Literature Values'!$A$10:$A$10000,0)+1,AJ$1)=0,INDEX('Table S9 Model Derived Values'!$A$10:$AV$10000,MATCH($C29,'Table S9 Model Derived Values'!$A$10:$A$10000,0)+1,AJ$1),INDEX('Table S3 Literature Values'!$A$10:$AV$10000,MATCH($C29,'Table S3 Literature Values'!$A$10:$A$10000,0)+1,AJ$1))</f>
        <v>0.14634586943482014</v>
      </c>
      <c r="AK29" s="63">
        <f>INDEX('Table S3 Literature Values'!$A$10:$AV$10000,MATCH($C29,'Table S3 Literature Values'!$A$10:$A$10000,0)+2,AJ$1)</f>
        <v>0</v>
      </c>
      <c r="AL29" s="501">
        <f>IF(VLOOKUP($C29,'Table S3 Literature Values'!$A$10:$AV$10000,AL$1,FALSE)=0,VLOOKUP($C29,'Table S9 Model Derived Values'!$A$10:$AV$10000,AL$1,FALSE),VLOOKUP($C29,'Table S3 Literature Values'!$A$10:$AV$10000,AL$1,FALSE))</f>
        <v>2.7815664</v>
      </c>
      <c r="AM29" s="61">
        <f>IF(INDEX('Table S3 Literature Values'!$A$10:$AV$10000,MATCH($C29,'Table S3 Literature Values'!$A$10:$A$10000,0)+1,AM$1)=0,INDEX('Table S9 Model Derived Values'!$A$10:$AV$10000,MATCH($C29,'Table S9 Model Derived Values'!$A$10:$A$10000,0)+1,AM$1),INDEX('Table S3 Literature Values'!$A$10:$AV$10000,MATCH($C29,'Table S3 Literature Values'!$A$10:$A$10000,0)+1,AM$1))</f>
        <v>0.50271527703840002</v>
      </c>
      <c r="AN29" s="63">
        <f>INDEX('Table S3 Literature Values'!$A$10:$AV$10000,MATCH($C29,'Table S3 Literature Values'!$A$10:$A$10000,0)+2,AM$1)</f>
        <v>0</v>
      </c>
      <c r="AO29" s="501">
        <f>IF(VLOOKUP($C29,'Table S3 Literature Values'!$A$10:$AV$10000,AO$1,FALSE)=0,VLOOKUP($C29,'Table S9 Model Derived Values'!$A$10:$AV$10000,AO$1,FALSE),VLOOKUP($C29,'Table S3 Literature Values'!$A$10:$AV$10000,AO$1,FALSE))</f>
        <v>0</v>
      </c>
      <c r="AP29" s="61">
        <f>IF(INDEX('Table S3 Literature Values'!$A$10:$AV$10000,MATCH($C29,'Table S3 Literature Values'!$A$10:$A$10000,0)+1,AP$1)=0,INDEX('Table S9 Model Derived Values'!$A$10:$AV$10000,MATCH($C29,'Table S9 Model Derived Values'!$A$10:$A$10000,0)+1,AP$1),INDEX('Table S3 Literature Values'!$A$10:$AV$10000,MATCH($C29,'Table S3 Literature Values'!$A$10:$A$10000,0)+1,AP$1))</f>
        <v>0</v>
      </c>
      <c r="AQ29" s="63">
        <f>INDEX('Table S3 Literature Values'!$A$10:$AV$10000,MATCH($C29,'Table S3 Literature Values'!$A$10:$A$10000,0)+2,AP$1)</f>
        <v>0</v>
      </c>
      <c r="AR29" s="501">
        <f>IF(VLOOKUP($C29,'Table S3 Literature Values'!$A$10:$AV$10000,AR$1,FALSE)=0,VLOOKUP($C29,'Table S9 Model Derived Values'!$A$10:$AV$10000,AR$1,FALSE),VLOOKUP($C29,'Table S3 Literature Values'!$A$10:$AV$10000,AR$1,FALSE))</f>
        <v>126.90000000000002</v>
      </c>
      <c r="AS29" s="61">
        <f>IF(INDEX('Table S3 Literature Values'!$A$10:$AV$10000,MATCH($C29,'Table S3 Literature Values'!$A$10:$A$10000,0)+1,AS$1)=0,INDEX('Table S9 Model Derived Values'!$A$10:$AV$10000,MATCH($C29,'Table S9 Model Derived Values'!$A$10:$A$10000,0)+1,AS$1),INDEX('Table S3 Literature Values'!$A$10:$AV$10000,MATCH($C29,'Table S3 Literature Values'!$A$10:$A$10000,0)+1,AS$1))</f>
        <v>0.49244289008983061</v>
      </c>
      <c r="AT29" s="63">
        <f>INDEX('Table S3 Literature Values'!$A$10:$AV$10000,MATCH($C29,'Table S3 Literature Values'!$A$10:$A$10000,0)+2,AS$1)</f>
        <v>3</v>
      </c>
    </row>
    <row r="30" spans="1:46">
      <c r="A30" t="str">
        <f>'Table S2 Compound Identifiers'!C35</f>
        <v>OPE</v>
      </c>
      <c r="B30">
        <f>COUNTIF($C$3:C30,"&lt;&gt;"&amp;"")</f>
        <v>28</v>
      </c>
      <c r="C30" t="str">
        <f>IF('Table S2 Compound Identifiers'!B35="","",'Table S2 Compound Identifiers'!B35)</f>
        <v>TCEP</v>
      </c>
      <c r="D30" t="str">
        <f>'Table S2 Compound Identifiers'!D35</f>
        <v>115-96-8</v>
      </c>
      <c r="E30" s="501">
        <f>IF(VLOOKUP($C30,'Table S3 Literature Values'!$A$10:$AV$10000,E$1,FALSE)=0,VLOOKUP($C30,'Table S9 Model Derived Values'!$A$10:$AV$10000,E$1,FALSE),VLOOKUP($C30,'Table S3 Literature Values'!$A$10:$AV$10000,E$1,FALSE))</f>
        <v>81.233333333333334</v>
      </c>
      <c r="F30" s="61">
        <f>IF(INDEX('Table S3 Literature Values'!$A$10:$AV$10000,MATCH($C30,'Table S3 Literature Values'!$A$10:$A$10000,0)+1,F$1)=0,INDEX('Table S9 Model Derived Values'!$A$10:$AV$10000,MATCH($C30,'Table S9 Model Derived Values'!$A$10:$A$10000,0)+1,F$1),INDEX('Table S3 Literature Values'!$A$10:$AV$10000,MATCH($C30,'Table S3 Literature Values'!$A$10:$A$10000,0)+1,F$1))</f>
        <v>2.9091808698211468</v>
      </c>
      <c r="G30" s="63">
        <f>INDEX('Table S3 Literature Values'!$A$10:$AV$10000,MATCH($C30,'Table S3 Literature Values'!$A$10:$A$10000,0)+2,F$1)</f>
        <v>3</v>
      </c>
      <c r="H30" s="501">
        <f>IF(VLOOKUP($C30,'Table S3 Literature Values'!$A$10:$AV$10000,H$1,FALSE)=0,VLOOKUP($C30,'Table S9 Model Derived Values'!$A$10:$AV$10000,H$1,FALSE),VLOOKUP($C30,'Table S3 Literature Values'!$A$10:$AV$10000,H$1,FALSE))</f>
        <v>8.5991821757841791</v>
      </c>
      <c r="I30" s="61">
        <f>IF(INDEX('Table S3 Literature Values'!$A$10:$AV$10000,MATCH($C30,'Table S3 Literature Values'!$A$10:$A$10000,0)+1,I$1)=0,INDEX('Table S9 Model Derived Values'!$A$10:$AV$10000,MATCH($C30,'Table S9 Model Derived Values'!$A$10:$A$10000,0)+1,I$1),INDEX('Table S3 Literature Values'!$A$10:$AV$10000,MATCH($C30,'Table S3 Literature Values'!$A$10:$A$10000,0)+1,I$1))</f>
        <v>12.062760772546531</v>
      </c>
      <c r="J30" s="63">
        <f>INDEX('Table S3 Literature Values'!$A$10:$AV$10000,MATCH($C30,'Table S3 Literature Values'!$A$10:$A$10000,0)+2,I$1)</f>
        <v>0</v>
      </c>
      <c r="K30" s="501">
        <f>IF(VLOOKUP($C30,'Table S3 Literature Values'!$A$10:$AV$10000,K$1,FALSE)=0,VLOOKUP($C30,'Table S9 Model Derived Values'!$A$10:$AV$10000,K$1,FALSE),VLOOKUP($C30,'Table S3 Literature Values'!$A$10:$AV$10000,K$1,FALSE))</f>
        <v>0</v>
      </c>
      <c r="L30" s="61">
        <f>IF(INDEX('Table S3 Literature Values'!$A$10:$AV$10000,MATCH($C30,'Table S3 Literature Values'!$A$10:$A$10000,0)+1,L$1)=0,INDEX('Table S9 Model Derived Values'!$A$10:$AV$10000,MATCH($C30,'Table S9 Model Derived Values'!$A$10:$A$10000,0)+1,L$1),INDEX('Table S3 Literature Values'!$A$10:$AV$10000,MATCH($C30,'Table S3 Literature Values'!$A$10:$A$10000,0)+1,L$1))</f>
        <v>0</v>
      </c>
      <c r="M30" s="63">
        <f>INDEX('Table S3 Literature Values'!$A$10:$AV$10000,MATCH($C30,'Table S3 Literature Values'!$A$10:$A$10000,0)+2,L$1)</f>
        <v>0</v>
      </c>
      <c r="N30" s="501">
        <f>IF(VLOOKUP($C30,'Table S3 Literature Values'!$A$10:$AV$10000,N$1,FALSE)=0,VLOOKUP($C30,'Table S9 Model Derived Values'!$A$10:$AV$10000,N$1,FALSE),VLOOKUP($C30,'Table S3 Literature Values'!$A$10:$AV$10000,N$1,FALSE))</f>
        <v>79.8</v>
      </c>
      <c r="O30" s="61">
        <f>IF(INDEX('Table S3 Literature Values'!$A$10:$AV$10000,MATCH($C30,'Table S3 Literature Values'!$A$10:$A$10000,0)+1,O$1)=0,INDEX('Table S9 Model Derived Values'!$A$10:$AV$10000,MATCH($C30,'Table S9 Model Derived Values'!$A$10:$A$10000,0)+1,O$1),INDEX('Table S3 Literature Values'!$A$10:$AV$10000,MATCH($C30,'Table S3 Literature Values'!$A$10:$A$10000,0)+1,O$1))</f>
        <v>14.117011015083925</v>
      </c>
      <c r="P30" s="63">
        <f>INDEX('Table S3 Literature Values'!$A$10:$AV$10000,MATCH($C30,'Table S3 Literature Values'!$A$10:$A$10000,0)+2,O$1)</f>
        <v>3</v>
      </c>
      <c r="Q30" s="501">
        <f>IF(VLOOKUP($C30,'Table S3 Literature Values'!$A$10:$AV$10000,Q$1,FALSE)=0,VLOOKUP($C30,'Table S9 Model Derived Values'!$A$10:$AV$10000,Q$1,FALSE),VLOOKUP($C30,'Table S3 Literature Values'!$A$10:$AV$10000,Q$1,FALSE))</f>
        <v>88.651607799999994</v>
      </c>
      <c r="R30" s="61">
        <f>IF(INDEX('Table S3 Literature Values'!$A$10:$AV$10000,MATCH($C30,'Table S3 Literature Values'!$A$10:$A$10000,0)+1,R$1)=0,INDEX('Table S9 Model Derived Values'!$A$10:$AV$10000,MATCH($C30,'Table S9 Model Derived Values'!$A$10:$A$10000,0)+1,R$1),INDEX('Table S3 Literature Values'!$A$10:$AV$10000,MATCH($C30,'Table S3 Literature Values'!$A$10:$A$10000,0)+1,R$1))</f>
        <v>16.6194282626582</v>
      </c>
      <c r="S30" s="63">
        <f>INDEX('Table S3 Literature Values'!$A$10:$AV$10000,MATCH($C30,'Table S3 Literature Values'!$A$10:$A$10000,0)+2,R$1)</f>
        <v>0</v>
      </c>
      <c r="T30" s="501">
        <f>IF(VLOOKUP($C30,'Table S3 Literature Values'!$A$10:$AV$10000,T$1,FALSE)=0,VLOOKUP($C30,'Table S9 Model Derived Values'!$A$10:$AV$10000,T$1,FALSE),VLOOKUP($C30,'Table S3 Literature Values'!$A$10:$AV$10000,T$1,FALSE))</f>
        <v>19.752828000000004</v>
      </c>
      <c r="U30" s="61">
        <f>IF(INDEX('Table S3 Literature Values'!$A$10:$AV$10000,MATCH($C30,'Table S3 Literature Values'!$A$10:$A$10000,0)+1,U$1)=0,INDEX('Table S9 Model Derived Values'!$A$10:$AV$10000,MATCH($C30,'Table S9 Model Derived Values'!$A$10:$A$10000,0)+1,U$1),INDEX('Table S3 Literature Values'!$A$10:$AV$10000,MATCH($C30,'Table S3 Literature Values'!$A$10:$A$10000,0)+1,U$1))</f>
        <v>8.1028697510174723</v>
      </c>
      <c r="V30" s="63">
        <f>INDEX('Table S3 Literature Values'!$A$10:$AV$10000,MATCH($C30,'Table S3 Literature Values'!$A$10:$A$10000,0)+2,U$1)</f>
        <v>0</v>
      </c>
      <c r="W30" s="501">
        <f>IF(VLOOKUP($C30,'Table S3 Literature Values'!$A$10:$AV$10000,W$1,FALSE)=0,VLOOKUP($C30,'Table S9 Model Derived Values'!$A$10:$AV$10000,W$1,FALSE),VLOOKUP($C30,'Table S3 Literature Values'!$A$10:$AV$10000,W$1,FALSE))</f>
        <v>7.914452287052451</v>
      </c>
      <c r="X30" s="61">
        <f>IF(INDEX('Table S3 Literature Values'!$A$10:$AV$10000,MATCH($C30,'Table S3 Literature Values'!$A$10:$A$10000,0)+1,X$1)=0,INDEX('Table S9 Model Derived Values'!$A$10:$AV$10000,MATCH($C30,'Table S9 Model Derived Values'!$A$10:$A$10000,0)+1,X$1),INDEX('Table S3 Literature Values'!$A$10:$AV$10000,MATCH($C30,'Table S3 Literature Values'!$A$10:$A$10000,0)+1,X$1))</f>
        <v>6.3438854805062408E-2</v>
      </c>
      <c r="Y30" s="63">
        <f>INDEX('Table S3 Literature Values'!$A$10:$AV$10000,MATCH($C30,'Table S3 Literature Values'!$A$10:$A$10000,0)+2,X$1)</f>
        <v>3</v>
      </c>
      <c r="Z30" s="501">
        <f ca="1">IF(VLOOKUP($C30,'Table S3 Literature Values'!$A$10:$AV$10000,Z$1,FALSE)=0,VLOOKUP($C30,'Table S9 Model Derived Values'!$A$10:$AV$10000,Z$1,FALSE),VLOOKUP($C30,'Table S3 Literature Values'!$A$10:$AV$10000,Z$1,FALSE))</f>
        <v>1.6487788978175042</v>
      </c>
      <c r="AA30" s="61">
        <f ca="1">IF(INDEX('Table S3 Literature Values'!$A$10:$AV$10000,MATCH($C30,'Table S3 Literature Values'!$A$10:$A$10000,0)+1,AA$1)=0,INDEX('Table S9 Model Derived Values'!$A$10:$AV$10000,MATCH($C30,'Table S9 Model Derived Values'!$A$10:$A$10000,0)+1,AA$1),INDEX('Table S3 Literature Values'!$A$10:$AV$10000,MATCH($C30,'Table S3 Literature Values'!$A$10:$A$10000,0)+1,AA$1))</f>
        <v>0.19072172315272956</v>
      </c>
      <c r="AB30" s="63">
        <f ca="1">INDEX('Table S3 Literature Values'!$A$10:$AV$10000,MATCH($C30,'Table S3 Literature Values'!$A$10:$A$10000,0)+2,AA$1)</f>
        <v>3</v>
      </c>
      <c r="AC30" s="501">
        <f>IF(VLOOKUP($C30,'Table S3 Literature Values'!$A$10:$AV$10000,AC$1,FALSE)=0,VLOOKUP($C30,'Table S9 Model Derived Values'!$A$10:$AV$10000,AC$1,FALSE),VLOOKUP($C30,'Table S3 Literature Values'!$A$10:$AV$10000,AC$1,FALSE))</f>
        <v>-5.9826251278887241</v>
      </c>
      <c r="AD30" s="61">
        <f>IF(INDEX('Table S3 Literature Values'!$A$10:$AV$10000,MATCH($C30,'Table S3 Literature Values'!$A$10:$A$10000,0)+1,AD$1)=0,INDEX('Table S9 Model Derived Values'!$A$10:$AV$10000,MATCH($C30,'Table S9 Model Derived Values'!$A$10:$A$10000,0)+1,AD$1),INDEX('Table S3 Literature Values'!$A$10:$AV$10000,MATCH($C30,'Table S3 Literature Values'!$A$10:$A$10000,0)+1,AD$1))</f>
        <v>1.6947161678524225</v>
      </c>
      <c r="AE30" s="63">
        <f>INDEX('Table S3 Literature Values'!$A$10:$AV$10000,MATCH($C30,'Table S3 Literature Values'!$A$10:$A$10000,0)+2,AD$1)</f>
        <v>0</v>
      </c>
      <c r="AF30" s="501">
        <f>IF(VLOOKUP($C30,'Table S3 Literature Values'!$A$10:$AV$10000,AF$1,FALSE)=0,VLOOKUP($C30,'Table S9 Model Derived Values'!$A$10:$AV$10000,AF$1,FALSE),VLOOKUP($C30,'Table S3 Literature Values'!$A$10:$AV$10000,AF$1,FALSE))</f>
        <v>-1.3849533306583126</v>
      </c>
      <c r="AG30" s="61">
        <f>IF(INDEX('Table S3 Literature Values'!$A$10:$AV$10000,MATCH($C30,'Table S3 Literature Values'!$A$10:$A$10000,0)+1,AG$1)=0,INDEX('Table S9 Model Derived Values'!$A$10:$AV$10000,MATCH($C30,'Table S9 Model Derived Values'!$A$10:$A$10000,0)+1,AG$1),INDEX('Table S3 Literature Values'!$A$10:$AV$10000,MATCH($C30,'Table S3 Literature Values'!$A$10:$A$10000,0)+1,AG$1))</f>
        <v>0.17815080358449792</v>
      </c>
      <c r="AH30" s="63">
        <f>INDEX('Table S3 Literature Values'!$A$10:$AV$10000,MATCH($C30,'Table S3 Literature Values'!$A$10:$A$10000,0)+2,AG$1)</f>
        <v>4</v>
      </c>
      <c r="AI30" s="501">
        <f ca="1">IF(VLOOKUP($C30,'Table S3 Literature Values'!$A$10:$AV$10000,AI$1,FALSE)=0,VLOOKUP($C30,'Table S9 Model Derived Values'!$A$10:$AV$10000,AI$1,FALSE),VLOOKUP($C30,'Table S3 Literature Values'!$A$10:$AV$10000,AI$1,FALSE))</f>
        <v>1.4162808651238727</v>
      </c>
      <c r="AJ30" s="61">
        <f ca="1">IF(INDEX('Table S3 Literature Values'!$A$10:$AV$10000,MATCH($C30,'Table S3 Literature Values'!$A$10:$A$10000,0)+1,AJ$1)=0,INDEX('Table S9 Model Derived Values'!$A$10:$AV$10000,MATCH($C30,'Table S9 Model Derived Values'!$A$10:$A$10000,0)+1,AJ$1),INDEX('Table S3 Literature Values'!$A$10:$AV$10000,MATCH($C30,'Table S3 Literature Values'!$A$10:$A$10000,0)+1,AJ$1))</f>
        <v>2.992467579434344E-2</v>
      </c>
      <c r="AK30" s="63">
        <f ca="1">INDEX('Table S3 Literature Values'!$A$10:$AV$10000,MATCH($C30,'Table S3 Literature Values'!$A$10:$A$10000,0)+2,AJ$1)</f>
        <v>3</v>
      </c>
      <c r="AL30" s="501">
        <f>IF(VLOOKUP($C30,'Table S3 Literature Values'!$A$10:$AV$10000,AL$1,FALSE)=0,VLOOKUP($C30,'Table S9 Model Derived Values'!$A$10:$AV$10000,AL$1,FALSE),VLOOKUP($C30,'Table S3 Literature Values'!$A$10:$AV$10000,AL$1,FALSE))</f>
        <v>2.1740961999999993</v>
      </c>
      <c r="AM30" s="61">
        <f>IF(INDEX('Table S3 Literature Values'!$A$10:$AV$10000,MATCH($C30,'Table S3 Literature Values'!$A$10:$A$10000,0)+1,AM$1)=0,INDEX('Table S9 Model Derived Values'!$A$10:$AV$10000,MATCH($C30,'Table S9 Model Derived Values'!$A$10:$A$10000,0)+1,AM$1),INDEX('Table S3 Literature Values'!$A$10:$AV$10000,MATCH($C30,'Table S3 Literature Values'!$A$10:$A$10000,0)+1,AM$1))</f>
        <v>0.39292658032219985</v>
      </c>
      <c r="AN30" s="63">
        <f>INDEX('Table S3 Literature Values'!$A$10:$AV$10000,MATCH($C30,'Table S3 Literature Values'!$A$10:$A$10000,0)+2,AM$1)</f>
        <v>0</v>
      </c>
      <c r="AO30" s="501">
        <f>IF(VLOOKUP($C30,'Table S3 Literature Values'!$A$10:$AV$10000,AO$1,FALSE)=0,VLOOKUP($C30,'Table S9 Model Derived Values'!$A$10:$AV$10000,AO$1,FALSE),VLOOKUP($C30,'Table S3 Literature Values'!$A$10:$AV$10000,AO$1,FALSE))</f>
        <v>0</v>
      </c>
      <c r="AP30" s="61">
        <f>IF(INDEX('Table S3 Literature Values'!$A$10:$AV$10000,MATCH($C30,'Table S3 Literature Values'!$A$10:$A$10000,0)+1,AP$1)=0,INDEX('Table S9 Model Derived Values'!$A$10:$AV$10000,MATCH($C30,'Table S9 Model Derived Values'!$A$10:$A$10000,0)+1,AP$1),INDEX('Table S3 Literature Values'!$A$10:$AV$10000,MATCH($C30,'Table S3 Literature Values'!$A$10:$A$10000,0)+1,AP$1))</f>
        <v>0</v>
      </c>
      <c r="AQ30" s="63">
        <f>INDEX('Table S3 Literature Values'!$A$10:$AV$10000,MATCH($C30,'Table S3 Literature Values'!$A$10:$A$10000,0)+2,AP$1)</f>
        <v>0</v>
      </c>
      <c r="AR30" s="501">
        <f>IF(VLOOKUP($C30,'Table S3 Literature Values'!$A$10:$AV$10000,AR$1,FALSE)=0,VLOOKUP($C30,'Table S9 Model Derived Values'!$A$10:$AV$10000,AR$1,FALSE),VLOOKUP($C30,'Table S3 Literature Values'!$A$10:$AV$10000,AR$1,FALSE))</f>
        <v>-45</v>
      </c>
      <c r="AS30" s="61">
        <f>IF(INDEX('Table S3 Literature Values'!$A$10:$AV$10000,MATCH($C30,'Table S3 Literature Values'!$A$10:$A$10000,0)+1,AS$1)=0,INDEX('Table S9 Model Derived Values'!$A$10:$AV$10000,MATCH($C30,'Table S9 Model Derived Values'!$A$10:$A$10000,0)+1,AS$1),INDEX('Table S3 Literature Values'!$A$10:$AV$10000,MATCH($C30,'Table S3 Literature Values'!$A$10:$A$10000,0)+1,AS$1))</f>
        <v>14.142135623730951</v>
      </c>
      <c r="AT30" s="63">
        <f>INDEX('Table S3 Literature Values'!$A$10:$AV$10000,MATCH($C30,'Table S3 Literature Values'!$A$10:$A$10000,0)+2,AS$1)</f>
        <v>2</v>
      </c>
    </row>
    <row r="31" spans="1:46">
      <c r="A31" t="str">
        <f>'Table S2 Compound Identifiers'!C36</f>
        <v>OPE</v>
      </c>
      <c r="B31">
        <f>COUNTIF($C$3:C31,"&lt;&gt;"&amp;"")</f>
        <v>29</v>
      </c>
      <c r="C31" t="str">
        <f>IF('Table S2 Compound Identifiers'!B36="","",'Table S2 Compound Identifiers'!B36)</f>
        <v>TCiPP</v>
      </c>
      <c r="D31" t="str">
        <f>'Table S2 Compound Identifiers'!D36</f>
        <v>13674-84-5</v>
      </c>
      <c r="E31" s="501">
        <f>IF(VLOOKUP($C31,'Table S3 Literature Values'!$A$10:$AV$10000,E$1,FALSE)=0,VLOOKUP($C31,'Table S9 Model Derived Values'!$A$10:$AV$10000,E$1,FALSE),VLOOKUP($C31,'Table S3 Literature Values'!$A$10:$AV$10000,E$1,FALSE))</f>
        <v>90.566666666666663</v>
      </c>
      <c r="F31" s="61">
        <f>IF(INDEX('Table S3 Literature Values'!$A$10:$AV$10000,MATCH($C31,'Table S3 Literature Values'!$A$10:$A$10000,0)+1,F$1)=0,INDEX('Table S9 Model Derived Values'!$A$10:$AV$10000,MATCH($C31,'Table S9 Model Derived Values'!$A$10:$A$10000,0)+1,F$1),INDEX('Table S3 Literature Values'!$A$10:$AV$10000,MATCH($C31,'Table S3 Literature Values'!$A$10:$A$10000,0)+1,F$1))</f>
        <v>9.2251467919666919</v>
      </c>
      <c r="G31" s="63">
        <f>INDEX('Table S3 Literature Values'!$A$10:$AV$10000,MATCH($C31,'Table S3 Literature Values'!$A$10:$A$10000,0)+2,F$1)</f>
        <v>3</v>
      </c>
      <c r="H31" s="501">
        <f>IF(VLOOKUP($C31,'Table S3 Literature Values'!$A$10:$AV$10000,H$1,FALSE)=0,VLOOKUP($C31,'Table S9 Model Derived Values'!$A$10:$AV$10000,H$1,FALSE),VLOOKUP($C31,'Table S3 Literature Values'!$A$10:$AV$10000,H$1,FALSE))</f>
        <v>-0.73212846989601132</v>
      </c>
      <c r="I31" s="61">
        <f>IF(INDEX('Table S3 Literature Values'!$A$10:$AV$10000,MATCH($C31,'Table S3 Literature Values'!$A$10:$A$10000,0)+1,I$1)=0,INDEX('Table S9 Model Derived Values'!$A$10:$AV$10000,MATCH($C31,'Table S9 Model Derived Values'!$A$10:$A$10000,0)+1,I$1),INDEX('Table S3 Literature Values'!$A$10:$AV$10000,MATCH($C31,'Table S3 Literature Values'!$A$10:$A$10000,0)+1,I$1))</f>
        <v>1.0270151750007268</v>
      </c>
      <c r="J31" s="63">
        <f>INDEX('Table S3 Literature Values'!$A$10:$AV$10000,MATCH($C31,'Table S3 Literature Values'!$A$10:$A$10000,0)+2,I$1)</f>
        <v>0</v>
      </c>
      <c r="K31" s="501">
        <f>IF(VLOOKUP($C31,'Table S3 Literature Values'!$A$10:$AV$10000,K$1,FALSE)=0,VLOOKUP($C31,'Table S9 Model Derived Values'!$A$10:$AV$10000,K$1,FALSE),VLOOKUP($C31,'Table S3 Literature Values'!$A$10:$AV$10000,K$1,FALSE))</f>
        <v>0</v>
      </c>
      <c r="L31" s="61">
        <f>IF(INDEX('Table S3 Literature Values'!$A$10:$AV$10000,MATCH($C31,'Table S3 Literature Values'!$A$10:$A$10000,0)+1,L$1)=0,INDEX('Table S9 Model Derived Values'!$A$10:$AV$10000,MATCH($C31,'Table S9 Model Derived Values'!$A$10:$A$10000,0)+1,L$1),INDEX('Table S3 Literature Values'!$A$10:$AV$10000,MATCH($C31,'Table S3 Literature Values'!$A$10:$A$10000,0)+1,L$1))</f>
        <v>0</v>
      </c>
      <c r="M31" s="63">
        <f>INDEX('Table S3 Literature Values'!$A$10:$AV$10000,MATCH($C31,'Table S3 Literature Values'!$A$10:$A$10000,0)+2,L$1)</f>
        <v>0</v>
      </c>
      <c r="N31" s="501">
        <f>IF(VLOOKUP($C31,'Table S3 Literature Values'!$A$10:$AV$10000,N$1,FALSE)=0,VLOOKUP($C31,'Table S9 Model Derived Values'!$A$10:$AV$10000,N$1,FALSE),VLOOKUP($C31,'Table S3 Literature Values'!$A$10:$AV$10000,N$1,FALSE))</f>
        <v>90.3</v>
      </c>
      <c r="O31" s="61">
        <f>IF(INDEX('Table S3 Literature Values'!$A$10:$AV$10000,MATCH($C31,'Table S3 Literature Values'!$A$10:$A$10000,0)+1,O$1)=0,INDEX('Table S9 Model Derived Values'!$A$10:$AV$10000,MATCH($C31,'Table S9 Model Derived Values'!$A$10:$A$10000,0)+1,O$1),INDEX('Table S3 Literature Values'!$A$10:$AV$10000,MATCH($C31,'Table S3 Literature Values'!$A$10:$A$10000,0)+1,O$1))</f>
        <v>15.703821191035079</v>
      </c>
      <c r="P31" s="63">
        <f>INDEX('Table S3 Literature Values'!$A$10:$AV$10000,MATCH($C31,'Table S3 Literature Values'!$A$10:$A$10000,0)+2,O$1)</f>
        <v>3</v>
      </c>
      <c r="Q31" s="501">
        <f>IF(VLOOKUP($C31,'Table S3 Literature Values'!$A$10:$AV$10000,Q$1,FALSE)=0,VLOOKUP($C31,'Table S9 Model Derived Values'!$A$10:$AV$10000,Q$1,FALSE),VLOOKUP($C31,'Table S3 Literature Values'!$A$10:$AV$10000,Q$1,FALSE))</f>
        <v>112.60832490000001</v>
      </c>
      <c r="R31" s="61">
        <f>IF(INDEX('Table S3 Literature Values'!$A$10:$AV$10000,MATCH($C31,'Table S3 Literature Values'!$A$10:$A$10000,0)+1,R$1)=0,INDEX('Table S9 Model Derived Values'!$A$10:$AV$10000,MATCH($C31,'Table S9 Model Derived Values'!$A$10:$A$10000,0)+1,R$1),INDEX('Table S3 Literature Values'!$A$10:$AV$10000,MATCH($C31,'Table S3 Literature Values'!$A$10:$A$10000,0)+1,R$1))</f>
        <v>21.110570060678103</v>
      </c>
      <c r="S31" s="63">
        <f>INDEX('Table S3 Literature Values'!$A$10:$AV$10000,MATCH($C31,'Table S3 Literature Values'!$A$10:$A$10000,0)+2,R$1)</f>
        <v>0</v>
      </c>
      <c r="T31" s="501">
        <f>IF(VLOOKUP($C31,'Table S3 Literature Values'!$A$10:$AV$10000,T$1,FALSE)=0,VLOOKUP($C31,'Table S9 Model Derived Values'!$A$10:$AV$10000,T$1,FALSE),VLOOKUP($C31,'Table S3 Literature Values'!$A$10:$AV$10000,T$1,FALSE))</f>
        <v>22.089963999999991</v>
      </c>
      <c r="U31" s="61">
        <f>IF(INDEX('Table S3 Literature Values'!$A$10:$AV$10000,MATCH($C31,'Table S3 Literature Values'!$A$10:$A$10000,0)+1,U$1)=0,INDEX('Table S9 Model Derived Values'!$A$10:$AV$10000,MATCH($C31,'Table S9 Model Derived Values'!$A$10:$A$10000,0)+1,U$1),INDEX('Table S3 Literature Values'!$A$10:$AV$10000,MATCH($C31,'Table S3 Literature Values'!$A$10:$A$10000,0)+1,U$1))</f>
        <v>9.0615936663177958</v>
      </c>
      <c r="V31" s="63">
        <f>INDEX('Table S3 Literature Values'!$A$10:$AV$10000,MATCH($C31,'Table S3 Literature Values'!$A$10:$A$10000,0)+2,U$1)</f>
        <v>0</v>
      </c>
      <c r="W31" s="501">
        <f>IF(VLOOKUP($C31,'Table S3 Literature Values'!$A$10:$AV$10000,W$1,FALSE)=0,VLOOKUP($C31,'Table S9 Model Derived Values'!$A$10:$AV$10000,W$1,FALSE),VLOOKUP($C31,'Table S3 Literature Values'!$A$10:$AV$10000,W$1,FALSE))</f>
        <v>8.5999801895500738</v>
      </c>
      <c r="X31" s="61">
        <f>IF(INDEX('Table S3 Literature Values'!$A$10:$AV$10000,MATCH($C31,'Table S3 Literature Values'!$A$10:$A$10000,0)+1,X$1)=0,INDEX('Table S9 Model Derived Values'!$A$10:$AV$10000,MATCH($C31,'Table S9 Model Derived Values'!$A$10:$A$10000,0)+1,X$1),INDEX('Table S3 Literature Values'!$A$10:$AV$10000,MATCH($C31,'Table S3 Literature Values'!$A$10:$A$10000,0)+1,X$1))</f>
        <v>0.93553903324940713</v>
      </c>
      <c r="Y31" s="63">
        <f>INDEX('Table S3 Literature Values'!$A$10:$AV$10000,MATCH($C31,'Table S3 Literature Values'!$A$10:$A$10000,0)+2,X$1)</f>
        <v>3</v>
      </c>
      <c r="Z31" s="501">
        <f>IF(VLOOKUP($C31,'Table S3 Literature Values'!$A$10:$AV$10000,Z$1,FALSE)=0,VLOOKUP($C31,'Table S9 Model Derived Values'!$A$10:$AV$10000,Z$1,FALSE),VLOOKUP($C31,'Table S3 Literature Values'!$A$10:$AV$10000,Z$1,FALSE))</f>
        <v>2.6349999999999998</v>
      </c>
      <c r="AA31" s="61">
        <f>IF(INDEX('Table S3 Literature Values'!$A$10:$AV$10000,MATCH($C31,'Table S3 Literature Values'!$A$10:$A$10000,0)+1,AA$1)=0,INDEX('Table S9 Model Derived Values'!$A$10:$AV$10000,MATCH($C31,'Table S9 Model Derived Values'!$A$10:$A$10000,0)+1,AA$1),INDEX('Table S3 Literature Values'!$A$10:$AV$10000,MATCH($C31,'Table S3 Literature Values'!$A$10:$A$10000,0)+1,AA$1))</f>
        <v>6.3639610306789496E-2</v>
      </c>
      <c r="AB31" s="63">
        <f>INDEX('Table S3 Literature Values'!$A$10:$AV$10000,MATCH($C31,'Table S3 Literature Values'!$A$10:$A$10000,0)+2,AA$1)</f>
        <v>2</v>
      </c>
      <c r="AC31" s="501">
        <f>IF(VLOOKUP($C31,'Table S3 Literature Values'!$A$10:$AV$10000,AC$1,FALSE)=0,VLOOKUP($C31,'Table S9 Model Derived Values'!$A$10:$AV$10000,AC$1,FALSE),VLOOKUP($C31,'Table S3 Literature Values'!$A$10:$AV$10000,AC$1,FALSE))</f>
        <v>-5.613207895230822</v>
      </c>
      <c r="AD31" s="61">
        <f>IF(INDEX('Table S3 Literature Values'!$A$10:$AV$10000,MATCH($C31,'Table S3 Literature Values'!$A$10:$A$10000,0)+1,AD$1)=0,INDEX('Table S9 Model Derived Values'!$A$10:$AV$10000,MATCH($C31,'Table S9 Model Derived Values'!$A$10:$A$10000,0)+1,AD$1),INDEX('Table S3 Literature Values'!$A$10:$AV$10000,MATCH($C31,'Table S3 Literature Values'!$A$10:$A$10000,0)+1,AD$1))</f>
        <v>1.5900702401057205</v>
      </c>
      <c r="AE31" s="63">
        <f>INDEX('Table S3 Literature Values'!$A$10:$AV$10000,MATCH($C31,'Table S3 Literature Values'!$A$10:$A$10000,0)+2,AD$1)</f>
        <v>0</v>
      </c>
      <c r="AF31" s="501">
        <f>IF(VLOOKUP($C31,'Table S3 Literature Values'!$A$10:$AV$10000,AF$1,FALSE)=0,VLOOKUP($C31,'Table S9 Model Derived Values'!$A$10:$AV$10000,AF$1,FALSE),VLOOKUP($C31,'Table S3 Literature Values'!$A$10:$AV$10000,AF$1,FALSE))</f>
        <v>-2.0793529564966393</v>
      </c>
      <c r="AG31" s="61">
        <f>IF(INDEX('Table S3 Literature Values'!$A$10:$AV$10000,MATCH($C31,'Table S3 Literature Values'!$A$10:$A$10000,0)+1,AG$1)=0,INDEX('Table S9 Model Derived Values'!$A$10:$AV$10000,MATCH($C31,'Table S9 Model Derived Values'!$A$10:$A$10000,0)+1,AG$1),INDEX('Table S3 Literature Values'!$A$10:$AV$10000,MATCH($C31,'Table S3 Literature Values'!$A$10:$A$10000,0)+1,AG$1))</f>
        <v>0.83649137759001246</v>
      </c>
      <c r="AH31" s="63">
        <f>INDEX('Table S3 Literature Values'!$A$10:$AV$10000,MATCH($C31,'Table S3 Literature Values'!$A$10:$A$10000,0)+2,AG$1)</f>
        <v>5</v>
      </c>
      <c r="AI31" s="501">
        <f ca="1">IF(VLOOKUP($C31,'Table S3 Literature Values'!$A$10:$AV$10000,AI$1,FALSE)=0,VLOOKUP($C31,'Table S9 Model Derived Values'!$A$10:$AV$10000,AI$1,FALSE),VLOOKUP($C31,'Table S3 Literature Values'!$A$10:$AV$10000,AI$1,FALSE))</f>
        <v>0.56851833009543651</v>
      </c>
      <c r="AJ31" s="61">
        <f ca="1">IF(INDEX('Table S3 Literature Values'!$A$10:$AV$10000,MATCH($C31,'Table S3 Literature Values'!$A$10:$A$10000,0)+1,AJ$1)=0,INDEX('Table S9 Model Derived Values'!$A$10:$AV$10000,MATCH($C31,'Table S9 Model Derived Values'!$A$10:$A$10000,0)+1,AJ$1),INDEX('Table S3 Literature Values'!$A$10:$AV$10000,MATCH($C31,'Table S3 Literature Values'!$A$10:$A$10000,0)+1,AJ$1))</f>
        <v>8.5459697155219894E-2</v>
      </c>
      <c r="AK31" s="63">
        <f ca="1">INDEX('Table S3 Literature Values'!$A$10:$AV$10000,MATCH($C31,'Table S3 Literature Values'!$A$10:$A$10000,0)+2,AJ$1)</f>
        <v>3</v>
      </c>
      <c r="AL31" s="501">
        <f>IF(VLOOKUP($C31,'Table S3 Literature Values'!$A$10:$AV$10000,AL$1,FALSE)=0,VLOOKUP($C31,'Table S9 Model Derived Values'!$A$10:$AV$10000,AL$1,FALSE),VLOOKUP($C31,'Table S3 Literature Values'!$A$10:$AV$10000,AL$1,FALSE))</f>
        <v>2.9175402999999984</v>
      </c>
      <c r="AM31" s="61">
        <f>IF(INDEX('Table S3 Literature Values'!$A$10:$AV$10000,MATCH($C31,'Table S3 Literature Values'!$A$10:$A$10000,0)+1,AM$1)=0,INDEX('Table S9 Model Derived Values'!$A$10:$AV$10000,MATCH($C31,'Table S9 Model Derived Values'!$A$10:$A$10000,0)+1,AM$1),INDEX('Table S3 Literature Values'!$A$10:$AV$10000,MATCH($C31,'Table S3 Literature Values'!$A$10:$A$10000,0)+1,AM$1))</f>
        <v>0.52728997595929972</v>
      </c>
      <c r="AN31" s="63">
        <f>INDEX('Table S3 Literature Values'!$A$10:$AV$10000,MATCH($C31,'Table S3 Literature Values'!$A$10:$A$10000,0)+2,AM$1)</f>
        <v>0</v>
      </c>
      <c r="AO31" s="501">
        <f>IF(VLOOKUP($C31,'Table S3 Literature Values'!$A$10:$AV$10000,AO$1,FALSE)=0,VLOOKUP($C31,'Table S9 Model Derived Values'!$A$10:$AV$10000,AO$1,FALSE),VLOOKUP($C31,'Table S3 Literature Values'!$A$10:$AV$10000,AO$1,FALSE))</f>
        <v>0</v>
      </c>
      <c r="AP31" s="61">
        <f>IF(INDEX('Table S3 Literature Values'!$A$10:$AV$10000,MATCH($C31,'Table S3 Literature Values'!$A$10:$A$10000,0)+1,AP$1)=0,INDEX('Table S9 Model Derived Values'!$A$10:$AV$10000,MATCH($C31,'Table S9 Model Derived Values'!$A$10:$A$10000,0)+1,AP$1),INDEX('Table S3 Literature Values'!$A$10:$AV$10000,MATCH($C31,'Table S3 Literature Values'!$A$10:$A$10000,0)+1,AP$1))</f>
        <v>0</v>
      </c>
      <c r="AQ31" s="63">
        <f>INDEX('Table S3 Literature Values'!$A$10:$AV$10000,MATCH($C31,'Table S3 Literature Values'!$A$10:$A$10000,0)+2,AP$1)</f>
        <v>0</v>
      </c>
      <c r="AR31" s="501">
        <f>IF(VLOOKUP($C31,'Table S3 Literature Values'!$A$10:$AV$10000,AR$1,FALSE)=0,VLOOKUP($C31,'Table S9 Model Derived Values'!$A$10:$AV$10000,AR$1,FALSE),VLOOKUP($C31,'Table S3 Literature Values'!$A$10:$AV$10000,AR$1,FALSE))</f>
        <v>-45.5</v>
      </c>
      <c r="AS31" s="61">
        <f>IF(INDEX('Table S3 Literature Values'!$A$10:$AV$10000,MATCH($C31,'Table S3 Literature Values'!$A$10:$A$10000,0)+1,AS$1)=0,INDEX('Table S9 Model Derived Values'!$A$10:$AV$10000,MATCH($C31,'Table S9 Model Derived Values'!$A$10:$A$10000,0)+1,AS$1),INDEX('Table S3 Literature Values'!$A$10:$AV$10000,MATCH($C31,'Table S3 Literature Values'!$A$10:$A$10000,0)+1,AS$1))</f>
        <v>7.7781745930520225</v>
      </c>
      <c r="AT31" s="63">
        <f>INDEX('Table S3 Literature Values'!$A$10:$AV$10000,MATCH($C31,'Table S3 Literature Values'!$A$10:$A$10000,0)+2,AS$1)</f>
        <v>2</v>
      </c>
    </row>
    <row r="32" spans="1:46">
      <c r="A32" t="str">
        <f>'Table S2 Compound Identifiers'!C37</f>
        <v>OPE</v>
      </c>
      <c r="B32">
        <f>COUNTIF($C$3:C32,"&lt;&gt;"&amp;"")</f>
        <v>30</v>
      </c>
      <c r="C32" t="str">
        <f>IF('Table S2 Compound Identifiers'!B37="","",'Table S2 Compound Identifiers'!B37)</f>
        <v>TDCiPP</v>
      </c>
      <c r="D32" t="str">
        <f>'Table S2 Compound Identifiers'!D37</f>
        <v>13674-87-8</v>
      </c>
      <c r="E32" s="501">
        <f>IF(VLOOKUP($C32,'Table S3 Literature Values'!$A$10:$AV$10000,E$1,FALSE)=0,VLOOKUP($C32,'Table S9 Model Derived Values'!$A$10:$AV$10000,E$1,FALSE),VLOOKUP($C32,'Table S3 Literature Values'!$A$10:$AV$10000,E$1,FALSE))</f>
        <v>97</v>
      </c>
      <c r="F32" s="61">
        <f>IF(INDEX('Table S3 Literature Values'!$A$10:$AV$10000,MATCH($C32,'Table S3 Literature Values'!$A$10:$A$10000,0)+1,F$1)=0,INDEX('Table S9 Model Derived Values'!$A$10:$AV$10000,MATCH($C32,'Table S9 Model Derived Values'!$A$10:$A$10000,0)+1,F$1),INDEX('Table S3 Literature Values'!$A$10:$AV$10000,MATCH($C32,'Table S3 Literature Values'!$A$10:$A$10000,0)+1,F$1))</f>
        <v>5.0239426748321856</v>
      </c>
      <c r="G32" s="63">
        <f>INDEX('Table S3 Literature Values'!$A$10:$AV$10000,MATCH($C32,'Table S3 Literature Values'!$A$10:$A$10000,0)+2,F$1)</f>
        <v>3</v>
      </c>
      <c r="H32" s="501">
        <f>IF(VLOOKUP($C32,'Table S3 Literature Values'!$A$10:$AV$10000,H$1,FALSE)=0,VLOOKUP($C32,'Table S9 Model Derived Values'!$A$10:$AV$10000,H$1,FALSE),VLOOKUP($C32,'Table S3 Literature Values'!$A$10:$AV$10000,H$1,FALSE))</f>
        <v>8.4122944185202044</v>
      </c>
      <c r="I32" s="61">
        <f>IF(INDEX('Table S3 Literature Values'!$A$10:$AV$10000,MATCH($C32,'Table S3 Literature Values'!$A$10:$A$10000,0)+1,I$1)=0,INDEX('Table S9 Model Derived Values'!$A$10:$AV$10000,MATCH($C32,'Table S9 Model Derived Values'!$A$10:$A$10000,0)+1,I$1),INDEX('Table S3 Literature Values'!$A$10:$AV$10000,MATCH($C32,'Table S3 Literature Values'!$A$10:$A$10000,0)+1,I$1))</f>
        <v>11.800598364411771</v>
      </c>
      <c r="J32" s="63">
        <f>INDEX('Table S3 Literature Values'!$A$10:$AV$10000,MATCH($C32,'Table S3 Literature Values'!$A$10:$A$10000,0)+2,I$1)</f>
        <v>0</v>
      </c>
      <c r="K32" s="501">
        <f>IF(VLOOKUP($C32,'Table S3 Literature Values'!$A$10:$AV$10000,K$1,FALSE)=0,VLOOKUP($C32,'Table S9 Model Derived Values'!$A$10:$AV$10000,K$1,FALSE),VLOOKUP($C32,'Table S3 Literature Values'!$A$10:$AV$10000,K$1,FALSE))</f>
        <v>0</v>
      </c>
      <c r="L32" s="61">
        <f>IF(INDEX('Table S3 Literature Values'!$A$10:$AV$10000,MATCH($C32,'Table S3 Literature Values'!$A$10:$A$10000,0)+1,L$1)=0,INDEX('Table S9 Model Derived Values'!$A$10:$AV$10000,MATCH($C32,'Table S9 Model Derived Values'!$A$10:$A$10000,0)+1,L$1),INDEX('Table S3 Literature Values'!$A$10:$AV$10000,MATCH($C32,'Table S3 Literature Values'!$A$10:$A$10000,0)+1,L$1))</f>
        <v>0</v>
      </c>
      <c r="M32" s="63">
        <f>INDEX('Table S3 Literature Values'!$A$10:$AV$10000,MATCH($C32,'Table S3 Literature Values'!$A$10:$A$10000,0)+2,L$1)</f>
        <v>0</v>
      </c>
      <c r="N32" s="501">
        <f>IF(VLOOKUP($C32,'Table S3 Literature Values'!$A$10:$AV$10000,N$1,FALSE)=0,VLOOKUP($C32,'Table S9 Model Derived Values'!$A$10:$AV$10000,N$1,FALSE),VLOOKUP($C32,'Table S3 Literature Values'!$A$10:$AV$10000,N$1,FALSE))</f>
        <v>93.066666666666663</v>
      </c>
      <c r="O32" s="61">
        <f>IF(INDEX('Table S3 Literature Values'!$A$10:$AV$10000,MATCH($C32,'Table S3 Literature Values'!$A$10:$A$10000,0)+1,O$1)=0,INDEX('Table S9 Model Derived Values'!$A$10:$AV$10000,MATCH($C32,'Table S9 Model Derived Values'!$A$10:$A$10000,0)+1,O$1),INDEX('Table S3 Literature Values'!$A$10:$AV$10000,MATCH($C32,'Table S3 Literature Values'!$A$10:$A$10000,0)+1,O$1))</f>
        <v>5.7500724633115148</v>
      </c>
      <c r="P32" s="63">
        <f>INDEX('Table S3 Literature Values'!$A$10:$AV$10000,MATCH($C32,'Table S3 Literature Values'!$A$10:$A$10000,0)+2,O$1)</f>
        <v>3</v>
      </c>
      <c r="Q32" s="501">
        <f>IF(VLOOKUP($C32,'Table S3 Literature Values'!$A$10:$AV$10000,Q$1,FALSE)=0,VLOOKUP($C32,'Table S9 Model Derived Values'!$A$10:$AV$10000,Q$1,FALSE),VLOOKUP($C32,'Table S3 Literature Values'!$A$10:$AV$10000,Q$1,FALSE))</f>
        <v>117.4782165</v>
      </c>
      <c r="R32" s="61">
        <f>IF(INDEX('Table S3 Literature Values'!$A$10:$AV$10000,MATCH($C32,'Table S3 Literature Values'!$A$10:$A$10000,0)+1,R$1)=0,INDEX('Table S9 Model Derived Values'!$A$10:$AV$10000,MATCH($C32,'Table S9 Model Derived Values'!$A$10:$A$10000,0)+1,R$1),INDEX('Table S3 Literature Values'!$A$10:$AV$10000,MATCH($C32,'Table S3 Literature Values'!$A$10:$A$10000,0)+1,R$1))</f>
        <v>22.023523769038501</v>
      </c>
      <c r="S32" s="63">
        <f>INDEX('Table S3 Literature Values'!$A$10:$AV$10000,MATCH($C32,'Table S3 Literature Values'!$A$10:$A$10000,0)+2,R$1)</f>
        <v>0</v>
      </c>
      <c r="T32" s="501">
        <f>IF(VLOOKUP($C32,'Table S3 Literature Values'!$A$10:$AV$10000,T$1,FALSE)=0,VLOOKUP($C32,'Table S9 Model Derived Values'!$A$10:$AV$10000,T$1,FALSE),VLOOKUP($C32,'Table S3 Literature Values'!$A$10:$AV$10000,T$1,FALSE))</f>
        <v>20.914440000000003</v>
      </c>
      <c r="U32" s="61">
        <f>IF(INDEX('Table S3 Literature Values'!$A$10:$AV$10000,MATCH($C32,'Table S3 Literature Values'!$A$10:$A$10000,0)+1,U$1)=0,INDEX('Table S9 Model Derived Values'!$A$10:$AV$10000,MATCH($C32,'Table S9 Model Derived Values'!$A$10:$A$10000,0)+1,U$1),INDEX('Table S3 Literature Values'!$A$10:$AV$10000,MATCH($C32,'Table S3 Literature Values'!$A$10:$A$10000,0)+1,U$1))</f>
        <v>8.5793782660118261</v>
      </c>
      <c r="V32" s="63">
        <f>INDEX('Table S3 Literature Values'!$A$10:$AV$10000,MATCH($C32,'Table S3 Literature Values'!$A$10:$A$10000,0)+2,U$1)</f>
        <v>0</v>
      </c>
      <c r="W32" s="501">
        <f>IF(VLOOKUP($C32,'Table S3 Literature Values'!$A$10:$AV$10000,W$1,FALSE)=0,VLOOKUP($C32,'Table S9 Model Derived Values'!$A$10:$AV$10000,W$1,FALSE),VLOOKUP($C32,'Table S3 Literature Values'!$A$10:$AV$10000,W$1,FALSE))</f>
        <v>10.196734960730311</v>
      </c>
      <c r="X32" s="61">
        <f>IF(INDEX('Table S3 Literature Values'!$A$10:$AV$10000,MATCH($C32,'Table S3 Literature Values'!$A$10:$A$10000,0)+1,X$1)=0,INDEX('Table S9 Model Derived Values'!$A$10:$AV$10000,MATCH($C32,'Table S9 Model Derived Values'!$A$10:$A$10000,0)+1,X$1),INDEX('Table S3 Literature Values'!$A$10:$AV$10000,MATCH($C32,'Table S3 Literature Values'!$A$10:$A$10000,0)+1,X$1))</f>
        <v>0.35717875532112214</v>
      </c>
      <c r="Y32" s="63">
        <f>INDEX('Table S3 Literature Values'!$A$10:$AV$10000,MATCH($C32,'Table S3 Literature Values'!$A$10:$A$10000,0)+2,X$1)</f>
        <v>3</v>
      </c>
      <c r="Z32" s="501">
        <f ca="1">IF(VLOOKUP($C32,'Table S3 Literature Values'!$A$10:$AV$10000,Z$1,FALSE)=0,VLOOKUP($C32,'Table S9 Model Derived Values'!$A$10:$AV$10000,Z$1,FALSE),VLOOKUP($C32,'Table S3 Literature Values'!$A$10:$AV$10000,Z$1,FALSE))</f>
        <v>3.7354013998198079</v>
      </c>
      <c r="AA32" s="61">
        <f ca="1">IF(INDEX('Table S3 Literature Values'!$A$10:$AV$10000,MATCH($C32,'Table S3 Literature Values'!$A$10:$A$10000,0)+1,AA$1)=0,INDEX('Table S9 Model Derived Values'!$A$10:$AV$10000,MATCH($C32,'Table S9 Model Derived Values'!$A$10:$A$10000,0)+1,AA$1),INDEX('Table S3 Literature Values'!$A$10:$AV$10000,MATCH($C32,'Table S3 Literature Values'!$A$10:$A$10000,0)+1,AA$1))</f>
        <v>5.478325049151412E-2</v>
      </c>
      <c r="AB32" s="63">
        <f ca="1">INDEX('Table S3 Literature Values'!$A$10:$AV$10000,MATCH($C32,'Table S3 Literature Values'!$A$10:$A$10000,0)+2,AA$1)</f>
        <v>5</v>
      </c>
      <c r="AC32" s="501">
        <f>IF(VLOOKUP($C32,'Table S3 Literature Values'!$A$10:$AV$10000,AC$1,FALSE)=0,VLOOKUP($C32,'Table S9 Model Derived Values'!$A$10:$AV$10000,AC$1,FALSE),VLOOKUP($C32,'Table S3 Literature Values'!$A$10:$AV$10000,AC$1,FALSE))</f>
        <v>-6.9726409069821225</v>
      </c>
      <c r="AD32" s="61">
        <f>IF(INDEX('Table S3 Literature Values'!$A$10:$AV$10000,MATCH($C32,'Table S3 Literature Values'!$A$10:$A$10000,0)+1,AD$1)=0,INDEX('Table S9 Model Derived Values'!$A$10:$AV$10000,MATCH($C32,'Table S9 Model Derived Values'!$A$10:$A$10000,0)+1,AD$1),INDEX('Table S3 Literature Values'!$A$10:$AV$10000,MATCH($C32,'Table S3 Literature Values'!$A$10:$A$10000,0)+1,AD$1))</f>
        <v>1.9751609076435468</v>
      </c>
      <c r="AE32" s="63">
        <f>INDEX('Table S3 Literature Values'!$A$10:$AV$10000,MATCH($C32,'Table S3 Literature Values'!$A$10:$A$10000,0)+2,AD$1)</f>
        <v>0</v>
      </c>
      <c r="AF32" s="501">
        <f>IF(VLOOKUP($C32,'Table S3 Literature Values'!$A$10:$AV$10000,AF$1,FALSE)=0,VLOOKUP($C32,'Table S9 Model Derived Values'!$A$10:$AV$10000,AF$1,FALSE),VLOOKUP($C32,'Table S3 Literature Values'!$A$10:$AV$10000,AF$1,FALSE))</f>
        <v>-3.8968901507926397</v>
      </c>
      <c r="AG32" s="61">
        <f>IF(INDEX('Table S3 Literature Values'!$A$10:$AV$10000,MATCH($C32,'Table S3 Literature Values'!$A$10:$A$10000,0)+1,AG$1)=0,INDEX('Table S9 Model Derived Values'!$A$10:$AV$10000,MATCH($C32,'Table S9 Model Derived Values'!$A$10:$A$10000,0)+1,AG$1),INDEX('Table S3 Literature Values'!$A$10:$AV$10000,MATCH($C32,'Table S3 Literature Values'!$A$10:$A$10000,0)+1,AG$1))</f>
        <v>0.8017700738440946</v>
      </c>
      <c r="AH32" s="63">
        <f>INDEX('Table S3 Literature Values'!$A$10:$AV$10000,MATCH($C32,'Table S3 Literature Values'!$A$10:$A$10000,0)+2,AG$1)</f>
        <v>5</v>
      </c>
      <c r="AI32" s="501">
        <f ca="1">IF(VLOOKUP($C32,'Table S3 Literature Values'!$A$10:$AV$10000,AI$1,FALSE)=0,VLOOKUP($C32,'Table S9 Model Derived Values'!$A$10:$AV$10000,AI$1,FALSE),VLOOKUP($C32,'Table S3 Literature Values'!$A$10:$AV$10000,AI$1,FALSE))</f>
        <v>-1.5157161364205862</v>
      </c>
      <c r="AJ32" s="61">
        <f ca="1">IF(INDEX('Table S3 Literature Values'!$A$10:$AV$10000,MATCH($C32,'Table S3 Literature Values'!$A$10:$A$10000,0)+1,AJ$1)=0,INDEX('Table S9 Model Derived Values'!$A$10:$AV$10000,MATCH($C32,'Table S9 Model Derived Values'!$A$10:$A$10000,0)+1,AJ$1),INDEX('Table S3 Literature Values'!$A$10:$AV$10000,MATCH($C32,'Table S3 Literature Values'!$A$10:$A$10000,0)+1,AJ$1))</f>
        <v>0.23853678415206614</v>
      </c>
      <c r="AK32" s="63">
        <f ca="1">INDEX('Table S3 Literature Values'!$A$10:$AV$10000,MATCH($C32,'Table S3 Literature Values'!$A$10:$A$10000,0)+2,AJ$1)</f>
        <v>3</v>
      </c>
      <c r="AL32" s="501">
        <f>IF(VLOOKUP($C32,'Table S3 Literature Values'!$A$10:$AV$10000,AL$1,FALSE)=0,VLOOKUP($C32,'Table S9 Model Derived Values'!$A$10:$AV$10000,AL$1,FALSE),VLOOKUP($C32,'Table S3 Literature Values'!$A$10:$AV$10000,AL$1,FALSE))</f>
        <v>2.4274862999999964</v>
      </c>
      <c r="AM32" s="61">
        <f>IF(INDEX('Table S3 Literature Values'!$A$10:$AV$10000,MATCH($C32,'Table S3 Literature Values'!$A$10:$A$10000,0)+1,AM$1)=0,INDEX('Table S9 Model Derived Values'!$A$10:$AV$10000,MATCH($C32,'Table S9 Model Derived Values'!$A$10:$A$10000,0)+1,AM$1),INDEX('Table S3 Literature Values'!$A$10:$AV$10000,MATCH($C32,'Table S3 Literature Values'!$A$10:$A$10000,0)+1,AM$1))</f>
        <v>0.43872202648529934</v>
      </c>
      <c r="AN32" s="63">
        <f>INDEX('Table S3 Literature Values'!$A$10:$AV$10000,MATCH($C32,'Table S3 Literature Values'!$A$10:$A$10000,0)+2,AM$1)</f>
        <v>0</v>
      </c>
      <c r="AO32" s="501">
        <f>IF(VLOOKUP($C32,'Table S3 Literature Values'!$A$10:$AV$10000,AO$1,FALSE)=0,VLOOKUP($C32,'Table S9 Model Derived Values'!$A$10:$AV$10000,AO$1,FALSE),VLOOKUP($C32,'Table S3 Literature Values'!$A$10:$AV$10000,AO$1,FALSE))</f>
        <v>0</v>
      </c>
      <c r="AP32" s="61">
        <f>IF(INDEX('Table S3 Literature Values'!$A$10:$AV$10000,MATCH($C32,'Table S3 Literature Values'!$A$10:$A$10000,0)+1,AP$1)=0,INDEX('Table S9 Model Derived Values'!$A$10:$AV$10000,MATCH($C32,'Table S9 Model Derived Values'!$A$10:$A$10000,0)+1,AP$1),INDEX('Table S3 Literature Values'!$A$10:$AV$10000,MATCH($C32,'Table S3 Literature Values'!$A$10:$A$10000,0)+1,AP$1))</f>
        <v>0</v>
      </c>
      <c r="AQ32" s="63">
        <f>INDEX('Table S3 Literature Values'!$A$10:$AV$10000,MATCH($C32,'Table S3 Literature Values'!$A$10:$A$10000,0)+2,AP$1)</f>
        <v>0</v>
      </c>
      <c r="AR32" s="501">
        <f>IF(VLOOKUP($C32,'Table S3 Literature Values'!$A$10:$AV$10000,AR$1,FALSE)=0,VLOOKUP($C32,'Table S9 Model Derived Values'!$A$10:$AV$10000,AR$1,FALSE),VLOOKUP($C32,'Table S3 Literature Values'!$A$10:$AV$10000,AR$1,FALSE))</f>
        <v>27</v>
      </c>
      <c r="AS32" s="61">
        <f>IF(INDEX('Table S3 Literature Values'!$A$10:$AV$10000,MATCH($C32,'Table S3 Literature Values'!$A$10:$A$10000,0)+1,AS$1)=0,INDEX('Table S9 Model Derived Values'!$A$10:$AV$10000,MATCH($C32,'Table S9 Model Derived Values'!$A$10:$A$10000,0)+1,AS$1),INDEX('Table S3 Literature Values'!$A$10:$AV$10000,MATCH($C32,'Table S3 Literature Values'!$A$10:$A$10000,0)+1,AS$1))</f>
        <v>8.1</v>
      </c>
      <c r="AT32" s="63">
        <f>INDEX('Table S3 Literature Values'!$A$10:$AV$10000,MATCH($C32,'Table S3 Literature Values'!$A$10:$A$10000,0)+2,AS$1)</f>
        <v>1</v>
      </c>
    </row>
    <row r="33" spans="1:46">
      <c r="A33" t="str">
        <f>'Table S2 Compound Identifiers'!C38</f>
        <v>OPE</v>
      </c>
      <c r="B33">
        <f>COUNTIF($C$3:C33,"&lt;&gt;"&amp;"")</f>
        <v>31</v>
      </c>
      <c r="C33" t="str">
        <f>IF('Table S2 Compound Identifiers'!B38="","",'Table S2 Compound Identifiers'!B38)</f>
        <v>TPhP</v>
      </c>
      <c r="D33" t="str">
        <f>'Table S2 Compound Identifiers'!D38</f>
        <v>115-86-6</v>
      </c>
      <c r="E33" s="501">
        <f>IF(VLOOKUP($C33,'Table S3 Literature Values'!$A$10:$AV$10000,E$1,FALSE)=0,VLOOKUP($C33,'Table S9 Model Derived Values'!$A$10:$AV$10000,E$1,FALSE),VLOOKUP($C33,'Table S3 Literature Values'!$A$10:$AV$10000,E$1,FALSE))</f>
        <v>94.320000000000007</v>
      </c>
      <c r="F33" s="61">
        <f>IF(INDEX('Table S3 Literature Values'!$A$10:$AV$10000,MATCH($C33,'Table S3 Literature Values'!$A$10:$A$10000,0)+1,F$1)=0,INDEX('Table S9 Model Derived Values'!$A$10:$AV$10000,MATCH($C33,'Table S9 Model Derived Values'!$A$10:$A$10000,0)+1,F$1),INDEX('Table S3 Literature Values'!$A$10:$AV$10000,MATCH($C33,'Table S3 Literature Values'!$A$10:$A$10000,0)+1,F$1))</f>
        <v>8.6586373061816122</v>
      </c>
      <c r="G33" s="63">
        <f>INDEX('Table S3 Literature Values'!$A$10:$AV$10000,MATCH($C33,'Table S3 Literature Values'!$A$10:$A$10000,0)+2,F$1)</f>
        <v>5</v>
      </c>
      <c r="H33" s="501">
        <f>IF(VLOOKUP($C33,'Table S3 Literature Values'!$A$10:$AV$10000,H$1,FALSE)=0,VLOOKUP($C33,'Table S9 Model Derived Values'!$A$10:$AV$10000,H$1,FALSE),VLOOKUP($C33,'Table S3 Literature Values'!$A$10:$AV$10000,H$1,FALSE))</f>
        <v>16.749474442736073</v>
      </c>
      <c r="I33" s="61">
        <f>IF(INDEX('Table S3 Literature Values'!$A$10:$AV$10000,MATCH($C33,'Table S3 Literature Values'!$A$10:$A$10000,0)+1,I$1)=0,INDEX('Table S9 Model Derived Values'!$A$10:$AV$10000,MATCH($C33,'Table S9 Model Derived Values'!$A$10:$A$10000,0)+1,I$1),INDEX('Table S3 Literature Values'!$A$10:$AV$10000,MATCH($C33,'Table S3 Literature Values'!$A$10:$A$10000,0)+1,I$1))</f>
        <v>23.495827758781306</v>
      </c>
      <c r="J33" s="63">
        <f>INDEX('Table S3 Literature Values'!$A$10:$AV$10000,MATCH($C33,'Table S3 Literature Values'!$A$10:$A$10000,0)+2,I$1)</f>
        <v>0</v>
      </c>
      <c r="K33" s="501">
        <f>IF(VLOOKUP($C33,'Table S3 Literature Values'!$A$10:$AV$10000,K$1,FALSE)=0,VLOOKUP($C33,'Table S9 Model Derived Values'!$A$10:$AV$10000,K$1,FALSE),VLOOKUP($C33,'Table S3 Literature Values'!$A$10:$AV$10000,K$1,FALSE))</f>
        <v>0</v>
      </c>
      <c r="L33" s="61">
        <f>IF(INDEX('Table S3 Literature Values'!$A$10:$AV$10000,MATCH($C33,'Table S3 Literature Values'!$A$10:$A$10000,0)+1,L$1)=0,INDEX('Table S9 Model Derived Values'!$A$10:$AV$10000,MATCH($C33,'Table S9 Model Derived Values'!$A$10:$A$10000,0)+1,L$1),INDEX('Table S3 Literature Values'!$A$10:$AV$10000,MATCH($C33,'Table S3 Literature Values'!$A$10:$A$10000,0)+1,L$1))</f>
        <v>0</v>
      </c>
      <c r="M33" s="63">
        <f>INDEX('Table S3 Literature Values'!$A$10:$AV$10000,MATCH($C33,'Table S3 Literature Values'!$A$10:$A$10000,0)+2,L$1)</f>
        <v>0</v>
      </c>
      <c r="N33" s="501">
        <f>IF(VLOOKUP($C33,'Table S3 Literature Values'!$A$10:$AV$10000,N$1,FALSE)=0,VLOOKUP($C33,'Table S9 Model Derived Values'!$A$10:$AV$10000,N$1,FALSE),VLOOKUP($C33,'Table S3 Literature Values'!$A$10:$AV$10000,N$1,FALSE))</f>
        <v>95.100000000000009</v>
      </c>
      <c r="O33" s="61">
        <f>IF(INDEX('Table S3 Literature Values'!$A$10:$AV$10000,MATCH($C33,'Table S3 Literature Values'!$A$10:$A$10000,0)+1,O$1)=0,INDEX('Table S9 Model Derived Values'!$A$10:$AV$10000,MATCH($C33,'Table S9 Model Derived Values'!$A$10:$A$10000,0)+1,O$1),INDEX('Table S3 Literature Values'!$A$10:$AV$10000,MATCH($C33,'Table S3 Literature Values'!$A$10:$A$10000,0)+1,O$1))</f>
        <v>5.8077534382926403</v>
      </c>
      <c r="P33" s="63">
        <f>INDEX('Table S3 Literature Values'!$A$10:$AV$10000,MATCH($C33,'Table S3 Literature Values'!$A$10:$A$10000,0)+2,O$1)</f>
        <v>3</v>
      </c>
      <c r="Q33" s="501">
        <f>IF(VLOOKUP($C33,'Table S3 Literature Values'!$A$10:$AV$10000,Q$1,FALSE)=0,VLOOKUP($C33,'Table S9 Model Derived Values'!$A$10:$AV$10000,Q$1,FALSE),VLOOKUP($C33,'Table S3 Literature Values'!$A$10:$AV$10000,Q$1,FALSE))</f>
        <v>109.47182520000001</v>
      </c>
      <c r="R33" s="61">
        <f>IF(INDEX('Table S3 Literature Values'!$A$10:$AV$10000,MATCH($C33,'Table S3 Literature Values'!$A$10:$A$10000,0)+1,R$1)=0,INDEX('Table S9 Model Derived Values'!$A$10:$AV$10000,MATCH($C33,'Table S9 Model Derived Values'!$A$10:$A$10000,0)+1,R$1),INDEX('Table S3 Literature Values'!$A$10:$AV$10000,MATCH($C33,'Table S3 Literature Values'!$A$10:$A$10000,0)+1,R$1))</f>
        <v>20.522573598418802</v>
      </c>
      <c r="S33" s="63">
        <f>INDEX('Table S3 Literature Values'!$A$10:$AV$10000,MATCH($C33,'Table S3 Literature Values'!$A$10:$A$10000,0)+2,R$1)</f>
        <v>0</v>
      </c>
      <c r="T33" s="501">
        <f>IF(VLOOKUP($C33,'Table S3 Literature Values'!$A$10:$AV$10000,T$1,FALSE)=0,VLOOKUP($C33,'Table S9 Model Derived Values'!$A$10:$AV$10000,T$1,FALSE),VLOOKUP($C33,'Table S3 Literature Values'!$A$10:$AV$10000,T$1,FALSE))</f>
        <v>2.4292000000000646E-2</v>
      </c>
      <c r="U33" s="61">
        <f>IF(INDEX('Table S3 Literature Values'!$A$10:$AV$10000,MATCH($C33,'Table S3 Literature Values'!$A$10:$A$10000,0)+1,U$1)=0,INDEX('Table S9 Model Derived Values'!$A$10:$AV$10000,MATCH($C33,'Table S9 Model Derived Values'!$A$10:$A$10000,0)+1,U$1),INDEX('Table S3 Literature Values'!$A$10:$AV$10000,MATCH($C33,'Table S3 Literature Values'!$A$10:$A$10000,0)+1,U$1))</f>
        <v>9.9648977853561849E-3</v>
      </c>
      <c r="V33" s="63">
        <f>INDEX('Table S3 Literature Values'!$A$10:$AV$10000,MATCH($C33,'Table S3 Literature Values'!$A$10:$A$10000,0)+2,U$1)</f>
        <v>0</v>
      </c>
      <c r="W33" s="501">
        <f>IF(VLOOKUP($C33,'Table S3 Literature Values'!$A$10:$AV$10000,W$1,FALSE)=0,VLOOKUP($C33,'Table S9 Model Derived Values'!$A$10:$AV$10000,W$1,FALSE),VLOOKUP($C33,'Table S3 Literature Values'!$A$10:$AV$10000,W$1,FALSE))</f>
        <v>10.202624059176518</v>
      </c>
      <c r="X33" s="61">
        <f>IF(INDEX('Table S3 Literature Values'!$A$10:$AV$10000,MATCH($C33,'Table S3 Literature Values'!$A$10:$A$10000,0)+1,X$1)=0,INDEX('Table S9 Model Derived Values'!$A$10:$AV$10000,MATCH($C33,'Table S9 Model Derived Values'!$A$10:$A$10000,0)+1,X$1),INDEX('Table S3 Literature Values'!$A$10:$AV$10000,MATCH($C33,'Table S3 Literature Values'!$A$10:$A$10000,0)+1,X$1))</f>
        <v>0.16599464740887165</v>
      </c>
      <c r="Y33" s="63">
        <f>INDEX('Table S3 Literature Values'!$A$10:$AV$10000,MATCH($C33,'Table S3 Literature Values'!$A$10:$A$10000,0)+2,X$1)</f>
        <v>2</v>
      </c>
      <c r="Z33" s="501">
        <f>IF(VLOOKUP($C33,'Table S3 Literature Values'!$A$10:$AV$10000,Z$1,FALSE)=0,VLOOKUP($C33,'Table S9 Model Derived Values'!$A$10:$AV$10000,Z$1,FALSE),VLOOKUP($C33,'Table S3 Literature Values'!$A$10:$AV$10000,Z$1,FALSE))</f>
        <v>4.281560068433973</v>
      </c>
      <c r="AA33" s="61">
        <f>IF(INDEX('Table S3 Literature Values'!$A$10:$AV$10000,MATCH($C33,'Table S3 Literature Values'!$A$10:$A$10000,0)+1,AA$1)=0,INDEX('Table S9 Model Derived Values'!$A$10:$AV$10000,MATCH($C33,'Table S9 Model Derived Values'!$A$10:$A$10000,0)+1,AA$1),INDEX('Table S3 Literature Values'!$A$10:$AV$10000,MATCH($C33,'Table S3 Literature Values'!$A$10:$A$10000,0)+1,AA$1))</f>
        <v>0.75778339429101471</v>
      </c>
      <c r="AB33" s="63">
        <f>INDEX('Table S3 Literature Values'!$A$10:$AV$10000,MATCH($C33,'Table S3 Literature Values'!$A$10:$A$10000,0)+2,AA$1)</f>
        <v>4</v>
      </c>
      <c r="AC33" s="501">
        <f>IF(VLOOKUP($C33,'Table S3 Literature Values'!$A$10:$AV$10000,AC$1,FALSE)=0,VLOOKUP($C33,'Table S9 Model Derived Values'!$A$10:$AV$10000,AC$1,FALSE),VLOOKUP($C33,'Table S3 Literature Values'!$A$10:$AV$10000,AC$1,FALSE))</f>
        <v>-5.7889397877108442</v>
      </c>
      <c r="AD33" s="61">
        <f>IF(INDEX('Table S3 Literature Values'!$A$10:$AV$10000,MATCH($C33,'Table S3 Literature Values'!$A$10:$A$10000,0)+1,AD$1)=0,INDEX('Table S9 Model Derived Values'!$A$10:$AV$10000,MATCH($C33,'Table S9 Model Derived Values'!$A$10:$A$10000,0)+1,AD$1),INDEX('Table S3 Literature Values'!$A$10:$AV$10000,MATCH($C33,'Table S3 Literature Values'!$A$10:$A$10000,0)+1,AD$1))</f>
        <v>1.639850340484214</v>
      </c>
      <c r="AE33" s="63">
        <f>INDEX('Table S3 Literature Values'!$A$10:$AV$10000,MATCH($C33,'Table S3 Literature Values'!$A$10:$A$10000,0)+2,AD$1)</f>
        <v>0</v>
      </c>
      <c r="AF33" s="501">
        <f>IF(VLOOKUP($C33,'Table S3 Literature Values'!$A$10:$AV$10000,AF$1,FALSE)=0,VLOOKUP($C33,'Table S9 Model Derived Values'!$A$10:$AV$10000,AF$1,FALSE),VLOOKUP($C33,'Table S3 Literature Values'!$A$10:$AV$10000,AF$1,FALSE))</f>
        <v>-3.6388660479834938</v>
      </c>
      <c r="AG33" s="61">
        <f>IF(INDEX('Table S3 Literature Values'!$A$10:$AV$10000,MATCH($C33,'Table S3 Literature Values'!$A$10:$A$10000,0)+1,AG$1)=0,INDEX('Table S9 Model Derived Values'!$A$10:$AV$10000,MATCH($C33,'Table S9 Model Derived Values'!$A$10:$A$10000,0)+1,AG$1),INDEX('Table S3 Literature Values'!$A$10:$AV$10000,MATCH($C33,'Table S3 Literature Values'!$A$10:$A$10000,0)+1,AG$1))</f>
        <v>0.42628200846392272</v>
      </c>
      <c r="AH33" s="63">
        <f>INDEX('Table S3 Literature Values'!$A$10:$AV$10000,MATCH($C33,'Table S3 Literature Values'!$A$10:$A$10000,0)+2,AG$1)</f>
        <v>5</v>
      </c>
      <c r="AI33" s="501">
        <f ca="1">IF(VLOOKUP($C33,'Table S3 Literature Values'!$A$10:$AV$10000,AI$1,FALSE)=0,VLOOKUP($C33,'Table S9 Model Derived Values'!$A$10:$AV$10000,AI$1,FALSE),VLOOKUP($C33,'Table S3 Literature Values'!$A$10:$AV$10000,AI$1,FALSE))</f>
        <v>-2.3752720246754775</v>
      </c>
      <c r="AJ33" s="61">
        <f ca="1">IF(INDEX('Table S3 Literature Values'!$A$10:$AV$10000,MATCH($C33,'Table S3 Literature Values'!$A$10:$A$10000,0)+1,AJ$1)=0,INDEX('Table S9 Model Derived Values'!$A$10:$AV$10000,MATCH($C33,'Table S9 Model Derived Values'!$A$10:$A$10000,0)+1,AJ$1),INDEX('Table S3 Literature Values'!$A$10:$AV$10000,MATCH($C33,'Table S3 Literature Values'!$A$10:$A$10000,0)+1,AJ$1))</f>
        <v>0.18822354636508534</v>
      </c>
      <c r="AK33" s="63">
        <f ca="1">INDEX('Table S3 Literature Values'!$A$10:$AV$10000,MATCH($C33,'Table S3 Literature Values'!$A$10:$A$10000,0)+2,AJ$1)</f>
        <v>4</v>
      </c>
      <c r="AL33" s="501">
        <f>IF(VLOOKUP($C33,'Table S3 Literature Values'!$A$10:$AV$10000,AL$1,FALSE)=0,VLOOKUP($C33,'Table S9 Model Derived Values'!$A$10:$AV$10000,AL$1,FALSE),VLOOKUP($C33,'Table S3 Literature Values'!$A$10:$AV$10000,AL$1,FALSE))</f>
        <v>2.3427773999999992</v>
      </c>
      <c r="AM33" s="61">
        <f>IF(INDEX('Table S3 Literature Values'!$A$10:$AV$10000,MATCH($C33,'Table S3 Literature Values'!$A$10:$A$10000,0)+1,AM$1)=0,INDEX('Table S9 Model Derived Values'!$A$10:$AV$10000,MATCH($C33,'Table S9 Model Derived Values'!$A$10:$A$10000,0)+1,AM$1),INDEX('Table S3 Literature Values'!$A$10:$AV$10000,MATCH($C33,'Table S3 Literature Values'!$A$10:$A$10000,0)+1,AM$1))</f>
        <v>0.42341250227939986</v>
      </c>
      <c r="AN33" s="63">
        <f>INDEX('Table S3 Literature Values'!$A$10:$AV$10000,MATCH($C33,'Table S3 Literature Values'!$A$10:$A$10000,0)+2,AM$1)</f>
        <v>0</v>
      </c>
      <c r="AO33" s="501">
        <f>IF(VLOOKUP($C33,'Table S3 Literature Values'!$A$10:$AV$10000,AO$1,FALSE)=0,VLOOKUP($C33,'Table S9 Model Derived Values'!$A$10:$AV$10000,AO$1,FALSE),VLOOKUP($C33,'Table S3 Literature Values'!$A$10:$AV$10000,AO$1,FALSE))</f>
        <v>91.84</v>
      </c>
      <c r="AP33" s="61">
        <f>IF(INDEX('Table S3 Literature Values'!$A$10:$AV$10000,MATCH($C33,'Table S3 Literature Values'!$A$10:$A$10000,0)+1,AP$1)=0,INDEX('Table S9 Model Derived Values'!$A$10:$AV$10000,MATCH($C33,'Table S9 Model Derived Values'!$A$10:$A$10000,0)+1,AP$1),INDEX('Table S3 Literature Values'!$A$10:$AV$10000,MATCH($C33,'Table S3 Literature Values'!$A$10:$A$10000,0)+1,AP$1))</f>
        <v>7.2387944533560509</v>
      </c>
      <c r="AQ33" s="63">
        <f>INDEX('Table S3 Literature Values'!$A$10:$AV$10000,MATCH($C33,'Table S3 Literature Values'!$A$10:$A$10000,0)+2,AP$1)</f>
        <v>1</v>
      </c>
      <c r="AR33" s="501">
        <f>IF(VLOOKUP($C33,'Table S3 Literature Values'!$A$10:$AV$10000,AR$1,FALSE)=0,VLOOKUP($C33,'Table S9 Model Derived Values'!$A$10:$AV$10000,AR$1,FALSE),VLOOKUP($C33,'Table S3 Literature Values'!$A$10:$AV$10000,AR$1,FALSE))</f>
        <v>49.708333333333336</v>
      </c>
      <c r="AS33" s="61">
        <f>IF(INDEX('Table S3 Literature Values'!$A$10:$AV$10000,MATCH($C33,'Table S3 Literature Values'!$A$10:$A$10000,0)+1,AS$1)=0,INDEX('Table S9 Model Derived Values'!$A$10:$AV$10000,MATCH($C33,'Table S9 Model Derived Values'!$A$10:$A$10000,0)+1,AS$1),INDEX('Table S3 Literature Values'!$A$10:$AV$10000,MATCH($C33,'Table S3 Literature Values'!$A$10:$A$10000,0)+1,AS$1))</f>
        <v>0.6003471218109292</v>
      </c>
      <c r="AT33" s="63">
        <f>INDEX('Table S3 Literature Values'!$A$10:$AV$10000,MATCH($C33,'Table S3 Literature Values'!$A$10:$A$10000,0)+2,AS$1)</f>
        <v>7</v>
      </c>
    </row>
    <row r="34" spans="1:46">
      <c r="A34" t="str">
        <f>'Table S2 Compound Identifiers'!C39</f>
        <v>OPE</v>
      </c>
      <c r="B34">
        <f>COUNTIF($C$3:C34,"&lt;&gt;"&amp;"")</f>
        <v>32</v>
      </c>
      <c r="C34" t="str">
        <f>IF('Table S2 Compound Identifiers'!B39="","",'Table S2 Compound Identifiers'!B39)</f>
        <v>TmCP</v>
      </c>
      <c r="D34" t="str">
        <f>'Table S2 Compound Identifiers'!D39</f>
        <v>563-04-2</v>
      </c>
      <c r="E34" s="501">
        <f>IF(VLOOKUP($C34,'Table S3 Literature Values'!$A$10:$AV$10000,E$1,FALSE)=0,VLOOKUP($C34,'Table S9 Model Derived Values'!$A$10:$AV$10000,E$1,FALSE),VLOOKUP($C34,'Table S3 Literature Values'!$A$10:$AV$10000,E$1,FALSE))</f>
        <v>109.58571428571429</v>
      </c>
      <c r="F34" s="61">
        <f>IF(INDEX('Table S3 Literature Values'!$A$10:$AV$10000,MATCH($C34,'Table S3 Literature Values'!$A$10:$A$10000,0)+1,F$1)=0,INDEX('Table S9 Model Derived Values'!$A$10:$AV$10000,MATCH($C34,'Table S9 Model Derived Values'!$A$10:$A$10000,0)+1,F$1),INDEX('Table S3 Literature Values'!$A$10:$AV$10000,MATCH($C34,'Table S3 Literature Values'!$A$10:$A$10000,0)+1,F$1))</f>
        <v>7.9982140863713171</v>
      </c>
      <c r="G34" s="63">
        <f>INDEX('Table S3 Literature Values'!$A$10:$AV$10000,MATCH($C34,'Table S3 Literature Values'!$A$10:$A$10000,0)+2,F$1)</f>
        <v>6</v>
      </c>
      <c r="H34" s="501">
        <f>IF(VLOOKUP($C34,'Table S3 Literature Values'!$A$10:$AV$10000,H$1,FALSE)=0,VLOOKUP($C34,'Table S9 Model Derived Values'!$A$10:$AV$10000,H$1,FALSE),VLOOKUP($C34,'Table S3 Literature Values'!$A$10:$AV$10000,H$1,FALSE))</f>
        <v>11.646784604791947</v>
      </c>
      <c r="I34" s="61">
        <f>IF(INDEX('Table S3 Literature Values'!$A$10:$AV$10000,MATCH($C34,'Table S3 Literature Values'!$A$10:$A$10000,0)+1,I$1)=0,INDEX('Table S9 Model Derived Values'!$A$10:$AV$10000,MATCH($C34,'Table S9 Model Derived Values'!$A$10:$A$10000,0)+1,I$1),INDEX('Table S3 Literature Values'!$A$10:$AV$10000,MATCH($C34,'Table S3 Literature Values'!$A$10:$A$10000,0)+1,I$1))</f>
        <v>16.337876507910046</v>
      </c>
      <c r="J34" s="63">
        <f>INDEX('Table S3 Literature Values'!$A$10:$AV$10000,MATCH($C34,'Table S3 Literature Values'!$A$10:$A$10000,0)+2,I$1)</f>
        <v>0</v>
      </c>
      <c r="K34" s="501">
        <f>IF(VLOOKUP($C34,'Table S3 Literature Values'!$A$10:$AV$10000,K$1,FALSE)=0,VLOOKUP($C34,'Table S9 Model Derived Values'!$A$10:$AV$10000,K$1,FALSE),VLOOKUP($C34,'Table S3 Literature Values'!$A$10:$AV$10000,K$1,FALSE))</f>
        <v>0</v>
      </c>
      <c r="L34" s="61">
        <f>IF(INDEX('Table S3 Literature Values'!$A$10:$AV$10000,MATCH($C34,'Table S3 Literature Values'!$A$10:$A$10000,0)+1,L$1)=0,INDEX('Table S9 Model Derived Values'!$A$10:$AV$10000,MATCH($C34,'Table S9 Model Derived Values'!$A$10:$A$10000,0)+1,L$1),INDEX('Table S3 Literature Values'!$A$10:$AV$10000,MATCH($C34,'Table S3 Literature Values'!$A$10:$A$10000,0)+1,L$1))</f>
        <v>0</v>
      </c>
      <c r="M34" s="63">
        <f>INDEX('Table S3 Literature Values'!$A$10:$AV$10000,MATCH($C34,'Table S3 Literature Values'!$A$10:$A$10000,0)+2,L$1)</f>
        <v>0</v>
      </c>
      <c r="N34" s="501">
        <f>IF(VLOOKUP($C34,'Table S3 Literature Values'!$A$10:$AV$10000,N$1,FALSE)=0,VLOOKUP($C34,'Table S9 Model Derived Values'!$A$10:$AV$10000,N$1,FALSE),VLOOKUP($C34,'Table S3 Literature Values'!$A$10:$AV$10000,N$1,FALSE))</f>
        <v>102</v>
      </c>
      <c r="O34" s="61">
        <f>IF(INDEX('Table S3 Literature Values'!$A$10:$AV$10000,MATCH($C34,'Table S3 Literature Values'!$A$10:$A$10000,0)+1,O$1)=0,INDEX('Table S9 Model Derived Values'!$A$10:$AV$10000,MATCH($C34,'Table S9 Model Derived Values'!$A$10:$A$10000,0)+1,O$1),INDEX('Table S3 Literature Values'!$A$10:$AV$10000,MATCH($C34,'Table S3 Literature Values'!$A$10:$A$10000,0)+1,O$1))</f>
        <v>6.4625245455885869</v>
      </c>
      <c r="P34" s="63">
        <f>INDEX('Table S3 Literature Values'!$A$10:$AV$10000,MATCH($C34,'Table S3 Literature Values'!$A$10:$A$10000,0)+2,O$1)</f>
        <v>1</v>
      </c>
      <c r="Q34" s="501">
        <f>IF(VLOOKUP($C34,'Table S3 Literature Values'!$A$10:$AV$10000,Q$1,FALSE)=0,VLOOKUP($C34,'Table S9 Model Derived Values'!$A$10:$AV$10000,Q$1,FALSE),VLOOKUP($C34,'Table S3 Literature Values'!$A$10:$AV$10000,Q$1,FALSE))</f>
        <v>136.38984429999999</v>
      </c>
      <c r="R34" s="61">
        <f>IF(INDEX('Table S3 Literature Values'!$A$10:$AV$10000,MATCH($C34,'Table S3 Literature Values'!$A$10:$A$10000,0)+1,R$1)=0,INDEX('Table S9 Model Derived Values'!$A$10:$AV$10000,MATCH($C34,'Table S9 Model Derived Values'!$A$10:$A$10000,0)+1,R$1),INDEX('Table S3 Literature Values'!$A$10:$AV$10000,MATCH($C34,'Table S3 Literature Values'!$A$10:$A$10000,0)+1,R$1))</f>
        <v>25.5688677210767</v>
      </c>
      <c r="S34" s="63">
        <f>INDEX('Table S3 Literature Values'!$A$10:$AV$10000,MATCH($C34,'Table S3 Literature Values'!$A$10:$A$10000,0)+2,R$1)</f>
        <v>0</v>
      </c>
      <c r="T34" s="501">
        <f>IF(VLOOKUP($C34,'Table S3 Literature Values'!$A$10:$AV$10000,T$1,FALSE)=0,VLOOKUP($C34,'Table S9 Model Derived Values'!$A$10:$AV$10000,T$1,FALSE),VLOOKUP($C34,'Table S3 Literature Values'!$A$10:$AV$10000,T$1,FALSE))</f>
        <v>3.1020880000000073</v>
      </c>
      <c r="U34" s="61">
        <f>IF(INDEX('Table S3 Literature Values'!$A$10:$AV$10000,MATCH($C34,'Table S3 Literature Values'!$A$10:$A$10000,0)+1,U$1)=0,INDEX('Table S9 Model Derived Values'!$A$10:$AV$10000,MATCH($C34,'Table S9 Model Derived Values'!$A$10:$A$10000,0)+1,U$1),INDEX('Table S3 Literature Values'!$A$10:$AV$10000,MATCH($C34,'Table S3 Literature Values'!$A$10:$A$10000,0)+1,U$1))</f>
        <v>1.2725172831046947</v>
      </c>
      <c r="V34" s="63">
        <f>INDEX('Table S3 Literature Values'!$A$10:$AV$10000,MATCH($C34,'Table S3 Literature Values'!$A$10:$A$10000,0)+2,U$1)</f>
        <v>0</v>
      </c>
      <c r="W34" s="501">
        <f>IF(VLOOKUP($C34,'Table S3 Literature Values'!$A$10:$AV$10000,W$1,FALSE)=0,VLOOKUP($C34,'Table S9 Model Derived Values'!$A$10:$AV$10000,W$1,FALSE),VLOOKUP($C34,'Table S3 Literature Values'!$A$10:$AV$10000,W$1,FALSE))</f>
        <v>11.064474887288533</v>
      </c>
      <c r="X34" s="61">
        <f>IF(INDEX('Table S3 Literature Values'!$A$10:$AV$10000,MATCH($C34,'Table S3 Literature Values'!$A$10:$A$10000,0)+1,X$1)=0,INDEX('Table S9 Model Derived Values'!$A$10:$AV$10000,MATCH($C34,'Table S9 Model Derived Values'!$A$10:$A$10000,0)+1,X$1),INDEX('Table S3 Literature Values'!$A$10:$AV$10000,MATCH($C34,'Table S3 Literature Values'!$A$10:$A$10000,0)+1,X$1))</f>
        <v>0.28488608664306192</v>
      </c>
      <c r="Y34" s="63">
        <f>INDEX('Table S3 Literature Values'!$A$10:$AV$10000,MATCH($C34,'Table S3 Literature Values'!$A$10:$A$10000,0)+2,X$1)</f>
        <v>1</v>
      </c>
      <c r="Z34" s="501">
        <f>IF(VLOOKUP($C34,'Table S3 Literature Values'!$A$10:$AV$10000,Z$1,FALSE)=0,VLOOKUP($C34,'Table S9 Model Derived Values'!$A$10:$AV$10000,Z$1,FALSE),VLOOKUP($C34,'Table S3 Literature Values'!$A$10:$AV$10000,Z$1,FALSE))</f>
        <v>5.1369400000000001</v>
      </c>
      <c r="AA34" s="61">
        <f>IF(INDEX('Table S3 Literature Values'!$A$10:$AV$10000,MATCH($C34,'Table S3 Literature Values'!$A$10:$A$10000,0)+1,AA$1)=0,INDEX('Table S9 Model Derived Values'!$A$10:$AV$10000,MATCH($C34,'Table S9 Model Derived Values'!$A$10:$A$10000,0)+1,AA$1),INDEX('Table S3 Literature Values'!$A$10:$AV$10000,MATCH($C34,'Table S3 Literature Values'!$A$10:$A$10000,0)+1,AA$1))</f>
        <v>2.39362397322</v>
      </c>
      <c r="AB34" s="63">
        <f>INDEX('Table S3 Literature Values'!$A$10:$AV$10000,MATCH($C34,'Table S3 Literature Values'!$A$10:$A$10000,0)+2,AA$1)</f>
        <v>0</v>
      </c>
      <c r="AC34" s="501">
        <f>IF(VLOOKUP($C34,'Table S3 Literature Values'!$A$10:$AV$10000,AC$1,FALSE)=0,VLOOKUP($C34,'Table S9 Model Derived Values'!$A$10:$AV$10000,AC$1,FALSE),VLOOKUP($C34,'Table S3 Literature Values'!$A$10:$AV$10000,AC$1,FALSE))</f>
        <v>-5.6602455473135667</v>
      </c>
      <c r="AD34" s="61">
        <f>IF(INDEX('Table S3 Literature Values'!$A$10:$AV$10000,MATCH($C34,'Table S3 Literature Values'!$A$10:$A$10000,0)+1,AD$1)=0,INDEX('Table S9 Model Derived Values'!$A$10:$AV$10000,MATCH($C34,'Table S9 Model Derived Values'!$A$10:$A$10000,0)+1,AD$1),INDEX('Table S3 Literature Values'!$A$10:$AV$10000,MATCH($C34,'Table S3 Literature Values'!$A$10:$A$10000,0)+1,AD$1))</f>
        <v>1.6033947369241559</v>
      </c>
      <c r="AE34" s="63">
        <f>INDEX('Table S3 Literature Values'!$A$10:$AV$10000,MATCH($C34,'Table S3 Literature Values'!$A$10:$A$10000,0)+2,AD$1)</f>
        <v>0</v>
      </c>
      <c r="AF34" s="501">
        <f>IF(VLOOKUP($C34,'Table S3 Literature Values'!$A$10:$AV$10000,AF$1,FALSE)=0,VLOOKUP($C34,'Table S9 Model Derived Values'!$A$10:$AV$10000,AF$1,FALSE),VLOOKUP($C34,'Table S3 Literature Values'!$A$10:$AV$10000,AF$1,FALSE))</f>
        <v>-4.9827157586780739</v>
      </c>
      <c r="AG34" s="61">
        <f>IF(INDEX('Table S3 Literature Values'!$A$10:$AV$10000,MATCH($C34,'Table S3 Literature Values'!$A$10:$A$10000,0)+1,AG$1)=0,INDEX('Table S9 Model Derived Values'!$A$10:$AV$10000,MATCH($C34,'Table S9 Model Derived Values'!$A$10:$A$10000,0)+1,AG$1),INDEX('Table S3 Literature Values'!$A$10:$AV$10000,MATCH($C34,'Table S3 Literature Values'!$A$10:$A$10000,0)+1,AG$1))</f>
        <v>0.66020783020185903</v>
      </c>
      <c r="AH34" s="63">
        <f>INDEX('Table S3 Literature Values'!$A$10:$AV$10000,MATCH($C34,'Table S3 Literature Values'!$A$10:$A$10000,0)+2,AG$1)</f>
        <v>3</v>
      </c>
      <c r="AI34" s="501">
        <f>IF(VLOOKUP($C34,'Table S3 Literature Values'!$A$10:$AV$10000,AI$1,FALSE)=0,VLOOKUP($C34,'Table S9 Model Derived Values'!$A$10:$AV$10000,AI$1,FALSE),VLOOKUP($C34,'Table S3 Literature Values'!$A$10:$AV$10000,AI$1,FALSE))</f>
        <v>-3.3293905311605743</v>
      </c>
      <c r="AJ34" s="61">
        <f>IF(INDEX('Table S3 Literature Values'!$A$10:$AV$10000,MATCH($C34,'Table S3 Literature Values'!$A$10:$A$10000,0)+1,AJ$1)=0,INDEX('Table S9 Model Derived Values'!$A$10:$AV$10000,MATCH($C34,'Table S9 Model Derived Values'!$A$10:$A$10000,0)+1,AJ$1),INDEX('Table S3 Literature Values'!$A$10:$AV$10000,MATCH($C34,'Table S3 Literature Values'!$A$10:$A$10000,0)+1,AJ$1))</f>
        <v>2.9155639350899705</v>
      </c>
      <c r="AK34" s="63">
        <f>INDEX('Table S3 Literature Values'!$A$10:$AV$10000,MATCH($C34,'Table S3 Literature Values'!$A$10:$A$10000,0)+2,AJ$1)</f>
        <v>0</v>
      </c>
      <c r="AL34" s="501">
        <f>IF(VLOOKUP($C34,'Table S3 Literature Values'!$A$10:$AV$10000,AL$1,FALSE)=0,VLOOKUP($C34,'Table S9 Model Derived Values'!$A$10:$AV$10000,AL$1,FALSE),VLOOKUP($C34,'Table S3 Literature Values'!$A$10:$AV$10000,AL$1,FALSE))</f>
        <v>2.0676830999999991</v>
      </c>
      <c r="AM34" s="61">
        <f>IF(INDEX('Table S3 Literature Values'!$A$10:$AV$10000,MATCH($C34,'Table S3 Literature Values'!$A$10:$A$10000,0)+1,AM$1)=0,INDEX('Table S9 Model Derived Values'!$A$10:$AV$10000,MATCH($C34,'Table S9 Model Derived Values'!$A$10:$A$10000,0)+1,AM$1),INDEX('Table S3 Literature Values'!$A$10:$AV$10000,MATCH($C34,'Table S3 Literature Values'!$A$10:$A$10000,0)+1,AM$1))</f>
        <v>0.37369443434609984</v>
      </c>
      <c r="AN34" s="63">
        <f>INDEX('Table S3 Literature Values'!$A$10:$AV$10000,MATCH($C34,'Table S3 Literature Values'!$A$10:$A$10000,0)+2,AM$1)</f>
        <v>0</v>
      </c>
      <c r="AO34" s="501">
        <f>IF(VLOOKUP($C34,'Table S3 Literature Values'!$A$10:$AV$10000,AO$1,FALSE)=0,VLOOKUP($C34,'Table S9 Model Derived Values'!$A$10:$AV$10000,AO$1,FALSE),VLOOKUP($C34,'Table S3 Literature Values'!$A$10:$AV$10000,AO$1,FALSE))</f>
        <v>0</v>
      </c>
      <c r="AP34" s="61">
        <f>IF(INDEX('Table S3 Literature Values'!$A$10:$AV$10000,MATCH($C34,'Table S3 Literature Values'!$A$10:$A$10000,0)+1,AP$1)=0,INDEX('Table S9 Model Derived Values'!$A$10:$AV$10000,MATCH($C34,'Table S9 Model Derived Values'!$A$10:$A$10000,0)+1,AP$1),INDEX('Table S3 Literature Values'!$A$10:$AV$10000,MATCH($C34,'Table S3 Literature Values'!$A$10:$A$10000,0)+1,AP$1))</f>
        <v>0</v>
      </c>
      <c r="AQ34" s="63">
        <f>INDEX('Table S3 Literature Values'!$A$10:$AV$10000,MATCH($C34,'Table S3 Literature Values'!$A$10:$A$10000,0)+2,AP$1)</f>
        <v>0</v>
      </c>
      <c r="AR34" s="501">
        <f>IF(VLOOKUP($C34,'Table S3 Literature Values'!$A$10:$AV$10000,AR$1,FALSE)=0,VLOOKUP($C34,'Table S9 Model Derived Values'!$A$10:$AV$10000,AR$1,FALSE),VLOOKUP($C34,'Table S3 Literature Values'!$A$10:$AV$10000,AR$1,FALSE))</f>
        <v>25.5</v>
      </c>
      <c r="AS34" s="61">
        <f>IF(INDEX('Table S3 Literature Values'!$A$10:$AV$10000,MATCH($C34,'Table S3 Literature Values'!$A$10:$A$10000,0)+1,AS$1)=0,INDEX('Table S9 Model Derived Values'!$A$10:$AV$10000,MATCH($C34,'Table S9 Model Derived Values'!$A$10:$A$10000,0)+1,AS$1),INDEX('Table S3 Literature Values'!$A$10:$AV$10000,MATCH($C34,'Table S3 Literature Values'!$A$10:$A$10000,0)+1,AS$1))</f>
        <v>1.1772257883074695</v>
      </c>
      <c r="AT34" s="63">
        <f>INDEX('Table S3 Literature Values'!$A$10:$AV$10000,MATCH($C34,'Table S3 Literature Values'!$A$10:$A$10000,0)+2,AS$1)</f>
        <v>1</v>
      </c>
    </row>
    <row r="35" spans="1:46">
      <c r="A35" t="str">
        <f>'Table S2 Compound Identifiers'!C40</f>
        <v>OPE</v>
      </c>
      <c r="B35">
        <f>COUNTIF($C$3:C35,"&lt;&gt;"&amp;"")</f>
        <v>33</v>
      </c>
      <c r="C35" t="str">
        <f>IF('Table S2 Compound Identifiers'!B40="","",'Table S2 Compound Identifiers'!B40)</f>
        <v>ToCP</v>
      </c>
      <c r="D35" t="str">
        <f>'Table S2 Compound Identifiers'!D40</f>
        <v>78-30-8</v>
      </c>
      <c r="E35" s="501">
        <f>IF(VLOOKUP($C35,'Table S3 Literature Values'!$A$10:$AV$10000,E$1,FALSE)=0,VLOOKUP($C35,'Table S9 Model Derived Values'!$A$10:$AV$10000,E$1,FALSE),VLOOKUP($C35,'Table S3 Literature Values'!$A$10:$AV$10000,E$1,FALSE))</f>
        <v>96.174999999999997</v>
      </c>
      <c r="F35" s="61">
        <f>IF(INDEX('Table S3 Literature Values'!$A$10:$AV$10000,MATCH($C35,'Table S3 Literature Values'!$A$10:$A$10000,0)+1,F$1)=0,INDEX('Table S9 Model Derived Values'!$A$10:$AV$10000,MATCH($C35,'Table S9 Model Derived Values'!$A$10:$A$10000,0)+1,F$1),INDEX('Table S3 Literature Values'!$A$10:$AV$10000,MATCH($C35,'Table S3 Literature Values'!$A$10:$A$10000,0)+1,F$1))</f>
        <v>7.2168783648703219</v>
      </c>
      <c r="G35" s="63">
        <f>INDEX('Table S3 Literature Values'!$A$10:$AV$10000,MATCH($C35,'Table S3 Literature Values'!$A$10:$A$10000,0)+2,F$1)</f>
        <v>3</v>
      </c>
      <c r="H35" s="501">
        <f>IF(VLOOKUP($C35,'Table S3 Literature Values'!$A$10:$AV$10000,H$1,FALSE)=0,VLOOKUP($C35,'Table S9 Model Derived Values'!$A$10:$AV$10000,H$1,FALSE),VLOOKUP($C35,'Table S3 Literature Values'!$A$10:$AV$10000,H$1,FALSE))</f>
        <v>11.919418940071921</v>
      </c>
      <c r="I35" s="61">
        <f>IF(INDEX('Table S3 Literature Values'!$A$10:$AV$10000,MATCH($C35,'Table S3 Literature Values'!$A$10:$A$10000,0)+1,I$1)=0,INDEX('Table S9 Model Derived Values'!$A$10:$AV$10000,MATCH($C35,'Table S9 Model Derived Values'!$A$10:$A$10000,0)+1,I$1),INDEX('Table S3 Literature Values'!$A$10:$AV$10000,MATCH($C35,'Table S3 Literature Values'!$A$10:$A$10000,0)+1,I$1))</f>
        <v>16.72032250075409</v>
      </c>
      <c r="J35" s="63">
        <f>INDEX('Table S3 Literature Values'!$A$10:$AV$10000,MATCH($C35,'Table S3 Literature Values'!$A$10:$A$10000,0)+2,I$1)</f>
        <v>0</v>
      </c>
      <c r="K35" s="501">
        <f>IF(VLOOKUP($C35,'Table S3 Literature Values'!$A$10:$AV$10000,K$1,FALSE)=0,VLOOKUP($C35,'Table S9 Model Derived Values'!$A$10:$AV$10000,K$1,FALSE),VLOOKUP($C35,'Table S3 Literature Values'!$A$10:$AV$10000,K$1,FALSE))</f>
        <v>0</v>
      </c>
      <c r="L35" s="61">
        <f>IF(INDEX('Table S3 Literature Values'!$A$10:$AV$10000,MATCH($C35,'Table S3 Literature Values'!$A$10:$A$10000,0)+1,L$1)=0,INDEX('Table S9 Model Derived Values'!$A$10:$AV$10000,MATCH($C35,'Table S9 Model Derived Values'!$A$10:$A$10000,0)+1,L$1),INDEX('Table S3 Literature Values'!$A$10:$AV$10000,MATCH($C35,'Table S3 Literature Values'!$A$10:$A$10000,0)+1,L$1))</f>
        <v>0</v>
      </c>
      <c r="M35" s="63">
        <f>INDEX('Table S3 Literature Values'!$A$10:$AV$10000,MATCH($C35,'Table S3 Literature Values'!$A$10:$A$10000,0)+2,L$1)</f>
        <v>0</v>
      </c>
      <c r="N35" s="501">
        <f>IF(VLOOKUP($C35,'Table S3 Literature Values'!$A$10:$AV$10000,N$1,FALSE)=0,VLOOKUP($C35,'Table S9 Model Derived Values'!$A$10:$AV$10000,N$1,FALSE),VLOOKUP($C35,'Table S3 Literature Values'!$A$10:$AV$10000,N$1,FALSE))</f>
        <v>97.9</v>
      </c>
      <c r="O35" s="61">
        <f>IF(INDEX('Table S3 Literature Values'!$A$10:$AV$10000,MATCH($C35,'Table S3 Literature Values'!$A$10:$A$10000,0)+1,O$1)=0,INDEX('Table S9 Model Derived Values'!$A$10:$AV$10000,MATCH($C35,'Table S9 Model Derived Values'!$A$10:$A$10000,0)+1,O$1),INDEX('Table S3 Literature Values'!$A$10:$AV$10000,MATCH($C35,'Table S3 Literature Values'!$A$10:$A$10000,0)+1,O$1))</f>
        <v>6.2027564020894381</v>
      </c>
      <c r="P35" s="63">
        <f>INDEX('Table S3 Literature Values'!$A$10:$AV$10000,MATCH($C35,'Table S3 Literature Values'!$A$10:$A$10000,0)+2,O$1)</f>
        <v>1</v>
      </c>
      <c r="Q35" s="501">
        <f>IF(VLOOKUP($C35,'Table S3 Literature Values'!$A$10:$AV$10000,Q$1,FALSE)=0,VLOOKUP($C35,'Table S9 Model Derived Values'!$A$10:$AV$10000,Q$1,FALSE),VLOOKUP($C35,'Table S3 Literature Values'!$A$10:$AV$10000,Q$1,FALSE))</f>
        <v>136.38984429999999</v>
      </c>
      <c r="R35" s="61">
        <f>IF(INDEX('Table S3 Literature Values'!$A$10:$AV$10000,MATCH($C35,'Table S3 Literature Values'!$A$10:$A$10000,0)+1,R$1)=0,INDEX('Table S9 Model Derived Values'!$A$10:$AV$10000,MATCH($C35,'Table S9 Model Derived Values'!$A$10:$A$10000,0)+1,R$1),INDEX('Table S3 Literature Values'!$A$10:$AV$10000,MATCH($C35,'Table S3 Literature Values'!$A$10:$A$10000,0)+1,R$1))</f>
        <v>25.5688677210767</v>
      </c>
      <c r="S35" s="63">
        <f>INDEX('Table S3 Literature Values'!$A$10:$AV$10000,MATCH($C35,'Table S3 Literature Values'!$A$10:$A$10000,0)+2,R$1)</f>
        <v>0</v>
      </c>
      <c r="T35" s="501">
        <f>IF(VLOOKUP($C35,'Table S3 Literature Values'!$A$10:$AV$10000,T$1,FALSE)=0,VLOOKUP($C35,'Table S9 Model Derived Values'!$A$10:$AV$10000,T$1,FALSE),VLOOKUP($C35,'Table S3 Literature Values'!$A$10:$AV$10000,T$1,FALSE))</f>
        <v>3.1020880000000073</v>
      </c>
      <c r="U35" s="61">
        <f>IF(INDEX('Table S3 Literature Values'!$A$10:$AV$10000,MATCH($C35,'Table S3 Literature Values'!$A$10:$A$10000,0)+1,U$1)=0,INDEX('Table S9 Model Derived Values'!$A$10:$AV$10000,MATCH($C35,'Table S9 Model Derived Values'!$A$10:$A$10000,0)+1,U$1),INDEX('Table S3 Literature Values'!$A$10:$AV$10000,MATCH($C35,'Table S3 Literature Values'!$A$10:$A$10000,0)+1,U$1))</f>
        <v>1.2725172831046947</v>
      </c>
      <c r="V35" s="63">
        <f>INDEX('Table S3 Literature Values'!$A$10:$AV$10000,MATCH($C35,'Table S3 Literature Values'!$A$10:$A$10000,0)+2,U$1)</f>
        <v>0</v>
      </c>
      <c r="W35" s="501">
        <f>IF(VLOOKUP($C35,'Table S3 Literature Values'!$A$10:$AV$10000,W$1,FALSE)=0,VLOOKUP($C35,'Table S9 Model Derived Values'!$A$10:$AV$10000,W$1,FALSE),VLOOKUP($C35,'Table S3 Literature Values'!$A$10:$AV$10000,W$1,FALSE))</f>
        <v>10.720407474148484</v>
      </c>
      <c r="X35" s="61">
        <f>IF(INDEX('Table S3 Literature Values'!$A$10:$AV$10000,MATCH($C35,'Table S3 Literature Values'!$A$10:$A$10000,0)+1,X$1)=0,INDEX('Table S9 Model Derived Values'!$A$10:$AV$10000,MATCH($C35,'Table S9 Model Derived Values'!$A$10:$A$10000,0)+1,X$1),INDEX('Table S3 Literature Values'!$A$10:$AV$10000,MATCH($C35,'Table S3 Literature Values'!$A$10:$A$10000,0)+1,X$1))</f>
        <v>0.27602710147933929</v>
      </c>
      <c r="Y35" s="63">
        <f>INDEX('Table S3 Literature Values'!$A$10:$AV$10000,MATCH($C35,'Table S3 Literature Values'!$A$10:$A$10000,0)+2,X$1)</f>
        <v>1</v>
      </c>
      <c r="Z35" s="501">
        <f>IF(VLOOKUP($C35,'Table S3 Literature Values'!$A$10:$AV$10000,Z$1,FALSE)=0,VLOOKUP($C35,'Table S9 Model Derived Values'!$A$10:$AV$10000,Z$1,FALSE),VLOOKUP($C35,'Table S3 Literature Values'!$A$10:$AV$10000,Z$1,FALSE))</f>
        <v>5.1511899999999997</v>
      </c>
      <c r="AA35" s="61">
        <f>IF(INDEX('Table S3 Literature Values'!$A$10:$AV$10000,MATCH($C35,'Table S3 Literature Values'!$A$10:$A$10000,0)+1,AA$1)=0,INDEX('Table S9 Model Derived Values'!$A$10:$AV$10000,MATCH($C35,'Table S9 Model Derived Values'!$A$10:$A$10000,0)+1,AA$1),INDEX('Table S3 Literature Values'!$A$10:$AV$10000,MATCH($C35,'Table S3 Literature Values'!$A$10:$A$10000,0)+1,AA$1))</f>
        <v>2.4002639459699999</v>
      </c>
      <c r="AB35" s="63">
        <f>INDEX('Table S3 Literature Values'!$A$10:$AV$10000,MATCH($C35,'Table S3 Literature Values'!$A$10:$A$10000,0)+2,AA$1)</f>
        <v>0</v>
      </c>
      <c r="AC35" s="501">
        <f>IF(VLOOKUP($C35,'Table S3 Literature Values'!$A$10:$AV$10000,AC$1,FALSE)=0,VLOOKUP($C35,'Table S9 Model Derived Values'!$A$10:$AV$10000,AC$1,FALSE),VLOOKUP($C35,'Table S3 Literature Values'!$A$10:$AV$10000,AC$1,FALSE))</f>
        <v>-5.6602455473135667</v>
      </c>
      <c r="AD35" s="61">
        <f>IF(INDEX('Table S3 Literature Values'!$A$10:$AV$10000,MATCH($C35,'Table S3 Literature Values'!$A$10:$A$10000,0)+1,AD$1)=0,INDEX('Table S9 Model Derived Values'!$A$10:$AV$10000,MATCH($C35,'Table S9 Model Derived Values'!$A$10:$A$10000,0)+1,AD$1),INDEX('Table S3 Literature Values'!$A$10:$AV$10000,MATCH($C35,'Table S3 Literature Values'!$A$10:$A$10000,0)+1,AD$1))</f>
        <v>1.6033947369241559</v>
      </c>
      <c r="AE35" s="63">
        <f>INDEX('Table S3 Literature Values'!$A$10:$AV$10000,MATCH($C35,'Table S3 Literature Values'!$A$10:$A$10000,0)+2,AD$1)</f>
        <v>0</v>
      </c>
      <c r="AF35" s="501">
        <f>IF(VLOOKUP($C35,'Table S3 Literature Values'!$A$10:$AV$10000,AF$1,FALSE)=0,VLOOKUP($C35,'Table S9 Model Derived Values'!$A$10:$AV$10000,AF$1,FALSE),VLOOKUP($C35,'Table S3 Literature Values'!$A$10:$AV$10000,AF$1,FALSE))</f>
        <v>-4.0295295311185804</v>
      </c>
      <c r="AG35" s="61">
        <f>IF(INDEX('Table S3 Literature Values'!$A$10:$AV$10000,MATCH($C35,'Table S3 Literature Values'!$A$10:$A$10000,0)+1,AG$1)=0,INDEX('Table S9 Model Derived Values'!$A$10:$AV$10000,MATCH($C35,'Table S9 Model Derived Values'!$A$10:$A$10000,0)+1,AG$1),INDEX('Table S3 Literature Values'!$A$10:$AV$10000,MATCH($C35,'Table S3 Literature Values'!$A$10:$A$10000,0)+1,AG$1))</f>
        <v>0.33620127189764476</v>
      </c>
      <c r="AH35" s="63">
        <f>INDEX('Table S3 Literature Values'!$A$10:$AV$10000,MATCH($C35,'Table S3 Literature Values'!$A$10:$A$10000,0)+2,AG$1)</f>
        <v>3</v>
      </c>
      <c r="AI35" s="501">
        <f ca="1">IF(VLOOKUP($C35,'Table S3 Literature Values'!$A$10:$AV$10000,AI$1,FALSE)=0,VLOOKUP($C35,'Table S9 Model Derived Values'!$A$10:$AV$10000,AI$1,FALSE),VLOOKUP($C35,'Table S3 Literature Values'!$A$10:$AV$10000,AI$1,FALSE))</f>
        <v>-2.1255891224464589</v>
      </c>
      <c r="AJ35" s="61">
        <f ca="1">IF(INDEX('Table S3 Literature Values'!$A$10:$AV$10000,MATCH($C35,'Table S3 Literature Values'!$A$10:$A$10000,0)+1,AJ$1)=0,INDEX('Table S9 Model Derived Values'!$A$10:$AV$10000,MATCH($C35,'Table S9 Model Derived Values'!$A$10:$A$10000,0)+1,AJ$1),INDEX('Table S3 Literature Values'!$A$10:$AV$10000,MATCH($C35,'Table S3 Literature Values'!$A$10:$A$10000,0)+1,AJ$1))</f>
        <v>0.63767673673393765</v>
      </c>
      <c r="AK35" s="63">
        <f ca="1">INDEX('Table S3 Literature Values'!$A$10:$AV$10000,MATCH($C35,'Table S3 Literature Values'!$A$10:$A$10000,0)+2,AJ$1)</f>
        <v>1</v>
      </c>
      <c r="AL35" s="501">
        <f>IF(VLOOKUP($C35,'Table S3 Literature Values'!$A$10:$AV$10000,AL$1,FALSE)=0,VLOOKUP($C35,'Table S9 Model Derived Values'!$A$10:$AV$10000,AL$1,FALSE),VLOOKUP($C35,'Table S3 Literature Values'!$A$10:$AV$10000,AL$1,FALSE))</f>
        <v>2.0676830999999991</v>
      </c>
      <c r="AM35" s="61">
        <f>IF(INDEX('Table S3 Literature Values'!$A$10:$AV$10000,MATCH($C35,'Table S3 Literature Values'!$A$10:$A$10000,0)+1,AM$1)=0,INDEX('Table S9 Model Derived Values'!$A$10:$AV$10000,MATCH($C35,'Table S9 Model Derived Values'!$A$10:$A$10000,0)+1,AM$1),INDEX('Table S3 Literature Values'!$A$10:$AV$10000,MATCH($C35,'Table S3 Literature Values'!$A$10:$A$10000,0)+1,AM$1))</f>
        <v>0.37369443434609984</v>
      </c>
      <c r="AN35" s="63">
        <f>INDEX('Table S3 Literature Values'!$A$10:$AV$10000,MATCH($C35,'Table S3 Literature Values'!$A$10:$A$10000,0)+2,AM$1)</f>
        <v>0</v>
      </c>
      <c r="AO35" s="501">
        <f>IF(VLOOKUP($C35,'Table S3 Literature Values'!$A$10:$AV$10000,AO$1,FALSE)=0,VLOOKUP($C35,'Table S9 Model Derived Values'!$A$10:$AV$10000,AO$1,FALSE),VLOOKUP($C35,'Table S3 Literature Values'!$A$10:$AV$10000,AO$1,FALSE))</f>
        <v>0</v>
      </c>
      <c r="AP35" s="61">
        <f>IF(INDEX('Table S3 Literature Values'!$A$10:$AV$10000,MATCH($C35,'Table S3 Literature Values'!$A$10:$A$10000,0)+1,AP$1)=0,INDEX('Table S9 Model Derived Values'!$A$10:$AV$10000,MATCH($C35,'Table S9 Model Derived Values'!$A$10:$A$10000,0)+1,AP$1),INDEX('Table S3 Literature Values'!$A$10:$AV$10000,MATCH($C35,'Table S3 Literature Values'!$A$10:$A$10000,0)+1,AP$1))</f>
        <v>0</v>
      </c>
      <c r="AQ35" s="63">
        <f>INDEX('Table S3 Literature Values'!$A$10:$AV$10000,MATCH($C35,'Table S3 Literature Values'!$A$10:$A$10000,0)+2,AP$1)</f>
        <v>0</v>
      </c>
      <c r="AR35" s="501">
        <f>IF(VLOOKUP($C35,'Table S3 Literature Values'!$A$10:$AV$10000,AR$1,FALSE)=0,VLOOKUP($C35,'Table S9 Model Derived Values'!$A$10:$AV$10000,AR$1,FALSE),VLOOKUP($C35,'Table S3 Literature Values'!$A$10:$AV$10000,AR$1,FALSE))</f>
        <v>-10.95</v>
      </c>
      <c r="AS35" s="61">
        <f>IF(INDEX('Table S3 Literature Values'!$A$10:$AV$10000,MATCH($C35,'Table S3 Literature Values'!$A$10:$A$10000,0)+1,AS$1)=0,INDEX('Table S9 Model Derived Values'!$A$10:$AV$10000,MATCH($C35,'Table S9 Model Derived Values'!$A$10:$A$10000,0)+1,AS$1),INDEX('Table S3 Literature Values'!$A$10:$AV$10000,MATCH($C35,'Table S3 Literature Values'!$A$10:$A$10000,0)+1,AS$1))</f>
        <v>0.50551460321438391</v>
      </c>
      <c r="AT35" s="63">
        <f>INDEX('Table S3 Literature Values'!$A$10:$AV$10000,MATCH($C35,'Table S3 Literature Values'!$A$10:$A$10000,0)+2,AS$1)</f>
        <v>1</v>
      </c>
    </row>
    <row r="36" spans="1:46">
      <c r="A36" t="str">
        <f>'Table S2 Compound Identifiers'!C41</f>
        <v>OPE</v>
      </c>
      <c r="B36">
        <f>COUNTIF($C$3:C36,"&lt;&gt;"&amp;"")</f>
        <v>34</v>
      </c>
      <c r="C36" t="str">
        <f>IF('Table S2 Compound Identifiers'!B41="","",'Table S2 Compound Identifiers'!B41)</f>
        <v>TpCP</v>
      </c>
      <c r="D36" t="str">
        <f>'Table S2 Compound Identifiers'!D41</f>
        <v>78-32-0</v>
      </c>
      <c r="E36" s="501">
        <f>IF(VLOOKUP($C36,'Table S3 Literature Values'!$A$10:$AV$10000,E$1,FALSE)=0,VLOOKUP($C36,'Table S9 Model Derived Values'!$A$10:$AV$10000,E$1,FALSE),VLOOKUP($C36,'Table S3 Literature Values'!$A$10:$AV$10000,E$1,FALSE))</f>
        <v>107.25</v>
      </c>
      <c r="F36" s="61">
        <f>IF(INDEX('Table S3 Literature Values'!$A$10:$AV$10000,MATCH($C36,'Table S3 Literature Values'!$A$10:$A$10000,0)+1,F$1)=0,INDEX('Table S9 Model Derived Values'!$A$10:$AV$10000,MATCH($C36,'Table S9 Model Derived Values'!$A$10:$A$10000,0)+1,F$1),INDEX('Table S3 Literature Values'!$A$10:$AV$10000,MATCH($C36,'Table S3 Literature Values'!$A$10:$A$10000,0)+1,F$1))</f>
        <v>4.1154181642533825</v>
      </c>
      <c r="G36" s="63">
        <f>INDEX('Table S3 Literature Values'!$A$10:$AV$10000,MATCH($C36,'Table S3 Literature Values'!$A$10:$A$10000,0)+2,F$1)</f>
        <v>4</v>
      </c>
      <c r="H36" s="501">
        <f>IF(VLOOKUP($C36,'Table S3 Literature Values'!$A$10:$AV$10000,H$1,FALSE)=0,VLOOKUP($C36,'Table S9 Model Derived Values'!$A$10:$AV$10000,H$1,FALSE),VLOOKUP($C36,'Table S3 Literature Values'!$A$10:$AV$10000,H$1,FALSE))</f>
        <v>10.954777397464071</v>
      </c>
      <c r="I36" s="61">
        <f>IF(INDEX('Table S3 Literature Values'!$A$10:$AV$10000,MATCH($C36,'Table S3 Literature Values'!$A$10:$A$10000,0)+1,I$1)=0,INDEX('Table S9 Model Derived Values'!$A$10:$AV$10000,MATCH($C36,'Table S9 Model Derived Values'!$A$10:$A$10000,0)+1,I$1),INDEX('Table S3 Literature Values'!$A$10:$AV$10000,MATCH($C36,'Table S3 Literature Values'!$A$10:$A$10000,0)+1,I$1))</f>
        <v>15.367142637614648</v>
      </c>
      <c r="J36" s="63">
        <f>INDEX('Table S3 Literature Values'!$A$10:$AV$10000,MATCH($C36,'Table S3 Literature Values'!$A$10:$A$10000,0)+2,I$1)</f>
        <v>0</v>
      </c>
      <c r="K36" s="501">
        <f>IF(VLOOKUP($C36,'Table S3 Literature Values'!$A$10:$AV$10000,K$1,FALSE)=0,VLOOKUP($C36,'Table S9 Model Derived Values'!$A$10:$AV$10000,K$1,FALSE),VLOOKUP($C36,'Table S3 Literature Values'!$A$10:$AV$10000,K$1,FALSE))</f>
        <v>0</v>
      </c>
      <c r="L36" s="61">
        <f>IF(INDEX('Table S3 Literature Values'!$A$10:$AV$10000,MATCH($C36,'Table S3 Literature Values'!$A$10:$A$10000,0)+1,L$1)=0,INDEX('Table S9 Model Derived Values'!$A$10:$AV$10000,MATCH($C36,'Table S9 Model Derived Values'!$A$10:$A$10000,0)+1,L$1),INDEX('Table S3 Literature Values'!$A$10:$AV$10000,MATCH($C36,'Table S3 Literature Values'!$A$10:$A$10000,0)+1,L$1))</f>
        <v>0</v>
      </c>
      <c r="M36" s="63">
        <f>INDEX('Table S3 Literature Values'!$A$10:$AV$10000,MATCH($C36,'Table S3 Literature Values'!$A$10:$A$10000,0)+2,L$1)</f>
        <v>0</v>
      </c>
      <c r="N36" s="501">
        <f>IF(VLOOKUP($C36,'Table S3 Literature Values'!$A$10:$AV$10000,N$1,FALSE)=0,VLOOKUP($C36,'Table S9 Model Derived Values'!$A$10:$AV$10000,N$1,FALSE),VLOOKUP($C36,'Table S3 Literature Values'!$A$10:$AV$10000,N$1,FALSE))</f>
        <v>104</v>
      </c>
      <c r="O36" s="61">
        <f>IF(INDEX('Table S3 Literature Values'!$A$10:$AV$10000,MATCH($C36,'Table S3 Literature Values'!$A$10:$A$10000,0)+1,O$1)=0,INDEX('Table S9 Model Derived Values'!$A$10:$AV$10000,MATCH($C36,'Table S9 Model Derived Values'!$A$10:$A$10000,0)+1,O$1),INDEX('Table S3 Literature Values'!$A$10:$AV$10000,MATCH($C36,'Table S3 Literature Values'!$A$10:$A$10000,0)+1,O$1))</f>
        <v>6.5892407131491479</v>
      </c>
      <c r="P36" s="63">
        <f>INDEX('Table S3 Literature Values'!$A$10:$AV$10000,MATCH($C36,'Table S3 Literature Values'!$A$10:$A$10000,0)+2,O$1)</f>
        <v>1</v>
      </c>
      <c r="Q36" s="501">
        <f>IF(VLOOKUP($C36,'Table S3 Literature Values'!$A$10:$AV$10000,Q$1,FALSE)=0,VLOOKUP($C36,'Table S9 Model Derived Values'!$A$10:$AV$10000,Q$1,FALSE),VLOOKUP($C36,'Table S3 Literature Values'!$A$10:$AV$10000,Q$1,FALSE))</f>
        <v>136.38984429999999</v>
      </c>
      <c r="R36" s="61">
        <f>IF(INDEX('Table S3 Literature Values'!$A$10:$AV$10000,MATCH($C36,'Table S3 Literature Values'!$A$10:$A$10000,0)+1,R$1)=0,INDEX('Table S9 Model Derived Values'!$A$10:$AV$10000,MATCH($C36,'Table S9 Model Derived Values'!$A$10:$A$10000,0)+1,R$1),INDEX('Table S3 Literature Values'!$A$10:$AV$10000,MATCH($C36,'Table S3 Literature Values'!$A$10:$A$10000,0)+1,R$1))</f>
        <v>25.5688677210767</v>
      </c>
      <c r="S36" s="63">
        <f>INDEX('Table S3 Literature Values'!$A$10:$AV$10000,MATCH($C36,'Table S3 Literature Values'!$A$10:$A$10000,0)+2,R$1)</f>
        <v>0</v>
      </c>
      <c r="T36" s="501">
        <f>IF(VLOOKUP($C36,'Table S3 Literature Values'!$A$10:$AV$10000,T$1,FALSE)=0,VLOOKUP($C36,'Table S9 Model Derived Values'!$A$10:$AV$10000,T$1,FALSE),VLOOKUP($C36,'Table S3 Literature Values'!$A$10:$AV$10000,T$1,FALSE))</f>
        <v>3.1020880000000073</v>
      </c>
      <c r="U36" s="61">
        <f>IF(INDEX('Table S3 Literature Values'!$A$10:$AV$10000,MATCH($C36,'Table S3 Literature Values'!$A$10:$A$10000,0)+1,U$1)=0,INDEX('Table S9 Model Derived Values'!$A$10:$AV$10000,MATCH($C36,'Table S9 Model Derived Values'!$A$10:$A$10000,0)+1,U$1),INDEX('Table S3 Literature Values'!$A$10:$AV$10000,MATCH($C36,'Table S3 Literature Values'!$A$10:$A$10000,0)+1,U$1))</f>
        <v>1.2725172831046947</v>
      </c>
      <c r="V36" s="63">
        <f>INDEX('Table S3 Literature Values'!$A$10:$AV$10000,MATCH($C36,'Table S3 Literature Values'!$A$10:$A$10000,0)+2,U$1)</f>
        <v>0</v>
      </c>
      <c r="W36" s="501">
        <f>IF(VLOOKUP($C36,'Table S3 Literature Values'!$A$10:$AV$10000,W$1,FALSE)=0,VLOOKUP($C36,'Table S9 Model Derived Values'!$A$10:$AV$10000,W$1,FALSE),VLOOKUP($C36,'Table S3 Literature Values'!$A$10:$AV$10000,W$1,FALSE))</f>
        <v>11.296948484835518</v>
      </c>
      <c r="X36" s="61">
        <f>IF(INDEX('Table S3 Literature Values'!$A$10:$AV$10000,MATCH($C36,'Table S3 Literature Values'!$A$10:$A$10000,0)+1,X$1)=0,INDEX('Table S9 Model Derived Values'!$A$10:$AV$10000,MATCH($C36,'Table S9 Model Derived Values'!$A$10:$A$10000,0)+1,X$1),INDEX('Table S3 Literature Values'!$A$10:$AV$10000,MATCH($C36,'Table S3 Literature Values'!$A$10:$A$10000,0)+1,X$1))</f>
        <v>0.29087177454308882</v>
      </c>
      <c r="Y36" s="63">
        <f>INDEX('Table S3 Literature Values'!$A$10:$AV$10000,MATCH($C36,'Table S3 Literature Values'!$A$10:$A$10000,0)+2,X$1)</f>
        <v>1</v>
      </c>
      <c r="Z36" s="501">
        <f>IF(VLOOKUP($C36,'Table S3 Literature Values'!$A$10:$AV$10000,Z$1,FALSE)=0,VLOOKUP($C36,'Table S9 Model Derived Values'!$A$10:$AV$10000,Z$1,FALSE),VLOOKUP($C36,'Table S3 Literature Values'!$A$10:$AV$10000,Z$1,FALSE))</f>
        <v>5.1328800000000001</v>
      </c>
      <c r="AA36" s="61">
        <f>IF(INDEX('Table S3 Literature Values'!$A$10:$AV$10000,MATCH($C36,'Table S3 Literature Values'!$A$10:$A$10000,0)+1,AA$1)=0,INDEX('Table S9 Model Derived Values'!$A$10:$AV$10000,MATCH($C36,'Table S9 Model Derived Values'!$A$10:$A$10000,0)+1,AA$1),INDEX('Table S3 Literature Values'!$A$10:$AV$10000,MATCH($C36,'Table S3 Literature Values'!$A$10:$A$10000,0)+1,AA$1))</f>
        <v>2.3917321634399999</v>
      </c>
      <c r="AB36" s="63">
        <f>INDEX('Table S3 Literature Values'!$A$10:$AV$10000,MATCH($C36,'Table S3 Literature Values'!$A$10:$A$10000,0)+2,AA$1)</f>
        <v>0</v>
      </c>
      <c r="AC36" s="501">
        <f>IF(VLOOKUP($C36,'Table S3 Literature Values'!$A$10:$AV$10000,AC$1,FALSE)=0,VLOOKUP($C36,'Table S9 Model Derived Values'!$A$10:$AV$10000,AC$1,FALSE),VLOOKUP($C36,'Table S3 Literature Values'!$A$10:$AV$10000,AC$1,FALSE))</f>
        <v>-5.6602455473135667</v>
      </c>
      <c r="AD36" s="61">
        <f>IF(INDEX('Table S3 Literature Values'!$A$10:$AV$10000,MATCH($C36,'Table S3 Literature Values'!$A$10:$A$10000,0)+1,AD$1)=0,INDEX('Table S9 Model Derived Values'!$A$10:$AV$10000,MATCH($C36,'Table S9 Model Derived Values'!$A$10:$A$10000,0)+1,AD$1),INDEX('Table S3 Literature Values'!$A$10:$AV$10000,MATCH($C36,'Table S3 Literature Values'!$A$10:$A$10000,0)+1,AD$1))</f>
        <v>1.6033947369241559</v>
      </c>
      <c r="AE36" s="63">
        <f>INDEX('Table S3 Literature Values'!$A$10:$AV$10000,MATCH($C36,'Table S3 Literature Values'!$A$10:$A$10000,0)+2,AD$1)</f>
        <v>0</v>
      </c>
      <c r="AF36" s="501">
        <f>IF(VLOOKUP($C36,'Table S3 Literature Values'!$A$10:$AV$10000,AF$1,FALSE)=0,VLOOKUP($C36,'Table S9 Model Derived Values'!$A$10:$AV$10000,AF$1,FALSE),VLOOKUP($C36,'Table S3 Literature Values'!$A$10:$AV$10000,AF$1,FALSE))</f>
        <v>-4.8811502522142618</v>
      </c>
      <c r="AG36" s="61">
        <f>IF(INDEX('Table S3 Literature Values'!$A$10:$AV$10000,MATCH($C36,'Table S3 Literature Values'!$A$10:$A$10000,0)+1,AG$1)=0,INDEX('Table S9 Model Derived Values'!$A$10:$AV$10000,MATCH($C36,'Table S9 Model Derived Values'!$A$10:$A$10000,0)+1,AG$1),INDEX('Table S3 Literature Values'!$A$10:$AV$10000,MATCH($C36,'Table S3 Literature Values'!$A$10:$A$10000,0)+1,AG$1))</f>
        <v>0.52309835760605849</v>
      </c>
      <c r="AH36" s="63">
        <f>INDEX('Table S3 Literature Values'!$A$10:$AV$10000,MATCH($C36,'Table S3 Literature Values'!$A$10:$A$10000,0)+2,AG$1)</f>
        <v>4</v>
      </c>
      <c r="AI36" s="501">
        <f>IF(VLOOKUP($C36,'Table S3 Literature Values'!$A$10:$AV$10000,AI$1,FALSE)=0,VLOOKUP($C36,'Table S9 Model Derived Values'!$A$10:$AV$10000,AI$1,FALSE),VLOOKUP($C36,'Table S3 Literature Values'!$A$10:$AV$10000,AI$1,FALSE))</f>
        <v>-3.6970513553893394</v>
      </c>
      <c r="AJ36" s="61">
        <f>IF(INDEX('Table S3 Literature Values'!$A$10:$AV$10000,MATCH($C36,'Table S3 Literature Values'!$A$10:$A$10000,0)+1,AJ$1)=0,INDEX('Table S9 Model Derived Values'!$A$10:$AV$10000,MATCH($C36,'Table S9 Model Derived Values'!$A$10:$A$10000,0)+1,AJ$1),INDEX('Table S3 Literature Values'!$A$10:$AV$10000,MATCH($C36,'Table S3 Literature Values'!$A$10:$A$10000,0)+1,AJ$1))</f>
        <v>1.1091154066168019</v>
      </c>
      <c r="AK36" s="63">
        <f>INDEX('Table S3 Literature Values'!$A$10:$AV$10000,MATCH($C36,'Table S3 Literature Values'!$A$10:$A$10000,0)+2,AJ$1)</f>
        <v>1</v>
      </c>
      <c r="AL36" s="501">
        <f>IF(VLOOKUP($C36,'Table S3 Literature Values'!$A$10:$AV$10000,AL$1,FALSE)=0,VLOOKUP($C36,'Table S9 Model Derived Values'!$A$10:$AV$10000,AL$1,FALSE),VLOOKUP($C36,'Table S3 Literature Values'!$A$10:$AV$10000,AL$1,FALSE))</f>
        <v>2.0676830999999991</v>
      </c>
      <c r="AM36" s="61">
        <f>IF(INDEX('Table S3 Literature Values'!$A$10:$AV$10000,MATCH($C36,'Table S3 Literature Values'!$A$10:$A$10000,0)+1,AM$1)=0,INDEX('Table S9 Model Derived Values'!$A$10:$AV$10000,MATCH($C36,'Table S9 Model Derived Values'!$A$10:$A$10000,0)+1,AM$1),INDEX('Table S3 Literature Values'!$A$10:$AV$10000,MATCH($C36,'Table S3 Literature Values'!$A$10:$A$10000,0)+1,AM$1))</f>
        <v>0.37369443434609984</v>
      </c>
      <c r="AN36" s="63">
        <f>INDEX('Table S3 Literature Values'!$A$10:$AV$10000,MATCH($C36,'Table S3 Literature Values'!$A$10:$A$10000,0)+2,AM$1)</f>
        <v>0</v>
      </c>
      <c r="AO36" s="501">
        <f>IF(VLOOKUP($C36,'Table S3 Literature Values'!$A$10:$AV$10000,AO$1,FALSE)=0,VLOOKUP($C36,'Table S9 Model Derived Values'!$A$10:$AV$10000,AO$1,FALSE),VLOOKUP($C36,'Table S3 Literature Values'!$A$10:$AV$10000,AO$1,FALSE))</f>
        <v>0</v>
      </c>
      <c r="AP36" s="61">
        <f>IF(INDEX('Table S3 Literature Values'!$A$10:$AV$10000,MATCH($C36,'Table S3 Literature Values'!$A$10:$A$10000,0)+1,AP$1)=0,INDEX('Table S9 Model Derived Values'!$A$10:$AV$10000,MATCH($C36,'Table S9 Model Derived Values'!$A$10:$A$10000,0)+1,AP$1),INDEX('Table S3 Literature Values'!$A$10:$AV$10000,MATCH($C36,'Table S3 Literature Values'!$A$10:$A$10000,0)+1,AP$1))</f>
        <v>0</v>
      </c>
      <c r="AQ36" s="63">
        <f>INDEX('Table S3 Literature Values'!$A$10:$AV$10000,MATCH($C36,'Table S3 Literature Values'!$A$10:$A$10000,0)+2,AP$1)</f>
        <v>0</v>
      </c>
      <c r="AR36" s="501">
        <f>IF(VLOOKUP($C36,'Table S3 Literature Values'!$A$10:$AV$10000,AR$1,FALSE)=0,VLOOKUP($C36,'Table S9 Model Derived Values'!$A$10:$AV$10000,AR$1,FALSE),VLOOKUP($C36,'Table S3 Literature Values'!$A$10:$AV$10000,AR$1,FALSE))</f>
        <v>76.875</v>
      </c>
      <c r="AS36" s="61">
        <f>IF(INDEX('Table S3 Literature Values'!$A$10:$AV$10000,MATCH($C36,'Table S3 Literature Values'!$A$10:$A$10000,0)+1,AS$1)=0,INDEX('Table S9 Model Derived Values'!$A$10:$AV$10000,MATCH($C36,'Table S9 Model Derived Values'!$A$10:$A$10000,0)+1,AS$1),INDEX('Table S3 Literature Values'!$A$10:$AV$10000,MATCH($C36,'Table S3 Literature Values'!$A$10:$A$10000,0)+1,AS$1))</f>
        <v>0.62915286960589578</v>
      </c>
      <c r="AT36" s="63">
        <f>INDEX('Table S3 Literature Values'!$A$10:$AV$10000,MATCH($C36,'Table S3 Literature Values'!$A$10:$A$10000,0)+2,AS$1)</f>
        <v>2</v>
      </c>
    </row>
    <row r="37" spans="1:46">
      <c r="A37" t="str">
        <f>'Table S2 Compound Identifiers'!C42</f>
        <v>OPE</v>
      </c>
      <c r="B37">
        <f>COUNTIF($C$3:C37,"&lt;&gt;"&amp;"")</f>
        <v>35</v>
      </c>
      <c r="C37" t="str">
        <f>IF('Table S2 Compound Identifiers'!B42="","",'Table S2 Compound Identifiers'!B42)</f>
        <v>TBOEP</v>
      </c>
      <c r="D37" t="str">
        <f>'Table S2 Compound Identifiers'!D42</f>
        <v>78-51-3</v>
      </c>
      <c r="E37" s="501">
        <f>IF(VLOOKUP($C37,'Table S3 Literature Values'!$A$10:$AV$10000,E$1,FALSE)=0,VLOOKUP($C37,'Table S9 Model Derived Values'!$A$10:$AV$10000,E$1,FALSE),VLOOKUP($C37,'Table S3 Literature Values'!$A$10:$AV$10000,E$1,FALSE))</f>
        <v>106.39999999999999</v>
      </c>
      <c r="F37" s="61">
        <f>IF(INDEX('Table S3 Literature Values'!$A$10:$AV$10000,MATCH($C37,'Table S3 Literature Values'!$A$10:$A$10000,0)+1,F$1)=0,INDEX('Table S9 Model Derived Values'!$A$10:$AV$10000,MATCH($C37,'Table S9 Model Derived Values'!$A$10:$A$10000,0)+1,F$1),INDEX('Table S3 Literature Values'!$A$10:$AV$10000,MATCH($C37,'Table S3 Literature Values'!$A$10:$A$10000,0)+1,F$1))</f>
        <v>3.9564293666554136</v>
      </c>
      <c r="G37" s="63">
        <f>INDEX('Table S3 Literature Values'!$A$10:$AV$10000,MATCH($C37,'Table S3 Literature Values'!$A$10:$A$10000,0)+2,F$1)</f>
        <v>4</v>
      </c>
      <c r="H37" s="501">
        <f>IF(VLOOKUP($C37,'Table S3 Literature Values'!$A$10:$AV$10000,H$1,FALSE)=0,VLOOKUP($C37,'Table S9 Model Derived Values'!$A$10:$AV$10000,H$1,FALSE),VLOOKUP($C37,'Table S3 Literature Values'!$A$10:$AV$10000,H$1,FALSE))</f>
        <v>-25.078541008080165</v>
      </c>
      <c r="I37" s="61">
        <f>IF(INDEX('Table S3 Literature Values'!$A$10:$AV$10000,MATCH($C37,'Table S3 Literature Values'!$A$10:$A$10000,0)+1,I$1)=0,INDEX('Table S9 Model Derived Values'!$A$10:$AV$10000,MATCH($C37,'Table S9 Model Derived Values'!$A$10:$A$10000,0)+1,I$1),INDEX('Table S3 Literature Values'!$A$10:$AV$10000,MATCH($C37,'Table S3 Literature Values'!$A$10:$A$10000,0)+1,I$1))</f>
        <v>35.17967575531469</v>
      </c>
      <c r="J37" s="63">
        <f>INDEX('Table S3 Literature Values'!$A$10:$AV$10000,MATCH($C37,'Table S3 Literature Values'!$A$10:$A$10000,0)+2,I$1)</f>
        <v>0</v>
      </c>
      <c r="K37" s="501">
        <f>IF(VLOOKUP($C37,'Table S3 Literature Values'!$A$10:$AV$10000,K$1,FALSE)=0,VLOOKUP($C37,'Table S9 Model Derived Values'!$A$10:$AV$10000,K$1,FALSE),VLOOKUP($C37,'Table S3 Literature Values'!$A$10:$AV$10000,K$1,FALSE))</f>
        <v>0</v>
      </c>
      <c r="L37" s="61">
        <f>IF(INDEX('Table S3 Literature Values'!$A$10:$AV$10000,MATCH($C37,'Table S3 Literature Values'!$A$10:$A$10000,0)+1,L$1)=0,INDEX('Table S9 Model Derived Values'!$A$10:$AV$10000,MATCH($C37,'Table S9 Model Derived Values'!$A$10:$A$10000,0)+1,L$1),INDEX('Table S3 Literature Values'!$A$10:$AV$10000,MATCH($C37,'Table S3 Literature Values'!$A$10:$A$10000,0)+1,L$1))</f>
        <v>0</v>
      </c>
      <c r="M37" s="63">
        <f>INDEX('Table S3 Literature Values'!$A$10:$AV$10000,MATCH($C37,'Table S3 Literature Values'!$A$10:$A$10000,0)+2,L$1)</f>
        <v>0</v>
      </c>
      <c r="N37" s="501">
        <f>IF(VLOOKUP($C37,'Table S3 Literature Values'!$A$10:$AV$10000,N$1,FALSE)=0,VLOOKUP($C37,'Table S9 Model Derived Values'!$A$10:$AV$10000,N$1,FALSE),VLOOKUP($C37,'Table S3 Literature Values'!$A$10:$AV$10000,N$1,FALSE))</f>
        <v>103.56666666666666</v>
      </c>
      <c r="O37" s="61">
        <f>IF(INDEX('Table S3 Literature Values'!$A$10:$AV$10000,MATCH($C37,'Table S3 Literature Values'!$A$10:$A$10000,0)+1,O$1)=0,INDEX('Table S9 Model Derived Values'!$A$10:$AV$10000,MATCH($C37,'Table S9 Model Derived Values'!$A$10:$A$10000,0)+1,O$1),INDEX('Table S3 Literature Values'!$A$10:$AV$10000,MATCH($C37,'Table S3 Literature Values'!$A$10:$A$10000,0)+1,O$1))</f>
        <v>7.4875452141094492</v>
      </c>
      <c r="P37" s="63">
        <f>INDEX('Table S3 Literature Values'!$A$10:$AV$10000,MATCH($C37,'Table S3 Literature Values'!$A$10:$A$10000,0)+2,O$1)</f>
        <v>3</v>
      </c>
      <c r="Q37" s="501">
        <f>IF(VLOOKUP($C37,'Table S3 Literature Values'!$A$10:$AV$10000,Q$1,FALSE)=0,VLOOKUP($C37,'Table S9 Model Derived Values'!$A$10:$AV$10000,Q$1,FALSE),VLOOKUP($C37,'Table S3 Literature Values'!$A$10:$AV$10000,Q$1,FALSE))</f>
        <v>161.93206889999999</v>
      </c>
      <c r="R37" s="61">
        <f>IF(INDEX('Table S3 Literature Values'!$A$10:$AV$10000,MATCH($C37,'Table S3 Literature Values'!$A$10:$A$10000,0)+1,R$1)=0,INDEX('Table S9 Model Derived Values'!$A$10:$AV$10000,MATCH($C37,'Table S9 Model Derived Values'!$A$10:$A$10000,0)+1,R$1),INDEX('Table S3 Literature Values'!$A$10:$AV$10000,MATCH($C37,'Table S3 Literature Values'!$A$10:$A$10000,0)+1,R$1))</f>
        <v>30.357243024614096</v>
      </c>
      <c r="S37" s="63">
        <f>INDEX('Table S3 Literature Values'!$A$10:$AV$10000,MATCH($C37,'Table S3 Literature Values'!$A$10:$A$10000,0)+2,R$1)</f>
        <v>0</v>
      </c>
      <c r="T37" s="501">
        <f>IF(VLOOKUP($C37,'Table S3 Literature Values'!$A$10:$AV$10000,T$1,FALSE)=0,VLOOKUP($C37,'Table S9 Model Derived Values'!$A$10:$AV$10000,T$1,FALSE),VLOOKUP($C37,'Table S3 Literature Values'!$A$10:$AV$10000,T$1,FALSE))</f>
        <v>30.219663999999998</v>
      </c>
      <c r="U37" s="61">
        <f>IF(INDEX('Table S3 Literature Values'!$A$10:$AV$10000,MATCH($C37,'Table S3 Literature Values'!$A$10:$A$10000,0)+1,U$1)=0,INDEX('Table S9 Model Derived Values'!$A$10:$AV$10000,MATCH($C37,'Table S9 Model Derived Values'!$A$10:$A$10000,0)+1,U$1),INDEX('Table S3 Literature Values'!$A$10:$AV$10000,MATCH($C37,'Table S3 Literature Values'!$A$10:$A$10000,0)+1,U$1))</f>
        <v>12.396503493652231</v>
      </c>
      <c r="V37" s="63">
        <f>INDEX('Table S3 Literature Values'!$A$10:$AV$10000,MATCH($C37,'Table S3 Literature Values'!$A$10:$A$10000,0)+2,U$1)</f>
        <v>0</v>
      </c>
      <c r="W37" s="501">
        <f>IF(VLOOKUP($C37,'Table S3 Literature Values'!$A$10:$AV$10000,W$1,FALSE)=0,VLOOKUP($C37,'Table S9 Model Derived Values'!$A$10:$AV$10000,W$1,FALSE),VLOOKUP($C37,'Table S3 Literature Values'!$A$10:$AV$10000,W$1,FALSE))</f>
        <v>11.043333333333331</v>
      </c>
      <c r="X37" s="61">
        <f>IF(INDEX('Table S3 Literature Values'!$A$10:$AV$10000,MATCH($C37,'Table S3 Literature Values'!$A$10:$A$10000,0)+1,X$1)=0,INDEX('Table S9 Model Derived Values'!$A$10:$AV$10000,MATCH($C37,'Table S9 Model Derived Values'!$A$10:$A$10000,0)+1,X$1),INDEX('Table S3 Literature Values'!$A$10:$AV$10000,MATCH($C37,'Table S3 Literature Values'!$A$10:$A$10000,0)+1,X$1))</f>
        <v>0.48335632129241141</v>
      </c>
      <c r="Y37" s="63">
        <f>INDEX('Table S3 Literature Values'!$A$10:$AV$10000,MATCH($C37,'Table S3 Literature Values'!$A$10:$A$10000,0)+2,X$1)</f>
        <v>3</v>
      </c>
      <c r="Z37" s="501">
        <f>IF(VLOOKUP($C37,'Table S3 Literature Values'!$A$10:$AV$10000,Z$1,FALSE)=0,VLOOKUP($C37,'Table S9 Model Derived Values'!$A$10:$AV$10000,Z$1,FALSE),VLOOKUP($C37,'Table S3 Literature Values'!$A$10:$AV$10000,Z$1,FALSE))</f>
        <v>4.0149999999999997</v>
      </c>
      <c r="AA37" s="61">
        <f>IF(INDEX('Table S3 Literature Values'!$A$10:$AV$10000,MATCH($C37,'Table S3 Literature Values'!$A$10:$A$10000,0)+1,AA$1)=0,INDEX('Table S9 Model Derived Values'!$A$10:$AV$10000,MATCH($C37,'Table S9 Model Derived Values'!$A$10:$A$10000,0)+1,AA$1),INDEX('Table S3 Literature Values'!$A$10:$AV$10000,MATCH($C37,'Table S3 Literature Values'!$A$10:$A$10000,0)+1,AA$1))</f>
        <v>0.41137979208188291</v>
      </c>
      <c r="AB37" s="63">
        <f>INDEX('Table S3 Literature Values'!$A$10:$AV$10000,MATCH($C37,'Table S3 Literature Values'!$A$10:$A$10000,0)+2,AA$1)</f>
        <v>4</v>
      </c>
      <c r="AC37" s="501">
        <f>IF(VLOOKUP($C37,'Table S3 Literature Values'!$A$10:$AV$10000,AC$1,FALSE)=0,VLOOKUP($C37,'Table S9 Model Derived Values'!$A$10:$AV$10000,AC$1,FALSE),VLOOKUP($C37,'Table S3 Literature Values'!$A$10:$AV$10000,AC$1,FALSE))</f>
        <v>-9.3114594635355044</v>
      </c>
      <c r="AD37" s="61">
        <f>IF(INDEX('Table S3 Literature Values'!$A$10:$AV$10000,MATCH($C37,'Table S3 Literature Values'!$A$10:$A$10000,0)+1,AD$1)=0,INDEX('Table S9 Model Derived Values'!$A$10:$AV$10000,MATCH($C37,'Table S9 Model Derived Values'!$A$10:$A$10000,0)+1,AD$1),INDEX('Table S3 Literature Values'!$A$10:$AV$10000,MATCH($C37,'Table S3 Literature Values'!$A$10:$A$10000,0)+1,AD$1))</f>
        <v>2.6376850566140928</v>
      </c>
      <c r="AE37" s="63">
        <f>INDEX('Table S3 Literature Values'!$A$10:$AV$10000,MATCH($C37,'Table S3 Literature Values'!$A$10:$A$10000,0)+2,AD$1)</f>
        <v>0</v>
      </c>
      <c r="AF37" s="501">
        <f>IF(VLOOKUP($C37,'Table S3 Literature Values'!$A$10:$AV$10000,AF$1,FALSE)=0,VLOOKUP($C37,'Table S9 Model Derived Values'!$A$10:$AV$10000,AF$1,FALSE),VLOOKUP($C37,'Table S3 Literature Values'!$A$10:$AV$10000,AF$1,FALSE))</f>
        <v>-4.5257014829074143</v>
      </c>
      <c r="AG37" s="61">
        <f>IF(INDEX('Table S3 Literature Values'!$A$10:$AV$10000,MATCH($C37,'Table S3 Literature Values'!$A$10:$A$10000,0)+1,AG$1)=0,INDEX('Table S9 Model Derived Values'!$A$10:$AV$10000,MATCH($C37,'Table S9 Model Derived Values'!$A$10:$A$10000,0)+1,AG$1),INDEX('Table S3 Literature Values'!$A$10:$AV$10000,MATCH($C37,'Table S3 Literature Values'!$A$10:$A$10000,0)+1,AG$1))</f>
        <v>0.26343339067048643</v>
      </c>
      <c r="AH37" s="63">
        <f>INDEX('Table S3 Literature Values'!$A$10:$AV$10000,MATCH($C37,'Table S3 Literature Values'!$A$10:$A$10000,0)+2,AG$1)</f>
        <v>7</v>
      </c>
      <c r="AI37" s="501">
        <f ca="1">IF(VLOOKUP($C37,'Table S3 Literature Values'!$A$10:$AV$10000,AI$1,FALSE)=0,VLOOKUP($C37,'Table S9 Model Derived Values'!$A$10:$AV$10000,AI$1,FALSE),VLOOKUP($C37,'Table S3 Literature Values'!$A$10:$AV$10000,AI$1,FALSE))</f>
        <v>0.22099596443744718</v>
      </c>
      <c r="AJ37" s="61">
        <f ca="1">IF(INDEX('Table S3 Literature Values'!$A$10:$AV$10000,MATCH($C37,'Table S3 Literature Values'!$A$10:$A$10000,0)+1,AJ$1)=0,INDEX('Table S9 Model Derived Values'!$A$10:$AV$10000,MATCH($C37,'Table S9 Model Derived Values'!$A$10:$A$10000,0)+1,AJ$1),INDEX('Table S3 Literature Values'!$A$10:$AV$10000,MATCH($C37,'Table S3 Literature Values'!$A$10:$A$10000,0)+1,AJ$1))</f>
        <v>0.15524653687336698</v>
      </c>
      <c r="AK37" s="63">
        <f ca="1">INDEX('Table S3 Literature Values'!$A$10:$AV$10000,MATCH($C37,'Table S3 Literature Values'!$A$10:$A$10000,0)+2,AJ$1)</f>
        <v>2</v>
      </c>
      <c r="AL37" s="501">
        <f>IF(VLOOKUP($C37,'Table S3 Literature Values'!$A$10:$AV$10000,AL$1,FALSE)=0,VLOOKUP($C37,'Table S9 Model Derived Values'!$A$10:$AV$10000,AL$1,FALSE),VLOOKUP($C37,'Table S3 Literature Values'!$A$10:$AV$10000,AL$1,FALSE))</f>
        <v>3.3537672999999995</v>
      </c>
      <c r="AM37" s="61">
        <f>IF(INDEX('Table S3 Literature Values'!$A$10:$AV$10000,MATCH($C37,'Table S3 Literature Values'!$A$10:$A$10000,0)+1,AM$1)=0,INDEX('Table S9 Model Derived Values'!$A$10:$AV$10000,MATCH($C37,'Table S9 Model Derived Values'!$A$10:$A$10000,0)+1,AM$1),INDEX('Table S3 Literature Values'!$A$10:$AV$10000,MATCH($C37,'Table S3 Literature Values'!$A$10:$A$10000,0)+1,AM$1))</f>
        <v>0.60612971789629988</v>
      </c>
      <c r="AN37" s="63">
        <f>INDEX('Table S3 Literature Values'!$A$10:$AV$10000,MATCH($C37,'Table S3 Literature Values'!$A$10:$A$10000,0)+2,AM$1)</f>
        <v>0</v>
      </c>
      <c r="AO37" s="501">
        <f>IF(VLOOKUP($C37,'Table S3 Literature Values'!$A$10:$AV$10000,AO$1,FALSE)=0,VLOOKUP($C37,'Table S9 Model Derived Values'!$A$10:$AV$10000,AO$1,FALSE),VLOOKUP($C37,'Table S3 Literature Values'!$A$10:$AV$10000,AO$1,FALSE))</f>
        <v>0</v>
      </c>
      <c r="AP37" s="61">
        <f>IF(INDEX('Table S3 Literature Values'!$A$10:$AV$10000,MATCH($C37,'Table S3 Literature Values'!$A$10:$A$10000,0)+1,AP$1)=0,INDEX('Table S9 Model Derived Values'!$A$10:$AV$10000,MATCH($C37,'Table S9 Model Derived Values'!$A$10:$A$10000,0)+1,AP$1),INDEX('Table S3 Literature Values'!$A$10:$AV$10000,MATCH($C37,'Table S3 Literature Values'!$A$10:$A$10000,0)+1,AP$1))</f>
        <v>0</v>
      </c>
      <c r="AQ37" s="63">
        <f>INDEX('Table S3 Literature Values'!$A$10:$AV$10000,MATCH($C37,'Table S3 Literature Values'!$A$10:$A$10000,0)+2,AP$1)</f>
        <v>0</v>
      </c>
      <c r="AR37" s="501">
        <f>IF(VLOOKUP($C37,'Table S3 Literature Values'!$A$10:$AV$10000,AR$1,FALSE)=0,VLOOKUP($C37,'Table S9 Model Derived Values'!$A$10:$AV$10000,AR$1,FALSE),VLOOKUP($C37,'Table S3 Literature Values'!$A$10:$AV$10000,AR$1,FALSE))</f>
        <v>-70</v>
      </c>
      <c r="AS37" s="61">
        <f>IF(INDEX('Table S3 Literature Values'!$A$10:$AV$10000,MATCH($C37,'Table S3 Literature Values'!$A$10:$A$10000,0)+1,AS$1)=0,INDEX('Table S9 Model Derived Values'!$A$10:$AV$10000,MATCH($C37,'Table S9 Model Derived Values'!$A$10:$A$10000,0)+1,AS$1),INDEX('Table S3 Literature Values'!$A$10:$AV$10000,MATCH($C37,'Table S3 Literature Values'!$A$10:$A$10000,0)+1,AS$1))</f>
        <v>3.2316002031969751</v>
      </c>
      <c r="AT37" s="63">
        <f>INDEX('Table S3 Literature Values'!$A$10:$AV$10000,MATCH($C37,'Table S3 Literature Values'!$A$10:$A$10000,0)+2,AS$1)</f>
        <v>1</v>
      </c>
    </row>
    <row r="38" spans="1:46">
      <c r="A38" t="str">
        <f>'Table S2 Compound Identifiers'!C43</f>
        <v>OPE</v>
      </c>
      <c r="B38">
        <f>COUNTIF($C$3:C38,"&lt;&gt;"&amp;"")</f>
        <v>36</v>
      </c>
      <c r="C38" t="str">
        <f>IF('Table S2 Compound Identifiers'!B43="","",'Table S2 Compound Identifiers'!B43)</f>
        <v>TEHP</v>
      </c>
      <c r="D38" t="str">
        <f>'Table S2 Compound Identifiers'!D43</f>
        <v>78-42-2</v>
      </c>
      <c r="E38" s="501">
        <f>IF(VLOOKUP($C38,'Table S3 Literature Values'!$A$10:$AV$10000,E$1,FALSE)=0,VLOOKUP($C38,'Table S9 Model Derived Values'!$A$10:$AV$10000,E$1,FALSE),VLOOKUP($C38,'Table S3 Literature Values'!$A$10:$AV$10000,E$1,FALSE))</f>
        <v>108.8053199021883</v>
      </c>
      <c r="F38" s="61">
        <f>IF(INDEX('Table S3 Literature Values'!$A$10:$AV$10000,MATCH($C38,'Table S3 Literature Values'!$A$10:$A$10000,0)+1,F$1)=0,INDEX('Table S9 Model Derived Values'!$A$10:$AV$10000,MATCH($C38,'Table S9 Model Derived Values'!$A$10:$A$10000,0)+1,F$1),INDEX('Table S3 Literature Values'!$A$10:$AV$10000,MATCH($C38,'Table S3 Literature Values'!$A$10:$A$10000,0)+1,F$1))</f>
        <v>2.7599602935757312</v>
      </c>
      <c r="G38" s="63">
        <f>INDEX('Table S3 Literature Values'!$A$10:$AV$10000,MATCH($C38,'Table S3 Literature Values'!$A$10:$A$10000,0)+2,F$1)</f>
        <v>5</v>
      </c>
      <c r="H38" s="501">
        <f>IF(VLOOKUP($C38,'Table S3 Literature Values'!$A$10:$AV$10000,H$1,FALSE)=0,VLOOKUP($C38,'Table S9 Model Derived Values'!$A$10:$AV$10000,H$1,FALSE),VLOOKUP($C38,'Table S3 Literature Values'!$A$10:$AV$10000,H$1,FALSE))</f>
        <v>-1.2870326288639831</v>
      </c>
      <c r="I38" s="61">
        <f>IF(INDEX('Table S3 Literature Values'!$A$10:$AV$10000,MATCH($C38,'Table S3 Literature Values'!$A$10:$A$10000,0)+1,I$1)=0,INDEX('Table S9 Model Derived Values'!$A$10:$AV$10000,MATCH($C38,'Table S9 Model Derived Values'!$A$10:$A$10000,0)+1,I$1),INDEX('Table S3 Literature Values'!$A$10:$AV$10000,MATCH($C38,'Table S3 Literature Values'!$A$10:$A$10000,0)+1,I$1))</f>
        <v>1.805423631117818</v>
      </c>
      <c r="J38" s="63">
        <f>INDEX('Table S3 Literature Values'!$A$10:$AV$10000,MATCH($C38,'Table S3 Literature Values'!$A$10:$A$10000,0)+2,I$1)</f>
        <v>0</v>
      </c>
      <c r="K38" s="501">
        <f>IF(VLOOKUP($C38,'Table S3 Literature Values'!$A$10:$AV$10000,K$1,FALSE)=0,VLOOKUP($C38,'Table S9 Model Derived Values'!$A$10:$AV$10000,K$1,FALSE),VLOOKUP($C38,'Table S3 Literature Values'!$A$10:$AV$10000,K$1,FALSE))</f>
        <v>0</v>
      </c>
      <c r="L38" s="61">
        <f>IF(INDEX('Table S3 Literature Values'!$A$10:$AV$10000,MATCH($C38,'Table S3 Literature Values'!$A$10:$A$10000,0)+1,L$1)=0,INDEX('Table S9 Model Derived Values'!$A$10:$AV$10000,MATCH($C38,'Table S9 Model Derived Values'!$A$10:$A$10000,0)+1,L$1),INDEX('Table S3 Literature Values'!$A$10:$AV$10000,MATCH($C38,'Table S3 Literature Values'!$A$10:$A$10000,0)+1,L$1))</f>
        <v>0</v>
      </c>
      <c r="M38" s="63">
        <f>INDEX('Table S3 Literature Values'!$A$10:$AV$10000,MATCH($C38,'Table S3 Literature Values'!$A$10:$A$10000,0)+2,L$1)</f>
        <v>0</v>
      </c>
      <c r="N38" s="501">
        <f>IF(VLOOKUP($C38,'Table S3 Literature Values'!$A$10:$AV$10000,N$1,FALSE)=0,VLOOKUP($C38,'Table S9 Model Derived Values'!$A$10:$AV$10000,N$1,FALSE),VLOOKUP($C38,'Table S3 Literature Values'!$A$10:$AV$10000,N$1,FALSE))</f>
        <v>105.63333333333333</v>
      </c>
      <c r="O38" s="61">
        <f>IF(INDEX('Table S3 Literature Values'!$A$10:$AV$10000,MATCH($C38,'Table S3 Literature Values'!$A$10:$A$10000,0)+1,O$1)=0,INDEX('Table S9 Model Derived Values'!$A$10:$AV$10000,MATCH($C38,'Table S9 Model Derived Values'!$A$10:$A$10000,0)+1,O$1),INDEX('Table S3 Literature Values'!$A$10:$AV$10000,MATCH($C38,'Table S3 Literature Values'!$A$10:$A$10000,0)+1,O$1))</f>
        <v>5.6109268396584868</v>
      </c>
      <c r="P38" s="63">
        <f>INDEX('Table S3 Literature Values'!$A$10:$AV$10000,MATCH($C38,'Table S3 Literature Values'!$A$10:$A$10000,0)+2,O$1)</f>
        <v>3</v>
      </c>
      <c r="Q38" s="501">
        <f>IF(VLOOKUP($C38,'Table S3 Literature Values'!$A$10:$AV$10000,Q$1,FALSE)=0,VLOOKUP($C38,'Table S9 Model Derived Values'!$A$10:$AV$10000,Q$1,FALSE),VLOOKUP($C38,'Table S3 Literature Values'!$A$10:$AV$10000,Q$1,FALSE))</f>
        <v>152.94250580000002</v>
      </c>
      <c r="R38" s="61">
        <f>IF(INDEX('Table S3 Literature Values'!$A$10:$AV$10000,MATCH($C38,'Table S3 Literature Values'!$A$10:$A$10000,0)+1,R$1)=0,INDEX('Table S9 Model Derived Values'!$A$10:$AV$10000,MATCH($C38,'Table S9 Model Derived Values'!$A$10:$A$10000,0)+1,R$1),INDEX('Table S3 Literature Values'!$A$10:$AV$10000,MATCH($C38,'Table S3 Literature Values'!$A$10:$A$10000,0)+1,R$1))</f>
        <v>28.671978619820205</v>
      </c>
      <c r="S38" s="63">
        <f>INDEX('Table S3 Literature Values'!$A$10:$AV$10000,MATCH($C38,'Table S3 Literature Values'!$A$10:$A$10000,0)+2,R$1)</f>
        <v>0</v>
      </c>
      <c r="T38" s="501">
        <f>IF(VLOOKUP($C38,'Table S3 Literature Values'!$A$10:$AV$10000,T$1,FALSE)=0,VLOOKUP($C38,'Table S9 Model Derived Values'!$A$10:$AV$10000,T$1,FALSE),VLOOKUP($C38,'Table S3 Literature Values'!$A$10:$AV$10000,T$1,FALSE))</f>
        <v>9.7376280000000062</v>
      </c>
      <c r="U38" s="61">
        <f>IF(INDEX('Table S3 Literature Values'!$A$10:$AV$10000,MATCH($C38,'Table S3 Literature Values'!$A$10:$A$10000,0)+1,U$1)=0,INDEX('Table S9 Model Derived Values'!$A$10:$AV$10000,MATCH($C38,'Table S9 Model Derived Values'!$A$10:$A$10000,0)+1,U$1),INDEX('Table S3 Literature Values'!$A$10:$AV$10000,MATCH($C38,'Table S3 Literature Values'!$A$10:$A$10000,0)+1,U$1))</f>
        <v>3.9945030335838898</v>
      </c>
      <c r="V38" s="63">
        <f>INDEX('Table S3 Literature Values'!$A$10:$AV$10000,MATCH($C38,'Table S3 Literature Values'!$A$10:$A$10000,0)+2,U$1)</f>
        <v>0</v>
      </c>
      <c r="W38" s="501">
        <f>IF(VLOOKUP($C38,'Table S3 Literature Values'!$A$10:$AV$10000,W$1,FALSE)=0,VLOOKUP($C38,'Table S9 Model Derived Values'!$A$10:$AV$10000,W$1,FALSE),VLOOKUP($C38,'Table S3 Literature Values'!$A$10:$AV$10000,W$1,FALSE))</f>
        <v>11.254058807284656</v>
      </c>
      <c r="X38" s="61">
        <f>IF(INDEX('Table S3 Literature Values'!$A$10:$AV$10000,MATCH($C38,'Table S3 Literature Values'!$A$10:$A$10000,0)+1,X$1)=0,INDEX('Table S9 Model Derived Values'!$A$10:$AV$10000,MATCH($C38,'Table S9 Model Derived Values'!$A$10:$A$10000,0)+1,X$1),INDEX('Table S3 Literature Values'!$A$10:$AV$10000,MATCH($C38,'Table S3 Literature Values'!$A$10:$A$10000,0)+1,X$1))</f>
        <v>0.56090842337414826</v>
      </c>
      <c r="Y38" s="63">
        <f>INDEX('Table S3 Literature Values'!$A$10:$AV$10000,MATCH($C38,'Table S3 Literature Values'!$A$10:$A$10000,0)+2,X$1)</f>
        <v>3</v>
      </c>
      <c r="Z38" s="501">
        <f>IF(VLOOKUP($C38,'Table S3 Literature Values'!$A$10:$AV$10000,Z$1,FALSE)=0,VLOOKUP($C38,'Table S9 Model Derived Values'!$A$10:$AV$10000,Z$1,FALSE),VLOOKUP($C38,'Table S3 Literature Values'!$A$10:$AV$10000,Z$1,FALSE))</f>
        <v>4.4551030939086207</v>
      </c>
      <c r="AA38" s="61">
        <f>IF(INDEX('Table S3 Literature Values'!$A$10:$AV$10000,MATCH($C38,'Table S3 Literature Values'!$A$10:$A$10000,0)+1,AA$1)=0,INDEX('Table S9 Model Derived Values'!$A$10:$AV$10000,MATCH($C38,'Table S9 Model Derived Values'!$A$10:$A$10000,0)+1,AA$1),INDEX('Table S3 Literature Values'!$A$10:$AV$10000,MATCH($C38,'Table S3 Literature Values'!$A$10:$A$10000,0)+1,AA$1))</f>
        <v>0.51039582393287042</v>
      </c>
      <c r="AB38" s="63">
        <f>INDEX('Table S3 Literature Values'!$A$10:$AV$10000,MATCH($C38,'Table S3 Literature Values'!$A$10:$A$10000,0)+2,AA$1)</f>
        <v>3</v>
      </c>
      <c r="AC38" s="501">
        <f>IF(VLOOKUP($C38,'Table S3 Literature Values'!$A$10:$AV$10000,AC$1,FALSE)=0,VLOOKUP($C38,'Table S9 Model Derived Values'!$A$10:$AV$10000,AC$1,FALSE),VLOOKUP($C38,'Table S3 Literature Values'!$A$10:$AV$10000,AC$1,FALSE))</f>
        <v>-2.4079210568011886</v>
      </c>
      <c r="AD38" s="61">
        <f>IF(INDEX('Table S3 Literature Values'!$A$10:$AV$10000,MATCH($C38,'Table S3 Literature Values'!$A$10:$A$10000,0)+1,AD$1)=0,INDEX('Table S9 Model Derived Values'!$A$10:$AV$10000,MATCH($C38,'Table S9 Model Derived Values'!$A$10:$A$10000,0)+1,AD$1),INDEX('Table S3 Literature Values'!$A$10:$AV$10000,MATCH($C38,'Table S3 Literature Values'!$A$10:$A$10000,0)+1,AD$1))</f>
        <v>0.68209902152324309</v>
      </c>
      <c r="AE38" s="63">
        <f>INDEX('Table S3 Literature Values'!$A$10:$AV$10000,MATCH($C38,'Table S3 Literature Values'!$A$10:$A$10000,0)+2,AD$1)</f>
        <v>0</v>
      </c>
      <c r="AF38" s="501">
        <f>IF(VLOOKUP($C38,'Table S3 Literature Values'!$A$10:$AV$10000,AF$1,FALSE)=0,VLOOKUP($C38,'Table S9 Model Derived Values'!$A$10:$AV$10000,AF$1,FALSE),VLOOKUP($C38,'Table S3 Literature Values'!$A$10:$AV$10000,AF$1,FALSE))</f>
        <v>-4.6558136987291556</v>
      </c>
      <c r="AG38" s="61">
        <f>IF(INDEX('Table S3 Literature Values'!$A$10:$AV$10000,MATCH($C38,'Table S3 Literature Values'!$A$10:$A$10000,0)+1,AG$1)=0,INDEX('Table S9 Model Derived Values'!$A$10:$AV$10000,MATCH($C38,'Table S9 Model Derived Values'!$A$10:$A$10000,0)+1,AG$1),INDEX('Table S3 Literature Values'!$A$10:$AV$10000,MATCH($C38,'Table S3 Literature Values'!$A$10:$A$10000,0)+1,AG$1))</f>
        <v>0.27719074419421286</v>
      </c>
      <c r="AH38" s="63">
        <f>INDEX('Table S3 Literature Values'!$A$10:$AV$10000,MATCH($C38,'Table S3 Literature Values'!$A$10:$A$10000,0)+2,AG$1)</f>
        <v>7</v>
      </c>
      <c r="AI38" s="501">
        <f ca="1">IF(VLOOKUP($C38,'Table S3 Literature Values'!$A$10:$AV$10000,AI$1,FALSE)=0,VLOOKUP($C38,'Table S9 Model Derived Values'!$A$10:$AV$10000,AI$1,FALSE),VLOOKUP($C38,'Table S3 Literature Values'!$A$10:$AV$10000,AI$1,FALSE))</f>
        <v>-4.7043664347305514</v>
      </c>
      <c r="AJ38" s="61">
        <f ca="1">IF(INDEX('Table S3 Literature Values'!$A$10:$AV$10000,MATCH($C38,'Table S3 Literature Values'!$A$10:$A$10000,0)+1,AJ$1)=0,INDEX('Table S9 Model Derived Values'!$A$10:$AV$10000,MATCH($C38,'Table S9 Model Derived Values'!$A$10:$A$10000,0)+1,AJ$1),INDEX('Table S3 Literature Values'!$A$10:$AV$10000,MATCH($C38,'Table S3 Literature Values'!$A$10:$A$10000,0)+1,AJ$1))</f>
        <v>2.6083556879317391</v>
      </c>
      <c r="AK38" s="63">
        <f ca="1">INDEX('Table S3 Literature Values'!$A$10:$AV$10000,MATCH($C38,'Table S3 Literature Values'!$A$10:$A$10000,0)+2,AJ$1)</f>
        <v>1</v>
      </c>
      <c r="AL38" s="501">
        <f>IF(VLOOKUP($C38,'Table S3 Literature Values'!$A$10:$AV$10000,AL$1,FALSE)=0,VLOOKUP($C38,'Table S9 Model Derived Values'!$A$10:$AV$10000,AL$1,FALSE),VLOOKUP($C38,'Table S3 Literature Values'!$A$10:$AV$10000,AL$1,FALSE))</f>
        <v>4.8651235999999987</v>
      </c>
      <c r="AM38" s="61">
        <f>IF(INDEX('Table S3 Literature Values'!$A$10:$AV$10000,MATCH($C38,'Table S3 Literature Values'!$A$10:$A$10000,0)+1,AM$1)=0,INDEX('Table S9 Model Derived Values'!$A$10:$AV$10000,MATCH($C38,'Table S9 Model Derived Values'!$A$10:$A$10000,0)+1,AM$1),INDEX('Table S3 Literature Values'!$A$10:$AV$10000,MATCH($C38,'Table S3 Literature Values'!$A$10:$A$10000,0)+1,AM$1))</f>
        <v>0.87927865335159983</v>
      </c>
      <c r="AN38" s="63">
        <f>INDEX('Table S3 Literature Values'!$A$10:$AV$10000,MATCH($C38,'Table S3 Literature Values'!$A$10:$A$10000,0)+2,AM$1)</f>
        <v>0</v>
      </c>
      <c r="AO38" s="501">
        <f>IF(VLOOKUP($C38,'Table S3 Literature Values'!$A$10:$AV$10000,AO$1,FALSE)=0,VLOOKUP($C38,'Table S9 Model Derived Values'!$A$10:$AV$10000,AO$1,FALSE),VLOOKUP($C38,'Table S3 Literature Values'!$A$10:$AV$10000,AO$1,FALSE))</f>
        <v>0</v>
      </c>
      <c r="AP38" s="61">
        <f>IF(INDEX('Table S3 Literature Values'!$A$10:$AV$10000,MATCH($C38,'Table S3 Literature Values'!$A$10:$A$10000,0)+1,AP$1)=0,INDEX('Table S9 Model Derived Values'!$A$10:$AV$10000,MATCH($C38,'Table S9 Model Derived Values'!$A$10:$A$10000,0)+1,AP$1),INDEX('Table S3 Literature Values'!$A$10:$AV$10000,MATCH($C38,'Table S3 Literature Values'!$A$10:$A$10000,0)+1,AP$1))</f>
        <v>0</v>
      </c>
      <c r="AQ38" s="63">
        <f>INDEX('Table S3 Literature Values'!$A$10:$AV$10000,MATCH($C38,'Table S3 Literature Values'!$A$10:$A$10000,0)+2,AP$1)</f>
        <v>0</v>
      </c>
      <c r="AR38" s="501">
        <f>IF(VLOOKUP($C38,'Table S3 Literature Values'!$A$10:$AV$10000,AR$1,FALSE)=0,VLOOKUP($C38,'Table S9 Model Derived Values'!$A$10:$AV$10000,AR$1,FALSE),VLOOKUP($C38,'Table S3 Literature Values'!$A$10:$AV$10000,AR$1,FALSE))</f>
        <v>-72</v>
      </c>
      <c r="AS38" s="61">
        <f>IF(INDEX('Table S3 Literature Values'!$A$10:$AV$10000,MATCH($C38,'Table S3 Literature Values'!$A$10:$A$10000,0)+1,AS$1)=0,INDEX('Table S9 Model Derived Values'!$A$10:$AV$10000,MATCH($C38,'Table S9 Model Derived Values'!$A$10:$A$10000,0)+1,AS$1),INDEX('Table S3 Literature Values'!$A$10:$AV$10000,MATCH($C38,'Table S3 Literature Values'!$A$10:$A$10000,0)+1,AS$1))</f>
        <v>2.8284271247461903</v>
      </c>
      <c r="AT38" s="63">
        <f>INDEX('Table S3 Literature Values'!$A$10:$AV$10000,MATCH($C38,'Table S3 Literature Values'!$A$10:$A$10000,0)+2,AS$1)</f>
        <v>2</v>
      </c>
    </row>
    <row r="39" spans="1:46">
      <c r="A39" t="str">
        <f>'Table S2 Compound Identifiers'!C44</f>
        <v>OPE</v>
      </c>
      <c r="B39">
        <f>COUNTIF($C$3:C39,"&lt;&gt;"&amp;"")</f>
        <v>37</v>
      </c>
      <c r="C39" t="str">
        <f>IF('Table S2 Compound Identifiers'!B44="","",'Table S2 Compound Identifiers'!B44)</f>
        <v>TTBPP</v>
      </c>
      <c r="D39" t="str">
        <f>'Table S2 Compound Identifiers'!D44</f>
        <v>78-33-1</v>
      </c>
      <c r="E39" s="501">
        <f>IF(VLOOKUP($C39,'Table S3 Literature Values'!$A$10:$AV$10000,E$1,FALSE)=0,VLOOKUP($C39,'Table S9 Model Derived Values'!$A$10:$AV$10000,E$1,FALSE),VLOOKUP($C39,'Table S3 Literature Values'!$A$10:$AV$10000,E$1,FALSE))</f>
        <v>135</v>
      </c>
      <c r="F39" s="61">
        <f>IF(INDEX('Table S3 Literature Values'!$A$10:$AV$10000,MATCH($C39,'Table S3 Literature Values'!$A$10:$A$10000,0)+1,F$1)=0,INDEX('Table S9 Model Derived Values'!$A$10:$AV$10000,MATCH($C39,'Table S9 Model Derived Values'!$A$10:$A$10000,0)+1,F$1),INDEX('Table S3 Literature Values'!$A$10:$AV$10000,MATCH($C39,'Table S3 Literature Values'!$A$10:$A$10000,0)+1,F$1))</f>
        <v>9.6340614933147393</v>
      </c>
      <c r="G39" s="63">
        <f>INDEX('Table S3 Literature Values'!$A$10:$AV$10000,MATCH($C39,'Table S3 Literature Values'!$A$10:$A$10000,0)+2,F$1)</f>
        <v>1</v>
      </c>
      <c r="H39" s="501">
        <f>IF(VLOOKUP($C39,'Table S3 Literature Values'!$A$10:$AV$10000,H$1,FALSE)=0,VLOOKUP($C39,'Table S9 Model Derived Values'!$A$10:$AV$10000,H$1,FALSE),VLOOKUP($C39,'Table S3 Literature Values'!$A$10:$AV$10000,H$1,FALSE))</f>
        <v>11.415015016767995</v>
      </c>
      <c r="I39" s="61">
        <f>IF(INDEX('Table S3 Literature Values'!$A$10:$AV$10000,MATCH($C39,'Table S3 Literature Values'!$A$10:$A$10000,0)+1,I$1)=0,INDEX('Table S9 Model Derived Values'!$A$10:$AV$10000,MATCH($C39,'Table S9 Model Derived Values'!$A$10:$A$10000,0)+1,I$1),INDEX('Table S3 Literature Values'!$A$10:$AV$10000,MATCH($C39,'Table S3 Literature Values'!$A$10:$A$10000,0)+1,I$1))</f>
        <v>16.012754765221807</v>
      </c>
      <c r="J39" s="63">
        <f>INDEX('Table S3 Literature Values'!$A$10:$AV$10000,MATCH($C39,'Table S3 Literature Values'!$A$10:$A$10000,0)+2,I$1)</f>
        <v>0</v>
      </c>
      <c r="K39" s="501">
        <f>IF(VLOOKUP($C39,'Table S3 Literature Values'!$A$10:$AV$10000,K$1,FALSE)=0,VLOOKUP($C39,'Table S9 Model Derived Values'!$A$10:$AV$10000,K$1,FALSE),VLOOKUP($C39,'Table S3 Literature Values'!$A$10:$AV$10000,K$1,FALSE))</f>
        <v>0</v>
      </c>
      <c r="L39" s="61">
        <f>IF(INDEX('Table S3 Literature Values'!$A$10:$AV$10000,MATCH($C39,'Table S3 Literature Values'!$A$10:$A$10000,0)+1,L$1)=0,INDEX('Table S9 Model Derived Values'!$A$10:$AV$10000,MATCH($C39,'Table S9 Model Derived Values'!$A$10:$A$10000,0)+1,L$1),INDEX('Table S3 Literature Values'!$A$10:$AV$10000,MATCH($C39,'Table S3 Literature Values'!$A$10:$A$10000,0)+1,L$1))</f>
        <v>0</v>
      </c>
      <c r="M39" s="63">
        <f>INDEX('Table S3 Literature Values'!$A$10:$AV$10000,MATCH($C39,'Table S3 Literature Values'!$A$10:$A$10000,0)+2,L$1)</f>
        <v>0</v>
      </c>
      <c r="N39" s="501">
        <f>IF(VLOOKUP($C39,'Table S3 Literature Values'!$A$10:$AV$10000,N$1,FALSE)=0,VLOOKUP($C39,'Table S9 Model Derived Values'!$A$10:$AV$10000,N$1,FALSE),VLOOKUP($C39,'Table S3 Literature Values'!$A$10:$AV$10000,N$1,FALSE))</f>
        <v>-138.71850051290377</v>
      </c>
      <c r="O39" s="61">
        <f>IF(INDEX('Table S3 Literature Values'!$A$10:$AV$10000,MATCH($C39,'Table S3 Literature Values'!$A$10:$A$10000,0)+1,O$1)=0,INDEX('Table S9 Model Derived Values'!$A$10:$AV$10000,MATCH($C39,'Table S9 Model Derived Values'!$A$10:$A$10000,0)+1,O$1),INDEX('Table S3 Literature Values'!$A$10:$AV$10000,MATCH($C39,'Table S3 Literature Values'!$A$10:$A$10000,0)+1,O$1))</f>
        <v>15.128223510435747</v>
      </c>
      <c r="P39" s="63">
        <f>INDEX('Table S3 Literature Values'!$A$10:$AV$10000,MATCH($C39,'Table S3 Literature Values'!$A$10:$A$10000,0)+2,O$1)</f>
        <v>0</v>
      </c>
      <c r="Q39" s="501">
        <f>IF(VLOOKUP($C39,'Table S3 Literature Values'!$A$10:$AV$10000,Q$1,FALSE)=0,VLOOKUP($C39,'Table S9 Model Derived Values'!$A$10:$AV$10000,Q$1,FALSE),VLOOKUP($C39,'Table S3 Literature Values'!$A$10:$AV$10000,Q$1,FALSE))</f>
        <v>168.94886359999998</v>
      </c>
      <c r="R39" s="61">
        <f>IF(INDEX('Table S3 Literature Values'!$A$10:$AV$10000,MATCH($C39,'Table S3 Literature Values'!$A$10:$A$10000,0)+1,R$1)=0,INDEX('Table S9 Model Derived Values'!$A$10:$AV$10000,MATCH($C39,'Table S9 Model Derived Values'!$A$10:$A$10000,0)+1,R$1),INDEX('Table S3 Literature Values'!$A$10:$AV$10000,MATCH($C39,'Table S3 Literature Values'!$A$10:$A$10000,0)+1,R$1))</f>
        <v>31.672674510228397</v>
      </c>
      <c r="S39" s="63">
        <f>INDEX('Table S3 Literature Values'!$A$10:$AV$10000,MATCH($C39,'Table S3 Literature Values'!$A$10:$A$10000,0)+2,R$1)</f>
        <v>0</v>
      </c>
      <c r="T39" s="501">
        <f>IF(VLOOKUP($C39,'Table S3 Literature Values'!$A$10:$AV$10000,T$1,FALSE)=0,VLOOKUP($C39,'Table S9 Model Derived Values'!$A$10:$AV$10000,T$1,FALSE),VLOOKUP($C39,'Table S3 Literature Values'!$A$10:$AV$10000,T$1,FALSE))</f>
        <v>2.1688360000000042</v>
      </c>
      <c r="U39" s="61">
        <f>IF(INDEX('Table S3 Literature Values'!$A$10:$AV$10000,MATCH($C39,'Table S3 Literature Values'!$A$10:$A$10000,0)+1,U$1)=0,INDEX('Table S9 Model Derived Values'!$A$10:$AV$10000,MATCH($C39,'Table S9 Model Derived Values'!$A$10:$A$10000,0)+1,U$1),INDEX('Table S3 Literature Values'!$A$10:$AV$10000,MATCH($C39,'Table S3 Literature Values'!$A$10:$A$10000,0)+1,U$1))</f>
        <v>0.88968504253253056</v>
      </c>
      <c r="V39" s="63">
        <f>INDEX('Table S3 Literature Values'!$A$10:$AV$10000,MATCH($C39,'Table S3 Literature Values'!$A$10:$A$10000,0)+2,U$1)</f>
        <v>0</v>
      </c>
      <c r="W39" s="501">
        <f>IF(VLOOKUP($C39,'Table S3 Literature Values'!$A$10:$AV$10000,W$1,FALSE)=0,VLOOKUP($C39,'Table S9 Model Derived Values'!$A$10:$AV$10000,W$1,FALSE),VLOOKUP($C39,'Table S3 Literature Values'!$A$10:$AV$10000,W$1,FALSE))</f>
        <v>11.6783</v>
      </c>
      <c r="X39" s="61">
        <f>IF(INDEX('Table S3 Literature Values'!$A$10:$AV$10000,MATCH($C39,'Table S3 Literature Values'!$A$10:$A$10000,0)+1,X$1)=0,INDEX('Table S9 Model Derived Values'!$A$10:$AV$10000,MATCH($C39,'Table S9 Model Derived Values'!$A$10:$A$10000,0)+1,X$1),INDEX('Table S3 Literature Values'!$A$10:$AV$10000,MATCH($C39,'Table S3 Literature Values'!$A$10:$A$10000,0)+1,X$1))</f>
        <v>0.77123493200000004</v>
      </c>
      <c r="Y39" s="63">
        <f>INDEX('Table S3 Literature Values'!$A$10:$AV$10000,MATCH($C39,'Table S3 Literature Values'!$A$10:$A$10000,0)+2,X$1)</f>
        <v>0</v>
      </c>
      <c r="Z39" s="501">
        <f>IF(VLOOKUP($C39,'Table S3 Literature Values'!$A$10:$AV$10000,Z$1,FALSE)=0,VLOOKUP($C39,'Table S9 Model Derived Values'!$A$10:$AV$10000,Z$1,FALSE),VLOOKUP($C39,'Table S3 Literature Values'!$A$10:$AV$10000,Z$1,FALSE))</f>
        <v>8.5659399999999994</v>
      </c>
      <c r="AA39" s="61">
        <f>IF(INDEX('Table S3 Literature Values'!$A$10:$AV$10000,MATCH($C39,'Table S3 Literature Values'!$A$10:$A$10000,0)+1,AA$1)=0,INDEX('Table S9 Model Derived Values'!$A$10:$AV$10000,MATCH($C39,'Table S9 Model Derived Values'!$A$10:$A$10000,0)+1,AA$1),INDEX('Table S3 Literature Values'!$A$10:$AV$10000,MATCH($C39,'Table S3 Literature Values'!$A$10:$A$10000,0)+1,AA$1))</f>
        <v>3.9914111002199997</v>
      </c>
      <c r="AB39" s="63">
        <f>INDEX('Table S3 Literature Values'!$A$10:$AV$10000,MATCH($C39,'Table S3 Literature Values'!$A$10:$A$10000,0)+2,AA$1)</f>
        <v>0</v>
      </c>
      <c r="AC39" s="501">
        <f>IF(VLOOKUP($C39,'Table S3 Literature Values'!$A$10:$AV$10000,AC$1,FALSE)=0,VLOOKUP($C39,'Table S9 Model Derived Values'!$A$10:$AV$10000,AC$1,FALSE),VLOOKUP($C39,'Table S3 Literature Values'!$A$10:$AV$10000,AC$1,FALSE))</f>
        <v>-4.5528853633970989</v>
      </c>
      <c r="AD39" s="61">
        <f>IF(INDEX('Table S3 Literature Values'!$A$10:$AV$10000,MATCH($C39,'Table S3 Literature Values'!$A$10:$A$10000,0)+1,AD$1)=0,INDEX('Table S9 Model Derived Values'!$A$10:$AV$10000,MATCH($C39,'Table S9 Model Derived Values'!$A$10:$A$10000,0)+1,AD$1),INDEX('Table S3 Literature Values'!$A$10:$AV$10000,MATCH($C39,'Table S3 Literature Values'!$A$10:$A$10000,0)+1,AD$1))</f>
        <v>1.2897094955455863</v>
      </c>
      <c r="AE39" s="63">
        <f>INDEX('Table S3 Literature Values'!$A$10:$AV$10000,MATCH($C39,'Table S3 Literature Values'!$A$10:$A$10000,0)+2,AD$1)</f>
        <v>0</v>
      </c>
      <c r="AF39" s="501">
        <f>IF(VLOOKUP($C39,'Table S3 Literature Values'!$A$10:$AV$10000,AF$1,FALSE)=0,VLOOKUP($C39,'Table S9 Model Derived Values'!$A$10:$AV$10000,AF$1,FALSE),VLOOKUP($C39,'Table S3 Literature Values'!$A$10:$AV$10000,AF$1,FALSE))</f>
        <v>-5.9337440369338292</v>
      </c>
      <c r="AG39" s="61">
        <f>IF(INDEX('Table S3 Literature Values'!$A$10:$AV$10000,MATCH($C39,'Table S3 Literature Values'!$A$10:$A$10000,0)+1,AG$1)=0,INDEX('Table S9 Model Derived Values'!$A$10:$AV$10000,MATCH($C39,'Table S9 Model Derived Values'!$A$10:$A$10000,0)+1,AG$1),INDEX('Table S3 Literature Values'!$A$10:$AV$10000,MATCH($C39,'Table S3 Literature Values'!$A$10:$A$10000,0)+1,AG$1))</f>
        <v>0.94147379508925533</v>
      </c>
      <c r="AH39" s="63">
        <f>INDEX('Table S3 Literature Values'!$A$10:$AV$10000,MATCH($C39,'Table S3 Literature Values'!$A$10:$A$10000,0)+2,AG$1)</f>
        <v>1</v>
      </c>
      <c r="AI39" s="501">
        <f>IF(VLOOKUP($C39,'Table S3 Literature Values'!$A$10:$AV$10000,AI$1,FALSE)=0,VLOOKUP($C39,'Table S9 Model Derived Values'!$A$10:$AV$10000,AI$1,FALSE),VLOOKUP($C39,'Table S3 Literature Values'!$A$10:$AV$10000,AI$1,FALSE))</f>
        <v>-5.1955273046673671</v>
      </c>
      <c r="AJ39" s="61">
        <f>IF(INDEX('Table S3 Literature Values'!$A$10:$AV$10000,MATCH($C39,'Table S3 Literature Values'!$A$10:$A$10000,0)+1,AJ$1)=0,INDEX('Table S9 Model Derived Values'!$A$10:$AV$10000,MATCH($C39,'Table S9 Model Derived Values'!$A$10:$A$10000,0)+1,AJ$1),INDEX('Table S3 Literature Values'!$A$10:$AV$10000,MATCH($C39,'Table S3 Literature Values'!$A$10:$A$10000,0)+1,AJ$1))</f>
        <v>4.5497492383337361</v>
      </c>
      <c r="AK39" s="63">
        <f>INDEX('Table S3 Literature Values'!$A$10:$AV$10000,MATCH($C39,'Table S3 Literature Values'!$A$10:$A$10000,0)+2,AJ$1)</f>
        <v>0</v>
      </c>
      <c r="AL39" s="501">
        <f>IF(VLOOKUP($C39,'Table S3 Literature Values'!$A$10:$AV$10000,AL$1,FALSE)=0,VLOOKUP($C39,'Table S9 Model Derived Values'!$A$10:$AV$10000,AL$1,FALSE),VLOOKUP($C39,'Table S3 Literature Values'!$A$10:$AV$10000,AL$1,FALSE))</f>
        <v>3.2175101999999995</v>
      </c>
      <c r="AM39" s="61">
        <f>IF(INDEX('Table S3 Literature Values'!$A$10:$AV$10000,MATCH($C39,'Table S3 Literature Values'!$A$10:$A$10000,0)+1,AM$1)=0,INDEX('Table S9 Model Derived Values'!$A$10:$AV$10000,MATCH($C39,'Table S9 Model Derived Values'!$A$10:$A$10000,0)+1,AM$1),INDEX('Table S3 Literature Values'!$A$10:$AV$10000,MATCH($C39,'Table S3 Literature Values'!$A$10:$A$10000,0)+1,AM$1))</f>
        <v>0.58150383595619992</v>
      </c>
      <c r="AN39" s="63">
        <f>INDEX('Table S3 Literature Values'!$A$10:$AV$10000,MATCH($C39,'Table S3 Literature Values'!$A$10:$A$10000,0)+2,AM$1)</f>
        <v>0</v>
      </c>
      <c r="AO39" s="501">
        <f>IF(VLOOKUP($C39,'Table S3 Literature Values'!$A$10:$AV$10000,AO$1,FALSE)=0,VLOOKUP($C39,'Table S9 Model Derived Values'!$A$10:$AV$10000,AO$1,FALSE),VLOOKUP($C39,'Table S3 Literature Values'!$A$10:$AV$10000,AO$1,FALSE))</f>
        <v>0</v>
      </c>
      <c r="AP39" s="61">
        <f>IF(INDEX('Table S3 Literature Values'!$A$10:$AV$10000,MATCH($C39,'Table S3 Literature Values'!$A$10:$A$10000,0)+1,AP$1)=0,INDEX('Table S9 Model Derived Values'!$A$10:$AV$10000,MATCH($C39,'Table S9 Model Derived Values'!$A$10:$A$10000,0)+1,AP$1),INDEX('Table S3 Literature Values'!$A$10:$AV$10000,MATCH($C39,'Table S3 Literature Values'!$A$10:$A$10000,0)+1,AP$1))</f>
        <v>0</v>
      </c>
      <c r="AQ39" s="63">
        <f>INDEX('Table S3 Literature Values'!$A$10:$AV$10000,MATCH($C39,'Table S3 Literature Values'!$A$10:$A$10000,0)+2,AP$1)</f>
        <v>0</v>
      </c>
      <c r="AR39" s="501">
        <f>IF(VLOOKUP($C39,'Table S3 Literature Values'!$A$10:$AV$10000,AR$1,FALSE)=0,VLOOKUP($C39,'Table S9 Model Derived Values'!$A$10:$AV$10000,AR$1,FALSE),VLOOKUP($C39,'Table S3 Literature Values'!$A$10:$AV$10000,AR$1,FALSE))</f>
        <v>99.75</v>
      </c>
      <c r="AS39" s="61">
        <f>IF(INDEX('Table S3 Literature Values'!$A$10:$AV$10000,MATCH($C39,'Table S3 Literature Values'!$A$10:$A$10000,0)+1,AS$1)=0,INDEX('Table S9 Model Derived Values'!$A$10:$AV$10000,MATCH($C39,'Table S9 Model Derived Values'!$A$10:$A$10000,0)+1,AS$1),INDEX('Table S3 Literature Values'!$A$10:$AV$10000,MATCH($C39,'Table S3 Literature Values'!$A$10:$A$10000,0)+1,AS$1))</f>
        <v>0.35355339059327379</v>
      </c>
      <c r="AT39" s="63">
        <f>INDEX('Table S3 Literature Values'!$A$10:$AV$10000,MATCH($C39,'Table S3 Literature Values'!$A$10:$A$10000,0)+2,AS$1)</f>
        <v>2</v>
      </c>
    </row>
    <row r="40" spans="1:46">
      <c r="A40" t="str">
        <f>'Table S2 Compound Identifiers'!C45</f>
        <v>OPE</v>
      </c>
      <c r="B40">
        <f>COUNTIF($C$3:C40,"&lt;&gt;"&amp;"")</f>
        <v>38</v>
      </c>
      <c r="C40" t="str">
        <f>IF('Table S2 Compound Identifiers'!B45="","",'Table S2 Compound Identifiers'!B45)</f>
        <v>T2iPPP</v>
      </c>
      <c r="D40" t="str">
        <f>'Table S2 Compound Identifiers'!D45</f>
        <v>64532-95-2</v>
      </c>
      <c r="E40" s="501">
        <f>IF(VLOOKUP($C40,'Table S3 Literature Values'!$A$10:$AV$10000,E$1,FALSE)=0,VLOOKUP($C40,'Table S9 Model Derived Values'!$A$10:$AV$10000,E$1,FALSE),VLOOKUP($C40,'Table S3 Literature Values'!$A$10:$AV$10000,E$1,FALSE))</f>
        <v>111.56666666666666</v>
      </c>
      <c r="F40" s="61">
        <f>IF(INDEX('Table S3 Literature Values'!$A$10:$AV$10000,MATCH($C40,'Table S3 Literature Values'!$A$10:$A$10000,0)+1,F$1)=0,INDEX('Table S9 Model Derived Values'!$A$10:$AV$10000,MATCH($C40,'Table S9 Model Derived Values'!$A$10:$A$10000,0)+1,F$1),INDEX('Table S3 Literature Values'!$A$10:$AV$10000,MATCH($C40,'Table S3 Literature Values'!$A$10:$A$10000,0)+1,F$1))</f>
        <v>4.8850110883531626</v>
      </c>
      <c r="G40" s="63">
        <f>INDEX('Table S3 Literature Values'!$A$10:$AV$10000,MATCH($C40,'Table S3 Literature Values'!$A$10:$A$10000,0)+2,F$1)</f>
        <v>3</v>
      </c>
      <c r="H40" s="501">
        <f>IF(VLOOKUP($C40,'Table S3 Literature Values'!$A$10:$AV$10000,H$1,FALSE)=0,VLOOKUP($C40,'Table S9 Model Derived Values'!$A$10:$AV$10000,H$1,FALSE),VLOOKUP($C40,'Table S3 Literature Values'!$A$10:$AV$10000,H$1,FALSE))</f>
        <v>13.571716907400017</v>
      </c>
      <c r="I40" s="61">
        <f>IF(INDEX('Table S3 Literature Values'!$A$10:$AV$10000,MATCH($C40,'Table S3 Literature Values'!$A$10:$A$10000,0)+1,I$1)=0,INDEX('Table S9 Model Derived Values'!$A$10:$AV$10000,MATCH($C40,'Table S9 Model Derived Values'!$A$10:$A$10000,0)+1,I$1),INDEX('Table S3 Literature Values'!$A$10:$AV$10000,MATCH($C40,'Table S3 Literature Values'!$A$10:$A$10000,0)+1,I$1))</f>
        <v>19.038133043362595</v>
      </c>
      <c r="J40" s="63">
        <f>INDEX('Table S3 Literature Values'!$A$10:$AV$10000,MATCH($C40,'Table S3 Literature Values'!$A$10:$A$10000,0)+2,I$1)</f>
        <v>0</v>
      </c>
      <c r="K40" s="501">
        <f>IF(VLOOKUP($C40,'Table S3 Literature Values'!$A$10:$AV$10000,K$1,FALSE)=0,VLOOKUP($C40,'Table S9 Model Derived Values'!$A$10:$AV$10000,K$1,FALSE),VLOOKUP($C40,'Table S3 Literature Values'!$A$10:$AV$10000,K$1,FALSE))</f>
        <v>0</v>
      </c>
      <c r="L40" s="61">
        <f>IF(INDEX('Table S3 Literature Values'!$A$10:$AV$10000,MATCH($C40,'Table S3 Literature Values'!$A$10:$A$10000,0)+1,L$1)=0,INDEX('Table S9 Model Derived Values'!$A$10:$AV$10000,MATCH($C40,'Table S9 Model Derived Values'!$A$10:$A$10000,0)+1,L$1),INDEX('Table S3 Literature Values'!$A$10:$AV$10000,MATCH($C40,'Table S3 Literature Values'!$A$10:$A$10000,0)+1,L$1))</f>
        <v>0</v>
      </c>
      <c r="M40" s="63">
        <f>INDEX('Table S3 Literature Values'!$A$10:$AV$10000,MATCH($C40,'Table S3 Literature Values'!$A$10:$A$10000,0)+2,L$1)</f>
        <v>0</v>
      </c>
      <c r="N40" s="501">
        <f>IF(VLOOKUP($C40,'Table S3 Literature Values'!$A$10:$AV$10000,N$1,FALSE)=0,VLOOKUP($C40,'Table S9 Model Derived Values'!$A$10:$AV$10000,N$1,FALSE),VLOOKUP($C40,'Table S3 Literature Values'!$A$10:$AV$10000,N$1,FALSE))</f>
        <v>106.65</v>
      </c>
      <c r="O40" s="61">
        <f>IF(INDEX('Table S3 Literature Values'!$A$10:$AV$10000,MATCH($C40,'Table S3 Literature Values'!$A$10:$A$10000,0)+1,O$1)=0,INDEX('Table S9 Model Derived Values'!$A$10:$AV$10000,MATCH($C40,'Table S9 Model Derived Values'!$A$10:$A$10000,0)+1,O$1),INDEX('Table S3 Literature Values'!$A$10:$AV$10000,MATCH($C40,'Table S3 Literature Values'!$A$10:$A$10000,0)+1,O$1))</f>
        <v>0.91923881554250975</v>
      </c>
      <c r="P40" s="63">
        <f>INDEX('Table S3 Literature Values'!$A$10:$AV$10000,MATCH($C40,'Table S3 Literature Values'!$A$10:$A$10000,0)+2,O$1)</f>
        <v>2</v>
      </c>
      <c r="Q40" s="501">
        <f>IF(VLOOKUP($C40,'Table S3 Literature Values'!$A$10:$AV$10000,Q$1,FALSE)=0,VLOOKUP($C40,'Table S9 Model Derived Values'!$A$10:$AV$10000,Q$1,FALSE),VLOOKUP($C40,'Table S3 Literature Values'!$A$10:$AV$10000,Q$1,FALSE))</f>
        <v>159.06712350000001</v>
      </c>
      <c r="R40" s="61">
        <f>IF(INDEX('Table S3 Literature Values'!$A$10:$AV$10000,MATCH($C40,'Table S3 Literature Values'!$A$10:$A$10000,0)+1,R$1)=0,INDEX('Table S9 Model Derived Values'!$A$10:$AV$10000,MATCH($C40,'Table S9 Model Derived Values'!$A$10:$A$10000,0)+1,R$1),INDEX('Table S3 Literature Values'!$A$10:$AV$10000,MATCH($C40,'Table S3 Literature Values'!$A$10:$A$10000,0)+1,R$1))</f>
        <v>29.820154575421501</v>
      </c>
      <c r="S40" s="63">
        <f>INDEX('Table S3 Literature Values'!$A$10:$AV$10000,MATCH($C40,'Table S3 Literature Values'!$A$10:$A$10000,0)+2,R$1)</f>
        <v>0</v>
      </c>
      <c r="T40" s="501">
        <f>IF(VLOOKUP($C40,'Table S3 Literature Values'!$A$10:$AV$10000,T$1,FALSE)=0,VLOOKUP($C40,'Table S9 Model Derived Values'!$A$10:$AV$10000,T$1,FALSE),VLOOKUP($C40,'Table S3 Literature Values'!$A$10:$AV$10000,T$1,FALSE))</f>
        <v>0.71806000000001347</v>
      </c>
      <c r="U40" s="61">
        <f>IF(INDEX('Table S3 Literature Values'!$A$10:$AV$10000,MATCH($C40,'Table S3 Literature Values'!$A$10:$A$10000,0)+1,U$1)=0,INDEX('Table S9 Model Derived Values'!$A$10:$AV$10000,MATCH($C40,'Table S9 Model Derived Values'!$A$10:$A$10000,0)+1,U$1),INDEX('Table S3 Literature Values'!$A$10:$AV$10000,MATCH($C40,'Table S3 Literature Values'!$A$10:$A$10000,0)+1,U$1))</f>
        <v>0.29455765287966429</v>
      </c>
      <c r="V40" s="63">
        <f>INDEX('Table S3 Literature Values'!$A$10:$AV$10000,MATCH($C40,'Table S3 Literature Values'!$A$10:$A$10000,0)+2,U$1)</f>
        <v>0</v>
      </c>
      <c r="W40" s="501">
        <f>IF(VLOOKUP($C40,'Table S3 Literature Values'!$A$10:$AV$10000,W$1,FALSE)=0,VLOOKUP($C40,'Table S9 Model Derived Values'!$A$10:$AV$10000,W$1,FALSE),VLOOKUP($C40,'Table S3 Literature Values'!$A$10:$AV$10000,W$1,FALSE))</f>
        <v>11.609699222331166</v>
      </c>
      <c r="X40" s="61">
        <f>IF(INDEX('Table S3 Literature Values'!$A$10:$AV$10000,MATCH($C40,'Table S3 Literature Values'!$A$10:$A$10000,0)+1,X$1)=0,INDEX('Table S9 Model Derived Values'!$A$10:$AV$10000,MATCH($C40,'Table S9 Model Derived Values'!$A$10:$A$10000,0)+1,X$1),INDEX('Table S3 Literature Values'!$A$10:$AV$10000,MATCH($C40,'Table S3 Literature Values'!$A$10:$A$10000,0)+1,X$1))</f>
        <v>0.24084166946195062</v>
      </c>
      <c r="Y40" s="63">
        <f>INDEX('Table S3 Literature Values'!$A$10:$AV$10000,MATCH($C40,'Table S3 Literature Values'!$A$10:$A$10000,0)+2,X$1)</f>
        <v>2</v>
      </c>
      <c r="Z40" s="501">
        <f>IF(VLOOKUP($C40,'Table S3 Literature Values'!$A$10:$AV$10000,Z$1,FALSE)=0,VLOOKUP($C40,'Table S9 Model Derived Values'!$A$10:$AV$10000,Z$1,FALSE),VLOOKUP($C40,'Table S3 Literature Values'!$A$10:$AV$10000,Z$1,FALSE))</f>
        <v>6.0075900000000004</v>
      </c>
      <c r="AA40" s="61">
        <f>IF(INDEX('Table S3 Literature Values'!$A$10:$AV$10000,MATCH($C40,'Table S3 Literature Values'!$A$10:$A$10000,0)+1,AA$1)=0,INDEX('Table S9 Model Derived Values'!$A$10:$AV$10000,MATCH($C40,'Table S9 Model Derived Values'!$A$10:$A$10000,0)+1,AA$1),INDEX('Table S3 Literature Values'!$A$10:$AV$10000,MATCH($C40,'Table S3 Literature Values'!$A$10:$A$10000,0)+1,AA$1))</f>
        <v>2.7993146591700002</v>
      </c>
      <c r="AB40" s="63">
        <f>INDEX('Table S3 Literature Values'!$A$10:$AV$10000,MATCH($C40,'Table S3 Literature Values'!$A$10:$A$10000,0)+2,AA$1)</f>
        <v>0</v>
      </c>
      <c r="AC40" s="501">
        <f>IF(VLOOKUP($C40,'Table S3 Literature Values'!$A$10:$AV$10000,AC$1,FALSE)=0,VLOOKUP($C40,'Table S9 Model Derived Values'!$A$10:$AV$10000,AC$1,FALSE),VLOOKUP($C40,'Table S3 Literature Values'!$A$10:$AV$10000,AC$1,FALSE))</f>
        <v>-4.9214883845347419</v>
      </c>
      <c r="AD40" s="61">
        <f>IF(INDEX('Table S3 Literature Values'!$A$10:$AV$10000,MATCH($C40,'Table S3 Literature Values'!$A$10:$A$10000,0)+1,AD$1)=0,INDEX('Table S9 Model Derived Values'!$A$10:$AV$10000,MATCH($C40,'Table S9 Model Derived Values'!$A$10:$A$10000,0)+1,AD$1),INDEX('Table S3 Literature Values'!$A$10:$AV$10000,MATCH($C40,'Table S3 Literature Values'!$A$10:$A$10000,0)+1,AD$1))</f>
        <v>1.3941247791523099</v>
      </c>
      <c r="AE40" s="63">
        <f>INDEX('Table S3 Literature Values'!$A$10:$AV$10000,MATCH($C40,'Table S3 Literature Values'!$A$10:$A$10000,0)+2,AD$1)</f>
        <v>0</v>
      </c>
      <c r="AF40" s="501">
        <f>IF(VLOOKUP($C40,'Table S3 Literature Values'!$A$10:$AV$10000,AF$1,FALSE)=0,VLOOKUP($C40,'Table S9 Model Derived Values'!$A$10:$AV$10000,AF$1,FALSE),VLOOKUP($C40,'Table S3 Literature Values'!$A$10:$AV$10000,AF$1,FALSE))</f>
        <v>-5.2702642012958201</v>
      </c>
      <c r="AG40" s="61">
        <f>IF(INDEX('Table S3 Literature Values'!$A$10:$AV$10000,MATCH($C40,'Table S3 Literature Values'!$A$10:$A$10000,0)+1,AG$1)=0,INDEX('Table S9 Model Derived Values'!$A$10:$AV$10000,MATCH($C40,'Table S9 Model Derived Values'!$A$10:$A$10000,0)+1,AG$1),INDEX('Table S3 Literature Values'!$A$10:$AV$10000,MATCH($C40,'Table S3 Literature Values'!$A$10:$A$10000,0)+1,AG$1))</f>
        <v>0.18378959287479971</v>
      </c>
      <c r="AH40" s="63">
        <f>INDEX('Table S3 Literature Values'!$A$10:$AV$10000,MATCH($C40,'Table S3 Literature Values'!$A$10:$A$10000,0)+2,AG$1)</f>
        <v>4</v>
      </c>
      <c r="AI40" s="501">
        <f>IF(VLOOKUP($C40,'Table S3 Literature Values'!$A$10:$AV$10000,AI$1,FALSE)=0,VLOOKUP($C40,'Table S9 Model Derived Values'!$A$10:$AV$10000,AI$1,FALSE),VLOOKUP($C40,'Table S3 Literature Values'!$A$10:$AV$10000,AI$1,FALSE))</f>
        <v>-4.947844932800435</v>
      </c>
      <c r="AJ40" s="61">
        <f>IF(INDEX('Table S3 Literature Values'!$A$10:$AV$10000,MATCH($C40,'Table S3 Literature Values'!$A$10:$A$10000,0)+1,AJ$1)=0,INDEX('Table S9 Model Derived Values'!$A$10:$AV$10000,MATCH($C40,'Table S9 Model Derived Values'!$A$10:$A$10000,0)+1,AJ$1),INDEX('Table S3 Literature Values'!$A$10:$AV$10000,MATCH($C40,'Table S3 Literature Values'!$A$10:$A$10000,0)+1,AJ$1))</f>
        <v>4.332852546878005</v>
      </c>
      <c r="AK40" s="63">
        <f>INDEX('Table S3 Literature Values'!$A$10:$AV$10000,MATCH($C40,'Table S3 Literature Values'!$A$10:$A$10000,0)+2,AJ$1)</f>
        <v>0</v>
      </c>
      <c r="AL40" s="501">
        <f>IF(VLOOKUP($C40,'Table S3 Literature Values'!$A$10:$AV$10000,AL$1,FALSE)=0,VLOOKUP($C40,'Table S9 Model Derived Values'!$A$10:$AV$10000,AL$1,FALSE),VLOOKUP($C40,'Table S3 Literature Values'!$A$10:$AV$10000,AL$1,FALSE))</f>
        <v>2.7322344999999979</v>
      </c>
      <c r="AM40" s="61">
        <f>IF(INDEX('Table S3 Literature Values'!$A$10:$AV$10000,MATCH($C40,'Table S3 Literature Values'!$A$10:$A$10000,0)+1,AM$1)=0,INDEX('Table S9 Model Derived Values'!$A$10:$AV$10000,MATCH($C40,'Table S9 Model Derived Values'!$A$10:$A$10000,0)+1,AM$1),INDEX('Table S3 Literature Values'!$A$10:$AV$10000,MATCH($C40,'Table S3 Literature Values'!$A$10:$A$10000,0)+1,AM$1))</f>
        <v>0.49379947341949965</v>
      </c>
      <c r="AN40" s="63">
        <f>INDEX('Table S3 Literature Values'!$A$10:$AV$10000,MATCH($C40,'Table S3 Literature Values'!$A$10:$A$10000,0)+2,AM$1)</f>
        <v>0</v>
      </c>
      <c r="AO40" s="501">
        <f>IF(VLOOKUP($C40,'Table S3 Literature Values'!$A$10:$AV$10000,AO$1,FALSE)=0,VLOOKUP($C40,'Table S9 Model Derived Values'!$A$10:$AV$10000,AO$1,FALSE),VLOOKUP($C40,'Table S3 Literature Values'!$A$10:$AV$10000,AO$1,FALSE))</f>
        <v>0</v>
      </c>
      <c r="AP40" s="61">
        <f>IF(INDEX('Table S3 Literature Values'!$A$10:$AV$10000,MATCH($C40,'Table S3 Literature Values'!$A$10:$A$10000,0)+1,AP$1)=0,INDEX('Table S9 Model Derived Values'!$A$10:$AV$10000,MATCH($C40,'Table S9 Model Derived Values'!$A$10:$A$10000,0)+1,AP$1),INDEX('Table S3 Literature Values'!$A$10:$AV$10000,MATCH($C40,'Table S3 Literature Values'!$A$10:$A$10000,0)+1,AP$1))</f>
        <v>0</v>
      </c>
      <c r="AQ40" s="63">
        <f>INDEX('Table S3 Literature Values'!$A$10:$AV$10000,MATCH($C40,'Table S3 Literature Values'!$A$10:$A$10000,0)+2,AP$1)</f>
        <v>0</v>
      </c>
      <c r="AR40" s="501">
        <f>IF(VLOOKUP($C40,'Table S3 Literature Values'!$A$10:$AV$10000,AR$1,FALSE)=0,VLOOKUP($C40,'Table S9 Model Derived Values'!$A$10:$AV$10000,AR$1,FALSE),VLOOKUP($C40,'Table S3 Literature Values'!$A$10:$AV$10000,AR$1,FALSE))</f>
        <v>0</v>
      </c>
      <c r="AS40" s="61">
        <f>IF(INDEX('Table S3 Literature Values'!$A$10:$AV$10000,MATCH($C40,'Table S3 Literature Values'!$A$10:$A$10000,0)+1,AS$1)=0,INDEX('Table S9 Model Derived Values'!$A$10:$AV$10000,MATCH($C40,'Table S9 Model Derived Values'!$A$10:$A$10000,0)+1,AS$1),INDEX('Table S3 Literature Values'!$A$10:$AV$10000,MATCH($C40,'Table S3 Literature Values'!$A$10:$A$10000,0)+1,AS$1))</f>
        <v>0</v>
      </c>
      <c r="AT40" s="63">
        <f>INDEX('Table S3 Literature Values'!$A$10:$AV$10000,MATCH($C40,'Table S3 Literature Values'!$A$10:$A$10000,0)+2,AS$1)</f>
        <v>0</v>
      </c>
    </row>
    <row r="41" spans="1:46">
      <c r="A41" t="str">
        <f>'Table S2 Compound Identifiers'!C46</f>
        <v>OPE</v>
      </c>
      <c r="B41">
        <f>COUNTIF($C$3:C41,"&lt;&gt;"&amp;"")</f>
        <v>39</v>
      </c>
      <c r="C41" t="str">
        <f>IF('Table S2 Compound Identifiers'!B46="","",'Table S2 Compound Identifiers'!B46)</f>
        <v>EHDPP</v>
      </c>
      <c r="D41" t="str">
        <f>'Table S2 Compound Identifiers'!D46</f>
        <v>1241-94-7</v>
      </c>
      <c r="E41" s="501">
        <f>IF(VLOOKUP($C41,'Table S3 Literature Values'!$A$10:$AV$10000,E$1,FALSE)=0,VLOOKUP($C41,'Table S9 Model Derived Values'!$A$10:$AV$10000,E$1,FALSE),VLOOKUP($C41,'Table S3 Literature Values'!$A$10:$AV$10000,E$1,FALSE))</f>
        <v>98.617666666666665</v>
      </c>
      <c r="F41" s="61">
        <f>IF(INDEX('Table S3 Literature Values'!$A$10:$AV$10000,MATCH($C41,'Table S3 Literature Values'!$A$10:$A$10000,0)+1,F$1)=0,INDEX('Table S9 Model Derived Values'!$A$10:$AV$10000,MATCH($C41,'Table S9 Model Derived Values'!$A$10:$A$10000,0)+1,F$1),INDEX('Table S3 Literature Values'!$A$10:$AV$10000,MATCH($C41,'Table S3 Literature Values'!$A$10:$A$10000,0)+1,F$1))</f>
        <v>11.372626624194313</v>
      </c>
      <c r="G41" s="63">
        <f>INDEX('Table S3 Literature Values'!$A$10:$AV$10000,MATCH($C41,'Table S3 Literature Values'!$A$10:$A$10000,0)+2,F$1)</f>
        <v>3</v>
      </c>
      <c r="H41" s="501">
        <f>IF(VLOOKUP($C41,'Table S3 Literature Values'!$A$10:$AV$10000,H$1,FALSE)=0,VLOOKUP($C41,'Table S9 Model Derived Values'!$A$10:$AV$10000,H$1,FALSE),VLOOKUP($C41,'Table S3 Literature Values'!$A$10:$AV$10000,H$1,FALSE))</f>
        <v>12.004375829927909</v>
      </c>
      <c r="I41" s="61">
        <f>IF(INDEX('Table S3 Literature Values'!$A$10:$AV$10000,MATCH($C41,'Table S3 Literature Values'!$A$10:$A$10000,0)+1,I$1)=0,INDEX('Table S9 Model Derived Values'!$A$10:$AV$10000,MATCH($C41,'Table S9 Model Derived Values'!$A$10:$A$10000,0)+1,I$1),INDEX('Table S3 Literature Values'!$A$10:$AV$10000,MATCH($C41,'Table S3 Literature Values'!$A$10:$A$10000,0)+1,I$1))</f>
        <v>16.83949832670627</v>
      </c>
      <c r="J41" s="63">
        <f>INDEX('Table S3 Literature Values'!$A$10:$AV$10000,MATCH($C41,'Table S3 Literature Values'!$A$10:$A$10000,0)+2,I$1)</f>
        <v>0</v>
      </c>
      <c r="K41" s="501">
        <f>IF(VLOOKUP($C41,'Table S3 Literature Values'!$A$10:$AV$10000,K$1,FALSE)=0,VLOOKUP($C41,'Table S9 Model Derived Values'!$A$10:$AV$10000,K$1,FALSE),VLOOKUP($C41,'Table S3 Literature Values'!$A$10:$AV$10000,K$1,FALSE))</f>
        <v>0</v>
      </c>
      <c r="L41" s="61">
        <f>IF(INDEX('Table S3 Literature Values'!$A$10:$AV$10000,MATCH($C41,'Table S3 Literature Values'!$A$10:$A$10000,0)+1,L$1)=0,INDEX('Table S9 Model Derived Values'!$A$10:$AV$10000,MATCH($C41,'Table S9 Model Derived Values'!$A$10:$A$10000,0)+1,L$1),INDEX('Table S3 Literature Values'!$A$10:$AV$10000,MATCH($C41,'Table S3 Literature Values'!$A$10:$A$10000,0)+1,L$1))</f>
        <v>0</v>
      </c>
      <c r="M41" s="63">
        <f>INDEX('Table S3 Literature Values'!$A$10:$AV$10000,MATCH($C41,'Table S3 Literature Values'!$A$10:$A$10000,0)+2,L$1)</f>
        <v>0</v>
      </c>
      <c r="N41" s="501">
        <f>IF(VLOOKUP($C41,'Table S3 Literature Values'!$A$10:$AV$10000,N$1,FALSE)=0,VLOOKUP($C41,'Table S9 Model Derived Values'!$A$10:$AV$10000,N$1,FALSE),VLOOKUP($C41,'Table S3 Literature Values'!$A$10:$AV$10000,N$1,FALSE))</f>
        <v>99.75</v>
      </c>
      <c r="O41" s="61">
        <f>IF(INDEX('Table S3 Literature Values'!$A$10:$AV$10000,MATCH($C41,'Table S3 Literature Values'!$A$10:$A$10000,0)+1,O$1)=0,INDEX('Table S9 Model Derived Values'!$A$10:$AV$10000,MATCH($C41,'Table S9 Model Derived Values'!$A$10:$A$10000,0)+1,O$1),INDEX('Table S3 Literature Values'!$A$10:$AV$10000,MATCH($C41,'Table S3 Literature Values'!$A$10:$A$10000,0)+1,O$1))</f>
        <v>6.7175144212722016</v>
      </c>
      <c r="P41" s="63">
        <f>INDEX('Table S3 Literature Values'!$A$10:$AV$10000,MATCH($C41,'Table S3 Literature Values'!$A$10:$A$10000,0)+2,O$1)</f>
        <v>2</v>
      </c>
      <c r="Q41" s="501">
        <f>IF(VLOOKUP($C41,'Table S3 Literature Values'!$A$10:$AV$10000,Q$1,FALSE)=0,VLOOKUP($C41,'Table S9 Model Derived Values'!$A$10:$AV$10000,Q$1,FALSE),VLOOKUP($C41,'Table S3 Literature Values'!$A$10:$AV$10000,Q$1,FALSE))</f>
        <v>135.47459039999998</v>
      </c>
      <c r="R41" s="61">
        <f>IF(INDEX('Table S3 Literature Values'!$A$10:$AV$10000,MATCH($C41,'Table S3 Literature Values'!$A$10:$A$10000,0)+1,R$1)=0,INDEX('Table S9 Model Derived Values'!$A$10:$AV$10000,MATCH($C41,'Table S9 Model Derived Values'!$A$10:$A$10000,0)+1,R$1),INDEX('Table S3 Literature Values'!$A$10:$AV$10000,MATCH($C41,'Table S3 Literature Values'!$A$10:$A$10000,0)+1,R$1))</f>
        <v>25.397285987697597</v>
      </c>
      <c r="S41" s="63">
        <f>INDEX('Table S3 Literature Values'!$A$10:$AV$10000,MATCH($C41,'Table S3 Literature Values'!$A$10:$A$10000,0)+2,R$1)</f>
        <v>0</v>
      </c>
      <c r="T41" s="501">
        <f>IF(VLOOKUP($C41,'Table S3 Literature Values'!$A$10:$AV$10000,T$1,FALSE)=0,VLOOKUP($C41,'Table S9 Model Derived Values'!$A$10:$AV$10000,T$1,FALSE),VLOOKUP($C41,'Table S3 Literature Values'!$A$10:$AV$10000,T$1,FALSE))</f>
        <v>8.2935040000000111</v>
      </c>
      <c r="U41" s="61">
        <f>IF(INDEX('Table S3 Literature Values'!$A$10:$AV$10000,MATCH($C41,'Table S3 Literature Values'!$A$10:$A$10000,0)+1,U$1)=0,INDEX('Table S9 Model Derived Values'!$A$10:$AV$10000,MATCH($C41,'Table S9 Model Derived Values'!$A$10:$A$10000,0)+1,U$1),INDEX('Table S3 Literature Values'!$A$10:$AV$10000,MATCH($C41,'Table S3 Literature Values'!$A$10:$A$10000,0)+1,U$1))</f>
        <v>3.402104381789913</v>
      </c>
      <c r="V41" s="63">
        <f>INDEX('Table S3 Literature Values'!$A$10:$AV$10000,MATCH($C41,'Table S3 Literature Values'!$A$10:$A$10000,0)+2,U$1)</f>
        <v>0</v>
      </c>
      <c r="W41" s="501">
        <f>IF(VLOOKUP($C41,'Table S3 Literature Values'!$A$10:$AV$10000,W$1,FALSE)=0,VLOOKUP($C41,'Table S9 Model Derived Values'!$A$10:$AV$10000,W$1,FALSE),VLOOKUP($C41,'Table S3 Literature Values'!$A$10:$AV$10000,W$1,FALSE))</f>
        <v>10.879999999999999</v>
      </c>
      <c r="X41" s="61">
        <f>IF(INDEX('Table S3 Literature Values'!$A$10:$AV$10000,MATCH($C41,'Table S3 Literature Values'!$A$10:$A$10000,0)+1,X$1)=0,INDEX('Table S9 Model Derived Values'!$A$10:$AV$10000,MATCH($C41,'Table S9 Model Derived Values'!$A$10:$A$10000,0)+1,X$1),INDEX('Table S3 Literature Values'!$A$10:$AV$10000,MATCH($C41,'Table S3 Literature Values'!$A$10:$A$10000,0)+1,X$1))</f>
        <v>0.45254833995938959</v>
      </c>
      <c r="Y41" s="63">
        <f>INDEX('Table S3 Literature Values'!$A$10:$AV$10000,MATCH($C41,'Table S3 Literature Values'!$A$10:$A$10000,0)+2,X$1)</f>
        <v>2</v>
      </c>
      <c r="Z41" s="501">
        <f>IF(VLOOKUP($C41,'Table S3 Literature Values'!$A$10:$AV$10000,Z$1,FALSE)=0,VLOOKUP($C41,'Table S9 Model Derived Values'!$A$10:$AV$10000,Z$1,FALSE),VLOOKUP($C41,'Table S3 Literature Values'!$A$10:$AV$10000,Z$1,FALSE))</f>
        <v>5.5325137523428518</v>
      </c>
      <c r="AA41" s="61">
        <f>IF(INDEX('Table S3 Literature Values'!$A$10:$AV$10000,MATCH($C41,'Table S3 Literature Values'!$A$10:$A$10000,0)+1,AA$1)=0,INDEX('Table S9 Model Derived Values'!$A$10:$AV$10000,MATCH($C41,'Table S9 Model Derived Values'!$A$10:$A$10000,0)+1,AA$1),INDEX('Table S3 Literature Values'!$A$10:$AV$10000,MATCH($C41,'Table S3 Literature Values'!$A$10:$A$10000,0)+1,AA$1))</f>
        <v>0.4666388278829241</v>
      </c>
      <c r="AB41" s="63">
        <f>INDEX('Table S3 Literature Values'!$A$10:$AV$10000,MATCH($C41,'Table S3 Literature Values'!$A$10:$A$10000,0)+2,AA$1)</f>
        <v>3</v>
      </c>
      <c r="AC41" s="501">
        <f>IF(VLOOKUP($C41,'Table S3 Literature Values'!$A$10:$AV$10000,AC$1,FALSE)=0,VLOOKUP($C41,'Table S9 Model Derived Values'!$A$10:$AV$10000,AC$1,FALSE),VLOOKUP($C41,'Table S3 Literature Values'!$A$10:$AV$10000,AC$1,FALSE))</f>
        <v>-5.5353437273052064</v>
      </c>
      <c r="AD41" s="61">
        <f>IF(INDEX('Table S3 Literature Values'!$A$10:$AV$10000,MATCH($C41,'Table S3 Literature Values'!$A$10:$A$10000,0)+1,AD$1)=0,INDEX('Table S9 Model Derived Values'!$A$10:$AV$10000,MATCH($C41,'Table S9 Model Derived Values'!$A$10:$A$10000,0)+1,AD$1),INDEX('Table S3 Literature Values'!$A$10:$AV$10000,MATCH($C41,'Table S3 Literature Values'!$A$10:$A$10000,0)+1,AD$1))</f>
        <v>1.6606031181915619</v>
      </c>
      <c r="AE41" s="63">
        <f>INDEX('Table S3 Literature Values'!$A$10:$AV$10000,MATCH($C41,'Table S3 Literature Values'!$A$10:$A$10000,0)+2,AD$1)</f>
        <v>1</v>
      </c>
      <c r="AF41" s="501">
        <f>IF(VLOOKUP($C41,'Table S3 Literature Values'!$A$10:$AV$10000,AF$1,FALSE)=0,VLOOKUP($C41,'Table S9 Model Derived Values'!$A$10:$AV$10000,AF$1,FALSE),VLOOKUP($C41,'Table S3 Literature Values'!$A$10:$AV$10000,AF$1,FALSE))</f>
        <v>-4.2249019599857434</v>
      </c>
      <c r="AG41" s="61">
        <f>IF(INDEX('Table S3 Literature Values'!$A$10:$AV$10000,MATCH($C41,'Table S3 Literature Values'!$A$10:$A$10000,0)+1,AG$1)=0,INDEX('Table S9 Model Derived Values'!$A$10:$AV$10000,MATCH($C41,'Table S9 Model Derived Values'!$A$10:$A$10000,0)+1,AG$1),INDEX('Table S3 Literature Values'!$A$10:$AV$10000,MATCH($C41,'Table S3 Literature Values'!$A$10:$A$10000,0)+1,AG$1))</f>
        <v>0.21483584436789924</v>
      </c>
      <c r="AH41" s="63">
        <f>INDEX('Table S3 Literature Values'!$A$10:$AV$10000,MATCH($C41,'Table S3 Literature Values'!$A$10:$A$10000,0)+2,AG$1)</f>
        <v>3</v>
      </c>
      <c r="AI41" s="501">
        <f ca="1">IF(VLOOKUP($C41,'Table S3 Literature Values'!$A$10:$AV$10000,AI$1,FALSE)=0,VLOOKUP($C41,'Table S9 Model Derived Values'!$A$10:$AV$10000,AI$1,FALSE),VLOOKUP($C41,'Table S3 Literature Values'!$A$10:$AV$10000,AI$1,FALSE))</f>
        <v>-2.8238365561540544</v>
      </c>
      <c r="AJ41" s="61">
        <f ca="1">IF(INDEX('Table S3 Literature Values'!$A$10:$AV$10000,MATCH($C41,'Table S3 Literature Values'!$A$10:$A$10000,0)+1,AJ$1)=0,INDEX('Table S9 Model Derived Values'!$A$10:$AV$10000,MATCH($C41,'Table S9 Model Derived Values'!$A$10:$A$10000,0)+1,AJ$1),INDEX('Table S3 Literature Values'!$A$10:$AV$10000,MATCH($C41,'Table S3 Literature Values'!$A$10:$A$10000,0)+1,AJ$1))</f>
        <v>0.90185046293129689</v>
      </c>
      <c r="AK41" s="63">
        <f>INDEX('Table S3 Literature Values'!$A$10:$AV$10000,MATCH($C41,'Table S3 Literature Values'!$A$10:$A$10000,0)+2,AJ$1)</f>
        <v>2</v>
      </c>
      <c r="AL41" s="501">
        <f>IF(VLOOKUP($C41,'Table S3 Literature Values'!$A$10:$AV$10000,AL$1,FALSE)=0,VLOOKUP($C41,'Table S9 Model Derived Values'!$A$10:$AV$10000,AL$1,FALSE),VLOOKUP($C41,'Table S3 Literature Values'!$A$10:$AV$10000,AL$1,FALSE))</f>
        <v>2.6897827999999979</v>
      </c>
      <c r="AM41" s="61">
        <f>IF(INDEX('Table S3 Literature Values'!$A$10:$AV$10000,MATCH($C41,'Table S3 Literature Values'!$A$10:$A$10000,0)+1,AM$1)=0,INDEX('Table S9 Model Derived Values'!$A$10:$AV$10000,MATCH($C41,'Table S9 Model Derived Values'!$A$10:$A$10000,0)+1,AM$1),INDEX('Table S3 Literature Values'!$A$10:$AV$10000,MATCH($C41,'Table S3 Literature Values'!$A$10:$A$10000,0)+1,AM$1))</f>
        <v>0.48612713522679962</v>
      </c>
      <c r="AN41" s="63">
        <f>INDEX('Table S3 Literature Values'!$A$10:$AV$10000,MATCH($C41,'Table S3 Literature Values'!$A$10:$A$10000,0)+2,AM$1)</f>
        <v>0</v>
      </c>
      <c r="AO41" s="501">
        <f>IF(VLOOKUP($C41,'Table S3 Literature Values'!$A$10:$AV$10000,AO$1,FALSE)=0,VLOOKUP($C41,'Table S9 Model Derived Values'!$A$10:$AV$10000,AO$1,FALSE),VLOOKUP($C41,'Table S3 Literature Values'!$A$10:$AV$10000,AO$1,FALSE))</f>
        <v>0</v>
      </c>
      <c r="AP41" s="61">
        <f>IF(INDEX('Table S3 Literature Values'!$A$10:$AV$10000,MATCH($C41,'Table S3 Literature Values'!$A$10:$A$10000,0)+1,AP$1)=0,INDEX('Table S9 Model Derived Values'!$A$10:$AV$10000,MATCH($C41,'Table S9 Model Derived Values'!$A$10:$A$10000,0)+1,AP$1),INDEX('Table S3 Literature Values'!$A$10:$AV$10000,MATCH($C41,'Table S3 Literature Values'!$A$10:$A$10000,0)+1,AP$1))</f>
        <v>0</v>
      </c>
      <c r="AQ41" s="63">
        <f>INDEX('Table S3 Literature Values'!$A$10:$AV$10000,MATCH($C41,'Table S3 Literature Values'!$A$10:$A$10000,0)+2,AP$1)</f>
        <v>0</v>
      </c>
      <c r="AR41" s="501">
        <f>IF(VLOOKUP($C41,'Table S3 Literature Values'!$A$10:$AV$10000,AR$1,FALSE)=0,VLOOKUP($C41,'Table S9 Model Derived Values'!$A$10:$AV$10000,AR$1,FALSE),VLOOKUP($C41,'Table S3 Literature Values'!$A$10:$AV$10000,AR$1,FALSE))</f>
        <v>-67</v>
      </c>
      <c r="AS41" s="61">
        <f>IF(INDEX('Table S3 Literature Values'!$A$10:$AV$10000,MATCH($C41,'Table S3 Literature Values'!$A$10:$A$10000,0)+1,AS$1)=0,INDEX('Table S9 Model Derived Values'!$A$10:$AV$10000,MATCH($C41,'Table S9 Model Derived Values'!$A$10:$A$10000,0)+1,AS$1),INDEX('Table S3 Literature Values'!$A$10:$AV$10000,MATCH($C41,'Table S3 Literature Values'!$A$10:$A$10000,0)+1,AS$1))</f>
        <v>18.384776310850235</v>
      </c>
      <c r="AT41" s="63">
        <f>INDEX('Table S3 Literature Values'!$A$10:$AV$10000,MATCH($C41,'Table S3 Literature Values'!$A$10:$A$10000,0)+2,AS$1)</f>
        <v>2</v>
      </c>
    </row>
    <row r="42" spans="1:46">
      <c r="A42" t="str">
        <f>'Table S2 Compound Identifiers'!C47</f>
        <v>OPE</v>
      </c>
      <c r="B42">
        <f>COUNTIF($C$3:C42,"&lt;&gt;"&amp;"")</f>
        <v>40</v>
      </c>
      <c r="C42" t="str">
        <f>IF('Table S2 Compound Identifiers'!B47="","",'Table S2 Compound Identifiers'!B47)</f>
        <v>TDBPP</v>
      </c>
      <c r="D42" t="str">
        <f>'Table S2 Compound Identifiers'!D47</f>
        <v>126-72-7</v>
      </c>
      <c r="E42" s="501">
        <f>IF(VLOOKUP($C42,'Table S3 Literature Values'!$A$10:$AV$10000,E$1,FALSE)=0,VLOOKUP($C42,'Table S9 Model Derived Values'!$A$10:$AV$10000,E$1,FALSE),VLOOKUP($C42,'Table S3 Literature Values'!$A$10:$AV$10000,E$1,FALSE))</f>
        <v>77.2</v>
      </c>
      <c r="F42" s="61">
        <f>IF(INDEX('Table S3 Literature Values'!$A$10:$AV$10000,MATCH($C42,'Table S3 Literature Values'!$A$10:$A$10000,0)+1,F$1)=0,INDEX('Table S9 Model Derived Values'!$A$10:$AV$10000,MATCH($C42,'Table S9 Model Derived Values'!$A$10:$A$10000,0)+1,F$1),INDEX('Table S3 Literature Values'!$A$10:$AV$10000,MATCH($C42,'Table S3 Literature Values'!$A$10:$A$10000,0)+1,F$1))</f>
        <v>5.5092559058066515</v>
      </c>
      <c r="G42" s="63">
        <f>INDEX('Table S3 Literature Values'!$A$10:$AV$10000,MATCH($C42,'Table S3 Literature Values'!$A$10:$A$10000,0)+2,F$1)</f>
        <v>1</v>
      </c>
      <c r="H42" s="501">
        <f>IF(VLOOKUP($C42,'Table S3 Literature Values'!$A$10:$AV$10000,H$1,FALSE)=0,VLOOKUP($C42,'Table S9 Model Derived Values'!$A$10:$AV$10000,H$1,FALSE),VLOOKUP($C42,'Table S3 Literature Values'!$A$10:$AV$10000,H$1,FALSE))</f>
        <v>8.5225134635762458</v>
      </c>
      <c r="I42" s="61">
        <f>IF(INDEX('Table S3 Literature Values'!$A$10:$AV$10000,MATCH($C42,'Table S3 Literature Values'!$A$10:$A$10000,0)+1,I$1)=0,INDEX('Table S9 Model Derived Values'!$A$10:$AV$10000,MATCH($C42,'Table S9 Model Derived Values'!$A$10:$A$10000,0)+1,I$1),INDEX('Table S3 Literature Values'!$A$10:$AV$10000,MATCH($C42,'Table S3 Literature Values'!$A$10:$A$10000,0)+1,I$1))</f>
        <v>11.955211436435485</v>
      </c>
      <c r="J42" s="63">
        <f>INDEX('Table S3 Literature Values'!$A$10:$AV$10000,MATCH($C42,'Table S3 Literature Values'!$A$10:$A$10000,0)+2,I$1)</f>
        <v>0</v>
      </c>
      <c r="K42" s="501">
        <f>IF(VLOOKUP($C42,'Table S3 Literature Values'!$A$10:$AV$10000,K$1,FALSE)=0,VLOOKUP($C42,'Table S9 Model Derived Values'!$A$10:$AV$10000,K$1,FALSE),VLOOKUP($C42,'Table S3 Literature Values'!$A$10:$AV$10000,K$1,FALSE))</f>
        <v>0</v>
      </c>
      <c r="L42" s="61">
        <f>IF(INDEX('Table S3 Literature Values'!$A$10:$AV$10000,MATCH($C42,'Table S3 Literature Values'!$A$10:$A$10000,0)+1,L$1)=0,INDEX('Table S9 Model Derived Values'!$A$10:$AV$10000,MATCH($C42,'Table S9 Model Derived Values'!$A$10:$A$10000,0)+1,L$1),INDEX('Table S3 Literature Values'!$A$10:$AV$10000,MATCH($C42,'Table S3 Literature Values'!$A$10:$A$10000,0)+1,L$1))</f>
        <v>0</v>
      </c>
      <c r="M42" s="63">
        <f>INDEX('Table S3 Literature Values'!$A$10:$AV$10000,MATCH($C42,'Table S3 Literature Values'!$A$10:$A$10000,0)+2,L$1)</f>
        <v>0</v>
      </c>
      <c r="N42" s="501">
        <f>IF(VLOOKUP($C42,'Table S3 Literature Values'!$A$10:$AV$10000,N$1,FALSE)=0,VLOOKUP($C42,'Table S9 Model Derived Values'!$A$10:$AV$10000,N$1,FALSE),VLOOKUP($C42,'Table S3 Literature Values'!$A$10:$AV$10000,N$1,FALSE))</f>
        <v>-127.90782443979163</v>
      </c>
      <c r="O42" s="61">
        <f>IF(INDEX('Table S3 Literature Values'!$A$10:$AV$10000,MATCH($C42,'Table S3 Literature Values'!$A$10:$A$10000,0)+1,O$1)=0,INDEX('Table S9 Model Derived Values'!$A$10:$AV$10000,MATCH($C42,'Table S9 Model Derived Values'!$A$10:$A$10000,0)+1,O$1),INDEX('Table S3 Literature Values'!$A$10:$AV$10000,MATCH($C42,'Table S3 Literature Values'!$A$10:$A$10000,0)+1,O$1))</f>
        <v>13.949243609930356</v>
      </c>
      <c r="P42" s="63">
        <f>INDEX('Table S3 Literature Values'!$A$10:$AV$10000,MATCH($C42,'Table S3 Literature Values'!$A$10:$A$10000,0)+2,O$1)</f>
        <v>0</v>
      </c>
      <c r="Q42" s="501">
        <f>IF(VLOOKUP($C42,'Table S3 Literature Values'!$A$10:$AV$10000,Q$1,FALSE)=0,VLOOKUP($C42,'Table S9 Model Derived Values'!$A$10:$AV$10000,Q$1,FALSE),VLOOKUP($C42,'Table S3 Literature Values'!$A$10:$AV$10000,Q$1,FALSE))</f>
        <v>139.24704929999999</v>
      </c>
      <c r="R42" s="61">
        <f>IF(INDEX('Table S3 Literature Values'!$A$10:$AV$10000,MATCH($C42,'Table S3 Literature Values'!$A$10:$A$10000,0)+1,R$1)=0,INDEX('Table S9 Model Derived Values'!$A$10:$AV$10000,MATCH($C42,'Table S9 Model Derived Values'!$A$10:$A$10000,0)+1,R$1),INDEX('Table S3 Literature Values'!$A$10:$AV$10000,MATCH($C42,'Table S3 Literature Values'!$A$10:$A$10000,0)+1,R$1))</f>
        <v>26.104505085221696</v>
      </c>
      <c r="S42" s="63">
        <f>INDEX('Table S3 Literature Values'!$A$10:$AV$10000,MATCH($C42,'Table S3 Literature Values'!$A$10:$A$10000,0)+2,R$1)</f>
        <v>0</v>
      </c>
      <c r="T42" s="501">
        <f>IF(VLOOKUP($C42,'Table S3 Literature Values'!$A$10:$AV$10000,T$1,FALSE)=0,VLOOKUP($C42,'Table S9 Model Derived Values'!$A$10:$AV$10000,T$1,FALSE),VLOOKUP($C42,'Table S3 Literature Values'!$A$10:$AV$10000,T$1,FALSE))</f>
        <v>12.569867999999998</v>
      </c>
      <c r="U42" s="61">
        <f>IF(INDEX('Table S3 Literature Values'!$A$10:$AV$10000,MATCH($C42,'Table S3 Literature Values'!$A$10:$A$10000,0)+1,U$1)=0,INDEX('Table S9 Model Derived Values'!$A$10:$AV$10000,MATCH($C42,'Table S9 Model Derived Values'!$A$10:$A$10000,0)+1,U$1),INDEX('Table S3 Literature Values'!$A$10:$AV$10000,MATCH($C42,'Table S3 Literature Values'!$A$10:$A$10000,0)+1,U$1))</f>
        <v>5.1563251191921706</v>
      </c>
      <c r="V42" s="63">
        <f>INDEX('Table S3 Literature Values'!$A$10:$AV$10000,MATCH($C42,'Table S3 Literature Values'!$A$10:$A$10000,0)+2,U$1)</f>
        <v>0</v>
      </c>
      <c r="W42" s="501">
        <f>IF(VLOOKUP($C42,'Table S3 Literature Values'!$A$10:$AV$10000,W$1,FALSE)=0,VLOOKUP($C42,'Table S9 Model Derived Values'!$A$10:$AV$10000,W$1,FALSE),VLOOKUP($C42,'Table S3 Literature Values'!$A$10:$AV$10000,W$1,FALSE))</f>
        <v>11.689500000000001</v>
      </c>
      <c r="X42" s="61">
        <f>IF(INDEX('Table S3 Literature Values'!$A$10:$AV$10000,MATCH($C42,'Table S3 Literature Values'!$A$10:$A$10000,0)+1,X$1)=0,INDEX('Table S9 Model Derived Values'!$A$10:$AV$10000,MATCH($C42,'Table S9 Model Derived Values'!$A$10:$A$10000,0)+1,X$1),INDEX('Table S3 Literature Values'!$A$10:$AV$10000,MATCH($C42,'Table S3 Literature Values'!$A$10:$A$10000,0)+1,X$1))</f>
        <v>0.77197458000000008</v>
      </c>
      <c r="Y42" s="63">
        <f>INDEX('Table S3 Literature Values'!$A$10:$AV$10000,MATCH($C42,'Table S3 Literature Values'!$A$10:$A$10000,0)+2,X$1)</f>
        <v>0</v>
      </c>
      <c r="Z42" s="501">
        <f>IF(VLOOKUP($C42,'Table S3 Literature Values'!$A$10:$AV$10000,Z$1,FALSE)=0,VLOOKUP($C42,'Table S9 Model Derived Values'!$A$10:$AV$10000,Z$1,FALSE),VLOOKUP($C42,'Table S3 Literature Values'!$A$10:$AV$10000,Z$1,FALSE))</f>
        <v>4.6850000000000005</v>
      </c>
      <c r="AA42" s="61">
        <f>IF(INDEX('Table S3 Literature Values'!$A$10:$AV$10000,MATCH($C42,'Table S3 Literature Values'!$A$10:$A$10000,0)+1,AA$1)=0,INDEX('Table S9 Model Derived Values'!$A$10:$AV$10000,MATCH($C42,'Table S9 Model Derived Values'!$A$10:$A$10000,0)+1,AA$1),INDEX('Table S3 Literature Values'!$A$10:$AV$10000,MATCH($C42,'Table S3 Literature Values'!$A$10:$A$10000,0)+1,AA$1))</f>
        <v>0.41719300090006356</v>
      </c>
      <c r="AB42" s="63">
        <f>INDEX('Table S3 Literature Values'!$A$10:$AV$10000,MATCH($C42,'Table S3 Literature Values'!$A$10:$A$10000,0)+2,AA$1)</f>
        <v>2</v>
      </c>
      <c r="AC42" s="501">
        <f>IF(VLOOKUP($C42,'Table S3 Literature Values'!$A$10:$AV$10000,AC$1,FALSE)=0,VLOOKUP($C42,'Table S9 Model Derived Values'!$A$10:$AV$10000,AC$1,FALSE),VLOOKUP($C42,'Table S3 Literature Values'!$A$10:$AV$10000,AC$1,FALSE))</f>
        <v>-9.8836998236453422</v>
      </c>
      <c r="AD42" s="61">
        <f>IF(INDEX('Table S3 Literature Values'!$A$10:$AV$10000,MATCH($C42,'Table S3 Literature Values'!$A$10:$A$10000,0)+1,AD$1)=0,INDEX('Table S9 Model Derived Values'!$A$10:$AV$10000,MATCH($C42,'Table S9 Model Derived Values'!$A$10:$A$10000,0)+1,AD$1),INDEX('Table S3 Literature Values'!$A$10:$AV$10000,MATCH($C42,'Table S3 Literature Values'!$A$10:$A$10000,0)+1,AD$1))</f>
        <v>2.7997853001434869</v>
      </c>
      <c r="AE42" s="63">
        <f>INDEX('Table S3 Literature Values'!$A$10:$AV$10000,MATCH($C42,'Table S3 Literature Values'!$A$10:$A$10000,0)+2,AD$1)</f>
        <v>0</v>
      </c>
      <c r="AF42" s="501">
        <f>IF(VLOOKUP($C42,'Table S3 Literature Values'!$A$10:$AV$10000,AF$1,FALSE)=0,VLOOKUP($C42,'Table S9 Model Derived Values'!$A$10:$AV$10000,AF$1,FALSE),VLOOKUP($C42,'Table S3 Literature Values'!$A$10:$AV$10000,AF$1,FALSE))</f>
        <v>-4.3871611703129787</v>
      </c>
      <c r="AG42" s="61">
        <f>IF(INDEX('Table S3 Literature Values'!$A$10:$AV$10000,MATCH($C42,'Table S3 Literature Values'!$A$10:$A$10000,0)+1,AG$1)=0,INDEX('Table S9 Model Derived Values'!$A$10:$AV$10000,MATCH($C42,'Table S9 Model Derived Values'!$A$10:$A$10000,0)+1,AG$1),INDEX('Table S3 Literature Values'!$A$10:$AV$10000,MATCH($C42,'Table S3 Literature Values'!$A$10:$A$10000,0)+1,AG$1))</f>
        <v>0.69608618959187496</v>
      </c>
      <c r="AH42" s="63">
        <f>INDEX('Table S3 Literature Values'!$A$10:$AV$10000,MATCH($C42,'Table S3 Literature Values'!$A$10:$A$10000,0)+2,AG$1)</f>
        <v>1</v>
      </c>
      <c r="AI42" s="501">
        <f>IF(VLOOKUP($C42,'Table S3 Literature Values'!$A$10:$AV$10000,AI$1,FALSE)=0,VLOOKUP($C42,'Table S9 Model Derived Values'!$A$10:$AV$10000,AI$1,FALSE),VLOOKUP($C42,'Table S3 Literature Values'!$A$10:$AV$10000,AI$1,FALSE))</f>
        <v>-2.2900095802422902</v>
      </c>
      <c r="AJ42" s="61">
        <f>IF(INDEX('Table S3 Literature Values'!$A$10:$AV$10000,MATCH($C42,'Table S3 Literature Values'!$A$10:$A$10000,0)+1,AJ$1)=0,INDEX('Table S9 Model Derived Values'!$A$10:$AV$10000,MATCH($C42,'Table S9 Model Derived Values'!$A$10:$A$10000,0)+1,AJ$1),INDEX('Table S3 Literature Values'!$A$10:$AV$10000,MATCH($C42,'Table S3 Literature Values'!$A$10:$A$10000,0)+1,AJ$1))</f>
        <v>0.49424642991199053</v>
      </c>
      <c r="AK42" s="63">
        <f>INDEX('Table S3 Literature Values'!$A$10:$AV$10000,MATCH($C42,'Table S3 Literature Values'!$A$10:$A$10000,0)+2,AJ$1)</f>
        <v>2</v>
      </c>
      <c r="AL42" s="501">
        <f>IF(VLOOKUP($C42,'Table S3 Literature Values'!$A$10:$AV$10000,AL$1,FALSE)=0,VLOOKUP($C42,'Table S9 Model Derived Values'!$A$10:$AV$10000,AL$1,FALSE),VLOOKUP($C42,'Table S3 Literature Values'!$A$10:$AV$10000,AL$1,FALSE))</f>
        <v>1.7478950999999965</v>
      </c>
      <c r="AM42" s="61">
        <f>IF(INDEX('Table S3 Literature Values'!$A$10:$AV$10000,MATCH($C42,'Table S3 Literature Values'!$A$10:$A$10000,0)+1,AM$1)=0,INDEX('Table S9 Model Derived Values'!$A$10:$AV$10000,MATCH($C42,'Table S9 Model Derived Values'!$A$10:$A$10000,0)+1,AM$1),INDEX('Table S3 Literature Values'!$A$10:$AV$10000,MATCH($C42,'Table S3 Literature Values'!$A$10:$A$10000,0)+1,AM$1))</f>
        <v>0.31589882931809937</v>
      </c>
      <c r="AN42" s="63">
        <f>INDEX('Table S3 Literature Values'!$A$10:$AV$10000,MATCH($C42,'Table S3 Literature Values'!$A$10:$A$10000,0)+2,AM$1)</f>
        <v>0</v>
      </c>
      <c r="AO42" s="501">
        <f>IF(VLOOKUP($C42,'Table S3 Literature Values'!$A$10:$AV$10000,AO$1,FALSE)=0,VLOOKUP($C42,'Table S9 Model Derived Values'!$A$10:$AV$10000,AO$1,FALSE),VLOOKUP($C42,'Table S3 Literature Values'!$A$10:$AV$10000,AO$1,FALSE))</f>
        <v>0</v>
      </c>
      <c r="AP42" s="61">
        <f>IF(INDEX('Table S3 Literature Values'!$A$10:$AV$10000,MATCH($C42,'Table S3 Literature Values'!$A$10:$A$10000,0)+1,AP$1)=0,INDEX('Table S9 Model Derived Values'!$A$10:$AV$10000,MATCH($C42,'Table S9 Model Derived Values'!$A$10:$A$10000,0)+1,AP$1),INDEX('Table S3 Literature Values'!$A$10:$AV$10000,MATCH($C42,'Table S3 Literature Values'!$A$10:$A$10000,0)+1,AP$1))</f>
        <v>0</v>
      </c>
      <c r="AQ42" s="63">
        <f>INDEX('Table S3 Literature Values'!$A$10:$AV$10000,MATCH($C42,'Table S3 Literature Values'!$A$10:$A$10000,0)+2,AP$1)</f>
        <v>0</v>
      </c>
      <c r="AR42" s="501">
        <f>IF(VLOOKUP($C42,'Table S3 Literature Values'!$A$10:$AV$10000,AR$1,FALSE)=0,VLOOKUP($C42,'Table S9 Model Derived Values'!$A$10:$AV$10000,AR$1,FALSE),VLOOKUP($C42,'Table S3 Literature Values'!$A$10:$AV$10000,AR$1,FALSE))</f>
        <v>119.5</v>
      </c>
      <c r="AS42" s="61">
        <f>IF(INDEX('Table S3 Literature Values'!$A$10:$AV$10000,MATCH($C42,'Table S3 Literature Values'!$A$10:$A$10000,0)+1,AS$1)=0,INDEX('Table S9 Model Derived Values'!$A$10:$AV$10000,MATCH($C42,'Table S9 Model Derived Values'!$A$10:$A$10000,0)+1,AS$1),INDEX('Table S3 Literature Values'!$A$10:$AV$10000,MATCH($C42,'Table S3 Literature Values'!$A$10:$A$10000,0)+1,AS$1))</f>
        <v>5.5168032040291219</v>
      </c>
      <c r="AT42" s="63">
        <f>INDEX('Table S3 Literature Values'!$A$10:$AV$10000,MATCH($C42,'Table S3 Literature Values'!$A$10:$A$10000,0)+2,AS$1)</f>
        <v>1</v>
      </c>
    </row>
    <row r="43" spans="1:46">
      <c r="A43" t="str">
        <f>'Table S2 Compound Identifiers'!C48</f>
        <v>PAH</v>
      </c>
      <c r="B43">
        <f>COUNTIF($C$3:C43,"&lt;&gt;"&amp;"")</f>
        <v>41</v>
      </c>
      <c r="C43" t="str">
        <f>IF('Table S2 Compound Identifiers'!B48="","",'Table S2 Compound Identifiers'!B48)</f>
        <v>benzo[a]pyrene</v>
      </c>
      <c r="D43" t="str">
        <f>'Table S2 Compound Identifiers'!D48</f>
        <v>50-32-8</v>
      </c>
      <c r="E43" s="501">
        <f>IF(VLOOKUP($C43,'Table S3 Literature Values'!$A$10:$AV$10000,E$1,FALSE)=0,VLOOKUP($C43,'Table S9 Model Derived Values'!$A$10:$AV$10000,E$1,FALSE),VLOOKUP($C43,'Table S3 Literature Values'!$A$10:$AV$10000,E$1,FALSE))</f>
        <v>102.97044542908371</v>
      </c>
      <c r="F43" s="61">
        <f>IF(INDEX('Table S3 Literature Values'!$A$10:$AV$10000,MATCH($C43,'Table S3 Literature Values'!$A$10:$A$10000,0)+1,F$1)=0,INDEX('Table S9 Model Derived Values'!$A$10:$AV$10000,MATCH($C43,'Table S9 Model Derived Values'!$A$10:$A$10000,0)+1,F$1),INDEX('Table S3 Literature Values'!$A$10:$AV$10000,MATCH($C43,'Table S3 Literature Values'!$A$10:$A$10000,0)+1,F$1))</f>
        <v>8.2645317733743067</v>
      </c>
      <c r="G43" s="63">
        <f>INDEX('Table S3 Literature Values'!$A$10:$AV$10000,MATCH($C43,'Table S3 Literature Values'!$A$10:$A$10000,0)+2,F$1)</f>
        <v>8</v>
      </c>
      <c r="H43" s="501">
        <f>IF(VLOOKUP($C43,'Table S3 Literature Values'!$A$10:$AV$10000,H$1,FALSE)=0,VLOOKUP($C43,'Table S9 Model Derived Values'!$A$10:$AV$10000,H$1,FALSE),VLOOKUP($C43,'Table S3 Literature Values'!$A$10:$AV$10000,H$1,FALSE))</f>
        <v>28.535700146660066</v>
      </c>
      <c r="I43" s="61">
        <f>IF(INDEX('Table S3 Literature Values'!$A$10:$AV$10000,MATCH($C43,'Table S3 Literature Values'!$A$10:$A$10000,0)+1,I$1)=0,INDEX('Table S9 Model Derived Values'!$A$10:$AV$10000,MATCH($C43,'Table S9 Model Derived Values'!$A$10:$A$10000,0)+1,I$1),INDEX('Table S3 Literature Values'!$A$10:$AV$10000,MATCH($C43,'Table S3 Literature Values'!$A$10:$A$10000,0)+1,I$1))</f>
        <v>9.3194645443453155</v>
      </c>
      <c r="J43" s="63">
        <f>INDEX('Table S3 Literature Values'!$A$10:$AV$10000,MATCH($C43,'Table S3 Literature Values'!$A$10:$A$10000,0)+2,I$1)</f>
        <v>3</v>
      </c>
      <c r="K43" s="501">
        <f>IF(VLOOKUP($C43,'Table S3 Literature Values'!$A$10:$AV$10000,K$1,FALSE)=0,VLOOKUP($C43,'Table S9 Model Derived Values'!$A$10:$AV$10000,K$1,FALSE),VLOOKUP($C43,'Table S3 Literature Values'!$A$10:$AV$10000,K$1,FALSE))</f>
        <v>7.6253721994684973</v>
      </c>
      <c r="L43" s="61">
        <f>IF(INDEX('Table S3 Literature Values'!$A$10:$AV$10000,MATCH($C43,'Table S3 Literature Values'!$A$10:$A$10000,0)+1,L$1)=0,INDEX('Table S9 Model Derived Values'!$A$10:$AV$10000,MATCH($C43,'Table S9 Model Derived Values'!$A$10:$A$10000,0)+1,L$1),INDEX('Table S3 Literature Values'!$A$10:$AV$10000,MATCH($C43,'Table S3 Literature Values'!$A$10:$A$10000,0)+1,L$1))</f>
        <v>2.2876116598405489</v>
      </c>
      <c r="M43" s="63">
        <f>INDEX('Table S3 Literature Values'!$A$10:$AV$10000,MATCH($C43,'Table S3 Literature Values'!$A$10:$A$10000,0)+2,L$1)</f>
        <v>1</v>
      </c>
      <c r="N43" s="501">
        <f>IF(VLOOKUP($C43,'Table S3 Literature Values'!$A$10:$AV$10000,N$1,FALSE)=0,VLOOKUP($C43,'Table S9 Model Derived Values'!$A$10:$AV$10000,N$1,FALSE),VLOOKUP($C43,'Table S3 Literature Values'!$A$10:$AV$10000,N$1,FALSE))</f>
        <v>101.25</v>
      </c>
      <c r="O43" s="61">
        <f>IF(INDEX('Table S3 Literature Values'!$A$10:$AV$10000,MATCH($C43,'Table S3 Literature Values'!$A$10:$A$10000,0)+1,O$1)=0,INDEX('Table S9 Model Derived Values'!$A$10:$AV$10000,MATCH($C43,'Table S9 Model Derived Values'!$A$10:$A$10000,0)+1,O$1),INDEX('Table S3 Literature Values'!$A$10:$AV$10000,MATCH($C43,'Table S3 Literature Values'!$A$10:$A$10000,0)+1,O$1))</f>
        <v>2.616295090390218</v>
      </c>
      <c r="P43" s="63">
        <f>INDEX('Table S3 Literature Values'!$A$10:$AV$10000,MATCH($C43,'Table S3 Literature Values'!$A$10:$A$10000,0)+2,O$1)</f>
        <v>2</v>
      </c>
      <c r="Q43" s="501">
        <f>IF(VLOOKUP($C43,'Table S3 Literature Values'!$A$10:$AV$10000,Q$1,FALSE)=0,VLOOKUP($C43,'Table S9 Model Derived Values'!$A$10:$AV$10000,Q$1,FALSE),VLOOKUP($C43,'Table S3 Literature Values'!$A$10:$AV$10000,Q$1,FALSE))</f>
        <v>36.872581419041104</v>
      </c>
      <c r="R43" s="61">
        <f>IF(INDEX('Table S3 Literature Values'!$A$10:$AV$10000,MATCH($C43,'Table S3 Literature Values'!$A$10:$A$10000,0)+1,R$1)=0,INDEX('Table S9 Model Derived Values'!$A$10:$AV$10000,MATCH($C43,'Table S9 Model Derived Values'!$A$10:$A$10000,0)+1,R$1),INDEX('Table S3 Literature Values'!$A$10:$AV$10000,MATCH($C43,'Table S3 Literature Values'!$A$10:$A$10000,0)+1,R$1))</f>
        <v>11.061774425712331</v>
      </c>
      <c r="S43" s="63">
        <f>INDEX('Table S3 Literature Values'!$A$10:$AV$10000,MATCH($C43,'Table S3 Literature Values'!$A$10:$A$10000,0)+2,R$1)</f>
        <v>1</v>
      </c>
      <c r="T43" s="501">
        <f>IF(VLOOKUP($C43,'Table S3 Literature Values'!$A$10:$AV$10000,T$1,FALSE)=0,VLOOKUP($C43,'Table S9 Model Derived Values'!$A$10:$AV$10000,T$1,FALSE),VLOOKUP($C43,'Table S3 Literature Values'!$A$10:$AV$10000,T$1,FALSE))</f>
        <v>-25.4</v>
      </c>
      <c r="U43" s="61">
        <f>IF(INDEX('Table S3 Literature Values'!$A$10:$AV$10000,MATCH($C43,'Table S3 Literature Values'!$A$10:$A$10000,0)+1,U$1)=0,INDEX('Table S9 Model Derived Values'!$A$10:$AV$10000,MATCH($C43,'Table S9 Model Derived Values'!$A$10:$A$10000,0)+1,U$1),INDEX('Table S3 Literature Values'!$A$10:$AV$10000,MATCH($C43,'Table S3 Literature Values'!$A$10:$A$10000,0)+1,U$1))</f>
        <v>5.08</v>
      </c>
      <c r="V43" s="63">
        <f>INDEX('Table S3 Literature Values'!$A$10:$AV$10000,MATCH($C43,'Table S3 Literature Values'!$A$10:$A$10000,0)+2,U$1)</f>
        <v>1</v>
      </c>
      <c r="W43" s="501">
        <f>IF(VLOOKUP($C43,'Table S3 Literature Values'!$A$10:$AV$10000,W$1,FALSE)=0,VLOOKUP($C43,'Table S9 Model Derived Values'!$A$10:$AV$10000,W$1,FALSE),VLOOKUP($C43,'Table S3 Literature Values'!$A$10:$AV$10000,W$1,FALSE))</f>
        <v>11.228588497286774</v>
      </c>
      <c r="X43" s="61">
        <f>IF(INDEX('Table S3 Literature Values'!$A$10:$AV$10000,MATCH($C43,'Table S3 Literature Values'!$A$10:$A$10000,0)+1,X$1)=0,INDEX('Table S9 Model Derived Values'!$A$10:$AV$10000,MATCH($C43,'Table S9 Model Derived Values'!$A$10:$A$10000,0)+1,X$1),INDEX('Table S3 Literature Values'!$A$10:$AV$10000,MATCH($C43,'Table S3 Literature Values'!$A$10:$A$10000,0)+1,X$1))</f>
        <v>0.46868664186349301</v>
      </c>
      <c r="Y43" s="63">
        <f>INDEX('Table S3 Literature Values'!$A$10:$AV$10000,MATCH($C43,'Table S3 Literature Values'!$A$10:$A$10000,0)+2,X$1)</f>
        <v>2</v>
      </c>
      <c r="Z43" s="501">
        <f ca="1">IF(VLOOKUP($C43,'Table S3 Literature Values'!$A$10:$AV$10000,Z$1,FALSE)=0,VLOOKUP($C43,'Table S9 Model Derived Values'!$A$10:$AV$10000,Z$1,FALSE),VLOOKUP($C43,'Table S3 Literature Values'!$A$10:$AV$10000,Z$1,FALSE))</f>
        <v>6.1318209339345842</v>
      </c>
      <c r="AA43" s="61">
        <f ca="1">IF(INDEX('Table S3 Literature Values'!$A$10:$AV$10000,MATCH($C43,'Table S3 Literature Values'!$A$10:$A$10000,0)+1,AA$1)=0,INDEX('Table S9 Model Derived Values'!$A$10:$AV$10000,MATCH($C43,'Table S9 Model Derived Values'!$A$10:$A$10000,0)+1,AA$1),INDEX('Table S3 Literature Values'!$A$10:$AV$10000,MATCH($C43,'Table S3 Literature Values'!$A$10:$A$10000,0)+1,AA$1))</f>
        <v>0.2700030284701323</v>
      </c>
      <c r="AB43" s="63">
        <f ca="1">INDEX('Table S3 Literature Values'!$A$10:$AV$10000,MATCH($C43,'Table S3 Literature Values'!$A$10:$A$10000,0)+2,AA$1)</f>
        <v>5</v>
      </c>
      <c r="AC43" s="501">
        <f>IF(VLOOKUP($C43,'Table S3 Literature Values'!$A$10:$AV$10000,AC$1,FALSE)=0,VLOOKUP($C43,'Table S9 Model Derived Values'!$A$10:$AV$10000,AC$1,FALSE),VLOOKUP($C43,'Table S3 Literature Values'!$A$10:$AV$10000,AC$1,FALSE))</f>
        <v>-4.5228787452803374</v>
      </c>
      <c r="AD43" s="61">
        <f>IF(INDEX('Table S3 Literature Values'!$A$10:$AV$10000,MATCH($C43,'Table S3 Literature Values'!$A$10:$A$10000,0)+1,AD$1)=0,INDEX('Table S9 Model Derived Values'!$A$10:$AV$10000,MATCH($C43,'Table S9 Model Derived Values'!$A$10:$A$10000,0)+1,AD$1),INDEX('Table S3 Literature Values'!$A$10:$AV$10000,MATCH($C43,'Table S3 Literature Values'!$A$10:$A$10000,0)+1,AD$1))</f>
        <v>0.90457574905606752</v>
      </c>
      <c r="AE43" s="63">
        <f>INDEX('Table S3 Literature Values'!$A$10:$AV$10000,MATCH($C43,'Table S3 Literature Values'!$A$10:$A$10000,0)+2,AD$1)</f>
        <v>1</v>
      </c>
      <c r="AF43" s="501">
        <f>IF(VLOOKUP($C43,'Table S3 Literature Values'!$A$10:$AV$10000,AF$1,FALSE)=0,VLOOKUP($C43,'Table S9 Model Derived Values'!$A$10:$AV$10000,AF$1,FALSE),VLOOKUP($C43,'Table S3 Literature Values'!$A$10:$AV$10000,AF$1,FALSE))</f>
        <v>-4.6349999999999998</v>
      </c>
      <c r="AG43" s="61">
        <f>IF(INDEX('Table S3 Literature Values'!$A$10:$AV$10000,MATCH($C43,'Table S3 Literature Values'!$A$10:$A$10000,0)+1,AG$1)=0,INDEX('Table S9 Model Derived Values'!$A$10:$AV$10000,MATCH($C43,'Table S9 Model Derived Values'!$A$10:$A$10000,0)+1,AG$1),INDEX('Table S3 Literature Values'!$A$10:$AV$10000,MATCH($C43,'Table S3 Literature Values'!$A$10:$A$10000,0)+1,AG$1))</f>
        <v>0.57275649276110319</v>
      </c>
      <c r="AH43" s="63">
        <f>INDEX('Table S3 Literature Values'!$A$10:$AV$10000,MATCH($C43,'Table S3 Literature Values'!$A$10:$A$10000,0)+2,AG$1)</f>
        <v>9</v>
      </c>
      <c r="AI43" s="501">
        <f ca="1">IF(VLOOKUP($C43,'Table S3 Literature Values'!$A$10:$AV$10000,AI$1,FALSE)=0,VLOOKUP($C43,'Table S9 Model Derived Values'!$A$10:$AV$10000,AI$1,FALSE),VLOOKUP($C43,'Table S3 Literature Values'!$A$10:$AV$10000,AI$1,FALSE))</f>
        <v>-4.1856271642104357</v>
      </c>
      <c r="AJ43" s="61">
        <f ca="1">IF(INDEX('Table S3 Literature Values'!$A$10:$AV$10000,MATCH($C43,'Table S3 Literature Values'!$A$10:$A$10000,0)+1,AJ$1)=0,INDEX('Table S9 Model Derived Values'!$A$10:$AV$10000,MATCH($C43,'Table S9 Model Derived Values'!$A$10:$A$10000,0)+1,AJ$1),INDEX('Table S3 Literature Values'!$A$10:$AV$10000,MATCH($C43,'Table S3 Literature Values'!$A$10:$A$10000,0)+1,AJ$1))</f>
        <v>0.27611870329049543</v>
      </c>
      <c r="AK43" s="63">
        <f ca="1">INDEX('Table S3 Literature Values'!$A$10:$AV$10000,MATCH($C43,'Table S3 Literature Values'!$A$10:$A$10000,0)+2,AJ$1)</f>
        <v>11</v>
      </c>
      <c r="AL43" s="501">
        <f ca="1">IF(VLOOKUP($C43,'Table S3 Literature Values'!$A$10:$AV$10000,AL$1,FALSE)=0,VLOOKUP($C43,'Table S9 Model Derived Values'!$A$10:$AV$10000,AL$1,FALSE),VLOOKUP($C43,'Table S3 Literature Values'!$A$10:$AV$10000,AL$1,FALSE))</f>
        <v>2.2353977200130184</v>
      </c>
      <c r="AM43" s="61">
        <f ca="1">IF(INDEX('Table S3 Literature Values'!$A$10:$AV$10000,MATCH($C43,'Table S3 Literature Values'!$A$10:$A$10000,0)+1,AM$1)=0,INDEX('Table S9 Model Derived Values'!$A$10:$AV$10000,MATCH($C43,'Table S9 Model Derived Values'!$A$10:$A$10000,0)+1,AM$1),INDEX('Table S3 Literature Values'!$A$10:$AV$10000,MATCH($C43,'Table S3 Literature Values'!$A$10:$A$10000,0)+1,AM$1))</f>
        <v>0.44707954400260369</v>
      </c>
      <c r="AN43" s="63">
        <f ca="1">INDEX('Table S3 Literature Values'!$A$10:$AV$10000,MATCH($C43,'Table S3 Literature Values'!$A$10:$A$10000,0)+2,AM$1)</f>
        <v>1</v>
      </c>
      <c r="AO43" s="501">
        <f>IF(VLOOKUP($C43,'Table S3 Literature Values'!$A$10:$AV$10000,AO$1,FALSE)=0,VLOOKUP($C43,'Table S9 Model Derived Values'!$A$10:$AV$10000,AO$1,FALSE),VLOOKUP($C43,'Table S3 Literature Values'!$A$10:$AV$10000,AO$1,FALSE))</f>
        <v>36.703691924967444</v>
      </c>
      <c r="AP43" s="61">
        <f>IF(INDEX('Table S3 Literature Values'!$A$10:$AV$10000,MATCH($C43,'Table S3 Literature Values'!$A$10:$A$10000,0)+1,AP$1)=0,INDEX('Table S9 Model Derived Values'!$A$10:$AV$10000,MATCH($C43,'Table S9 Model Derived Values'!$A$10:$A$10000,0)+1,AP$1),INDEX('Table S3 Literature Values'!$A$10:$AV$10000,MATCH($C43,'Table S3 Literature Values'!$A$10:$A$10000,0)+1,AP$1))</f>
        <v>2.8061861822140384</v>
      </c>
      <c r="AQ43" s="63">
        <f>INDEX('Table S3 Literature Values'!$A$10:$AV$10000,MATCH($C43,'Table S3 Literature Values'!$A$10:$A$10000,0)+2,AP$1)</f>
        <v>2</v>
      </c>
      <c r="AR43" s="501">
        <f>IF(VLOOKUP($C43,'Table S3 Literature Values'!$A$10:$AV$10000,AR$1,FALSE)=0,VLOOKUP($C43,'Table S9 Model Derived Values'!$A$10:$AV$10000,AR$1,FALSE),VLOOKUP($C43,'Table S3 Literature Values'!$A$10:$AV$10000,AR$1,FALSE))</f>
        <v>177.33333333333334</v>
      </c>
      <c r="AS43" s="61">
        <f>IF(INDEX('Table S3 Literature Values'!$A$10:$AV$10000,MATCH($C43,'Table S3 Literature Values'!$A$10:$A$10000,0)+1,AS$1)=0,INDEX('Table S9 Model Derived Values'!$A$10:$AV$10000,MATCH($C43,'Table S9 Model Derived Values'!$A$10:$A$10000,0)+1,AS$1),INDEX('Table S3 Literature Values'!$A$10:$AV$10000,MATCH($C43,'Table S3 Literature Values'!$A$10:$A$10000,0)+1,AS$1))</f>
        <v>1.5275252316519465</v>
      </c>
      <c r="AT43" s="63">
        <f>INDEX('Table S3 Literature Values'!$A$10:$AV$10000,MATCH($C43,'Table S3 Literature Values'!$A$10:$A$10000,0)+2,AS$1)</f>
        <v>4</v>
      </c>
    </row>
    <row r="44" spans="1:46">
      <c r="A44" t="str">
        <f>'Table S2 Compound Identifiers'!C49</f>
        <v>PAH</v>
      </c>
      <c r="B44">
        <f>COUNTIF($C$3:C44,"&lt;&gt;"&amp;"")</f>
        <v>42</v>
      </c>
      <c r="C44" t="str">
        <f>IF('Table S2 Compound Identifiers'!B49="","",'Table S2 Compound Identifiers'!B49)</f>
        <v>benzo[k]fluoranthene</v>
      </c>
      <c r="D44" t="str">
        <f>'Table S2 Compound Identifiers'!D49</f>
        <v>207-08-09</v>
      </c>
      <c r="E44" s="501">
        <f>IF(VLOOKUP($C44,'Table S3 Literature Values'!$A$10:$AV$10000,E$1,FALSE)=0,VLOOKUP($C44,'Table S9 Model Derived Values'!$A$10:$AV$10000,E$1,FALSE),VLOOKUP($C44,'Table S3 Literature Values'!$A$10:$AV$10000,E$1,FALSE))</f>
        <v>105.49559435946666</v>
      </c>
      <c r="F44" s="61">
        <f>IF(INDEX('Table S3 Literature Values'!$A$10:$AV$10000,MATCH($C44,'Table S3 Literature Values'!$A$10:$A$10000,0)+1,F$1)=0,INDEX('Table S9 Model Derived Values'!$A$10:$AV$10000,MATCH($C44,'Table S9 Model Derived Values'!$A$10:$A$10000,0)+1,F$1),INDEX('Table S3 Literature Values'!$A$10:$AV$10000,MATCH($C44,'Table S3 Literature Values'!$A$10:$A$10000,0)+1,F$1))</f>
        <v>7.5751191460147407</v>
      </c>
      <c r="G44" s="63">
        <f>INDEX('Table S3 Literature Values'!$A$10:$AV$10000,MATCH($C44,'Table S3 Literature Values'!$A$10:$A$10000,0)+2,F$1)</f>
        <v>5</v>
      </c>
      <c r="H44" s="501">
        <f>IF(VLOOKUP($C44,'Table S3 Literature Values'!$A$10:$AV$10000,H$1,FALSE)=0,VLOOKUP($C44,'Table S9 Model Derived Values'!$A$10:$AV$10000,H$1,FALSE),VLOOKUP($C44,'Table S3 Literature Values'!$A$10:$AV$10000,H$1,FALSE))</f>
        <v>24.695982056704011</v>
      </c>
      <c r="I44" s="61">
        <f>IF(INDEX('Table S3 Literature Values'!$A$10:$AV$10000,MATCH($C44,'Table S3 Literature Values'!$A$10:$A$10000,0)+1,I$1)=0,INDEX('Table S9 Model Derived Values'!$A$10:$AV$10000,MATCH($C44,'Table S9 Model Derived Values'!$A$10:$A$10000,0)+1,I$1),INDEX('Table S3 Literature Values'!$A$10:$AV$10000,MATCH($C44,'Table S3 Literature Values'!$A$10:$A$10000,0)+1,I$1))</f>
        <v>34.643029709503253</v>
      </c>
      <c r="J44" s="63">
        <f>INDEX('Table S3 Literature Values'!$A$10:$AV$10000,MATCH($C44,'Table S3 Literature Values'!$A$10:$A$10000,0)+2,I$1)</f>
        <v>0</v>
      </c>
      <c r="K44" s="501">
        <f>IF(VLOOKUP($C44,'Table S3 Literature Values'!$A$10:$AV$10000,K$1,FALSE)=0,VLOOKUP($C44,'Table S9 Model Derived Values'!$A$10:$AV$10000,K$1,FALSE),VLOOKUP($C44,'Table S3 Literature Values'!$A$10:$AV$10000,K$1,FALSE))</f>
        <v>0</v>
      </c>
      <c r="L44" s="61">
        <f>IF(INDEX('Table S3 Literature Values'!$A$10:$AV$10000,MATCH($C44,'Table S3 Literature Values'!$A$10:$A$10000,0)+1,L$1)=0,INDEX('Table S9 Model Derived Values'!$A$10:$AV$10000,MATCH($C44,'Table S9 Model Derived Values'!$A$10:$A$10000,0)+1,L$1),INDEX('Table S3 Literature Values'!$A$10:$AV$10000,MATCH($C44,'Table S3 Literature Values'!$A$10:$A$10000,0)+1,L$1))</f>
        <v>0</v>
      </c>
      <c r="M44" s="63">
        <f>INDEX('Table S3 Literature Values'!$A$10:$AV$10000,MATCH($C44,'Table S3 Literature Values'!$A$10:$A$10000,0)+2,L$1)</f>
        <v>0</v>
      </c>
      <c r="N44" s="501">
        <f>IF(VLOOKUP($C44,'Table S3 Literature Values'!$A$10:$AV$10000,N$1,FALSE)=0,VLOOKUP($C44,'Table S9 Model Derived Values'!$A$10:$AV$10000,N$1,FALSE),VLOOKUP($C44,'Table S3 Literature Values'!$A$10:$AV$10000,N$1,FALSE))</f>
        <v>100.05</v>
      </c>
      <c r="O44" s="61">
        <f>IF(INDEX('Table S3 Literature Values'!$A$10:$AV$10000,MATCH($C44,'Table S3 Literature Values'!$A$10:$A$10000,0)+1,O$1)=0,INDEX('Table S9 Model Derived Values'!$A$10:$AV$10000,MATCH($C44,'Table S9 Model Derived Values'!$A$10:$A$10000,0)+1,O$1),INDEX('Table S3 Literature Values'!$A$10:$AV$10000,MATCH($C44,'Table S3 Literature Values'!$A$10:$A$10000,0)+1,O$1))</f>
        <v>2.0506096654409918</v>
      </c>
      <c r="P44" s="63">
        <f>INDEX('Table S3 Literature Values'!$A$10:$AV$10000,MATCH($C44,'Table S3 Literature Values'!$A$10:$A$10000,0)+2,O$1)</f>
        <v>2</v>
      </c>
      <c r="Q44" s="501">
        <f>IF(VLOOKUP($C44,'Table S3 Literature Values'!$A$10:$AV$10000,Q$1,FALSE)=0,VLOOKUP($C44,'Table S9 Model Derived Values'!$A$10:$AV$10000,Q$1,FALSE),VLOOKUP($C44,'Table S3 Literature Values'!$A$10:$AV$10000,Q$1,FALSE))</f>
        <v>46.260425888396732</v>
      </c>
      <c r="R44" s="61">
        <f>IF(INDEX('Table S3 Literature Values'!$A$10:$AV$10000,MATCH($C44,'Table S3 Literature Values'!$A$10:$A$10000,0)+1,R$1)=0,INDEX('Table S9 Model Derived Values'!$A$10:$AV$10000,MATCH($C44,'Table S9 Model Derived Values'!$A$10:$A$10000,0)+1,R$1),INDEX('Table S3 Literature Values'!$A$10:$AV$10000,MATCH($C44,'Table S3 Literature Values'!$A$10:$A$10000,0)+1,R$1))</f>
        <v>13.87812776651902</v>
      </c>
      <c r="S44" s="63">
        <f>INDEX('Table S3 Literature Values'!$A$10:$AV$10000,MATCH($C44,'Table S3 Literature Values'!$A$10:$A$10000,0)+2,R$1)</f>
        <v>1</v>
      </c>
      <c r="T44" s="501">
        <f>IF(VLOOKUP($C44,'Table S3 Literature Values'!$A$10:$AV$10000,T$1,FALSE)=0,VLOOKUP($C44,'Table S9 Model Derived Values'!$A$10:$AV$10000,T$1,FALSE),VLOOKUP($C44,'Table S3 Literature Values'!$A$10:$AV$10000,T$1,FALSE))</f>
        <v>-35.839772000000004</v>
      </c>
      <c r="U44" s="61">
        <f>IF(INDEX('Table S3 Literature Values'!$A$10:$AV$10000,MATCH($C44,'Table S3 Literature Values'!$A$10:$A$10000,0)+1,U$1)=0,INDEX('Table S9 Model Derived Values'!$A$10:$AV$10000,MATCH($C44,'Table S9 Model Derived Values'!$A$10:$A$10000,0)+1,U$1),INDEX('Table S3 Literature Values'!$A$10:$AV$10000,MATCH($C44,'Table S3 Literature Values'!$A$10:$A$10000,0)+1,U$1))</f>
        <v>14.701945687076449</v>
      </c>
      <c r="V44" s="63">
        <f>INDEX('Table S3 Literature Values'!$A$10:$AV$10000,MATCH($C44,'Table S3 Literature Values'!$A$10:$A$10000,0)+2,U$1)</f>
        <v>0</v>
      </c>
      <c r="W44" s="501">
        <f>IF(VLOOKUP($C44,'Table S3 Literature Values'!$A$10:$AV$10000,W$1,FALSE)=0,VLOOKUP($C44,'Table S9 Model Derived Values'!$A$10:$AV$10000,W$1,FALSE),VLOOKUP($C44,'Table S3 Literature Values'!$A$10:$AV$10000,W$1,FALSE))</f>
        <v>11.073997910243794</v>
      </c>
      <c r="X44" s="61">
        <f>IF(INDEX('Table S3 Literature Values'!$A$10:$AV$10000,MATCH($C44,'Table S3 Literature Values'!$A$10:$A$10000,0)+1,X$1)=0,INDEX('Table S9 Model Derived Values'!$A$10:$AV$10000,MATCH($C44,'Table S9 Model Derived Values'!$A$10:$A$10000,0)+1,X$1),INDEX('Table S3 Literature Values'!$A$10:$AV$10000,MATCH($C44,'Table S3 Literature Values'!$A$10:$A$10000,0)+1,X$1))</f>
        <v>0.41861016982400551</v>
      </c>
      <c r="Y44" s="63">
        <f>INDEX('Table S3 Literature Values'!$A$10:$AV$10000,MATCH($C44,'Table S3 Literature Values'!$A$10:$A$10000,0)+2,X$1)</f>
        <v>2</v>
      </c>
      <c r="Z44" s="501">
        <f>IF(VLOOKUP($C44,'Table S3 Literature Values'!$A$10:$AV$10000,Z$1,FALSE)=0,VLOOKUP($C44,'Table S9 Model Derived Values'!$A$10:$AV$10000,Z$1,FALSE),VLOOKUP($C44,'Table S3 Literature Values'!$A$10:$AV$10000,Z$1,FALSE))</f>
        <v>5.6850000000000005</v>
      </c>
      <c r="AA44" s="61">
        <f>IF(INDEX('Table S3 Literature Values'!$A$10:$AV$10000,MATCH($C44,'Table S3 Literature Values'!$A$10:$A$10000,0)+1,AA$1)=0,INDEX('Table S9 Model Derived Values'!$A$10:$AV$10000,MATCH($C44,'Table S9 Model Derived Values'!$A$10:$A$10000,0)+1,AA$1),INDEX('Table S3 Literature Values'!$A$10:$AV$10000,MATCH($C44,'Table S3 Literature Values'!$A$10:$A$10000,0)+1,AA$1))</f>
        <v>0.36062445840513968</v>
      </c>
      <c r="AB44" s="63">
        <f>INDEX('Table S3 Literature Values'!$A$10:$AV$10000,MATCH($C44,'Table S3 Literature Values'!$A$10:$A$10000,0)+2,AA$1)</f>
        <v>2</v>
      </c>
      <c r="AC44" s="501">
        <f>IF(VLOOKUP($C44,'Table S3 Literature Values'!$A$10:$AV$10000,AC$1,FALSE)=0,VLOOKUP($C44,'Table S9 Model Derived Values'!$A$10:$AV$10000,AC$1,FALSE),VLOOKUP($C44,'Table S3 Literature Values'!$A$10:$AV$10000,AC$1,FALSE))</f>
        <v>-4.4799016767325135</v>
      </c>
      <c r="AD44" s="61">
        <f>IF(INDEX('Table S3 Literature Values'!$A$10:$AV$10000,MATCH($C44,'Table S3 Literature Values'!$A$10:$A$10000,0)+1,AD$1)=0,INDEX('Table S9 Model Derived Values'!$A$10:$AV$10000,MATCH($C44,'Table S9 Model Derived Values'!$A$10:$A$10000,0)+1,AD$1),INDEX('Table S3 Literature Values'!$A$10:$AV$10000,MATCH($C44,'Table S3 Literature Values'!$A$10:$A$10000,0)+1,AD$1))</f>
        <v>1.4837389554321319</v>
      </c>
      <c r="AE44" s="63">
        <f>INDEX('Table S3 Literature Values'!$A$10:$AV$10000,MATCH($C44,'Table S3 Literature Values'!$A$10:$A$10000,0)+2,AD$1)</f>
        <v>0</v>
      </c>
      <c r="AF44" s="501">
        <f>IF(VLOOKUP($C44,'Table S3 Literature Values'!$A$10:$AV$10000,AF$1,FALSE)=0,VLOOKUP($C44,'Table S9 Model Derived Values'!$A$10:$AV$10000,AF$1,FALSE),VLOOKUP($C44,'Table S3 Literature Values'!$A$10:$AV$10000,AF$1,FALSE))</f>
        <v>-4.6904457173535388</v>
      </c>
      <c r="AG44" s="61">
        <f>IF(INDEX('Table S3 Literature Values'!$A$10:$AV$10000,MATCH($C44,'Table S3 Literature Values'!$A$10:$A$10000,0)+1,AG$1)=0,INDEX('Table S9 Model Derived Values'!$A$10:$AV$10000,MATCH($C44,'Table S9 Model Derived Values'!$A$10:$A$10000,0)+1,AG$1),INDEX('Table S3 Literature Values'!$A$10:$AV$10000,MATCH($C44,'Table S3 Literature Values'!$A$10:$A$10000,0)+1,AG$1))</f>
        <v>0.35274120168317763</v>
      </c>
      <c r="AH44" s="63">
        <f>INDEX('Table S3 Literature Values'!$A$10:$AV$10000,MATCH($C44,'Table S3 Literature Values'!$A$10:$A$10000,0)+2,AG$1)</f>
        <v>4</v>
      </c>
      <c r="AI44" s="501">
        <f>IF(VLOOKUP($C44,'Table S3 Literature Values'!$A$10:$AV$10000,AI$1,FALSE)=0,VLOOKUP($C44,'Table S9 Model Derived Values'!$A$10:$AV$10000,AI$1,FALSE),VLOOKUP($C44,'Table S3 Literature Values'!$A$10:$AV$10000,AI$1,FALSE))</f>
        <v>-3.2450748650495234</v>
      </c>
      <c r="AJ44" s="61">
        <f>IF(INDEX('Table S3 Literature Values'!$A$10:$AV$10000,MATCH($C44,'Table S3 Literature Values'!$A$10:$A$10000,0)+1,AJ$1)=0,INDEX('Table S9 Model Derived Values'!$A$10:$AV$10000,MATCH($C44,'Table S9 Model Derived Values'!$A$10:$A$10000,0)+1,AJ$1),INDEX('Table S3 Literature Values'!$A$10:$AV$10000,MATCH($C44,'Table S3 Literature Values'!$A$10:$A$10000,0)+1,AJ$1))</f>
        <v>0.25242396939971734</v>
      </c>
      <c r="AK44" s="63">
        <f>INDEX('Table S3 Literature Values'!$A$10:$AV$10000,MATCH($C44,'Table S3 Literature Values'!$A$10:$A$10000,0)+2,AJ$1)</f>
        <v>2</v>
      </c>
      <c r="AL44" s="501">
        <f>IF(VLOOKUP($C44,'Table S3 Literature Values'!$A$10:$AV$10000,AL$1,FALSE)=0,VLOOKUP($C44,'Table S9 Model Derived Values'!$A$10:$AV$10000,AL$1,FALSE),VLOOKUP($C44,'Table S3 Literature Values'!$A$10:$AV$10000,AL$1,FALSE))</f>
        <v>1.9273476</v>
      </c>
      <c r="AM44" s="61">
        <f>IF(INDEX('Table S3 Literature Values'!$A$10:$AV$10000,MATCH($C44,'Table S3 Literature Values'!$A$10:$A$10000,0)+1,AM$1)=0,INDEX('Table S9 Model Derived Values'!$A$10:$AV$10000,MATCH($C44,'Table S9 Model Derived Values'!$A$10:$A$10000,0)+1,AM$1),INDEX('Table S3 Literature Values'!$A$10:$AV$10000,MATCH($C44,'Table S3 Literature Values'!$A$10:$A$10000,0)+1,AM$1))</f>
        <v>0.34833145909560004</v>
      </c>
      <c r="AN44" s="63">
        <f>INDEX('Table S3 Literature Values'!$A$10:$AV$10000,MATCH($C44,'Table S3 Literature Values'!$A$10:$A$10000,0)+2,AM$1)</f>
        <v>0</v>
      </c>
      <c r="AO44" s="501">
        <f>IF(VLOOKUP($C44,'Table S3 Literature Values'!$A$10:$AV$10000,AO$1,FALSE)=0,VLOOKUP($C44,'Table S9 Model Derived Values'!$A$10:$AV$10000,AO$1,FALSE),VLOOKUP($C44,'Table S3 Literature Values'!$A$10:$AV$10000,AO$1,FALSE))</f>
        <v>0</v>
      </c>
      <c r="AP44" s="61">
        <f>IF(INDEX('Table S3 Literature Values'!$A$10:$AV$10000,MATCH($C44,'Table S3 Literature Values'!$A$10:$A$10000,0)+1,AP$1)=0,INDEX('Table S9 Model Derived Values'!$A$10:$AV$10000,MATCH($C44,'Table S9 Model Derived Values'!$A$10:$A$10000,0)+1,AP$1),INDEX('Table S3 Literature Values'!$A$10:$AV$10000,MATCH($C44,'Table S3 Literature Values'!$A$10:$A$10000,0)+1,AP$1))</f>
        <v>0</v>
      </c>
      <c r="AQ44" s="63">
        <f>INDEX('Table S3 Literature Values'!$A$10:$AV$10000,MATCH($C44,'Table S3 Literature Values'!$A$10:$A$10000,0)+2,AP$1)</f>
        <v>0</v>
      </c>
      <c r="AR44" s="501">
        <f>IF(VLOOKUP($C44,'Table S3 Literature Values'!$A$10:$AV$10000,AR$1,FALSE)=0,VLOOKUP($C44,'Table S9 Model Derived Values'!$A$10:$AV$10000,AR$1,FALSE),VLOOKUP($C44,'Table S3 Literature Values'!$A$10:$AV$10000,AR$1,FALSE))</f>
        <v>216.61666666666667</v>
      </c>
      <c r="AS44" s="61">
        <f>IF(INDEX('Table S3 Literature Values'!$A$10:$AV$10000,MATCH($C44,'Table S3 Literature Values'!$A$10:$A$10000,0)+1,AS$1)=0,INDEX('Table S9 Model Derived Values'!$A$10:$AV$10000,MATCH($C44,'Table S9 Model Derived Values'!$A$10:$A$10000,0)+1,AS$1),INDEX('Table S3 Literature Values'!$A$10:$AV$10000,MATCH($C44,'Table S3 Literature Values'!$A$10:$A$10000,0)+1,AS$1))</f>
        <v>0.53928965624545278</v>
      </c>
      <c r="AT44" s="63">
        <f>INDEX('Table S3 Literature Values'!$A$10:$AV$10000,MATCH($C44,'Table S3 Literature Values'!$A$10:$A$10000,0)+2,AS$1)</f>
        <v>3</v>
      </c>
    </row>
    <row r="45" spans="1:46">
      <c r="A45" t="str">
        <f>'Table S2 Compound Identifiers'!C50</f>
        <v>PBDE</v>
      </c>
      <c r="B45">
        <f>COUNTIF($C$3:C45,"&lt;&gt;"&amp;"")</f>
        <v>43</v>
      </c>
      <c r="C45" t="str">
        <f>IF('Table S2 Compound Identifiers'!B50="","",'Table S2 Compound Identifiers'!B50)</f>
        <v>BDE-47</v>
      </c>
      <c r="D45" t="str">
        <f>'Table S2 Compound Identifiers'!D50</f>
        <v>5436-43-1</v>
      </c>
      <c r="E45" s="501">
        <f>IF(VLOOKUP($C45,'Table S3 Literature Values'!$A$10:$AV$10000,E$1,FALSE)=0,VLOOKUP($C45,'Table S9 Model Derived Values'!$A$10:$AV$10000,E$1,FALSE),VLOOKUP($C45,'Table S3 Literature Values'!$A$10:$AV$10000,E$1,FALSE))</f>
        <v>94.14</v>
      </c>
      <c r="F45" s="61">
        <f>IF(INDEX('Table S3 Literature Values'!$A$10:$AV$10000,MATCH($C45,'Table S3 Literature Values'!$A$10:$A$10000,0)+1,F$1)=0,INDEX('Table S9 Model Derived Values'!$A$10:$AV$10000,MATCH($C45,'Table S9 Model Derived Values'!$A$10:$A$10000,0)+1,F$1),INDEX('Table S3 Literature Values'!$A$10:$AV$10000,MATCH($C45,'Table S3 Literature Values'!$A$10:$A$10000,0)+1,F$1))</f>
        <v>4.4506179346243595</v>
      </c>
      <c r="G45" s="63">
        <f>INDEX('Table S3 Literature Values'!$A$10:$AV$10000,MATCH($C45,'Table S3 Literature Values'!$A$10:$A$10000,0)+2,F$1)</f>
        <v>4</v>
      </c>
      <c r="H45" s="501">
        <f>IF(VLOOKUP($C45,'Table S3 Literature Values'!$A$10:$AV$10000,H$1,FALSE)=0,VLOOKUP($C45,'Table S9 Model Derived Values'!$A$10:$AV$10000,H$1,FALSE),VLOOKUP($C45,'Table S3 Literature Values'!$A$10:$AV$10000,H$1,FALSE))</f>
        <v>14.9</v>
      </c>
      <c r="I45" s="61">
        <f>IF(INDEX('Table S3 Literature Values'!$A$10:$AV$10000,MATCH($C45,'Table S3 Literature Values'!$A$10:$A$10000,0)+1,I$1)=0,INDEX('Table S9 Model Derived Values'!$A$10:$AV$10000,MATCH($C45,'Table S9 Model Derived Values'!$A$10:$A$10000,0)+1,I$1),INDEX('Table S3 Literature Values'!$A$10:$AV$10000,MATCH($C45,'Table S3 Literature Values'!$A$10:$A$10000,0)+1,I$1))</f>
        <v>2.9800000000000004</v>
      </c>
      <c r="J45" s="63">
        <f>INDEX('Table S3 Literature Values'!$A$10:$AV$10000,MATCH($C45,'Table S3 Literature Values'!$A$10:$A$10000,0)+2,I$1)</f>
        <v>1</v>
      </c>
      <c r="K45" s="501">
        <f>IF(VLOOKUP($C45,'Table S3 Literature Values'!$A$10:$AV$10000,K$1,FALSE)=0,VLOOKUP($C45,'Table S9 Model Derived Values'!$A$10:$AV$10000,K$1,FALSE),VLOOKUP($C45,'Table S3 Literature Values'!$A$10:$AV$10000,K$1,FALSE))</f>
        <v>0</v>
      </c>
      <c r="L45" s="61">
        <f>IF(INDEX('Table S3 Literature Values'!$A$10:$AV$10000,MATCH($C45,'Table S3 Literature Values'!$A$10:$A$10000,0)+1,L$1)=0,INDEX('Table S9 Model Derived Values'!$A$10:$AV$10000,MATCH($C45,'Table S9 Model Derived Values'!$A$10:$A$10000,0)+1,L$1),INDEX('Table S3 Literature Values'!$A$10:$AV$10000,MATCH($C45,'Table S3 Literature Values'!$A$10:$A$10000,0)+1,L$1))</f>
        <v>0</v>
      </c>
      <c r="M45" s="63">
        <f>INDEX('Table S3 Literature Values'!$A$10:$AV$10000,MATCH($C45,'Table S3 Literature Values'!$A$10:$A$10000,0)+2,L$1)</f>
        <v>0</v>
      </c>
      <c r="N45" s="501">
        <f>IF(VLOOKUP($C45,'Table S3 Literature Values'!$A$10:$AV$10000,N$1,FALSE)=0,VLOOKUP($C45,'Table S9 Model Derived Values'!$A$10:$AV$10000,N$1,FALSE),VLOOKUP($C45,'Table S3 Literature Values'!$A$10:$AV$10000,N$1,FALSE))</f>
        <v>93.4</v>
      </c>
      <c r="O45" s="61">
        <f>IF(INDEX('Table S3 Literature Values'!$A$10:$AV$10000,MATCH($C45,'Table S3 Literature Values'!$A$10:$A$10000,0)+1,O$1)=0,INDEX('Table S9 Model Derived Values'!$A$10:$AV$10000,MATCH($C45,'Table S9 Model Derived Values'!$A$10:$A$10000,0)+1,O$1),INDEX('Table S3 Literature Values'!$A$10:$AV$10000,MATCH($C45,'Table S3 Literature Values'!$A$10:$A$10000,0)+1,O$1))</f>
        <v>4.6669047558312196</v>
      </c>
      <c r="P45" s="63">
        <f>INDEX('Table S3 Literature Values'!$A$10:$AV$10000,MATCH($C45,'Table S3 Literature Values'!$A$10:$A$10000,0)+2,O$1)</f>
        <v>2</v>
      </c>
      <c r="Q45" s="501">
        <f>IF(VLOOKUP($C45,'Table S3 Literature Values'!$A$10:$AV$10000,Q$1,FALSE)=0,VLOOKUP($C45,'Table S9 Model Derived Values'!$A$10:$AV$10000,Q$1,FALSE),VLOOKUP($C45,'Table S3 Literature Values'!$A$10:$AV$10000,Q$1,FALSE))</f>
        <v>58.509</v>
      </c>
      <c r="R45" s="61">
        <f>IF(INDEX('Table S3 Literature Values'!$A$10:$AV$10000,MATCH($C45,'Table S3 Literature Values'!$A$10:$A$10000,0)+1,R$1)=0,INDEX('Table S9 Model Derived Values'!$A$10:$AV$10000,MATCH($C45,'Table S9 Model Derived Values'!$A$10:$A$10000,0)+1,R$1),INDEX('Table S3 Literature Values'!$A$10:$AV$10000,MATCH($C45,'Table S3 Literature Values'!$A$10:$A$10000,0)+1,R$1))</f>
        <v>17.552699999999998</v>
      </c>
      <c r="S45" s="63">
        <f>INDEX('Table S3 Literature Values'!$A$10:$AV$10000,MATCH($C45,'Table S3 Literature Values'!$A$10:$A$10000,0)+2,R$1)</f>
        <v>1</v>
      </c>
      <c r="T45" s="501">
        <f>IF(VLOOKUP($C45,'Table S3 Literature Values'!$A$10:$AV$10000,T$1,FALSE)=0,VLOOKUP($C45,'Table S9 Model Derived Values'!$A$10:$AV$10000,T$1,FALSE),VLOOKUP($C45,'Table S3 Literature Values'!$A$10:$AV$10000,T$1,FALSE))</f>
        <v>-21.7</v>
      </c>
      <c r="U45" s="61">
        <f>IF(INDEX('Table S3 Literature Values'!$A$10:$AV$10000,MATCH($C45,'Table S3 Literature Values'!$A$10:$A$10000,0)+1,U$1)=0,INDEX('Table S9 Model Derived Values'!$A$10:$AV$10000,MATCH($C45,'Table S9 Model Derived Values'!$A$10:$A$10000,0)+1,U$1),INDEX('Table S3 Literature Values'!$A$10:$AV$10000,MATCH($C45,'Table S3 Literature Values'!$A$10:$A$10000,0)+1,U$1))</f>
        <v>4.34</v>
      </c>
      <c r="V45" s="63">
        <f>INDEX('Table S3 Literature Values'!$A$10:$AV$10000,MATCH($C45,'Table S3 Literature Values'!$A$10:$A$10000,0)+2,U$1)</f>
        <v>1</v>
      </c>
      <c r="W45" s="501">
        <f>IF(VLOOKUP($C45,'Table S3 Literature Values'!$A$10:$AV$10000,W$1,FALSE)=0,VLOOKUP($C45,'Table S9 Model Derived Values'!$A$10:$AV$10000,W$1,FALSE),VLOOKUP($C45,'Table S3 Literature Values'!$A$10:$AV$10000,W$1,FALSE))</f>
        <v>10.434999999999999</v>
      </c>
      <c r="X45" s="61">
        <f>IF(INDEX('Table S3 Literature Values'!$A$10:$AV$10000,MATCH($C45,'Table S3 Literature Values'!$A$10:$A$10000,0)+1,X$1)=0,INDEX('Table S9 Model Derived Values'!$A$10:$AV$10000,MATCH($C45,'Table S9 Model Derived Values'!$A$10:$A$10000,0)+1,X$1),INDEX('Table S3 Literature Values'!$A$10:$AV$10000,MATCH($C45,'Table S3 Literature Values'!$A$10:$A$10000,0)+1,X$1))</f>
        <v>0.13435028842544369</v>
      </c>
      <c r="Y45" s="63">
        <f>INDEX('Table S3 Literature Values'!$A$10:$AV$10000,MATCH($C45,'Table S3 Literature Values'!$A$10:$A$10000,0)+2,X$1)</f>
        <v>2</v>
      </c>
      <c r="Z45" s="501">
        <f>IF(VLOOKUP($C45,'Table S3 Literature Values'!$A$10:$AV$10000,Z$1,FALSE)=0,VLOOKUP($C45,'Table S9 Model Derived Values'!$A$10:$AV$10000,Z$1,FALSE),VLOOKUP($C45,'Table S3 Literature Values'!$A$10:$AV$10000,Z$1,FALSE))</f>
        <v>6.6174999999999997</v>
      </c>
      <c r="AA45" s="61">
        <f>IF(INDEX('Table S3 Literature Values'!$A$10:$AV$10000,MATCH($C45,'Table S3 Literature Values'!$A$10:$A$10000,0)+1,AA$1)=0,INDEX('Table S9 Model Derived Values'!$A$10:$AV$10000,MATCH($C45,'Table S9 Model Derived Values'!$A$10:$A$10000,0)+1,AA$1),INDEX('Table S3 Literature Values'!$A$10:$AV$10000,MATCH($C45,'Table S3 Literature Values'!$A$10:$A$10000,0)+1,AA$1))</f>
        <v>0.39969780251251513</v>
      </c>
      <c r="AB45" s="63">
        <f>INDEX('Table S3 Literature Values'!$A$10:$AV$10000,MATCH($C45,'Table S3 Literature Values'!$A$10:$A$10000,0)+2,AA$1)</f>
        <v>4</v>
      </c>
      <c r="AC45" s="501">
        <f>IF(VLOOKUP($C45,'Table S3 Literature Values'!$A$10:$AV$10000,AC$1,FALSE)=0,VLOOKUP($C45,'Table S9 Model Derived Values'!$A$10:$AV$10000,AC$1,FALSE),VLOOKUP($C45,'Table S3 Literature Values'!$A$10:$AV$10000,AC$1,FALSE))</f>
        <v>-3.3186978724594232</v>
      </c>
      <c r="AD45" s="61">
        <f>IF(INDEX('Table S3 Literature Values'!$A$10:$AV$10000,MATCH($C45,'Table S3 Literature Values'!$A$10:$A$10000,0)+1,AD$1)=0,INDEX('Table S9 Model Derived Values'!$A$10:$AV$10000,MATCH($C45,'Table S9 Model Derived Values'!$A$10:$A$10000,0)+1,AD$1),INDEX('Table S3 Literature Values'!$A$10:$AV$10000,MATCH($C45,'Table S3 Literature Values'!$A$10:$A$10000,0)+1,AD$1))</f>
        <v>0.38418905920526514</v>
      </c>
      <c r="AE45" s="63">
        <f>INDEX('Table S3 Literature Values'!$A$10:$AV$10000,MATCH($C45,'Table S3 Literature Values'!$A$10:$A$10000,0)+2,AD$1)</f>
        <v>0</v>
      </c>
      <c r="AF45" s="501">
        <f>IF(VLOOKUP($C45,'Table S3 Literature Values'!$A$10:$AV$10000,AF$1,FALSE)=0,VLOOKUP($C45,'Table S9 Model Derived Values'!$A$10:$AV$10000,AF$1,FALSE),VLOOKUP($C45,'Table S3 Literature Values'!$A$10:$AV$10000,AF$1,FALSE))</f>
        <v>-3.7075139892385729</v>
      </c>
      <c r="AG45" s="61">
        <f>IF(INDEX('Table S3 Literature Values'!$A$10:$AV$10000,MATCH($C45,'Table S3 Literature Values'!$A$10:$A$10000,0)+1,AG$1)=0,INDEX('Table S9 Model Derived Values'!$A$10:$AV$10000,MATCH($C45,'Table S9 Model Derived Values'!$A$10:$A$10000,0)+1,AG$1),INDEX('Table S3 Literature Values'!$A$10:$AV$10000,MATCH($C45,'Table S3 Literature Values'!$A$10:$A$10000,0)+1,AG$1))</f>
        <v>0.19995588786711851</v>
      </c>
      <c r="AH45" s="63">
        <f>INDEX('Table S3 Literature Values'!$A$10:$AV$10000,MATCH($C45,'Table S3 Literature Values'!$A$10:$A$10000,0)+2,AG$1)</f>
        <v>5</v>
      </c>
      <c r="AI45" s="501">
        <f>IF(VLOOKUP($C45,'Table S3 Literature Values'!$A$10:$AV$10000,AI$1,FALSE)=0,VLOOKUP($C45,'Table S9 Model Derived Values'!$A$10:$AV$10000,AI$1,FALSE),VLOOKUP($C45,'Table S3 Literature Values'!$A$10:$AV$10000,AI$1,FALSE))</f>
        <v>-4.0697069918861315</v>
      </c>
      <c r="AJ45" s="61">
        <f>IF(INDEX('Table S3 Literature Values'!$A$10:$AV$10000,MATCH($C45,'Table S3 Literature Values'!$A$10:$A$10000,0)+1,AJ$1)=0,INDEX('Table S9 Model Derived Values'!$A$10:$AV$10000,MATCH($C45,'Table S9 Model Derived Values'!$A$10:$A$10000,0)+1,AJ$1),INDEX('Table S3 Literature Values'!$A$10:$AV$10000,MATCH($C45,'Table S3 Literature Values'!$A$10:$A$10000,0)+1,AJ$1))</f>
        <v>7.1457772538696201E-2</v>
      </c>
      <c r="AK45" s="63">
        <f>INDEX('Table S3 Literature Values'!$A$10:$AV$10000,MATCH($C45,'Table S3 Literature Values'!$A$10:$A$10000,0)+2,AJ$1)</f>
        <v>3</v>
      </c>
      <c r="AL45" s="501">
        <f>IF(VLOOKUP($C45,'Table S3 Literature Values'!$A$10:$AV$10000,AL$1,FALSE)=0,VLOOKUP($C45,'Table S9 Model Derived Values'!$A$10:$AV$10000,AL$1,FALSE),VLOOKUP($C45,'Table S3 Literature Values'!$A$10:$AV$10000,AL$1,FALSE))</f>
        <v>2.6982638999999988</v>
      </c>
      <c r="AM45" s="61">
        <f>IF(INDEX('Table S3 Literature Values'!$A$10:$AV$10000,MATCH($C45,'Table S3 Literature Values'!$A$10:$A$10000,0)+1,AM$1)=0,INDEX('Table S9 Model Derived Values'!$A$10:$AV$10000,MATCH($C45,'Table S9 Model Derived Values'!$A$10:$A$10000,0)+1,AM$1),INDEX('Table S3 Literature Values'!$A$10:$AV$10000,MATCH($C45,'Table S3 Literature Values'!$A$10:$A$10000,0)+1,AM$1))</f>
        <v>0.48765993291089982</v>
      </c>
      <c r="AN45" s="63">
        <f>INDEX('Table S3 Literature Values'!$A$10:$AV$10000,MATCH($C45,'Table S3 Literature Values'!$A$10:$A$10000,0)+2,AM$1)</f>
        <v>0</v>
      </c>
      <c r="AO45" s="501">
        <f>IF(VLOOKUP($C45,'Table S3 Literature Values'!$A$10:$AV$10000,AO$1,FALSE)=0,VLOOKUP($C45,'Table S9 Model Derived Values'!$A$10:$AV$10000,AO$1,FALSE),VLOOKUP($C45,'Table S3 Literature Values'!$A$10:$AV$10000,AO$1,FALSE))</f>
        <v>48.472961613897454</v>
      </c>
      <c r="AP45" s="61">
        <f>IF(INDEX('Table S3 Literature Values'!$A$10:$AV$10000,MATCH($C45,'Table S3 Literature Values'!$A$10:$A$10000,0)+1,AP$1)=0,INDEX('Table S9 Model Derived Values'!$A$10:$AV$10000,MATCH($C45,'Table S9 Model Derived Values'!$A$10:$A$10000,0)+1,AP$1),INDEX('Table S3 Literature Values'!$A$10:$AV$10000,MATCH($C45,'Table S3 Literature Values'!$A$10:$A$10000,0)+1,AP$1))</f>
        <v>3.820620706319922</v>
      </c>
      <c r="AQ45" s="63">
        <f>INDEX('Table S3 Literature Values'!$A$10:$AV$10000,MATCH($C45,'Table S3 Literature Values'!$A$10:$A$10000,0)+2,AP$1)</f>
        <v>1</v>
      </c>
      <c r="AR45" s="501">
        <f>IF(VLOOKUP($C45,'Table S3 Literature Values'!$A$10:$AV$10000,AR$1,FALSE)=0,VLOOKUP($C45,'Table S9 Model Derived Values'!$A$10:$AV$10000,AR$1,FALSE),VLOOKUP($C45,'Table S3 Literature Values'!$A$10:$AV$10000,AR$1,FALSE))</f>
        <v>83.875</v>
      </c>
      <c r="AS45" s="61">
        <f>IF(INDEX('Table S3 Literature Values'!$A$10:$AV$10000,MATCH($C45,'Table S3 Literature Values'!$A$10:$A$10000,0)+1,AS$1)=0,INDEX('Table S9 Model Derived Values'!$A$10:$AV$10000,MATCH($C45,'Table S9 Model Derived Values'!$A$10:$A$10000,0)+1,AS$1),INDEX('Table S3 Literature Values'!$A$10:$AV$10000,MATCH($C45,'Table S3 Literature Values'!$A$10:$A$10000,0)+1,AS$1))</f>
        <v>0.17677669529663689</v>
      </c>
      <c r="AT45" s="63">
        <f>INDEX('Table S3 Literature Values'!$A$10:$AV$10000,MATCH($C45,'Table S3 Literature Values'!$A$10:$A$10000,0)+2,AS$1)</f>
        <v>3</v>
      </c>
    </row>
    <row r="46" spans="1:46">
      <c r="A46" t="str">
        <f>'Table S2 Compound Identifiers'!C51</f>
        <v>PBDE</v>
      </c>
      <c r="B46">
        <f>COUNTIF($C$3:C46,"&lt;&gt;"&amp;"")</f>
        <v>44</v>
      </c>
      <c r="C46" t="str">
        <f>IF('Table S2 Compound Identifiers'!B51="","",'Table S2 Compound Identifiers'!B51)</f>
        <v>BDE-66</v>
      </c>
      <c r="D46" t="str">
        <f>'Table S2 Compound Identifiers'!D51</f>
        <v>189084-61-5</v>
      </c>
      <c r="E46" s="501">
        <f>IF(VLOOKUP($C46,'Table S3 Literature Values'!$A$10:$AV$10000,E$1,FALSE)=0,VLOOKUP($C46,'Table S9 Model Derived Values'!$A$10:$AV$10000,E$1,FALSE),VLOOKUP($C46,'Table S3 Literature Values'!$A$10:$AV$10000,E$1,FALSE))</f>
        <v>96.833333333333329</v>
      </c>
      <c r="F46" s="61">
        <f>IF(INDEX('Table S3 Literature Values'!$A$10:$AV$10000,MATCH($C46,'Table S3 Literature Values'!$A$10:$A$10000,0)+1,F$1)=0,INDEX('Table S9 Model Derived Values'!$A$10:$AV$10000,MATCH($C46,'Table S9 Model Derived Values'!$A$10:$A$10000,0)+1,F$1),INDEX('Table S3 Literature Values'!$A$10:$AV$10000,MATCH($C46,'Table S3 Literature Values'!$A$10:$A$10000,0)+1,F$1))</f>
        <v>2.9704096238285618</v>
      </c>
      <c r="G46" s="63">
        <f>INDEX('Table S3 Literature Values'!$A$10:$AV$10000,MATCH($C46,'Table S3 Literature Values'!$A$10:$A$10000,0)+2,F$1)</f>
        <v>3</v>
      </c>
      <c r="H46" s="501">
        <f>IF(VLOOKUP($C46,'Table S3 Literature Values'!$A$10:$AV$10000,H$1,FALSE)=0,VLOOKUP($C46,'Table S9 Model Derived Values'!$A$10:$AV$10000,H$1,FALSE),VLOOKUP($C46,'Table S3 Literature Values'!$A$10:$AV$10000,H$1,FALSE))</f>
        <v>16.357400538928019</v>
      </c>
      <c r="I46" s="61">
        <f>IF(INDEX('Table S3 Literature Values'!$A$10:$AV$10000,MATCH($C46,'Table S3 Literature Values'!$A$10:$A$10000,0)+1,I$1)=0,INDEX('Table S9 Model Derived Values'!$A$10:$AV$10000,MATCH($C46,'Table S9 Model Derived Values'!$A$10:$A$10000,0)+1,I$1),INDEX('Table S3 Literature Values'!$A$10:$AV$10000,MATCH($C46,'Table S3 Literature Values'!$A$10:$A$10000,0)+1,I$1))</f>
        <v>22.945834327997446</v>
      </c>
      <c r="J46" s="63">
        <f>INDEX('Table S3 Literature Values'!$A$10:$AV$10000,MATCH($C46,'Table S3 Literature Values'!$A$10:$A$10000,0)+2,I$1)</f>
        <v>0</v>
      </c>
      <c r="K46" s="501">
        <f>IF(VLOOKUP($C46,'Table S3 Literature Values'!$A$10:$AV$10000,K$1,FALSE)=0,VLOOKUP($C46,'Table S9 Model Derived Values'!$A$10:$AV$10000,K$1,FALSE),VLOOKUP($C46,'Table S3 Literature Values'!$A$10:$AV$10000,K$1,FALSE))</f>
        <v>0</v>
      </c>
      <c r="L46" s="61">
        <f>IF(INDEX('Table S3 Literature Values'!$A$10:$AV$10000,MATCH($C46,'Table S3 Literature Values'!$A$10:$A$10000,0)+1,L$1)=0,INDEX('Table S9 Model Derived Values'!$A$10:$AV$10000,MATCH($C46,'Table S9 Model Derived Values'!$A$10:$A$10000,0)+1,L$1),INDEX('Table S3 Literature Values'!$A$10:$AV$10000,MATCH($C46,'Table S3 Literature Values'!$A$10:$A$10000,0)+1,L$1))</f>
        <v>0</v>
      </c>
      <c r="M46" s="63">
        <f>INDEX('Table S3 Literature Values'!$A$10:$AV$10000,MATCH($C46,'Table S3 Literature Values'!$A$10:$A$10000,0)+2,L$1)</f>
        <v>0</v>
      </c>
      <c r="N46" s="501">
        <f>IF(VLOOKUP($C46,'Table S3 Literature Values'!$A$10:$AV$10000,N$1,FALSE)=0,VLOOKUP($C46,'Table S9 Model Derived Values'!$A$10:$AV$10000,N$1,FALSE),VLOOKUP($C46,'Table S3 Literature Values'!$A$10:$AV$10000,N$1,FALSE))</f>
        <v>103</v>
      </c>
      <c r="O46" s="61">
        <f>IF(INDEX('Table S3 Literature Values'!$A$10:$AV$10000,MATCH($C46,'Table S3 Literature Values'!$A$10:$A$10000,0)+1,O$1)=0,INDEX('Table S9 Model Derived Values'!$A$10:$AV$10000,MATCH($C46,'Table S9 Model Derived Values'!$A$10:$A$10000,0)+1,O$1),INDEX('Table S3 Literature Values'!$A$10:$AV$10000,MATCH($C46,'Table S3 Literature Values'!$A$10:$A$10000,0)+1,O$1))</f>
        <v>6.5258826293688674</v>
      </c>
      <c r="P46" s="63">
        <f>INDEX('Table S3 Literature Values'!$A$10:$AV$10000,MATCH($C46,'Table S3 Literature Values'!$A$10:$A$10000,0)+2,O$1)</f>
        <v>1</v>
      </c>
      <c r="Q46" s="501">
        <f>IF(VLOOKUP($C46,'Table S3 Literature Values'!$A$10:$AV$10000,Q$1,FALSE)=0,VLOOKUP($C46,'Table S9 Model Derived Values'!$A$10:$AV$10000,Q$1,FALSE),VLOOKUP($C46,'Table S3 Literature Values'!$A$10:$AV$10000,Q$1,FALSE))</f>
        <v>67.159043699999984</v>
      </c>
      <c r="R46" s="61">
        <f>IF(INDEX('Table S3 Literature Values'!$A$10:$AV$10000,MATCH($C46,'Table S3 Literature Values'!$A$10:$A$10000,0)+1,R$1)=0,INDEX('Table S9 Model Derived Values'!$A$10:$AV$10000,MATCH($C46,'Table S9 Model Derived Values'!$A$10:$A$10000,0)+1,R$1),INDEX('Table S3 Literature Values'!$A$10:$AV$10000,MATCH($C46,'Table S3 Literature Values'!$A$10:$A$10000,0)+1,R$1))</f>
        <v>12.590238763395297</v>
      </c>
      <c r="S46" s="63">
        <f>INDEX('Table S3 Literature Values'!$A$10:$AV$10000,MATCH($C46,'Table S3 Literature Values'!$A$10:$A$10000,0)+2,R$1)</f>
        <v>0</v>
      </c>
      <c r="T46" s="501">
        <f>IF(VLOOKUP($C46,'Table S3 Literature Values'!$A$10:$AV$10000,T$1,FALSE)=0,VLOOKUP($C46,'Table S9 Model Derived Values'!$A$10:$AV$10000,T$1,FALSE),VLOOKUP($C46,'Table S3 Literature Values'!$A$10:$AV$10000,T$1,FALSE))</f>
        <v>-32.069367999999997</v>
      </c>
      <c r="U46" s="61">
        <f>IF(INDEX('Table S3 Literature Values'!$A$10:$AV$10000,MATCH($C46,'Table S3 Literature Values'!$A$10:$A$10000,0)+1,U$1)=0,INDEX('Table S9 Model Derived Values'!$A$10:$AV$10000,MATCH($C46,'Table S9 Model Derived Values'!$A$10:$A$10000,0)+1,U$1),INDEX('Table S3 Literature Values'!$A$10:$AV$10000,MATCH($C46,'Table S3 Literature Values'!$A$10:$A$10000,0)+1,U$1))</f>
        <v>13.155276393914209</v>
      </c>
      <c r="V46" s="63">
        <f>INDEX('Table S3 Literature Values'!$A$10:$AV$10000,MATCH($C46,'Table S3 Literature Values'!$A$10:$A$10000,0)+2,U$1)</f>
        <v>0</v>
      </c>
      <c r="W46" s="501">
        <f>IF(VLOOKUP($C46,'Table S3 Literature Values'!$A$10:$AV$10000,W$1,FALSE)=0,VLOOKUP($C46,'Table S9 Model Derived Values'!$A$10:$AV$10000,W$1,FALSE),VLOOKUP($C46,'Table S3 Literature Values'!$A$10:$AV$10000,W$1,FALSE))</f>
        <v>10.655000000000001</v>
      </c>
      <c r="X46" s="61">
        <f>IF(INDEX('Table S3 Literature Values'!$A$10:$AV$10000,MATCH($C46,'Table S3 Literature Values'!$A$10:$A$10000,0)+1,X$1)=0,INDEX('Table S9 Model Derived Values'!$A$10:$AV$10000,MATCH($C46,'Table S9 Model Derived Values'!$A$10:$A$10000,0)+1,X$1),INDEX('Table S3 Literature Values'!$A$10:$AV$10000,MATCH($C46,'Table S3 Literature Values'!$A$10:$A$10000,0)+1,X$1))</f>
        <v>0.23334523779156074</v>
      </c>
      <c r="Y46" s="63">
        <f>INDEX('Table S3 Literature Values'!$A$10:$AV$10000,MATCH($C46,'Table S3 Literature Values'!$A$10:$A$10000,0)+2,X$1)</f>
        <v>2</v>
      </c>
      <c r="Z46" s="501">
        <f>IF(VLOOKUP($C46,'Table S3 Literature Values'!$A$10:$AV$10000,Z$1,FALSE)=0,VLOOKUP($C46,'Table S9 Model Derived Values'!$A$10:$AV$10000,Z$1,FALSE),VLOOKUP($C46,'Table S3 Literature Values'!$A$10:$AV$10000,Z$1,FALSE))</f>
        <v>7.24</v>
      </c>
      <c r="AA46" s="61">
        <f>IF(INDEX('Table S3 Literature Values'!$A$10:$AV$10000,MATCH($C46,'Table S3 Literature Values'!$A$10:$A$10000,0)+1,AA$1)=0,INDEX('Table S9 Model Derived Values'!$A$10:$AV$10000,MATCH($C46,'Table S9 Model Derived Values'!$A$10:$A$10000,0)+1,AA$1),INDEX('Table S3 Literature Values'!$A$10:$AV$10000,MATCH($C46,'Table S3 Literature Values'!$A$10:$A$10000,0)+1,AA$1))</f>
        <v>0.51206348000000002</v>
      </c>
      <c r="AB46" s="63">
        <f>INDEX('Table S3 Literature Values'!$A$10:$AV$10000,MATCH($C46,'Table S3 Literature Values'!$A$10:$A$10000,0)+2,AA$1)</f>
        <v>0</v>
      </c>
      <c r="AC46" s="501">
        <f>IF(VLOOKUP($C46,'Table S3 Literature Values'!$A$10:$AV$10000,AC$1,FALSE)=0,VLOOKUP($C46,'Table S9 Model Derived Values'!$A$10:$AV$10000,AC$1,FALSE),VLOOKUP($C46,'Table S3 Literature Values'!$A$10:$AV$10000,AC$1,FALSE))</f>
        <v>-3.4597463826083863</v>
      </c>
      <c r="AD46" s="61">
        <f>IF(INDEX('Table S3 Literature Values'!$A$10:$AV$10000,MATCH($C46,'Table S3 Literature Values'!$A$10:$A$10000,0)+1,AD$1)=0,INDEX('Table S9 Model Derived Values'!$A$10:$AV$10000,MATCH($C46,'Table S9 Model Derived Values'!$A$10:$A$10000,0)+1,AD$1),INDEX('Table S3 Literature Values'!$A$10:$AV$10000,MATCH($C46,'Table S3 Literature Values'!$A$10:$A$10000,0)+1,AD$1))</f>
        <v>0.40051753998265988</v>
      </c>
      <c r="AE46" s="63">
        <f>INDEX('Table S3 Literature Values'!$A$10:$AV$10000,MATCH($C46,'Table S3 Literature Values'!$A$10:$A$10000,0)+2,AD$1)</f>
        <v>0</v>
      </c>
      <c r="AF46" s="501">
        <f>IF(VLOOKUP($C46,'Table S3 Literature Values'!$A$10:$AV$10000,AF$1,FALSE)=0,VLOOKUP($C46,'Table S9 Model Derived Values'!$A$10:$AV$10000,AF$1,FALSE),VLOOKUP($C46,'Table S3 Literature Values'!$A$10:$AV$10000,AF$1,FALSE))</f>
        <v>-3.8064674031393619</v>
      </c>
      <c r="AG46" s="61">
        <f>IF(INDEX('Table S3 Literature Values'!$A$10:$AV$10000,MATCH($C46,'Table S3 Literature Values'!$A$10:$A$10000,0)+1,AG$1)=0,INDEX('Table S9 Model Derived Values'!$A$10:$AV$10000,MATCH($C46,'Table S9 Model Derived Values'!$A$10:$A$10000,0)+1,AG$1),INDEX('Table S3 Literature Values'!$A$10:$AV$10000,MATCH($C46,'Table S3 Literature Values'!$A$10:$A$10000,0)+1,AG$1))</f>
        <v>0.15897540206098351</v>
      </c>
      <c r="AH46" s="63">
        <f>INDEX('Table S3 Literature Values'!$A$10:$AV$10000,MATCH($C46,'Table S3 Literature Values'!$A$10:$A$10000,0)+2,AG$1)</f>
        <v>3</v>
      </c>
      <c r="AI46" s="501">
        <f>IF(VLOOKUP($C46,'Table S3 Literature Values'!$A$10:$AV$10000,AI$1,FALSE)=0,VLOOKUP($C46,'Table S9 Model Derived Values'!$A$10:$AV$10000,AI$1,FALSE),VLOOKUP($C46,'Table S3 Literature Values'!$A$10:$AV$10000,AI$1,FALSE))</f>
        <v>-3.6293678108253968</v>
      </c>
      <c r="AJ46" s="61">
        <f>IF(INDEX('Table S3 Literature Values'!$A$10:$AV$10000,MATCH($C46,'Table S3 Literature Values'!$A$10:$A$10000,0)+1,AJ$1)=0,INDEX('Table S9 Model Derived Values'!$A$10:$AV$10000,MATCH($C46,'Table S9 Model Derived Values'!$A$10:$A$10000,0)+1,AJ$1),INDEX('Table S3 Literature Values'!$A$10:$AV$10000,MATCH($C46,'Table S3 Literature Values'!$A$10:$A$10000,0)+1,AJ$1))</f>
        <v>0.44878797989465358</v>
      </c>
      <c r="AK46" s="63">
        <f>INDEX('Table S3 Literature Values'!$A$10:$AV$10000,MATCH($C46,'Table S3 Literature Values'!$A$10:$A$10000,0)+2,AJ$1)</f>
        <v>1</v>
      </c>
      <c r="AL46" s="501">
        <f>IF(VLOOKUP($C46,'Table S3 Literature Values'!$A$10:$AV$10000,AL$1,FALSE)=0,VLOOKUP($C46,'Table S9 Model Derived Values'!$A$10:$AV$10000,AL$1,FALSE),VLOOKUP($C46,'Table S3 Literature Values'!$A$10:$AV$10000,AL$1,FALSE))</f>
        <v>2.4449938999999983</v>
      </c>
      <c r="AM46" s="61">
        <f>IF(INDEX('Table S3 Literature Values'!$A$10:$AV$10000,MATCH($C46,'Table S3 Literature Values'!$A$10:$A$10000,0)+1,AM$1)=0,INDEX('Table S9 Model Derived Values'!$A$10:$AV$10000,MATCH($C46,'Table S9 Model Derived Values'!$A$10:$A$10000,0)+1,AM$1),INDEX('Table S3 Literature Values'!$A$10:$AV$10000,MATCH($C46,'Table S3 Literature Values'!$A$10:$A$10000,0)+1,AM$1))</f>
        <v>0.44188619254089967</v>
      </c>
      <c r="AN46" s="63">
        <f>INDEX('Table S3 Literature Values'!$A$10:$AV$10000,MATCH($C46,'Table S3 Literature Values'!$A$10:$A$10000,0)+2,AM$1)</f>
        <v>0</v>
      </c>
      <c r="AO46" s="501">
        <f>IF(VLOOKUP($C46,'Table S3 Literature Values'!$A$10:$AV$10000,AO$1,FALSE)=0,VLOOKUP($C46,'Table S9 Model Derived Values'!$A$10:$AV$10000,AO$1,FALSE),VLOOKUP($C46,'Table S3 Literature Values'!$A$10:$AV$10000,AO$1,FALSE))</f>
        <v>0</v>
      </c>
      <c r="AP46" s="61">
        <f>IF(INDEX('Table S3 Literature Values'!$A$10:$AV$10000,MATCH($C46,'Table S3 Literature Values'!$A$10:$A$10000,0)+1,AP$1)=0,INDEX('Table S9 Model Derived Values'!$A$10:$AV$10000,MATCH($C46,'Table S9 Model Derived Values'!$A$10:$A$10000,0)+1,AP$1),INDEX('Table S3 Literature Values'!$A$10:$AV$10000,MATCH($C46,'Table S3 Literature Values'!$A$10:$A$10000,0)+1,AP$1))</f>
        <v>0</v>
      </c>
      <c r="AQ46" s="63">
        <f>INDEX('Table S3 Literature Values'!$A$10:$AV$10000,MATCH($C46,'Table S3 Literature Values'!$A$10:$A$10000,0)+2,AP$1)</f>
        <v>0</v>
      </c>
      <c r="AR46" s="501">
        <f>IF(VLOOKUP($C46,'Table S3 Literature Values'!$A$10:$AV$10000,AR$1,FALSE)=0,VLOOKUP($C46,'Table S9 Model Derived Values'!$A$10:$AV$10000,AR$1,FALSE),VLOOKUP($C46,'Table S3 Literature Values'!$A$10:$AV$10000,AR$1,FALSE))</f>
        <v>106</v>
      </c>
      <c r="AS46" s="61">
        <f>IF(INDEX('Table S3 Literature Values'!$A$10:$AV$10000,MATCH($C46,'Table S3 Literature Values'!$A$10:$A$10000,0)+1,AS$1)=0,INDEX('Table S9 Model Derived Values'!$A$10:$AV$10000,MATCH($C46,'Table S9 Model Derived Values'!$A$10:$A$10000,0)+1,AS$1),INDEX('Table S3 Literature Values'!$A$10:$AV$10000,MATCH($C46,'Table S3 Literature Values'!$A$10:$A$10000,0)+1,AS$1))</f>
        <v>4.8935660219839905</v>
      </c>
      <c r="AT46" s="63">
        <f>INDEX('Table S3 Literature Values'!$A$10:$AV$10000,MATCH($C46,'Table S3 Literature Values'!$A$10:$A$10000,0)+2,AS$1)</f>
        <v>1</v>
      </c>
    </row>
    <row r="47" spans="1:46">
      <c r="A47" t="str">
        <f>'Table S2 Compound Identifiers'!C52</f>
        <v>PBDE</v>
      </c>
      <c r="B47">
        <f>COUNTIF($C$3:C47,"&lt;&gt;"&amp;"")</f>
        <v>45</v>
      </c>
      <c r="C47" t="str">
        <f>IF('Table S2 Compound Identifiers'!B52="","",'Table S2 Compound Identifiers'!B52)</f>
        <v>BDE-71</v>
      </c>
      <c r="D47" t="str">
        <f>'Table S2 Compound Identifiers'!D52</f>
        <v>189084-62-6</v>
      </c>
      <c r="E47" s="501">
        <f>IF(VLOOKUP($C47,'Table S3 Literature Values'!$A$10:$AV$10000,E$1,FALSE)=0,VLOOKUP($C47,'Table S9 Model Derived Values'!$A$10:$AV$10000,E$1,FALSE),VLOOKUP($C47,'Table S3 Literature Values'!$A$10:$AV$10000,E$1,FALSE))</f>
        <v>100</v>
      </c>
      <c r="F47" s="61">
        <f>IF(INDEX('Table S3 Literature Values'!$A$10:$AV$10000,MATCH($C47,'Table S3 Literature Values'!$A$10:$A$10000,0)+1,F$1)=0,INDEX('Table S9 Model Derived Values'!$A$10:$AV$10000,MATCH($C47,'Table S9 Model Derived Values'!$A$10:$A$10000,0)+1,F$1),INDEX('Table S3 Literature Values'!$A$10:$AV$10000,MATCH($C47,'Table S3 Literature Values'!$A$10:$A$10000,0)+1,F$1))</f>
        <v>7.136341846899807</v>
      </c>
      <c r="G47" s="63">
        <f>INDEX('Table S3 Literature Values'!$A$10:$AV$10000,MATCH($C47,'Table S3 Literature Values'!$A$10:$A$10000,0)+2,F$1)</f>
        <v>1</v>
      </c>
      <c r="H47" s="501">
        <f>IF(VLOOKUP($C47,'Table S3 Literature Values'!$A$10:$AV$10000,H$1,FALSE)=0,VLOOKUP($C47,'Table S9 Model Derived Values'!$A$10:$AV$10000,H$1,FALSE),VLOOKUP($C47,'Table S3 Literature Values'!$A$10:$AV$10000,H$1,FALSE))</f>
        <v>15.360580442263995</v>
      </c>
      <c r="I47" s="61">
        <f>IF(INDEX('Table S3 Literature Values'!$A$10:$AV$10000,MATCH($C47,'Table S3 Literature Values'!$A$10:$A$10000,0)+1,I$1)=0,INDEX('Table S9 Model Derived Values'!$A$10:$AV$10000,MATCH($C47,'Table S9 Model Derived Values'!$A$10:$A$10000,0)+1,I$1),INDEX('Table S3 Literature Values'!$A$10:$AV$10000,MATCH($C47,'Table S3 Literature Values'!$A$10:$A$10000,0)+1,I$1))</f>
        <v>21.547515032799087</v>
      </c>
      <c r="J47" s="63">
        <f>INDEX('Table S3 Literature Values'!$A$10:$AV$10000,MATCH($C47,'Table S3 Literature Values'!$A$10:$A$10000,0)+2,I$1)</f>
        <v>0</v>
      </c>
      <c r="K47" s="501">
        <f>IF(VLOOKUP($C47,'Table S3 Literature Values'!$A$10:$AV$10000,K$1,FALSE)=0,VLOOKUP($C47,'Table S9 Model Derived Values'!$A$10:$AV$10000,K$1,FALSE),VLOOKUP($C47,'Table S3 Literature Values'!$A$10:$AV$10000,K$1,FALSE))</f>
        <v>0</v>
      </c>
      <c r="L47" s="61">
        <f>IF(INDEX('Table S3 Literature Values'!$A$10:$AV$10000,MATCH($C47,'Table S3 Literature Values'!$A$10:$A$10000,0)+1,L$1)=0,INDEX('Table S9 Model Derived Values'!$A$10:$AV$10000,MATCH($C47,'Table S9 Model Derived Values'!$A$10:$A$10000,0)+1,L$1),INDEX('Table S3 Literature Values'!$A$10:$AV$10000,MATCH($C47,'Table S3 Literature Values'!$A$10:$A$10000,0)+1,L$1))</f>
        <v>0</v>
      </c>
      <c r="M47" s="63">
        <f>INDEX('Table S3 Literature Values'!$A$10:$AV$10000,MATCH($C47,'Table S3 Literature Values'!$A$10:$A$10000,0)+2,L$1)</f>
        <v>0</v>
      </c>
      <c r="N47" s="501">
        <f>IF(VLOOKUP($C47,'Table S3 Literature Values'!$A$10:$AV$10000,N$1,FALSE)=0,VLOOKUP($C47,'Table S9 Model Derived Values'!$A$10:$AV$10000,N$1,FALSE),VLOOKUP($C47,'Table S3 Literature Values'!$A$10:$AV$10000,N$1,FALSE))</f>
        <v>98.4</v>
      </c>
      <c r="O47" s="61">
        <f>IF(INDEX('Table S3 Literature Values'!$A$10:$AV$10000,MATCH($C47,'Table S3 Literature Values'!$A$10:$A$10000,0)+1,O$1)=0,INDEX('Table S9 Model Derived Values'!$A$10:$AV$10000,MATCH($C47,'Table S9 Model Derived Values'!$A$10:$A$10000,0)+1,O$1),INDEX('Table S3 Literature Values'!$A$10:$AV$10000,MATCH($C47,'Table S3 Literature Values'!$A$10:$A$10000,0)+1,O$1))</f>
        <v>6.2344354439795788</v>
      </c>
      <c r="P47" s="63">
        <f>INDEX('Table S3 Literature Values'!$A$10:$AV$10000,MATCH($C47,'Table S3 Literature Values'!$A$10:$A$10000,0)+2,O$1)</f>
        <v>1</v>
      </c>
      <c r="Q47" s="501">
        <f>IF(VLOOKUP($C47,'Table S3 Literature Values'!$A$10:$AV$10000,Q$1,FALSE)=0,VLOOKUP($C47,'Table S9 Model Derived Values'!$A$10:$AV$10000,Q$1,FALSE),VLOOKUP($C47,'Table S3 Literature Values'!$A$10:$AV$10000,Q$1,FALSE))</f>
        <v>67.783638699999997</v>
      </c>
      <c r="R47" s="61">
        <f>IF(INDEX('Table S3 Literature Values'!$A$10:$AV$10000,MATCH($C47,'Table S3 Literature Values'!$A$10:$A$10000,0)+1,R$1)=0,INDEX('Table S9 Model Derived Values'!$A$10:$AV$10000,MATCH($C47,'Table S9 Model Derived Values'!$A$10:$A$10000,0)+1,R$1),INDEX('Table S3 Literature Values'!$A$10:$AV$10000,MATCH($C47,'Table S3 Literature Values'!$A$10:$A$10000,0)+1,R$1))</f>
        <v>12.7073309634503</v>
      </c>
      <c r="S47" s="63">
        <f>INDEX('Table S3 Literature Values'!$A$10:$AV$10000,MATCH($C47,'Table S3 Literature Values'!$A$10:$A$10000,0)+2,R$1)</f>
        <v>0</v>
      </c>
      <c r="T47" s="501">
        <f>IF(VLOOKUP($C47,'Table S3 Literature Values'!$A$10:$AV$10000,T$1,FALSE)=0,VLOOKUP($C47,'Table S9 Model Derived Values'!$A$10:$AV$10000,T$1,FALSE),VLOOKUP($C47,'Table S3 Literature Values'!$A$10:$AV$10000,T$1,FALSE))</f>
        <v>-32.865367999999989</v>
      </c>
      <c r="U47" s="61">
        <f>IF(INDEX('Table S3 Literature Values'!$A$10:$AV$10000,MATCH($C47,'Table S3 Literature Values'!$A$10:$A$10000,0)+1,U$1)=0,INDEX('Table S9 Model Derived Values'!$A$10:$AV$10000,MATCH($C47,'Table S9 Model Derived Values'!$A$10:$A$10000,0)+1,U$1),INDEX('Table S3 Literature Values'!$A$10:$AV$10000,MATCH($C47,'Table S3 Literature Values'!$A$10:$A$10000,0)+1,U$1))</f>
        <v>13.481806059530182</v>
      </c>
      <c r="V47" s="63">
        <f>INDEX('Table S3 Literature Values'!$A$10:$AV$10000,MATCH($C47,'Table S3 Literature Values'!$A$10:$A$10000,0)+2,U$1)</f>
        <v>0</v>
      </c>
      <c r="W47" s="501">
        <f>IF(VLOOKUP($C47,'Table S3 Literature Values'!$A$10:$AV$10000,W$1,FALSE)=0,VLOOKUP($C47,'Table S9 Model Derived Values'!$A$10:$AV$10000,W$1,FALSE),VLOOKUP($C47,'Table S3 Literature Values'!$A$10:$AV$10000,W$1,FALSE))</f>
        <v>10.361775178295694</v>
      </c>
      <c r="X47" s="61">
        <f>IF(INDEX('Table S3 Literature Values'!$A$10:$AV$10000,MATCH($C47,'Table S3 Literature Values'!$A$10:$A$10000,0)+1,X$1)=0,INDEX('Table S9 Model Derived Values'!$A$10:$AV$10000,MATCH($C47,'Table S9 Model Derived Values'!$A$10:$A$10000,0)+1,X$1),INDEX('Table S3 Literature Values'!$A$10:$AV$10000,MATCH($C47,'Table S3 Literature Values'!$A$10:$A$10000,0)+1,X$1))</f>
        <v>0.26679310236504827</v>
      </c>
      <c r="Y47" s="63">
        <f>INDEX('Table S3 Literature Values'!$A$10:$AV$10000,MATCH($C47,'Table S3 Literature Values'!$A$10:$A$10000,0)+2,X$1)</f>
        <v>1</v>
      </c>
      <c r="Z47" s="501">
        <f>IF(VLOOKUP($C47,'Table S3 Literature Values'!$A$10:$AV$10000,Z$1,FALSE)=0,VLOOKUP($C47,'Table S9 Model Derived Values'!$A$10:$AV$10000,Z$1,FALSE),VLOOKUP($C47,'Table S3 Literature Values'!$A$10:$AV$10000,Z$1,FALSE))</f>
        <v>7.25</v>
      </c>
      <c r="AA47" s="61">
        <f>IF(INDEX('Table S3 Literature Values'!$A$10:$AV$10000,MATCH($C47,'Table S3 Literature Values'!$A$10:$A$10000,0)+1,AA$1)=0,INDEX('Table S9 Model Derived Values'!$A$10:$AV$10000,MATCH($C47,'Table S9 Model Derived Values'!$A$10:$A$10000,0)+1,AA$1),INDEX('Table S3 Literature Values'!$A$10:$AV$10000,MATCH($C47,'Table S3 Literature Values'!$A$10:$A$10000,0)+1,AA$1))</f>
        <v>0.51277074999999994</v>
      </c>
      <c r="AB47" s="63">
        <f>INDEX('Table S3 Literature Values'!$A$10:$AV$10000,MATCH($C47,'Table S3 Literature Values'!$A$10:$A$10000,0)+2,AA$1)</f>
        <v>0</v>
      </c>
      <c r="AC47" s="501">
        <f>IF(VLOOKUP($C47,'Table S3 Literature Values'!$A$10:$AV$10000,AC$1,FALSE)=0,VLOOKUP($C47,'Table S9 Model Derived Values'!$A$10:$AV$10000,AC$1,FALSE),VLOOKUP($C47,'Table S3 Literature Values'!$A$10:$AV$10000,AC$1,FALSE))</f>
        <v>-3.608914998841187</v>
      </c>
      <c r="AD47" s="61">
        <f>IF(INDEX('Table S3 Literature Values'!$A$10:$AV$10000,MATCH($C47,'Table S3 Literature Values'!$A$10:$A$10000,0)+1,AD$1)=0,INDEX('Table S9 Model Derived Values'!$A$10:$AV$10000,MATCH($C47,'Table S9 Model Derived Values'!$A$10:$A$10000,0)+1,AD$1),INDEX('Table S3 Literature Values'!$A$10:$AV$10000,MATCH($C47,'Table S3 Literature Values'!$A$10:$A$10000,0)+1,AD$1))</f>
        <v>0.41778604484085002</v>
      </c>
      <c r="AE47" s="63">
        <f>INDEX('Table S3 Literature Values'!$A$10:$AV$10000,MATCH($C47,'Table S3 Literature Values'!$A$10:$A$10000,0)+2,AD$1)</f>
        <v>0</v>
      </c>
      <c r="AF47" s="501">
        <f>IF(VLOOKUP($C47,'Table S3 Literature Values'!$A$10:$AV$10000,AF$1,FALSE)=0,VLOOKUP($C47,'Table S9 Model Derived Values'!$A$10:$AV$10000,AF$1,FALSE),VLOOKUP($C47,'Table S3 Literature Values'!$A$10:$AV$10000,AF$1,FALSE))</f>
        <v>-3.7529626300087369</v>
      </c>
      <c r="AG47" s="61">
        <f>IF(INDEX('Table S3 Literature Values'!$A$10:$AV$10000,MATCH($C47,'Table S3 Literature Values'!$A$10:$A$10000,0)+1,AG$1)=0,INDEX('Table S9 Model Derived Values'!$A$10:$AV$10000,MATCH($C47,'Table S9 Model Derived Values'!$A$10:$A$10000,0)+1,AG$1),INDEX('Table S3 Literature Values'!$A$10:$AV$10000,MATCH($C47,'Table S3 Literature Values'!$A$10:$A$10000,0)+1,AG$1))</f>
        <v>0.59546147392098581</v>
      </c>
      <c r="AH47" s="63">
        <f>INDEX('Table S3 Literature Values'!$A$10:$AV$10000,MATCH($C47,'Table S3 Literature Values'!$A$10:$A$10000,0)+2,AG$1)</f>
        <v>1</v>
      </c>
      <c r="AI47" s="501">
        <f>IF(VLOOKUP($C47,'Table S3 Literature Values'!$A$10:$AV$10000,AI$1,FALSE)=0,VLOOKUP($C47,'Table S9 Model Derived Values'!$A$10:$AV$10000,AI$1,FALSE),VLOOKUP($C47,'Table S3 Literature Values'!$A$10:$AV$10000,AI$1,FALSE))</f>
        <v>-3.2173176400000005</v>
      </c>
      <c r="AJ47" s="61">
        <f>IF(INDEX('Table S3 Literature Values'!$A$10:$AV$10000,MATCH($C47,'Table S3 Literature Values'!$A$10:$A$10000,0)+1,AJ$1)=0,INDEX('Table S9 Model Derived Values'!$A$10:$AV$10000,MATCH($C47,'Table S9 Model Derived Values'!$A$10:$A$10000,0)+1,AJ$1),INDEX('Table S3 Literature Values'!$A$10:$AV$10000,MATCH($C47,'Table S3 Literature Values'!$A$10:$A$10000,0)+1,AJ$1))</f>
        <v>0.31517487064968003</v>
      </c>
      <c r="AK47" s="63">
        <f>INDEX('Table S3 Literature Values'!$A$10:$AV$10000,MATCH($C47,'Table S3 Literature Values'!$A$10:$A$10000,0)+2,AJ$1)</f>
        <v>0</v>
      </c>
      <c r="AL47" s="501">
        <f>IF(VLOOKUP($C47,'Table S3 Literature Values'!$A$10:$AV$10000,AL$1,FALSE)=0,VLOOKUP($C47,'Table S9 Model Derived Values'!$A$10:$AV$10000,AL$1,FALSE),VLOOKUP($C47,'Table S3 Literature Values'!$A$10:$AV$10000,AL$1,FALSE))</f>
        <v>2.4542238999999997</v>
      </c>
      <c r="AM47" s="61">
        <f>IF(INDEX('Table S3 Literature Values'!$A$10:$AV$10000,MATCH($C47,'Table S3 Literature Values'!$A$10:$A$10000,0)+1,AM$1)=0,INDEX('Table S9 Model Derived Values'!$A$10:$AV$10000,MATCH($C47,'Table S9 Model Derived Values'!$A$10:$A$10000,0)+1,AM$1),INDEX('Table S3 Literature Values'!$A$10:$AV$10000,MATCH($C47,'Table S3 Literature Values'!$A$10:$A$10000,0)+1,AM$1))</f>
        <v>0.44355433967089997</v>
      </c>
      <c r="AN47" s="63">
        <f>INDEX('Table S3 Literature Values'!$A$10:$AV$10000,MATCH($C47,'Table S3 Literature Values'!$A$10:$A$10000,0)+2,AM$1)</f>
        <v>0</v>
      </c>
      <c r="AO47" s="501">
        <f>IF(VLOOKUP($C47,'Table S3 Literature Values'!$A$10:$AV$10000,AO$1,FALSE)=0,VLOOKUP($C47,'Table S9 Model Derived Values'!$A$10:$AV$10000,AO$1,FALSE),VLOOKUP($C47,'Table S3 Literature Values'!$A$10:$AV$10000,AO$1,FALSE))</f>
        <v>0</v>
      </c>
      <c r="AP47" s="61">
        <f>IF(INDEX('Table S3 Literature Values'!$A$10:$AV$10000,MATCH($C47,'Table S3 Literature Values'!$A$10:$A$10000,0)+1,AP$1)=0,INDEX('Table S9 Model Derived Values'!$A$10:$AV$10000,MATCH($C47,'Table S9 Model Derived Values'!$A$10:$A$10000,0)+1,AP$1),INDEX('Table S3 Literature Values'!$A$10:$AV$10000,MATCH($C47,'Table S3 Literature Values'!$A$10:$A$10000,0)+1,AP$1))</f>
        <v>0</v>
      </c>
      <c r="AQ47" s="63">
        <f>INDEX('Table S3 Literature Values'!$A$10:$AV$10000,MATCH($C47,'Table S3 Literature Values'!$A$10:$A$10000,0)+2,AP$1)</f>
        <v>0</v>
      </c>
      <c r="AR47" s="501">
        <f>IF(VLOOKUP($C47,'Table S3 Literature Values'!$A$10:$AV$10000,AR$1,FALSE)=0,VLOOKUP($C47,'Table S9 Model Derived Values'!$A$10:$AV$10000,AR$1,FALSE),VLOOKUP($C47,'Table S3 Literature Values'!$A$10:$AV$10000,AR$1,FALSE))</f>
        <v>0</v>
      </c>
      <c r="AS47" s="61">
        <f>IF(INDEX('Table S3 Literature Values'!$A$10:$AV$10000,MATCH($C47,'Table S3 Literature Values'!$A$10:$A$10000,0)+1,AS$1)=0,INDEX('Table S9 Model Derived Values'!$A$10:$AV$10000,MATCH($C47,'Table S9 Model Derived Values'!$A$10:$A$10000,0)+1,AS$1),INDEX('Table S3 Literature Values'!$A$10:$AV$10000,MATCH($C47,'Table S3 Literature Values'!$A$10:$A$10000,0)+1,AS$1))</f>
        <v>0</v>
      </c>
      <c r="AT47" s="63">
        <f>INDEX('Table S3 Literature Values'!$A$10:$AV$10000,MATCH($C47,'Table S3 Literature Values'!$A$10:$A$10000,0)+2,AS$1)</f>
        <v>0</v>
      </c>
    </row>
    <row r="48" spans="1:46">
      <c r="A48" t="str">
        <f>'Table S2 Compound Identifiers'!C53</f>
        <v>PBDE</v>
      </c>
      <c r="B48">
        <f>COUNTIF($C$3:C48,"&lt;&gt;"&amp;"")</f>
        <v>46</v>
      </c>
      <c r="C48" t="str">
        <f>IF('Table S2 Compound Identifiers'!B53="","",'Table S2 Compound Identifiers'!B53)</f>
        <v>BDE-100</v>
      </c>
      <c r="D48" t="str">
        <f>'Table S2 Compound Identifiers'!D53</f>
        <v>189084-64-8</v>
      </c>
      <c r="E48" s="501">
        <f>IF(VLOOKUP($C48,'Table S3 Literature Values'!$A$10:$AV$10000,E$1,FALSE)=0,VLOOKUP($C48,'Table S9 Model Derived Values'!$A$10:$AV$10000,E$1,FALSE),VLOOKUP($C48,'Table S3 Literature Values'!$A$10:$AV$10000,E$1,FALSE))</f>
        <v>113</v>
      </c>
      <c r="F48" s="61">
        <f>IF(INDEX('Table S3 Literature Values'!$A$10:$AV$10000,MATCH($C48,'Table S3 Literature Values'!$A$10:$A$10000,0)+1,F$1)=0,INDEX('Table S9 Model Derived Values'!$A$10:$AV$10000,MATCH($C48,'Table S9 Model Derived Values'!$A$10:$A$10000,0)+1,F$1),INDEX('Table S3 Literature Values'!$A$10:$AV$10000,MATCH($C48,'Table S3 Literature Values'!$A$10:$A$10000,0)+1,F$1))</f>
        <v>15.556349186104045</v>
      </c>
      <c r="G48" s="63">
        <f>INDEX('Table S3 Literature Values'!$A$10:$AV$10000,MATCH($C48,'Table S3 Literature Values'!$A$10:$A$10000,0)+2,F$1)</f>
        <v>2</v>
      </c>
      <c r="H48" s="501">
        <f>IF(VLOOKUP($C48,'Table S3 Literature Values'!$A$10:$AV$10000,H$1,FALSE)=0,VLOOKUP($C48,'Table S9 Model Derived Values'!$A$10:$AV$10000,H$1,FALSE),VLOOKUP($C48,'Table S3 Literature Values'!$A$10:$AV$10000,H$1,FALSE))</f>
        <v>15.645735560719942</v>
      </c>
      <c r="I48" s="61">
        <f>IF(INDEX('Table S3 Literature Values'!$A$10:$AV$10000,MATCH($C48,'Table S3 Literature Values'!$A$10:$A$10000,0)+1,I$1)=0,INDEX('Table S9 Model Derived Values'!$A$10:$AV$10000,MATCH($C48,'Table S9 Model Derived Values'!$A$10:$A$10000,0)+1,I$1),INDEX('Table S3 Literature Values'!$A$10:$AV$10000,MATCH($C48,'Table S3 Literature Values'!$A$10:$A$10000,0)+1,I$1))</f>
        <v>21.94752492986672</v>
      </c>
      <c r="J48" s="63">
        <f>INDEX('Table S3 Literature Values'!$A$10:$AV$10000,MATCH($C48,'Table S3 Literature Values'!$A$10:$A$10000,0)+2,I$1)</f>
        <v>0</v>
      </c>
      <c r="K48" s="501">
        <f>IF(VLOOKUP($C48,'Table S3 Literature Values'!$A$10:$AV$10000,K$1,FALSE)=0,VLOOKUP($C48,'Table S9 Model Derived Values'!$A$10:$AV$10000,K$1,FALSE),VLOOKUP($C48,'Table S3 Literature Values'!$A$10:$AV$10000,K$1,FALSE))</f>
        <v>0</v>
      </c>
      <c r="L48" s="61">
        <f>IF(INDEX('Table S3 Literature Values'!$A$10:$AV$10000,MATCH($C48,'Table S3 Literature Values'!$A$10:$A$10000,0)+1,L$1)=0,INDEX('Table S9 Model Derived Values'!$A$10:$AV$10000,MATCH($C48,'Table S9 Model Derived Values'!$A$10:$A$10000,0)+1,L$1),INDEX('Table S3 Literature Values'!$A$10:$AV$10000,MATCH($C48,'Table S3 Literature Values'!$A$10:$A$10000,0)+1,L$1))</f>
        <v>0</v>
      </c>
      <c r="M48" s="63">
        <f>INDEX('Table S3 Literature Values'!$A$10:$AV$10000,MATCH($C48,'Table S3 Literature Values'!$A$10:$A$10000,0)+2,L$1)</f>
        <v>0</v>
      </c>
      <c r="N48" s="501">
        <f>IF(VLOOKUP($C48,'Table S3 Literature Values'!$A$10:$AV$10000,N$1,FALSE)=0,VLOOKUP($C48,'Table S9 Model Derived Values'!$A$10:$AV$10000,N$1,FALSE),VLOOKUP($C48,'Table S3 Literature Values'!$A$10:$AV$10000,N$1,FALSE))</f>
        <v>122</v>
      </c>
      <c r="O48" s="61">
        <f>IF(INDEX('Table S3 Literature Values'!$A$10:$AV$10000,MATCH($C48,'Table S3 Literature Values'!$A$10:$A$10000,0)+1,O$1)=0,INDEX('Table S9 Model Derived Values'!$A$10:$AV$10000,MATCH($C48,'Table S9 Model Derived Values'!$A$10:$A$10000,0)+1,O$1),INDEX('Table S3 Literature Values'!$A$10:$AV$10000,MATCH($C48,'Table S3 Literature Values'!$A$10:$A$10000,0)+1,O$1))</f>
        <v>7.7296862211941928</v>
      </c>
      <c r="P48" s="63">
        <f>INDEX('Table S3 Literature Values'!$A$10:$AV$10000,MATCH($C48,'Table S3 Literature Values'!$A$10:$A$10000,0)+2,O$1)</f>
        <v>1</v>
      </c>
      <c r="Q48" s="501">
        <f>IF(VLOOKUP($C48,'Table S3 Literature Values'!$A$10:$AV$10000,Q$1,FALSE)=0,VLOOKUP($C48,'Table S9 Model Derived Values'!$A$10:$AV$10000,Q$1,FALSE),VLOOKUP($C48,'Table S3 Literature Values'!$A$10:$AV$10000,Q$1,FALSE))</f>
        <v>54.209000000000003</v>
      </c>
      <c r="R48" s="61">
        <f>IF(INDEX('Table S3 Literature Values'!$A$10:$AV$10000,MATCH($C48,'Table S3 Literature Values'!$A$10:$A$10000,0)+1,R$1)=0,INDEX('Table S9 Model Derived Values'!$A$10:$AV$10000,MATCH($C48,'Table S9 Model Derived Values'!$A$10:$A$10000,0)+1,R$1),INDEX('Table S3 Literature Values'!$A$10:$AV$10000,MATCH($C48,'Table S3 Literature Values'!$A$10:$A$10000,0)+1,R$1))</f>
        <v>16.262699999999999</v>
      </c>
      <c r="S48" s="63">
        <f>INDEX('Table S3 Literature Values'!$A$10:$AV$10000,MATCH($C48,'Table S3 Literature Values'!$A$10:$A$10000,0)+2,R$1)</f>
        <v>1</v>
      </c>
      <c r="T48" s="501">
        <f>IF(VLOOKUP($C48,'Table S3 Literature Values'!$A$10:$AV$10000,T$1,FALSE)=0,VLOOKUP($C48,'Table S9 Model Derived Values'!$A$10:$AV$10000,T$1,FALSE),VLOOKUP($C48,'Table S3 Literature Values'!$A$10:$AV$10000,T$1,FALSE))</f>
        <v>-28.546148000000013</v>
      </c>
      <c r="U48" s="61">
        <f>IF(INDEX('Table S3 Literature Values'!$A$10:$AV$10000,MATCH($C48,'Table S3 Literature Values'!$A$10:$A$10000,0)+1,U$1)=0,INDEX('Table S9 Model Derived Values'!$A$10:$AV$10000,MATCH($C48,'Table S9 Model Derived Values'!$A$10:$A$10000,0)+1,U$1),INDEX('Table S3 Literature Values'!$A$10:$AV$10000,MATCH($C48,'Table S3 Literature Values'!$A$10:$A$10000,0)+1,U$1))</f>
        <v>11.71000522746758</v>
      </c>
      <c r="V48" s="63">
        <f>INDEX('Table S3 Literature Values'!$A$10:$AV$10000,MATCH($C48,'Table S3 Literature Values'!$A$10:$A$10000,0)+2,U$1)</f>
        <v>0</v>
      </c>
      <c r="W48" s="501">
        <f>IF(VLOOKUP($C48,'Table S3 Literature Values'!$A$10:$AV$10000,W$1,FALSE)=0,VLOOKUP($C48,'Table S9 Model Derived Values'!$A$10:$AV$10000,W$1,FALSE),VLOOKUP($C48,'Table S3 Literature Values'!$A$10:$AV$10000,W$1,FALSE))</f>
        <v>11.375613387532628</v>
      </c>
      <c r="X48" s="61">
        <f>IF(INDEX('Table S3 Literature Values'!$A$10:$AV$10000,MATCH($C48,'Table S3 Literature Values'!$A$10:$A$10000,0)+1,X$1)=0,INDEX('Table S9 Model Derived Values'!$A$10:$AV$10000,MATCH($C48,'Table S9 Model Derived Values'!$A$10:$A$10000,0)+1,X$1),INDEX('Table S3 Literature Values'!$A$10:$AV$10000,MATCH($C48,'Table S3 Literature Values'!$A$10:$A$10000,0)+1,X$1))</f>
        <v>0.34734978374903991</v>
      </c>
      <c r="Y48" s="63">
        <f>INDEX('Table S3 Literature Values'!$A$10:$AV$10000,MATCH($C48,'Table S3 Literature Values'!$A$10:$A$10000,0)+2,X$1)</f>
        <v>2</v>
      </c>
      <c r="Z48" s="501">
        <f>IF(VLOOKUP($C48,'Table S3 Literature Values'!$A$10:$AV$10000,Z$1,FALSE)=0,VLOOKUP($C48,'Table S9 Model Derived Values'!$A$10:$AV$10000,Z$1,FALSE),VLOOKUP($C48,'Table S3 Literature Values'!$A$10:$AV$10000,Z$1,FALSE))</f>
        <v>6.98</v>
      </c>
      <c r="AA48" s="61">
        <f>IF(INDEX('Table S3 Literature Values'!$A$10:$AV$10000,MATCH($C48,'Table S3 Literature Values'!$A$10:$A$10000,0)+1,AA$1)=0,INDEX('Table S9 Model Derived Values'!$A$10:$AV$10000,MATCH($C48,'Table S9 Model Derived Values'!$A$10:$A$10000,0)+1,AA$1),INDEX('Table S3 Literature Values'!$A$10:$AV$10000,MATCH($C48,'Table S3 Literature Values'!$A$10:$A$10000,0)+1,AA$1))</f>
        <v>0.36769552621700502</v>
      </c>
      <c r="AB48" s="63">
        <f>INDEX('Table S3 Literature Values'!$A$10:$AV$10000,MATCH($C48,'Table S3 Literature Values'!$A$10:$A$10000,0)+2,AA$1)</f>
        <v>2</v>
      </c>
      <c r="AC48" s="501">
        <f>IF(VLOOKUP($C48,'Table S3 Literature Values'!$A$10:$AV$10000,AC$1,FALSE)=0,VLOOKUP($C48,'Table S9 Model Derived Values'!$A$10:$AV$10000,AC$1,FALSE),VLOOKUP($C48,'Table S3 Literature Values'!$A$10:$AV$10000,AC$1,FALSE))</f>
        <v>-3.7507921573657663</v>
      </c>
      <c r="AD48" s="61">
        <f>IF(INDEX('Table S3 Literature Values'!$A$10:$AV$10000,MATCH($C48,'Table S3 Literature Values'!$A$10:$A$10000,0)+1,AD$1)=0,INDEX('Table S9 Model Derived Values'!$A$10:$AV$10000,MATCH($C48,'Table S9 Model Derived Values'!$A$10:$A$10000,0)+1,AD$1),INDEX('Table S3 Literature Values'!$A$10:$AV$10000,MATCH($C48,'Table S3 Literature Values'!$A$10:$A$10000,0)+1,AD$1))</f>
        <v>0.43421045409744796</v>
      </c>
      <c r="AE48" s="63">
        <f>INDEX('Table S3 Literature Values'!$A$10:$AV$10000,MATCH($C48,'Table S3 Literature Values'!$A$10:$A$10000,0)+2,AD$1)</f>
        <v>0</v>
      </c>
      <c r="AF48" s="501">
        <f>IF(VLOOKUP($C48,'Table S3 Literature Values'!$A$10:$AV$10000,AF$1,FALSE)=0,VLOOKUP($C48,'Table S9 Model Derived Values'!$A$10:$AV$10000,AF$1,FALSE),VLOOKUP($C48,'Table S3 Literature Values'!$A$10:$AV$10000,AF$1,FALSE))</f>
        <v>-4.4248091794189603</v>
      </c>
      <c r="AG48" s="61">
        <f>IF(INDEX('Table S3 Literature Values'!$A$10:$AV$10000,MATCH($C48,'Table S3 Literature Values'!$A$10:$A$10000,0)+1,AG$1)=0,INDEX('Table S9 Model Derived Values'!$A$10:$AV$10000,MATCH($C48,'Table S9 Model Derived Values'!$A$10:$A$10000,0)+1,AG$1),INDEX('Table S3 Literature Values'!$A$10:$AV$10000,MATCH($C48,'Table S3 Literature Values'!$A$10:$A$10000,0)+1,AG$1))</f>
        <v>0.1257038377706223</v>
      </c>
      <c r="AH48" s="63">
        <f>INDEX('Table S3 Literature Values'!$A$10:$AV$10000,MATCH($C48,'Table S3 Literature Values'!$A$10:$A$10000,0)+2,AG$1)</f>
        <v>3</v>
      </c>
      <c r="AI48" s="501">
        <f>IF(VLOOKUP($C48,'Table S3 Literature Values'!$A$10:$AV$10000,AI$1,FALSE)=0,VLOOKUP($C48,'Table S9 Model Derived Values'!$A$10:$AV$10000,AI$1,FALSE),VLOOKUP($C48,'Table S3 Literature Values'!$A$10:$AV$10000,AI$1,FALSE))</f>
        <v>-3.9164203700479505</v>
      </c>
      <c r="AJ48" s="61">
        <f>IF(INDEX('Table S3 Literature Values'!$A$10:$AV$10000,MATCH($C48,'Table S3 Literature Values'!$A$10:$A$10000,0)+1,AJ$1)=0,INDEX('Table S9 Model Derived Values'!$A$10:$AV$10000,MATCH($C48,'Table S9 Model Derived Values'!$A$10:$A$10000,0)+1,AJ$1),INDEX('Table S3 Literature Values'!$A$10:$AV$10000,MATCH($C48,'Table S3 Literature Values'!$A$10:$A$10000,0)+1,AJ$1))</f>
        <v>0.21552936573178999</v>
      </c>
      <c r="AK48" s="63">
        <f>INDEX('Table S3 Literature Values'!$A$10:$AV$10000,MATCH($C48,'Table S3 Literature Values'!$A$10:$A$10000,0)+2,AJ$1)</f>
        <v>2</v>
      </c>
      <c r="AL48" s="501">
        <f>IF(VLOOKUP($C48,'Table S3 Literature Values'!$A$10:$AV$10000,AL$1,FALSE)=0,VLOOKUP($C48,'Table S9 Model Derived Values'!$A$10:$AV$10000,AL$1,FALSE),VLOOKUP($C48,'Table S3 Literature Values'!$A$10:$AV$10000,AL$1,FALSE))</f>
        <v>2.6197388999999971</v>
      </c>
      <c r="AM48" s="61">
        <f>IF(INDEX('Table S3 Literature Values'!$A$10:$AV$10000,MATCH($C48,'Table S3 Literature Values'!$A$10:$A$10000,0)+1,AM$1)=0,INDEX('Table S9 Model Derived Values'!$A$10:$AV$10000,MATCH($C48,'Table S9 Model Derived Values'!$A$10:$A$10000,0)+1,AM$1),INDEX('Table S3 Literature Values'!$A$10:$AV$10000,MATCH($C48,'Table S3 Literature Values'!$A$10:$A$10000,0)+1,AM$1))</f>
        <v>0.47346803113589947</v>
      </c>
      <c r="AN48" s="63">
        <f>INDEX('Table S3 Literature Values'!$A$10:$AV$10000,MATCH($C48,'Table S3 Literature Values'!$A$10:$A$10000,0)+2,AM$1)</f>
        <v>0</v>
      </c>
      <c r="AO48" s="501">
        <f>IF(VLOOKUP($C48,'Table S3 Literature Values'!$A$10:$AV$10000,AO$1,FALSE)=0,VLOOKUP($C48,'Table S9 Model Derived Values'!$A$10:$AV$10000,AO$1,FALSE),VLOOKUP($C48,'Table S3 Literature Values'!$A$10:$AV$10000,AO$1,FALSE))</f>
        <v>0</v>
      </c>
      <c r="AP48" s="61">
        <f>IF(INDEX('Table S3 Literature Values'!$A$10:$AV$10000,MATCH($C48,'Table S3 Literature Values'!$A$10:$A$10000,0)+1,AP$1)=0,INDEX('Table S9 Model Derived Values'!$A$10:$AV$10000,MATCH($C48,'Table S9 Model Derived Values'!$A$10:$A$10000,0)+1,AP$1),INDEX('Table S3 Literature Values'!$A$10:$AV$10000,MATCH($C48,'Table S3 Literature Values'!$A$10:$A$10000,0)+1,AP$1))</f>
        <v>0</v>
      </c>
      <c r="AQ48" s="63">
        <f>INDEX('Table S3 Literature Values'!$A$10:$AV$10000,MATCH($C48,'Table S3 Literature Values'!$A$10:$A$10000,0)+2,AP$1)</f>
        <v>0</v>
      </c>
      <c r="AR48" s="501">
        <f>IF(VLOOKUP($C48,'Table S3 Literature Values'!$A$10:$AV$10000,AR$1,FALSE)=0,VLOOKUP($C48,'Table S9 Model Derived Values'!$A$10:$AV$10000,AR$1,FALSE),VLOOKUP($C48,'Table S3 Literature Values'!$A$10:$AV$10000,AR$1,FALSE))</f>
        <v>99</v>
      </c>
      <c r="AS48" s="61">
        <f>IF(INDEX('Table S3 Literature Values'!$A$10:$AV$10000,MATCH($C48,'Table S3 Literature Values'!$A$10:$A$10000,0)+1,AS$1)=0,INDEX('Table S9 Model Derived Values'!$A$10:$AV$10000,MATCH($C48,'Table S9 Model Derived Values'!$A$10:$A$10000,0)+1,AS$1),INDEX('Table S3 Literature Values'!$A$10:$AV$10000,MATCH($C48,'Table S3 Literature Values'!$A$10:$A$10000,0)+1,AS$1))</f>
        <v>2.1213203435596424</v>
      </c>
      <c r="AT48" s="63">
        <f>INDEX('Table S3 Literature Values'!$A$10:$AV$10000,MATCH($C48,'Table S3 Literature Values'!$A$10:$A$10000,0)+2,AS$1)</f>
        <v>2</v>
      </c>
    </row>
    <row r="49" spans="1:46">
      <c r="A49" t="str">
        <f>'Table S2 Compound Identifiers'!C54</f>
        <v>PBDE</v>
      </c>
      <c r="B49">
        <f>COUNTIF($C$3:C49,"&lt;&gt;"&amp;"")</f>
        <v>47</v>
      </c>
      <c r="C49" t="str">
        <f>IF('Table S2 Compound Identifiers'!B54="","",'Table S2 Compound Identifiers'!B54)</f>
        <v>BDE-99</v>
      </c>
      <c r="D49" t="str">
        <f>'Table S2 Compound Identifiers'!D54</f>
        <v>60348-60-9</v>
      </c>
      <c r="E49" s="501">
        <f>IF(VLOOKUP($C49,'Table S3 Literature Values'!$A$10:$AV$10000,E$1,FALSE)=0,VLOOKUP($C49,'Table S9 Model Derived Values'!$A$10:$AV$10000,E$1,FALSE),VLOOKUP($C49,'Table S3 Literature Values'!$A$10:$AV$10000,E$1,FALSE))</f>
        <v>100.15</v>
      </c>
      <c r="F49" s="61">
        <f>IF(INDEX('Table S3 Literature Values'!$A$10:$AV$10000,MATCH($C49,'Table S3 Literature Values'!$A$10:$A$10000,0)+1,F$1)=0,INDEX('Table S9 Model Derived Values'!$A$10:$AV$10000,MATCH($C49,'Table S9 Model Derived Values'!$A$10:$A$10000,0)+1,F$1),INDEX('Table S3 Literature Values'!$A$10:$AV$10000,MATCH($C49,'Table S3 Literature Values'!$A$10:$A$10000,0)+1,F$1))</f>
        <v>9.0053687690547495</v>
      </c>
      <c r="G49" s="63">
        <f>INDEX('Table S3 Literature Values'!$A$10:$AV$10000,MATCH($C49,'Table S3 Literature Values'!$A$10:$A$10000,0)+2,F$1)</f>
        <v>4</v>
      </c>
      <c r="H49" s="501">
        <f>IF(VLOOKUP($C49,'Table S3 Literature Values'!$A$10:$AV$10000,H$1,FALSE)=0,VLOOKUP($C49,'Table S9 Model Derived Values'!$A$10:$AV$10000,H$1,FALSE),VLOOKUP($C49,'Table S3 Literature Values'!$A$10:$AV$10000,H$1,FALSE))</f>
        <v>3.1000000000000014</v>
      </c>
      <c r="I49" s="61">
        <f>IF(INDEX('Table S3 Literature Values'!$A$10:$AV$10000,MATCH($C49,'Table S3 Literature Values'!$A$10:$A$10000,0)+1,I$1)=0,INDEX('Table S9 Model Derived Values'!$A$10:$AV$10000,MATCH($C49,'Table S9 Model Derived Values'!$A$10:$A$10000,0)+1,I$1),INDEX('Table S3 Literature Values'!$A$10:$AV$10000,MATCH($C49,'Table S3 Literature Values'!$A$10:$A$10000,0)+1,I$1))</f>
        <v>0.62000000000000033</v>
      </c>
      <c r="J49" s="63">
        <f>INDEX('Table S3 Literature Values'!$A$10:$AV$10000,MATCH($C49,'Table S3 Literature Values'!$A$10:$A$10000,0)+2,I$1)</f>
        <v>1</v>
      </c>
      <c r="K49" s="501">
        <f>IF(VLOOKUP($C49,'Table S3 Literature Values'!$A$10:$AV$10000,K$1,FALSE)=0,VLOOKUP($C49,'Table S9 Model Derived Values'!$A$10:$AV$10000,K$1,FALSE),VLOOKUP($C49,'Table S3 Literature Values'!$A$10:$AV$10000,K$1,FALSE))</f>
        <v>0</v>
      </c>
      <c r="L49" s="61">
        <f>IF(INDEX('Table S3 Literature Values'!$A$10:$AV$10000,MATCH($C49,'Table S3 Literature Values'!$A$10:$A$10000,0)+1,L$1)=0,INDEX('Table S9 Model Derived Values'!$A$10:$AV$10000,MATCH($C49,'Table S9 Model Derived Values'!$A$10:$A$10000,0)+1,L$1),INDEX('Table S3 Literature Values'!$A$10:$AV$10000,MATCH($C49,'Table S3 Literature Values'!$A$10:$A$10000,0)+1,L$1))</f>
        <v>0</v>
      </c>
      <c r="M49" s="63">
        <f>INDEX('Table S3 Literature Values'!$A$10:$AV$10000,MATCH($C49,'Table S3 Literature Values'!$A$10:$A$10000,0)+2,L$1)</f>
        <v>0</v>
      </c>
      <c r="N49" s="501">
        <f>IF(VLOOKUP($C49,'Table S3 Literature Values'!$A$10:$AV$10000,N$1,FALSE)=0,VLOOKUP($C49,'Table S9 Model Derived Values'!$A$10:$AV$10000,N$1,FALSE),VLOOKUP($C49,'Table S3 Literature Values'!$A$10:$AV$10000,N$1,FALSE))</f>
        <v>91.1</v>
      </c>
      <c r="O49" s="61">
        <f>IF(INDEX('Table S3 Literature Values'!$A$10:$AV$10000,MATCH($C49,'Table S3 Literature Values'!$A$10:$A$10000,0)+1,O$1)=0,INDEX('Table S9 Model Derived Values'!$A$10:$AV$10000,MATCH($C49,'Table S9 Model Derived Values'!$A$10:$A$10000,0)+1,O$1),INDEX('Table S3 Literature Values'!$A$10:$AV$10000,MATCH($C49,'Table S3 Literature Values'!$A$10:$A$10000,0)+1,O$1))</f>
        <v>27.33</v>
      </c>
      <c r="P49" s="63">
        <f>INDEX('Table S3 Literature Values'!$A$10:$AV$10000,MATCH($C49,'Table S3 Literature Values'!$A$10:$A$10000,0)+2,O$1)</f>
        <v>1</v>
      </c>
      <c r="Q49" s="501">
        <f>IF(VLOOKUP($C49,'Table S3 Literature Values'!$A$10:$AV$10000,Q$1,FALSE)=0,VLOOKUP($C49,'Table S9 Model Derived Values'!$A$10:$AV$10000,Q$1,FALSE),VLOOKUP($C49,'Table S3 Literature Values'!$A$10:$AV$10000,Q$1,FALSE))</f>
        <v>70.908999999999992</v>
      </c>
      <c r="R49" s="61">
        <f>IF(INDEX('Table S3 Literature Values'!$A$10:$AV$10000,MATCH($C49,'Table S3 Literature Values'!$A$10:$A$10000,0)+1,R$1)=0,INDEX('Table S9 Model Derived Values'!$A$10:$AV$10000,MATCH($C49,'Table S9 Model Derived Values'!$A$10:$A$10000,0)+1,R$1),INDEX('Table S3 Literature Values'!$A$10:$AV$10000,MATCH($C49,'Table S3 Literature Values'!$A$10:$A$10000,0)+1,R$1))</f>
        <v>21.272699999999997</v>
      </c>
      <c r="S49" s="63">
        <f>INDEX('Table S3 Literature Values'!$A$10:$AV$10000,MATCH($C49,'Table S3 Literature Values'!$A$10:$A$10000,0)+2,R$1)</f>
        <v>1</v>
      </c>
      <c r="T49" s="501">
        <f>IF(VLOOKUP($C49,'Table S3 Literature Values'!$A$10:$AV$10000,T$1,FALSE)=0,VLOOKUP($C49,'Table S9 Model Derived Values'!$A$10:$AV$10000,T$1,FALSE),VLOOKUP($C49,'Table S3 Literature Values'!$A$10:$AV$10000,T$1,FALSE))</f>
        <v>-29.258548000000015</v>
      </c>
      <c r="U49" s="61">
        <f>IF(INDEX('Table S3 Literature Values'!$A$10:$AV$10000,MATCH($C49,'Table S3 Literature Values'!$A$10:$A$10000,0)+1,U$1)=0,INDEX('Table S9 Model Derived Values'!$A$10:$AV$10000,MATCH($C49,'Table S9 Model Derived Values'!$A$10:$A$10000,0)+1,U$1),INDEX('Table S3 Literature Values'!$A$10:$AV$10000,MATCH($C49,'Table S3 Literature Values'!$A$10:$A$10000,0)+1,U$1))</f>
        <v>12.002241073930925</v>
      </c>
      <c r="V49" s="63">
        <f>INDEX('Table S3 Literature Values'!$A$10:$AV$10000,MATCH($C49,'Table S3 Literature Values'!$A$10:$A$10000,0)+2,U$1)</f>
        <v>0</v>
      </c>
      <c r="W49" s="501">
        <f>IF(VLOOKUP($C49,'Table S3 Literature Values'!$A$10:$AV$10000,W$1,FALSE)=0,VLOOKUP($C49,'Table S9 Model Derived Values'!$A$10:$AV$10000,W$1,FALSE),VLOOKUP($C49,'Table S3 Literature Values'!$A$10:$AV$10000,W$1,FALSE))</f>
        <v>11.200000000000001</v>
      </c>
      <c r="X49" s="61">
        <f>IF(INDEX('Table S3 Literature Values'!$A$10:$AV$10000,MATCH($C49,'Table S3 Literature Values'!$A$10:$A$10000,0)+1,X$1)=0,INDEX('Table S9 Model Derived Values'!$A$10:$AV$10000,MATCH($C49,'Table S9 Model Derived Values'!$A$10:$A$10000,0)+1,X$1),INDEX('Table S3 Literature Values'!$A$10:$AV$10000,MATCH($C49,'Table S3 Literature Values'!$A$10:$A$10000,0)+1,X$1))</f>
        <v>0.1652271164185832</v>
      </c>
      <c r="Y49" s="63">
        <f>INDEX('Table S3 Literature Values'!$A$10:$AV$10000,MATCH($C49,'Table S3 Literature Values'!$A$10:$A$10000,0)+2,X$1)</f>
        <v>3</v>
      </c>
      <c r="Z49" s="501">
        <f>IF(VLOOKUP($C49,'Table S3 Literature Values'!$A$10:$AV$10000,Z$1,FALSE)=0,VLOOKUP($C49,'Table S9 Model Derived Values'!$A$10:$AV$10000,Z$1,FALSE),VLOOKUP($C49,'Table S3 Literature Values'!$A$10:$AV$10000,Z$1,FALSE))</f>
        <v>7.1433333333333335</v>
      </c>
      <c r="AA49" s="61">
        <f>IF(INDEX('Table S3 Literature Values'!$A$10:$AV$10000,MATCH($C49,'Table S3 Literature Values'!$A$10:$A$10000,0)+1,AA$1)=0,INDEX('Table S9 Model Derived Values'!$A$10:$AV$10000,MATCH($C49,'Table S9 Model Derived Values'!$A$10:$A$10000,0)+1,AA$1),INDEX('Table S3 Literature Values'!$A$10:$AV$10000,MATCH($C49,'Table S3 Literature Values'!$A$10:$A$10000,0)+1,AA$1))</f>
        <v>0.36828431046317112</v>
      </c>
      <c r="AB49" s="63">
        <f>INDEX('Table S3 Literature Values'!$A$10:$AV$10000,MATCH($C49,'Table S3 Literature Values'!$A$10:$A$10000,0)+2,AA$1)</f>
        <v>3</v>
      </c>
      <c r="AC49" s="501">
        <f>IF(VLOOKUP($C49,'Table S3 Literature Values'!$A$10:$AV$10000,AC$1,FALSE)=0,VLOOKUP($C49,'Table S9 Model Derived Values'!$A$10:$AV$10000,AC$1,FALSE),VLOOKUP($C49,'Table S3 Literature Values'!$A$10:$AV$10000,AC$1,FALSE))</f>
        <v>-3.8501767895016785</v>
      </c>
      <c r="AD49" s="61">
        <f>IF(INDEX('Table S3 Literature Values'!$A$10:$AV$10000,MATCH($C49,'Table S3 Literature Values'!$A$10:$A$10000,0)+1,AD$1)=0,INDEX('Table S9 Model Derived Values'!$A$10:$AV$10000,MATCH($C49,'Table S9 Model Derived Values'!$A$10:$A$10000,0)+1,AD$1),INDEX('Table S3 Literature Values'!$A$10:$AV$10000,MATCH($C49,'Table S3 Literature Values'!$A$10:$A$10000,0)+1,AD$1))</f>
        <v>0.44571571603666182</v>
      </c>
      <c r="AE49" s="63">
        <f>INDEX('Table S3 Literature Values'!$A$10:$AV$10000,MATCH($C49,'Table S3 Literature Values'!$A$10:$A$10000,0)+2,AD$1)</f>
        <v>0</v>
      </c>
      <c r="AF49" s="501">
        <f>IF(VLOOKUP($C49,'Table S3 Literature Values'!$A$10:$AV$10000,AF$1,FALSE)=0,VLOOKUP($C49,'Table S9 Model Derived Values'!$A$10:$AV$10000,AF$1,FALSE),VLOOKUP($C49,'Table S3 Literature Values'!$A$10:$AV$10000,AF$1,FALSE))</f>
        <v>-4.4678337478400705</v>
      </c>
      <c r="AG49" s="61">
        <f>IF(INDEX('Table S3 Literature Values'!$A$10:$AV$10000,MATCH($C49,'Table S3 Literature Values'!$A$10:$A$10000,0)+1,AG$1)=0,INDEX('Table S9 Model Derived Values'!$A$10:$AV$10000,MATCH($C49,'Table S9 Model Derived Values'!$A$10:$A$10000,0)+1,AG$1),INDEX('Table S3 Literature Values'!$A$10:$AV$10000,MATCH($C49,'Table S3 Literature Values'!$A$10:$A$10000,0)+1,AG$1))</f>
        <v>0.28281797910706313</v>
      </c>
      <c r="AH49" s="63">
        <f>INDEX('Table S3 Literature Values'!$A$10:$AV$10000,MATCH($C49,'Table S3 Literature Values'!$A$10:$A$10000,0)+2,AG$1)</f>
        <v>4</v>
      </c>
      <c r="AI49" s="501">
        <f>IF(VLOOKUP($C49,'Table S3 Literature Values'!$A$10:$AV$10000,AI$1,FALSE)=0,VLOOKUP($C49,'Table S9 Model Derived Values'!$A$10:$AV$10000,AI$1,FALSE),VLOOKUP($C49,'Table S3 Literature Values'!$A$10:$AV$10000,AI$1,FALSE))</f>
        <v>-4.2943158888599235</v>
      </c>
      <c r="AJ49" s="61">
        <f>IF(INDEX('Table S3 Literature Values'!$A$10:$AV$10000,MATCH($C49,'Table S3 Literature Values'!$A$10:$A$10000,0)+1,AJ$1)=0,INDEX('Table S9 Model Derived Values'!$A$10:$AV$10000,MATCH($C49,'Table S9 Model Derived Values'!$A$10:$A$10000,0)+1,AJ$1),INDEX('Table S3 Literature Values'!$A$10:$AV$10000,MATCH($C49,'Table S3 Literature Values'!$A$10:$A$10000,0)+1,AJ$1))</f>
        <v>0.29719362983561609</v>
      </c>
      <c r="AK49" s="63">
        <f>INDEX('Table S3 Literature Values'!$A$10:$AV$10000,MATCH($C49,'Table S3 Literature Values'!$A$10:$A$10000,0)+2,AJ$1)</f>
        <v>3</v>
      </c>
      <c r="AL49" s="501">
        <f>IF(VLOOKUP($C49,'Table S3 Literature Values'!$A$10:$AV$10000,AL$1,FALSE)=0,VLOOKUP($C49,'Table S9 Model Derived Values'!$A$10:$AV$10000,AL$1,FALSE),VLOOKUP($C49,'Table S3 Literature Values'!$A$10:$AV$10000,AL$1,FALSE))</f>
        <v>2.5778088999999973</v>
      </c>
      <c r="AM49" s="61">
        <f>IF(INDEX('Table S3 Literature Values'!$A$10:$AV$10000,MATCH($C49,'Table S3 Literature Values'!$A$10:$A$10000,0)+1,AM$1)=0,INDEX('Table S9 Model Derived Values'!$A$10:$AV$10000,MATCH($C49,'Table S9 Model Derived Values'!$A$10:$A$10000,0)+1,AM$1),INDEX('Table S3 Literature Values'!$A$10:$AV$10000,MATCH($C49,'Table S3 Literature Values'!$A$10:$A$10000,0)+1,AM$1))</f>
        <v>0.46588998030589951</v>
      </c>
      <c r="AN49" s="63">
        <f>INDEX('Table S3 Literature Values'!$A$10:$AV$10000,MATCH($C49,'Table S3 Literature Values'!$A$10:$A$10000,0)+2,AM$1)</f>
        <v>0</v>
      </c>
      <c r="AO49" s="501">
        <f>IF(VLOOKUP($C49,'Table S3 Literature Values'!$A$10:$AV$10000,AO$1,FALSE)=0,VLOOKUP($C49,'Table S9 Model Derived Values'!$A$10:$AV$10000,AO$1,FALSE),VLOOKUP($C49,'Table S3 Literature Values'!$A$10:$AV$10000,AO$1,FALSE))</f>
        <v>77.464788732394354</v>
      </c>
      <c r="AP49" s="61">
        <f>IF(INDEX('Table S3 Literature Values'!$A$10:$AV$10000,MATCH($C49,'Table S3 Literature Values'!$A$10:$A$10000,0)+1,AP$1)=0,INDEX('Table S9 Model Derived Values'!$A$10:$AV$10000,MATCH($C49,'Table S9 Model Derived Values'!$A$10:$A$10000,0)+1,AP$1),INDEX('Table S3 Literature Values'!$A$10:$AV$10000,MATCH($C49,'Table S3 Literature Values'!$A$10:$A$10000,0)+1,AP$1))</f>
        <v>6.1057456773350891</v>
      </c>
      <c r="AQ49" s="63">
        <f>INDEX('Table S3 Literature Values'!$A$10:$AV$10000,MATCH($C49,'Table S3 Literature Values'!$A$10:$A$10000,0)+2,AP$1)</f>
        <v>1</v>
      </c>
      <c r="AR49" s="501">
        <f>IF(VLOOKUP($C49,'Table S3 Literature Values'!$A$10:$AV$10000,AR$1,FALSE)=0,VLOOKUP($C49,'Table S9 Model Derived Values'!$A$10:$AV$10000,AR$1,FALSE),VLOOKUP($C49,'Table S3 Literature Values'!$A$10:$AV$10000,AR$1,FALSE))</f>
        <v>86.283333333333346</v>
      </c>
      <c r="AS49" s="61">
        <f>IF(INDEX('Table S3 Literature Values'!$A$10:$AV$10000,MATCH($C49,'Table S3 Literature Values'!$A$10:$A$10000,0)+1,AS$1)=0,INDEX('Table S9 Model Derived Values'!$A$10:$AV$10000,MATCH($C49,'Table S9 Model Derived Values'!$A$10:$A$10000,0)+1,AS$1),INDEX('Table S3 Literature Values'!$A$10:$AV$10000,MATCH($C49,'Table S3 Literature Values'!$A$10:$A$10000,0)+1,AS$1))</f>
        <v>7.5306872196367154</v>
      </c>
      <c r="AT49" s="63">
        <f>INDEX('Table S3 Literature Values'!$A$10:$AV$10000,MATCH($C49,'Table S3 Literature Values'!$A$10:$A$10000,0)+2,AS$1)</f>
        <v>3</v>
      </c>
    </row>
    <row r="50" spans="1:46">
      <c r="A50" t="str">
        <f>'Table S2 Compound Identifiers'!C55</f>
        <v>PCB</v>
      </c>
      <c r="B50">
        <f>COUNTIF($C$3:C50,"&lt;&gt;"&amp;"")</f>
        <v>48</v>
      </c>
      <c r="C50" t="str">
        <f>IF('Table S2 Compound Identifiers'!B55="","",'Table S2 Compound Identifiers'!B55)</f>
        <v>PCB-19</v>
      </c>
      <c r="D50" t="str">
        <f>'Table S2 Compound Identifiers'!D55</f>
        <v>38444-73-4</v>
      </c>
      <c r="E50" s="501">
        <f>IF(VLOOKUP($C50,'Table S3 Literature Values'!$A$10:$AV$10000,E$1,FALSE)=0,VLOOKUP($C50,'Table S9 Model Derived Values'!$A$10:$AV$10000,E$1,FALSE),VLOOKUP($C50,'Table S3 Literature Values'!$A$10:$AV$10000,E$1,FALSE))</f>
        <v>73.524218355999992</v>
      </c>
      <c r="F50" s="61">
        <f>IF(INDEX('Table S3 Literature Values'!$A$10:$AV$10000,MATCH($C50,'Table S3 Literature Values'!$A$10:$A$10000,0)+1,F$1)=0,INDEX('Table S9 Model Derived Values'!$A$10:$AV$10000,MATCH($C50,'Table S9 Model Derived Values'!$A$10:$A$10000,0)+1,F$1),INDEX('Table S3 Literature Values'!$A$10:$AV$10000,MATCH($C50,'Table S3 Literature Values'!$A$10:$A$10000,0)+1,F$1))</f>
        <v>0.10717142872373359</v>
      </c>
      <c r="G50" s="63">
        <f>INDEX('Table S3 Literature Values'!$A$10:$AV$10000,MATCH($C50,'Table S3 Literature Values'!$A$10:$A$10000,0)+2,F$1)</f>
        <v>2</v>
      </c>
      <c r="H50" s="501">
        <f>IF(VLOOKUP($C50,'Table S3 Literature Values'!$A$10:$AV$10000,H$1,FALSE)=0,VLOOKUP($C50,'Table S9 Model Derived Values'!$A$10:$AV$10000,H$1,FALSE),VLOOKUP($C50,'Table S3 Literature Values'!$A$10:$AV$10000,H$1,FALSE))</f>
        <v>39</v>
      </c>
      <c r="I50" s="61">
        <f>IF(INDEX('Table S3 Literature Values'!$A$10:$AV$10000,MATCH($C50,'Table S3 Literature Values'!$A$10:$A$10000,0)+1,I$1)=0,INDEX('Table S9 Model Derived Values'!$A$10:$AV$10000,MATCH($C50,'Table S9 Model Derived Values'!$A$10:$A$10000,0)+1,I$1),INDEX('Table S3 Literature Values'!$A$10:$AV$10000,MATCH($C50,'Table S3 Literature Values'!$A$10:$A$10000,0)+1,I$1))</f>
        <v>7.8000000000000007</v>
      </c>
      <c r="J50" s="63">
        <f>INDEX('Table S3 Literature Values'!$A$10:$AV$10000,MATCH($C50,'Table S3 Literature Values'!$A$10:$A$10000,0)+2,I$1)</f>
        <v>1</v>
      </c>
      <c r="K50" s="501">
        <f>IF(VLOOKUP($C50,'Table S3 Literature Values'!$A$10:$AV$10000,K$1,FALSE)=0,VLOOKUP($C50,'Table S9 Model Derived Values'!$A$10:$AV$10000,K$1,FALSE),VLOOKUP($C50,'Table S3 Literature Values'!$A$10:$AV$10000,K$1,FALSE))</f>
        <v>0</v>
      </c>
      <c r="L50" s="61">
        <f>IF(INDEX('Table S3 Literature Values'!$A$10:$AV$10000,MATCH($C50,'Table S3 Literature Values'!$A$10:$A$10000,0)+1,L$1)=0,INDEX('Table S9 Model Derived Values'!$A$10:$AV$10000,MATCH($C50,'Table S9 Model Derived Values'!$A$10:$A$10000,0)+1,L$1),INDEX('Table S3 Literature Values'!$A$10:$AV$10000,MATCH($C50,'Table S3 Literature Values'!$A$10:$A$10000,0)+1,L$1))</f>
        <v>0</v>
      </c>
      <c r="M50" s="63">
        <f>INDEX('Table S3 Literature Values'!$A$10:$AV$10000,MATCH($C50,'Table S3 Literature Values'!$A$10:$A$10000,0)+2,L$1)</f>
        <v>0</v>
      </c>
      <c r="N50" s="501">
        <f>IF(VLOOKUP($C50,'Table S3 Literature Values'!$A$10:$AV$10000,N$1,FALSE)=0,VLOOKUP($C50,'Table S9 Model Derived Values'!$A$10:$AV$10000,N$1,FALSE),VLOOKUP($C50,'Table S3 Literature Values'!$A$10:$AV$10000,N$1,FALSE))</f>
        <v>61.2</v>
      </c>
      <c r="O50" s="61">
        <f>IF(INDEX('Table S3 Literature Values'!$A$10:$AV$10000,MATCH($C50,'Table S3 Literature Values'!$A$10:$A$10000,0)+1,O$1)=0,INDEX('Table S9 Model Derived Values'!$A$10:$AV$10000,MATCH($C50,'Table S9 Model Derived Values'!$A$10:$A$10000,0)+1,O$1),INDEX('Table S3 Literature Values'!$A$10:$AV$10000,MATCH($C50,'Table S3 Literature Values'!$A$10:$A$10000,0)+1,O$1))</f>
        <v>3.8775147273531525</v>
      </c>
      <c r="P50" s="63">
        <f>INDEX('Table S3 Literature Values'!$A$10:$AV$10000,MATCH($C50,'Table S3 Literature Values'!$A$10:$A$10000,0)+2,O$1)</f>
        <v>1</v>
      </c>
      <c r="Q50" s="501">
        <f>IF(VLOOKUP($C50,'Table S3 Literature Values'!$A$10:$AV$10000,Q$1,FALSE)=0,VLOOKUP($C50,'Table S9 Model Derived Values'!$A$10:$AV$10000,Q$1,FALSE),VLOOKUP($C50,'Table S3 Literature Values'!$A$10:$AV$10000,Q$1,FALSE))</f>
        <v>51.928700200000002</v>
      </c>
      <c r="R50" s="61">
        <f>IF(INDEX('Table S3 Literature Values'!$A$10:$AV$10000,MATCH($C50,'Table S3 Literature Values'!$A$10:$A$10000,0)+1,R$1)=0,INDEX('Table S9 Model Derived Values'!$A$10:$AV$10000,MATCH($C50,'Table S9 Model Derived Values'!$A$10:$A$10000,0)+1,R$1),INDEX('Table S3 Literature Values'!$A$10:$AV$10000,MATCH($C50,'Table S3 Literature Values'!$A$10:$A$10000,0)+1,R$1))</f>
        <v>15.522059705482199</v>
      </c>
      <c r="S50" s="63">
        <f>INDEX('Table S3 Literature Values'!$A$10:$AV$10000,MATCH($C50,'Table S3 Literature Values'!$A$10:$A$10000,0)+2,R$1)</f>
        <v>0</v>
      </c>
      <c r="T50" s="501">
        <f>IF(VLOOKUP($C50,'Table S3 Literature Values'!$A$10:$AV$10000,T$1,FALSE)=0,VLOOKUP($C50,'Table S9 Model Derived Values'!$A$10:$AV$10000,T$1,FALSE),VLOOKUP($C50,'Table S3 Literature Values'!$A$10:$AV$10000,T$1,FALSE))</f>
        <v>-13.497807999999997</v>
      </c>
      <c r="U50" s="61">
        <f>IF(INDEX('Table S3 Literature Values'!$A$10:$AV$10000,MATCH($C50,'Table S3 Literature Values'!$A$10:$A$10000,0)+1,U$1)=0,INDEX('Table S9 Model Derived Values'!$A$10:$AV$10000,MATCH($C50,'Table S9 Model Derived Values'!$A$10:$A$10000,0)+1,U$1),INDEX('Table S3 Literature Values'!$A$10:$AV$10000,MATCH($C50,'Table S3 Literature Values'!$A$10:$A$10000,0)+1,U$1))</f>
        <v>5.5369783075234391</v>
      </c>
      <c r="V50" s="63">
        <f>INDEX('Table S3 Literature Values'!$A$10:$AV$10000,MATCH($C50,'Table S3 Literature Values'!$A$10:$A$10000,0)+2,U$1)</f>
        <v>0</v>
      </c>
      <c r="W50" s="501">
        <f>IF(VLOOKUP($C50,'Table S3 Literature Values'!$A$10:$AV$10000,W$1,FALSE)=0,VLOOKUP($C50,'Table S9 Model Derived Values'!$A$10:$AV$10000,W$1,FALSE),VLOOKUP($C50,'Table S3 Literature Values'!$A$10:$AV$10000,W$1,FALSE))</f>
        <v>7.5390552184404918</v>
      </c>
      <c r="X50" s="61">
        <f>IF(INDEX('Table S3 Literature Values'!$A$10:$AV$10000,MATCH($C50,'Table S3 Literature Values'!$A$10:$A$10000,0)+1,X$1)=0,INDEX('Table S9 Model Derived Values'!$A$10:$AV$10000,MATCH($C50,'Table S9 Model Derived Values'!$A$10:$A$10000,0)+1,X$1),INDEX('Table S3 Literature Values'!$A$10:$AV$10000,MATCH($C50,'Table S3 Literature Values'!$A$10:$A$10000,0)+1,X$1))</f>
        <v>0.19411422232382147</v>
      </c>
      <c r="Y50" s="63">
        <f>INDEX('Table S3 Literature Values'!$A$10:$AV$10000,MATCH($C50,'Table S3 Literature Values'!$A$10:$A$10000,0)+2,X$1)</f>
        <v>1</v>
      </c>
      <c r="Z50" s="501">
        <f>IF(VLOOKUP($C50,'Table S3 Literature Values'!$A$10:$AV$10000,Z$1,FALSE)=0,VLOOKUP($C50,'Table S9 Model Derived Values'!$A$10:$AV$10000,Z$1,FALSE),VLOOKUP($C50,'Table S3 Literature Values'!$A$10:$AV$10000,Z$1,FALSE))</f>
        <v>5.26</v>
      </c>
      <c r="AA50" s="61">
        <f>IF(INDEX('Table S3 Literature Values'!$A$10:$AV$10000,MATCH($C50,'Table S3 Literature Values'!$A$10:$A$10000,0)+1,AA$1)=0,INDEX('Table S9 Model Derived Values'!$A$10:$AV$10000,MATCH($C50,'Table S9 Model Derived Values'!$A$10:$A$10000,0)+1,AA$1),INDEX('Table S3 Literature Values'!$A$10:$AV$10000,MATCH($C50,'Table S3 Literature Values'!$A$10:$A$10000,0)+1,AA$1))</f>
        <v>0.3111269837220812</v>
      </c>
      <c r="AB50" s="63">
        <f>INDEX('Table S3 Literature Values'!$A$10:$AV$10000,MATCH($C50,'Table S3 Literature Values'!$A$10:$A$10000,0)+2,AA$1)</f>
        <v>2</v>
      </c>
      <c r="AC50" s="501">
        <f ca="1">IF(VLOOKUP($C50,'Table S3 Literature Values'!$A$10:$AV$10000,AC$1,FALSE)=0,VLOOKUP($C50,'Table S9 Model Derived Values'!$A$10:$AV$10000,AC$1,FALSE),VLOOKUP($C50,'Table S3 Literature Values'!$A$10:$AV$10000,AC$1,FALSE))</f>
        <v>-1.9124978394296193</v>
      </c>
      <c r="AD50" s="61">
        <f ca="1">IF(INDEX('Table S3 Literature Values'!$A$10:$AV$10000,MATCH($C50,'Table S3 Literature Values'!$A$10:$A$10000,0)+1,AD$1)=0,INDEX('Table S9 Model Derived Values'!$A$10:$AV$10000,MATCH($C50,'Table S9 Model Derived Values'!$A$10:$A$10000,0)+1,AD$1),INDEX('Table S3 Literature Values'!$A$10:$AV$10000,MATCH($C50,'Table S3 Literature Values'!$A$10:$A$10000,0)+1,AD$1))</f>
        <v>0.16164821075426294</v>
      </c>
      <c r="AE50" s="63">
        <f ca="1">INDEX('Table S3 Literature Values'!$A$10:$AV$10000,MATCH($C50,'Table S3 Literature Values'!$A$10:$A$10000,0)+2,AD$1)</f>
        <v>2</v>
      </c>
      <c r="AF50" s="501">
        <f ca="1">IF(VLOOKUP($C50,'Table S3 Literature Values'!$A$10:$AV$10000,AF$1,FALSE)=0,VLOOKUP($C50,'Table S9 Model Derived Values'!$A$10:$AV$10000,AF$1,FALSE),VLOOKUP($C50,'Table S3 Literature Values'!$A$10:$AV$10000,AF$1,FALSE))</f>
        <v>-1.1806733242754686</v>
      </c>
      <c r="AG50" s="61">
        <f ca="1">IF(INDEX('Table S3 Literature Values'!$A$10:$AV$10000,MATCH($C50,'Table S3 Literature Values'!$A$10:$A$10000,0)+1,AG$1)=0,INDEX('Table S9 Model Derived Values'!$A$10:$AV$10000,MATCH($C50,'Table S9 Model Derived Values'!$A$10:$A$10000,0)+1,AG$1),INDEX('Table S3 Literature Values'!$A$10:$AV$10000,MATCH($C50,'Table S3 Literature Values'!$A$10:$A$10000,0)+1,AG$1))</f>
        <v>0.14119223273996104</v>
      </c>
      <c r="AH50" s="63">
        <f ca="1">INDEX('Table S3 Literature Values'!$A$10:$AV$10000,MATCH($C50,'Table S3 Literature Values'!$A$10:$A$10000,0)+2,AG$1)</f>
        <v>3</v>
      </c>
      <c r="AI50" s="501">
        <f ca="1">IF(VLOOKUP($C50,'Table S3 Literature Values'!$A$10:$AV$10000,AI$1,FALSE)=0,VLOOKUP($C50,'Table S9 Model Derived Values'!$A$10:$AV$10000,AI$1,FALSE),VLOOKUP($C50,'Table S3 Literature Values'!$A$10:$AV$10000,AI$1,FALSE))</f>
        <v>-2.4696037487087663</v>
      </c>
      <c r="AJ50" s="61">
        <f ca="1">IF(INDEX('Table S3 Literature Values'!$A$10:$AV$10000,MATCH($C50,'Table S3 Literature Values'!$A$10:$A$10000,0)+1,AJ$1)=0,INDEX('Table S9 Model Derived Values'!$A$10:$AV$10000,MATCH($C50,'Table S9 Model Derived Values'!$A$10:$A$10000,0)+1,AJ$1),INDEX('Table S3 Literature Values'!$A$10:$AV$10000,MATCH($C50,'Table S3 Literature Values'!$A$10:$A$10000,0)+1,AJ$1))</f>
        <v>0.26889462132834718</v>
      </c>
      <c r="AK50" s="63">
        <f ca="1">INDEX('Table S3 Literature Values'!$A$10:$AV$10000,MATCH($C50,'Table S3 Literature Values'!$A$10:$A$10000,0)+2,AJ$1)</f>
        <v>2</v>
      </c>
      <c r="AL50" s="501">
        <f>IF(VLOOKUP($C50,'Table S3 Literature Values'!$A$10:$AV$10000,AL$1,FALSE)=0,VLOOKUP($C50,'Table S9 Model Derived Values'!$A$10:$AV$10000,AL$1,FALSE),VLOOKUP($C50,'Table S3 Literature Values'!$A$10:$AV$10000,AL$1,FALSE))</f>
        <v>2.9278073999999989</v>
      </c>
      <c r="AM50" s="61">
        <f>IF(INDEX('Table S3 Literature Values'!$A$10:$AV$10000,MATCH($C50,'Table S3 Literature Values'!$A$10:$A$10000,0)+1,AM$1)=0,INDEX('Table S9 Model Derived Values'!$A$10:$AV$10000,MATCH($C50,'Table S9 Model Derived Values'!$A$10:$A$10000,0)+1,AM$1),INDEX('Table S3 Literature Values'!$A$10:$AV$10000,MATCH($C50,'Table S3 Literature Values'!$A$10:$A$10000,0)+1,AM$1))</f>
        <v>0.52914555920939976</v>
      </c>
      <c r="AN50" s="63">
        <f>INDEX('Table S3 Literature Values'!$A$10:$AV$10000,MATCH($C50,'Table S3 Literature Values'!$A$10:$A$10000,0)+2,AM$1)</f>
        <v>0</v>
      </c>
      <c r="AO50" s="501">
        <f>IF(VLOOKUP($C50,'Table S3 Literature Values'!$A$10:$AV$10000,AO$1,FALSE)=0,VLOOKUP($C50,'Table S9 Model Derived Values'!$A$10:$AV$10000,AO$1,FALSE),VLOOKUP($C50,'Table S3 Literature Values'!$A$10:$AV$10000,AO$1,FALSE))</f>
        <v>0</v>
      </c>
      <c r="AP50" s="61">
        <f>IF(INDEX('Table S3 Literature Values'!$A$10:$AV$10000,MATCH($C50,'Table S3 Literature Values'!$A$10:$A$10000,0)+1,AP$1)=0,INDEX('Table S9 Model Derived Values'!$A$10:$AV$10000,MATCH($C50,'Table S9 Model Derived Values'!$A$10:$A$10000,0)+1,AP$1),INDEX('Table S3 Literature Values'!$A$10:$AV$10000,MATCH($C50,'Table S3 Literature Values'!$A$10:$A$10000,0)+1,AP$1))</f>
        <v>0</v>
      </c>
      <c r="AQ50" s="63">
        <f>INDEX('Table S3 Literature Values'!$A$10:$AV$10000,MATCH($C50,'Table S3 Literature Values'!$A$10:$A$10000,0)+2,AP$1)</f>
        <v>0</v>
      </c>
      <c r="AR50" s="501">
        <f>IF(VLOOKUP($C50,'Table S3 Literature Values'!$A$10:$AV$10000,AR$1,FALSE)=0,VLOOKUP($C50,'Table S9 Model Derived Values'!$A$10:$AV$10000,AR$1,FALSE),VLOOKUP($C50,'Table S3 Literature Values'!$A$10:$AV$10000,AR$1,FALSE))</f>
        <v>91</v>
      </c>
      <c r="AS50" s="61">
        <f>IF(INDEX('Table S3 Literature Values'!$A$10:$AV$10000,MATCH($C50,'Table S3 Literature Values'!$A$10:$A$10000,0)+1,AS$1)=0,INDEX('Table S9 Model Derived Values'!$A$10:$AV$10000,MATCH($C50,'Table S9 Model Derived Values'!$A$10:$A$10000,0)+1,AS$1),INDEX('Table S3 Literature Values'!$A$10:$AV$10000,MATCH($C50,'Table S3 Literature Values'!$A$10:$A$10000,0)+1,AS$1))</f>
        <v>4.2010802641560678</v>
      </c>
      <c r="AT50" s="63">
        <f>INDEX('Table S3 Literature Values'!$A$10:$AV$10000,MATCH($C50,'Table S3 Literature Values'!$A$10:$A$10000,0)+2,AS$1)</f>
        <v>1</v>
      </c>
    </row>
    <row r="51" spans="1:46">
      <c r="A51" t="str">
        <f>'Table S2 Compound Identifiers'!C56</f>
        <v>PCB</v>
      </c>
      <c r="B51">
        <f>COUNTIF($C$3:C51,"&lt;&gt;"&amp;"")</f>
        <v>49</v>
      </c>
      <c r="C51" t="str">
        <f>IF('Table S2 Compound Identifiers'!B56="","",'Table S2 Compound Identifiers'!B56)</f>
        <v>PCB-34</v>
      </c>
      <c r="D51" t="str">
        <f>'Table S2 Compound Identifiers'!D56</f>
        <v>37680-68-5</v>
      </c>
      <c r="E51" s="501">
        <f>IF(VLOOKUP($C51,'Table S3 Literature Values'!$A$10:$AV$10000,E$1,FALSE)=0,VLOOKUP($C51,'Table S9 Model Derived Values'!$A$10:$AV$10000,E$1,FALSE),VLOOKUP($C51,'Table S3 Literature Values'!$A$10:$AV$10000,E$1,FALSE))</f>
        <v>80.262301825000009</v>
      </c>
      <c r="F51" s="61">
        <f>IF(INDEX('Table S3 Literature Values'!$A$10:$AV$10000,MATCH($C51,'Table S3 Literature Values'!$A$10:$A$10000,0)+1,F$1)=0,INDEX('Table S9 Model Derived Values'!$A$10:$AV$10000,MATCH($C51,'Table S9 Model Derived Values'!$A$10:$A$10000,0)+1,F$1),INDEX('Table S3 Literature Values'!$A$10:$AV$10000,MATCH($C51,'Table S3 Literature Values'!$A$10:$A$10000,0)+1,F$1))</f>
        <v>3.164583107582521</v>
      </c>
      <c r="G51" s="63">
        <f>INDEX('Table S3 Literature Values'!$A$10:$AV$10000,MATCH($C51,'Table S3 Literature Values'!$A$10:$A$10000,0)+2,F$1)</f>
        <v>2</v>
      </c>
      <c r="H51" s="501">
        <f>IF(VLOOKUP($C51,'Table S3 Literature Values'!$A$10:$AV$10000,H$1,FALSE)=0,VLOOKUP($C51,'Table S9 Model Derived Values'!$A$10:$AV$10000,H$1,FALSE),VLOOKUP($C51,'Table S3 Literature Values'!$A$10:$AV$10000,H$1,FALSE))</f>
        <v>16.093591803544058</v>
      </c>
      <c r="I51" s="61">
        <f>IF(INDEX('Table S3 Literature Values'!$A$10:$AV$10000,MATCH($C51,'Table S3 Literature Values'!$A$10:$A$10000,0)+1,I$1)=0,INDEX('Table S9 Model Derived Values'!$A$10:$AV$10000,MATCH($C51,'Table S9 Model Derived Values'!$A$10:$A$10000,0)+1,I$1),INDEX('Table S3 Literature Values'!$A$10:$AV$10000,MATCH($C51,'Table S3 Literature Values'!$A$10:$A$10000,0)+1,I$1))</f>
        <v>9.8469607065492522</v>
      </c>
      <c r="J51" s="63">
        <f>INDEX('Table S3 Literature Values'!$A$10:$AV$10000,MATCH($C51,'Table S3 Literature Values'!$A$10:$A$10000,0)+2,I$1)</f>
        <v>0</v>
      </c>
      <c r="K51" s="501">
        <f>IF(VLOOKUP($C51,'Table S3 Literature Values'!$A$10:$AV$10000,K$1,FALSE)=0,VLOOKUP($C51,'Table S9 Model Derived Values'!$A$10:$AV$10000,K$1,FALSE),VLOOKUP($C51,'Table S3 Literature Values'!$A$10:$AV$10000,K$1,FALSE))</f>
        <v>0</v>
      </c>
      <c r="L51" s="61">
        <f>IF(INDEX('Table S3 Literature Values'!$A$10:$AV$10000,MATCH($C51,'Table S3 Literature Values'!$A$10:$A$10000,0)+1,L$1)=0,INDEX('Table S9 Model Derived Values'!$A$10:$AV$10000,MATCH($C51,'Table S9 Model Derived Values'!$A$10:$A$10000,0)+1,L$1),INDEX('Table S3 Literature Values'!$A$10:$AV$10000,MATCH($C51,'Table S3 Literature Values'!$A$10:$A$10000,0)+1,L$1))</f>
        <v>0</v>
      </c>
      <c r="M51" s="63">
        <f>INDEX('Table S3 Literature Values'!$A$10:$AV$10000,MATCH($C51,'Table S3 Literature Values'!$A$10:$A$10000,0)+2,L$1)</f>
        <v>0</v>
      </c>
      <c r="N51" s="501">
        <f>IF(VLOOKUP($C51,'Table S3 Literature Values'!$A$10:$AV$10000,N$1,FALSE)=0,VLOOKUP($C51,'Table S9 Model Derived Values'!$A$10:$AV$10000,N$1,FALSE),VLOOKUP($C51,'Table S3 Literature Values'!$A$10:$AV$10000,N$1,FALSE))</f>
        <v>70.099999999999994</v>
      </c>
      <c r="O51" s="61">
        <f>IF(INDEX('Table S3 Literature Values'!$A$10:$AV$10000,MATCH($C51,'Table S3 Literature Values'!$A$10:$A$10000,0)+1,O$1)=0,INDEX('Table S9 Model Derived Values'!$A$10:$AV$10000,MATCH($C51,'Table S9 Model Derived Values'!$A$10:$A$10000,0)+1,O$1),INDEX('Table S3 Literature Values'!$A$10:$AV$10000,MATCH($C51,'Table S3 Literature Values'!$A$10:$A$10000,0)+1,O$1))</f>
        <v>4.441401672997646</v>
      </c>
      <c r="P51" s="63">
        <f>INDEX('Table S3 Literature Values'!$A$10:$AV$10000,MATCH($C51,'Table S3 Literature Values'!$A$10:$A$10000,0)+2,O$1)</f>
        <v>1</v>
      </c>
      <c r="Q51" s="501">
        <f>IF(VLOOKUP($C51,'Table S3 Literature Values'!$A$10:$AV$10000,Q$1,FALSE)=0,VLOOKUP($C51,'Table S9 Model Derived Values'!$A$10:$AV$10000,Q$1,FALSE),VLOOKUP($C51,'Table S3 Literature Values'!$A$10:$AV$10000,Q$1,FALSE))</f>
        <v>51.739082200000006</v>
      </c>
      <c r="R51" s="61">
        <f>IF(INDEX('Table S3 Literature Values'!$A$10:$AV$10000,MATCH($C51,'Table S3 Literature Values'!$A$10:$A$10000,0)+1,R$1)=0,INDEX('Table S9 Model Derived Values'!$A$10:$AV$10000,MATCH($C51,'Table S9 Model Derived Values'!$A$10:$A$10000,0)+1,R$1),INDEX('Table S3 Literature Values'!$A$10:$AV$10000,MATCH($C51,'Table S3 Literature Values'!$A$10:$A$10000,0)+1,R$1))</f>
        <v>15.465380799484201</v>
      </c>
      <c r="S51" s="63">
        <f>INDEX('Table S3 Literature Values'!$A$10:$AV$10000,MATCH($C51,'Table S3 Literature Values'!$A$10:$A$10000,0)+2,R$1)</f>
        <v>0</v>
      </c>
      <c r="T51" s="501">
        <f>IF(VLOOKUP($C51,'Table S3 Literature Values'!$A$10:$AV$10000,T$1,FALSE)=0,VLOOKUP($C51,'Table S9 Model Derived Values'!$A$10:$AV$10000,T$1,FALSE),VLOOKUP($C51,'Table S3 Literature Values'!$A$10:$AV$10000,T$1,FALSE))</f>
        <v>-18.204648000000006</v>
      </c>
      <c r="U51" s="61">
        <f>IF(INDEX('Table S3 Literature Values'!$A$10:$AV$10000,MATCH($C51,'Table S3 Literature Values'!$A$10:$A$10000,0)+1,U$1)=0,INDEX('Table S9 Model Derived Values'!$A$10:$AV$10000,MATCH($C51,'Table S9 Model Derived Values'!$A$10:$A$10000,0)+1,U$1),INDEX('Table S3 Literature Values'!$A$10:$AV$10000,MATCH($C51,'Table S3 Literature Values'!$A$10:$A$10000,0)+1,U$1))</f>
        <v>7.4677859599203078</v>
      </c>
      <c r="V51" s="63">
        <f>INDEX('Table S3 Literature Values'!$A$10:$AV$10000,MATCH($C51,'Table S3 Literature Values'!$A$10:$A$10000,0)+2,U$1)</f>
        <v>0</v>
      </c>
      <c r="W51" s="501">
        <f>IF(VLOOKUP($C51,'Table S3 Literature Values'!$A$10:$AV$10000,W$1,FALSE)=0,VLOOKUP($C51,'Table S9 Model Derived Values'!$A$10:$AV$10000,W$1,FALSE),VLOOKUP($C51,'Table S3 Literature Values'!$A$10:$AV$10000,W$1,FALSE))</f>
        <v>7.993297276476711</v>
      </c>
      <c r="X51" s="61">
        <f>IF(INDEX('Table S3 Literature Values'!$A$10:$AV$10000,MATCH($C51,'Table S3 Literature Values'!$A$10:$A$10000,0)+1,X$1)=0,INDEX('Table S9 Model Derived Values'!$A$10:$AV$10000,MATCH($C51,'Table S9 Model Derived Values'!$A$10:$A$10000,0)+1,X$1),INDEX('Table S3 Literature Values'!$A$10:$AV$10000,MATCH($C51,'Table S3 Literature Values'!$A$10:$A$10000,0)+1,X$1))</f>
        <v>0.20580996420229952</v>
      </c>
      <c r="Y51" s="63">
        <f>INDEX('Table S3 Literature Values'!$A$10:$AV$10000,MATCH($C51,'Table S3 Literature Values'!$A$10:$A$10000,0)+2,X$1)</f>
        <v>1</v>
      </c>
      <c r="Z51" s="501">
        <f>IF(VLOOKUP($C51,'Table S3 Literature Values'!$A$10:$AV$10000,Z$1,FALSE)=0,VLOOKUP($C51,'Table S9 Model Derived Values'!$A$10:$AV$10000,Z$1,FALSE),VLOOKUP($C51,'Table S3 Literature Values'!$A$10:$AV$10000,Z$1,FALSE))</f>
        <v>5.71</v>
      </c>
      <c r="AA51" s="61">
        <f>IF(INDEX('Table S3 Literature Values'!$A$10:$AV$10000,MATCH($C51,'Table S3 Literature Values'!$A$10:$A$10000,0)+1,AA$1)=0,INDEX('Table S9 Model Derived Values'!$A$10:$AV$10000,MATCH($C51,'Table S9 Model Derived Values'!$A$10:$A$10000,0)+1,AA$1),INDEX('Table S3 Literature Values'!$A$10:$AV$10000,MATCH($C51,'Table S3 Literature Values'!$A$10:$A$10000,0)+1,AA$1))</f>
        <v>1.1420000000000001</v>
      </c>
      <c r="AB51" s="63">
        <f>INDEX('Table S3 Literature Values'!$A$10:$AV$10000,MATCH($C51,'Table S3 Literature Values'!$A$10:$A$10000,0)+2,AA$1)</f>
        <v>1</v>
      </c>
      <c r="AC51" s="501">
        <f>IF(VLOOKUP($C51,'Table S3 Literature Values'!$A$10:$AV$10000,AC$1,FALSE)=0,VLOOKUP($C51,'Table S9 Model Derived Values'!$A$10:$AV$10000,AC$1,FALSE),VLOOKUP($C51,'Table S3 Literature Values'!$A$10:$AV$10000,AC$1,FALSE))</f>
        <v>-2.087498225774242</v>
      </c>
      <c r="AD51" s="61">
        <f>IF(INDEX('Table S3 Literature Values'!$A$10:$AV$10000,MATCH($C51,'Table S3 Literature Values'!$A$10:$A$10000,0)+1,AD$1)=0,INDEX('Table S9 Model Derived Values'!$A$10:$AV$10000,MATCH($C51,'Table S9 Model Derived Values'!$A$10:$A$10000,0)+1,AD$1),INDEX('Table S3 Literature Values'!$A$10:$AV$10000,MATCH($C51,'Table S3 Literature Values'!$A$10:$A$10000,0)+1,AD$1))</f>
        <v>0.41749964515484844</v>
      </c>
      <c r="AE51" s="63">
        <f>INDEX('Table S3 Literature Values'!$A$10:$AV$10000,MATCH($C51,'Table S3 Literature Values'!$A$10:$A$10000,0)+2,AD$1)</f>
        <v>1</v>
      </c>
      <c r="AF51" s="501">
        <f>IF(VLOOKUP($C51,'Table S3 Literature Values'!$A$10:$AV$10000,AF$1,FALSE)=0,VLOOKUP($C51,'Table S9 Model Derived Values'!$A$10:$AV$10000,AF$1,FALSE),VLOOKUP($C51,'Table S3 Literature Values'!$A$10:$AV$10000,AF$1,FALSE))</f>
        <v>-1.4403667064642687</v>
      </c>
      <c r="AG51" s="61">
        <f>IF(INDEX('Table S3 Literature Values'!$A$10:$AV$10000,MATCH($C51,'Table S3 Literature Values'!$A$10:$A$10000,0)+1,AG$1)=0,INDEX('Table S9 Model Derived Values'!$A$10:$AV$10000,MATCH($C51,'Table S9 Model Derived Values'!$A$10:$A$10000,0)+1,AG$1),INDEX('Table S3 Literature Values'!$A$10:$AV$10000,MATCH($C51,'Table S3 Literature Values'!$A$10:$A$10000,0)+1,AG$1))</f>
        <v>0.12779782186875707</v>
      </c>
      <c r="AH51" s="63">
        <f>INDEX('Table S3 Literature Values'!$A$10:$AV$10000,MATCH($C51,'Table S3 Literature Values'!$A$10:$A$10000,0)+2,AG$1)</f>
        <v>2</v>
      </c>
      <c r="AI51" s="501">
        <f>IF(VLOOKUP($C51,'Table S3 Literature Values'!$A$10:$AV$10000,AI$1,FALSE)=0,VLOOKUP($C51,'Table S9 Model Derived Values'!$A$10:$AV$10000,AI$1,FALSE),VLOOKUP($C51,'Table S3 Literature Values'!$A$10:$AV$10000,AI$1,FALSE))</f>
        <v>-2.98523196960676</v>
      </c>
      <c r="AJ51" s="61">
        <f>IF(INDEX('Table S3 Literature Values'!$A$10:$AV$10000,MATCH($C51,'Table S3 Literature Values'!$A$10:$A$10000,0)+1,AJ$1)=0,INDEX('Table S9 Model Derived Values'!$A$10:$AV$10000,MATCH($C51,'Table S9 Model Derived Values'!$A$10:$A$10000,0)+1,AJ$1),INDEX('Table S3 Literature Values'!$A$10:$AV$10000,MATCH($C51,'Table S3 Literature Values'!$A$10:$A$10000,0)+1,AJ$1))</f>
        <v>0.36913762809068135</v>
      </c>
      <c r="AK51" s="63">
        <f>INDEX('Table S3 Literature Values'!$A$10:$AV$10000,MATCH($C51,'Table S3 Literature Values'!$A$10:$A$10000,0)+2,AJ$1)</f>
        <v>1</v>
      </c>
      <c r="AL51" s="501">
        <f>IF(VLOOKUP($C51,'Table S3 Literature Values'!$A$10:$AV$10000,AL$1,FALSE)=0,VLOOKUP($C51,'Table S9 Model Derived Values'!$A$10:$AV$10000,AL$1,FALSE),VLOOKUP($C51,'Table S3 Literature Values'!$A$10:$AV$10000,AL$1,FALSE))</f>
        <v>2.9341074000000003</v>
      </c>
      <c r="AM51" s="61">
        <f>IF(INDEX('Table S3 Literature Values'!$A$10:$AV$10000,MATCH($C51,'Table S3 Literature Values'!$A$10:$A$10000,0)+1,AM$1)=0,INDEX('Table S9 Model Derived Values'!$A$10:$AV$10000,MATCH($C51,'Table S9 Model Derived Values'!$A$10:$A$10000,0)+1,AM$1),INDEX('Table S3 Literature Values'!$A$10:$AV$10000,MATCH($C51,'Table S3 Literature Values'!$A$10:$A$10000,0)+1,AM$1))</f>
        <v>0.53028416450940008</v>
      </c>
      <c r="AN51" s="63">
        <f>INDEX('Table S3 Literature Values'!$A$10:$AV$10000,MATCH($C51,'Table S3 Literature Values'!$A$10:$A$10000,0)+2,AM$1)</f>
        <v>0</v>
      </c>
      <c r="AO51" s="501">
        <f>IF(VLOOKUP($C51,'Table S3 Literature Values'!$A$10:$AV$10000,AO$1,FALSE)=0,VLOOKUP($C51,'Table S9 Model Derived Values'!$A$10:$AV$10000,AO$1,FALSE),VLOOKUP($C51,'Table S3 Literature Values'!$A$10:$AV$10000,AO$1,FALSE))</f>
        <v>0</v>
      </c>
      <c r="AP51" s="61">
        <f>IF(INDEX('Table S3 Literature Values'!$A$10:$AV$10000,MATCH($C51,'Table S3 Literature Values'!$A$10:$A$10000,0)+1,AP$1)=0,INDEX('Table S9 Model Derived Values'!$A$10:$AV$10000,MATCH($C51,'Table S9 Model Derived Values'!$A$10:$A$10000,0)+1,AP$1),INDEX('Table S3 Literature Values'!$A$10:$AV$10000,MATCH($C51,'Table S3 Literature Values'!$A$10:$A$10000,0)+1,AP$1))</f>
        <v>0</v>
      </c>
      <c r="AQ51" s="63">
        <f>INDEX('Table S3 Literature Values'!$A$10:$AV$10000,MATCH($C51,'Table S3 Literature Values'!$A$10:$A$10000,0)+2,AP$1)</f>
        <v>0</v>
      </c>
      <c r="AR51" s="501">
        <f>IF(VLOOKUP($C51,'Table S3 Literature Values'!$A$10:$AV$10000,AR$1,FALSE)=0,VLOOKUP($C51,'Table S9 Model Derived Values'!$A$10:$AV$10000,AR$1,FALSE),VLOOKUP($C51,'Table S3 Literature Values'!$A$10:$AV$10000,AR$1,FALSE))</f>
        <v>57.75</v>
      </c>
      <c r="AS51" s="61">
        <f>IF(INDEX('Table S3 Literature Values'!$A$10:$AV$10000,MATCH($C51,'Table S3 Literature Values'!$A$10:$A$10000,0)+1,AS$1)=0,INDEX('Table S9 Model Derived Values'!$A$10:$AV$10000,MATCH($C51,'Table S9 Model Derived Values'!$A$10:$A$10000,0)+1,AS$1),INDEX('Table S3 Literature Values'!$A$10:$AV$10000,MATCH($C51,'Table S3 Literature Values'!$A$10:$A$10000,0)+1,AS$1))</f>
        <v>0.35355339059327379</v>
      </c>
      <c r="AT51" s="63">
        <f>INDEX('Table S3 Literature Values'!$A$10:$AV$10000,MATCH($C51,'Table S3 Literature Values'!$A$10:$A$10000,0)+2,AS$1)</f>
        <v>2</v>
      </c>
    </row>
    <row r="52" spans="1:46">
      <c r="A52" t="str">
        <f>'Table S2 Compound Identifiers'!C57</f>
        <v>PCB</v>
      </c>
      <c r="B52">
        <f>COUNTIF($C$3:C52,"&lt;&gt;"&amp;"")</f>
        <v>50</v>
      </c>
      <c r="C52" t="str">
        <f>IF('Table S2 Compound Identifiers'!B57="","",'Table S2 Compound Identifiers'!B57)</f>
        <v>PCB-119</v>
      </c>
      <c r="D52" t="str">
        <f>'Table S2 Compound Identifiers'!D57</f>
        <v>56558-17-9</v>
      </c>
      <c r="E52" s="501">
        <f>IF(VLOOKUP($C52,'Table S3 Literature Values'!$A$10:$AV$10000,E$1,FALSE)=0,VLOOKUP($C52,'Table S9 Model Derived Values'!$A$10:$AV$10000,E$1,FALSE),VLOOKUP($C52,'Table S3 Literature Values'!$A$10:$AV$10000,E$1,FALSE))</f>
        <v>77.099999999999994</v>
      </c>
      <c r="F52" s="61">
        <f>IF(INDEX('Table S3 Literature Values'!$A$10:$AV$10000,MATCH($C52,'Table S3 Literature Values'!$A$10:$A$10000,0)+1,F$1)=0,INDEX('Table S9 Model Derived Values'!$A$10:$AV$10000,MATCH($C52,'Table S9 Model Derived Values'!$A$10:$A$10000,0)+1,F$1),INDEX('Table S3 Literature Values'!$A$10:$AV$10000,MATCH($C52,'Table S3 Literature Values'!$A$10:$A$10000,0)+1,F$1))</f>
        <v>5.5021195639597513</v>
      </c>
      <c r="G52" s="63">
        <f>INDEX('Table S3 Literature Values'!$A$10:$AV$10000,MATCH($C52,'Table S3 Literature Values'!$A$10:$A$10000,0)+2,F$1)</f>
        <v>1</v>
      </c>
      <c r="H52" s="501">
        <f>IF(VLOOKUP($C52,'Table S3 Literature Values'!$A$10:$AV$10000,H$1,FALSE)=0,VLOOKUP($C52,'Table S9 Model Derived Values'!$A$10:$AV$10000,H$1,FALSE),VLOOKUP($C52,'Table S3 Literature Values'!$A$10:$AV$10000,H$1,FALSE))</f>
        <v>31.8</v>
      </c>
      <c r="I52" s="61">
        <f>IF(INDEX('Table S3 Literature Values'!$A$10:$AV$10000,MATCH($C52,'Table S3 Literature Values'!$A$10:$A$10000,0)+1,I$1)=0,INDEX('Table S9 Model Derived Values'!$A$10:$AV$10000,MATCH($C52,'Table S9 Model Derived Values'!$A$10:$A$10000,0)+1,I$1),INDEX('Table S3 Literature Values'!$A$10:$AV$10000,MATCH($C52,'Table S3 Literature Values'!$A$10:$A$10000,0)+1,I$1))</f>
        <v>6.36</v>
      </c>
      <c r="J52" s="63">
        <f>INDEX('Table S3 Literature Values'!$A$10:$AV$10000,MATCH($C52,'Table S3 Literature Values'!$A$10:$A$10000,0)+2,I$1)</f>
        <v>1</v>
      </c>
      <c r="K52" s="501">
        <f>IF(VLOOKUP($C52,'Table S3 Literature Values'!$A$10:$AV$10000,K$1,FALSE)=0,VLOOKUP($C52,'Table S9 Model Derived Values'!$A$10:$AV$10000,K$1,FALSE),VLOOKUP($C52,'Table S3 Literature Values'!$A$10:$AV$10000,K$1,FALSE))</f>
        <v>0</v>
      </c>
      <c r="L52" s="61">
        <f>IF(INDEX('Table S3 Literature Values'!$A$10:$AV$10000,MATCH($C52,'Table S3 Literature Values'!$A$10:$A$10000,0)+1,L$1)=0,INDEX('Table S9 Model Derived Values'!$A$10:$AV$10000,MATCH($C52,'Table S9 Model Derived Values'!$A$10:$A$10000,0)+1,L$1),INDEX('Table S3 Literature Values'!$A$10:$AV$10000,MATCH($C52,'Table S3 Literature Values'!$A$10:$A$10000,0)+1,L$1))</f>
        <v>0</v>
      </c>
      <c r="M52" s="63">
        <f>INDEX('Table S3 Literature Values'!$A$10:$AV$10000,MATCH($C52,'Table S3 Literature Values'!$A$10:$A$10000,0)+2,L$1)</f>
        <v>0</v>
      </c>
      <c r="N52" s="501">
        <f>IF(VLOOKUP($C52,'Table S3 Literature Values'!$A$10:$AV$10000,N$1,FALSE)=0,VLOOKUP($C52,'Table S9 Model Derived Values'!$A$10:$AV$10000,N$1,FALSE),VLOOKUP($C52,'Table S3 Literature Values'!$A$10:$AV$10000,N$1,FALSE))</f>
        <v>76.099999999999994</v>
      </c>
      <c r="O52" s="61">
        <f>IF(INDEX('Table S3 Literature Values'!$A$10:$AV$10000,MATCH($C52,'Table S3 Literature Values'!$A$10:$A$10000,0)+1,O$1)=0,INDEX('Table S9 Model Derived Values'!$A$10:$AV$10000,MATCH($C52,'Table S9 Model Derived Values'!$A$10:$A$10000,0)+1,O$1),INDEX('Table S3 Literature Values'!$A$10:$AV$10000,MATCH($C52,'Table S3 Literature Values'!$A$10:$A$10000,0)+1,O$1))</f>
        <v>4.8215501756793282</v>
      </c>
      <c r="P52" s="63">
        <f>INDEX('Table S3 Literature Values'!$A$10:$AV$10000,MATCH($C52,'Table S3 Literature Values'!$A$10:$A$10000,0)+2,O$1)</f>
        <v>1</v>
      </c>
      <c r="Q52" s="501">
        <f>IF(VLOOKUP($C52,'Table S3 Literature Values'!$A$10:$AV$10000,Q$1,FALSE)=0,VLOOKUP($C52,'Table S9 Model Derived Values'!$A$10:$AV$10000,Q$1,FALSE),VLOOKUP($C52,'Table S3 Literature Values'!$A$10:$AV$10000,Q$1,FALSE))</f>
        <v>56.590070599999997</v>
      </c>
      <c r="R52" s="61">
        <f>IF(INDEX('Table S3 Literature Values'!$A$10:$AV$10000,MATCH($C52,'Table S3 Literature Values'!$A$10:$A$10000,0)+1,R$1)=0,INDEX('Table S9 Model Derived Values'!$A$10:$AV$10000,MATCH($C52,'Table S9 Model Derived Values'!$A$10:$A$10000,0)+1,R$1),INDEX('Table S3 Literature Values'!$A$10:$AV$10000,MATCH($C52,'Table S3 Literature Values'!$A$10:$A$10000,0)+1,R$1))</f>
        <v>16.915394593116599</v>
      </c>
      <c r="S52" s="63">
        <f>INDEX('Table S3 Literature Values'!$A$10:$AV$10000,MATCH($C52,'Table S3 Literature Values'!$A$10:$A$10000,0)+2,R$1)</f>
        <v>0</v>
      </c>
      <c r="T52" s="501">
        <f>IF(VLOOKUP($C52,'Table S3 Literature Values'!$A$10:$AV$10000,T$1,FALSE)=0,VLOOKUP($C52,'Table S9 Model Derived Values'!$A$10:$AV$10000,T$1,FALSE),VLOOKUP($C52,'Table S3 Literature Values'!$A$10:$AV$10000,T$1,FALSE))</f>
        <v>-22.709944000000011</v>
      </c>
      <c r="U52" s="61">
        <f>IF(INDEX('Table S3 Literature Values'!$A$10:$AV$10000,MATCH($C52,'Table S3 Literature Values'!$A$10:$A$10000,0)+1,U$1)=0,INDEX('Table S9 Model Derived Values'!$A$10:$AV$10000,MATCH($C52,'Table S9 Model Derived Values'!$A$10:$A$10000,0)+1,U$1),INDEX('Table S3 Literature Values'!$A$10:$AV$10000,MATCH($C52,'Table S3 Literature Values'!$A$10:$A$10000,0)+1,U$1))</f>
        <v>9.3159176136652828</v>
      </c>
      <c r="V52" s="63">
        <f>INDEX('Table S3 Literature Values'!$A$10:$AV$10000,MATCH($C52,'Table S3 Literature Values'!$A$10:$A$10000,0)+2,U$1)</f>
        <v>0</v>
      </c>
      <c r="W52" s="501">
        <f>IF(VLOOKUP($C52,'Table S3 Literature Values'!$A$10:$AV$10000,W$1,FALSE)=0,VLOOKUP($C52,'Table S9 Model Derived Values'!$A$10:$AV$10000,W$1,FALSE),VLOOKUP($C52,'Table S3 Literature Values'!$A$10:$AV$10000,W$1,FALSE))</f>
        <v>9.0261907024857795</v>
      </c>
      <c r="X52" s="61">
        <f>IF(INDEX('Table S3 Literature Values'!$A$10:$AV$10000,MATCH($C52,'Table S3 Literature Values'!$A$10:$A$10000,0)+1,X$1)=0,INDEX('Table S9 Model Derived Values'!$A$10:$AV$10000,MATCH($C52,'Table S9 Model Derived Values'!$A$10:$A$10000,0)+1,X$1),INDEX('Table S3 Literature Values'!$A$10:$AV$10000,MATCH($C52,'Table S3 Literature Values'!$A$10:$A$10000,0)+1,X$1))</f>
        <v>0.23240471624002404</v>
      </c>
      <c r="Y52" s="63">
        <f>INDEX('Table S3 Literature Values'!$A$10:$AV$10000,MATCH($C52,'Table S3 Literature Values'!$A$10:$A$10000,0)+2,X$1)</f>
        <v>1</v>
      </c>
      <c r="Z52" s="501">
        <f>IF(VLOOKUP($C52,'Table S3 Literature Values'!$A$10:$AV$10000,Z$1,FALSE)=0,VLOOKUP($C52,'Table S9 Model Derived Values'!$A$10:$AV$10000,Z$1,FALSE),VLOOKUP($C52,'Table S3 Literature Values'!$A$10:$AV$10000,Z$1,FALSE))</f>
        <v>6.4024999999999999</v>
      </c>
      <c r="AA52" s="61">
        <f>IF(INDEX('Table S3 Literature Values'!$A$10:$AV$10000,MATCH($C52,'Table S3 Literature Values'!$A$10:$A$10000,0)+1,AA$1)=0,INDEX('Table S9 Model Derived Values'!$A$10:$AV$10000,MATCH($C52,'Table S9 Model Derived Values'!$A$10:$A$10000,0)+1,AA$1),INDEX('Table S3 Literature Values'!$A$10:$AV$10000,MATCH($C52,'Table S3 Literature Values'!$A$10:$A$10000,0)+1,AA$1))</f>
        <v>1.2805</v>
      </c>
      <c r="AB52" s="63">
        <f>INDEX('Table S3 Literature Values'!$A$10:$AV$10000,MATCH($C52,'Table S3 Literature Values'!$A$10:$A$10000,0)+2,AA$1)</f>
        <v>1</v>
      </c>
      <c r="AC52" s="501">
        <f>IF(VLOOKUP($C52,'Table S3 Literature Values'!$A$10:$AV$10000,AC$1,FALSE)=0,VLOOKUP($C52,'Table S9 Model Derived Values'!$A$10:$AV$10000,AC$1,FALSE),VLOOKUP($C52,'Table S3 Literature Values'!$A$10:$AV$10000,AC$1,FALSE))</f>
        <v>-2.5192965017072471</v>
      </c>
      <c r="AD52" s="61">
        <f>IF(INDEX('Table S3 Literature Values'!$A$10:$AV$10000,MATCH($C52,'Table S3 Literature Values'!$A$10:$A$10000,0)+1,AD$1)=0,INDEX('Table S9 Model Derived Values'!$A$10:$AV$10000,MATCH($C52,'Table S9 Model Derived Values'!$A$10:$A$10000,0)+1,AD$1),INDEX('Table S3 Literature Values'!$A$10:$AV$10000,MATCH($C52,'Table S3 Literature Values'!$A$10:$A$10000,0)+1,AD$1))</f>
        <v>0.50385930034144943</v>
      </c>
      <c r="AE52" s="63">
        <f>INDEX('Table S3 Literature Values'!$A$10:$AV$10000,MATCH($C52,'Table S3 Literature Values'!$A$10:$A$10000,0)+2,AD$1)</f>
        <v>1</v>
      </c>
      <c r="AF52" s="501">
        <f>IF(VLOOKUP($C52,'Table S3 Literature Values'!$A$10:$AV$10000,AF$1,FALSE)=0,VLOOKUP($C52,'Table S9 Model Derived Values'!$A$10:$AV$10000,AF$1,FALSE),VLOOKUP($C52,'Table S3 Literature Values'!$A$10:$AV$10000,AF$1,FALSE))</f>
        <v>-2.4598699455590731</v>
      </c>
      <c r="AG52" s="61">
        <f>IF(INDEX('Table S3 Literature Values'!$A$10:$AV$10000,MATCH($C52,'Table S3 Literature Values'!$A$10:$A$10000,0)+1,AG$1)=0,INDEX('Table S9 Model Derived Values'!$A$10:$AV$10000,MATCH($C52,'Table S9 Model Derived Values'!$A$10:$A$10000,0)+1,AG$1),INDEX('Table S3 Literature Values'!$A$10:$AV$10000,MATCH($C52,'Table S3 Literature Values'!$A$10:$A$10000,0)+1,AG$1))</f>
        <v>0.15642979300815249</v>
      </c>
      <c r="AH52" s="63">
        <f>INDEX('Table S3 Literature Values'!$A$10:$AV$10000,MATCH($C52,'Table S3 Literature Values'!$A$10:$A$10000,0)+2,AG$1)</f>
        <v>3</v>
      </c>
      <c r="AI52" s="501">
        <f>IF(VLOOKUP($C52,'Table S3 Literature Values'!$A$10:$AV$10000,AI$1,FALSE)=0,VLOOKUP($C52,'Table S9 Model Derived Values'!$A$10:$AV$10000,AI$1,FALSE),VLOOKUP($C52,'Table S3 Literature Values'!$A$10:$AV$10000,AI$1,FALSE))</f>
        <v>-4.4217108558101943</v>
      </c>
      <c r="AJ52" s="61">
        <f>IF(INDEX('Table S3 Literature Values'!$A$10:$AV$10000,MATCH($C52,'Table S3 Literature Values'!$A$10:$A$10000,0)+1,AJ$1)=0,INDEX('Table S9 Model Derived Values'!$A$10:$AV$10000,MATCH($C52,'Table S9 Model Derived Values'!$A$10:$A$10000,0)+1,AJ$1),INDEX('Table S3 Literature Values'!$A$10:$AV$10000,MATCH($C52,'Table S3 Literature Values'!$A$10:$A$10000,0)+1,AJ$1))</f>
        <v>0.54676483235961115</v>
      </c>
      <c r="AK52" s="63">
        <f>INDEX('Table S3 Literature Values'!$A$10:$AV$10000,MATCH($C52,'Table S3 Literature Values'!$A$10:$A$10000,0)+2,AJ$1)</f>
        <v>1</v>
      </c>
      <c r="AL52" s="501">
        <f>IF(VLOOKUP($C52,'Table S3 Literature Values'!$A$10:$AV$10000,AL$1,FALSE)=0,VLOOKUP($C52,'Table S9 Model Derived Values'!$A$10:$AV$10000,AL$1,FALSE),VLOOKUP($C52,'Table S3 Literature Values'!$A$10:$AV$10000,AL$1,FALSE))</f>
        <v>2.8537641999999988</v>
      </c>
      <c r="AM52" s="61">
        <f>IF(INDEX('Table S3 Literature Values'!$A$10:$AV$10000,MATCH($C52,'Table S3 Literature Values'!$A$10:$A$10000,0)+1,AM$1)=0,INDEX('Table S9 Model Derived Values'!$A$10:$AV$10000,MATCH($C52,'Table S9 Model Derived Values'!$A$10:$A$10000,0)+1,AM$1),INDEX('Table S3 Literature Values'!$A$10:$AV$10000,MATCH($C52,'Table S3 Literature Values'!$A$10:$A$10000,0)+1,AM$1))</f>
        <v>0.51576365763019982</v>
      </c>
      <c r="AN52" s="63">
        <f>INDEX('Table S3 Literature Values'!$A$10:$AV$10000,MATCH($C52,'Table S3 Literature Values'!$A$10:$A$10000,0)+2,AM$1)</f>
        <v>0</v>
      </c>
      <c r="AO52" s="501">
        <f>IF(VLOOKUP($C52,'Table S3 Literature Values'!$A$10:$AV$10000,AO$1,FALSE)=0,VLOOKUP($C52,'Table S9 Model Derived Values'!$A$10:$AV$10000,AO$1,FALSE),VLOOKUP($C52,'Table S3 Literature Values'!$A$10:$AV$10000,AO$1,FALSE))</f>
        <v>0</v>
      </c>
      <c r="AP52" s="61">
        <f>IF(INDEX('Table S3 Literature Values'!$A$10:$AV$10000,MATCH($C52,'Table S3 Literature Values'!$A$10:$A$10000,0)+1,AP$1)=0,INDEX('Table S9 Model Derived Values'!$A$10:$AV$10000,MATCH($C52,'Table S9 Model Derived Values'!$A$10:$A$10000,0)+1,AP$1),INDEX('Table S3 Literature Values'!$A$10:$AV$10000,MATCH($C52,'Table S3 Literature Values'!$A$10:$A$10000,0)+1,AP$1))</f>
        <v>0</v>
      </c>
      <c r="AQ52" s="63">
        <f>INDEX('Table S3 Literature Values'!$A$10:$AV$10000,MATCH($C52,'Table S3 Literature Values'!$A$10:$A$10000,0)+2,AP$1)</f>
        <v>0</v>
      </c>
      <c r="AR52" s="501">
        <f>IF(VLOOKUP($C52,'Table S3 Literature Values'!$A$10:$AV$10000,AR$1,FALSE)=0,VLOOKUP($C52,'Table S9 Model Derived Values'!$A$10:$AV$10000,AR$1,FALSE),VLOOKUP($C52,'Table S3 Literature Values'!$A$10:$AV$10000,AR$1,FALSE))</f>
        <v>76</v>
      </c>
      <c r="AS52" s="61">
        <f>IF(INDEX('Table S3 Literature Values'!$A$10:$AV$10000,MATCH($C52,'Table S3 Literature Values'!$A$10:$A$10000,0)+1,AS$1)=0,INDEX('Table S9 Model Derived Values'!$A$10:$AV$10000,MATCH($C52,'Table S9 Model Derived Values'!$A$10:$A$10000,0)+1,AS$1),INDEX('Table S3 Literature Values'!$A$10:$AV$10000,MATCH($C52,'Table S3 Literature Values'!$A$10:$A$10000,0)+1,AS$1))</f>
        <v>3.5085945063281443</v>
      </c>
      <c r="AT52" s="63">
        <f>INDEX('Table S3 Literature Values'!$A$10:$AV$10000,MATCH($C52,'Table S3 Literature Values'!$A$10:$A$10000,0)+2,AS$1)</f>
        <v>1</v>
      </c>
    </row>
    <row r="53" spans="1:46">
      <c r="A53" t="str">
        <f>'Table S2 Compound Identifiers'!C58</f>
        <v>PCB</v>
      </c>
      <c r="B53">
        <f>COUNTIF($C$3:C53,"&lt;&gt;"&amp;"")</f>
        <v>51</v>
      </c>
      <c r="C53" t="str">
        <f>IF('Table S2 Compound Identifiers'!B58="","",'Table S2 Compound Identifiers'!B58)</f>
        <v>PCB-11</v>
      </c>
      <c r="D53" t="str">
        <f>'Table S2 Compound Identifiers'!D58</f>
        <v>2050-67-1</v>
      </c>
      <c r="E53" s="501">
        <f>IF(VLOOKUP($C53,'Table S3 Literature Values'!$A$10:$AV$10000,E$1,FALSE)=0,VLOOKUP($C53,'Table S9 Model Derived Values'!$A$10:$AV$10000,E$1,FALSE),VLOOKUP($C53,'Table S3 Literature Values'!$A$10:$AV$10000,E$1,FALSE))</f>
        <v>77.521050303999999</v>
      </c>
      <c r="F53" s="61">
        <f>IF(INDEX('Table S3 Literature Values'!$A$10:$AV$10000,MATCH($C53,'Table S3 Literature Values'!$A$10:$A$10000,0)+1,F$1)=0,INDEX('Table S9 Model Derived Values'!$A$10:$AV$10000,MATCH($C53,'Table S9 Model Derived Values'!$A$10:$A$10000,0)+1,F$1),INDEX('Table S3 Literature Values'!$A$10:$AV$10000,MATCH($C53,'Table S3 Literature Values'!$A$10:$A$10000,0)+1,F$1))</f>
        <v>3.0417753598014903</v>
      </c>
      <c r="G53" s="63">
        <f>INDEX('Table S3 Literature Values'!$A$10:$AV$10000,MATCH($C53,'Table S3 Literature Values'!$A$10:$A$10000,0)+2,F$1)</f>
        <v>3</v>
      </c>
      <c r="H53" s="501">
        <f>IF(VLOOKUP($C53,'Table S3 Literature Values'!$A$10:$AV$10000,H$1,FALSE)=0,VLOOKUP($C53,'Table S9 Model Derived Values'!$A$10:$AV$10000,H$1,FALSE),VLOOKUP($C53,'Table S3 Literature Values'!$A$10:$AV$10000,H$1,FALSE))</f>
        <v>17.427305216247994</v>
      </c>
      <c r="I53" s="61">
        <f>IF(INDEX('Table S3 Literature Values'!$A$10:$AV$10000,MATCH($C53,'Table S3 Literature Values'!$A$10:$A$10000,0)+1,I$1)=0,INDEX('Table S9 Model Derived Values'!$A$10:$AV$10000,MATCH($C53,'Table S9 Model Derived Values'!$A$10:$A$10000,0)+1,I$1),INDEX('Table S3 Literature Values'!$A$10:$AV$10000,MATCH($C53,'Table S3 Literature Values'!$A$10:$A$10000,0)+1,I$1))</f>
        <v>10.663001260392631</v>
      </c>
      <c r="J53" s="63">
        <f>INDEX('Table S3 Literature Values'!$A$10:$AV$10000,MATCH($C53,'Table S3 Literature Values'!$A$10:$A$10000,0)+2,I$1)</f>
        <v>0</v>
      </c>
      <c r="K53" s="501">
        <f>IF(VLOOKUP($C53,'Table S3 Literature Values'!$A$10:$AV$10000,K$1,FALSE)=0,VLOOKUP($C53,'Table S9 Model Derived Values'!$A$10:$AV$10000,K$1,FALSE),VLOOKUP($C53,'Table S3 Literature Values'!$A$10:$AV$10000,K$1,FALSE))</f>
        <v>0</v>
      </c>
      <c r="L53" s="61">
        <f>IF(INDEX('Table S3 Literature Values'!$A$10:$AV$10000,MATCH($C53,'Table S3 Literature Values'!$A$10:$A$10000,0)+1,L$1)=0,INDEX('Table S9 Model Derived Values'!$A$10:$AV$10000,MATCH($C53,'Table S9 Model Derived Values'!$A$10:$A$10000,0)+1,L$1),INDEX('Table S3 Literature Values'!$A$10:$AV$10000,MATCH($C53,'Table S3 Literature Values'!$A$10:$A$10000,0)+1,L$1))</f>
        <v>0</v>
      </c>
      <c r="M53" s="63">
        <f>INDEX('Table S3 Literature Values'!$A$10:$AV$10000,MATCH($C53,'Table S3 Literature Values'!$A$10:$A$10000,0)+2,L$1)</f>
        <v>0</v>
      </c>
      <c r="N53" s="501">
        <f>IF(VLOOKUP($C53,'Table S3 Literature Values'!$A$10:$AV$10000,N$1,FALSE)=0,VLOOKUP($C53,'Table S9 Model Derived Values'!$A$10:$AV$10000,N$1,FALSE),VLOOKUP($C53,'Table S3 Literature Values'!$A$10:$AV$10000,N$1,FALSE))</f>
        <v>63.8</v>
      </c>
      <c r="O53" s="61">
        <f>IF(INDEX('Table S3 Literature Values'!$A$10:$AV$10000,MATCH($C53,'Table S3 Literature Values'!$A$10:$A$10000,0)+1,O$1)=0,INDEX('Table S9 Model Derived Values'!$A$10:$AV$10000,MATCH($C53,'Table S9 Model Derived Values'!$A$10:$A$10000,0)+1,O$1),INDEX('Table S3 Literature Values'!$A$10:$AV$10000,MATCH($C53,'Table S3 Literature Values'!$A$10:$A$10000,0)+1,O$1))</f>
        <v>4.042245745181881</v>
      </c>
      <c r="P53" s="63">
        <f>INDEX('Table S3 Literature Values'!$A$10:$AV$10000,MATCH($C53,'Table S3 Literature Values'!$A$10:$A$10000,0)+2,O$1)</f>
        <v>1</v>
      </c>
      <c r="Q53" s="501">
        <f>IF(VLOOKUP($C53,'Table S3 Literature Values'!$A$10:$AV$10000,Q$1,FALSE)=0,VLOOKUP($C53,'Table S9 Model Derived Values'!$A$10:$AV$10000,Q$1,FALSE),VLOOKUP($C53,'Table S3 Literature Values'!$A$10:$AV$10000,Q$1,FALSE))</f>
        <v>57.033388800000004</v>
      </c>
      <c r="R53" s="61">
        <f>IF(INDEX('Table S3 Literature Values'!$A$10:$AV$10000,MATCH($C53,'Table S3 Literature Values'!$A$10:$A$10000,0)+1,R$1)=0,INDEX('Table S9 Model Derived Values'!$A$10:$AV$10000,MATCH($C53,'Table S9 Model Derived Values'!$A$10:$A$10000,0)+1,R$1),INDEX('Table S3 Literature Values'!$A$10:$AV$10000,MATCH($C53,'Table S3 Literature Values'!$A$10:$A$10000,0)+1,R$1))</f>
        <v>17.047907279596799</v>
      </c>
      <c r="S53" s="63">
        <f>INDEX('Table S3 Literature Values'!$A$10:$AV$10000,MATCH($C53,'Table S3 Literature Values'!$A$10:$A$10000,0)+2,R$1)</f>
        <v>0</v>
      </c>
      <c r="T53" s="501">
        <f>IF(VLOOKUP($C53,'Table S3 Literature Values'!$A$10:$AV$10000,T$1,FALSE)=0,VLOOKUP($C53,'Table S9 Model Derived Values'!$A$10:$AV$10000,T$1,FALSE),VLOOKUP($C53,'Table S3 Literature Values'!$A$10:$AV$10000,T$1,FALSE))</f>
        <v>-33.734671999999989</v>
      </c>
      <c r="U53" s="61">
        <f>IF(INDEX('Table S3 Literature Values'!$A$10:$AV$10000,MATCH($C53,'Table S3 Literature Values'!$A$10:$A$10000,0)+1,U$1)=0,INDEX('Table S9 Model Derived Values'!$A$10:$AV$10000,MATCH($C53,'Table S9 Model Derived Values'!$A$10:$A$10000,0)+1,U$1),INDEX('Table S3 Literature Values'!$A$10:$AV$10000,MATCH($C53,'Table S3 Literature Values'!$A$10:$A$10000,0)+1,U$1))</f>
        <v>13.838405989729468</v>
      </c>
      <c r="V53" s="63">
        <f>INDEX('Table S3 Literature Values'!$A$10:$AV$10000,MATCH($C53,'Table S3 Literature Values'!$A$10:$A$10000,0)+2,U$1)</f>
        <v>0</v>
      </c>
      <c r="W53" s="501">
        <f ca="1">IF(VLOOKUP($C53,'Table S3 Literature Values'!$A$10:$AV$10000,W$1,FALSE)=0,VLOOKUP($C53,'Table S9 Model Derived Values'!$A$10:$AV$10000,W$1,FALSE),VLOOKUP($C53,'Table S3 Literature Values'!$A$10:$AV$10000,W$1,FALSE))</f>
        <v>7.6828040702811879</v>
      </c>
      <c r="X53" s="61">
        <f ca="1">IF(INDEX('Table S3 Literature Values'!$A$10:$AV$10000,MATCH($C53,'Table S3 Literature Values'!$A$10:$A$10000,0)+1,X$1)=0,INDEX('Table S9 Model Derived Values'!$A$10:$AV$10000,MATCH($C53,'Table S9 Model Derived Values'!$A$10:$A$10000,0)+1,X$1),INDEX('Table S3 Literature Values'!$A$10:$AV$10000,MATCH($C53,'Table S3 Literature Values'!$A$10:$A$10000,0)+1,X$1))</f>
        <v>2.1784930946130668E-2</v>
      </c>
      <c r="Y53" s="63">
        <f ca="1">INDEX('Table S3 Literature Values'!$A$10:$AV$10000,MATCH($C53,'Table S3 Literature Values'!$A$10:$A$10000,0)+2,X$1)</f>
        <v>2</v>
      </c>
      <c r="Z53" s="501">
        <f>IF(VLOOKUP($C53,'Table S3 Literature Values'!$A$10:$AV$10000,Z$1,FALSE)=0,VLOOKUP($C53,'Table S9 Model Derived Values'!$A$10:$AV$10000,Z$1,FALSE),VLOOKUP($C53,'Table S3 Literature Values'!$A$10:$AV$10000,Z$1,FALSE))</f>
        <v>5.2862499999999999</v>
      </c>
      <c r="AA53" s="61">
        <f>IF(INDEX('Table S3 Literature Values'!$A$10:$AV$10000,MATCH($C53,'Table S3 Literature Values'!$A$10:$A$10000,0)+1,AA$1)=0,INDEX('Table S9 Model Derived Values'!$A$10:$AV$10000,MATCH($C53,'Table S9 Model Derived Values'!$A$10:$A$10000,0)+1,AA$1),INDEX('Table S3 Literature Values'!$A$10:$AV$10000,MATCH($C53,'Table S3 Literature Values'!$A$10:$A$10000,0)+1,AA$1))</f>
        <v>1.9445436482629957E-2</v>
      </c>
      <c r="AB53" s="63">
        <f>INDEX('Table S3 Literature Values'!$A$10:$AV$10000,MATCH($C53,'Table S3 Literature Values'!$A$10:$A$10000,0)+2,AA$1)</f>
        <v>2</v>
      </c>
      <c r="AC53" s="501">
        <f>IF(VLOOKUP($C53,'Table S3 Literature Values'!$A$10:$AV$10000,AC$1,FALSE)=0,VLOOKUP($C53,'Table S9 Model Derived Values'!$A$10:$AV$10000,AC$1,FALSE),VLOOKUP($C53,'Table S3 Literature Values'!$A$10:$AV$10000,AC$1,FALSE))</f>
        <v>-2.4469041999999996</v>
      </c>
      <c r="AD53" s="61">
        <f>IF(INDEX('Table S3 Literature Values'!$A$10:$AV$10000,MATCH($C53,'Table S3 Literature Values'!$A$10:$A$10000,0)+1,AD$1)=0,INDEX('Table S9 Model Derived Values'!$A$10:$AV$10000,MATCH($C53,'Table S9 Model Derived Values'!$A$10:$A$10000,0)+1,AD$1),INDEX('Table S3 Literature Values'!$A$10:$AV$10000,MATCH($C53,'Table S3 Literature Values'!$A$10:$A$10000,0)+1,AD$1))</f>
        <v>0.54425266668499994</v>
      </c>
      <c r="AE53" s="63">
        <f>INDEX('Table S3 Literature Values'!$A$10:$AV$10000,MATCH($C53,'Table S3 Literature Values'!$A$10:$A$10000,0)+2,AD$1)</f>
        <v>0</v>
      </c>
      <c r="AF53" s="501">
        <f>IF(VLOOKUP($C53,'Table S3 Literature Values'!$A$10:$AV$10000,AF$1,FALSE)=0,VLOOKUP($C53,'Table S9 Model Derived Values'!$A$10:$AV$10000,AF$1,FALSE),VLOOKUP($C53,'Table S3 Literature Values'!$A$10:$AV$10000,AF$1,FALSE))</f>
        <v>-1.1641242474646873</v>
      </c>
      <c r="AG53" s="61">
        <f>IF(INDEX('Table S3 Literature Values'!$A$10:$AV$10000,MATCH($C53,'Table S3 Literature Values'!$A$10:$A$10000,0)+1,AG$1)=0,INDEX('Table S9 Model Derived Values'!$A$10:$AV$10000,MATCH($C53,'Table S9 Model Derived Values'!$A$10:$A$10000,0)+1,AG$1),INDEX('Table S3 Literature Values'!$A$10:$AV$10000,MATCH($C53,'Table S3 Literature Values'!$A$10:$A$10000,0)+1,AG$1))</f>
        <v>0.17316928979703319</v>
      </c>
      <c r="AH53" s="63">
        <f>INDEX('Table S3 Literature Values'!$A$10:$AV$10000,MATCH($C53,'Table S3 Literature Values'!$A$10:$A$10000,0)+2,AG$1)</f>
        <v>2</v>
      </c>
      <c r="AI53" s="501">
        <f>IF(VLOOKUP($C53,'Table S3 Literature Values'!$A$10:$AV$10000,AI$1,FALSE)=0,VLOOKUP($C53,'Table S9 Model Derived Values'!$A$10:$AV$10000,AI$1,FALSE),VLOOKUP($C53,'Table S3 Literature Values'!$A$10:$AV$10000,AI$1,FALSE))</f>
        <v>-3.2819205999699497</v>
      </c>
      <c r="AJ53" s="61">
        <f>IF(INDEX('Table S3 Literature Values'!$A$10:$AV$10000,MATCH($C53,'Table S3 Literature Values'!$A$10:$A$10000,0)+1,AJ$1)=0,INDEX('Table S9 Model Derived Values'!$A$10:$AV$10000,MATCH($C53,'Table S9 Model Derived Values'!$A$10:$A$10000,0)+1,AJ$1),INDEX('Table S3 Literature Values'!$A$10:$AV$10000,MATCH($C53,'Table S3 Literature Values'!$A$10:$A$10000,0)+1,AJ$1))</f>
        <v>0.44450077171695895</v>
      </c>
      <c r="AK53" s="63">
        <f>INDEX('Table S3 Literature Values'!$A$10:$AV$10000,MATCH($C53,'Table S3 Literature Values'!$A$10:$A$10000,0)+2,AJ$1)</f>
        <v>2</v>
      </c>
      <c r="AL53" s="501">
        <f>IF(VLOOKUP($C53,'Table S3 Literature Values'!$A$10:$AV$10000,AL$1,FALSE)=0,VLOOKUP($C53,'Table S9 Model Derived Values'!$A$10:$AV$10000,AL$1,FALSE),VLOOKUP($C53,'Table S3 Literature Values'!$A$10:$AV$10000,AL$1,FALSE))</f>
        <v>2.9694425999999989</v>
      </c>
      <c r="AM53" s="61">
        <f>IF(INDEX('Table S3 Literature Values'!$A$10:$AV$10000,MATCH($C53,'Table S3 Literature Values'!$A$10:$A$10000,0)+1,AM$1)=0,INDEX('Table S9 Model Derived Values'!$A$10:$AV$10000,MATCH($C53,'Table S9 Model Derived Values'!$A$10:$A$10000,0)+1,AM$1),INDEX('Table S3 Literature Values'!$A$10:$AV$10000,MATCH($C53,'Table S3 Literature Values'!$A$10:$A$10000,0)+1,AM$1))</f>
        <v>0.53667033054059976</v>
      </c>
      <c r="AN53" s="63">
        <f>INDEX('Table S3 Literature Values'!$A$10:$AV$10000,MATCH($C53,'Table S3 Literature Values'!$A$10:$A$10000,0)+2,AM$1)</f>
        <v>0</v>
      </c>
      <c r="AO53" s="501">
        <f>IF(VLOOKUP($C53,'Table S3 Literature Values'!$A$10:$AV$10000,AO$1,FALSE)=0,VLOOKUP($C53,'Table S9 Model Derived Values'!$A$10:$AV$10000,AO$1,FALSE),VLOOKUP($C53,'Table S3 Literature Values'!$A$10:$AV$10000,AO$1,FALSE))</f>
        <v>0</v>
      </c>
      <c r="AP53" s="61">
        <f>IF(INDEX('Table S3 Literature Values'!$A$10:$AV$10000,MATCH($C53,'Table S3 Literature Values'!$A$10:$A$10000,0)+1,AP$1)=0,INDEX('Table S9 Model Derived Values'!$A$10:$AV$10000,MATCH($C53,'Table S9 Model Derived Values'!$A$10:$A$10000,0)+1,AP$1),INDEX('Table S3 Literature Values'!$A$10:$AV$10000,MATCH($C53,'Table S3 Literature Values'!$A$10:$A$10000,0)+1,AP$1))</f>
        <v>0</v>
      </c>
      <c r="AQ53" s="63">
        <f>INDEX('Table S3 Literature Values'!$A$10:$AV$10000,MATCH($C53,'Table S3 Literature Values'!$A$10:$A$10000,0)+2,AP$1)</f>
        <v>0</v>
      </c>
      <c r="AR53" s="501">
        <f>IF(VLOOKUP($C53,'Table S3 Literature Values'!$A$10:$AV$10000,AR$1,FALSE)=0,VLOOKUP($C53,'Table S9 Model Derived Values'!$A$10:$AV$10000,AR$1,FALSE),VLOOKUP($C53,'Table S3 Literature Values'!$A$10:$AV$10000,AR$1,FALSE))</f>
        <v>29.083333333333332</v>
      </c>
      <c r="AS53" s="61">
        <f>IF(INDEX('Table S3 Literature Values'!$A$10:$AV$10000,MATCH($C53,'Table S3 Literature Values'!$A$10:$A$10000,0)+1,AS$1)=0,INDEX('Table S9 Model Derived Values'!$A$10:$AV$10000,MATCH($C53,'Table S9 Model Derived Values'!$A$10:$A$10000,0)+1,AS$1),INDEX('Table S3 Literature Values'!$A$10:$AV$10000,MATCH($C53,'Table S3 Literature Values'!$A$10:$A$10000,0)+1,AS$1))</f>
        <v>0.38188130791298669</v>
      </c>
      <c r="AT53" s="63">
        <f>INDEX('Table S3 Literature Values'!$A$10:$AV$10000,MATCH($C53,'Table S3 Literature Values'!$A$10:$A$10000,0)+2,AS$1)</f>
        <v>3</v>
      </c>
    </row>
    <row r="54" spans="1:46">
      <c r="A54" t="str">
        <f>'Table S2 Compound Identifiers'!C59</f>
        <v>PCB</v>
      </c>
      <c r="B54">
        <f>COUNTIF($C$3:C54,"&lt;&gt;"&amp;"")</f>
        <v>52</v>
      </c>
      <c r="C54" t="str">
        <f>IF('Table S2 Compound Identifiers'!B59="","",'Table S2 Compound Identifiers'!B59)</f>
        <v>PCB-131</v>
      </c>
      <c r="D54" t="str">
        <f>'Table S2 Compound Identifiers'!D59</f>
        <v>61798-70-7</v>
      </c>
      <c r="E54" s="501">
        <f>IF(VLOOKUP($C54,'Table S3 Literature Values'!$A$10:$AV$10000,E$1,FALSE)=0,VLOOKUP($C54,'Table S9 Model Derived Values'!$A$10:$AV$10000,E$1,FALSE),VLOOKUP($C54,'Table S3 Literature Values'!$A$10:$AV$10000,E$1,FALSE))</f>
        <v>85.341688061999989</v>
      </c>
      <c r="F54" s="61">
        <f>IF(INDEX('Table S3 Literature Values'!$A$10:$AV$10000,MATCH($C54,'Table S3 Literature Values'!$A$10:$A$10000,0)+1,F$1)=0,INDEX('Table S9 Model Derived Values'!$A$10:$AV$10000,MATCH($C54,'Table S9 Model Derived Values'!$A$10:$A$10000,0)+1,F$1),INDEX('Table S3 Literature Values'!$A$10:$AV$10000,MATCH($C54,'Table S3 Literature Values'!$A$10:$A$10000,0)+1,F$1))</f>
        <v>1.7560120975171565</v>
      </c>
      <c r="G54" s="63">
        <f>INDEX('Table S3 Literature Values'!$A$10:$AV$10000,MATCH($C54,'Table S3 Literature Values'!$A$10:$A$10000,0)+2,F$1)</f>
        <v>2</v>
      </c>
      <c r="H54" s="501">
        <f>IF(VLOOKUP($C54,'Table S3 Literature Values'!$A$10:$AV$10000,H$1,FALSE)=0,VLOOKUP($C54,'Table S9 Model Derived Values'!$A$10:$AV$10000,H$1,FALSE),VLOOKUP($C54,'Table S3 Literature Values'!$A$10:$AV$10000,H$1,FALSE))</f>
        <v>12.778028014968001</v>
      </c>
      <c r="I54" s="61">
        <f>IF(INDEX('Table S3 Literature Values'!$A$10:$AV$10000,MATCH($C54,'Table S3 Literature Values'!$A$10:$A$10000,0)+1,I$1)=0,INDEX('Table S9 Model Derived Values'!$A$10:$AV$10000,MATCH($C54,'Table S9 Model Derived Values'!$A$10:$A$10000,0)+1,I$1),INDEX('Table S3 Literature Values'!$A$10:$AV$10000,MATCH($C54,'Table S3 Literature Values'!$A$10:$A$10000,0)+1,I$1))</f>
        <v>7.8183131091262608</v>
      </c>
      <c r="J54" s="63">
        <f>INDEX('Table S3 Literature Values'!$A$10:$AV$10000,MATCH($C54,'Table S3 Literature Values'!$A$10:$A$10000,0)+2,I$1)</f>
        <v>0</v>
      </c>
      <c r="K54" s="501">
        <f>IF(VLOOKUP($C54,'Table S3 Literature Values'!$A$10:$AV$10000,K$1,FALSE)=0,VLOOKUP($C54,'Table S9 Model Derived Values'!$A$10:$AV$10000,K$1,FALSE),VLOOKUP($C54,'Table S3 Literature Values'!$A$10:$AV$10000,K$1,FALSE))</f>
        <v>0</v>
      </c>
      <c r="L54" s="61">
        <f>IF(INDEX('Table S3 Literature Values'!$A$10:$AV$10000,MATCH($C54,'Table S3 Literature Values'!$A$10:$A$10000,0)+1,L$1)=0,INDEX('Table S9 Model Derived Values'!$A$10:$AV$10000,MATCH($C54,'Table S9 Model Derived Values'!$A$10:$A$10000,0)+1,L$1),INDEX('Table S3 Literature Values'!$A$10:$AV$10000,MATCH($C54,'Table S3 Literature Values'!$A$10:$A$10000,0)+1,L$1))</f>
        <v>0</v>
      </c>
      <c r="M54" s="63">
        <f>INDEX('Table S3 Literature Values'!$A$10:$AV$10000,MATCH($C54,'Table S3 Literature Values'!$A$10:$A$10000,0)+2,L$1)</f>
        <v>0</v>
      </c>
      <c r="N54" s="501">
        <f>IF(VLOOKUP($C54,'Table S3 Literature Values'!$A$10:$AV$10000,N$1,FALSE)=0,VLOOKUP($C54,'Table S9 Model Derived Values'!$A$10:$AV$10000,N$1,FALSE),VLOOKUP($C54,'Table S3 Literature Values'!$A$10:$AV$10000,N$1,FALSE))</f>
        <v>83</v>
      </c>
      <c r="O54" s="61">
        <f>IF(INDEX('Table S3 Literature Values'!$A$10:$AV$10000,MATCH($C54,'Table S3 Literature Values'!$A$10:$A$10000,0)+1,O$1)=0,INDEX('Table S9 Model Derived Values'!$A$10:$AV$10000,MATCH($C54,'Table S9 Model Derived Values'!$A$10:$A$10000,0)+1,O$1),INDEX('Table S3 Literature Values'!$A$10:$AV$10000,MATCH($C54,'Table S3 Literature Values'!$A$10:$A$10000,0)+1,O$1))</f>
        <v>5.2587209537632624</v>
      </c>
      <c r="P54" s="63">
        <f>INDEX('Table S3 Literature Values'!$A$10:$AV$10000,MATCH($C54,'Table S3 Literature Values'!$A$10:$A$10000,0)+2,O$1)</f>
        <v>1</v>
      </c>
      <c r="Q54" s="501">
        <f>IF(VLOOKUP($C54,'Table S3 Literature Values'!$A$10:$AV$10000,Q$1,FALSE)=0,VLOOKUP($C54,'Table S9 Model Derived Values'!$A$10:$AV$10000,Q$1,FALSE),VLOOKUP($C54,'Table S3 Literature Values'!$A$10:$AV$10000,Q$1,FALSE))</f>
        <v>58.2108378</v>
      </c>
      <c r="R54" s="61">
        <f>IF(INDEX('Table S3 Literature Values'!$A$10:$AV$10000,MATCH($C54,'Table S3 Literature Values'!$A$10:$A$10000,0)+1,R$1)=0,INDEX('Table S9 Model Derived Values'!$A$10:$AV$10000,MATCH($C54,'Table S9 Model Derived Values'!$A$10:$A$10000,0)+1,R$1),INDEX('Table S3 Literature Values'!$A$10:$AV$10000,MATCH($C54,'Table S3 Literature Values'!$A$10:$A$10000,0)+1,R$1))</f>
        <v>17.399859737635801</v>
      </c>
      <c r="S54" s="63">
        <f>INDEX('Table S3 Literature Values'!$A$10:$AV$10000,MATCH($C54,'Table S3 Literature Values'!$A$10:$A$10000,0)+2,R$1)</f>
        <v>0</v>
      </c>
      <c r="T54" s="501">
        <f>IF(VLOOKUP($C54,'Table S3 Literature Values'!$A$10:$AV$10000,T$1,FALSE)=0,VLOOKUP($C54,'Table S9 Model Derived Values'!$A$10:$AV$10000,T$1,FALSE),VLOOKUP($C54,'Table S3 Literature Values'!$A$10:$AV$10000,T$1,FALSE))</f>
        <v>-23.136451999999995</v>
      </c>
      <c r="U54" s="61">
        <f>IF(INDEX('Table S3 Literature Values'!$A$10:$AV$10000,MATCH($C54,'Table S3 Literature Values'!$A$10:$A$10000,0)+1,U$1)=0,INDEX('Table S9 Model Derived Values'!$A$10:$AV$10000,MATCH($C54,'Table S9 Model Derived Values'!$A$10:$A$10000,0)+1,U$1),INDEX('Table S3 Literature Values'!$A$10:$AV$10000,MATCH($C54,'Table S3 Literature Values'!$A$10:$A$10000,0)+1,U$1))</f>
        <v>9.4908768028895718</v>
      </c>
      <c r="V54" s="63">
        <f>INDEX('Table S3 Literature Values'!$A$10:$AV$10000,MATCH($C54,'Table S3 Literature Values'!$A$10:$A$10000,0)+2,U$1)</f>
        <v>0</v>
      </c>
      <c r="W54" s="501">
        <f ca="1">IF(VLOOKUP($C54,'Table S3 Literature Values'!$A$10:$AV$10000,W$1,FALSE)=0,VLOOKUP($C54,'Table S9 Model Derived Values'!$A$10:$AV$10000,W$1,FALSE),VLOOKUP($C54,'Table S3 Literature Values'!$A$10:$AV$10000,W$1,FALSE))</f>
        <v>9.5354454649199933</v>
      </c>
      <c r="X54" s="61">
        <f ca="1">IF(INDEX('Table S3 Literature Values'!$A$10:$AV$10000,MATCH($C54,'Table S3 Literature Values'!$A$10:$A$10000,0)+1,X$1)=0,INDEX('Table S9 Model Derived Values'!$A$10:$AV$10000,MATCH($C54,'Table S9 Model Derived Values'!$A$10:$A$10000,0)+1,X$1),INDEX('Table S3 Literature Values'!$A$10:$AV$10000,MATCH($C54,'Table S3 Literature Values'!$A$10:$A$10000,0)+1,X$1))</f>
        <v>6.0454967129327825E-2</v>
      </c>
      <c r="Y54" s="63">
        <f ca="1">INDEX('Table S3 Literature Values'!$A$10:$AV$10000,MATCH($C54,'Table S3 Literature Values'!$A$10:$A$10000,0)+2,X$1)</f>
        <v>2</v>
      </c>
      <c r="Z54" s="501">
        <f>IF(VLOOKUP($C54,'Table S3 Literature Values'!$A$10:$AV$10000,Z$1,FALSE)=0,VLOOKUP($C54,'Table S9 Model Derived Values'!$A$10:$AV$10000,Z$1,FALSE),VLOOKUP($C54,'Table S3 Literature Values'!$A$10:$AV$10000,Z$1,FALSE))</f>
        <v>6.665</v>
      </c>
      <c r="AA54" s="61">
        <f>IF(INDEX('Table S3 Literature Values'!$A$10:$AV$10000,MATCH($C54,'Table S3 Literature Values'!$A$10:$A$10000,0)+1,AA$1)=0,INDEX('Table S9 Model Derived Values'!$A$10:$AV$10000,MATCH($C54,'Table S9 Model Derived Values'!$A$10:$A$10000,0)+1,AA$1),INDEX('Table S3 Literature Values'!$A$10:$AV$10000,MATCH($C54,'Table S3 Literature Values'!$A$10:$A$10000,0)+1,AA$1))</f>
        <v>0.16263455967290624</v>
      </c>
      <c r="AB54" s="63">
        <f>INDEX('Table S3 Literature Values'!$A$10:$AV$10000,MATCH($C54,'Table S3 Literature Values'!$A$10:$A$10000,0)+2,AA$1)</f>
        <v>2</v>
      </c>
      <c r="AC54" s="501">
        <f ca="1">IF(VLOOKUP($C54,'Table S3 Literature Values'!$A$10:$AV$10000,AC$1,FALSE)=0,VLOOKUP($C54,'Table S9 Model Derived Values'!$A$10:$AV$10000,AC$1,FALSE),VLOOKUP($C54,'Table S3 Literature Values'!$A$10:$AV$10000,AC$1,FALSE))</f>
        <v>-2.5888519995337749</v>
      </c>
      <c r="AD54" s="61">
        <f ca="1">IF(INDEX('Table S3 Literature Values'!$A$10:$AV$10000,MATCH($C54,'Table S3 Literature Values'!$A$10:$A$10000,0)+1,AD$1)=0,INDEX('Table S9 Model Derived Values'!$A$10:$AV$10000,MATCH($C54,'Table S9 Model Derived Values'!$A$10:$A$10000,0)+1,AD$1),INDEX('Table S3 Literature Values'!$A$10:$AV$10000,MATCH($C54,'Table S3 Literature Values'!$A$10:$A$10000,0)+1,AD$1))</f>
        <v>0.29502137502894887</v>
      </c>
      <c r="AE54" s="63">
        <f ca="1">INDEX('Table S3 Literature Values'!$A$10:$AV$10000,MATCH($C54,'Table S3 Literature Values'!$A$10:$A$10000,0)+2,AD$1)</f>
        <v>2</v>
      </c>
      <c r="AF54" s="501">
        <f ca="1">IF(VLOOKUP($C54,'Table S3 Literature Values'!$A$10:$AV$10000,AF$1,FALSE)=0,VLOOKUP($C54,'Table S9 Model Derived Values'!$A$10:$AV$10000,AF$1,FALSE),VLOOKUP($C54,'Table S3 Literature Values'!$A$10:$AV$10000,AF$1,FALSE))</f>
        <v>-3.0450153498164276</v>
      </c>
      <c r="AG54" s="61">
        <f ca="1">IF(INDEX('Table S3 Literature Values'!$A$10:$AV$10000,MATCH($C54,'Table S3 Literature Values'!$A$10:$A$10000,0)+1,AG$1)=0,INDEX('Table S9 Model Derived Values'!$A$10:$AV$10000,MATCH($C54,'Table S9 Model Derived Values'!$A$10:$A$10000,0)+1,AG$1),INDEX('Table S3 Literature Values'!$A$10:$AV$10000,MATCH($C54,'Table S3 Literature Values'!$A$10:$A$10000,0)+1,AG$1))</f>
        <v>0.24220774330514885</v>
      </c>
      <c r="AH54" s="63">
        <f ca="1">INDEX('Table S3 Literature Values'!$A$10:$AV$10000,MATCH($C54,'Table S3 Literature Values'!$A$10:$A$10000,0)+2,AG$1)</f>
        <v>4</v>
      </c>
      <c r="AI54" s="501">
        <f ca="1">IF(VLOOKUP($C54,'Table S3 Literature Values'!$A$10:$AV$10000,AI$1,FALSE)=0,VLOOKUP($C54,'Table S9 Model Derived Values'!$A$10:$AV$10000,AI$1,FALSE),VLOOKUP($C54,'Table S3 Literature Values'!$A$10:$AV$10000,AI$1,FALSE))</f>
        <v>-4.9723347322518059</v>
      </c>
      <c r="AJ54" s="61">
        <f ca="1">IF(INDEX('Table S3 Literature Values'!$A$10:$AV$10000,MATCH($C54,'Table S3 Literature Values'!$A$10:$A$10000,0)+1,AJ$1)=0,INDEX('Table S9 Model Derived Values'!$A$10:$AV$10000,MATCH($C54,'Table S9 Model Derived Values'!$A$10:$A$10000,0)+1,AJ$1),INDEX('Table S3 Literature Values'!$A$10:$AV$10000,MATCH($C54,'Table S3 Literature Values'!$A$10:$A$10000,0)+1,AJ$1))</f>
        <v>0.64224406619288954</v>
      </c>
      <c r="AK54" s="63">
        <f ca="1">INDEX('Table S3 Literature Values'!$A$10:$AV$10000,MATCH($C54,'Table S3 Literature Values'!$A$10:$A$10000,0)+2,AJ$1)</f>
        <v>2</v>
      </c>
      <c r="AL54" s="501">
        <f>IF(VLOOKUP($C54,'Table S3 Literature Values'!$A$10:$AV$10000,AL$1,FALSE)=0,VLOOKUP($C54,'Table S9 Model Derived Values'!$A$10:$AV$10000,AL$1,FALSE),VLOOKUP($C54,'Table S3 Literature Values'!$A$10:$AV$10000,AL$1,FALSE))</f>
        <v>2.8283425999999992</v>
      </c>
      <c r="AM54" s="61">
        <f>IF(INDEX('Table S3 Literature Values'!$A$10:$AV$10000,MATCH($C54,'Table S3 Literature Values'!$A$10:$A$10000,0)+1,AM$1)=0,INDEX('Table S9 Model Derived Values'!$A$10:$AV$10000,MATCH($C54,'Table S9 Model Derived Values'!$A$10:$A$10000,0)+1,AM$1),INDEX('Table S3 Literature Values'!$A$10:$AV$10000,MATCH($C54,'Table S3 Literature Values'!$A$10:$A$10000,0)+1,AM$1))</f>
        <v>0.51116918644059983</v>
      </c>
      <c r="AN54" s="63">
        <f>INDEX('Table S3 Literature Values'!$A$10:$AV$10000,MATCH($C54,'Table S3 Literature Values'!$A$10:$A$10000,0)+2,AM$1)</f>
        <v>0</v>
      </c>
      <c r="AO54" s="501">
        <f>IF(VLOOKUP($C54,'Table S3 Literature Values'!$A$10:$AV$10000,AO$1,FALSE)=0,VLOOKUP($C54,'Table S9 Model Derived Values'!$A$10:$AV$10000,AO$1,FALSE),VLOOKUP($C54,'Table S3 Literature Values'!$A$10:$AV$10000,AO$1,FALSE))</f>
        <v>0</v>
      </c>
      <c r="AP54" s="61">
        <f>IF(INDEX('Table S3 Literature Values'!$A$10:$AV$10000,MATCH($C54,'Table S3 Literature Values'!$A$10:$A$10000,0)+1,AP$1)=0,INDEX('Table S9 Model Derived Values'!$A$10:$AV$10000,MATCH($C54,'Table S9 Model Derived Values'!$A$10:$A$10000,0)+1,AP$1),INDEX('Table S3 Literature Values'!$A$10:$AV$10000,MATCH($C54,'Table S3 Literature Values'!$A$10:$A$10000,0)+1,AP$1))</f>
        <v>0</v>
      </c>
      <c r="AQ54" s="63">
        <f>INDEX('Table S3 Literature Values'!$A$10:$AV$10000,MATCH($C54,'Table S3 Literature Values'!$A$10:$A$10000,0)+2,AP$1)</f>
        <v>0</v>
      </c>
      <c r="AR54" s="501">
        <f>IF(VLOOKUP($C54,'Table S3 Literature Values'!$A$10:$AV$10000,AR$1,FALSE)=0,VLOOKUP($C54,'Table S9 Model Derived Values'!$A$10:$AV$10000,AR$1,FALSE),VLOOKUP($C54,'Table S3 Literature Values'!$A$10:$AV$10000,AR$1,FALSE))</f>
        <v>136</v>
      </c>
      <c r="AS54" s="61">
        <f>IF(INDEX('Table S3 Literature Values'!$A$10:$AV$10000,MATCH($C54,'Table S3 Literature Values'!$A$10:$A$10000,0)+1,AS$1)=0,INDEX('Table S9 Model Derived Values'!$A$10:$AV$10000,MATCH($C54,'Table S9 Model Derived Values'!$A$10:$A$10000,0)+1,AS$1),INDEX('Table S3 Literature Values'!$A$10:$AV$10000,MATCH($C54,'Table S3 Literature Values'!$A$10:$A$10000,0)+1,AS$1))</f>
        <v>6.2785375376398376</v>
      </c>
      <c r="AT54" s="63">
        <f>INDEX('Table S3 Literature Values'!$A$10:$AV$10000,MATCH($C54,'Table S3 Literature Values'!$A$10:$A$10000,0)+2,AS$1)</f>
        <v>1</v>
      </c>
    </row>
    <row r="55" spans="1:46">
      <c r="A55" t="str">
        <f>'Table S2 Compound Identifiers'!C60</f>
        <v>PCB</v>
      </c>
      <c r="B55">
        <f>COUNTIF($C$3:C55,"&lt;&gt;"&amp;"")</f>
        <v>53</v>
      </c>
      <c r="C55" t="str">
        <f>IF('Table S2 Compound Identifiers'!B60="","",'Table S2 Compound Identifiers'!B60)</f>
        <v>PCB-47</v>
      </c>
      <c r="D55" t="str">
        <f>'Table S2 Compound Identifiers'!D60</f>
        <v>2437-79-8</v>
      </c>
      <c r="E55" s="501">
        <f>IF(VLOOKUP($C55,'Table S3 Literature Values'!$A$10:$AV$10000,E$1,FALSE)=0,VLOOKUP($C55,'Table S9 Model Derived Values'!$A$10:$AV$10000,E$1,FALSE),VLOOKUP($C55,'Table S3 Literature Values'!$A$10:$AV$10000,E$1,FALSE))</f>
        <v>85.186631759000008</v>
      </c>
      <c r="F55" s="61">
        <f>IF(INDEX('Table S3 Literature Values'!$A$10:$AV$10000,MATCH($C55,'Table S3 Literature Values'!$A$10:$A$10000,0)+1,F$1)=0,INDEX('Table S9 Model Derived Values'!$A$10:$AV$10000,MATCH($C55,'Table S9 Model Derived Values'!$A$10:$A$10000,0)+1,F$1),INDEX('Table S3 Literature Values'!$A$10:$AV$10000,MATCH($C55,'Table S3 Literature Values'!$A$10:$A$10000,0)+1,F$1))</f>
        <v>5.9586025096942681</v>
      </c>
      <c r="G55" s="63">
        <f>INDEX('Table S3 Literature Values'!$A$10:$AV$10000,MATCH($C55,'Table S3 Literature Values'!$A$10:$A$10000,0)+2,F$1)</f>
        <v>2</v>
      </c>
      <c r="H55" s="501">
        <f>IF(VLOOKUP($C55,'Table S3 Literature Values'!$A$10:$AV$10000,H$1,FALSE)=0,VLOOKUP($C55,'Table S9 Model Derived Values'!$A$10:$AV$10000,H$1,FALSE),VLOOKUP($C55,'Table S3 Literature Values'!$A$10:$AV$10000,H$1,FALSE))</f>
        <v>32</v>
      </c>
      <c r="I55" s="61">
        <f>IF(INDEX('Table S3 Literature Values'!$A$10:$AV$10000,MATCH($C55,'Table S3 Literature Values'!$A$10:$A$10000,0)+1,I$1)=0,INDEX('Table S9 Model Derived Values'!$A$10:$AV$10000,MATCH($C55,'Table S9 Model Derived Values'!$A$10:$A$10000,0)+1,I$1),INDEX('Table S3 Literature Values'!$A$10:$AV$10000,MATCH($C55,'Table S3 Literature Values'!$A$10:$A$10000,0)+1,I$1))</f>
        <v>6.4</v>
      </c>
      <c r="J55" s="63">
        <f>INDEX('Table S3 Literature Values'!$A$10:$AV$10000,MATCH($C55,'Table S3 Literature Values'!$A$10:$A$10000,0)+2,I$1)</f>
        <v>1</v>
      </c>
      <c r="K55" s="501">
        <f>IF(VLOOKUP($C55,'Table S3 Literature Values'!$A$10:$AV$10000,K$1,FALSE)=0,VLOOKUP($C55,'Table S9 Model Derived Values'!$A$10:$AV$10000,K$1,FALSE),VLOOKUP($C55,'Table S3 Literature Values'!$A$10:$AV$10000,K$1,FALSE))</f>
        <v>0</v>
      </c>
      <c r="L55" s="61">
        <f>IF(INDEX('Table S3 Literature Values'!$A$10:$AV$10000,MATCH($C55,'Table S3 Literature Values'!$A$10:$A$10000,0)+1,L$1)=0,INDEX('Table S9 Model Derived Values'!$A$10:$AV$10000,MATCH($C55,'Table S9 Model Derived Values'!$A$10:$A$10000,0)+1,L$1),INDEX('Table S3 Literature Values'!$A$10:$AV$10000,MATCH($C55,'Table S3 Literature Values'!$A$10:$A$10000,0)+1,L$1))</f>
        <v>0</v>
      </c>
      <c r="M55" s="63">
        <f>INDEX('Table S3 Literature Values'!$A$10:$AV$10000,MATCH($C55,'Table S3 Literature Values'!$A$10:$A$10000,0)+2,L$1)</f>
        <v>0</v>
      </c>
      <c r="N55" s="501">
        <f>IF(VLOOKUP($C55,'Table S3 Literature Values'!$A$10:$AV$10000,N$1,FALSE)=0,VLOOKUP($C55,'Table S9 Model Derived Values'!$A$10:$AV$10000,N$1,FALSE),VLOOKUP($C55,'Table S3 Literature Values'!$A$10:$AV$10000,N$1,FALSE))</f>
        <v>77</v>
      </c>
      <c r="O55" s="61">
        <f>IF(INDEX('Table S3 Literature Values'!$A$10:$AV$10000,MATCH($C55,'Table S3 Literature Values'!$A$10:$A$10000,0)+1,O$1)=0,INDEX('Table S9 Model Derived Values'!$A$10:$AV$10000,MATCH($C55,'Table S9 Model Derived Values'!$A$10:$A$10000,0)+1,O$1),INDEX('Table S3 Literature Values'!$A$10:$AV$10000,MATCH($C55,'Table S3 Literature Values'!$A$10:$A$10000,0)+1,O$1))</f>
        <v>4.8785724510815802</v>
      </c>
      <c r="P55" s="63">
        <f>INDEX('Table S3 Literature Values'!$A$10:$AV$10000,MATCH($C55,'Table S3 Literature Values'!$A$10:$A$10000,0)+2,O$1)</f>
        <v>1</v>
      </c>
      <c r="Q55" s="501">
        <f>IF(VLOOKUP($C55,'Table S3 Literature Values'!$A$10:$AV$10000,Q$1,FALSE)=0,VLOOKUP($C55,'Table S9 Model Derived Values'!$A$10:$AV$10000,Q$1,FALSE),VLOOKUP($C55,'Table S3 Literature Values'!$A$10:$AV$10000,Q$1,FALSE))</f>
        <v>54.406700399999998</v>
      </c>
      <c r="R55" s="61">
        <f>IF(INDEX('Table S3 Literature Values'!$A$10:$AV$10000,MATCH($C55,'Table S3 Literature Values'!$A$10:$A$10000,0)+1,R$1)=0,INDEX('Table S9 Model Derived Values'!$A$10:$AV$10000,MATCH($C55,'Table S9 Model Derived Values'!$A$10:$A$10000,0)+1,R$1),INDEX('Table S3 Literature Values'!$A$10:$AV$10000,MATCH($C55,'Table S3 Literature Values'!$A$10:$A$10000,0)+1,R$1))</f>
        <v>16.262761223264398</v>
      </c>
      <c r="S55" s="63">
        <f>INDEX('Table S3 Literature Values'!$A$10:$AV$10000,MATCH($C55,'Table S3 Literature Values'!$A$10:$A$10000,0)+2,R$1)</f>
        <v>0</v>
      </c>
      <c r="T55" s="501">
        <f>IF(VLOOKUP($C55,'Table S3 Literature Values'!$A$10:$AV$10000,T$1,FALSE)=0,VLOOKUP($C55,'Table S9 Model Derived Values'!$A$10:$AV$10000,T$1,FALSE),VLOOKUP($C55,'Table S3 Literature Values'!$A$10:$AV$10000,T$1,FALSE))</f>
        <v>-18.97117600000001</v>
      </c>
      <c r="U55" s="61">
        <f>IF(INDEX('Table S3 Literature Values'!$A$10:$AV$10000,MATCH($C55,'Table S3 Literature Values'!$A$10:$A$10000,0)+1,U$1)=0,INDEX('Table S9 Model Derived Values'!$A$10:$AV$10000,MATCH($C55,'Table S9 Model Derived Values'!$A$10:$A$10000,0)+1,U$1),INDEX('Table S3 Literature Values'!$A$10:$AV$10000,MATCH($C55,'Table S3 Literature Values'!$A$10:$A$10000,0)+1,U$1))</f>
        <v>7.7822258236455406</v>
      </c>
      <c r="V55" s="63">
        <f>INDEX('Table S3 Literature Values'!$A$10:$AV$10000,MATCH($C55,'Table S3 Literature Values'!$A$10:$A$10000,0)+2,U$1)</f>
        <v>0</v>
      </c>
      <c r="W55" s="501">
        <f ca="1">IF(VLOOKUP($C55,'Table S3 Literature Values'!$A$10:$AV$10000,W$1,FALSE)=0,VLOOKUP($C55,'Table S9 Model Derived Values'!$A$10:$AV$10000,W$1,FALSE),VLOOKUP($C55,'Table S3 Literature Values'!$A$10:$AV$10000,W$1,FALSE))</f>
        <v>8.3783125260505589</v>
      </c>
      <c r="X55" s="61">
        <f ca="1">IF(INDEX('Table S3 Literature Values'!$A$10:$AV$10000,MATCH($C55,'Table S3 Literature Values'!$A$10:$A$10000,0)+1,X$1)=0,INDEX('Table S9 Model Derived Values'!$A$10:$AV$10000,MATCH($C55,'Table S9 Model Derived Values'!$A$10:$A$10000,0)+1,X$1),INDEX('Table S3 Literature Values'!$A$10:$AV$10000,MATCH($C55,'Table S3 Literature Values'!$A$10:$A$10000,0)+1,X$1))</f>
        <v>6.3856714674023748E-2</v>
      </c>
      <c r="Y55" s="63">
        <f ca="1">INDEX('Table S3 Literature Values'!$A$10:$AV$10000,MATCH($C55,'Table S3 Literature Values'!$A$10:$A$10000,0)+2,X$1)</f>
        <v>2</v>
      </c>
      <c r="Z55" s="501">
        <f>IF(VLOOKUP($C55,'Table S3 Literature Values'!$A$10:$AV$10000,Z$1,FALSE)=0,VLOOKUP($C55,'Table S9 Model Derived Values'!$A$10:$AV$10000,Z$1,FALSE),VLOOKUP($C55,'Table S3 Literature Values'!$A$10:$AV$10000,Z$1,FALSE))</f>
        <v>5.9708333333333323</v>
      </c>
      <c r="AA55" s="61">
        <f>IF(INDEX('Table S3 Literature Values'!$A$10:$AV$10000,MATCH($C55,'Table S3 Literature Values'!$A$10:$A$10000,0)+1,AA$1)=0,INDEX('Table S9 Model Derived Values'!$A$10:$AV$10000,MATCH($C55,'Table S9 Model Derived Values'!$A$10:$A$10000,0)+1,AA$1),INDEX('Table S3 Literature Values'!$A$10:$AV$10000,MATCH($C55,'Table S3 Literature Values'!$A$10:$A$10000,0)+1,AA$1))</f>
        <v>0.30598542993635075</v>
      </c>
      <c r="AB55" s="63">
        <f>INDEX('Table S3 Literature Values'!$A$10:$AV$10000,MATCH($C55,'Table S3 Literature Values'!$A$10:$A$10000,0)+2,AA$1)</f>
        <v>3</v>
      </c>
      <c r="AC55" s="501">
        <f>IF(VLOOKUP($C55,'Table S3 Literature Values'!$A$10:$AV$10000,AC$1,FALSE)=0,VLOOKUP($C55,'Table S9 Model Derived Values'!$A$10:$AV$10000,AC$1,FALSE),VLOOKUP($C55,'Table S3 Literature Values'!$A$10:$AV$10000,AC$1,FALSE))</f>
        <v>-2.1097746204853944</v>
      </c>
      <c r="AD55" s="61">
        <f>IF(INDEX('Table S3 Literature Values'!$A$10:$AV$10000,MATCH($C55,'Table S3 Literature Values'!$A$10:$A$10000,0)+1,AD$1)=0,INDEX('Table S9 Model Derived Values'!$A$10:$AV$10000,MATCH($C55,'Table S9 Model Derived Values'!$A$10:$A$10000,0)+1,AD$1),INDEX('Table S3 Literature Values'!$A$10:$AV$10000,MATCH($C55,'Table S3 Literature Values'!$A$10:$A$10000,0)+1,AD$1))</f>
        <v>0.42195492409707891</v>
      </c>
      <c r="AE55" s="63">
        <f>INDEX('Table S3 Literature Values'!$A$10:$AV$10000,MATCH($C55,'Table S3 Literature Values'!$A$10:$A$10000,0)+2,AD$1)</f>
        <v>1</v>
      </c>
      <c r="AF55" s="501">
        <f>IF(VLOOKUP($C55,'Table S3 Literature Values'!$A$10:$AV$10000,AF$1,FALSE)=0,VLOOKUP($C55,'Table S9 Model Derived Values'!$A$10:$AV$10000,AF$1,FALSE),VLOOKUP($C55,'Table S3 Literature Values'!$A$10:$AV$10000,AF$1,FALSE))</f>
        <v>-1.8415366630123795</v>
      </c>
      <c r="AG55" s="61">
        <f>IF(INDEX('Table S3 Literature Values'!$A$10:$AV$10000,MATCH($C55,'Table S3 Literature Values'!$A$10:$A$10000,0)+1,AG$1)=0,INDEX('Table S9 Model Derived Values'!$A$10:$AV$10000,MATCH($C55,'Table S9 Model Derived Values'!$A$10:$A$10000,0)+1,AG$1),INDEX('Table S3 Literature Values'!$A$10:$AV$10000,MATCH($C55,'Table S3 Literature Values'!$A$10:$A$10000,0)+1,AG$1))</f>
        <v>3.7003294481798843E-2</v>
      </c>
      <c r="AH55" s="63">
        <f>INDEX('Table S3 Literature Values'!$A$10:$AV$10000,MATCH($C55,'Table S3 Literature Values'!$A$10:$A$10000,0)+2,AG$1)</f>
        <v>3</v>
      </c>
      <c r="AI55" s="501">
        <f>IF(VLOOKUP($C55,'Table S3 Literature Values'!$A$10:$AV$10000,AI$1,FALSE)=0,VLOOKUP($C55,'Table S9 Model Derived Values'!$A$10:$AV$10000,AI$1,FALSE),VLOOKUP($C55,'Table S3 Literature Values'!$A$10:$AV$10000,AI$1,FALSE))</f>
        <v>-3.7707483866126688</v>
      </c>
      <c r="AJ55" s="61">
        <f>IF(INDEX('Table S3 Literature Values'!$A$10:$AV$10000,MATCH($C55,'Table S3 Literature Values'!$A$10:$A$10000,0)+1,AJ$1)=0,INDEX('Table S9 Model Derived Values'!$A$10:$AV$10000,MATCH($C55,'Table S9 Model Derived Values'!$A$10:$A$10000,0)+1,AJ$1),INDEX('Table S3 Literature Values'!$A$10:$AV$10000,MATCH($C55,'Table S3 Literature Values'!$A$10:$A$10000,0)+1,AJ$1))</f>
        <v>0.31763768319090768</v>
      </c>
      <c r="AK55" s="63">
        <f>INDEX('Table S3 Literature Values'!$A$10:$AV$10000,MATCH($C55,'Table S3 Literature Values'!$A$10:$A$10000,0)+2,AJ$1)</f>
        <v>3</v>
      </c>
      <c r="AL55" s="501">
        <f>IF(VLOOKUP($C55,'Table S3 Literature Values'!$A$10:$AV$10000,AL$1,FALSE)=0,VLOOKUP($C55,'Table S9 Model Derived Values'!$A$10:$AV$10000,AL$1,FALSE),VLOOKUP($C55,'Table S3 Literature Values'!$A$10:$AV$10000,AL$1,FALSE))</f>
        <v>2.8884657999999988</v>
      </c>
      <c r="AM55" s="61">
        <f>IF(INDEX('Table S3 Literature Values'!$A$10:$AV$10000,MATCH($C55,'Table S3 Literature Values'!$A$10:$A$10000,0)+1,AM$1)=0,INDEX('Table S9 Model Derived Values'!$A$10:$AV$10000,MATCH($C55,'Table S9 Model Derived Values'!$A$10:$A$10000,0)+1,AM$1),INDEX('Table S3 Literature Values'!$A$10:$AV$10000,MATCH($C55,'Table S3 Literature Values'!$A$10:$A$10000,0)+1,AM$1))</f>
        <v>0.52203531249979973</v>
      </c>
      <c r="AN55" s="63">
        <f>INDEX('Table S3 Literature Values'!$A$10:$AV$10000,MATCH($C55,'Table S3 Literature Values'!$A$10:$A$10000,0)+2,AM$1)</f>
        <v>0</v>
      </c>
      <c r="AO55" s="501">
        <f>IF(VLOOKUP($C55,'Table S3 Literature Values'!$A$10:$AV$10000,AO$1,FALSE)=0,VLOOKUP($C55,'Table S9 Model Derived Values'!$A$10:$AV$10000,AO$1,FALSE),VLOOKUP($C55,'Table S3 Literature Values'!$A$10:$AV$10000,AO$1,FALSE))</f>
        <v>60</v>
      </c>
      <c r="AP55" s="61">
        <f>IF(INDEX('Table S3 Literature Values'!$A$10:$AV$10000,MATCH($C55,'Table S3 Literature Values'!$A$10:$A$10000,0)+1,AP$1)=0,INDEX('Table S9 Model Derived Values'!$A$10:$AV$10000,MATCH($C55,'Table S9 Model Derived Values'!$A$10:$A$10000,0)+1,AP$1),INDEX('Table S3 Literature Values'!$A$10:$AV$10000,MATCH($C55,'Table S3 Literature Values'!$A$10:$A$10000,0)+1,AP$1))</f>
        <v>4.7291775609904514</v>
      </c>
      <c r="AQ55" s="63">
        <f>INDEX('Table S3 Literature Values'!$A$10:$AV$10000,MATCH($C55,'Table S3 Literature Values'!$A$10:$A$10000,0)+2,AP$1)</f>
        <v>1</v>
      </c>
      <c r="AR55" s="501">
        <f>IF(VLOOKUP($C55,'Table S3 Literature Values'!$A$10:$AV$10000,AR$1,FALSE)=0,VLOOKUP($C55,'Table S9 Model Derived Values'!$A$10:$AV$10000,AR$1,FALSE),VLOOKUP($C55,'Table S3 Literature Values'!$A$10:$AV$10000,AR$1,FALSE))</f>
        <v>42.916666666666664</v>
      </c>
      <c r="AS55" s="61">
        <f>IF(INDEX('Table S3 Literature Values'!$A$10:$AV$10000,MATCH($C55,'Table S3 Literature Values'!$A$10:$A$10000,0)+1,AS$1)=0,INDEX('Table S9 Model Derived Values'!$A$10:$AV$10000,MATCH($C55,'Table S9 Model Derived Values'!$A$10:$A$10000,0)+1,AS$1),INDEX('Table S3 Literature Values'!$A$10:$AV$10000,MATCH($C55,'Table S3 Literature Values'!$A$10:$A$10000,0)+1,AS$1))</f>
        <v>2.4537386440559095</v>
      </c>
      <c r="AT55" s="63">
        <f>INDEX('Table S3 Literature Values'!$A$10:$AV$10000,MATCH($C55,'Table S3 Literature Values'!$A$10:$A$10000,0)+2,AS$1)</f>
        <v>3</v>
      </c>
    </row>
    <row r="56" spans="1:46">
      <c r="A56" t="str">
        <f>'Table S2 Compound Identifiers'!C61</f>
        <v>PCB</v>
      </c>
      <c r="B56">
        <f>COUNTIF($C$3:C56,"&lt;&gt;"&amp;"")</f>
        <v>54</v>
      </c>
      <c r="C56" t="str">
        <f>IF('Table S2 Compound Identifiers'!B61="","",'Table S2 Compound Identifiers'!B61)</f>
        <v>PCB-173</v>
      </c>
      <c r="D56" t="str">
        <f>'Table S2 Compound Identifiers'!D61</f>
        <v>68194-16-1</v>
      </c>
      <c r="E56" s="501">
        <f>IF(VLOOKUP($C56,'Table S3 Literature Values'!$A$10:$AV$10000,E$1,FALSE)=0,VLOOKUP($C56,'Table S9 Model Derived Values'!$A$10:$AV$10000,E$1,FALSE),VLOOKUP($C56,'Table S3 Literature Values'!$A$10:$AV$10000,E$1,FALSE))</f>
        <v>93.6</v>
      </c>
      <c r="F56" s="61">
        <f>IF(INDEX('Table S3 Literature Values'!$A$10:$AV$10000,MATCH($C56,'Table S3 Literature Values'!$A$10:$A$10000,0)+1,F$1)=0,INDEX('Table S9 Model Derived Values'!$A$10:$AV$10000,MATCH($C56,'Table S9 Model Derived Values'!$A$10:$A$10000,0)+1,F$1),INDEX('Table S3 Literature Values'!$A$10:$AV$10000,MATCH($C56,'Table S3 Literature Values'!$A$10:$A$10000,0)+1,F$1))</f>
        <v>6.6796159686982195</v>
      </c>
      <c r="G56" s="63">
        <f>INDEX('Table S3 Literature Values'!$A$10:$AV$10000,MATCH($C56,'Table S3 Literature Values'!$A$10:$A$10000,0)+2,F$1)</f>
        <v>1</v>
      </c>
      <c r="H56" s="501">
        <f>IF(VLOOKUP($C56,'Table S3 Literature Values'!$A$10:$AV$10000,H$1,FALSE)=0,VLOOKUP($C56,'Table S9 Model Derived Values'!$A$10:$AV$10000,H$1,FALSE),VLOOKUP($C56,'Table S3 Literature Values'!$A$10:$AV$10000,H$1,FALSE))</f>
        <v>12.597595609048</v>
      </c>
      <c r="I56" s="61">
        <f>IF(INDEX('Table S3 Literature Values'!$A$10:$AV$10000,MATCH($C56,'Table S3 Literature Values'!$A$10:$A$10000,0)+1,I$1)=0,INDEX('Table S9 Model Derived Values'!$A$10:$AV$10000,MATCH($C56,'Table S9 Model Derived Values'!$A$10:$A$10000,0)+1,I$1),INDEX('Table S3 Literature Values'!$A$10:$AV$10000,MATCH($C56,'Table S3 Literature Values'!$A$10:$A$10000,0)+1,I$1))</f>
        <v>7.7079144589696726</v>
      </c>
      <c r="J56" s="63">
        <f>INDEX('Table S3 Literature Values'!$A$10:$AV$10000,MATCH($C56,'Table S3 Literature Values'!$A$10:$A$10000,0)+2,I$1)</f>
        <v>0</v>
      </c>
      <c r="K56" s="501">
        <f>IF(VLOOKUP($C56,'Table S3 Literature Values'!$A$10:$AV$10000,K$1,FALSE)=0,VLOOKUP($C56,'Table S9 Model Derived Values'!$A$10:$AV$10000,K$1,FALSE),VLOOKUP($C56,'Table S3 Literature Values'!$A$10:$AV$10000,K$1,FALSE))</f>
        <v>0</v>
      </c>
      <c r="L56" s="61">
        <f>IF(INDEX('Table S3 Literature Values'!$A$10:$AV$10000,MATCH($C56,'Table S3 Literature Values'!$A$10:$A$10000,0)+1,L$1)=0,INDEX('Table S9 Model Derived Values'!$A$10:$AV$10000,MATCH($C56,'Table S9 Model Derived Values'!$A$10:$A$10000,0)+1,L$1),INDEX('Table S3 Literature Values'!$A$10:$AV$10000,MATCH($C56,'Table S3 Literature Values'!$A$10:$A$10000,0)+1,L$1))</f>
        <v>0</v>
      </c>
      <c r="M56" s="63">
        <f>INDEX('Table S3 Literature Values'!$A$10:$AV$10000,MATCH($C56,'Table S3 Literature Values'!$A$10:$A$10000,0)+2,L$1)</f>
        <v>0</v>
      </c>
      <c r="N56" s="501">
        <f>IF(VLOOKUP($C56,'Table S3 Literature Values'!$A$10:$AV$10000,N$1,FALSE)=0,VLOOKUP($C56,'Table S9 Model Derived Values'!$A$10:$AV$10000,N$1,FALSE),VLOOKUP($C56,'Table S3 Literature Values'!$A$10:$AV$10000,N$1,FALSE))</f>
        <v>82.3</v>
      </c>
      <c r="O56" s="61">
        <f>IF(INDEX('Table S3 Literature Values'!$A$10:$AV$10000,MATCH($C56,'Table S3 Literature Values'!$A$10:$A$10000,0)+1,O$1)=0,INDEX('Table S9 Model Derived Values'!$A$10:$AV$10000,MATCH($C56,'Table S9 Model Derived Values'!$A$10:$A$10000,0)+1,O$1),INDEX('Table S3 Literature Values'!$A$10:$AV$10000,MATCH($C56,'Table S3 Literature Values'!$A$10:$A$10000,0)+1,O$1))</f>
        <v>5.2143702951170656</v>
      </c>
      <c r="P56" s="63">
        <f>INDEX('Table S3 Literature Values'!$A$10:$AV$10000,MATCH($C56,'Table S3 Literature Values'!$A$10:$A$10000,0)+2,O$1)</f>
        <v>1</v>
      </c>
      <c r="Q56" s="501">
        <f>IF(VLOOKUP($C56,'Table S3 Literature Values'!$A$10:$AV$10000,Q$1,FALSE)=0,VLOOKUP($C56,'Table S9 Model Derived Values'!$A$10:$AV$10000,Q$1,FALSE),VLOOKUP($C56,'Table S3 Literature Values'!$A$10:$AV$10000,Q$1,FALSE))</f>
        <v>60.488209000000005</v>
      </c>
      <c r="R56" s="61">
        <f>IF(INDEX('Table S3 Literature Values'!$A$10:$AV$10000,MATCH($C56,'Table S3 Literature Values'!$A$10:$A$10000,0)+1,R$1)=0,INDEX('Table S9 Model Derived Values'!$A$10:$AV$10000,MATCH($C56,'Table S9 Model Derived Values'!$A$10:$A$10000,0)+1,R$1),INDEX('Table S3 Literature Values'!$A$10:$AV$10000,MATCH($C56,'Table S3 Literature Values'!$A$10:$A$10000,0)+1,R$1))</f>
        <v>18.080591040399</v>
      </c>
      <c r="S56" s="63">
        <f>INDEX('Table S3 Literature Values'!$A$10:$AV$10000,MATCH($C56,'Table S3 Literature Values'!$A$10:$A$10000,0)+2,R$1)</f>
        <v>0</v>
      </c>
      <c r="T56" s="501">
        <f>IF(VLOOKUP($C56,'Table S3 Literature Values'!$A$10:$AV$10000,T$1,FALSE)=0,VLOOKUP($C56,'Table S9 Model Derived Values'!$A$10:$AV$10000,T$1,FALSE),VLOOKUP($C56,'Table S3 Literature Values'!$A$10:$AV$10000,T$1,FALSE))</f>
        <v>-27.428640000000012</v>
      </c>
      <c r="U56" s="61">
        <f>IF(INDEX('Table S3 Literature Values'!$A$10:$AV$10000,MATCH($C56,'Table S3 Literature Values'!$A$10:$A$10000,0)+1,U$1)=0,INDEX('Table S9 Model Derived Values'!$A$10:$AV$10000,MATCH($C56,'Table S9 Model Derived Values'!$A$10:$A$10000,0)+1,U$1),INDEX('Table S3 Literature Values'!$A$10:$AV$10000,MATCH($C56,'Table S3 Literature Values'!$A$10:$A$10000,0)+1,U$1))</f>
        <v>11.251588753141977</v>
      </c>
      <c r="V56" s="63">
        <f>INDEX('Table S3 Literature Values'!$A$10:$AV$10000,MATCH($C56,'Table S3 Literature Values'!$A$10:$A$10000,0)+2,U$1)</f>
        <v>0</v>
      </c>
      <c r="W56" s="501">
        <f ca="1">IF(VLOOKUP($C56,'Table S3 Literature Values'!$A$10:$AV$10000,W$1,FALSE)=0,VLOOKUP($C56,'Table S9 Model Derived Values'!$A$10:$AV$10000,W$1,FALSE),VLOOKUP($C56,'Table S3 Literature Values'!$A$10:$AV$10000,W$1,FALSE))</f>
        <v>10.270436050858564</v>
      </c>
      <c r="X56" s="61">
        <f ca="1">IF(INDEX('Table S3 Literature Values'!$A$10:$AV$10000,MATCH($C56,'Table S3 Literature Values'!$A$10:$A$10000,0)+1,X$1)=0,INDEX('Table S9 Model Derived Values'!$A$10:$AV$10000,MATCH($C56,'Table S9 Model Derived Values'!$A$10:$A$10000,0)+1,X$1),INDEX('Table S3 Literature Values'!$A$10:$AV$10000,MATCH($C56,'Table S3 Literature Values'!$A$10:$A$10000,0)+1,X$1))</f>
        <v>0.10951371931483565</v>
      </c>
      <c r="Y56" s="63">
        <f ca="1">INDEX('Table S3 Literature Values'!$A$10:$AV$10000,MATCH($C56,'Table S3 Literature Values'!$A$10:$A$10000,0)+2,X$1)</f>
        <v>2</v>
      </c>
      <c r="Z56" s="501">
        <f>IF(VLOOKUP($C56,'Table S3 Literature Values'!$A$10:$AV$10000,Z$1,FALSE)=0,VLOOKUP($C56,'Table S9 Model Derived Values'!$A$10:$AV$10000,Z$1,FALSE),VLOOKUP($C56,'Table S3 Literature Values'!$A$10:$AV$10000,Z$1,FALSE))</f>
        <v>7.8893899999999997</v>
      </c>
      <c r="AA56" s="61">
        <f>IF(INDEX('Table S3 Literature Values'!$A$10:$AV$10000,MATCH($C56,'Table S3 Literature Values'!$A$10:$A$10000,0)+1,AA$1)=0,INDEX('Table S9 Model Derived Values'!$A$10:$AV$10000,MATCH($C56,'Table S9 Model Derived Values'!$A$10:$A$10000,0)+1,AA$1),INDEX('Table S3 Literature Values'!$A$10:$AV$10000,MATCH($C56,'Table S3 Literature Values'!$A$10:$A$10000,0)+1,AA$1))</f>
        <v>0.55799288653000001</v>
      </c>
      <c r="AB56" s="63">
        <f>INDEX('Table S3 Literature Values'!$A$10:$AV$10000,MATCH($C56,'Table S3 Literature Values'!$A$10:$A$10000,0)+2,AA$1)</f>
        <v>0</v>
      </c>
      <c r="AC56" s="501">
        <f>IF(VLOOKUP($C56,'Table S3 Literature Values'!$A$10:$AV$10000,AC$1,FALSE)=0,VLOOKUP($C56,'Table S9 Model Derived Values'!$A$10:$AV$10000,AC$1,FALSE),VLOOKUP($C56,'Table S3 Literature Values'!$A$10:$AV$10000,AC$1,FALSE))</f>
        <v>-3.2424001857599851</v>
      </c>
      <c r="AD56" s="61">
        <f>IF(INDEX('Table S3 Literature Values'!$A$10:$AV$10000,MATCH($C56,'Table S3 Literature Values'!$A$10:$A$10000,0)+1,AD$1)=0,INDEX('Table S9 Model Derived Values'!$A$10:$AV$10000,MATCH($C56,'Table S9 Model Derived Values'!$A$10:$A$10000,0)+1,AD$1),INDEX('Table S3 Literature Values'!$A$10:$AV$10000,MATCH($C56,'Table S3 Literature Values'!$A$10:$A$10000,0)+1,AD$1))</f>
        <v>0.64848003715199709</v>
      </c>
      <c r="AE56" s="63">
        <f>INDEX('Table S3 Literature Values'!$A$10:$AV$10000,MATCH($C56,'Table S3 Literature Values'!$A$10:$A$10000,0)+2,AD$1)</f>
        <v>1</v>
      </c>
      <c r="AF56" s="501">
        <f>IF(VLOOKUP($C56,'Table S3 Literature Values'!$A$10:$AV$10000,AF$1,FALSE)=0,VLOOKUP($C56,'Table S9 Model Derived Values'!$A$10:$AV$10000,AF$1,FALSE),VLOOKUP($C56,'Table S3 Literature Values'!$A$10:$AV$10000,AF$1,FALSE))</f>
        <v>-3.5667759081346233</v>
      </c>
      <c r="AG56" s="61">
        <f>IF(INDEX('Table S3 Literature Values'!$A$10:$AV$10000,MATCH($C56,'Table S3 Literature Values'!$A$10:$A$10000,0)+1,AG$1)=0,INDEX('Table S9 Model Derived Values'!$A$10:$AV$10000,MATCH($C56,'Table S9 Model Derived Values'!$A$10:$A$10000,0)+1,AG$1),INDEX('Table S3 Literature Values'!$A$10:$AV$10000,MATCH($C56,'Table S3 Literature Values'!$A$10:$A$10000,0)+1,AG$1))</f>
        <v>0.56592027387140831</v>
      </c>
      <c r="AH56" s="63">
        <f>INDEX('Table S3 Literature Values'!$A$10:$AV$10000,MATCH($C56,'Table S3 Literature Values'!$A$10:$A$10000,0)+2,AG$1)</f>
        <v>1</v>
      </c>
      <c r="AI56" s="501">
        <f ca="1">IF(VLOOKUP($C56,'Table S3 Literature Values'!$A$10:$AV$10000,AI$1,FALSE)=0,VLOOKUP($C56,'Table S9 Model Derived Values'!$A$10:$AV$10000,AI$1,FALSE),VLOOKUP($C56,'Table S3 Literature Values'!$A$10:$AV$10000,AI$1,FALSE))</f>
        <v>-4.9091550554090064</v>
      </c>
      <c r="AJ56" s="61">
        <f ca="1">IF(INDEX('Table S3 Literature Values'!$A$10:$AV$10000,MATCH($C56,'Table S3 Literature Values'!$A$10:$A$10000,0)+1,AJ$1)=0,INDEX('Table S9 Model Derived Values'!$A$10:$AV$10000,MATCH($C56,'Table S9 Model Derived Values'!$A$10:$A$10000,0)+1,AJ$1),INDEX('Table S3 Literature Values'!$A$10:$AV$10000,MATCH($C56,'Table S3 Literature Values'!$A$10:$A$10000,0)+1,AJ$1))</f>
        <v>0.60703954383878933</v>
      </c>
      <c r="AK56" s="63">
        <f ca="1">INDEX('Table S3 Literature Values'!$A$10:$AV$10000,MATCH($C56,'Table S3 Literature Values'!$A$10:$A$10000,0)+2,AJ$1)</f>
        <v>1</v>
      </c>
      <c r="AL56" s="501">
        <f>IF(VLOOKUP($C56,'Table S3 Literature Values'!$A$10:$AV$10000,AL$1,FALSE)=0,VLOOKUP($C56,'Table S9 Model Derived Values'!$A$10:$AV$10000,AL$1,FALSE),VLOOKUP($C56,'Table S3 Literature Values'!$A$10:$AV$10000,AL$1,FALSE))</f>
        <v>2.793641</v>
      </c>
      <c r="AM56" s="61">
        <f>IF(INDEX('Table S3 Literature Values'!$A$10:$AV$10000,MATCH($C56,'Table S3 Literature Values'!$A$10:$A$10000,0)+1,AM$1)=0,INDEX('Table S9 Model Derived Values'!$A$10:$AV$10000,MATCH($C56,'Table S9 Model Derived Values'!$A$10:$A$10000,0)+1,AM$1),INDEX('Table S3 Literature Values'!$A$10:$AV$10000,MATCH($C56,'Table S3 Literature Values'!$A$10:$A$10000,0)+1,AM$1))</f>
        <v>0.50489753157100004</v>
      </c>
      <c r="AN56" s="63">
        <f>INDEX('Table S3 Literature Values'!$A$10:$AV$10000,MATCH($C56,'Table S3 Literature Values'!$A$10:$A$10000,0)+2,AM$1)</f>
        <v>0</v>
      </c>
      <c r="AO56" s="501">
        <f>IF(VLOOKUP($C56,'Table S3 Literature Values'!$A$10:$AV$10000,AO$1,FALSE)=0,VLOOKUP($C56,'Table S9 Model Derived Values'!$A$10:$AV$10000,AO$1,FALSE),VLOOKUP($C56,'Table S3 Literature Values'!$A$10:$AV$10000,AO$1,FALSE))</f>
        <v>0</v>
      </c>
      <c r="AP56" s="61">
        <f>IF(INDEX('Table S3 Literature Values'!$A$10:$AV$10000,MATCH($C56,'Table S3 Literature Values'!$A$10:$A$10000,0)+1,AP$1)=0,INDEX('Table S9 Model Derived Values'!$A$10:$AV$10000,MATCH($C56,'Table S9 Model Derived Values'!$A$10:$A$10000,0)+1,AP$1),INDEX('Table S3 Literature Values'!$A$10:$AV$10000,MATCH($C56,'Table S3 Literature Values'!$A$10:$A$10000,0)+1,AP$1))</f>
        <v>0</v>
      </c>
      <c r="AQ56" s="63">
        <f>INDEX('Table S3 Literature Values'!$A$10:$AV$10000,MATCH($C56,'Table S3 Literature Values'!$A$10:$A$10000,0)+2,AP$1)</f>
        <v>0</v>
      </c>
      <c r="AR56" s="501">
        <f>IF(VLOOKUP($C56,'Table S3 Literature Values'!$A$10:$AV$10000,AR$1,FALSE)=0,VLOOKUP($C56,'Table S9 Model Derived Values'!$A$10:$AV$10000,AR$1,FALSE),VLOOKUP($C56,'Table S3 Literature Values'!$A$10:$AV$10000,AR$1,FALSE))</f>
        <v>204.5</v>
      </c>
      <c r="AS56" s="61">
        <f>IF(INDEX('Table S3 Literature Values'!$A$10:$AV$10000,MATCH($C56,'Table S3 Literature Values'!$A$10:$A$10000,0)+1,AS$1)=0,INDEX('Table S9 Model Derived Values'!$A$10:$AV$10000,MATCH($C56,'Table S9 Model Derived Values'!$A$10:$A$10000,0)+1,AS$1),INDEX('Table S3 Literature Values'!$A$10:$AV$10000,MATCH($C56,'Table S3 Literature Values'!$A$10:$A$10000,0)+1,AS$1))</f>
        <v>9.4408891650540205</v>
      </c>
      <c r="AT56" s="63">
        <f>INDEX('Table S3 Literature Values'!$A$10:$AV$10000,MATCH($C56,'Table S3 Literature Values'!$A$10:$A$10000,0)+2,AS$1)</f>
        <v>1</v>
      </c>
    </row>
    <row r="57" spans="1:46">
      <c r="A57" t="str">
        <f>'Table S2 Compound Identifiers'!C62</f>
        <v>PCB</v>
      </c>
      <c r="B57">
        <f>COUNTIF($C$3:C57,"&lt;&gt;"&amp;"")</f>
        <v>55</v>
      </c>
      <c r="C57" t="str">
        <f>IF('Table S2 Compound Identifiers'!B62="","",'Table S2 Compound Identifiers'!B62)</f>
        <v>PCB-176</v>
      </c>
      <c r="D57" t="str">
        <f>'Table S2 Compound Identifiers'!D62</f>
        <v>52663-65-7</v>
      </c>
      <c r="E57" s="501">
        <f>IF(VLOOKUP($C57,'Table S3 Literature Values'!$A$10:$AV$10000,E$1,FALSE)=0,VLOOKUP($C57,'Table S9 Model Derived Values'!$A$10:$AV$10000,E$1,FALSE),VLOOKUP($C57,'Table S3 Literature Values'!$A$10:$AV$10000,E$1,FALSE))</f>
        <v>88.187381608999999</v>
      </c>
      <c r="F57" s="61">
        <f>IF(INDEX('Table S3 Literature Values'!$A$10:$AV$10000,MATCH($C57,'Table S3 Literature Values'!$A$10:$A$10000,0)+1,F$1)=0,INDEX('Table S9 Model Derived Values'!$A$10:$AV$10000,MATCH($C57,'Table S9 Model Derived Values'!$A$10:$A$10000,0)+1,F$1),INDEX('Table S3 Literature Values'!$A$10:$AV$10000,MATCH($C57,'Table S3 Literature Values'!$A$10:$A$10000,0)+1,F$1))</f>
        <v>0.72495188087407936</v>
      </c>
      <c r="G57" s="63">
        <f>INDEX('Table S3 Literature Values'!$A$10:$AV$10000,MATCH($C57,'Table S3 Literature Values'!$A$10:$A$10000,0)+2,F$1)</f>
        <v>2</v>
      </c>
      <c r="H57" s="501">
        <f>IF(VLOOKUP($C57,'Table S3 Literature Values'!$A$10:$AV$10000,H$1,FALSE)=0,VLOOKUP($C57,'Table S9 Model Derived Values'!$A$10:$AV$10000,H$1,FALSE),VLOOKUP($C57,'Table S3 Literature Values'!$A$10:$AV$10000,H$1,FALSE))</f>
        <v>11.734174130824016</v>
      </c>
      <c r="I57" s="61">
        <f>IF(INDEX('Table S3 Literature Values'!$A$10:$AV$10000,MATCH($C57,'Table S3 Literature Values'!$A$10:$A$10000,0)+1,I$1)=0,INDEX('Table S9 Model Derived Values'!$A$10:$AV$10000,MATCH($C57,'Table S9 Model Derived Values'!$A$10:$A$10000,0)+1,I$1),INDEX('Table S3 Literature Values'!$A$10:$AV$10000,MATCH($C57,'Table S3 Literature Values'!$A$10:$A$10000,0)+1,I$1))</f>
        <v>7.1796248469894586</v>
      </c>
      <c r="J57" s="63">
        <f>INDEX('Table S3 Literature Values'!$A$10:$AV$10000,MATCH($C57,'Table S3 Literature Values'!$A$10:$A$10000,0)+2,I$1)</f>
        <v>0</v>
      </c>
      <c r="K57" s="501">
        <f>IF(VLOOKUP($C57,'Table S3 Literature Values'!$A$10:$AV$10000,K$1,FALSE)=0,VLOOKUP($C57,'Table S9 Model Derived Values'!$A$10:$AV$10000,K$1,FALSE),VLOOKUP($C57,'Table S3 Literature Values'!$A$10:$AV$10000,K$1,FALSE))</f>
        <v>0</v>
      </c>
      <c r="L57" s="61">
        <f>IF(INDEX('Table S3 Literature Values'!$A$10:$AV$10000,MATCH($C57,'Table S3 Literature Values'!$A$10:$A$10000,0)+1,L$1)=0,INDEX('Table S9 Model Derived Values'!$A$10:$AV$10000,MATCH($C57,'Table S9 Model Derived Values'!$A$10:$A$10000,0)+1,L$1),INDEX('Table S3 Literature Values'!$A$10:$AV$10000,MATCH($C57,'Table S3 Literature Values'!$A$10:$A$10000,0)+1,L$1))</f>
        <v>0</v>
      </c>
      <c r="M57" s="63">
        <f>INDEX('Table S3 Literature Values'!$A$10:$AV$10000,MATCH($C57,'Table S3 Literature Values'!$A$10:$A$10000,0)+2,L$1)</f>
        <v>0</v>
      </c>
      <c r="N57" s="501">
        <f>IF(VLOOKUP($C57,'Table S3 Literature Values'!$A$10:$AV$10000,N$1,FALSE)=0,VLOOKUP($C57,'Table S9 Model Derived Values'!$A$10:$AV$10000,N$1,FALSE),VLOOKUP($C57,'Table S3 Literature Values'!$A$10:$AV$10000,N$1,FALSE))</f>
        <v>87.5</v>
      </c>
      <c r="O57" s="61">
        <f>IF(INDEX('Table S3 Literature Values'!$A$10:$AV$10000,MATCH($C57,'Table S3 Literature Values'!$A$10:$A$10000,0)+1,O$1)=0,INDEX('Table S9 Model Derived Values'!$A$10:$AV$10000,MATCH($C57,'Table S9 Model Derived Values'!$A$10:$A$10000,0)+1,O$1),INDEX('Table S3 Literature Values'!$A$10:$AV$10000,MATCH($C57,'Table S3 Literature Values'!$A$10:$A$10000,0)+1,O$1))</f>
        <v>5.5438323307745234</v>
      </c>
      <c r="P57" s="63">
        <f>INDEX('Table S3 Literature Values'!$A$10:$AV$10000,MATCH($C57,'Table S3 Literature Values'!$A$10:$A$10000,0)+2,O$1)</f>
        <v>1</v>
      </c>
      <c r="Q57" s="501">
        <f>IF(VLOOKUP($C57,'Table S3 Literature Values'!$A$10:$AV$10000,Q$1,FALSE)=0,VLOOKUP($C57,'Table S9 Model Derived Values'!$A$10:$AV$10000,Q$1,FALSE),VLOOKUP($C57,'Table S3 Literature Values'!$A$10:$AV$10000,Q$1,FALSE))</f>
        <v>59.783903000000002</v>
      </c>
      <c r="R57" s="61">
        <f>IF(INDEX('Table S3 Literature Values'!$A$10:$AV$10000,MATCH($C57,'Table S3 Literature Values'!$A$10:$A$10000,0)+1,R$1)=0,INDEX('Table S9 Model Derived Values'!$A$10:$AV$10000,MATCH($C57,'Table S9 Model Derived Values'!$A$10:$A$10000,0)+1,R$1),INDEX('Table S3 Literature Values'!$A$10:$AV$10000,MATCH($C57,'Table S3 Literature Values'!$A$10:$A$10000,0)+1,R$1))</f>
        <v>17.870066229633</v>
      </c>
      <c r="S57" s="63">
        <f>INDEX('Table S3 Literature Values'!$A$10:$AV$10000,MATCH($C57,'Table S3 Literature Values'!$A$10:$A$10000,0)+2,R$1)</f>
        <v>0</v>
      </c>
      <c r="T57" s="501">
        <f>IF(VLOOKUP($C57,'Table S3 Literature Values'!$A$10:$AV$10000,T$1,FALSE)=0,VLOOKUP($C57,'Table S9 Model Derived Values'!$A$10:$AV$10000,T$1,FALSE),VLOOKUP($C57,'Table S3 Literature Values'!$A$10:$AV$10000,T$1,FALSE))</f>
        <v>-23.282120000000003</v>
      </c>
      <c r="U57" s="61">
        <f>IF(INDEX('Table S3 Literature Values'!$A$10:$AV$10000,MATCH($C57,'Table S3 Literature Values'!$A$10:$A$10000,0)+1,U$1)=0,INDEX('Table S9 Model Derived Values'!$A$10:$AV$10000,MATCH($C57,'Table S9 Model Derived Values'!$A$10:$A$10000,0)+1,U$1),INDEX('Table S3 Literature Values'!$A$10:$AV$10000,MATCH($C57,'Table S3 Literature Values'!$A$10:$A$10000,0)+1,U$1))</f>
        <v>9.5506317316972993</v>
      </c>
      <c r="V57" s="63">
        <f>INDEX('Table S3 Literature Values'!$A$10:$AV$10000,MATCH($C57,'Table S3 Literature Values'!$A$10:$A$10000,0)+2,U$1)</f>
        <v>0</v>
      </c>
      <c r="W57" s="501">
        <f ca="1">IF(VLOOKUP($C57,'Table S3 Literature Values'!$A$10:$AV$10000,W$1,FALSE)=0,VLOOKUP($C57,'Table S9 Model Derived Values'!$A$10:$AV$10000,W$1,FALSE),VLOOKUP($C57,'Table S3 Literature Values'!$A$10:$AV$10000,W$1,FALSE))</f>
        <v>9.80286139538212</v>
      </c>
      <c r="X57" s="61">
        <f ca="1">IF(INDEX('Table S3 Literature Values'!$A$10:$AV$10000,MATCH($C57,'Table S3 Literature Values'!$A$10:$A$10000,0)+1,X$1)=0,INDEX('Table S9 Model Derived Values'!$A$10:$AV$10000,MATCH($C57,'Table S9 Model Derived Values'!$A$10:$A$10000,0)+1,X$1),INDEX('Table S3 Literature Values'!$A$10:$AV$10000,MATCH($C57,'Table S3 Literature Values'!$A$10:$A$10000,0)+1,X$1))</f>
        <v>7.0888148300808597E-3</v>
      </c>
      <c r="Y57" s="63">
        <f ca="1">INDEX('Table S3 Literature Values'!$A$10:$AV$10000,MATCH($C57,'Table S3 Literature Values'!$A$10:$A$10000,0)+2,X$1)</f>
        <v>2</v>
      </c>
      <c r="Z57" s="501">
        <f>IF(VLOOKUP($C57,'Table S3 Literature Values'!$A$10:$AV$10000,Z$1,FALSE)=0,VLOOKUP($C57,'Table S9 Model Derived Values'!$A$10:$AV$10000,Z$1,FALSE),VLOOKUP($C57,'Table S3 Literature Values'!$A$10:$AV$10000,Z$1,FALSE))</f>
        <v>6.6549999999999994</v>
      </c>
      <c r="AA57" s="61">
        <f>IF(INDEX('Table S3 Literature Values'!$A$10:$AV$10000,MATCH($C57,'Table S3 Literature Values'!$A$10:$A$10000,0)+1,AA$1)=0,INDEX('Table S9 Model Derived Values'!$A$10:$AV$10000,MATCH($C57,'Table S9 Model Derived Values'!$A$10:$A$10000,0)+1,AA$1),INDEX('Table S3 Literature Values'!$A$10:$AV$10000,MATCH($C57,'Table S3 Literature Values'!$A$10:$A$10000,0)+1,AA$1))</f>
        <v>0.14849242404917495</v>
      </c>
      <c r="AB57" s="63">
        <f>INDEX('Table S3 Literature Values'!$A$10:$AV$10000,MATCH($C57,'Table S3 Literature Values'!$A$10:$A$10000,0)+2,AA$1)</f>
        <v>2</v>
      </c>
      <c r="AC57" s="501">
        <f ca="1">IF(VLOOKUP($C57,'Table S3 Literature Values'!$A$10:$AV$10000,AC$1,FALSE)=0,VLOOKUP($C57,'Table S9 Model Derived Values'!$A$10:$AV$10000,AC$1,FALSE),VLOOKUP($C57,'Table S3 Literature Values'!$A$10:$AV$10000,AC$1,FALSE))</f>
        <v>-2.2302775143706985</v>
      </c>
      <c r="AD57" s="61">
        <f ca="1">IF(INDEX('Table S3 Literature Values'!$A$10:$AV$10000,MATCH($C57,'Table S3 Literature Values'!$A$10:$A$10000,0)+1,AD$1)=0,INDEX('Table S9 Model Derived Values'!$A$10:$AV$10000,MATCH($C57,'Table S9 Model Derived Values'!$A$10:$A$10000,0)+1,AD$1),INDEX('Table S3 Literature Values'!$A$10:$AV$10000,MATCH($C57,'Table S3 Literature Values'!$A$10:$A$10000,0)+1,AD$1))</f>
        <v>0.44605550287413975</v>
      </c>
      <c r="AE57" s="63">
        <f ca="1">INDEX('Table S3 Literature Values'!$A$10:$AV$10000,MATCH($C57,'Table S3 Literature Values'!$A$10:$A$10000,0)+2,AD$1)</f>
        <v>1</v>
      </c>
      <c r="AF57" s="501">
        <f>IF(VLOOKUP($C57,'Table S3 Literature Values'!$A$10:$AV$10000,AF$1,FALSE)=0,VLOOKUP($C57,'Table S9 Model Derived Values'!$A$10:$AV$10000,AF$1,FALSE),VLOOKUP($C57,'Table S3 Literature Values'!$A$10:$AV$10000,AF$1,FALSE))</f>
        <v>-3.2215368249492431</v>
      </c>
      <c r="AG57" s="61">
        <f>IF(INDEX('Table S3 Literature Values'!$A$10:$AV$10000,MATCH($C57,'Table S3 Literature Values'!$A$10:$A$10000,0)+1,AG$1)=0,INDEX('Table S9 Model Derived Values'!$A$10:$AV$10000,MATCH($C57,'Table S9 Model Derived Values'!$A$10:$A$10000,0)+1,AG$1),INDEX('Table S3 Literature Values'!$A$10:$AV$10000,MATCH($C57,'Table S3 Literature Values'!$A$10:$A$10000,0)+1,AG$1))</f>
        <v>8.1858281942174385E-2</v>
      </c>
      <c r="AH57" s="63">
        <f>INDEX('Table S3 Literature Values'!$A$10:$AV$10000,MATCH($C57,'Table S3 Literature Values'!$A$10:$A$10000,0)+2,AG$1)</f>
        <v>3</v>
      </c>
      <c r="AI57" s="501">
        <f ca="1">IF(VLOOKUP($C57,'Table S3 Literature Values'!$A$10:$AV$10000,AI$1,FALSE)=0,VLOOKUP($C57,'Table S9 Model Derived Values'!$A$10:$AV$10000,AI$1,FALSE),VLOOKUP($C57,'Table S3 Literature Values'!$A$10:$AV$10000,AI$1,FALSE))</f>
        <v>-4.6128134783762764</v>
      </c>
      <c r="AJ57" s="61">
        <f ca="1">IF(INDEX('Table S3 Literature Values'!$A$10:$AV$10000,MATCH($C57,'Table S3 Literature Values'!$A$10:$A$10000,0)+1,AJ$1)=0,INDEX('Table S9 Model Derived Values'!$A$10:$AV$10000,MATCH($C57,'Table S9 Model Derived Values'!$A$10:$A$10000,0)+1,AJ$1),INDEX('Table S3 Literature Values'!$A$10:$AV$10000,MATCH($C57,'Table S3 Literature Values'!$A$10:$A$10000,0)+1,AJ$1))</f>
        <v>0.23403260873049611</v>
      </c>
      <c r="AK57" s="63">
        <f ca="1">INDEX('Table S3 Literature Values'!$A$10:$AV$10000,MATCH($C57,'Table S3 Literature Values'!$A$10:$A$10000,0)+2,AJ$1)</f>
        <v>2</v>
      </c>
      <c r="AL57" s="501">
        <f>IF(VLOOKUP($C57,'Table S3 Literature Values'!$A$10:$AV$10000,AL$1,FALSE)=0,VLOOKUP($C57,'Table S9 Model Derived Values'!$A$10:$AV$10000,AL$1,FALSE),VLOOKUP($C57,'Table S3 Literature Values'!$A$10:$AV$10000,AL$1,FALSE))</f>
        <v>2.793641</v>
      </c>
      <c r="AM57" s="61">
        <f>IF(INDEX('Table S3 Literature Values'!$A$10:$AV$10000,MATCH($C57,'Table S3 Literature Values'!$A$10:$A$10000,0)+1,AM$1)=0,INDEX('Table S9 Model Derived Values'!$A$10:$AV$10000,MATCH($C57,'Table S9 Model Derived Values'!$A$10:$A$10000,0)+1,AM$1),INDEX('Table S3 Literature Values'!$A$10:$AV$10000,MATCH($C57,'Table S3 Literature Values'!$A$10:$A$10000,0)+1,AM$1))</f>
        <v>0.50489753157100004</v>
      </c>
      <c r="AN57" s="63">
        <f>INDEX('Table S3 Literature Values'!$A$10:$AV$10000,MATCH($C57,'Table S3 Literature Values'!$A$10:$A$10000,0)+2,AM$1)</f>
        <v>0</v>
      </c>
      <c r="AO57" s="501">
        <f>IF(VLOOKUP($C57,'Table S3 Literature Values'!$A$10:$AV$10000,AO$1,FALSE)=0,VLOOKUP($C57,'Table S9 Model Derived Values'!$A$10:$AV$10000,AO$1,FALSE),VLOOKUP($C57,'Table S3 Literature Values'!$A$10:$AV$10000,AO$1,FALSE))</f>
        <v>0</v>
      </c>
      <c r="AP57" s="61">
        <f>IF(INDEX('Table S3 Literature Values'!$A$10:$AV$10000,MATCH($C57,'Table S3 Literature Values'!$A$10:$A$10000,0)+1,AP$1)=0,INDEX('Table S9 Model Derived Values'!$A$10:$AV$10000,MATCH($C57,'Table S9 Model Derived Values'!$A$10:$A$10000,0)+1,AP$1),INDEX('Table S3 Literature Values'!$A$10:$AV$10000,MATCH($C57,'Table S3 Literature Values'!$A$10:$A$10000,0)+1,AP$1))</f>
        <v>0</v>
      </c>
      <c r="AQ57" s="63">
        <f>INDEX('Table S3 Literature Values'!$A$10:$AV$10000,MATCH($C57,'Table S3 Literature Values'!$A$10:$A$10000,0)+2,AP$1)</f>
        <v>0</v>
      </c>
      <c r="AR57" s="501">
        <f>IF(VLOOKUP($C57,'Table S3 Literature Values'!$A$10:$AV$10000,AR$1,FALSE)=0,VLOOKUP($C57,'Table S9 Model Derived Values'!$A$10:$AV$10000,AR$1,FALSE),VLOOKUP($C57,'Table S3 Literature Values'!$A$10:$AV$10000,AR$1,FALSE))</f>
        <v>102.5</v>
      </c>
      <c r="AS57" s="61">
        <f>IF(INDEX('Table S3 Literature Values'!$A$10:$AV$10000,MATCH($C57,'Table S3 Literature Values'!$A$10:$A$10000,0)+1,AS$1)=0,INDEX('Table S9 Model Derived Values'!$A$10:$AV$10000,MATCH($C57,'Table S9 Model Derived Values'!$A$10:$A$10000,0)+1,AS$1),INDEX('Table S3 Literature Values'!$A$10:$AV$10000,MATCH($C57,'Table S3 Literature Values'!$A$10:$A$10000,0)+1,AS$1))</f>
        <v>4.7319860118241417</v>
      </c>
      <c r="AT57" s="63">
        <f>INDEX('Table S3 Literature Values'!$A$10:$AV$10000,MATCH($C57,'Table S3 Literature Values'!$A$10:$A$10000,0)+2,AS$1)</f>
        <v>1</v>
      </c>
    </row>
    <row r="58" spans="1:46">
      <c r="A58" t="str">
        <f>'Table S2 Compound Identifiers'!C63</f>
        <v>PCB</v>
      </c>
      <c r="B58">
        <f>COUNTIF($C$3:C58,"&lt;&gt;"&amp;"")</f>
        <v>56</v>
      </c>
      <c r="C58" t="str">
        <f>IF('Table S2 Compound Identifiers'!B63="","",'Table S2 Compound Identifiers'!B63)</f>
        <v>PCB-209</v>
      </c>
      <c r="D58" t="str">
        <f>'Table S2 Compound Identifiers'!D63</f>
        <v>2051-24-3</v>
      </c>
      <c r="E58" s="501">
        <f>IF(VLOOKUP($C58,'Table S3 Literature Values'!$A$10:$AV$10000,E$1,FALSE)=0,VLOOKUP($C58,'Table S9 Model Derived Values'!$A$10:$AV$10000,E$1,FALSE),VLOOKUP($C58,'Table S3 Literature Values'!$A$10:$AV$10000,E$1,FALSE))</f>
        <v>104.05587005119456</v>
      </c>
      <c r="F58" s="61">
        <f>IF(INDEX('Table S3 Literature Values'!$A$10:$AV$10000,MATCH($C58,'Table S3 Literature Values'!$A$10:$A$10000,0)+1,F$1)=0,INDEX('Table S9 Model Derived Values'!$A$10:$AV$10000,MATCH($C58,'Table S9 Model Derived Values'!$A$10:$A$10000,0)+1,F$1),INDEX('Table S3 Literature Values'!$A$10:$AV$10000,MATCH($C58,'Table S3 Literature Values'!$A$10:$A$10000,0)+1,F$1))</f>
        <v>0.65273974807507618</v>
      </c>
      <c r="G58" s="63">
        <f>INDEX('Table S3 Literature Values'!$A$10:$AV$10000,MATCH($C58,'Table S3 Literature Values'!$A$10:$A$10000,0)+2,F$1)</f>
        <v>3</v>
      </c>
      <c r="H58" s="501">
        <f>IF(VLOOKUP($C58,'Table S3 Literature Values'!$A$10:$AV$10000,H$1,FALSE)=0,VLOOKUP($C58,'Table S9 Model Derived Values'!$A$10:$AV$10000,H$1,FALSE),VLOOKUP($C58,'Table S3 Literature Values'!$A$10:$AV$10000,H$1,FALSE))</f>
        <v>37.809999999999995</v>
      </c>
      <c r="I58" s="61">
        <f>IF(INDEX('Table S3 Literature Values'!$A$10:$AV$10000,MATCH($C58,'Table S3 Literature Values'!$A$10:$A$10000,0)+1,I$1)=0,INDEX('Table S9 Model Derived Values'!$A$10:$AV$10000,MATCH($C58,'Table S9 Model Derived Values'!$A$10:$A$10000,0)+1,I$1),INDEX('Table S3 Literature Values'!$A$10:$AV$10000,MATCH($C58,'Table S3 Literature Values'!$A$10:$A$10000,0)+1,I$1))</f>
        <v>7.5619999999999994</v>
      </c>
      <c r="J58" s="63">
        <f>INDEX('Table S3 Literature Values'!$A$10:$AV$10000,MATCH($C58,'Table S3 Literature Values'!$A$10:$A$10000,0)+2,I$1)</f>
        <v>1</v>
      </c>
      <c r="K58" s="501">
        <f>IF(VLOOKUP($C58,'Table S3 Literature Values'!$A$10:$AV$10000,K$1,FALSE)=0,VLOOKUP($C58,'Table S9 Model Derived Values'!$A$10:$AV$10000,K$1,FALSE),VLOOKUP($C58,'Table S3 Literature Values'!$A$10:$AV$10000,K$1,FALSE))</f>
        <v>0</v>
      </c>
      <c r="L58" s="61">
        <f>IF(INDEX('Table S3 Literature Values'!$A$10:$AV$10000,MATCH($C58,'Table S3 Literature Values'!$A$10:$A$10000,0)+1,L$1)=0,INDEX('Table S9 Model Derived Values'!$A$10:$AV$10000,MATCH($C58,'Table S9 Model Derived Values'!$A$10:$A$10000,0)+1,L$1),INDEX('Table S3 Literature Values'!$A$10:$AV$10000,MATCH($C58,'Table S3 Literature Values'!$A$10:$A$10000,0)+1,L$1))</f>
        <v>0</v>
      </c>
      <c r="M58" s="63">
        <f>INDEX('Table S3 Literature Values'!$A$10:$AV$10000,MATCH($C58,'Table S3 Literature Values'!$A$10:$A$10000,0)+2,L$1)</f>
        <v>0</v>
      </c>
      <c r="N58" s="501">
        <f>IF(VLOOKUP($C58,'Table S3 Literature Values'!$A$10:$AV$10000,N$1,FALSE)=0,VLOOKUP($C58,'Table S9 Model Derived Values'!$A$10:$AV$10000,N$1,FALSE),VLOOKUP($C58,'Table S3 Literature Values'!$A$10:$AV$10000,N$1,FALSE))</f>
        <v>104</v>
      </c>
      <c r="O58" s="61">
        <f>IF(INDEX('Table S3 Literature Values'!$A$10:$AV$10000,MATCH($C58,'Table S3 Literature Values'!$A$10:$A$10000,0)+1,O$1)=0,INDEX('Table S9 Model Derived Values'!$A$10:$AV$10000,MATCH($C58,'Table S9 Model Derived Values'!$A$10:$A$10000,0)+1,O$1),INDEX('Table S3 Literature Values'!$A$10:$AV$10000,MATCH($C58,'Table S3 Literature Values'!$A$10:$A$10000,0)+1,O$1))</f>
        <v>6.5892407131491479</v>
      </c>
      <c r="P58" s="63">
        <f>INDEX('Table S3 Literature Values'!$A$10:$AV$10000,MATCH($C58,'Table S3 Literature Values'!$A$10:$A$10000,0)+2,O$1)</f>
        <v>1</v>
      </c>
      <c r="Q58" s="501">
        <f>IF(VLOOKUP($C58,'Table S3 Literature Values'!$A$10:$AV$10000,Q$1,FALSE)=0,VLOOKUP($C58,'Table S9 Model Derived Values'!$A$10:$AV$10000,Q$1,FALSE),VLOOKUP($C58,'Table S3 Literature Values'!$A$10:$AV$10000,Q$1,FALSE))</f>
        <v>65.77873559999999</v>
      </c>
      <c r="R58" s="61">
        <f>IF(INDEX('Table S3 Literature Values'!$A$10:$AV$10000,MATCH($C58,'Table S3 Literature Values'!$A$10:$A$10000,0)+1,R$1)=0,INDEX('Table S9 Model Derived Values'!$A$10:$AV$10000,MATCH($C58,'Table S9 Model Derived Values'!$A$10:$A$10000,0)+1,R$1),INDEX('Table S3 Literature Values'!$A$10:$AV$10000,MATCH($C58,'Table S3 Literature Values'!$A$10:$A$10000,0)+1,R$1))</f>
        <v>19.661987636931595</v>
      </c>
      <c r="S58" s="63">
        <f>INDEX('Table S3 Literature Values'!$A$10:$AV$10000,MATCH($C58,'Table S3 Literature Values'!$A$10:$A$10000,0)+2,R$1)</f>
        <v>0</v>
      </c>
      <c r="T58" s="501">
        <f>IF(VLOOKUP($C58,'Table S3 Literature Values'!$A$10:$AV$10000,T$1,FALSE)=0,VLOOKUP($C58,'Table S9 Model Derived Values'!$A$10:$AV$10000,T$1,FALSE),VLOOKUP($C58,'Table S3 Literature Values'!$A$10:$AV$10000,T$1,FALSE))</f>
        <v>-23.8</v>
      </c>
      <c r="U58" s="61">
        <f>IF(INDEX('Table S3 Literature Values'!$A$10:$AV$10000,MATCH($C58,'Table S3 Literature Values'!$A$10:$A$10000,0)+1,U$1)=0,INDEX('Table S9 Model Derived Values'!$A$10:$AV$10000,MATCH($C58,'Table S9 Model Derived Values'!$A$10:$A$10000,0)+1,U$1),INDEX('Table S3 Literature Values'!$A$10:$AV$10000,MATCH($C58,'Table S3 Literature Values'!$A$10:$A$10000,0)+1,U$1))</f>
        <v>4.7600000000000007</v>
      </c>
      <c r="V58" s="63">
        <f>INDEX('Table S3 Literature Values'!$A$10:$AV$10000,MATCH($C58,'Table S3 Literature Values'!$A$10:$A$10000,0)+2,U$1)</f>
        <v>1</v>
      </c>
      <c r="W58" s="501">
        <f ca="1">IF(VLOOKUP($C58,'Table S3 Literature Values'!$A$10:$AV$10000,W$1,FALSE)=0,VLOOKUP($C58,'Table S9 Model Derived Values'!$A$10:$AV$10000,W$1,FALSE),VLOOKUP($C58,'Table S3 Literature Values'!$A$10:$AV$10000,W$1,FALSE))</f>
        <v>11.525637381635953</v>
      </c>
      <c r="X58" s="61">
        <f ca="1">IF(INDEX('Table S3 Literature Values'!$A$10:$AV$10000,MATCH($C58,'Table S3 Literature Values'!$A$10:$A$10000,0)+1,X$1)=0,INDEX('Table S9 Model Derived Values'!$A$10:$AV$10000,MATCH($C58,'Table S9 Model Derived Values'!$A$10:$A$10000,0)+1,X$1),INDEX('Table S3 Literature Values'!$A$10:$AV$10000,MATCH($C58,'Table S3 Literature Values'!$A$10:$A$10000,0)+1,X$1))</f>
        <v>0.19984160559524264</v>
      </c>
      <c r="Y58" s="63">
        <f ca="1">INDEX('Table S3 Literature Values'!$A$10:$AV$10000,MATCH($C58,'Table S3 Literature Values'!$A$10:$A$10000,0)+2,X$1)</f>
        <v>2</v>
      </c>
      <c r="Z58" s="501">
        <f>IF(VLOOKUP($C58,'Table S3 Literature Values'!$A$10:$AV$10000,Z$1,FALSE)=0,VLOOKUP($C58,'Table S9 Model Derived Values'!$A$10:$AV$10000,Z$1,FALSE),VLOOKUP($C58,'Table S3 Literature Values'!$A$10:$AV$10000,Z$1,FALSE))</f>
        <v>8.1416737508306145</v>
      </c>
      <c r="AA58" s="61">
        <f>IF(INDEX('Table S3 Literature Values'!$A$10:$AV$10000,MATCH($C58,'Table S3 Literature Values'!$A$10:$A$10000,0)+1,AA$1)=0,INDEX('Table S9 Model Derived Values'!$A$10:$AV$10000,MATCH($C58,'Table S9 Model Derived Values'!$A$10:$A$10000,0)+1,AA$1),INDEX('Table S3 Literature Values'!$A$10:$AV$10000,MATCH($C58,'Table S3 Literature Values'!$A$10:$A$10000,0)+1,AA$1))</f>
        <v>0.25421187957856911</v>
      </c>
      <c r="AB58" s="63">
        <f>INDEX('Table S3 Literature Values'!$A$10:$AV$10000,MATCH($C58,'Table S3 Literature Values'!$A$10:$A$10000,0)+2,AA$1)</f>
        <v>8</v>
      </c>
      <c r="AC58" s="501">
        <f>IF(VLOOKUP($C58,'Table S3 Literature Values'!$A$10:$AV$10000,AC$1,FALSE)=0,VLOOKUP($C58,'Table S9 Model Derived Values'!$A$10:$AV$10000,AC$1,FALSE),VLOOKUP($C58,'Table S3 Literature Values'!$A$10:$AV$10000,AC$1,FALSE))</f>
        <v>-2.7664286699999998</v>
      </c>
      <c r="AD58" s="61">
        <f>IF(INDEX('Table S3 Literature Values'!$A$10:$AV$10000,MATCH($C58,'Table S3 Literature Values'!$A$10:$A$10000,0)+1,AD$1)=0,INDEX('Table S9 Model Derived Values'!$A$10:$AV$10000,MATCH($C58,'Table S9 Model Derived Values'!$A$10:$A$10000,0)+1,AD$1),INDEX('Table S3 Literature Values'!$A$10:$AV$10000,MATCH($C58,'Table S3 Literature Values'!$A$10:$A$10000,0)+1,AD$1))</f>
        <v>0.61532289692474995</v>
      </c>
      <c r="AE58" s="63">
        <f>INDEX('Table S3 Literature Values'!$A$10:$AV$10000,MATCH($C58,'Table S3 Literature Values'!$A$10:$A$10000,0)+2,AD$1)</f>
        <v>0</v>
      </c>
      <c r="AF58" s="501">
        <f>IF(VLOOKUP($C58,'Table S3 Literature Values'!$A$10:$AV$10000,AF$1,FALSE)=0,VLOOKUP($C58,'Table S9 Model Derived Values'!$A$10:$AV$10000,AF$1,FALSE),VLOOKUP($C58,'Table S3 Literature Values'!$A$10:$AV$10000,AF$1,FALSE))</f>
        <v>-4.6996349403159625</v>
      </c>
      <c r="AG58" s="61">
        <f>IF(INDEX('Table S3 Literature Values'!$A$10:$AV$10000,MATCH($C58,'Table S3 Literature Values'!$A$10:$A$10000,0)+1,AG$1)=0,INDEX('Table S9 Model Derived Values'!$A$10:$AV$10000,MATCH($C58,'Table S9 Model Derived Values'!$A$10:$A$10000,0)+1,AG$1),INDEX('Table S3 Literature Values'!$A$10:$AV$10000,MATCH($C58,'Table S3 Literature Values'!$A$10:$A$10000,0)+1,AG$1))</f>
        <v>0.28490908503016454</v>
      </c>
      <c r="AH58" s="63">
        <f>INDEX('Table S3 Literature Values'!$A$10:$AV$10000,MATCH($C58,'Table S3 Literature Values'!$A$10:$A$10000,0)+2,AG$1)</f>
        <v>4</v>
      </c>
      <c r="AI58" s="501">
        <f ca="1">IF(VLOOKUP($C58,'Table S3 Literature Values'!$A$10:$AV$10000,AI$1,FALSE)=0,VLOOKUP($C58,'Table S9 Model Derived Values'!$A$10:$AV$10000,AI$1,FALSE),VLOOKUP($C58,'Table S3 Literature Values'!$A$10:$AV$10000,AI$1,FALSE))</f>
        <v>-4.9065768596922759</v>
      </c>
      <c r="AJ58" s="61">
        <f ca="1">IF(INDEX('Table S3 Literature Values'!$A$10:$AV$10000,MATCH($C58,'Table S3 Literature Values'!$A$10:$A$10000,0)+1,AJ$1)=0,INDEX('Table S9 Model Derived Values'!$A$10:$AV$10000,MATCH($C58,'Table S9 Model Derived Values'!$A$10:$A$10000,0)+1,AJ$1),INDEX('Table S3 Literature Values'!$A$10:$AV$10000,MATCH($C58,'Table S3 Literature Values'!$A$10:$A$10000,0)+1,AJ$1))</f>
        <v>0.22757118902063608</v>
      </c>
      <c r="AK58" s="63">
        <f ca="1">INDEX('Table S3 Literature Values'!$A$10:$AV$10000,MATCH($C58,'Table S3 Literature Values'!$A$10:$A$10000,0)+2,AJ$1)</f>
        <v>5</v>
      </c>
      <c r="AL58" s="501">
        <f ca="1">IF(VLOOKUP($C58,'Table S3 Literature Values'!$A$10:$AV$10000,AL$1,FALSE)=0,VLOOKUP($C58,'Table S9 Model Derived Values'!$A$10:$AV$10000,AL$1,FALSE),VLOOKUP($C58,'Table S3 Literature Values'!$A$10:$AV$10000,AL$1,FALSE))</f>
        <v>2.013540181656575</v>
      </c>
      <c r="AM58" s="61">
        <f ca="1">IF(INDEX('Table S3 Literature Values'!$A$10:$AV$10000,MATCH($C58,'Table S3 Literature Values'!$A$10:$A$10000,0)+1,AM$1)=0,INDEX('Table S9 Model Derived Values'!$A$10:$AV$10000,MATCH($C58,'Table S9 Model Derived Values'!$A$10:$A$10000,0)+1,AM$1),INDEX('Table S3 Literature Values'!$A$10:$AV$10000,MATCH($C58,'Table S3 Literature Values'!$A$10:$A$10000,0)+1,AM$1))</f>
        <v>1.3593681325823463</v>
      </c>
      <c r="AN58" s="63">
        <f ca="1">INDEX('Table S3 Literature Values'!$A$10:$AV$10000,MATCH($C58,'Table S3 Literature Values'!$A$10:$A$10000,0)+2,AM$1)</f>
        <v>2</v>
      </c>
      <c r="AO58" s="501">
        <f>IF(VLOOKUP($C58,'Table S3 Literature Values'!$A$10:$AV$10000,AO$1,FALSE)=0,VLOOKUP($C58,'Table S9 Model Derived Values'!$A$10:$AV$10000,AO$1,FALSE),VLOOKUP($C58,'Table S3 Literature Values'!$A$10:$AV$10000,AO$1,FALSE))</f>
        <v>55.188213787105745</v>
      </c>
      <c r="AP58" s="61">
        <f>IF(INDEX('Table S3 Literature Values'!$A$10:$AV$10000,MATCH($C58,'Table S3 Literature Values'!$A$10:$A$10000,0)+1,AP$1)=0,INDEX('Table S9 Model Derived Values'!$A$10:$AV$10000,MATCH($C58,'Table S9 Model Derived Values'!$A$10:$A$10000,0)+1,AP$1),INDEX('Table S3 Literature Values'!$A$10:$AV$10000,MATCH($C58,'Table S3 Literature Values'!$A$10:$A$10000,0)+1,AP$1))</f>
        <v>9.8727770120457699</v>
      </c>
      <c r="AQ58" s="63">
        <f>INDEX('Table S3 Literature Values'!$A$10:$AV$10000,MATCH($C58,'Table S3 Literature Values'!$A$10:$A$10000,0)+2,AP$1)</f>
        <v>3</v>
      </c>
      <c r="AR58" s="501">
        <f>IF(VLOOKUP($C58,'Table S3 Literature Values'!$A$10:$AV$10000,AR$1,FALSE)=0,VLOOKUP($C58,'Table S9 Model Derived Values'!$A$10:$AV$10000,AR$1,FALSE),VLOOKUP($C58,'Table S3 Literature Values'!$A$10:$AV$10000,AR$1,FALSE))</f>
        <v>308.39285714285717</v>
      </c>
      <c r="AS58" s="61">
        <f>IF(INDEX('Table S3 Literature Values'!$A$10:$AV$10000,MATCH($C58,'Table S3 Literature Values'!$A$10:$A$10000,0)+1,AS$1)=0,INDEX('Table S9 Model Derived Values'!$A$10:$AV$10000,MATCH($C58,'Table S9 Model Derived Values'!$A$10:$A$10000,0)+1,AS$1),INDEX('Table S3 Literature Values'!$A$10:$AV$10000,MATCH($C58,'Table S3 Literature Values'!$A$10:$A$10000,0)+1,AS$1))</f>
        <v>5.139425111448797</v>
      </c>
      <c r="AT58" s="63">
        <f>INDEX('Table S3 Literature Values'!$A$10:$AV$10000,MATCH($C58,'Table S3 Literature Values'!$A$10:$A$10000,0)+2,AS$1)</f>
        <v>7</v>
      </c>
    </row>
    <row r="59" spans="1:46">
      <c r="A59" t="str">
        <f>'Table S2 Compound Identifiers'!C64</f>
        <v>Phthalate</v>
      </c>
      <c r="B59">
        <f>COUNTIF($C$3:C59,"&lt;&gt;"&amp;"")</f>
        <v>57</v>
      </c>
      <c r="C59" t="str">
        <f>IF('Table S2 Compound Identifiers'!B64="","",'Table S2 Compound Identifiers'!B64)</f>
        <v>DmP</v>
      </c>
      <c r="D59" t="str">
        <f>'Table S2 Compound Identifiers'!D64</f>
        <v>131-11-3</v>
      </c>
      <c r="E59" s="501">
        <f>IF(VLOOKUP($C59,'Table S3 Literature Values'!$A$10:$AV$10000,E$1,FALSE)=0,VLOOKUP($C59,'Table S9 Model Derived Values'!$A$10:$AV$10000,E$1,FALSE),VLOOKUP($C59,'Table S3 Literature Values'!$A$10:$AV$10000,E$1,FALSE))</f>
        <v>0.96533834384387507</v>
      </c>
      <c r="F59" s="61">
        <f>IF(INDEX('Table S3 Literature Values'!$A$10:$AV$10000,MATCH($C59,'Table S3 Literature Values'!$A$10:$A$10000,0)+1,F$1)=0,INDEX('Table S9 Model Derived Values'!$A$10:$AV$10000,MATCH($C59,'Table S9 Model Derived Values'!$A$10:$A$10000,0)+1,F$1),INDEX('Table S3 Literature Values'!$A$10:$AV$10000,MATCH($C59,'Table S3 Literature Values'!$A$10:$A$10000,0)+1,F$1))</f>
        <v>7</v>
      </c>
      <c r="G59" s="63">
        <f>INDEX('Table S3 Literature Values'!$A$10:$AV$10000,MATCH($C59,'Table S3 Literature Values'!$A$10:$A$10000,0)+2,F$1)</f>
        <v>0</v>
      </c>
      <c r="H59" s="501">
        <f>IF(VLOOKUP($C59,'Table S3 Literature Values'!$A$10:$AV$10000,H$1,FALSE)=0,VLOOKUP($C59,'Table S9 Model Derived Values'!$A$10:$AV$10000,H$1,FALSE),VLOOKUP($C59,'Table S3 Literature Values'!$A$10:$AV$10000,H$1,FALSE))</f>
        <v>1.8797252000000046</v>
      </c>
      <c r="I59" s="61">
        <f>IF(INDEX('Table S3 Literature Values'!$A$10:$AV$10000,MATCH($C59,'Table S3 Literature Values'!$A$10:$A$10000,0)+1,I$1)=0,INDEX('Table S9 Model Derived Values'!$A$10:$AV$10000,MATCH($C59,'Table S9 Model Derived Values'!$A$10:$A$10000,0)+1,I$1),INDEX('Table S3 Literature Values'!$A$10:$AV$10000,MATCH($C59,'Table S3 Literature Values'!$A$10:$A$10000,0)+1,I$1))</f>
        <v>0</v>
      </c>
      <c r="J59" s="63">
        <f>INDEX('Table S3 Literature Values'!$A$10:$AV$10000,MATCH($C59,'Table S3 Literature Values'!$A$10:$A$10000,0)+2,I$1)</f>
        <v>0</v>
      </c>
      <c r="K59" s="501">
        <f>IF(VLOOKUP($C59,'Table S3 Literature Values'!$A$10:$AV$10000,K$1,FALSE)=0,VLOOKUP($C59,'Table S9 Model Derived Values'!$A$10:$AV$10000,K$1,FALSE),VLOOKUP($C59,'Table S3 Literature Values'!$A$10:$AV$10000,K$1,FALSE))</f>
        <v>0</v>
      </c>
      <c r="L59" s="61">
        <f>IF(INDEX('Table S3 Literature Values'!$A$10:$AV$10000,MATCH($C59,'Table S3 Literature Values'!$A$10:$A$10000,0)+1,L$1)=0,INDEX('Table S9 Model Derived Values'!$A$10:$AV$10000,MATCH($C59,'Table S9 Model Derived Values'!$A$10:$A$10000,0)+1,L$1),INDEX('Table S3 Literature Values'!$A$10:$AV$10000,MATCH($C59,'Table S3 Literature Values'!$A$10:$A$10000,0)+1,L$1))</f>
        <v>0</v>
      </c>
      <c r="M59" s="63">
        <f>INDEX('Table S3 Literature Values'!$A$10:$AV$10000,MATCH($C59,'Table S3 Literature Values'!$A$10:$A$10000,0)+2,L$1)</f>
        <v>0</v>
      </c>
      <c r="N59" s="501">
        <f>IF(VLOOKUP($C59,'Table S3 Literature Values'!$A$10:$AV$10000,N$1,FALSE)=0,VLOOKUP($C59,'Table S9 Model Derived Values'!$A$10:$AV$10000,N$1,FALSE),VLOOKUP($C59,'Table S3 Literature Values'!$A$10:$AV$10000,N$1,FALSE))</f>
        <v>3.4824044666190925</v>
      </c>
      <c r="O59" s="61">
        <f>IF(INDEX('Table S3 Literature Values'!$A$10:$AV$10000,MATCH($C59,'Table S3 Literature Values'!$A$10:$A$10000,0)+1,O$1)=0,INDEX('Table S9 Model Derived Values'!$A$10:$AV$10000,MATCH($C59,'Table S9 Model Derived Values'!$A$10:$A$10000,0)+1,O$1),INDEX('Table S3 Literature Values'!$A$10:$AV$10000,MATCH($C59,'Table S3 Literature Values'!$A$10:$A$10000,0)+1,O$1))</f>
        <v>1</v>
      </c>
      <c r="P59" s="63">
        <f>INDEX('Table S3 Literature Values'!$A$10:$AV$10000,MATCH($C59,'Table S3 Literature Values'!$A$10:$A$10000,0)+2,O$1)</f>
        <v>0</v>
      </c>
      <c r="Q59" s="501">
        <f>IF(VLOOKUP($C59,'Table S3 Literature Values'!$A$10:$AV$10000,Q$1,FALSE)=0,VLOOKUP($C59,'Table S9 Model Derived Values'!$A$10:$AV$10000,Q$1,FALSE),VLOOKUP($C59,'Table S3 Literature Values'!$A$10:$AV$10000,Q$1,FALSE))</f>
        <v>14.862804664118599</v>
      </c>
      <c r="R59" s="61">
        <f>IF(INDEX('Table S3 Literature Values'!$A$10:$AV$10000,MATCH($C59,'Table S3 Literature Values'!$A$10:$A$10000,0)+1,R$1)=0,INDEX('Table S9 Model Derived Values'!$A$10:$AV$10000,MATCH($C59,'Table S9 Model Derived Values'!$A$10:$A$10000,0)+1,R$1),INDEX('Table S3 Literature Values'!$A$10:$AV$10000,MATCH($C59,'Table S3 Literature Values'!$A$10:$A$10000,0)+1,R$1))</f>
        <v>0</v>
      </c>
      <c r="S59" s="63">
        <f>INDEX('Table S3 Literature Values'!$A$10:$AV$10000,MATCH($C59,'Table S3 Literature Values'!$A$10:$A$10000,0)+2,R$1)</f>
        <v>0</v>
      </c>
      <c r="T59" s="501">
        <f>IF(VLOOKUP($C59,'Table S3 Literature Values'!$A$10:$AV$10000,T$1,FALSE)=0,VLOOKUP($C59,'Table S9 Model Derived Values'!$A$10:$AV$10000,T$1,FALSE),VLOOKUP($C59,'Table S3 Literature Values'!$A$10:$AV$10000,T$1,FALSE))</f>
        <v>5.6332290796609685</v>
      </c>
      <c r="U59" s="61">
        <f>IF(INDEX('Table S3 Literature Values'!$A$10:$AV$10000,MATCH($C59,'Table S3 Literature Values'!$A$10:$A$10000,0)+1,U$1)=0,INDEX('Table S9 Model Derived Values'!$A$10:$AV$10000,MATCH($C59,'Table S9 Model Derived Values'!$A$10:$A$10000,0)+1,U$1),INDEX('Table S3 Literature Values'!$A$10:$AV$10000,MATCH($C59,'Table S3 Literature Values'!$A$10:$A$10000,0)+1,U$1))</f>
        <v>0</v>
      </c>
      <c r="V59" s="63">
        <f>INDEX('Table S3 Literature Values'!$A$10:$AV$10000,MATCH($C59,'Table S3 Literature Values'!$A$10:$A$10000,0)+2,U$1)</f>
        <v>0</v>
      </c>
      <c r="W59" s="501">
        <f>IF(VLOOKUP($C59,'Table S3 Literature Values'!$A$10:$AV$10000,W$1,FALSE)=0,VLOOKUP($C59,'Table S9 Model Derived Values'!$A$10:$AV$10000,W$1,FALSE),VLOOKUP($C59,'Table S3 Literature Values'!$A$10:$AV$10000,W$1,FALSE))</f>
        <v>0.18023472661974055</v>
      </c>
      <c r="X59" s="61">
        <f>IF(INDEX('Table S3 Literature Values'!$A$10:$AV$10000,MATCH($C59,'Table S3 Literature Values'!$A$10:$A$10000,0)+1,X$1)=0,INDEX('Table S9 Model Derived Values'!$A$10:$AV$10000,MATCH($C59,'Table S9 Model Derived Values'!$A$10:$A$10000,0)+1,X$1),INDEX('Table S3 Literature Values'!$A$10:$AV$10000,MATCH($C59,'Table S3 Literature Values'!$A$10:$A$10000,0)+1,X$1))</f>
        <v>1</v>
      </c>
      <c r="Y59" s="63">
        <f>INDEX('Table S3 Literature Values'!$A$10:$AV$10000,MATCH($C59,'Table S3 Literature Values'!$A$10:$A$10000,0)+2,X$1)</f>
        <v>0</v>
      </c>
      <c r="Z59" s="501" t="e">
        <f ca="1">IF(VLOOKUP($C59,'Table S3 Literature Values'!$A$10:$AV$10000,Z$1,FALSE)=0,VLOOKUP($C59,'Table S9 Model Derived Values'!$A$10:$AV$10000,Z$1,FALSE),VLOOKUP($C59,'Table S3 Literature Values'!$A$10:$AV$10000,Z$1,FALSE))</f>
        <v>#N/A</v>
      </c>
      <c r="AA59" s="61">
        <f ca="1">IF(INDEX('Table S3 Literature Values'!$A$10:$AV$10000,MATCH($C59,'Table S3 Literature Values'!$A$10:$A$10000,0)+1,AA$1)=0,INDEX('Table S9 Model Derived Values'!$A$10:$AV$10000,MATCH($C59,'Table S9 Model Derived Values'!$A$10:$A$10000,0)+1,AA$1),INDEX('Table S3 Literature Values'!$A$10:$AV$10000,MATCH($C59,'Table S3 Literature Values'!$A$10:$A$10000,0)+1,AA$1))</f>
        <v>14</v>
      </c>
      <c r="AB59" s="63">
        <f>INDEX('Table S3 Literature Values'!$A$10:$AV$10000,MATCH($C59,'Table S3 Literature Values'!$A$10:$A$10000,0)+2,AA$1)</f>
        <v>0</v>
      </c>
      <c r="AC59" s="501">
        <f>IF(VLOOKUP($C59,'Table S3 Literature Values'!$A$10:$AV$10000,AC$1,FALSE)=0,VLOOKUP($C59,'Table S9 Model Derived Values'!$A$10:$AV$10000,AC$1,FALSE),VLOOKUP($C59,'Table S3 Literature Values'!$A$10:$AV$10000,AC$1,FALSE))</f>
        <v>0.94942939380402136</v>
      </c>
      <c r="AD59" s="61">
        <f>IF(INDEX('Table S3 Literature Values'!$A$10:$AV$10000,MATCH($C59,'Table S3 Literature Values'!$A$10:$A$10000,0)+1,AD$1)=0,INDEX('Table S9 Model Derived Values'!$A$10:$AV$10000,MATCH($C59,'Table S9 Model Derived Values'!$A$10:$A$10000,0)+1,AD$1),INDEX('Table S3 Literature Values'!$A$10:$AV$10000,MATCH($C59,'Table S3 Literature Values'!$A$10:$A$10000,0)+1,AD$1))</f>
        <v>1</v>
      </c>
      <c r="AE59" s="63">
        <f>INDEX('Table S3 Literature Values'!$A$10:$AV$10000,MATCH($C59,'Table S3 Literature Values'!$A$10:$A$10000,0)+2,AD$1)</f>
        <v>0</v>
      </c>
      <c r="AF59" s="501">
        <f>IF(VLOOKUP($C59,'Table S3 Literature Values'!$A$10:$AV$10000,AF$1,FALSE)=0,VLOOKUP($C59,'Table S9 Model Derived Values'!$A$10:$AV$10000,AF$1,FALSE),VLOOKUP($C59,'Table S3 Literature Values'!$A$10:$AV$10000,AF$1,FALSE))</f>
        <v>9.5464368197886035E-2</v>
      </c>
      <c r="AG59" s="61">
        <f>IF(INDEX('Table S3 Literature Values'!$A$10:$AV$10000,MATCH($C59,'Table S3 Literature Values'!$A$10:$A$10000,0)+1,AG$1)=0,INDEX('Table S9 Model Derived Values'!$A$10:$AV$10000,MATCH($C59,'Table S9 Model Derived Values'!$A$10:$A$10000,0)+1,AG$1),INDEX('Table S3 Literature Values'!$A$10:$AV$10000,MATCH($C59,'Table S3 Literature Values'!$A$10:$A$10000,0)+1,AG$1))</f>
        <v>9</v>
      </c>
      <c r="AH59" s="63">
        <f>INDEX('Table S3 Literature Values'!$A$10:$AV$10000,MATCH($C59,'Table S3 Literature Values'!$A$10:$A$10000,0)+2,AG$1)</f>
        <v>0</v>
      </c>
      <c r="AI59" s="501" t="e">
        <f ca="1">IF(VLOOKUP($C59,'Table S3 Literature Values'!$A$10:$AV$10000,AI$1,FALSE)=0,VLOOKUP($C59,'Table S9 Model Derived Values'!$A$10:$AV$10000,AI$1,FALSE),VLOOKUP($C59,'Table S3 Literature Values'!$A$10:$AV$10000,AI$1,FALSE))</f>
        <v>#N/A</v>
      </c>
      <c r="AJ59" s="61">
        <f ca="1">IF(INDEX('Table S3 Literature Values'!$A$10:$AV$10000,MATCH($C59,'Table S3 Literature Values'!$A$10:$A$10000,0)+1,AJ$1)=0,INDEX('Table S9 Model Derived Values'!$A$10:$AV$10000,MATCH($C59,'Table S9 Model Derived Values'!$A$10:$A$10000,0)+1,AJ$1),INDEX('Table S3 Literature Values'!$A$10:$AV$10000,MATCH($C59,'Table S3 Literature Values'!$A$10:$A$10000,0)+1,AJ$1))</f>
        <v>3</v>
      </c>
      <c r="AK59" s="63">
        <f>INDEX('Table S3 Literature Values'!$A$10:$AV$10000,MATCH($C59,'Table S3 Literature Values'!$A$10:$A$10000,0)+2,AJ$1)</f>
        <v>0</v>
      </c>
      <c r="AL59" s="501">
        <f>IF(VLOOKUP($C59,'Table S3 Literature Values'!$A$10:$AV$10000,AL$1,FALSE)=0,VLOOKUP($C59,'Table S9 Model Derived Values'!$A$10:$AV$10000,AL$1,FALSE),VLOOKUP($C59,'Table S3 Literature Values'!$A$10:$AV$10000,AL$1,FALSE))</f>
        <v>0.4510360428047997</v>
      </c>
      <c r="AM59" s="61">
        <f>IF(INDEX('Table S3 Literature Values'!$A$10:$AV$10000,MATCH($C59,'Table S3 Literature Values'!$A$10:$A$10000,0)+1,AM$1)=0,INDEX('Table S9 Model Derived Values'!$A$10:$AV$10000,MATCH($C59,'Table S9 Model Derived Values'!$A$10:$A$10000,0)+1,AM$1),INDEX('Table S3 Literature Values'!$A$10:$AV$10000,MATCH($C59,'Table S3 Literature Values'!$A$10:$A$10000,0)+1,AM$1))</f>
        <v>0</v>
      </c>
      <c r="AN59" s="63">
        <f>INDEX('Table S3 Literature Values'!$A$10:$AV$10000,MATCH($C59,'Table S3 Literature Values'!$A$10:$A$10000,0)+2,AM$1)</f>
        <v>0</v>
      </c>
      <c r="AO59" s="501">
        <f>IF(VLOOKUP($C59,'Table S3 Literature Values'!$A$10:$AV$10000,AO$1,FALSE)=0,VLOOKUP($C59,'Table S9 Model Derived Values'!$A$10:$AV$10000,AO$1,FALSE),VLOOKUP($C59,'Table S3 Literature Values'!$A$10:$AV$10000,AO$1,FALSE))</f>
        <v>4.8710528878201647</v>
      </c>
      <c r="AP59" s="61">
        <f>IF(INDEX('Table S3 Literature Values'!$A$10:$AV$10000,MATCH($C59,'Table S3 Literature Values'!$A$10:$A$10000,0)+1,AP$1)=0,INDEX('Table S9 Model Derived Values'!$A$10:$AV$10000,MATCH($C59,'Table S9 Model Derived Values'!$A$10:$A$10000,0)+1,AP$1),INDEX('Table S3 Literature Values'!$A$10:$AV$10000,MATCH($C59,'Table S3 Literature Values'!$A$10:$A$10000,0)+1,AP$1))</f>
        <v>1</v>
      </c>
      <c r="AQ59" s="63">
        <f>INDEX('Table S3 Literature Values'!$A$10:$AV$10000,MATCH($C59,'Table S3 Literature Values'!$A$10:$A$10000,0)+2,AP$1)</f>
        <v>0</v>
      </c>
      <c r="AR59" s="501">
        <f>IF(VLOOKUP($C59,'Table S3 Literature Values'!$A$10:$AV$10000,AR$1,FALSE)=0,VLOOKUP($C59,'Table S9 Model Derived Values'!$A$10:$AV$10000,AR$1,FALSE),VLOOKUP($C59,'Table S3 Literature Values'!$A$10:$AV$10000,AR$1,FALSE))</f>
        <v>0.23177575369309009</v>
      </c>
      <c r="AS59" s="61">
        <f>IF(INDEX('Table S3 Literature Values'!$A$10:$AV$10000,MATCH($C59,'Table S3 Literature Values'!$A$10:$A$10000,0)+1,AS$1)=0,INDEX('Table S9 Model Derived Values'!$A$10:$AV$10000,MATCH($C59,'Table S9 Model Derived Values'!$A$10:$A$10000,0)+1,AS$1),INDEX('Table S3 Literature Values'!$A$10:$AV$10000,MATCH($C59,'Table S3 Literature Values'!$A$10:$A$10000,0)+1,AS$1))</f>
        <v>5</v>
      </c>
      <c r="AT59" s="63">
        <f>INDEX('Table S3 Literature Values'!$A$10:$AV$10000,MATCH($C59,'Table S3 Literature Values'!$A$10:$A$10000,0)+2,AS$1)</f>
        <v>0</v>
      </c>
    </row>
    <row r="60" spans="1:46">
      <c r="A60" t="str">
        <f>'Table S2 Compound Identifiers'!C65</f>
        <v>Phthalate</v>
      </c>
      <c r="B60">
        <f>COUNTIF($C$3:C60,"&lt;&gt;"&amp;"")</f>
        <v>58</v>
      </c>
      <c r="C60" t="str">
        <f>IF('Table S2 Compound Identifiers'!B65="","",'Table S2 Compound Identifiers'!B65)</f>
        <v>DEP</v>
      </c>
      <c r="D60" t="str">
        <f>'Table S2 Compound Identifiers'!D65</f>
        <v>84-66-2</v>
      </c>
      <c r="E60" s="501">
        <f>IF(VLOOKUP($C60,'Table S3 Literature Values'!$A$10:$AV$10000,E$1,FALSE)=0,VLOOKUP($C60,'Table S9 Model Derived Values'!$A$10:$AV$10000,E$1,FALSE),VLOOKUP($C60,'Table S3 Literature Values'!$A$10:$AV$10000,E$1,FALSE))</f>
        <v>2.0167132760553788</v>
      </c>
      <c r="F60" s="61">
        <f>IF(INDEX('Table S3 Literature Values'!$A$10:$AV$10000,MATCH($C60,'Table S3 Literature Values'!$A$10:$A$10000,0)+1,F$1)=0,INDEX('Table S9 Model Derived Values'!$A$10:$AV$10000,MATCH($C60,'Table S9 Model Derived Values'!$A$10:$A$10000,0)+1,F$1),INDEX('Table S3 Literature Values'!$A$10:$AV$10000,MATCH($C60,'Table S3 Literature Values'!$A$10:$A$10000,0)+1,F$1))</f>
        <v>6</v>
      </c>
      <c r="G60" s="63">
        <f>INDEX('Table S3 Literature Values'!$A$10:$AV$10000,MATCH($C60,'Table S3 Literature Values'!$A$10:$A$10000,0)+2,F$1)</f>
        <v>0</v>
      </c>
      <c r="H60" s="501">
        <f>IF(VLOOKUP($C60,'Table S3 Literature Values'!$A$10:$AV$10000,H$1,FALSE)=0,VLOOKUP($C60,'Table S9 Model Derived Values'!$A$10:$AV$10000,H$1,FALSE),VLOOKUP($C60,'Table S3 Literature Values'!$A$10:$AV$10000,H$1,FALSE))</f>
        <v>9.8615434000000004</v>
      </c>
      <c r="I60" s="61">
        <f>IF(INDEX('Table S3 Literature Values'!$A$10:$AV$10000,MATCH($C60,'Table S3 Literature Values'!$A$10:$A$10000,0)+1,I$1)=0,INDEX('Table S9 Model Derived Values'!$A$10:$AV$10000,MATCH($C60,'Table S9 Model Derived Values'!$A$10:$A$10000,0)+1,I$1),INDEX('Table S3 Literature Values'!$A$10:$AV$10000,MATCH($C60,'Table S3 Literature Values'!$A$10:$A$10000,0)+1,I$1))</f>
        <v>0</v>
      </c>
      <c r="J60" s="63">
        <f>INDEX('Table S3 Literature Values'!$A$10:$AV$10000,MATCH($C60,'Table S3 Literature Values'!$A$10:$A$10000,0)+2,I$1)</f>
        <v>0</v>
      </c>
      <c r="K60" s="501">
        <f>IF(VLOOKUP($C60,'Table S3 Literature Values'!$A$10:$AV$10000,K$1,FALSE)=0,VLOOKUP($C60,'Table S9 Model Derived Values'!$A$10:$AV$10000,K$1,FALSE),VLOOKUP($C60,'Table S3 Literature Values'!$A$10:$AV$10000,K$1,FALSE))</f>
        <v>0</v>
      </c>
      <c r="L60" s="61">
        <f>IF(INDEX('Table S3 Literature Values'!$A$10:$AV$10000,MATCH($C60,'Table S3 Literature Values'!$A$10:$A$10000,0)+1,L$1)=0,INDEX('Table S9 Model Derived Values'!$A$10:$AV$10000,MATCH($C60,'Table S9 Model Derived Values'!$A$10:$A$10000,0)+1,L$1),INDEX('Table S3 Literature Values'!$A$10:$AV$10000,MATCH($C60,'Table S3 Literature Values'!$A$10:$A$10000,0)+1,L$1))</f>
        <v>0</v>
      </c>
      <c r="M60" s="63">
        <f>INDEX('Table S3 Literature Values'!$A$10:$AV$10000,MATCH($C60,'Table S3 Literature Values'!$A$10:$A$10000,0)+2,L$1)</f>
        <v>0</v>
      </c>
      <c r="N60" s="501">
        <f>IF(VLOOKUP($C60,'Table S3 Literature Values'!$A$10:$AV$10000,N$1,FALSE)=0,VLOOKUP($C60,'Table S9 Model Derived Values'!$A$10:$AV$10000,N$1,FALSE),VLOOKUP($C60,'Table S3 Literature Values'!$A$10:$AV$10000,N$1,FALSE))</f>
        <v>3.7436769844595208</v>
      </c>
      <c r="O60" s="61">
        <f>IF(INDEX('Table S3 Literature Values'!$A$10:$AV$10000,MATCH($C60,'Table S3 Literature Values'!$A$10:$A$10000,0)+1,O$1)=0,INDEX('Table S9 Model Derived Values'!$A$10:$AV$10000,MATCH($C60,'Table S9 Model Derived Values'!$A$10:$A$10000,0)+1,O$1),INDEX('Table S3 Literature Values'!$A$10:$AV$10000,MATCH($C60,'Table S3 Literature Values'!$A$10:$A$10000,0)+1,O$1))</f>
        <v>1</v>
      </c>
      <c r="P60" s="63">
        <f>INDEX('Table S3 Literature Values'!$A$10:$AV$10000,MATCH($C60,'Table S3 Literature Values'!$A$10:$A$10000,0)+2,O$1)</f>
        <v>0</v>
      </c>
      <c r="Q60" s="501">
        <f>IF(VLOOKUP($C60,'Table S3 Literature Values'!$A$10:$AV$10000,Q$1,FALSE)=0,VLOOKUP($C60,'Table S9 Model Derived Values'!$A$10:$AV$10000,Q$1,FALSE),VLOOKUP($C60,'Table S3 Literature Values'!$A$10:$AV$10000,Q$1,FALSE))</f>
        <v>16.187359459846199</v>
      </c>
      <c r="R60" s="61">
        <f>IF(INDEX('Table S3 Literature Values'!$A$10:$AV$10000,MATCH($C60,'Table S3 Literature Values'!$A$10:$A$10000,0)+1,R$1)=0,INDEX('Table S9 Model Derived Values'!$A$10:$AV$10000,MATCH($C60,'Table S9 Model Derived Values'!$A$10:$A$10000,0)+1,R$1),INDEX('Table S3 Literature Values'!$A$10:$AV$10000,MATCH($C60,'Table S3 Literature Values'!$A$10:$A$10000,0)+1,R$1))</f>
        <v>0</v>
      </c>
      <c r="S60" s="63">
        <f>INDEX('Table S3 Literature Values'!$A$10:$AV$10000,MATCH($C60,'Table S3 Literature Values'!$A$10:$A$10000,0)+2,R$1)</f>
        <v>0</v>
      </c>
      <c r="T60" s="501">
        <f>IF(VLOOKUP($C60,'Table S3 Literature Values'!$A$10:$AV$10000,T$1,FALSE)=0,VLOOKUP($C60,'Table S9 Model Derived Values'!$A$10:$AV$10000,T$1,FALSE),VLOOKUP($C60,'Table S3 Literature Values'!$A$10:$AV$10000,T$1,FALSE))</f>
        <v>4.9152100352025263</v>
      </c>
      <c r="U60" s="61">
        <f>IF(INDEX('Table S3 Literature Values'!$A$10:$AV$10000,MATCH($C60,'Table S3 Literature Values'!$A$10:$A$10000,0)+1,U$1)=0,INDEX('Table S9 Model Derived Values'!$A$10:$AV$10000,MATCH($C60,'Table S9 Model Derived Values'!$A$10:$A$10000,0)+1,U$1),INDEX('Table S3 Literature Values'!$A$10:$AV$10000,MATCH($C60,'Table S3 Literature Values'!$A$10:$A$10000,0)+1,U$1))</f>
        <v>0</v>
      </c>
      <c r="V60" s="63">
        <f>INDEX('Table S3 Literature Values'!$A$10:$AV$10000,MATCH($C60,'Table S3 Literature Values'!$A$10:$A$10000,0)+2,U$1)</f>
        <v>0</v>
      </c>
      <c r="W60" s="501">
        <f>IF(VLOOKUP($C60,'Table S3 Literature Values'!$A$10:$AV$10000,W$1,FALSE)=0,VLOOKUP($C60,'Table S9 Model Derived Values'!$A$10:$AV$10000,W$1,FALSE),VLOOKUP($C60,'Table S3 Literature Values'!$A$10:$AV$10000,W$1,FALSE))</f>
        <v>0.19259367930223703</v>
      </c>
      <c r="X60" s="61">
        <f>IF(INDEX('Table S3 Literature Values'!$A$10:$AV$10000,MATCH($C60,'Table S3 Literature Values'!$A$10:$A$10000,0)+1,X$1)=0,INDEX('Table S9 Model Derived Values'!$A$10:$AV$10000,MATCH($C60,'Table S9 Model Derived Values'!$A$10:$A$10000,0)+1,X$1),INDEX('Table S3 Literature Values'!$A$10:$AV$10000,MATCH($C60,'Table S3 Literature Values'!$A$10:$A$10000,0)+1,X$1))</f>
        <v>1</v>
      </c>
      <c r="Y60" s="63">
        <f>INDEX('Table S3 Literature Values'!$A$10:$AV$10000,MATCH($C60,'Table S3 Literature Values'!$A$10:$A$10000,0)+2,X$1)</f>
        <v>0</v>
      </c>
      <c r="Z60" s="501" t="e">
        <f ca="1">IF(VLOOKUP($C60,'Table S3 Literature Values'!$A$10:$AV$10000,Z$1,FALSE)=0,VLOOKUP($C60,'Table S9 Model Derived Values'!$A$10:$AV$10000,Z$1,FALSE),VLOOKUP($C60,'Table S3 Literature Values'!$A$10:$AV$10000,Z$1,FALSE))</f>
        <v>#N/A</v>
      </c>
      <c r="AA60" s="61">
        <f ca="1">IF(INDEX('Table S3 Literature Values'!$A$10:$AV$10000,MATCH($C60,'Table S3 Literature Values'!$A$10:$A$10000,0)+1,AA$1)=0,INDEX('Table S9 Model Derived Values'!$A$10:$AV$10000,MATCH($C60,'Table S9 Model Derived Values'!$A$10:$A$10000,0)+1,AA$1),INDEX('Table S3 Literature Values'!$A$10:$AV$10000,MATCH($C60,'Table S3 Literature Values'!$A$10:$A$10000,0)+1,AA$1))</f>
        <v>10</v>
      </c>
      <c r="AB60" s="63">
        <f>INDEX('Table S3 Literature Values'!$A$10:$AV$10000,MATCH($C60,'Table S3 Literature Values'!$A$10:$A$10000,0)+2,AA$1)</f>
        <v>0</v>
      </c>
      <c r="AC60" s="501">
        <f>IF(VLOOKUP($C60,'Table S3 Literature Values'!$A$10:$AV$10000,AC$1,FALSE)=0,VLOOKUP($C60,'Table S9 Model Derived Values'!$A$10:$AV$10000,AC$1,FALSE),VLOOKUP($C60,'Table S3 Literature Values'!$A$10:$AV$10000,AC$1,FALSE))</f>
        <v>0.94750978205391412</v>
      </c>
      <c r="AD60" s="61">
        <f>IF(INDEX('Table S3 Literature Values'!$A$10:$AV$10000,MATCH($C60,'Table S3 Literature Values'!$A$10:$A$10000,0)+1,AD$1)=0,INDEX('Table S9 Model Derived Values'!$A$10:$AV$10000,MATCH($C60,'Table S9 Model Derived Values'!$A$10:$A$10000,0)+1,AD$1),INDEX('Table S3 Literature Values'!$A$10:$AV$10000,MATCH($C60,'Table S3 Literature Values'!$A$10:$A$10000,0)+1,AD$1))</f>
        <v>1</v>
      </c>
      <c r="AE60" s="63">
        <f>INDEX('Table S3 Literature Values'!$A$10:$AV$10000,MATCH($C60,'Table S3 Literature Values'!$A$10:$A$10000,0)+2,AD$1)</f>
        <v>0</v>
      </c>
      <c r="AF60" s="501" t="e">
        <f ca="1">IF(VLOOKUP($C60,'Table S3 Literature Values'!$A$10:$AV$10000,AF$1,FALSE)=0,VLOOKUP($C60,'Table S9 Model Derived Values'!$A$10:$AV$10000,AF$1,FALSE),VLOOKUP($C60,'Table S3 Literature Values'!$A$10:$AV$10000,AF$1,FALSE))</f>
        <v>#N/A</v>
      </c>
      <c r="AG60" s="61">
        <f ca="1">IF(INDEX('Table S3 Literature Values'!$A$10:$AV$10000,MATCH($C60,'Table S3 Literature Values'!$A$10:$A$10000,0)+1,AG$1)=0,INDEX('Table S9 Model Derived Values'!$A$10:$AV$10000,MATCH($C60,'Table S9 Model Derived Values'!$A$10:$A$10000,0)+1,AG$1),INDEX('Table S3 Literature Values'!$A$10:$AV$10000,MATCH($C60,'Table S3 Literature Values'!$A$10:$A$10000,0)+1,AG$1))</f>
        <v>11</v>
      </c>
      <c r="AH60" s="63">
        <f>INDEX('Table S3 Literature Values'!$A$10:$AV$10000,MATCH($C60,'Table S3 Literature Values'!$A$10:$A$10000,0)+2,AG$1)</f>
        <v>0</v>
      </c>
      <c r="AI60" s="501" t="e">
        <f ca="1">IF(VLOOKUP($C60,'Table S3 Literature Values'!$A$10:$AV$10000,AI$1,FALSE)=0,VLOOKUP($C60,'Table S9 Model Derived Values'!$A$10:$AV$10000,AI$1,FALSE),VLOOKUP($C60,'Table S3 Literature Values'!$A$10:$AV$10000,AI$1,FALSE))</f>
        <v>#N/A</v>
      </c>
      <c r="AJ60" s="61">
        <f ca="1">IF(INDEX('Table S3 Literature Values'!$A$10:$AV$10000,MATCH($C60,'Table S3 Literature Values'!$A$10:$A$10000,0)+1,AJ$1)=0,INDEX('Table S9 Model Derived Values'!$A$10:$AV$10000,MATCH($C60,'Table S9 Model Derived Values'!$A$10:$A$10000,0)+1,AJ$1),INDEX('Table S3 Literature Values'!$A$10:$AV$10000,MATCH($C60,'Table S3 Literature Values'!$A$10:$A$10000,0)+1,AJ$1))</f>
        <v>6</v>
      </c>
      <c r="AK60" s="63">
        <f>INDEX('Table S3 Literature Values'!$A$10:$AV$10000,MATCH($C60,'Table S3 Literature Values'!$A$10:$A$10000,0)+2,AJ$1)</f>
        <v>0</v>
      </c>
      <c r="AL60" s="501">
        <f>IF(VLOOKUP($C60,'Table S3 Literature Values'!$A$10:$AV$10000,AL$1,FALSE)=0,VLOOKUP($C60,'Table S9 Model Derived Values'!$A$10:$AV$10000,AL$1,FALSE),VLOOKUP($C60,'Table S3 Literature Values'!$A$10:$AV$10000,AL$1,FALSE))</f>
        <v>0.49704722756259995</v>
      </c>
      <c r="AM60" s="61">
        <f>IF(INDEX('Table S3 Literature Values'!$A$10:$AV$10000,MATCH($C60,'Table S3 Literature Values'!$A$10:$A$10000,0)+1,AM$1)=0,INDEX('Table S9 Model Derived Values'!$A$10:$AV$10000,MATCH($C60,'Table S9 Model Derived Values'!$A$10:$A$10000,0)+1,AM$1),INDEX('Table S3 Literature Values'!$A$10:$AV$10000,MATCH($C60,'Table S3 Literature Values'!$A$10:$A$10000,0)+1,AM$1))</f>
        <v>0</v>
      </c>
      <c r="AN60" s="63">
        <f>INDEX('Table S3 Literature Values'!$A$10:$AV$10000,MATCH($C60,'Table S3 Literature Values'!$A$10:$A$10000,0)+2,AM$1)</f>
        <v>0</v>
      </c>
      <c r="AO60" s="501">
        <f>IF(VLOOKUP($C60,'Table S3 Literature Values'!$A$10:$AV$10000,AO$1,FALSE)=0,VLOOKUP($C60,'Table S9 Model Derived Values'!$A$10:$AV$10000,AO$1,FALSE),VLOOKUP($C60,'Table S3 Literature Values'!$A$10:$AV$10000,AO$1,FALSE))</f>
        <v>5.2525398777400616</v>
      </c>
      <c r="AP60" s="61">
        <f>IF(INDEX('Table S3 Literature Values'!$A$10:$AV$10000,MATCH($C60,'Table S3 Literature Values'!$A$10:$A$10000,0)+1,AP$1)=0,INDEX('Table S9 Model Derived Values'!$A$10:$AV$10000,MATCH($C60,'Table S9 Model Derived Values'!$A$10:$A$10000,0)+1,AP$1),INDEX('Table S3 Literature Values'!$A$10:$AV$10000,MATCH($C60,'Table S3 Literature Values'!$A$10:$A$10000,0)+1,AP$1))</f>
        <v>1</v>
      </c>
      <c r="AQ60" s="63">
        <f>INDEX('Table S3 Literature Values'!$A$10:$AV$10000,MATCH($C60,'Table S3 Literature Values'!$A$10:$A$10000,0)+2,AP$1)</f>
        <v>0</v>
      </c>
      <c r="AR60" s="501">
        <f>IF(VLOOKUP($C60,'Table S3 Literature Values'!$A$10:$AV$10000,AR$1,FALSE)=0,VLOOKUP($C60,'Table S9 Model Derived Values'!$A$10:$AV$10000,AR$1,FALSE),VLOOKUP($C60,'Table S3 Literature Values'!$A$10:$AV$10000,AR$1,FALSE))</f>
        <v>10.907871775312827</v>
      </c>
      <c r="AS60" s="61">
        <f>IF(INDEX('Table S3 Literature Values'!$A$10:$AV$10000,MATCH($C60,'Table S3 Literature Values'!$A$10:$A$10000,0)+1,AS$1)=0,INDEX('Table S9 Model Derived Values'!$A$10:$AV$10000,MATCH($C60,'Table S9 Model Derived Values'!$A$10:$A$10000,0)+1,AS$1),INDEX('Table S3 Literature Values'!$A$10:$AV$10000,MATCH($C60,'Table S3 Literature Values'!$A$10:$A$10000,0)+1,AS$1))</f>
        <v>6</v>
      </c>
      <c r="AT60" s="63">
        <f>INDEX('Table S3 Literature Values'!$A$10:$AV$10000,MATCH($C60,'Table S3 Literature Values'!$A$10:$A$10000,0)+2,AS$1)</f>
        <v>0</v>
      </c>
    </row>
    <row r="61" spans="1:46">
      <c r="A61" t="str">
        <f>'Table S2 Compound Identifiers'!C66</f>
        <v>Phthalate</v>
      </c>
      <c r="B61">
        <f>COUNTIF($C$3:C61,"&lt;&gt;"&amp;"")</f>
        <v>59</v>
      </c>
      <c r="C61" t="str">
        <f>IF('Table S2 Compound Identifiers'!B66="","",'Table S2 Compound Identifiers'!B66)</f>
        <v>DPP</v>
      </c>
      <c r="D61" t="str">
        <f>'Table S2 Compound Identifiers'!D66</f>
        <v>131-16-8</v>
      </c>
      <c r="E61" s="501">
        <f>IF(VLOOKUP($C61,'Table S3 Literature Values'!$A$10:$AV$10000,E$1,FALSE)=0,VLOOKUP($C61,'Table S9 Model Derived Values'!$A$10:$AV$10000,E$1,FALSE),VLOOKUP($C61,'Table S3 Literature Values'!$A$10:$AV$10000,E$1,FALSE))</f>
        <v>6.3299352182001298</v>
      </c>
      <c r="F61" s="61">
        <f>IF(INDEX('Table S3 Literature Values'!$A$10:$AV$10000,MATCH($C61,'Table S3 Literature Values'!$A$10:$A$10000,0)+1,F$1)=0,INDEX('Table S9 Model Derived Values'!$A$10:$AV$10000,MATCH($C61,'Table S9 Model Derived Values'!$A$10:$A$10000,0)+1,F$1),INDEX('Table S3 Literature Values'!$A$10:$AV$10000,MATCH($C61,'Table S3 Literature Values'!$A$10:$A$10000,0)+1,F$1))</f>
        <v>1</v>
      </c>
      <c r="G61" s="63">
        <f>INDEX('Table S3 Literature Values'!$A$10:$AV$10000,MATCH($C61,'Table S3 Literature Values'!$A$10:$A$10000,0)+2,F$1)</f>
        <v>0</v>
      </c>
      <c r="H61" s="501">
        <f>IF(VLOOKUP($C61,'Table S3 Literature Values'!$A$10:$AV$10000,H$1,FALSE)=0,VLOOKUP($C61,'Table S9 Model Derived Values'!$A$10:$AV$10000,H$1,FALSE),VLOOKUP($C61,'Table S3 Literature Values'!$A$10:$AV$10000,H$1,FALSE))</f>
        <v>7.9116791999999805</v>
      </c>
      <c r="I61" s="61">
        <f>IF(INDEX('Table S3 Literature Values'!$A$10:$AV$10000,MATCH($C61,'Table S3 Literature Values'!$A$10:$A$10000,0)+1,I$1)=0,INDEX('Table S9 Model Derived Values'!$A$10:$AV$10000,MATCH($C61,'Table S9 Model Derived Values'!$A$10:$A$10000,0)+1,I$1),INDEX('Table S3 Literature Values'!$A$10:$AV$10000,MATCH($C61,'Table S3 Literature Values'!$A$10:$A$10000,0)+1,I$1))</f>
        <v>0</v>
      </c>
      <c r="J61" s="63">
        <f>INDEX('Table S3 Literature Values'!$A$10:$AV$10000,MATCH($C61,'Table S3 Literature Values'!$A$10:$A$10000,0)+2,I$1)</f>
        <v>0</v>
      </c>
      <c r="K61" s="501">
        <f>IF(VLOOKUP($C61,'Table S3 Literature Values'!$A$10:$AV$10000,K$1,FALSE)=0,VLOOKUP($C61,'Table S9 Model Derived Values'!$A$10:$AV$10000,K$1,FALSE),VLOOKUP($C61,'Table S3 Literature Values'!$A$10:$AV$10000,K$1,FALSE))</f>
        <v>0</v>
      </c>
      <c r="L61" s="61">
        <f>IF(INDEX('Table S3 Literature Values'!$A$10:$AV$10000,MATCH($C61,'Table S3 Literature Values'!$A$10:$A$10000,0)+1,L$1)=0,INDEX('Table S9 Model Derived Values'!$A$10:$AV$10000,MATCH($C61,'Table S9 Model Derived Values'!$A$10:$A$10000,0)+1,L$1),INDEX('Table S3 Literature Values'!$A$10:$AV$10000,MATCH($C61,'Table S3 Literature Values'!$A$10:$A$10000,0)+1,L$1))</f>
        <v>0</v>
      </c>
      <c r="M61" s="63">
        <f>INDEX('Table S3 Literature Values'!$A$10:$AV$10000,MATCH($C61,'Table S3 Literature Values'!$A$10:$A$10000,0)+2,L$1)</f>
        <v>0</v>
      </c>
      <c r="N61" s="501">
        <f>IF(VLOOKUP($C61,'Table S3 Literature Values'!$A$10:$AV$10000,N$1,FALSE)=0,VLOOKUP($C61,'Table S9 Model Derived Values'!$A$10:$AV$10000,N$1,FALSE),VLOOKUP($C61,'Table S3 Literature Values'!$A$10:$AV$10000,N$1,FALSE))</f>
        <v>14.227494749999998</v>
      </c>
      <c r="O61" s="61">
        <f>IF(INDEX('Table S3 Literature Values'!$A$10:$AV$10000,MATCH($C61,'Table S3 Literature Values'!$A$10:$A$10000,0)+1,O$1)=0,INDEX('Table S9 Model Derived Values'!$A$10:$AV$10000,MATCH($C61,'Table S9 Model Derived Values'!$A$10:$A$10000,0)+1,O$1),INDEX('Table S3 Literature Values'!$A$10:$AV$10000,MATCH($C61,'Table S3 Literature Values'!$A$10:$A$10000,0)+1,O$1))</f>
        <v>0</v>
      </c>
      <c r="P61" s="63">
        <f>INDEX('Table S3 Literature Values'!$A$10:$AV$10000,MATCH($C61,'Table S3 Literature Values'!$A$10:$A$10000,0)+2,O$1)</f>
        <v>0</v>
      </c>
      <c r="Q61" s="501">
        <f>IF(VLOOKUP($C61,'Table S3 Literature Values'!$A$10:$AV$10000,Q$1,FALSE)=0,VLOOKUP($C61,'Table S9 Model Derived Values'!$A$10:$AV$10000,Q$1,FALSE),VLOOKUP($C61,'Table S3 Literature Values'!$A$10:$AV$10000,Q$1,FALSE))</f>
        <v>17.7031690045598</v>
      </c>
      <c r="R61" s="61">
        <f>IF(INDEX('Table S3 Literature Values'!$A$10:$AV$10000,MATCH($C61,'Table S3 Literature Values'!$A$10:$A$10000,0)+1,R$1)=0,INDEX('Table S9 Model Derived Values'!$A$10:$AV$10000,MATCH($C61,'Table S9 Model Derived Values'!$A$10:$A$10000,0)+1,R$1),INDEX('Table S3 Literature Values'!$A$10:$AV$10000,MATCH($C61,'Table S3 Literature Values'!$A$10:$A$10000,0)+1,R$1))</f>
        <v>0</v>
      </c>
      <c r="S61" s="63">
        <f>INDEX('Table S3 Literature Values'!$A$10:$AV$10000,MATCH($C61,'Table S3 Literature Values'!$A$10:$A$10000,0)+2,R$1)</f>
        <v>0</v>
      </c>
      <c r="T61" s="501">
        <f>IF(VLOOKUP($C61,'Table S3 Literature Values'!$A$10:$AV$10000,T$1,FALSE)=0,VLOOKUP($C61,'Table S9 Model Derived Values'!$A$10:$AV$10000,T$1,FALSE),VLOOKUP($C61,'Table S3 Literature Values'!$A$10:$AV$10000,T$1,FALSE))</f>
        <v>4.1220891676524074</v>
      </c>
      <c r="U61" s="61">
        <f>IF(INDEX('Table S3 Literature Values'!$A$10:$AV$10000,MATCH($C61,'Table S3 Literature Values'!$A$10:$A$10000,0)+1,U$1)=0,INDEX('Table S9 Model Derived Values'!$A$10:$AV$10000,MATCH($C61,'Table S9 Model Derived Values'!$A$10:$A$10000,0)+1,U$1),INDEX('Table S3 Literature Values'!$A$10:$AV$10000,MATCH($C61,'Table S3 Literature Values'!$A$10:$A$10000,0)+1,U$1))</f>
        <v>0</v>
      </c>
      <c r="V61" s="63">
        <f>INDEX('Table S3 Literature Values'!$A$10:$AV$10000,MATCH($C61,'Table S3 Literature Values'!$A$10:$A$10000,0)+2,U$1)</f>
        <v>0</v>
      </c>
      <c r="W61" s="501">
        <f>IF(VLOOKUP($C61,'Table S3 Literature Values'!$A$10:$AV$10000,W$1,FALSE)=0,VLOOKUP($C61,'Table S9 Model Derived Values'!$A$10:$AV$10000,W$1,FALSE),VLOOKUP($C61,'Table S3 Literature Values'!$A$10:$AV$10000,W$1,FALSE))</f>
        <v>0.54628330800000002</v>
      </c>
      <c r="X61" s="61">
        <f>IF(INDEX('Table S3 Literature Values'!$A$10:$AV$10000,MATCH($C61,'Table S3 Literature Values'!$A$10:$A$10000,0)+1,X$1)=0,INDEX('Table S9 Model Derived Values'!$A$10:$AV$10000,MATCH($C61,'Table S9 Model Derived Values'!$A$10:$A$10000,0)+1,X$1),INDEX('Table S3 Literature Values'!$A$10:$AV$10000,MATCH($C61,'Table S3 Literature Values'!$A$10:$A$10000,0)+1,X$1))</f>
        <v>0</v>
      </c>
      <c r="Y61" s="63">
        <f>INDEX('Table S3 Literature Values'!$A$10:$AV$10000,MATCH($C61,'Table S3 Literature Values'!$A$10:$A$10000,0)+2,X$1)</f>
        <v>0</v>
      </c>
      <c r="Z61" s="501" t="e">
        <f ca="1">IF(VLOOKUP($C61,'Table S3 Literature Values'!$A$10:$AV$10000,Z$1,FALSE)=0,VLOOKUP($C61,'Table S9 Model Derived Values'!$A$10:$AV$10000,Z$1,FALSE),VLOOKUP($C61,'Table S3 Literature Values'!$A$10:$AV$10000,Z$1,FALSE))</f>
        <v>#N/A</v>
      </c>
      <c r="AA61" s="61">
        <f ca="1">IF(INDEX('Table S3 Literature Values'!$A$10:$AV$10000,MATCH($C61,'Table S3 Literature Values'!$A$10:$A$10000,0)+1,AA$1)=0,INDEX('Table S9 Model Derived Values'!$A$10:$AV$10000,MATCH($C61,'Table S9 Model Derived Values'!$A$10:$A$10000,0)+1,AA$1),INDEX('Table S3 Literature Values'!$A$10:$AV$10000,MATCH($C61,'Table S3 Literature Values'!$A$10:$A$10000,0)+1,AA$1))</f>
        <v>3</v>
      </c>
      <c r="AB61" s="63">
        <f>INDEX('Table S3 Literature Values'!$A$10:$AV$10000,MATCH($C61,'Table S3 Literature Values'!$A$10:$A$10000,0)+2,AA$1)</f>
        <v>0</v>
      </c>
      <c r="AC61" s="501">
        <f>IF(VLOOKUP($C61,'Table S3 Literature Values'!$A$10:$AV$10000,AC$1,FALSE)=0,VLOOKUP($C61,'Table S9 Model Derived Values'!$A$10:$AV$10000,AC$1,FALSE),VLOOKUP($C61,'Table S3 Literature Values'!$A$10:$AV$10000,AC$1,FALSE))</f>
        <v>0.96928320000000001</v>
      </c>
      <c r="AD61" s="61">
        <f>IF(INDEX('Table S3 Literature Values'!$A$10:$AV$10000,MATCH($C61,'Table S3 Literature Values'!$A$10:$A$10000,0)+1,AD$1)=0,INDEX('Table S9 Model Derived Values'!$A$10:$AV$10000,MATCH($C61,'Table S9 Model Derived Values'!$A$10:$A$10000,0)+1,AD$1),INDEX('Table S3 Literature Values'!$A$10:$AV$10000,MATCH($C61,'Table S3 Literature Values'!$A$10:$A$10000,0)+1,AD$1))</f>
        <v>0</v>
      </c>
      <c r="AE61" s="63">
        <f>INDEX('Table S3 Literature Values'!$A$10:$AV$10000,MATCH($C61,'Table S3 Literature Values'!$A$10:$A$10000,0)+2,AD$1)</f>
        <v>0</v>
      </c>
      <c r="AF61" s="501">
        <f>IF(VLOOKUP($C61,'Table S3 Literature Values'!$A$10:$AV$10000,AF$1,FALSE)=0,VLOOKUP($C61,'Table S9 Model Derived Values'!$A$10:$AV$10000,AF$1,FALSE),VLOOKUP($C61,'Table S3 Literature Values'!$A$10:$AV$10000,AF$1,FALSE))</f>
        <v>0.27876727169807036</v>
      </c>
      <c r="AG61" s="61">
        <f>IF(INDEX('Table S3 Literature Values'!$A$10:$AV$10000,MATCH($C61,'Table S3 Literature Values'!$A$10:$A$10000,0)+1,AG$1)=0,INDEX('Table S9 Model Derived Values'!$A$10:$AV$10000,MATCH($C61,'Table S9 Model Derived Values'!$A$10:$A$10000,0)+1,AG$1),INDEX('Table S3 Literature Values'!$A$10:$AV$10000,MATCH($C61,'Table S3 Literature Values'!$A$10:$A$10000,0)+1,AG$1))</f>
        <v>1</v>
      </c>
      <c r="AH61" s="63">
        <f>INDEX('Table S3 Literature Values'!$A$10:$AV$10000,MATCH($C61,'Table S3 Literature Values'!$A$10:$A$10000,0)+2,AG$1)</f>
        <v>0</v>
      </c>
      <c r="AI61" s="501" t="e">
        <f ca="1">IF(VLOOKUP($C61,'Table S3 Literature Values'!$A$10:$AV$10000,AI$1,FALSE)=0,VLOOKUP($C61,'Table S9 Model Derived Values'!$A$10:$AV$10000,AI$1,FALSE),VLOOKUP($C61,'Table S3 Literature Values'!$A$10:$AV$10000,AI$1,FALSE))</f>
        <v>#N/A</v>
      </c>
      <c r="AJ61" s="61">
        <f ca="1">IF(INDEX('Table S3 Literature Values'!$A$10:$AV$10000,MATCH($C61,'Table S3 Literature Values'!$A$10:$A$10000,0)+1,AJ$1)=0,INDEX('Table S9 Model Derived Values'!$A$10:$AV$10000,MATCH($C61,'Table S9 Model Derived Values'!$A$10:$A$10000,0)+1,AJ$1),INDEX('Table S3 Literature Values'!$A$10:$AV$10000,MATCH($C61,'Table S3 Literature Values'!$A$10:$A$10000,0)+1,AJ$1))</f>
        <v>0</v>
      </c>
      <c r="AK61" s="63">
        <f>INDEX('Table S3 Literature Values'!$A$10:$AV$10000,MATCH($C61,'Table S3 Literature Values'!$A$10:$A$10000,0)+2,AJ$1)</f>
        <v>0</v>
      </c>
      <c r="AL61" s="501">
        <f>IF(VLOOKUP($C61,'Table S3 Literature Values'!$A$10:$AV$10000,AL$1,FALSE)=0,VLOOKUP($C61,'Table S9 Model Derived Values'!$A$10:$AV$10000,AL$1,FALSE),VLOOKUP($C61,'Table S3 Literature Values'!$A$10:$AV$10000,AL$1,FALSE))</f>
        <v>0.53437248046039998</v>
      </c>
      <c r="AM61" s="61">
        <f>IF(INDEX('Table S3 Literature Values'!$A$10:$AV$10000,MATCH($C61,'Table S3 Literature Values'!$A$10:$A$10000,0)+1,AM$1)=0,INDEX('Table S9 Model Derived Values'!$A$10:$AV$10000,MATCH($C61,'Table S9 Model Derived Values'!$A$10:$A$10000,0)+1,AM$1),INDEX('Table S3 Literature Values'!$A$10:$AV$10000,MATCH($C61,'Table S3 Literature Values'!$A$10:$A$10000,0)+1,AM$1))</f>
        <v>0</v>
      </c>
      <c r="AN61" s="63">
        <f>INDEX('Table S3 Literature Values'!$A$10:$AV$10000,MATCH($C61,'Table S3 Literature Values'!$A$10:$A$10000,0)+2,AM$1)</f>
        <v>0</v>
      </c>
      <c r="AO61" s="501">
        <f>IF(VLOOKUP($C61,'Table S3 Literature Values'!$A$10:$AV$10000,AO$1,FALSE)=0,VLOOKUP($C61,'Table S9 Model Derived Values'!$A$10:$AV$10000,AO$1,FALSE),VLOOKUP($C61,'Table S3 Literature Values'!$A$10:$AV$10000,AO$1,FALSE))</f>
        <v>0</v>
      </c>
      <c r="AP61" s="61">
        <f>IF(INDEX('Table S3 Literature Values'!$A$10:$AV$10000,MATCH($C61,'Table S3 Literature Values'!$A$10:$A$10000,0)+1,AP$1)=0,INDEX('Table S9 Model Derived Values'!$A$10:$AV$10000,MATCH($C61,'Table S9 Model Derived Values'!$A$10:$A$10000,0)+1,AP$1),INDEX('Table S3 Literature Values'!$A$10:$AV$10000,MATCH($C61,'Table S3 Literature Values'!$A$10:$A$10000,0)+1,AP$1))</f>
        <v>0</v>
      </c>
      <c r="AQ61" s="63">
        <f>INDEX('Table S3 Literature Values'!$A$10:$AV$10000,MATCH($C61,'Table S3 Literature Values'!$A$10:$A$10000,0)+2,AP$1)</f>
        <v>0</v>
      </c>
      <c r="AR61" s="501">
        <f>IF(VLOOKUP($C61,'Table S3 Literature Values'!$A$10:$AV$10000,AR$1,FALSE)=0,VLOOKUP($C61,'Table S9 Model Derived Values'!$A$10:$AV$10000,AR$1,FALSE),VLOOKUP($C61,'Table S3 Literature Values'!$A$10:$AV$10000,AR$1,FALSE))</f>
        <v>1.4311372328443748</v>
      </c>
      <c r="AS61" s="61">
        <f>IF(INDEX('Table S3 Literature Values'!$A$10:$AV$10000,MATCH($C61,'Table S3 Literature Values'!$A$10:$A$10000,0)+1,AS$1)=0,INDEX('Table S9 Model Derived Values'!$A$10:$AV$10000,MATCH($C61,'Table S9 Model Derived Values'!$A$10:$A$10000,0)+1,AS$1),INDEX('Table S3 Literature Values'!$A$10:$AV$10000,MATCH($C61,'Table S3 Literature Values'!$A$10:$A$10000,0)+1,AS$1))</f>
        <v>1</v>
      </c>
      <c r="AT61" s="63">
        <f>INDEX('Table S3 Literature Values'!$A$10:$AV$10000,MATCH($C61,'Table S3 Literature Values'!$A$10:$A$10000,0)+2,AS$1)</f>
        <v>0</v>
      </c>
    </row>
    <row r="62" spans="1:46">
      <c r="A62" t="str">
        <f>'Table S2 Compound Identifiers'!C67</f>
        <v>Phthalate</v>
      </c>
      <c r="B62">
        <f>COUNTIF($C$3:C62,"&lt;&gt;"&amp;"")</f>
        <v>60</v>
      </c>
      <c r="C62" t="str">
        <f>IF('Table S2 Compound Identifiers'!B67="","",'Table S2 Compound Identifiers'!B67)</f>
        <v>DiBP</v>
      </c>
      <c r="D62" t="str">
        <f>'Table S2 Compound Identifiers'!D67</f>
        <v>84-69-5</v>
      </c>
      <c r="E62" s="501">
        <f>IF(VLOOKUP($C62,'Table S3 Literature Values'!$A$10:$AV$10000,E$1,FALSE)=0,VLOOKUP($C62,'Table S9 Model Derived Values'!$A$10:$AV$10000,E$1,FALSE),VLOOKUP($C62,'Table S3 Literature Values'!$A$10:$AV$10000,E$1,FALSE))</f>
        <v>11.289652223038836</v>
      </c>
      <c r="F62" s="61">
        <f>IF(INDEX('Table S3 Literature Values'!$A$10:$AV$10000,MATCH($C62,'Table S3 Literature Values'!$A$10:$A$10000,0)+1,F$1)=0,INDEX('Table S9 Model Derived Values'!$A$10:$AV$10000,MATCH($C62,'Table S9 Model Derived Values'!$A$10:$A$10000,0)+1,F$1),INDEX('Table S3 Literature Values'!$A$10:$AV$10000,MATCH($C62,'Table S3 Literature Values'!$A$10:$A$10000,0)+1,F$1))</f>
        <v>3</v>
      </c>
      <c r="G62" s="63">
        <f>INDEX('Table S3 Literature Values'!$A$10:$AV$10000,MATCH($C62,'Table S3 Literature Values'!$A$10:$A$10000,0)+2,F$1)</f>
        <v>0</v>
      </c>
      <c r="H62" s="501">
        <f>IF(VLOOKUP($C62,'Table S3 Literature Values'!$A$10:$AV$10000,H$1,FALSE)=0,VLOOKUP($C62,'Table S9 Model Derived Values'!$A$10:$AV$10000,H$1,FALSE),VLOOKUP($C62,'Table S3 Literature Values'!$A$10:$AV$10000,H$1,FALSE))</f>
        <v>0.62780000000000002</v>
      </c>
      <c r="I62" s="61">
        <f>IF(INDEX('Table S3 Literature Values'!$A$10:$AV$10000,MATCH($C62,'Table S3 Literature Values'!$A$10:$A$10000,0)+1,I$1)=0,INDEX('Table S9 Model Derived Values'!$A$10:$AV$10000,MATCH($C62,'Table S9 Model Derived Values'!$A$10:$A$10000,0)+1,I$1),INDEX('Table S3 Literature Values'!$A$10:$AV$10000,MATCH($C62,'Table S3 Literature Values'!$A$10:$A$10000,0)+1,I$1))</f>
        <v>1</v>
      </c>
      <c r="J62" s="63">
        <f>INDEX('Table S3 Literature Values'!$A$10:$AV$10000,MATCH($C62,'Table S3 Literature Values'!$A$10:$A$10000,0)+2,I$1)</f>
        <v>0</v>
      </c>
      <c r="K62" s="501">
        <f>IF(VLOOKUP($C62,'Table S3 Literature Values'!$A$10:$AV$10000,K$1,FALSE)=0,VLOOKUP($C62,'Table S9 Model Derived Values'!$A$10:$AV$10000,K$1,FALSE),VLOOKUP($C62,'Table S3 Literature Values'!$A$10:$AV$10000,K$1,FALSE))</f>
        <v>0</v>
      </c>
      <c r="L62" s="61">
        <f>IF(INDEX('Table S3 Literature Values'!$A$10:$AV$10000,MATCH($C62,'Table S3 Literature Values'!$A$10:$A$10000,0)+1,L$1)=0,INDEX('Table S9 Model Derived Values'!$A$10:$AV$10000,MATCH($C62,'Table S9 Model Derived Values'!$A$10:$A$10000,0)+1,L$1),INDEX('Table S3 Literature Values'!$A$10:$AV$10000,MATCH($C62,'Table S3 Literature Values'!$A$10:$A$10000,0)+1,L$1))</f>
        <v>0</v>
      </c>
      <c r="M62" s="63">
        <f>INDEX('Table S3 Literature Values'!$A$10:$AV$10000,MATCH($C62,'Table S3 Literature Values'!$A$10:$A$10000,0)+2,L$1)</f>
        <v>0</v>
      </c>
      <c r="N62" s="501">
        <f>IF(VLOOKUP($C62,'Table S3 Literature Values'!$A$10:$AV$10000,N$1,FALSE)=0,VLOOKUP($C62,'Table S9 Model Derived Values'!$A$10:$AV$10000,N$1,FALSE),VLOOKUP($C62,'Table S3 Literature Values'!$A$10:$AV$10000,N$1,FALSE))</f>
        <v>15.202712699999998</v>
      </c>
      <c r="O62" s="61">
        <f>IF(INDEX('Table S3 Literature Values'!$A$10:$AV$10000,MATCH($C62,'Table S3 Literature Values'!$A$10:$A$10000,0)+1,O$1)=0,INDEX('Table S9 Model Derived Values'!$A$10:$AV$10000,MATCH($C62,'Table S9 Model Derived Values'!$A$10:$A$10000,0)+1,O$1),INDEX('Table S3 Literature Values'!$A$10:$AV$10000,MATCH($C62,'Table S3 Literature Values'!$A$10:$A$10000,0)+1,O$1))</f>
        <v>0</v>
      </c>
      <c r="P62" s="63">
        <f>INDEX('Table S3 Literature Values'!$A$10:$AV$10000,MATCH($C62,'Table S3 Literature Values'!$A$10:$A$10000,0)+2,O$1)</f>
        <v>0</v>
      </c>
      <c r="Q62" s="501">
        <f>IF(VLOOKUP($C62,'Table S3 Literature Values'!$A$10:$AV$10000,Q$1,FALSE)=0,VLOOKUP($C62,'Table S9 Model Derived Values'!$A$10:$AV$10000,Q$1,FALSE),VLOOKUP($C62,'Table S3 Literature Values'!$A$10:$AV$10000,Q$1,FALSE))</f>
        <v>18.869029417097401</v>
      </c>
      <c r="R62" s="61">
        <f>IF(INDEX('Table S3 Literature Values'!$A$10:$AV$10000,MATCH($C62,'Table S3 Literature Values'!$A$10:$A$10000,0)+1,R$1)=0,INDEX('Table S9 Model Derived Values'!$A$10:$AV$10000,MATCH($C62,'Table S9 Model Derived Values'!$A$10:$A$10000,0)+1,R$1),INDEX('Table S3 Literature Values'!$A$10:$AV$10000,MATCH($C62,'Table S3 Literature Values'!$A$10:$A$10000,0)+1,R$1))</f>
        <v>0</v>
      </c>
      <c r="S62" s="63">
        <f>INDEX('Table S3 Literature Values'!$A$10:$AV$10000,MATCH($C62,'Table S3 Literature Values'!$A$10:$A$10000,0)+2,R$1)</f>
        <v>0</v>
      </c>
      <c r="T62" s="501">
        <f>IF(VLOOKUP($C62,'Table S3 Literature Values'!$A$10:$AV$10000,T$1,FALSE)=0,VLOOKUP($C62,'Table S9 Model Derived Values'!$A$10:$AV$10000,T$1,FALSE),VLOOKUP($C62,'Table S3 Literature Values'!$A$10:$AV$10000,T$1,FALSE))</f>
        <v>4.229172848595943</v>
      </c>
      <c r="U62" s="61">
        <f>IF(INDEX('Table S3 Literature Values'!$A$10:$AV$10000,MATCH($C62,'Table S3 Literature Values'!$A$10:$A$10000,0)+1,U$1)=0,INDEX('Table S9 Model Derived Values'!$A$10:$AV$10000,MATCH($C62,'Table S9 Model Derived Values'!$A$10:$A$10000,0)+1,U$1),INDEX('Table S3 Literature Values'!$A$10:$AV$10000,MATCH($C62,'Table S3 Literature Values'!$A$10:$A$10000,0)+1,U$1))</f>
        <v>0</v>
      </c>
      <c r="V62" s="63">
        <f>INDEX('Table S3 Literature Values'!$A$10:$AV$10000,MATCH($C62,'Table S3 Literature Values'!$A$10:$A$10000,0)+2,U$1)</f>
        <v>0</v>
      </c>
      <c r="W62" s="501">
        <f>IF(VLOOKUP($C62,'Table S3 Literature Values'!$A$10:$AV$10000,W$1,FALSE)=0,VLOOKUP($C62,'Table S9 Model Derived Values'!$A$10:$AV$10000,W$1,FALSE),VLOOKUP($C62,'Table S3 Literature Values'!$A$10:$AV$10000,W$1,FALSE))</f>
        <v>0.57063643200000003</v>
      </c>
      <c r="X62" s="61">
        <f>IF(INDEX('Table S3 Literature Values'!$A$10:$AV$10000,MATCH($C62,'Table S3 Literature Values'!$A$10:$A$10000,0)+1,X$1)=0,INDEX('Table S9 Model Derived Values'!$A$10:$AV$10000,MATCH($C62,'Table S9 Model Derived Values'!$A$10:$A$10000,0)+1,X$1),INDEX('Table S3 Literature Values'!$A$10:$AV$10000,MATCH($C62,'Table S3 Literature Values'!$A$10:$A$10000,0)+1,X$1))</f>
        <v>0</v>
      </c>
      <c r="Y62" s="63">
        <f>INDEX('Table S3 Literature Values'!$A$10:$AV$10000,MATCH($C62,'Table S3 Literature Values'!$A$10:$A$10000,0)+2,X$1)</f>
        <v>0</v>
      </c>
      <c r="Z62" s="501" t="e">
        <f ca="1">IF(VLOOKUP($C62,'Table S3 Literature Values'!$A$10:$AV$10000,Z$1,FALSE)=0,VLOOKUP($C62,'Table S9 Model Derived Values'!$A$10:$AV$10000,Z$1,FALSE),VLOOKUP($C62,'Table S3 Literature Values'!$A$10:$AV$10000,Z$1,FALSE))</f>
        <v>#N/A</v>
      </c>
      <c r="AA62" s="61">
        <f ca="1">IF(INDEX('Table S3 Literature Values'!$A$10:$AV$10000,MATCH($C62,'Table S3 Literature Values'!$A$10:$A$10000,0)+1,AA$1)=0,INDEX('Table S9 Model Derived Values'!$A$10:$AV$10000,MATCH($C62,'Table S9 Model Derived Values'!$A$10:$A$10000,0)+1,AA$1),INDEX('Table S3 Literature Values'!$A$10:$AV$10000,MATCH($C62,'Table S3 Literature Values'!$A$10:$A$10000,0)+1,AA$1))</f>
        <v>1</v>
      </c>
      <c r="AB62" s="63">
        <f>INDEX('Table S3 Literature Values'!$A$10:$AV$10000,MATCH($C62,'Table S3 Literature Values'!$A$10:$A$10000,0)+2,AA$1)</f>
        <v>0</v>
      </c>
      <c r="AC62" s="501">
        <f>IF(VLOOKUP($C62,'Table S3 Literature Values'!$A$10:$AV$10000,AC$1,FALSE)=0,VLOOKUP($C62,'Table S9 Model Derived Values'!$A$10:$AV$10000,AC$1,FALSE),VLOOKUP($C62,'Table S3 Literature Values'!$A$10:$AV$10000,AC$1,FALSE))</f>
        <v>0.84812280000000007</v>
      </c>
      <c r="AD62" s="61">
        <f>IF(INDEX('Table S3 Literature Values'!$A$10:$AV$10000,MATCH($C62,'Table S3 Literature Values'!$A$10:$A$10000,0)+1,AD$1)=0,INDEX('Table S9 Model Derived Values'!$A$10:$AV$10000,MATCH($C62,'Table S9 Model Derived Values'!$A$10:$A$10000,0)+1,AD$1),INDEX('Table S3 Literature Values'!$A$10:$AV$10000,MATCH($C62,'Table S3 Literature Values'!$A$10:$A$10000,0)+1,AD$1))</f>
        <v>0</v>
      </c>
      <c r="AE62" s="63">
        <f>INDEX('Table S3 Literature Values'!$A$10:$AV$10000,MATCH($C62,'Table S3 Literature Values'!$A$10:$A$10000,0)+2,AD$1)</f>
        <v>0</v>
      </c>
      <c r="AF62" s="501">
        <f>IF(VLOOKUP($C62,'Table S3 Literature Values'!$A$10:$AV$10000,AF$1,FALSE)=0,VLOOKUP($C62,'Table S9 Model Derived Values'!$A$10:$AV$10000,AF$1,FALSE),VLOOKUP($C62,'Table S3 Literature Values'!$A$10:$AV$10000,AF$1,FALSE))</f>
        <v>0.31732875204227629</v>
      </c>
      <c r="AG62" s="61">
        <f>IF(INDEX('Table S3 Literature Values'!$A$10:$AV$10000,MATCH($C62,'Table S3 Literature Values'!$A$10:$A$10000,0)+1,AG$1)=0,INDEX('Table S9 Model Derived Values'!$A$10:$AV$10000,MATCH($C62,'Table S9 Model Derived Values'!$A$10:$A$10000,0)+1,AG$1),INDEX('Table S3 Literature Values'!$A$10:$AV$10000,MATCH($C62,'Table S3 Literature Values'!$A$10:$A$10000,0)+1,AG$1))</f>
        <v>1</v>
      </c>
      <c r="AH62" s="63">
        <f>INDEX('Table S3 Literature Values'!$A$10:$AV$10000,MATCH($C62,'Table S3 Literature Values'!$A$10:$A$10000,0)+2,AG$1)</f>
        <v>0</v>
      </c>
      <c r="AI62" s="501" t="e">
        <f ca="1">IF(VLOOKUP($C62,'Table S3 Literature Values'!$A$10:$AV$10000,AI$1,FALSE)=0,VLOOKUP($C62,'Table S9 Model Derived Values'!$A$10:$AV$10000,AI$1,FALSE),VLOOKUP($C62,'Table S3 Literature Values'!$A$10:$AV$10000,AI$1,FALSE))</f>
        <v>#N/A</v>
      </c>
      <c r="AJ62" s="61">
        <f ca="1">IF(INDEX('Table S3 Literature Values'!$A$10:$AV$10000,MATCH($C62,'Table S3 Literature Values'!$A$10:$A$10000,0)+1,AJ$1)=0,INDEX('Table S9 Model Derived Values'!$A$10:$AV$10000,MATCH($C62,'Table S9 Model Derived Values'!$A$10:$A$10000,0)+1,AJ$1),INDEX('Table S3 Literature Values'!$A$10:$AV$10000,MATCH($C62,'Table S3 Literature Values'!$A$10:$A$10000,0)+1,AJ$1))</f>
        <v>4</v>
      </c>
      <c r="AK62" s="63">
        <f>INDEX('Table S3 Literature Values'!$A$10:$AV$10000,MATCH($C62,'Table S3 Literature Values'!$A$10:$A$10000,0)+2,AJ$1)</f>
        <v>0</v>
      </c>
      <c r="AL62" s="501">
        <f>IF(VLOOKUP($C62,'Table S3 Literature Values'!$A$10:$AV$10000,AL$1,FALSE)=0,VLOOKUP($C62,'Table S9 Model Derived Values'!$A$10:$AV$10000,AL$1,FALSE),VLOOKUP($C62,'Table S3 Literature Values'!$A$10:$AV$10000,AL$1,FALSE))</f>
        <v>0.58962082662819981</v>
      </c>
      <c r="AM62" s="61">
        <f>IF(INDEX('Table S3 Literature Values'!$A$10:$AV$10000,MATCH($C62,'Table S3 Literature Values'!$A$10:$A$10000,0)+1,AM$1)=0,INDEX('Table S9 Model Derived Values'!$A$10:$AV$10000,MATCH($C62,'Table S9 Model Derived Values'!$A$10:$A$10000,0)+1,AM$1),INDEX('Table S3 Literature Values'!$A$10:$AV$10000,MATCH($C62,'Table S3 Literature Values'!$A$10:$A$10000,0)+1,AM$1))</f>
        <v>0</v>
      </c>
      <c r="AN62" s="63">
        <f>INDEX('Table S3 Literature Values'!$A$10:$AV$10000,MATCH($C62,'Table S3 Literature Values'!$A$10:$A$10000,0)+2,AM$1)</f>
        <v>0</v>
      </c>
      <c r="AO62" s="501">
        <f>IF(VLOOKUP($C62,'Table S3 Literature Values'!$A$10:$AV$10000,AO$1,FALSE)=0,VLOOKUP($C62,'Table S9 Model Derived Values'!$A$10:$AV$10000,AO$1,FALSE),VLOOKUP($C62,'Table S3 Literature Values'!$A$10:$AV$10000,AO$1,FALSE))</f>
        <v>0</v>
      </c>
      <c r="AP62" s="61">
        <f>IF(INDEX('Table S3 Literature Values'!$A$10:$AV$10000,MATCH($C62,'Table S3 Literature Values'!$A$10:$A$10000,0)+1,AP$1)=0,INDEX('Table S9 Model Derived Values'!$A$10:$AV$10000,MATCH($C62,'Table S9 Model Derived Values'!$A$10:$A$10000,0)+1,AP$1),INDEX('Table S3 Literature Values'!$A$10:$AV$10000,MATCH($C62,'Table S3 Literature Values'!$A$10:$A$10000,0)+1,AP$1))</f>
        <v>0</v>
      </c>
      <c r="AQ62" s="63">
        <f>INDEX('Table S3 Literature Values'!$A$10:$AV$10000,MATCH($C62,'Table S3 Literature Values'!$A$10:$A$10000,0)+2,AP$1)</f>
        <v>0</v>
      </c>
      <c r="AR62" s="501">
        <f>IF(VLOOKUP($C62,'Table S3 Literature Values'!$A$10:$AV$10000,AR$1,FALSE)=0,VLOOKUP($C62,'Table S9 Model Derived Values'!$A$10:$AV$10000,AR$1,FALSE),VLOOKUP($C62,'Table S3 Literature Values'!$A$10:$AV$10000,AR$1,FALSE))</f>
        <v>11.3929802949009</v>
      </c>
      <c r="AS62" s="61">
        <f>IF(INDEX('Table S3 Literature Values'!$A$10:$AV$10000,MATCH($C62,'Table S3 Literature Values'!$A$10:$A$10000,0)+1,AS$1)=0,INDEX('Table S9 Model Derived Values'!$A$10:$AV$10000,MATCH($C62,'Table S9 Model Derived Values'!$A$10:$A$10000,0)+1,AS$1),INDEX('Table S3 Literature Values'!$A$10:$AV$10000,MATCH($C62,'Table S3 Literature Values'!$A$10:$A$10000,0)+1,AS$1))</f>
        <v>5</v>
      </c>
      <c r="AT62" s="63">
        <f>INDEX('Table S3 Literature Values'!$A$10:$AV$10000,MATCH($C62,'Table S3 Literature Values'!$A$10:$A$10000,0)+2,AS$1)</f>
        <v>0</v>
      </c>
    </row>
    <row r="63" spans="1:46">
      <c r="A63" t="str">
        <f>'Table S2 Compound Identifiers'!C68</f>
        <v>Phthalate</v>
      </c>
      <c r="B63">
        <f>COUNTIF($C$3:C63,"&lt;&gt;"&amp;"")</f>
        <v>61</v>
      </c>
      <c r="C63" t="str">
        <f>IF('Table S2 Compound Identifiers'!B68="","",'Table S2 Compound Identifiers'!B68)</f>
        <v>DnBP</v>
      </c>
      <c r="D63" t="str">
        <f>'Table S2 Compound Identifiers'!D68</f>
        <v>84-74-2</v>
      </c>
      <c r="E63" s="501">
        <f>IF(VLOOKUP($C63,'Table S3 Literature Values'!$A$10:$AV$10000,E$1,FALSE)=0,VLOOKUP($C63,'Table S9 Model Derived Values'!$A$10:$AV$10000,E$1,FALSE),VLOOKUP($C63,'Table S3 Literature Values'!$A$10:$AV$10000,E$1,FALSE))</f>
        <v>2.7191972778775324</v>
      </c>
      <c r="F63" s="61">
        <f>IF(INDEX('Table S3 Literature Values'!$A$10:$AV$10000,MATCH($C63,'Table S3 Literature Values'!$A$10:$A$10000,0)+1,F$1)=0,INDEX('Table S9 Model Derived Values'!$A$10:$AV$10000,MATCH($C63,'Table S9 Model Derived Values'!$A$10:$A$10000,0)+1,F$1),INDEX('Table S3 Literature Values'!$A$10:$AV$10000,MATCH($C63,'Table S3 Literature Values'!$A$10:$A$10000,0)+1,F$1))</f>
        <v>10</v>
      </c>
      <c r="G63" s="63">
        <f>INDEX('Table S3 Literature Values'!$A$10:$AV$10000,MATCH($C63,'Table S3 Literature Values'!$A$10:$A$10000,0)+2,F$1)</f>
        <v>0</v>
      </c>
      <c r="H63" s="501">
        <f>IF(VLOOKUP($C63,'Table S3 Literature Values'!$A$10:$AV$10000,H$1,FALSE)=0,VLOOKUP($C63,'Table S9 Model Derived Values'!$A$10:$AV$10000,H$1,FALSE),VLOOKUP($C63,'Table S3 Literature Values'!$A$10:$AV$10000,H$1,FALSE))</f>
        <v>0.2162</v>
      </c>
      <c r="I63" s="61">
        <f>IF(INDEX('Table S3 Literature Values'!$A$10:$AV$10000,MATCH($C63,'Table S3 Literature Values'!$A$10:$A$10000,0)+1,I$1)=0,INDEX('Table S9 Model Derived Values'!$A$10:$AV$10000,MATCH($C63,'Table S9 Model Derived Values'!$A$10:$A$10000,0)+1,I$1),INDEX('Table S3 Literature Values'!$A$10:$AV$10000,MATCH($C63,'Table S3 Literature Values'!$A$10:$A$10000,0)+1,I$1))</f>
        <v>1</v>
      </c>
      <c r="J63" s="63">
        <f>INDEX('Table S3 Literature Values'!$A$10:$AV$10000,MATCH($C63,'Table S3 Literature Values'!$A$10:$A$10000,0)+2,I$1)</f>
        <v>0</v>
      </c>
      <c r="K63" s="501">
        <f>IF(VLOOKUP($C63,'Table S3 Literature Values'!$A$10:$AV$10000,K$1,FALSE)=0,VLOOKUP($C63,'Table S9 Model Derived Values'!$A$10:$AV$10000,K$1,FALSE),VLOOKUP($C63,'Table S3 Literature Values'!$A$10:$AV$10000,K$1,FALSE))</f>
        <v>0</v>
      </c>
      <c r="L63" s="61">
        <f>IF(INDEX('Table S3 Literature Values'!$A$10:$AV$10000,MATCH($C63,'Table S3 Literature Values'!$A$10:$A$10000,0)+1,L$1)=0,INDEX('Table S9 Model Derived Values'!$A$10:$AV$10000,MATCH($C63,'Table S9 Model Derived Values'!$A$10:$A$10000,0)+1,L$1),INDEX('Table S3 Literature Values'!$A$10:$AV$10000,MATCH($C63,'Table S3 Literature Values'!$A$10:$A$10000,0)+1,L$1))</f>
        <v>0</v>
      </c>
      <c r="M63" s="63">
        <f>INDEX('Table S3 Literature Values'!$A$10:$AV$10000,MATCH($C63,'Table S3 Literature Values'!$A$10:$A$10000,0)+2,L$1)</f>
        <v>0</v>
      </c>
      <c r="N63" s="501">
        <f>IF(VLOOKUP($C63,'Table S3 Literature Values'!$A$10:$AV$10000,N$1,FALSE)=0,VLOOKUP($C63,'Table S9 Model Derived Values'!$A$10:$AV$10000,N$1,FALSE),VLOOKUP($C63,'Table S3 Literature Values'!$A$10:$AV$10000,N$1,FALSE))</f>
        <v>4.3857963377810565</v>
      </c>
      <c r="O63" s="61">
        <f>IF(INDEX('Table S3 Literature Values'!$A$10:$AV$10000,MATCH($C63,'Table S3 Literature Values'!$A$10:$A$10000,0)+1,O$1)=0,INDEX('Table S9 Model Derived Values'!$A$10:$AV$10000,MATCH($C63,'Table S9 Model Derived Values'!$A$10:$A$10000,0)+1,O$1),INDEX('Table S3 Literature Values'!$A$10:$AV$10000,MATCH($C63,'Table S3 Literature Values'!$A$10:$A$10000,0)+1,O$1))</f>
        <v>1</v>
      </c>
      <c r="P63" s="63">
        <f>INDEX('Table S3 Literature Values'!$A$10:$AV$10000,MATCH($C63,'Table S3 Literature Values'!$A$10:$A$10000,0)+2,O$1)</f>
        <v>0</v>
      </c>
      <c r="Q63" s="501">
        <f>IF(VLOOKUP($C63,'Table S3 Literature Values'!$A$10:$AV$10000,Q$1,FALSE)=0,VLOOKUP($C63,'Table S9 Model Derived Values'!$A$10:$AV$10000,Q$1,FALSE),VLOOKUP($C63,'Table S3 Literature Values'!$A$10:$AV$10000,Q$1,FALSE))</f>
        <v>18.884489985527399</v>
      </c>
      <c r="R63" s="61">
        <f>IF(INDEX('Table S3 Literature Values'!$A$10:$AV$10000,MATCH($C63,'Table S3 Literature Values'!$A$10:$A$10000,0)+1,R$1)=0,INDEX('Table S9 Model Derived Values'!$A$10:$AV$10000,MATCH($C63,'Table S9 Model Derived Values'!$A$10:$A$10000,0)+1,R$1),INDEX('Table S3 Literature Values'!$A$10:$AV$10000,MATCH($C63,'Table S3 Literature Values'!$A$10:$A$10000,0)+1,R$1))</f>
        <v>0</v>
      </c>
      <c r="S63" s="63">
        <f>INDEX('Table S3 Literature Values'!$A$10:$AV$10000,MATCH($C63,'Table S3 Literature Values'!$A$10:$A$10000,0)+2,R$1)</f>
        <v>0</v>
      </c>
      <c r="T63" s="501">
        <f>IF(VLOOKUP($C63,'Table S3 Literature Values'!$A$10:$AV$10000,T$1,FALSE)=0,VLOOKUP($C63,'Table S9 Model Derived Values'!$A$10:$AV$10000,T$1,FALSE),VLOOKUP($C63,'Table S3 Literature Values'!$A$10:$AV$10000,T$1,FALSE))</f>
        <v>4.0549143034280206</v>
      </c>
      <c r="U63" s="61">
        <f>IF(INDEX('Table S3 Literature Values'!$A$10:$AV$10000,MATCH($C63,'Table S3 Literature Values'!$A$10:$A$10000,0)+1,U$1)=0,INDEX('Table S9 Model Derived Values'!$A$10:$AV$10000,MATCH($C63,'Table S9 Model Derived Values'!$A$10:$A$10000,0)+1,U$1),INDEX('Table S3 Literature Values'!$A$10:$AV$10000,MATCH($C63,'Table S3 Literature Values'!$A$10:$A$10000,0)+1,U$1))</f>
        <v>0</v>
      </c>
      <c r="V63" s="63">
        <f>INDEX('Table S3 Literature Values'!$A$10:$AV$10000,MATCH($C63,'Table S3 Literature Values'!$A$10:$A$10000,0)+2,U$1)</f>
        <v>0</v>
      </c>
      <c r="W63" s="501">
        <f>IF(VLOOKUP($C63,'Table S3 Literature Values'!$A$10:$AV$10000,W$1,FALSE)=0,VLOOKUP($C63,'Table S9 Model Derived Values'!$A$10:$AV$10000,W$1,FALSE),VLOOKUP($C63,'Table S3 Literature Values'!$A$10:$AV$10000,W$1,FALSE))</f>
        <v>0.22297610464670758</v>
      </c>
      <c r="X63" s="61">
        <f>IF(INDEX('Table S3 Literature Values'!$A$10:$AV$10000,MATCH($C63,'Table S3 Literature Values'!$A$10:$A$10000,0)+1,X$1)=0,INDEX('Table S9 Model Derived Values'!$A$10:$AV$10000,MATCH($C63,'Table S9 Model Derived Values'!$A$10:$A$10000,0)+1,X$1),INDEX('Table S3 Literature Values'!$A$10:$AV$10000,MATCH($C63,'Table S3 Literature Values'!$A$10:$A$10000,0)+1,X$1))</f>
        <v>1</v>
      </c>
      <c r="Y63" s="63">
        <f>INDEX('Table S3 Literature Values'!$A$10:$AV$10000,MATCH($C63,'Table S3 Literature Values'!$A$10:$A$10000,0)+2,X$1)</f>
        <v>0</v>
      </c>
      <c r="Z63" s="501" t="e">
        <f ca="1">IF(VLOOKUP($C63,'Table S3 Literature Values'!$A$10:$AV$10000,Z$1,FALSE)=0,VLOOKUP($C63,'Table S9 Model Derived Values'!$A$10:$AV$10000,Z$1,FALSE),VLOOKUP($C63,'Table S3 Literature Values'!$A$10:$AV$10000,Z$1,FALSE))</f>
        <v>#N/A</v>
      </c>
      <c r="AA63" s="61">
        <f ca="1">IF(INDEX('Table S3 Literature Values'!$A$10:$AV$10000,MATCH($C63,'Table S3 Literature Values'!$A$10:$A$10000,0)+1,AA$1)=0,INDEX('Table S9 Model Derived Values'!$A$10:$AV$10000,MATCH($C63,'Table S9 Model Derived Values'!$A$10:$A$10000,0)+1,AA$1),INDEX('Table S3 Literature Values'!$A$10:$AV$10000,MATCH($C63,'Table S3 Literature Values'!$A$10:$A$10000,0)+1,AA$1))</f>
        <v>12</v>
      </c>
      <c r="AB63" s="63">
        <f>INDEX('Table S3 Literature Values'!$A$10:$AV$10000,MATCH($C63,'Table S3 Literature Values'!$A$10:$A$10000,0)+2,AA$1)</f>
        <v>0</v>
      </c>
      <c r="AC63" s="501">
        <f>IF(VLOOKUP($C63,'Table S3 Literature Values'!$A$10:$AV$10000,AC$1,FALSE)=0,VLOOKUP($C63,'Table S9 Model Derived Values'!$A$10:$AV$10000,AC$1,FALSE),VLOOKUP($C63,'Table S3 Literature Values'!$A$10:$AV$10000,AC$1,FALSE))</f>
        <v>0.82616992931380784</v>
      </c>
      <c r="AD63" s="61">
        <f>IF(INDEX('Table S3 Literature Values'!$A$10:$AV$10000,MATCH($C63,'Table S3 Literature Values'!$A$10:$A$10000,0)+1,AD$1)=0,INDEX('Table S9 Model Derived Values'!$A$10:$AV$10000,MATCH($C63,'Table S9 Model Derived Values'!$A$10:$A$10000,0)+1,AD$1),INDEX('Table S3 Literature Values'!$A$10:$AV$10000,MATCH($C63,'Table S3 Literature Values'!$A$10:$A$10000,0)+1,AD$1))</f>
        <v>1</v>
      </c>
      <c r="AE63" s="63">
        <f>INDEX('Table S3 Literature Values'!$A$10:$AV$10000,MATCH($C63,'Table S3 Literature Values'!$A$10:$A$10000,0)+2,AD$1)</f>
        <v>0</v>
      </c>
      <c r="AF63" s="501" t="e">
        <f ca="1">IF(VLOOKUP($C63,'Table S3 Literature Values'!$A$10:$AV$10000,AF$1,FALSE)=0,VLOOKUP($C63,'Table S9 Model Derived Values'!$A$10:$AV$10000,AF$1,FALSE),VLOOKUP($C63,'Table S3 Literature Values'!$A$10:$AV$10000,AF$1,FALSE))</f>
        <v>#N/A</v>
      </c>
      <c r="AG63" s="61">
        <f ca="1">IF(INDEX('Table S3 Literature Values'!$A$10:$AV$10000,MATCH($C63,'Table S3 Literature Values'!$A$10:$A$10000,0)+1,AG$1)=0,INDEX('Table S9 Model Derived Values'!$A$10:$AV$10000,MATCH($C63,'Table S9 Model Derived Values'!$A$10:$A$10000,0)+1,AG$1),INDEX('Table S3 Literature Values'!$A$10:$AV$10000,MATCH($C63,'Table S3 Literature Values'!$A$10:$A$10000,0)+1,AG$1))</f>
        <v>7</v>
      </c>
      <c r="AH63" s="63">
        <f>INDEX('Table S3 Literature Values'!$A$10:$AV$10000,MATCH($C63,'Table S3 Literature Values'!$A$10:$A$10000,0)+2,AG$1)</f>
        <v>0</v>
      </c>
      <c r="AI63" s="501" t="e">
        <f ca="1">IF(VLOOKUP($C63,'Table S3 Literature Values'!$A$10:$AV$10000,AI$1,FALSE)=0,VLOOKUP($C63,'Table S9 Model Derived Values'!$A$10:$AV$10000,AI$1,FALSE),VLOOKUP($C63,'Table S3 Literature Values'!$A$10:$AV$10000,AI$1,FALSE))</f>
        <v>#N/A</v>
      </c>
      <c r="AJ63" s="61">
        <f ca="1">IF(INDEX('Table S3 Literature Values'!$A$10:$AV$10000,MATCH($C63,'Table S3 Literature Values'!$A$10:$A$10000,0)+1,AJ$1)=0,INDEX('Table S9 Model Derived Values'!$A$10:$AV$10000,MATCH($C63,'Table S9 Model Derived Values'!$A$10:$A$10000,0)+1,AJ$1),INDEX('Table S3 Literature Values'!$A$10:$AV$10000,MATCH($C63,'Table S3 Literature Values'!$A$10:$A$10000,0)+1,AJ$1))</f>
        <v>5</v>
      </c>
      <c r="AK63" s="63">
        <f>INDEX('Table S3 Literature Values'!$A$10:$AV$10000,MATCH($C63,'Table S3 Literature Values'!$A$10:$A$10000,0)+2,AJ$1)</f>
        <v>0</v>
      </c>
      <c r="AL63" s="501">
        <f>IF(VLOOKUP($C63,'Table S3 Literature Values'!$A$10:$AV$10000,AL$1,FALSE)=0,VLOOKUP($C63,'Table S9 Model Derived Values'!$A$10:$AV$10000,AL$1,FALSE),VLOOKUP($C63,'Table S3 Literature Values'!$A$10:$AV$10000,AL$1,FALSE))</f>
        <v>0.58011437602819982</v>
      </c>
      <c r="AM63" s="61">
        <f>IF(INDEX('Table S3 Literature Values'!$A$10:$AV$10000,MATCH($C63,'Table S3 Literature Values'!$A$10:$A$10000,0)+1,AM$1)=0,INDEX('Table S9 Model Derived Values'!$A$10:$AV$10000,MATCH($C63,'Table S9 Model Derived Values'!$A$10:$A$10000,0)+1,AM$1),INDEX('Table S3 Literature Values'!$A$10:$AV$10000,MATCH($C63,'Table S3 Literature Values'!$A$10:$A$10000,0)+1,AM$1))</f>
        <v>0</v>
      </c>
      <c r="AN63" s="63">
        <f>INDEX('Table S3 Literature Values'!$A$10:$AV$10000,MATCH($C63,'Table S3 Literature Values'!$A$10:$A$10000,0)+2,AM$1)</f>
        <v>0</v>
      </c>
      <c r="AO63" s="501">
        <f>IF(VLOOKUP($C63,'Table S3 Literature Values'!$A$10:$AV$10000,AO$1,FALSE)=0,VLOOKUP($C63,'Table S9 Model Derived Values'!$A$10:$AV$10000,AO$1,FALSE),VLOOKUP($C63,'Table S3 Literature Values'!$A$10:$AV$10000,AO$1,FALSE))</f>
        <v>0</v>
      </c>
      <c r="AP63" s="61">
        <f>IF(INDEX('Table S3 Literature Values'!$A$10:$AV$10000,MATCH($C63,'Table S3 Literature Values'!$A$10:$A$10000,0)+1,AP$1)=0,INDEX('Table S9 Model Derived Values'!$A$10:$AV$10000,MATCH($C63,'Table S9 Model Derived Values'!$A$10:$A$10000,0)+1,AP$1),INDEX('Table S3 Literature Values'!$A$10:$AV$10000,MATCH($C63,'Table S3 Literature Values'!$A$10:$A$10000,0)+1,AP$1))</f>
        <v>0</v>
      </c>
      <c r="AQ63" s="63">
        <f>INDEX('Table S3 Literature Values'!$A$10:$AV$10000,MATCH($C63,'Table S3 Literature Values'!$A$10:$A$10000,0)+2,AP$1)</f>
        <v>0</v>
      </c>
      <c r="AR63" s="501">
        <f>IF(VLOOKUP($C63,'Table S3 Literature Values'!$A$10:$AV$10000,AR$1,FALSE)=0,VLOOKUP($C63,'Table S9 Model Derived Values'!$A$10:$AV$10000,AR$1,FALSE),VLOOKUP($C63,'Table S3 Literature Values'!$A$10:$AV$10000,AR$1,FALSE))</f>
        <v>0</v>
      </c>
      <c r="AS63" s="61">
        <f>IF(INDEX('Table S3 Literature Values'!$A$10:$AV$10000,MATCH($C63,'Table S3 Literature Values'!$A$10:$A$10000,0)+1,AS$1)=0,INDEX('Table S9 Model Derived Values'!$A$10:$AV$10000,MATCH($C63,'Table S9 Model Derived Values'!$A$10:$A$10000,0)+1,AS$1),INDEX('Table S3 Literature Values'!$A$10:$AV$10000,MATCH($C63,'Table S3 Literature Values'!$A$10:$A$10000,0)+1,AS$1))</f>
        <v>5</v>
      </c>
      <c r="AT63" s="63">
        <f>INDEX('Table S3 Literature Values'!$A$10:$AV$10000,MATCH($C63,'Table S3 Literature Values'!$A$10:$A$10000,0)+2,AS$1)</f>
        <v>0</v>
      </c>
    </row>
    <row r="64" spans="1:46">
      <c r="A64" t="str">
        <f>'Table S2 Compound Identifiers'!C69</f>
        <v>Phthalate</v>
      </c>
      <c r="B64">
        <f>COUNTIF($C$3:C64,"&lt;&gt;"&amp;"")</f>
        <v>62</v>
      </c>
      <c r="C64" t="str">
        <f>IF('Table S2 Compound Identifiers'!B69="","",'Table S2 Compound Identifiers'!B69)</f>
        <v>BzBP</v>
      </c>
      <c r="D64" t="str">
        <f>'Table S2 Compound Identifiers'!D69</f>
        <v>85-68-7</v>
      </c>
      <c r="E64" s="501">
        <f>IF(VLOOKUP($C64,'Table S3 Literature Values'!$A$10:$AV$10000,E$1,FALSE)=0,VLOOKUP($C64,'Table S9 Model Derived Values'!$A$10:$AV$10000,E$1,FALSE),VLOOKUP($C64,'Table S3 Literature Values'!$A$10:$AV$10000,E$1,FALSE))</f>
        <v>12.116981802412674</v>
      </c>
      <c r="F64" s="61">
        <f>IF(INDEX('Table S3 Literature Values'!$A$10:$AV$10000,MATCH($C64,'Table S3 Literature Values'!$A$10:$A$10000,0)+1,F$1)=0,INDEX('Table S9 Model Derived Values'!$A$10:$AV$10000,MATCH($C64,'Table S9 Model Derived Values'!$A$10:$A$10000,0)+1,F$1),INDEX('Table S3 Literature Values'!$A$10:$AV$10000,MATCH($C64,'Table S3 Literature Values'!$A$10:$A$10000,0)+1,F$1))</f>
        <v>2</v>
      </c>
      <c r="G64" s="63">
        <f>INDEX('Table S3 Literature Values'!$A$10:$AV$10000,MATCH($C64,'Table S3 Literature Values'!$A$10:$A$10000,0)+2,F$1)</f>
        <v>0</v>
      </c>
      <c r="H64" s="501">
        <f>IF(VLOOKUP($C64,'Table S3 Literature Values'!$A$10:$AV$10000,H$1,FALSE)=0,VLOOKUP($C64,'Table S9 Model Derived Values'!$A$10:$AV$10000,H$1,FALSE),VLOOKUP($C64,'Table S3 Literature Values'!$A$10:$AV$10000,H$1,FALSE))</f>
        <v>6.4247323999999972</v>
      </c>
      <c r="I64" s="61">
        <f>IF(INDEX('Table S3 Literature Values'!$A$10:$AV$10000,MATCH($C64,'Table S3 Literature Values'!$A$10:$A$10000,0)+1,I$1)=0,INDEX('Table S9 Model Derived Values'!$A$10:$AV$10000,MATCH($C64,'Table S9 Model Derived Values'!$A$10:$A$10000,0)+1,I$1),INDEX('Table S3 Literature Values'!$A$10:$AV$10000,MATCH($C64,'Table S3 Literature Values'!$A$10:$A$10000,0)+1,I$1))</f>
        <v>0</v>
      </c>
      <c r="J64" s="63">
        <f>INDEX('Table S3 Literature Values'!$A$10:$AV$10000,MATCH($C64,'Table S3 Literature Values'!$A$10:$A$10000,0)+2,I$1)</f>
        <v>0</v>
      </c>
      <c r="K64" s="501">
        <f>IF(VLOOKUP($C64,'Table S3 Literature Values'!$A$10:$AV$10000,K$1,FALSE)=0,VLOOKUP($C64,'Table S9 Model Derived Values'!$A$10:$AV$10000,K$1,FALSE),VLOOKUP($C64,'Table S3 Literature Values'!$A$10:$AV$10000,K$1,FALSE))</f>
        <v>0</v>
      </c>
      <c r="L64" s="61">
        <f>IF(INDEX('Table S3 Literature Values'!$A$10:$AV$10000,MATCH($C64,'Table S3 Literature Values'!$A$10:$A$10000,0)+1,L$1)=0,INDEX('Table S9 Model Derived Values'!$A$10:$AV$10000,MATCH($C64,'Table S9 Model Derived Values'!$A$10:$A$10000,0)+1,L$1),INDEX('Table S3 Literature Values'!$A$10:$AV$10000,MATCH($C64,'Table S3 Literature Values'!$A$10:$A$10000,0)+1,L$1))</f>
        <v>0</v>
      </c>
      <c r="M64" s="63">
        <f>INDEX('Table S3 Literature Values'!$A$10:$AV$10000,MATCH($C64,'Table S3 Literature Values'!$A$10:$A$10000,0)+2,L$1)</f>
        <v>0</v>
      </c>
      <c r="N64" s="501">
        <f>IF(VLOOKUP($C64,'Table S3 Literature Values'!$A$10:$AV$10000,N$1,FALSE)=0,VLOOKUP($C64,'Table S9 Model Derived Values'!$A$10:$AV$10000,N$1,FALSE),VLOOKUP($C64,'Table S3 Literature Values'!$A$10:$AV$10000,N$1,FALSE))</f>
        <v>4.832488061830821</v>
      </c>
      <c r="O64" s="61">
        <f>IF(INDEX('Table S3 Literature Values'!$A$10:$AV$10000,MATCH($C64,'Table S3 Literature Values'!$A$10:$A$10000,0)+1,O$1)=0,INDEX('Table S9 Model Derived Values'!$A$10:$AV$10000,MATCH($C64,'Table S9 Model Derived Values'!$A$10:$A$10000,0)+1,O$1),INDEX('Table S3 Literature Values'!$A$10:$AV$10000,MATCH($C64,'Table S3 Literature Values'!$A$10:$A$10000,0)+1,O$1))</f>
        <v>1</v>
      </c>
      <c r="P64" s="63">
        <f>INDEX('Table S3 Literature Values'!$A$10:$AV$10000,MATCH($C64,'Table S3 Literature Values'!$A$10:$A$10000,0)+2,O$1)</f>
        <v>0</v>
      </c>
      <c r="Q64" s="501">
        <f>IF(VLOOKUP($C64,'Table S3 Literature Values'!$A$10:$AV$10000,Q$1,FALSE)=0,VLOOKUP($C64,'Table S9 Model Derived Values'!$A$10:$AV$10000,Q$1,FALSE),VLOOKUP($C64,'Table S3 Literature Values'!$A$10:$AV$10000,Q$1,FALSE))</f>
        <v>21.4056005242421</v>
      </c>
      <c r="R64" s="61">
        <f>IF(INDEX('Table S3 Literature Values'!$A$10:$AV$10000,MATCH($C64,'Table S3 Literature Values'!$A$10:$A$10000,0)+1,R$1)=0,INDEX('Table S9 Model Derived Values'!$A$10:$AV$10000,MATCH($C64,'Table S9 Model Derived Values'!$A$10:$A$10000,0)+1,R$1),INDEX('Table S3 Literature Values'!$A$10:$AV$10000,MATCH($C64,'Table S3 Literature Values'!$A$10:$A$10000,0)+1,R$1))</f>
        <v>0</v>
      </c>
      <c r="S64" s="63">
        <f>INDEX('Table S3 Literature Values'!$A$10:$AV$10000,MATCH($C64,'Table S3 Literature Values'!$A$10:$A$10000,0)+2,R$1)</f>
        <v>0</v>
      </c>
      <c r="T64" s="501">
        <f>IF(VLOOKUP($C64,'Table S3 Literature Values'!$A$10:$AV$10000,T$1,FALSE)=0,VLOOKUP($C64,'Table S9 Model Derived Values'!$A$10:$AV$10000,T$1,FALSE),VLOOKUP($C64,'Table S3 Literature Values'!$A$10:$AV$10000,T$1,FALSE))</f>
        <v>2.2732306162096045</v>
      </c>
      <c r="U64" s="61">
        <f>IF(INDEX('Table S3 Literature Values'!$A$10:$AV$10000,MATCH($C64,'Table S3 Literature Values'!$A$10:$A$10000,0)+1,U$1)=0,INDEX('Table S9 Model Derived Values'!$A$10:$AV$10000,MATCH($C64,'Table S9 Model Derived Values'!$A$10:$A$10000,0)+1,U$1),INDEX('Table S3 Literature Values'!$A$10:$AV$10000,MATCH($C64,'Table S3 Literature Values'!$A$10:$A$10000,0)+1,U$1))</f>
        <v>0</v>
      </c>
      <c r="V64" s="63">
        <f>INDEX('Table S3 Literature Values'!$A$10:$AV$10000,MATCH($C64,'Table S3 Literature Values'!$A$10:$A$10000,0)+2,U$1)</f>
        <v>0</v>
      </c>
      <c r="W64" s="501">
        <f>IF(VLOOKUP($C64,'Table S3 Literature Values'!$A$10:$AV$10000,W$1,FALSE)=0,VLOOKUP($C64,'Table S9 Model Derived Values'!$A$10:$AV$10000,W$1,FALSE),VLOOKUP($C64,'Table S3 Literature Values'!$A$10:$AV$10000,W$1,FALSE))</f>
        <v>0.24872392273524194</v>
      </c>
      <c r="X64" s="61">
        <f>IF(INDEX('Table S3 Literature Values'!$A$10:$AV$10000,MATCH($C64,'Table S3 Literature Values'!$A$10:$A$10000,0)+1,X$1)=0,INDEX('Table S9 Model Derived Values'!$A$10:$AV$10000,MATCH($C64,'Table S9 Model Derived Values'!$A$10:$A$10000,0)+1,X$1),INDEX('Table S3 Literature Values'!$A$10:$AV$10000,MATCH($C64,'Table S3 Literature Values'!$A$10:$A$10000,0)+1,X$1))</f>
        <v>1</v>
      </c>
      <c r="Y64" s="63">
        <f>INDEX('Table S3 Literature Values'!$A$10:$AV$10000,MATCH($C64,'Table S3 Literature Values'!$A$10:$A$10000,0)+2,X$1)</f>
        <v>0</v>
      </c>
      <c r="Z64" s="501" t="e">
        <f ca="1">IF(VLOOKUP($C64,'Table S3 Literature Values'!$A$10:$AV$10000,Z$1,FALSE)=0,VLOOKUP($C64,'Table S9 Model Derived Values'!$A$10:$AV$10000,Z$1,FALSE),VLOOKUP($C64,'Table S3 Literature Values'!$A$10:$AV$10000,Z$1,FALSE))</f>
        <v>#N/A</v>
      </c>
      <c r="AA64" s="61">
        <f ca="1">IF(INDEX('Table S3 Literature Values'!$A$10:$AV$10000,MATCH($C64,'Table S3 Literature Values'!$A$10:$A$10000,0)+1,AA$1)=0,INDEX('Table S9 Model Derived Values'!$A$10:$AV$10000,MATCH($C64,'Table S9 Model Derived Values'!$A$10:$A$10000,0)+1,AA$1),INDEX('Table S3 Literature Values'!$A$10:$AV$10000,MATCH($C64,'Table S3 Literature Values'!$A$10:$A$10000,0)+1,AA$1))</f>
        <v>6</v>
      </c>
      <c r="AB64" s="63">
        <f>INDEX('Table S3 Literature Values'!$A$10:$AV$10000,MATCH($C64,'Table S3 Literature Values'!$A$10:$A$10000,0)+2,AA$1)</f>
        <v>0</v>
      </c>
      <c r="AC64" s="501">
        <f>IF(VLOOKUP($C64,'Table S3 Literature Values'!$A$10:$AV$10000,AC$1,FALSE)=0,VLOOKUP($C64,'Table S9 Model Derived Values'!$A$10:$AV$10000,AC$1,FALSE),VLOOKUP($C64,'Table S3 Literature Values'!$A$10:$AV$10000,AC$1,FALSE))</f>
        <v>1.1389077599999999</v>
      </c>
      <c r="AD64" s="61">
        <f>IF(INDEX('Table S3 Literature Values'!$A$10:$AV$10000,MATCH($C64,'Table S3 Literature Values'!$A$10:$A$10000,0)+1,AD$1)=0,INDEX('Table S9 Model Derived Values'!$A$10:$AV$10000,MATCH($C64,'Table S9 Model Derived Values'!$A$10:$A$10000,0)+1,AD$1),INDEX('Table S3 Literature Values'!$A$10:$AV$10000,MATCH($C64,'Table S3 Literature Values'!$A$10:$A$10000,0)+1,AD$1))</f>
        <v>0</v>
      </c>
      <c r="AE64" s="63">
        <f>INDEX('Table S3 Literature Values'!$A$10:$AV$10000,MATCH($C64,'Table S3 Literature Values'!$A$10:$A$10000,0)+2,AD$1)</f>
        <v>0</v>
      </c>
      <c r="AF64" s="501">
        <f>IF(VLOOKUP($C64,'Table S3 Literature Values'!$A$10:$AV$10000,AF$1,FALSE)=0,VLOOKUP($C64,'Table S9 Model Derived Values'!$A$10:$AV$10000,AF$1,FALSE),VLOOKUP($C64,'Table S3 Literature Values'!$A$10:$AV$10000,AF$1,FALSE))</f>
        <v>0.56113384528000032</v>
      </c>
      <c r="AG64" s="61">
        <f>IF(INDEX('Table S3 Literature Values'!$A$10:$AV$10000,MATCH($C64,'Table S3 Literature Values'!$A$10:$A$10000,0)+1,AG$1)=0,INDEX('Table S9 Model Derived Values'!$A$10:$AV$10000,MATCH($C64,'Table S9 Model Derived Values'!$A$10:$A$10000,0)+1,AG$1),INDEX('Table S3 Literature Values'!$A$10:$AV$10000,MATCH($C64,'Table S3 Literature Values'!$A$10:$A$10000,0)+1,AG$1))</f>
        <v>5</v>
      </c>
      <c r="AH64" s="63">
        <f>INDEX('Table S3 Literature Values'!$A$10:$AV$10000,MATCH($C64,'Table S3 Literature Values'!$A$10:$A$10000,0)+2,AG$1)</f>
        <v>0</v>
      </c>
      <c r="AI64" s="501" t="e">
        <f ca="1">IF(VLOOKUP($C64,'Table S3 Literature Values'!$A$10:$AV$10000,AI$1,FALSE)=0,VLOOKUP($C64,'Table S9 Model Derived Values'!$A$10:$AV$10000,AI$1,FALSE),VLOOKUP($C64,'Table S3 Literature Values'!$A$10:$AV$10000,AI$1,FALSE))</f>
        <v>#N/A</v>
      </c>
      <c r="AJ64" s="61">
        <f ca="1">IF(INDEX('Table S3 Literature Values'!$A$10:$AV$10000,MATCH($C64,'Table S3 Literature Values'!$A$10:$A$10000,0)+1,AJ$1)=0,INDEX('Table S9 Model Derived Values'!$A$10:$AV$10000,MATCH($C64,'Table S9 Model Derived Values'!$A$10:$A$10000,0)+1,AJ$1),INDEX('Table S3 Literature Values'!$A$10:$AV$10000,MATCH($C64,'Table S3 Literature Values'!$A$10:$A$10000,0)+1,AJ$1))</f>
        <v>2</v>
      </c>
      <c r="AK64" s="63">
        <f>INDEX('Table S3 Literature Values'!$A$10:$AV$10000,MATCH($C64,'Table S3 Literature Values'!$A$10:$A$10000,0)+2,AJ$1)</f>
        <v>0</v>
      </c>
      <c r="AL64" s="501">
        <f>IF(VLOOKUP($C64,'Table S3 Literature Values'!$A$10:$AV$10000,AL$1,FALSE)=0,VLOOKUP($C64,'Table S9 Model Derived Values'!$A$10:$AV$10000,AL$1,FALSE),VLOOKUP($C64,'Table S3 Literature Values'!$A$10:$AV$10000,AL$1,FALSE))</f>
        <v>0.4962450891652998</v>
      </c>
      <c r="AM64" s="61">
        <f>IF(INDEX('Table S3 Literature Values'!$A$10:$AV$10000,MATCH($C64,'Table S3 Literature Values'!$A$10:$A$10000,0)+1,AM$1)=0,INDEX('Table S9 Model Derived Values'!$A$10:$AV$10000,MATCH($C64,'Table S9 Model Derived Values'!$A$10:$A$10000,0)+1,AM$1),INDEX('Table S3 Literature Values'!$A$10:$AV$10000,MATCH($C64,'Table S3 Literature Values'!$A$10:$A$10000,0)+1,AM$1))</f>
        <v>0</v>
      </c>
      <c r="AN64" s="63">
        <f>INDEX('Table S3 Literature Values'!$A$10:$AV$10000,MATCH($C64,'Table S3 Literature Values'!$A$10:$A$10000,0)+2,AM$1)</f>
        <v>0</v>
      </c>
      <c r="AO64" s="501">
        <f>IF(VLOOKUP($C64,'Table S3 Literature Values'!$A$10:$AV$10000,AO$1,FALSE)=0,VLOOKUP($C64,'Table S9 Model Derived Values'!$A$10:$AV$10000,AO$1,FALSE),VLOOKUP($C64,'Table S3 Literature Values'!$A$10:$AV$10000,AO$1,FALSE))</f>
        <v>0</v>
      </c>
      <c r="AP64" s="61">
        <f>IF(INDEX('Table S3 Literature Values'!$A$10:$AV$10000,MATCH($C64,'Table S3 Literature Values'!$A$10:$A$10000,0)+1,AP$1)=0,INDEX('Table S9 Model Derived Values'!$A$10:$AV$10000,MATCH($C64,'Table S9 Model Derived Values'!$A$10:$A$10000,0)+1,AP$1),INDEX('Table S3 Literature Values'!$A$10:$AV$10000,MATCH($C64,'Table S3 Literature Values'!$A$10:$A$10000,0)+1,AP$1))</f>
        <v>0</v>
      </c>
      <c r="AQ64" s="63">
        <f>INDEX('Table S3 Literature Values'!$A$10:$AV$10000,MATCH($C64,'Table S3 Literature Values'!$A$10:$A$10000,0)+2,AP$1)</f>
        <v>0</v>
      </c>
      <c r="AR64" s="501">
        <f>IF(VLOOKUP($C64,'Table S3 Literature Values'!$A$10:$AV$10000,AR$1,FALSE)=0,VLOOKUP($C64,'Table S9 Model Derived Values'!$A$10:$AV$10000,AR$1,FALSE),VLOOKUP($C64,'Table S3 Literature Values'!$A$10:$AV$10000,AR$1,FALSE))</f>
        <v>0</v>
      </c>
      <c r="AS64" s="61">
        <f>IF(INDEX('Table S3 Literature Values'!$A$10:$AV$10000,MATCH($C64,'Table S3 Literature Values'!$A$10:$A$10000,0)+1,AS$1)=0,INDEX('Table S9 Model Derived Values'!$A$10:$AV$10000,MATCH($C64,'Table S9 Model Derived Values'!$A$10:$A$10000,0)+1,AS$1),INDEX('Table S3 Literature Values'!$A$10:$AV$10000,MATCH($C64,'Table S3 Literature Values'!$A$10:$A$10000,0)+1,AS$1))</f>
        <v>2</v>
      </c>
      <c r="AT64" s="63">
        <f>INDEX('Table S3 Literature Values'!$A$10:$AV$10000,MATCH($C64,'Table S3 Literature Values'!$A$10:$A$10000,0)+2,AS$1)</f>
        <v>0</v>
      </c>
    </row>
    <row r="65" spans="1:46">
      <c r="A65" t="str">
        <f>'Table S2 Compound Identifiers'!C70</f>
        <v>Phthalate</v>
      </c>
      <c r="B65">
        <f>COUNTIF($C$3:C65,"&lt;&gt;"&amp;"")</f>
        <v>63</v>
      </c>
      <c r="C65" t="str">
        <f>IF('Table S2 Compound Identifiers'!B70="","",'Table S2 Compound Identifiers'!B70)</f>
        <v>TBPH</v>
      </c>
      <c r="D65" t="str">
        <f>'Table S2 Compound Identifiers'!D70</f>
        <v>26040-51-7</v>
      </c>
      <c r="E65" s="501">
        <f>IF(VLOOKUP($C65,'Table S3 Literature Values'!$A$10:$AV$10000,E$1,FALSE)=0,VLOOKUP($C65,'Table S9 Model Derived Values'!$A$10:$AV$10000,E$1,FALSE),VLOOKUP($C65,'Table S3 Literature Values'!$A$10:$AV$10000,E$1,FALSE))</f>
        <v>14.879848559999997</v>
      </c>
      <c r="F65" s="61">
        <f>IF(INDEX('Table S3 Literature Values'!$A$10:$AV$10000,MATCH($C65,'Table S3 Literature Values'!$A$10:$A$10000,0)+1,F$1)=0,INDEX('Table S9 Model Derived Values'!$A$10:$AV$10000,MATCH($C65,'Table S9 Model Derived Values'!$A$10:$A$10000,0)+1,F$1),INDEX('Table S3 Literature Values'!$A$10:$AV$10000,MATCH($C65,'Table S3 Literature Values'!$A$10:$A$10000,0)+1,F$1))</f>
        <v>0</v>
      </c>
      <c r="G65" s="63">
        <f>INDEX('Table S3 Literature Values'!$A$10:$AV$10000,MATCH($C65,'Table S3 Literature Values'!$A$10:$A$10000,0)+2,F$1)</f>
        <v>0</v>
      </c>
      <c r="H65" s="501">
        <f>IF(VLOOKUP($C65,'Table S3 Literature Values'!$A$10:$AV$10000,H$1,FALSE)=0,VLOOKUP($C65,'Table S9 Model Derived Values'!$A$10:$AV$10000,H$1,FALSE),VLOOKUP($C65,'Table S3 Literature Values'!$A$10:$AV$10000,H$1,FALSE))</f>
        <v>18.208084399999983</v>
      </c>
      <c r="I65" s="61">
        <f>IF(INDEX('Table S3 Literature Values'!$A$10:$AV$10000,MATCH($C65,'Table S3 Literature Values'!$A$10:$A$10000,0)+1,I$1)=0,INDEX('Table S9 Model Derived Values'!$A$10:$AV$10000,MATCH($C65,'Table S9 Model Derived Values'!$A$10:$A$10000,0)+1,I$1),INDEX('Table S3 Literature Values'!$A$10:$AV$10000,MATCH($C65,'Table S3 Literature Values'!$A$10:$A$10000,0)+1,I$1))</f>
        <v>0</v>
      </c>
      <c r="J65" s="63">
        <f>INDEX('Table S3 Literature Values'!$A$10:$AV$10000,MATCH($C65,'Table S3 Literature Values'!$A$10:$A$10000,0)+2,I$1)</f>
        <v>0</v>
      </c>
      <c r="K65" s="501">
        <f>IF(VLOOKUP($C65,'Table S3 Literature Values'!$A$10:$AV$10000,K$1,FALSE)=0,VLOOKUP($C65,'Table S9 Model Derived Values'!$A$10:$AV$10000,K$1,FALSE),VLOOKUP($C65,'Table S3 Literature Values'!$A$10:$AV$10000,K$1,FALSE))</f>
        <v>0</v>
      </c>
      <c r="L65" s="61">
        <f>IF(INDEX('Table S3 Literature Values'!$A$10:$AV$10000,MATCH($C65,'Table S3 Literature Values'!$A$10:$A$10000,0)+1,L$1)=0,INDEX('Table S9 Model Derived Values'!$A$10:$AV$10000,MATCH($C65,'Table S9 Model Derived Values'!$A$10:$A$10000,0)+1,L$1),INDEX('Table S3 Literature Values'!$A$10:$AV$10000,MATCH($C65,'Table S3 Literature Values'!$A$10:$A$10000,0)+1,L$1))</f>
        <v>0</v>
      </c>
      <c r="M65" s="63">
        <f>INDEX('Table S3 Literature Values'!$A$10:$AV$10000,MATCH($C65,'Table S3 Literature Values'!$A$10:$A$10000,0)+2,L$1)</f>
        <v>0</v>
      </c>
      <c r="N65" s="501">
        <f>IF(VLOOKUP($C65,'Table S3 Literature Values'!$A$10:$AV$10000,N$1,FALSE)=0,VLOOKUP($C65,'Table S9 Model Derived Values'!$A$10:$AV$10000,N$1,FALSE),VLOOKUP($C65,'Table S3 Literature Values'!$A$10:$AV$10000,N$1,FALSE))</f>
        <v>25.771708799999995</v>
      </c>
      <c r="O65" s="61">
        <f>IF(INDEX('Table S3 Literature Values'!$A$10:$AV$10000,MATCH($C65,'Table S3 Literature Values'!$A$10:$A$10000,0)+1,O$1)=0,INDEX('Table S9 Model Derived Values'!$A$10:$AV$10000,MATCH($C65,'Table S9 Model Derived Values'!$A$10:$A$10000,0)+1,O$1),INDEX('Table S3 Literature Values'!$A$10:$AV$10000,MATCH($C65,'Table S3 Literature Values'!$A$10:$A$10000,0)+1,O$1))</f>
        <v>0</v>
      </c>
      <c r="P65" s="63">
        <f>INDEX('Table S3 Literature Values'!$A$10:$AV$10000,MATCH($C65,'Table S3 Literature Values'!$A$10:$A$10000,0)+2,O$1)</f>
        <v>0</v>
      </c>
      <c r="Q65" s="501">
        <f>IF(VLOOKUP($C65,'Table S3 Literature Values'!$A$10:$AV$10000,Q$1,FALSE)=0,VLOOKUP($C65,'Table S9 Model Derived Values'!$A$10:$AV$10000,Q$1,FALSE),VLOOKUP($C65,'Table S3 Literature Values'!$A$10:$AV$10000,Q$1,FALSE))</f>
        <v>24.2622788857358</v>
      </c>
      <c r="R65" s="61">
        <f>IF(INDEX('Table S3 Literature Values'!$A$10:$AV$10000,MATCH($C65,'Table S3 Literature Values'!$A$10:$A$10000,0)+1,R$1)=0,INDEX('Table S9 Model Derived Values'!$A$10:$AV$10000,MATCH($C65,'Table S9 Model Derived Values'!$A$10:$A$10000,0)+1,R$1),INDEX('Table S3 Literature Values'!$A$10:$AV$10000,MATCH($C65,'Table S3 Literature Values'!$A$10:$A$10000,0)+1,R$1))</f>
        <v>0</v>
      </c>
      <c r="S65" s="63">
        <f>INDEX('Table S3 Literature Values'!$A$10:$AV$10000,MATCH($C65,'Table S3 Literature Values'!$A$10:$A$10000,0)+2,R$1)</f>
        <v>0</v>
      </c>
      <c r="T65" s="501">
        <f>IF(VLOOKUP($C65,'Table S3 Literature Values'!$A$10:$AV$10000,T$1,FALSE)=0,VLOOKUP($C65,'Table S9 Model Derived Values'!$A$10:$AV$10000,T$1,FALSE),VLOOKUP($C65,'Table S3 Literature Values'!$A$10:$AV$10000,T$1,FALSE))</f>
        <v>9.1365002279511423</v>
      </c>
      <c r="U65" s="61">
        <f>IF(INDEX('Table S3 Literature Values'!$A$10:$AV$10000,MATCH($C65,'Table S3 Literature Values'!$A$10:$A$10000,0)+1,U$1)=0,INDEX('Table S9 Model Derived Values'!$A$10:$AV$10000,MATCH($C65,'Table S9 Model Derived Values'!$A$10:$A$10000,0)+1,U$1),INDEX('Table S3 Literature Values'!$A$10:$AV$10000,MATCH($C65,'Table S3 Literature Values'!$A$10:$A$10000,0)+1,U$1))</f>
        <v>0</v>
      </c>
      <c r="V65" s="63">
        <f>INDEX('Table S3 Literature Values'!$A$10:$AV$10000,MATCH($C65,'Table S3 Literature Values'!$A$10:$A$10000,0)+2,U$1)</f>
        <v>0</v>
      </c>
      <c r="W65" s="501">
        <f>IF(VLOOKUP($C65,'Table S3 Literature Values'!$A$10:$AV$10000,W$1,FALSE)=0,VLOOKUP($C65,'Table S9 Model Derived Values'!$A$10:$AV$10000,W$1,FALSE),VLOOKUP($C65,'Table S3 Literature Values'!$A$10:$AV$10000,W$1,FALSE))</f>
        <v>1.143986304</v>
      </c>
      <c r="X65" s="61">
        <f>IF(INDEX('Table S3 Literature Values'!$A$10:$AV$10000,MATCH($C65,'Table S3 Literature Values'!$A$10:$A$10000,0)+1,X$1)=0,INDEX('Table S9 Model Derived Values'!$A$10:$AV$10000,MATCH($C65,'Table S9 Model Derived Values'!$A$10:$A$10000,0)+1,X$1),INDEX('Table S3 Literature Values'!$A$10:$AV$10000,MATCH($C65,'Table S3 Literature Values'!$A$10:$A$10000,0)+1,X$1))</f>
        <v>0</v>
      </c>
      <c r="Y65" s="63">
        <f>INDEX('Table S3 Literature Values'!$A$10:$AV$10000,MATCH($C65,'Table S3 Literature Values'!$A$10:$A$10000,0)+2,X$1)</f>
        <v>0</v>
      </c>
      <c r="Z65" s="501">
        <f>IF(VLOOKUP($C65,'Table S3 Literature Values'!$A$10:$AV$10000,Z$1,FALSE)=0,VLOOKUP($C65,'Table S9 Model Derived Values'!$A$10:$AV$10000,Z$1,FALSE),VLOOKUP($C65,'Table S3 Literature Values'!$A$10:$AV$10000,Z$1,FALSE))</f>
        <v>0.69146320276503692</v>
      </c>
      <c r="AA65" s="61">
        <f>IF(INDEX('Table S3 Literature Values'!$A$10:$AV$10000,MATCH($C65,'Table S3 Literature Values'!$A$10:$A$10000,0)+1,AA$1)=0,INDEX('Table S9 Model Derived Values'!$A$10:$AV$10000,MATCH($C65,'Table S9 Model Derived Values'!$A$10:$A$10000,0)+1,AA$1),INDEX('Table S3 Literature Values'!$A$10:$AV$10000,MATCH($C65,'Table S3 Literature Values'!$A$10:$A$10000,0)+1,AA$1))</f>
        <v>1</v>
      </c>
      <c r="AB65" s="63">
        <f>INDEX('Table S3 Literature Values'!$A$10:$AV$10000,MATCH($C65,'Table S3 Literature Values'!$A$10:$A$10000,0)+2,AA$1)</f>
        <v>0</v>
      </c>
      <c r="AC65" s="501">
        <f>IF(VLOOKUP($C65,'Table S3 Literature Values'!$A$10:$AV$10000,AC$1,FALSE)=0,VLOOKUP($C65,'Table S9 Model Derived Values'!$A$10:$AV$10000,AC$1,FALSE),VLOOKUP($C65,'Table S3 Literature Values'!$A$10:$AV$10000,AC$1,FALSE))</f>
        <v>0.63003408000000005</v>
      </c>
      <c r="AD65" s="61">
        <f>IF(INDEX('Table S3 Literature Values'!$A$10:$AV$10000,MATCH($C65,'Table S3 Literature Values'!$A$10:$A$10000,0)+1,AD$1)=0,INDEX('Table S9 Model Derived Values'!$A$10:$AV$10000,MATCH($C65,'Table S9 Model Derived Values'!$A$10:$A$10000,0)+1,AD$1),INDEX('Table S3 Literature Values'!$A$10:$AV$10000,MATCH($C65,'Table S3 Literature Values'!$A$10:$A$10000,0)+1,AD$1))</f>
        <v>0</v>
      </c>
      <c r="AE65" s="63">
        <f>INDEX('Table S3 Literature Values'!$A$10:$AV$10000,MATCH($C65,'Table S3 Literature Values'!$A$10:$A$10000,0)+2,AD$1)</f>
        <v>0</v>
      </c>
      <c r="AF65" s="501">
        <f>IF(VLOOKUP($C65,'Table S3 Literature Values'!$A$10:$AV$10000,AF$1,FALSE)=0,VLOOKUP($C65,'Table S9 Model Derived Values'!$A$10:$AV$10000,AF$1,FALSE),VLOOKUP($C65,'Table S3 Literature Values'!$A$10:$AV$10000,AF$1,FALSE))</f>
        <v>1.0121875158590701</v>
      </c>
      <c r="AG65" s="61">
        <f>IF(INDEX('Table S3 Literature Values'!$A$10:$AV$10000,MATCH($C65,'Table S3 Literature Values'!$A$10:$A$10000,0)+1,AG$1)=0,INDEX('Table S9 Model Derived Values'!$A$10:$AV$10000,MATCH($C65,'Table S9 Model Derived Values'!$A$10:$A$10000,0)+1,AG$1),INDEX('Table S3 Literature Values'!$A$10:$AV$10000,MATCH($C65,'Table S3 Literature Values'!$A$10:$A$10000,0)+1,AG$1))</f>
        <v>0</v>
      </c>
      <c r="AH65" s="63">
        <f>INDEX('Table S3 Literature Values'!$A$10:$AV$10000,MATCH($C65,'Table S3 Literature Values'!$A$10:$A$10000,0)+2,AG$1)</f>
        <v>0</v>
      </c>
      <c r="AI65" s="501">
        <f>IF(VLOOKUP($C65,'Table S3 Literature Values'!$A$10:$AV$10000,AI$1,FALSE)=0,VLOOKUP($C65,'Table S9 Model Derived Values'!$A$10:$AV$10000,AI$1,FALSE),VLOOKUP($C65,'Table S3 Literature Values'!$A$10:$AV$10000,AI$1,FALSE))</f>
        <v>2.39297184</v>
      </c>
      <c r="AJ65" s="61">
        <f>IF(INDEX('Table S3 Literature Values'!$A$10:$AV$10000,MATCH($C65,'Table S3 Literature Values'!$A$10:$A$10000,0)+1,AJ$1)=0,INDEX('Table S9 Model Derived Values'!$A$10:$AV$10000,MATCH($C65,'Table S9 Model Derived Values'!$A$10:$A$10000,0)+1,AJ$1),INDEX('Table S3 Literature Values'!$A$10:$AV$10000,MATCH($C65,'Table S3 Literature Values'!$A$10:$A$10000,0)+1,AJ$1))</f>
        <v>0</v>
      </c>
      <c r="AK65" s="63">
        <f>INDEX('Table S3 Literature Values'!$A$10:$AV$10000,MATCH($C65,'Table S3 Literature Values'!$A$10:$A$10000,0)+2,AJ$1)</f>
        <v>0</v>
      </c>
      <c r="AL65" s="501">
        <f>IF(VLOOKUP($C65,'Table S3 Literature Values'!$A$10:$AV$10000,AL$1,FALSE)=0,VLOOKUP($C65,'Table S9 Model Derived Values'!$A$10:$AV$10000,AL$1,FALSE),VLOOKUP($C65,'Table S3 Literature Values'!$A$10:$AV$10000,AL$1,FALSE))</f>
        <v>0.80418922424939965</v>
      </c>
      <c r="AM65" s="61">
        <f>IF(INDEX('Table S3 Literature Values'!$A$10:$AV$10000,MATCH($C65,'Table S3 Literature Values'!$A$10:$A$10000,0)+1,AM$1)=0,INDEX('Table S9 Model Derived Values'!$A$10:$AV$10000,MATCH($C65,'Table S9 Model Derived Values'!$A$10:$A$10000,0)+1,AM$1),INDEX('Table S3 Literature Values'!$A$10:$AV$10000,MATCH($C65,'Table S3 Literature Values'!$A$10:$A$10000,0)+1,AM$1))</f>
        <v>0</v>
      </c>
      <c r="AN65" s="63">
        <f>INDEX('Table S3 Literature Values'!$A$10:$AV$10000,MATCH($C65,'Table S3 Literature Values'!$A$10:$A$10000,0)+2,AM$1)</f>
        <v>0</v>
      </c>
      <c r="AO65" s="501">
        <f>IF(VLOOKUP($C65,'Table S3 Literature Values'!$A$10:$AV$10000,AO$1,FALSE)=0,VLOOKUP($C65,'Table S9 Model Derived Values'!$A$10:$AV$10000,AO$1,FALSE),VLOOKUP($C65,'Table S3 Literature Values'!$A$10:$AV$10000,AO$1,FALSE))</f>
        <v>0</v>
      </c>
      <c r="AP65" s="61">
        <f>IF(INDEX('Table S3 Literature Values'!$A$10:$AV$10000,MATCH($C65,'Table S3 Literature Values'!$A$10:$A$10000,0)+1,AP$1)=0,INDEX('Table S9 Model Derived Values'!$A$10:$AV$10000,MATCH($C65,'Table S9 Model Derived Values'!$A$10:$A$10000,0)+1,AP$1),INDEX('Table S3 Literature Values'!$A$10:$AV$10000,MATCH($C65,'Table S3 Literature Values'!$A$10:$A$10000,0)+1,AP$1))</f>
        <v>0</v>
      </c>
      <c r="AQ65" s="63">
        <f>INDEX('Table S3 Literature Values'!$A$10:$AV$10000,MATCH($C65,'Table S3 Literature Values'!$A$10:$A$10000,0)+2,AP$1)</f>
        <v>0</v>
      </c>
      <c r="AR65" s="501">
        <f>IF(VLOOKUP($C65,'Table S3 Literature Values'!$A$10:$AV$10000,AR$1,FALSE)=0,VLOOKUP($C65,'Table S9 Model Derived Values'!$A$10:$AV$10000,AR$1,FALSE),VLOOKUP($C65,'Table S3 Literature Values'!$A$10:$AV$10000,AR$1,FALSE))</f>
        <v>1.2464743640902618</v>
      </c>
      <c r="AS65" s="61">
        <f>IF(INDEX('Table S3 Literature Values'!$A$10:$AV$10000,MATCH($C65,'Table S3 Literature Values'!$A$10:$A$10000,0)+1,AS$1)=0,INDEX('Table S9 Model Derived Values'!$A$10:$AV$10000,MATCH($C65,'Table S9 Model Derived Values'!$A$10:$A$10000,0)+1,AS$1),INDEX('Table S3 Literature Values'!$A$10:$AV$10000,MATCH($C65,'Table S3 Literature Values'!$A$10:$A$10000,0)+1,AS$1))</f>
        <v>1</v>
      </c>
      <c r="AT65" s="63">
        <f>INDEX('Table S3 Literature Values'!$A$10:$AV$10000,MATCH($C65,'Table S3 Literature Values'!$A$10:$A$10000,0)+2,AS$1)</f>
        <v>0</v>
      </c>
    </row>
    <row r="66" spans="1:46">
      <c r="A66" t="str">
        <f>'Table S2 Compound Identifiers'!C71</f>
        <v>Phthalate</v>
      </c>
      <c r="B66">
        <f>COUNTIF($C$3:C66,"&lt;&gt;"&amp;"")</f>
        <v>64</v>
      </c>
      <c r="C66" t="str">
        <f>IF('Table S2 Compound Identifiers'!B71="","",'Table S2 Compound Identifiers'!B71)</f>
        <v>DEHP</v>
      </c>
      <c r="D66" t="str">
        <f>'Table S2 Compound Identifiers'!D71</f>
        <v>117-81-7</v>
      </c>
      <c r="E66" s="501">
        <f>IF(VLOOKUP($C66,'Table S3 Literature Values'!$A$10:$AV$10000,E$1,FALSE)=0,VLOOKUP($C66,'Table S9 Model Derived Values'!$A$10:$AV$10000,E$1,FALSE),VLOOKUP($C66,'Table S3 Literature Values'!$A$10:$AV$10000,E$1,FALSE))</f>
        <v>4.4625575442630749</v>
      </c>
      <c r="F66" s="61">
        <f>IF(INDEX('Table S3 Literature Values'!$A$10:$AV$10000,MATCH($C66,'Table S3 Literature Values'!$A$10:$A$10000,0)+1,F$1)=0,INDEX('Table S9 Model Derived Values'!$A$10:$AV$10000,MATCH($C66,'Table S9 Model Derived Values'!$A$10:$A$10000,0)+1,F$1),INDEX('Table S3 Literature Values'!$A$10:$AV$10000,MATCH($C66,'Table S3 Literature Values'!$A$10:$A$10000,0)+1,F$1))</f>
        <v>7</v>
      </c>
      <c r="G66" s="63">
        <f>INDEX('Table S3 Literature Values'!$A$10:$AV$10000,MATCH($C66,'Table S3 Literature Values'!$A$10:$A$10000,0)+2,F$1)</f>
        <v>0</v>
      </c>
      <c r="H66" s="501">
        <f>IF(VLOOKUP($C66,'Table S3 Literature Values'!$A$10:$AV$10000,H$1,FALSE)=0,VLOOKUP($C66,'Table S9 Model Derived Values'!$A$10:$AV$10000,H$1,FALSE),VLOOKUP($C66,'Table S3 Literature Values'!$A$10:$AV$10000,H$1,FALSE))</f>
        <v>0.631251000000004</v>
      </c>
      <c r="I66" s="61">
        <f>IF(INDEX('Table S3 Literature Values'!$A$10:$AV$10000,MATCH($C66,'Table S3 Literature Values'!$A$10:$A$10000,0)+1,I$1)=0,INDEX('Table S9 Model Derived Values'!$A$10:$AV$10000,MATCH($C66,'Table S9 Model Derived Values'!$A$10:$A$10000,0)+1,I$1),INDEX('Table S3 Literature Values'!$A$10:$AV$10000,MATCH($C66,'Table S3 Literature Values'!$A$10:$A$10000,0)+1,I$1))</f>
        <v>0</v>
      </c>
      <c r="J66" s="63">
        <f>INDEX('Table S3 Literature Values'!$A$10:$AV$10000,MATCH($C66,'Table S3 Literature Values'!$A$10:$A$10000,0)+2,I$1)</f>
        <v>0</v>
      </c>
      <c r="K66" s="501">
        <f>IF(VLOOKUP($C66,'Table S3 Literature Values'!$A$10:$AV$10000,K$1,FALSE)=0,VLOOKUP($C66,'Table S9 Model Derived Values'!$A$10:$AV$10000,K$1,FALSE),VLOOKUP($C66,'Table S3 Literature Values'!$A$10:$AV$10000,K$1,FALSE))</f>
        <v>0</v>
      </c>
      <c r="L66" s="61">
        <f>IF(INDEX('Table S3 Literature Values'!$A$10:$AV$10000,MATCH($C66,'Table S3 Literature Values'!$A$10:$A$10000,0)+1,L$1)=0,INDEX('Table S9 Model Derived Values'!$A$10:$AV$10000,MATCH($C66,'Table S9 Model Derived Values'!$A$10:$A$10000,0)+1,L$1),INDEX('Table S3 Literature Values'!$A$10:$AV$10000,MATCH($C66,'Table S3 Literature Values'!$A$10:$A$10000,0)+1,L$1))</f>
        <v>0</v>
      </c>
      <c r="M66" s="63">
        <f>INDEX('Table S3 Literature Values'!$A$10:$AV$10000,MATCH($C66,'Table S3 Literature Values'!$A$10:$A$10000,0)+2,L$1)</f>
        <v>0</v>
      </c>
      <c r="N66" s="501">
        <f>IF(VLOOKUP($C66,'Table S3 Literature Values'!$A$10:$AV$10000,N$1,FALSE)=0,VLOOKUP($C66,'Table S9 Model Derived Values'!$A$10:$AV$10000,N$1,FALSE),VLOOKUP($C66,'Table S3 Literature Values'!$A$10:$AV$10000,N$1,FALSE))</f>
        <v>5.4003343808469122</v>
      </c>
      <c r="O66" s="61">
        <f>IF(INDEX('Table S3 Literature Values'!$A$10:$AV$10000,MATCH($C66,'Table S3 Literature Values'!$A$10:$A$10000,0)+1,O$1)=0,INDEX('Table S9 Model Derived Values'!$A$10:$AV$10000,MATCH($C66,'Table S9 Model Derived Values'!$A$10:$A$10000,0)+1,O$1),INDEX('Table S3 Literature Values'!$A$10:$AV$10000,MATCH($C66,'Table S3 Literature Values'!$A$10:$A$10000,0)+1,O$1))</f>
        <v>1</v>
      </c>
      <c r="P66" s="63">
        <f>INDEX('Table S3 Literature Values'!$A$10:$AV$10000,MATCH($C66,'Table S3 Literature Values'!$A$10:$A$10000,0)+2,O$1)</f>
        <v>0</v>
      </c>
      <c r="Q66" s="501">
        <f>IF(VLOOKUP($C66,'Table S3 Literature Values'!$A$10:$AV$10000,Q$1,FALSE)=0,VLOOKUP($C66,'Table S9 Model Derived Values'!$A$10:$AV$10000,Q$1,FALSE),VLOOKUP($C66,'Table S3 Literature Values'!$A$10:$AV$10000,Q$1,FALSE))</f>
        <v>24.097129944875796</v>
      </c>
      <c r="R66" s="61">
        <f>IF(INDEX('Table S3 Literature Values'!$A$10:$AV$10000,MATCH($C66,'Table S3 Literature Values'!$A$10:$A$10000,0)+1,R$1)=0,INDEX('Table S9 Model Derived Values'!$A$10:$AV$10000,MATCH($C66,'Table S9 Model Derived Values'!$A$10:$A$10000,0)+1,R$1),INDEX('Table S3 Literature Values'!$A$10:$AV$10000,MATCH($C66,'Table S3 Literature Values'!$A$10:$A$10000,0)+1,R$1))</f>
        <v>0</v>
      </c>
      <c r="S66" s="63">
        <f>INDEX('Table S3 Literature Values'!$A$10:$AV$10000,MATCH($C66,'Table S3 Literature Values'!$A$10:$A$10000,0)+2,R$1)</f>
        <v>0</v>
      </c>
      <c r="T66" s="501">
        <f>IF(VLOOKUP($C66,'Table S3 Literature Values'!$A$10:$AV$10000,T$1,FALSE)=0,VLOOKUP($C66,'Table S9 Model Derived Values'!$A$10:$AV$10000,T$1,FALSE),VLOOKUP($C66,'Table S3 Literature Values'!$A$10:$AV$10000,T$1,FALSE))</f>
        <v>1.0867908191780329</v>
      </c>
      <c r="U66" s="61">
        <f>IF(INDEX('Table S3 Literature Values'!$A$10:$AV$10000,MATCH($C66,'Table S3 Literature Values'!$A$10:$A$10000,0)+1,U$1)=0,INDEX('Table S9 Model Derived Values'!$A$10:$AV$10000,MATCH($C66,'Table S9 Model Derived Values'!$A$10:$A$10000,0)+1,U$1),INDEX('Table S3 Literature Values'!$A$10:$AV$10000,MATCH($C66,'Table S3 Literature Values'!$A$10:$A$10000,0)+1,U$1))</f>
        <v>0</v>
      </c>
      <c r="V66" s="63">
        <f>INDEX('Table S3 Literature Values'!$A$10:$AV$10000,MATCH($C66,'Table S3 Literature Values'!$A$10:$A$10000,0)+2,U$1)</f>
        <v>0</v>
      </c>
      <c r="W66" s="501">
        <f>IF(VLOOKUP($C66,'Table S3 Literature Values'!$A$10:$AV$10000,W$1,FALSE)=0,VLOOKUP($C66,'Table S9 Model Derived Values'!$A$10:$AV$10000,W$1,FALSE),VLOOKUP($C66,'Table S3 Literature Values'!$A$10:$AV$10000,W$1,FALSE))</f>
        <v>0.26983713356784012</v>
      </c>
      <c r="X66" s="61">
        <f>IF(INDEX('Table S3 Literature Values'!$A$10:$AV$10000,MATCH($C66,'Table S3 Literature Values'!$A$10:$A$10000,0)+1,X$1)=0,INDEX('Table S9 Model Derived Values'!$A$10:$AV$10000,MATCH($C66,'Table S9 Model Derived Values'!$A$10:$A$10000,0)+1,X$1),INDEX('Table S3 Literature Values'!$A$10:$AV$10000,MATCH($C66,'Table S3 Literature Values'!$A$10:$A$10000,0)+1,X$1))</f>
        <v>1</v>
      </c>
      <c r="Y66" s="63">
        <f>INDEX('Table S3 Literature Values'!$A$10:$AV$10000,MATCH($C66,'Table S3 Literature Values'!$A$10:$A$10000,0)+2,X$1)</f>
        <v>0</v>
      </c>
      <c r="Z66" s="501">
        <f>IF(VLOOKUP($C66,'Table S3 Literature Values'!$A$10:$AV$10000,Z$1,FALSE)=0,VLOOKUP($C66,'Table S9 Model Derived Values'!$A$10:$AV$10000,Z$1,FALSE),VLOOKUP($C66,'Table S3 Literature Values'!$A$10:$AV$10000,Z$1,FALSE))</f>
        <v>0.35617946252389365</v>
      </c>
      <c r="AA66" s="61">
        <f>IF(INDEX('Table S3 Literature Values'!$A$10:$AV$10000,MATCH($C66,'Table S3 Literature Values'!$A$10:$A$10000,0)+1,AA$1)=0,INDEX('Table S9 Model Derived Values'!$A$10:$AV$10000,MATCH($C66,'Table S9 Model Derived Values'!$A$10:$A$10000,0)+1,AA$1),INDEX('Table S3 Literature Values'!$A$10:$AV$10000,MATCH($C66,'Table S3 Literature Values'!$A$10:$A$10000,0)+1,AA$1))</f>
        <v>7</v>
      </c>
      <c r="AB66" s="63">
        <f>INDEX('Table S3 Literature Values'!$A$10:$AV$10000,MATCH($C66,'Table S3 Literature Values'!$A$10:$A$10000,0)+2,AA$1)</f>
        <v>0</v>
      </c>
      <c r="AC66" s="501">
        <f>IF(VLOOKUP($C66,'Table S3 Literature Values'!$A$10:$AV$10000,AC$1,FALSE)=0,VLOOKUP($C66,'Table S9 Model Derived Values'!$A$10:$AV$10000,AC$1,FALSE),VLOOKUP($C66,'Table S3 Literature Values'!$A$10:$AV$10000,AC$1,FALSE))</f>
        <v>0.66234351999999996</v>
      </c>
      <c r="AD66" s="61">
        <f>IF(INDEX('Table S3 Literature Values'!$A$10:$AV$10000,MATCH($C66,'Table S3 Literature Values'!$A$10:$A$10000,0)+1,AD$1)=0,INDEX('Table S9 Model Derived Values'!$A$10:$AV$10000,MATCH($C66,'Table S9 Model Derived Values'!$A$10:$A$10000,0)+1,AD$1),INDEX('Table S3 Literature Values'!$A$10:$AV$10000,MATCH($C66,'Table S3 Literature Values'!$A$10:$A$10000,0)+1,AD$1))</f>
        <v>0</v>
      </c>
      <c r="AE66" s="63">
        <f>INDEX('Table S3 Literature Values'!$A$10:$AV$10000,MATCH($C66,'Table S3 Literature Values'!$A$10:$A$10000,0)+2,AD$1)</f>
        <v>0</v>
      </c>
      <c r="AF66" s="501" t="e">
        <f ca="1">IF(VLOOKUP($C66,'Table S3 Literature Values'!$A$10:$AV$10000,AF$1,FALSE)=0,VLOOKUP($C66,'Table S9 Model Derived Values'!$A$10:$AV$10000,AF$1,FALSE),VLOOKUP($C66,'Table S3 Literature Values'!$A$10:$AV$10000,AF$1,FALSE))</f>
        <v>#N/A</v>
      </c>
      <c r="AG66" s="61">
        <f ca="1">IF(INDEX('Table S3 Literature Values'!$A$10:$AV$10000,MATCH($C66,'Table S3 Literature Values'!$A$10:$A$10000,0)+1,AG$1)=0,INDEX('Table S9 Model Derived Values'!$A$10:$AV$10000,MATCH($C66,'Table S9 Model Derived Values'!$A$10:$A$10000,0)+1,AG$1),INDEX('Table S3 Literature Values'!$A$10:$AV$10000,MATCH($C66,'Table S3 Literature Values'!$A$10:$A$10000,0)+1,AG$1))</f>
        <v>7</v>
      </c>
      <c r="AH66" s="63">
        <f>INDEX('Table S3 Literature Values'!$A$10:$AV$10000,MATCH($C66,'Table S3 Literature Values'!$A$10:$A$10000,0)+2,AG$1)</f>
        <v>0</v>
      </c>
      <c r="AI66" s="501" t="e">
        <f ca="1">IF(VLOOKUP($C66,'Table S3 Literature Values'!$A$10:$AV$10000,AI$1,FALSE)=0,VLOOKUP($C66,'Table S9 Model Derived Values'!$A$10:$AV$10000,AI$1,FALSE),VLOOKUP($C66,'Table S3 Literature Values'!$A$10:$AV$10000,AI$1,FALSE))</f>
        <v>#N/A</v>
      </c>
      <c r="AJ66" s="61">
        <f ca="1">IF(INDEX('Table S3 Literature Values'!$A$10:$AV$10000,MATCH($C66,'Table S3 Literature Values'!$A$10:$A$10000,0)+1,AJ$1)=0,INDEX('Table S9 Model Derived Values'!$A$10:$AV$10000,MATCH($C66,'Table S9 Model Derived Values'!$A$10:$A$10000,0)+1,AJ$1),INDEX('Table S3 Literature Values'!$A$10:$AV$10000,MATCH($C66,'Table S3 Literature Values'!$A$10:$A$10000,0)+1,AJ$1))</f>
        <v>2</v>
      </c>
      <c r="AK66" s="63">
        <f>INDEX('Table S3 Literature Values'!$A$10:$AV$10000,MATCH($C66,'Table S3 Literature Values'!$A$10:$A$10000,0)+2,AJ$1)</f>
        <v>0</v>
      </c>
      <c r="AL66" s="501">
        <f>IF(VLOOKUP($C66,'Table S3 Literature Values'!$A$10:$AV$10000,AL$1,FALSE)=0,VLOOKUP($C66,'Table S9 Model Derived Values'!$A$10:$AV$10000,AL$1,FALSE),VLOOKUP($C66,'Table S3 Literature Values'!$A$10:$AV$10000,AL$1,FALSE))</f>
        <v>0.75680878528939977</v>
      </c>
      <c r="AM66" s="61">
        <f>IF(INDEX('Table S3 Literature Values'!$A$10:$AV$10000,MATCH($C66,'Table S3 Literature Values'!$A$10:$A$10000,0)+1,AM$1)=0,INDEX('Table S9 Model Derived Values'!$A$10:$AV$10000,MATCH($C66,'Table S9 Model Derived Values'!$A$10:$A$10000,0)+1,AM$1),INDEX('Table S3 Literature Values'!$A$10:$AV$10000,MATCH($C66,'Table S3 Literature Values'!$A$10:$A$10000,0)+1,AM$1))</f>
        <v>0</v>
      </c>
      <c r="AN66" s="63">
        <f>INDEX('Table S3 Literature Values'!$A$10:$AV$10000,MATCH($C66,'Table S3 Literature Values'!$A$10:$A$10000,0)+2,AM$1)</f>
        <v>0</v>
      </c>
      <c r="AO66" s="501">
        <f>IF(VLOOKUP($C66,'Table S3 Literature Values'!$A$10:$AV$10000,AO$1,FALSE)=0,VLOOKUP($C66,'Table S9 Model Derived Values'!$A$10:$AV$10000,AO$1,FALSE),VLOOKUP($C66,'Table S3 Literature Values'!$A$10:$AV$10000,AO$1,FALSE))</f>
        <v>0</v>
      </c>
      <c r="AP66" s="61">
        <f>IF(INDEX('Table S3 Literature Values'!$A$10:$AV$10000,MATCH($C66,'Table S3 Literature Values'!$A$10:$A$10000,0)+1,AP$1)=0,INDEX('Table S9 Model Derived Values'!$A$10:$AV$10000,MATCH($C66,'Table S9 Model Derived Values'!$A$10:$A$10000,0)+1,AP$1),INDEX('Table S3 Literature Values'!$A$10:$AV$10000,MATCH($C66,'Table S3 Literature Values'!$A$10:$A$10000,0)+1,AP$1))</f>
        <v>0</v>
      </c>
      <c r="AQ66" s="63">
        <f>INDEX('Table S3 Literature Values'!$A$10:$AV$10000,MATCH($C66,'Table S3 Literature Values'!$A$10:$A$10000,0)+2,AP$1)</f>
        <v>0</v>
      </c>
      <c r="AR66" s="501">
        <f>IF(VLOOKUP($C66,'Table S3 Literature Values'!$A$10:$AV$10000,AR$1,FALSE)=0,VLOOKUP($C66,'Table S9 Model Derived Values'!$A$10:$AV$10000,AR$1,FALSE),VLOOKUP($C66,'Table S3 Literature Values'!$A$10:$AV$10000,AR$1,FALSE))</f>
        <v>2.7386127875258306</v>
      </c>
      <c r="AS66" s="61">
        <f>IF(INDEX('Table S3 Literature Values'!$A$10:$AV$10000,MATCH($C66,'Table S3 Literature Values'!$A$10:$A$10000,0)+1,AS$1)=0,INDEX('Table S9 Model Derived Values'!$A$10:$AV$10000,MATCH($C66,'Table S9 Model Derived Values'!$A$10:$A$10000,0)+1,AS$1),INDEX('Table S3 Literature Values'!$A$10:$AV$10000,MATCH($C66,'Table S3 Literature Values'!$A$10:$A$10000,0)+1,AS$1))</f>
        <v>5</v>
      </c>
      <c r="AT66" s="63">
        <f>INDEX('Table S3 Literature Values'!$A$10:$AV$10000,MATCH($C66,'Table S3 Literature Values'!$A$10:$A$10000,0)+2,AS$1)</f>
        <v>0</v>
      </c>
    </row>
    <row r="67" spans="1:46">
      <c r="A67" t="str">
        <f>'Table S2 Compound Identifiers'!C72</f>
        <v>Phthalate</v>
      </c>
      <c r="B67">
        <f>COUNTIF($C$3:C67,"&lt;&gt;"&amp;"")</f>
        <v>65</v>
      </c>
      <c r="C67" t="str">
        <f>IF('Table S2 Compound Identifiers'!B72="","",'Table S2 Compound Identifiers'!B72)</f>
        <v>DnOP</v>
      </c>
      <c r="D67" t="str">
        <f>'Table S2 Compound Identifiers'!D72</f>
        <v>117-84-0</v>
      </c>
      <c r="E67" s="501">
        <f>IF(VLOOKUP($C67,'Table S3 Literature Values'!$A$10:$AV$10000,E$1,FALSE)=0,VLOOKUP($C67,'Table S9 Model Derived Values'!$A$10:$AV$10000,E$1,FALSE),VLOOKUP($C67,'Table S3 Literature Values'!$A$10:$AV$10000,E$1,FALSE))</f>
        <v>8.7652894441655516</v>
      </c>
      <c r="F67" s="61">
        <f>IF(INDEX('Table S3 Literature Values'!$A$10:$AV$10000,MATCH($C67,'Table S3 Literature Values'!$A$10:$A$10000,0)+1,F$1)=0,INDEX('Table S9 Model Derived Values'!$A$10:$AV$10000,MATCH($C67,'Table S9 Model Derived Values'!$A$10:$A$10000,0)+1,F$1),INDEX('Table S3 Literature Values'!$A$10:$AV$10000,MATCH($C67,'Table S3 Literature Values'!$A$10:$A$10000,0)+1,F$1))</f>
        <v>4</v>
      </c>
      <c r="G67" s="63">
        <f>INDEX('Table S3 Literature Values'!$A$10:$AV$10000,MATCH($C67,'Table S3 Literature Values'!$A$10:$A$10000,0)+2,F$1)</f>
        <v>0</v>
      </c>
      <c r="H67" s="501">
        <f>IF(VLOOKUP($C67,'Table S3 Literature Values'!$A$10:$AV$10000,H$1,FALSE)=0,VLOOKUP($C67,'Table S9 Model Derived Values'!$A$10:$AV$10000,H$1,FALSE),VLOOKUP($C67,'Table S3 Literature Values'!$A$10:$AV$10000,H$1,FALSE))</f>
        <v>8.7393193999999852</v>
      </c>
      <c r="I67" s="61">
        <f>IF(INDEX('Table S3 Literature Values'!$A$10:$AV$10000,MATCH($C67,'Table S3 Literature Values'!$A$10:$A$10000,0)+1,I$1)=0,INDEX('Table S9 Model Derived Values'!$A$10:$AV$10000,MATCH($C67,'Table S9 Model Derived Values'!$A$10:$A$10000,0)+1,I$1),INDEX('Table S3 Literature Values'!$A$10:$AV$10000,MATCH($C67,'Table S3 Literature Values'!$A$10:$A$10000,0)+1,I$1))</f>
        <v>0</v>
      </c>
      <c r="J67" s="63">
        <f>INDEX('Table S3 Literature Values'!$A$10:$AV$10000,MATCH($C67,'Table S3 Literature Values'!$A$10:$A$10000,0)+2,I$1)</f>
        <v>0</v>
      </c>
      <c r="K67" s="501">
        <f>IF(VLOOKUP($C67,'Table S3 Literature Values'!$A$10:$AV$10000,K$1,FALSE)=0,VLOOKUP($C67,'Table S9 Model Derived Values'!$A$10:$AV$10000,K$1,FALSE),VLOOKUP($C67,'Table S3 Literature Values'!$A$10:$AV$10000,K$1,FALSE))</f>
        <v>0</v>
      </c>
      <c r="L67" s="61">
        <f>IF(INDEX('Table S3 Literature Values'!$A$10:$AV$10000,MATCH($C67,'Table S3 Literature Values'!$A$10:$A$10000,0)+1,L$1)=0,INDEX('Table S9 Model Derived Values'!$A$10:$AV$10000,MATCH($C67,'Table S9 Model Derived Values'!$A$10:$A$10000,0)+1,L$1),INDEX('Table S3 Literature Values'!$A$10:$AV$10000,MATCH($C67,'Table S3 Literature Values'!$A$10:$A$10000,0)+1,L$1))</f>
        <v>0</v>
      </c>
      <c r="M67" s="63">
        <f>INDEX('Table S3 Literature Values'!$A$10:$AV$10000,MATCH($C67,'Table S3 Literature Values'!$A$10:$A$10000,0)+2,L$1)</f>
        <v>0</v>
      </c>
      <c r="N67" s="501">
        <f>IF(VLOOKUP($C67,'Table S3 Literature Values'!$A$10:$AV$10000,N$1,FALSE)=0,VLOOKUP($C67,'Table S9 Model Derived Values'!$A$10:$AV$10000,N$1,FALSE),VLOOKUP($C67,'Table S3 Literature Values'!$A$10:$AV$10000,N$1,FALSE))</f>
        <v>5.8696767465642949</v>
      </c>
      <c r="O67" s="61">
        <f>IF(INDEX('Table S3 Literature Values'!$A$10:$AV$10000,MATCH($C67,'Table S3 Literature Values'!$A$10:$A$10000,0)+1,O$1)=0,INDEX('Table S9 Model Derived Values'!$A$10:$AV$10000,MATCH($C67,'Table S9 Model Derived Values'!$A$10:$A$10000,0)+1,O$1),INDEX('Table S3 Literature Values'!$A$10:$AV$10000,MATCH($C67,'Table S3 Literature Values'!$A$10:$A$10000,0)+1,O$1))</f>
        <v>1</v>
      </c>
      <c r="P67" s="63">
        <f>INDEX('Table S3 Literature Values'!$A$10:$AV$10000,MATCH($C67,'Table S3 Literature Values'!$A$10:$A$10000,0)+2,O$1)</f>
        <v>0</v>
      </c>
      <c r="Q67" s="501">
        <f>IF(VLOOKUP($C67,'Table S3 Literature Values'!$A$10:$AV$10000,Q$1,FALSE)=0,VLOOKUP($C67,'Table S9 Model Derived Values'!$A$10:$AV$10000,Q$1,FALSE),VLOOKUP($C67,'Table S3 Literature Values'!$A$10:$AV$10000,Q$1,FALSE))</f>
        <v>24.363710862875802</v>
      </c>
      <c r="R67" s="61">
        <f>IF(INDEX('Table S3 Literature Values'!$A$10:$AV$10000,MATCH($C67,'Table S3 Literature Values'!$A$10:$A$10000,0)+1,R$1)=0,INDEX('Table S9 Model Derived Values'!$A$10:$AV$10000,MATCH($C67,'Table S9 Model Derived Values'!$A$10:$A$10000,0)+1,R$1),INDEX('Table S3 Literature Values'!$A$10:$AV$10000,MATCH($C67,'Table S3 Literature Values'!$A$10:$A$10000,0)+1,R$1))</f>
        <v>0</v>
      </c>
      <c r="S67" s="63">
        <f>INDEX('Table S3 Literature Values'!$A$10:$AV$10000,MATCH($C67,'Table S3 Literature Values'!$A$10:$A$10000,0)+2,R$1)</f>
        <v>0</v>
      </c>
      <c r="T67" s="501">
        <f>IF(VLOOKUP($C67,'Table S3 Literature Values'!$A$10:$AV$10000,T$1,FALSE)=0,VLOOKUP($C67,'Table S9 Model Derived Values'!$A$10:$AV$10000,T$1,FALSE),VLOOKUP($C67,'Table S3 Literature Values'!$A$10:$AV$10000,T$1,FALSE))</f>
        <v>5.3751049177136349E-2</v>
      </c>
      <c r="U67" s="61">
        <f>IF(INDEX('Table S3 Literature Values'!$A$10:$AV$10000,MATCH($C67,'Table S3 Literature Values'!$A$10:$A$10000,0)+1,U$1)=0,INDEX('Table S9 Model Derived Values'!$A$10:$AV$10000,MATCH($C67,'Table S9 Model Derived Values'!$A$10:$A$10000,0)+1,U$1),INDEX('Table S3 Literature Values'!$A$10:$AV$10000,MATCH($C67,'Table S3 Literature Values'!$A$10:$A$10000,0)+1,U$1))</f>
        <v>0</v>
      </c>
      <c r="V67" s="63">
        <f>INDEX('Table S3 Literature Values'!$A$10:$AV$10000,MATCH($C67,'Table S3 Literature Values'!$A$10:$A$10000,0)+2,U$1)</f>
        <v>0</v>
      </c>
      <c r="W67" s="501">
        <f>IF(VLOOKUP($C67,'Table S3 Literature Values'!$A$10:$AV$10000,W$1,FALSE)=0,VLOOKUP($C67,'Table S9 Model Derived Values'!$A$10:$AV$10000,W$1,FALSE),VLOOKUP($C67,'Table S3 Literature Values'!$A$10:$AV$10000,W$1,FALSE))</f>
        <v>0.28786060622981419</v>
      </c>
      <c r="X67" s="61">
        <f>IF(INDEX('Table S3 Literature Values'!$A$10:$AV$10000,MATCH($C67,'Table S3 Literature Values'!$A$10:$A$10000,0)+1,X$1)=0,INDEX('Table S9 Model Derived Values'!$A$10:$AV$10000,MATCH($C67,'Table S9 Model Derived Values'!$A$10:$A$10000,0)+1,X$1),INDEX('Table S3 Literature Values'!$A$10:$AV$10000,MATCH($C67,'Table S3 Literature Values'!$A$10:$A$10000,0)+1,X$1))</f>
        <v>1</v>
      </c>
      <c r="Y67" s="63">
        <f>INDEX('Table S3 Literature Values'!$A$10:$AV$10000,MATCH($C67,'Table S3 Literature Values'!$A$10:$A$10000,0)+2,X$1)</f>
        <v>0</v>
      </c>
      <c r="Z67" s="501">
        <f>IF(VLOOKUP($C67,'Table S3 Literature Values'!$A$10:$AV$10000,Z$1,FALSE)=0,VLOOKUP($C67,'Table S9 Model Derived Values'!$A$10:$AV$10000,Z$1,FALSE),VLOOKUP($C67,'Table S3 Literature Values'!$A$10:$AV$10000,Z$1,FALSE))</f>
        <v>5.5075705472860809E-2</v>
      </c>
      <c r="AA67" s="61">
        <f>IF(INDEX('Table S3 Literature Values'!$A$10:$AV$10000,MATCH($C67,'Table S3 Literature Values'!$A$10:$A$10000,0)+1,AA$1)=0,INDEX('Table S9 Model Derived Values'!$A$10:$AV$10000,MATCH($C67,'Table S9 Model Derived Values'!$A$10:$A$10000,0)+1,AA$1),INDEX('Table S3 Literature Values'!$A$10:$AV$10000,MATCH($C67,'Table S3 Literature Values'!$A$10:$A$10000,0)+1,AA$1))</f>
        <v>4</v>
      </c>
      <c r="AB67" s="63">
        <f>INDEX('Table S3 Literature Values'!$A$10:$AV$10000,MATCH($C67,'Table S3 Literature Values'!$A$10:$A$10000,0)+2,AA$1)</f>
        <v>0</v>
      </c>
      <c r="AC67" s="501">
        <f>IF(VLOOKUP($C67,'Table S3 Literature Values'!$A$10:$AV$10000,AC$1,FALSE)=0,VLOOKUP($C67,'Table S9 Model Derived Values'!$A$10:$AV$10000,AC$1,FALSE),VLOOKUP($C67,'Table S3 Literature Values'!$A$10:$AV$10000,AC$1,FALSE))</f>
        <v>0.73907844</v>
      </c>
      <c r="AD67" s="61">
        <f>IF(INDEX('Table S3 Literature Values'!$A$10:$AV$10000,MATCH($C67,'Table S3 Literature Values'!$A$10:$A$10000,0)+1,AD$1)=0,INDEX('Table S9 Model Derived Values'!$A$10:$AV$10000,MATCH($C67,'Table S9 Model Derived Values'!$A$10:$A$10000,0)+1,AD$1),INDEX('Table S3 Literature Values'!$A$10:$AV$10000,MATCH($C67,'Table S3 Literature Values'!$A$10:$A$10000,0)+1,AD$1))</f>
        <v>0</v>
      </c>
      <c r="AE67" s="63">
        <f>INDEX('Table S3 Literature Values'!$A$10:$AV$10000,MATCH($C67,'Table S3 Literature Values'!$A$10:$A$10000,0)+2,AD$1)</f>
        <v>0</v>
      </c>
      <c r="AF67" s="501" t="e">
        <f ca="1">IF(VLOOKUP($C67,'Table S3 Literature Values'!$A$10:$AV$10000,AF$1,FALSE)=0,VLOOKUP($C67,'Table S9 Model Derived Values'!$A$10:$AV$10000,AF$1,FALSE),VLOOKUP($C67,'Table S3 Literature Values'!$A$10:$AV$10000,AF$1,FALSE))</f>
        <v>#N/A</v>
      </c>
      <c r="AG67" s="61">
        <f ca="1">IF(INDEX('Table S3 Literature Values'!$A$10:$AV$10000,MATCH($C67,'Table S3 Literature Values'!$A$10:$A$10000,0)+1,AG$1)=0,INDEX('Table S9 Model Derived Values'!$A$10:$AV$10000,MATCH($C67,'Table S9 Model Derived Values'!$A$10:$A$10000,0)+1,AG$1),INDEX('Table S3 Literature Values'!$A$10:$AV$10000,MATCH($C67,'Table S3 Literature Values'!$A$10:$A$10000,0)+1,AG$1))</f>
        <v>3</v>
      </c>
      <c r="AH67" s="63">
        <f>INDEX('Table S3 Literature Values'!$A$10:$AV$10000,MATCH($C67,'Table S3 Literature Values'!$A$10:$A$10000,0)+2,AG$1)</f>
        <v>0</v>
      </c>
      <c r="AI67" s="501" t="e">
        <f ca="1">IF(VLOOKUP($C67,'Table S3 Literature Values'!$A$10:$AV$10000,AI$1,FALSE)=0,VLOOKUP($C67,'Table S9 Model Derived Values'!$A$10:$AV$10000,AI$1,FALSE),VLOOKUP($C67,'Table S3 Literature Values'!$A$10:$AV$10000,AI$1,FALSE))</f>
        <v>#N/A</v>
      </c>
      <c r="AJ67" s="61">
        <f ca="1">IF(INDEX('Table S3 Literature Values'!$A$10:$AV$10000,MATCH($C67,'Table S3 Literature Values'!$A$10:$A$10000,0)+1,AJ$1)=0,INDEX('Table S9 Model Derived Values'!$A$10:$AV$10000,MATCH($C67,'Table S9 Model Derived Values'!$A$10:$A$10000,0)+1,AJ$1),INDEX('Table S3 Literature Values'!$A$10:$AV$10000,MATCH($C67,'Table S3 Literature Values'!$A$10:$A$10000,0)+1,AJ$1))</f>
        <v>3</v>
      </c>
      <c r="AK67" s="63">
        <f>INDEX('Table S3 Literature Values'!$A$10:$AV$10000,MATCH($C67,'Table S3 Literature Values'!$A$10:$A$10000,0)+2,AJ$1)</f>
        <v>0</v>
      </c>
      <c r="AL67" s="501">
        <f>IF(VLOOKUP($C67,'Table S3 Literature Values'!$A$10:$AV$10000,AL$1,FALSE)=0,VLOOKUP($C67,'Table S9 Model Derived Values'!$A$10:$AV$10000,AL$1,FALSE),VLOOKUP($C67,'Table S3 Literature Values'!$A$10:$AV$10000,AL$1,FALSE))</f>
        <v>0.74672399548939983</v>
      </c>
      <c r="AM67" s="61">
        <f>IF(INDEX('Table S3 Literature Values'!$A$10:$AV$10000,MATCH($C67,'Table S3 Literature Values'!$A$10:$A$10000,0)+1,AM$1)=0,INDEX('Table S9 Model Derived Values'!$A$10:$AV$10000,MATCH($C67,'Table S9 Model Derived Values'!$A$10:$A$10000,0)+1,AM$1),INDEX('Table S3 Literature Values'!$A$10:$AV$10000,MATCH($C67,'Table S3 Literature Values'!$A$10:$A$10000,0)+1,AM$1))</f>
        <v>0</v>
      </c>
      <c r="AN67" s="63">
        <f>INDEX('Table S3 Literature Values'!$A$10:$AV$10000,MATCH($C67,'Table S3 Literature Values'!$A$10:$A$10000,0)+2,AM$1)</f>
        <v>0</v>
      </c>
      <c r="AO67" s="501">
        <f>IF(VLOOKUP($C67,'Table S3 Literature Values'!$A$10:$AV$10000,AO$1,FALSE)=0,VLOOKUP($C67,'Table S9 Model Derived Values'!$A$10:$AV$10000,AO$1,FALSE),VLOOKUP($C67,'Table S3 Literature Values'!$A$10:$AV$10000,AO$1,FALSE))</f>
        <v>0</v>
      </c>
      <c r="AP67" s="61">
        <f>IF(INDEX('Table S3 Literature Values'!$A$10:$AV$10000,MATCH($C67,'Table S3 Literature Values'!$A$10:$A$10000,0)+1,AP$1)=0,INDEX('Table S9 Model Derived Values'!$A$10:$AV$10000,MATCH($C67,'Table S9 Model Derived Values'!$A$10:$A$10000,0)+1,AP$1),INDEX('Table S3 Literature Values'!$A$10:$AV$10000,MATCH($C67,'Table S3 Literature Values'!$A$10:$A$10000,0)+1,AP$1))</f>
        <v>0</v>
      </c>
      <c r="AQ67" s="63">
        <f>INDEX('Table S3 Literature Values'!$A$10:$AV$10000,MATCH($C67,'Table S3 Literature Values'!$A$10:$A$10000,0)+2,AP$1)</f>
        <v>0</v>
      </c>
      <c r="AR67" s="501">
        <f>IF(VLOOKUP($C67,'Table S3 Literature Values'!$A$10:$AV$10000,AR$1,FALSE)=0,VLOOKUP($C67,'Table S9 Model Derived Values'!$A$10:$AV$10000,AR$1,FALSE),VLOOKUP($C67,'Table S3 Literature Values'!$A$10:$AV$10000,AR$1,FALSE))</f>
        <v>0</v>
      </c>
      <c r="AS67" s="61">
        <f>IF(INDEX('Table S3 Literature Values'!$A$10:$AV$10000,MATCH($C67,'Table S3 Literature Values'!$A$10:$A$10000,0)+1,AS$1)=0,INDEX('Table S9 Model Derived Values'!$A$10:$AV$10000,MATCH($C67,'Table S9 Model Derived Values'!$A$10:$A$10000,0)+1,AS$1),INDEX('Table S3 Literature Values'!$A$10:$AV$10000,MATCH($C67,'Table S3 Literature Values'!$A$10:$A$10000,0)+1,AS$1))</f>
        <v>4</v>
      </c>
      <c r="AT67" s="63">
        <f>INDEX('Table S3 Literature Values'!$A$10:$AV$10000,MATCH($C67,'Table S3 Literature Values'!$A$10:$A$10000,0)+2,AS$1)</f>
        <v>0</v>
      </c>
    </row>
    <row r="68" spans="1:46">
      <c r="A68" t="str">
        <f>'Table S2 Compound Identifiers'!C73</f>
        <v>Phthalate</v>
      </c>
      <c r="B68">
        <f>COUNTIF($C$3:C68,"&lt;&gt;"&amp;"")</f>
        <v>66</v>
      </c>
      <c r="C68" t="str">
        <f>IF('Table S2 Compound Identifiers'!B73="","",'Table S2 Compound Identifiers'!B73)</f>
        <v>DiNP</v>
      </c>
      <c r="D68" t="str">
        <f>'Table S2 Compound Identifiers'!D73</f>
        <v>28553-12-0</v>
      </c>
      <c r="E68" s="501">
        <f>IF(VLOOKUP($C68,'Table S3 Literature Values'!$A$10:$AV$10000,E$1,FALSE)=0,VLOOKUP($C68,'Table S9 Model Derived Values'!$A$10:$AV$10000,E$1,FALSE),VLOOKUP($C68,'Table S3 Literature Values'!$A$10:$AV$10000,E$1,FALSE))</f>
        <v>13.54881438</v>
      </c>
      <c r="F68" s="61">
        <f>IF(INDEX('Table S3 Literature Values'!$A$10:$AV$10000,MATCH($C68,'Table S3 Literature Values'!$A$10:$A$10000,0)+1,F$1)=0,INDEX('Table S9 Model Derived Values'!$A$10:$AV$10000,MATCH($C68,'Table S9 Model Derived Values'!$A$10:$A$10000,0)+1,F$1),INDEX('Table S3 Literature Values'!$A$10:$AV$10000,MATCH($C68,'Table S3 Literature Values'!$A$10:$A$10000,0)+1,F$1))</f>
        <v>0</v>
      </c>
      <c r="G68" s="63">
        <f>INDEX('Table S3 Literature Values'!$A$10:$AV$10000,MATCH($C68,'Table S3 Literature Values'!$A$10:$A$10000,0)+2,F$1)</f>
        <v>0</v>
      </c>
      <c r="H68" s="501">
        <f>IF(VLOOKUP($C68,'Table S3 Literature Values'!$A$10:$AV$10000,H$1,FALSE)=0,VLOOKUP($C68,'Table S9 Model Derived Values'!$A$10:$AV$10000,H$1,FALSE),VLOOKUP($C68,'Table S3 Literature Values'!$A$10:$AV$10000,H$1,FALSE))</f>
        <v>8.472791199999989</v>
      </c>
      <c r="I68" s="61">
        <f>IF(INDEX('Table S3 Literature Values'!$A$10:$AV$10000,MATCH($C68,'Table S3 Literature Values'!$A$10:$A$10000,0)+1,I$1)=0,INDEX('Table S9 Model Derived Values'!$A$10:$AV$10000,MATCH($C68,'Table S9 Model Derived Values'!$A$10:$A$10000,0)+1,I$1),INDEX('Table S3 Literature Values'!$A$10:$AV$10000,MATCH($C68,'Table S3 Literature Values'!$A$10:$A$10000,0)+1,I$1))</f>
        <v>0</v>
      </c>
      <c r="J68" s="63">
        <f>INDEX('Table S3 Literature Values'!$A$10:$AV$10000,MATCH($C68,'Table S3 Literature Values'!$A$10:$A$10000,0)+2,I$1)</f>
        <v>0</v>
      </c>
      <c r="K68" s="501">
        <f>IF(VLOOKUP($C68,'Table S3 Literature Values'!$A$10:$AV$10000,K$1,FALSE)=0,VLOOKUP($C68,'Table S9 Model Derived Values'!$A$10:$AV$10000,K$1,FALSE),VLOOKUP($C68,'Table S3 Literature Values'!$A$10:$AV$10000,K$1,FALSE))</f>
        <v>0</v>
      </c>
      <c r="L68" s="61">
        <f>IF(INDEX('Table S3 Literature Values'!$A$10:$AV$10000,MATCH($C68,'Table S3 Literature Values'!$A$10:$A$10000,0)+1,L$1)=0,INDEX('Table S9 Model Derived Values'!$A$10:$AV$10000,MATCH($C68,'Table S9 Model Derived Values'!$A$10:$A$10000,0)+1,L$1),INDEX('Table S3 Literature Values'!$A$10:$AV$10000,MATCH($C68,'Table S3 Literature Values'!$A$10:$A$10000,0)+1,L$1))</f>
        <v>0</v>
      </c>
      <c r="M68" s="63">
        <f>INDEX('Table S3 Literature Values'!$A$10:$AV$10000,MATCH($C68,'Table S3 Literature Values'!$A$10:$A$10000,0)+2,L$1)</f>
        <v>0</v>
      </c>
      <c r="N68" s="501">
        <f>IF(VLOOKUP($C68,'Table S3 Literature Values'!$A$10:$AV$10000,N$1,FALSE)=0,VLOOKUP($C68,'Table S9 Model Derived Values'!$A$10:$AV$10000,N$1,FALSE),VLOOKUP($C68,'Table S3 Literature Values'!$A$10:$AV$10000,N$1,FALSE))</f>
        <v>23.475843449999999</v>
      </c>
      <c r="O68" s="61">
        <f>IF(INDEX('Table S3 Literature Values'!$A$10:$AV$10000,MATCH($C68,'Table S3 Literature Values'!$A$10:$A$10000,0)+1,O$1)=0,INDEX('Table S9 Model Derived Values'!$A$10:$AV$10000,MATCH($C68,'Table S9 Model Derived Values'!$A$10:$A$10000,0)+1,O$1),INDEX('Table S3 Literature Values'!$A$10:$AV$10000,MATCH($C68,'Table S3 Literature Values'!$A$10:$A$10000,0)+1,O$1))</f>
        <v>0</v>
      </c>
      <c r="P68" s="63">
        <f>INDEX('Table S3 Literature Values'!$A$10:$AV$10000,MATCH($C68,'Table S3 Literature Values'!$A$10:$A$10000,0)+2,O$1)</f>
        <v>0</v>
      </c>
      <c r="Q68" s="501">
        <f>IF(VLOOKUP($C68,'Table S3 Literature Values'!$A$10:$AV$10000,Q$1,FALSE)=0,VLOOKUP($C68,'Table S9 Model Derived Values'!$A$10:$AV$10000,Q$1,FALSE),VLOOKUP($C68,'Table S3 Literature Values'!$A$10:$AV$10000,Q$1,FALSE))</f>
        <v>25.348311811100395</v>
      </c>
      <c r="R68" s="61">
        <f>IF(INDEX('Table S3 Literature Values'!$A$10:$AV$10000,MATCH($C68,'Table S3 Literature Values'!$A$10:$A$10000,0)+1,R$1)=0,INDEX('Table S9 Model Derived Values'!$A$10:$AV$10000,MATCH($C68,'Table S9 Model Derived Values'!$A$10:$A$10000,0)+1,R$1),INDEX('Table S3 Literature Values'!$A$10:$AV$10000,MATCH($C68,'Table S3 Literature Values'!$A$10:$A$10000,0)+1,R$1))</f>
        <v>0</v>
      </c>
      <c r="S68" s="63">
        <f>INDEX('Table S3 Literature Values'!$A$10:$AV$10000,MATCH($C68,'Table S3 Literature Values'!$A$10:$A$10000,0)+2,R$1)</f>
        <v>0</v>
      </c>
      <c r="T68" s="501">
        <f>IF(VLOOKUP($C68,'Table S3 Literature Values'!$A$10:$AV$10000,T$1,FALSE)=0,VLOOKUP($C68,'Table S9 Model Derived Values'!$A$10:$AV$10000,T$1,FALSE),VLOOKUP($C68,'Table S3 Literature Values'!$A$10:$AV$10000,T$1,FALSE))</f>
        <v>1.0581382512333712</v>
      </c>
      <c r="U68" s="61">
        <f>IF(INDEX('Table S3 Literature Values'!$A$10:$AV$10000,MATCH($C68,'Table S3 Literature Values'!$A$10:$A$10000,0)+1,U$1)=0,INDEX('Table S9 Model Derived Values'!$A$10:$AV$10000,MATCH($C68,'Table S9 Model Derived Values'!$A$10:$A$10000,0)+1,U$1),INDEX('Table S3 Literature Values'!$A$10:$AV$10000,MATCH($C68,'Table S3 Literature Values'!$A$10:$A$10000,0)+1,U$1))</f>
        <v>0</v>
      </c>
      <c r="V68" s="63">
        <f>INDEX('Table S3 Literature Values'!$A$10:$AV$10000,MATCH($C68,'Table S3 Literature Values'!$A$10:$A$10000,0)+2,U$1)</f>
        <v>0</v>
      </c>
      <c r="W68" s="501">
        <f>IF(VLOOKUP($C68,'Table S3 Literature Values'!$A$10:$AV$10000,W$1,FALSE)=0,VLOOKUP($C68,'Table S9 Model Derived Values'!$A$10:$AV$10000,W$1,FALSE),VLOOKUP($C68,'Table S3 Literature Values'!$A$10:$AV$10000,W$1,FALSE))</f>
        <v>1.2558695750000002</v>
      </c>
      <c r="X68" s="61">
        <f>IF(INDEX('Table S3 Literature Values'!$A$10:$AV$10000,MATCH($C68,'Table S3 Literature Values'!$A$10:$A$10000,0)+1,X$1)=0,INDEX('Table S9 Model Derived Values'!$A$10:$AV$10000,MATCH($C68,'Table S9 Model Derived Values'!$A$10:$A$10000,0)+1,X$1),INDEX('Table S3 Literature Values'!$A$10:$AV$10000,MATCH($C68,'Table S3 Literature Values'!$A$10:$A$10000,0)+1,X$1))</f>
        <v>0</v>
      </c>
      <c r="Y68" s="63">
        <f>INDEX('Table S3 Literature Values'!$A$10:$AV$10000,MATCH($C68,'Table S3 Literature Values'!$A$10:$A$10000,0)+2,X$1)</f>
        <v>0</v>
      </c>
      <c r="Z68" s="501" t="e">
        <f ca="1">IF(VLOOKUP($C68,'Table S3 Literature Values'!$A$10:$AV$10000,Z$1,FALSE)=0,VLOOKUP($C68,'Table S9 Model Derived Values'!$A$10:$AV$10000,Z$1,FALSE),VLOOKUP($C68,'Table S3 Literature Values'!$A$10:$AV$10000,Z$1,FALSE))</f>
        <v>#N/A</v>
      </c>
      <c r="AA68" s="61">
        <f ca="1">IF(INDEX('Table S3 Literature Values'!$A$10:$AV$10000,MATCH($C68,'Table S3 Literature Values'!$A$10:$A$10000,0)+1,AA$1)=0,INDEX('Table S9 Model Derived Values'!$A$10:$AV$10000,MATCH($C68,'Table S9 Model Derived Values'!$A$10:$A$10000,0)+1,AA$1),INDEX('Table S3 Literature Values'!$A$10:$AV$10000,MATCH($C68,'Table S3 Literature Values'!$A$10:$A$10000,0)+1,AA$1))</f>
        <v>1</v>
      </c>
      <c r="AB68" s="63">
        <f>INDEX('Table S3 Literature Values'!$A$10:$AV$10000,MATCH($C68,'Table S3 Literature Values'!$A$10:$A$10000,0)+2,AA$1)</f>
        <v>0</v>
      </c>
      <c r="AC68" s="501">
        <f>IF(VLOOKUP($C68,'Table S3 Literature Values'!$A$10:$AV$10000,AC$1,FALSE)=0,VLOOKUP($C68,'Table S9 Model Derived Values'!$A$10:$AV$10000,AC$1,FALSE),VLOOKUP($C68,'Table S3 Literature Values'!$A$10:$AV$10000,AC$1,FALSE))</f>
        <v>0.73302042000000001</v>
      </c>
      <c r="AD68" s="61">
        <f>IF(INDEX('Table S3 Literature Values'!$A$10:$AV$10000,MATCH($C68,'Table S3 Literature Values'!$A$10:$A$10000,0)+1,AD$1)=0,INDEX('Table S9 Model Derived Values'!$A$10:$AV$10000,MATCH($C68,'Table S9 Model Derived Values'!$A$10:$A$10000,0)+1,AD$1),INDEX('Table S3 Literature Values'!$A$10:$AV$10000,MATCH($C68,'Table S3 Literature Values'!$A$10:$A$10000,0)+1,AD$1))</f>
        <v>0</v>
      </c>
      <c r="AE68" s="63">
        <f>INDEX('Table S3 Literature Values'!$A$10:$AV$10000,MATCH($C68,'Table S3 Literature Values'!$A$10:$A$10000,0)+2,AD$1)</f>
        <v>0</v>
      </c>
      <c r="AF68" s="501" t="e">
        <f ca="1">IF(VLOOKUP($C68,'Table S3 Literature Values'!$A$10:$AV$10000,AF$1,FALSE)=0,VLOOKUP($C68,'Table S9 Model Derived Values'!$A$10:$AV$10000,AF$1,FALSE),VLOOKUP($C68,'Table S3 Literature Values'!$A$10:$AV$10000,AF$1,FALSE))</f>
        <v>#N/A</v>
      </c>
      <c r="AG68" s="61">
        <f ca="1">IF(INDEX('Table S3 Literature Values'!$A$10:$AV$10000,MATCH($C68,'Table S3 Literature Values'!$A$10:$A$10000,0)+1,AG$1)=0,INDEX('Table S9 Model Derived Values'!$A$10:$AV$10000,MATCH($C68,'Table S9 Model Derived Values'!$A$10:$A$10000,0)+1,AG$1),INDEX('Table S3 Literature Values'!$A$10:$AV$10000,MATCH($C68,'Table S3 Literature Values'!$A$10:$A$10000,0)+1,AG$1))</f>
        <v>6</v>
      </c>
      <c r="AH68" s="63">
        <f>INDEX('Table S3 Literature Values'!$A$10:$AV$10000,MATCH($C68,'Table S3 Literature Values'!$A$10:$A$10000,0)+2,AG$1)</f>
        <v>0</v>
      </c>
      <c r="AI68" s="501" t="e">
        <f ca="1">IF(VLOOKUP($C68,'Table S3 Literature Values'!$A$10:$AV$10000,AI$1,FALSE)=0,VLOOKUP($C68,'Table S9 Model Derived Values'!$A$10:$AV$10000,AI$1,FALSE),VLOOKUP($C68,'Table S3 Literature Values'!$A$10:$AV$10000,AI$1,FALSE))</f>
        <v>#N/A</v>
      </c>
      <c r="AJ68" s="61">
        <f ca="1">IF(INDEX('Table S3 Literature Values'!$A$10:$AV$10000,MATCH($C68,'Table S3 Literature Values'!$A$10:$A$10000,0)+1,AJ$1)=0,INDEX('Table S9 Model Derived Values'!$A$10:$AV$10000,MATCH($C68,'Table S9 Model Derived Values'!$A$10:$A$10000,0)+1,AJ$1),INDEX('Table S3 Literature Values'!$A$10:$AV$10000,MATCH($C68,'Table S3 Literature Values'!$A$10:$A$10000,0)+1,AJ$1))</f>
        <v>1</v>
      </c>
      <c r="AK68" s="63">
        <f>INDEX('Table S3 Literature Values'!$A$10:$AV$10000,MATCH($C68,'Table S3 Literature Values'!$A$10:$A$10000,0)+2,AJ$1)</f>
        <v>0</v>
      </c>
      <c r="AL68" s="501">
        <f>IF(VLOOKUP($C68,'Table S3 Literature Values'!$A$10:$AV$10000,AL$1,FALSE)=0,VLOOKUP($C68,'Table S9 Model Derived Values'!$A$10:$AV$10000,AL$1,FALSE),VLOOKUP($C68,'Table S3 Literature Values'!$A$10:$AV$10000,AL$1,FALSE))</f>
        <v>0.80041624774719966</v>
      </c>
      <c r="AM68" s="61">
        <f>IF(INDEX('Table S3 Literature Values'!$A$10:$AV$10000,MATCH($C68,'Table S3 Literature Values'!$A$10:$A$10000,0)+1,AM$1)=0,INDEX('Table S9 Model Derived Values'!$A$10:$AV$10000,MATCH($C68,'Table S9 Model Derived Values'!$A$10:$A$10000,0)+1,AM$1),INDEX('Table S3 Literature Values'!$A$10:$AV$10000,MATCH($C68,'Table S3 Literature Values'!$A$10:$A$10000,0)+1,AM$1))</f>
        <v>0</v>
      </c>
      <c r="AN68" s="63">
        <f>INDEX('Table S3 Literature Values'!$A$10:$AV$10000,MATCH($C68,'Table S3 Literature Values'!$A$10:$A$10000,0)+2,AM$1)</f>
        <v>0</v>
      </c>
      <c r="AO68" s="501">
        <f>IF(VLOOKUP($C68,'Table S3 Literature Values'!$A$10:$AV$10000,AO$1,FALSE)=0,VLOOKUP($C68,'Table S9 Model Derived Values'!$A$10:$AV$10000,AO$1,FALSE),VLOOKUP($C68,'Table S3 Literature Values'!$A$10:$AV$10000,AO$1,FALSE))</f>
        <v>0</v>
      </c>
      <c r="AP68" s="61">
        <f>IF(INDEX('Table S3 Literature Values'!$A$10:$AV$10000,MATCH($C68,'Table S3 Literature Values'!$A$10:$A$10000,0)+1,AP$1)=0,INDEX('Table S9 Model Derived Values'!$A$10:$AV$10000,MATCH($C68,'Table S9 Model Derived Values'!$A$10:$A$10000,0)+1,AP$1),INDEX('Table S3 Literature Values'!$A$10:$AV$10000,MATCH($C68,'Table S3 Literature Values'!$A$10:$A$10000,0)+1,AP$1))</f>
        <v>0</v>
      </c>
      <c r="AQ68" s="63">
        <f>INDEX('Table S3 Literature Values'!$A$10:$AV$10000,MATCH($C68,'Table S3 Literature Values'!$A$10:$A$10000,0)+2,AP$1)</f>
        <v>0</v>
      </c>
      <c r="AR68" s="501">
        <f>IF(VLOOKUP($C68,'Table S3 Literature Values'!$A$10:$AV$10000,AR$1,FALSE)=0,VLOOKUP($C68,'Table S9 Model Derived Values'!$A$10:$AV$10000,AR$1,FALSE),VLOOKUP($C68,'Table S3 Literature Values'!$A$10:$AV$10000,AR$1,FALSE))</f>
        <v>3.5355339059327378</v>
      </c>
      <c r="AS68" s="61">
        <f>IF(INDEX('Table S3 Literature Values'!$A$10:$AV$10000,MATCH($C68,'Table S3 Literature Values'!$A$10:$A$10000,0)+1,AS$1)=0,INDEX('Table S9 Model Derived Values'!$A$10:$AV$10000,MATCH($C68,'Table S9 Model Derived Values'!$A$10:$A$10000,0)+1,AS$1),INDEX('Table S3 Literature Values'!$A$10:$AV$10000,MATCH($C68,'Table S3 Literature Values'!$A$10:$A$10000,0)+1,AS$1))</f>
        <v>2</v>
      </c>
      <c r="AT68" s="63">
        <f>INDEX('Table S3 Literature Values'!$A$10:$AV$10000,MATCH($C68,'Table S3 Literature Values'!$A$10:$A$10000,0)+2,AS$1)</f>
        <v>0</v>
      </c>
    </row>
    <row r="69" spans="1:46">
      <c r="A69" t="str">
        <f>'Table S2 Compound Identifiers'!C74</f>
        <v>UV Filter</v>
      </c>
      <c r="B69">
        <f>COUNTIF($C$3:C69,"&lt;&gt;"&amp;"")</f>
        <v>67</v>
      </c>
      <c r="C69" t="str">
        <f>IF('Table S2 Compound Identifiers'!B74="","",'Table S2 Compound Identifiers'!B74)</f>
        <v>benzophenone-D10</v>
      </c>
      <c r="D69" t="str">
        <f>'Table S2 Compound Identifiers'!D74</f>
        <v>22583-75-1</v>
      </c>
      <c r="E69" s="501">
        <f>IF(VLOOKUP($C69,'Table S3 Literature Values'!$A$10:$AV$10000,E$1,FALSE)=0,VLOOKUP($C69,'Table S9 Model Derived Values'!$A$10:$AV$10000,E$1,FALSE),VLOOKUP($C69,'Table S3 Literature Values'!$A$10:$AV$10000,E$1,FALSE))</f>
        <v>77.099999999999994</v>
      </c>
      <c r="F69" s="61">
        <f>IF(INDEX('Table S3 Literature Values'!$A$10:$AV$10000,MATCH($C69,'Table S3 Literature Values'!$A$10:$A$10000,0)+1,F$1)=0,INDEX('Table S9 Model Derived Values'!$A$10:$AV$10000,MATCH($C69,'Table S9 Model Derived Values'!$A$10:$A$10000,0)+1,F$1),INDEX('Table S3 Literature Values'!$A$10:$AV$10000,MATCH($C69,'Table S3 Literature Values'!$A$10:$A$10000,0)+1,F$1))</f>
        <v>5.5021195639597513</v>
      </c>
      <c r="G69" s="63">
        <f>INDEX('Table S3 Literature Values'!$A$10:$AV$10000,MATCH($C69,'Table S3 Literature Values'!$A$10:$A$10000,0)+2,F$1)</f>
        <v>1</v>
      </c>
      <c r="H69" s="501">
        <f>IF(VLOOKUP($C69,'Table S3 Literature Values'!$A$10:$AV$10000,H$1,FALSE)=0,VLOOKUP($C69,'Table S9 Model Derived Values'!$A$10:$AV$10000,H$1,FALSE),VLOOKUP($C69,'Table S3 Literature Values'!$A$10:$AV$10000,H$1,FALSE))</f>
        <v>7.374634427559954</v>
      </c>
      <c r="I69" s="61">
        <f>IF(INDEX('Table S3 Literature Values'!$A$10:$AV$10000,MATCH($C69,'Table S3 Literature Values'!$A$10:$A$10000,0)+1,I$1)=0,INDEX('Table S9 Model Derived Values'!$A$10:$AV$10000,MATCH($C69,'Table S9 Model Derived Values'!$A$10:$A$10000,0)+1,I$1),INDEX('Table S3 Literature Values'!$A$10:$AV$10000,MATCH($C69,'Table S3 Literature Values'!$A$10:$A$10000,0)+1,I$1))</f>
        <v>10.344989682292551</v>
      </c>
      <c r="J69" s="63">
        <f>INDEX('Table S3 Literature Values'!$A$10:$AV$10000,MATCH($C69,'Table S3 Literature Values'!$A$10:$A$10000,0)+2,I$1)</f>
        <v>0</v>
      </c>
      <c r="K69" s="501">
        <f>IF(VLOOKUP($C69,'Table S3 Literature Values'!$A$10:$AV$10000,K$1,FALSE)=0,VLOOKUP($C69,'Table S9 Model Derived Values'!$A$10:$AV$10000,K$1,FALSE),VLOOKUP($C69,'Table S3 Literature Values'!$A$10:$AV$10000,K$1,FALSE))</f>
        <v>0</v>
      </c>
      <c r="L69" s="61">
        <f>IF(INDEX('Table S3 Literature Values'!$A$10:$AV$10000,MATCH($C69,'Table S3 Literature Values'!$A$10:$A$10000,0)+1,L$1)=0,INDEX('Table S9 Model Derived Values'!$A$10:$AV$10000,MATCH($C69,'Table S9 Model Derived Values'!$A$10:$A$10000,0)+1,L$1),INDEX('Table S3 Literature Values'!$A$10:$AV$10000,MATCH($C69,'Table S3 Literature Values'!$A$10:$A$10000,0)+1,L$1))</f>
        <v>0</v>
      </c>
      <c r="M69" s="63">
        <f>INDEX('Table S3 Literature Values'!$A$10:$AV$10000,MATCH($C69,'Table S3 Literature Values'!$A$10:$A$10000,0)+2,L$1)</f>
        <v>0</v>
      </c>
      <c r="N69" s="501">
        <f>IF(VLOOKUP($C69,'Table S3 Literature Values'!$A$10:$AV$10000,N$1,FALSE)=0,VLOOKUP($C69,'Table S9 Model Derived Values'!$A$10:$AV$10000,N$1,FALSE),VLOOKUP($C69,'Table S3 Literature Values'!$A$10:$AV$10000,N$1,FALSE))</f>
        <v>65.7</v>
      </c>
      <c r="O69" s="61">
        <f>IF(INDEX('Table S3 Literature Values'!$A$10:$AV$10000,MATCH($C69,'Table S3 Literature Values'!$A$10:$A$10000,0)+1,O$1)=0,INDEX('Table S9 Model Derived Values'!$A$10:$AV$10000,MATCH($C69,'Table S9 Model Derived Values'!$A$10:$A$10000,0)+1,O$1),INDEX('Table S3 Literature Values'!$A$10:$AV$10000,MATCH($C69,'Table S3 Literature Values'!$A$10:$A$10000,0)+1,O$1))</f>
        <v>4.1626261043644135</v>
      </c>
      <c r="P69" s="63">
        <f>INDEX('Table S3 Literature Values'!$A$10:$AV$10000,MATCH($C69,'Table S3 Literature Values'!$A$10:$A$10000,0)+2,O$1)</f>
        <v>1</v>
      </c>
      <c r="Q69" s="501">
        <f>IF(VLOOKUP($C69,'Table S3 Literature Values'!$A$10:$AV$10000,Q$1,FALSE)=0,VLOOKUP($C69,'Table S9 Model Derived Values'!$A$10:$AV$10000,Q$1,FALSE),VLOOKUP($C69,'Table S3 Literature Values'!$A$10:$AV$10000,Q$1,FALSE))</f>
        <v>62.918134400000007</v>
      </c>
      <c r="R69" s="61">
        <f>IF(INDEX('Table S3 Literature Values'!$A$10:$AV$10000,MATCH($C69,'Table S3 Literature Values'!$A$10:$A$10000,0)+1,R$1)=0,INDEX('Table S9 Model Derived Values'!$A$10:$AV$10000,MATCH($C69,'Table S9 Model Derived Values'!$A$10:$A$10000,0)+1,R$1),INDEX('Table S3 Literature Values'!$A$10:$AV$10000,MATCH($C69,'Table S3 Literature Values'!$A$10:$A$10000,0)+1,R$1))</f>
        <v>11.795199737833601</v>
      </c>
      <c r="S69" s="63">
        <f>INDEX('Table S3 Literature Values'!$A$10:$AV$10000,MATCH($C69,'Table S3 Literature Values'!$A$10:$A$10000,0)+2,R$1)</f>
        <v>0</v>
      </c>
      <c r="T69" s="501">
        <f>IF(VLOOKUP($C69,'Table S3 Literature Values'!$A$10:$AV$10000,T$1,FALSE)=0,VLOOKUP($C69,'Table S9 Model Derived Values'!$A$10:$AV$10000,T$1,FALSE),VLOOKUP($C69,'Table S3 Literature Values'!$A$10:$AV$10000,T$1,FALSE))</f>
        <v>-4.7459759999999971</v>
      </c>
      <c r="U69" s="61">
        <f>IF(INDEX('Table S3 Literature Values'!$A$10:$AV$10000,MATCH($C69,'Table S3 Literature Values'!$A$10:$A$10000,0)+1,U$1)=0,INDEX('Table S9 Model Derived Values'!$A$10:$AV$10000,MATCH($C69,'Table S9 Model Derived Values'!$A$10:$A$10000,0)+1,U$1),INDEX('Table S3 Literature Values'!$A$10:$AV$10000,MATCH($C69,'Table S3 Literature Values'!$A$10:$A$10000,0)+1,U$1))</f>
        <v>1.9468617541475512</v>
      </c>
      <c r="V69" s="63">
        <f>INDEX('Table S3 Literature Values'!$A$10:$AV$10000,MATCH($C69,'Table S3 Literature Values'!$A$10:$A$10000,0)+2,U$1)</f>
        <v>0</v>
      </c>
      <c r="W69" s="501">
        <f>IF(VLOOKUP($C69,'Table S3 Literature Values'!$A$10:$AV$10000,W$1,FALSE)=0,VLOOKUP($C69,'Table S9 Model Derived Values'!$A$10:$AV$10000,W$1,FALSE),VLOOKUP($C69,'Table S3 Literature Values'!$A$10:$AV$10000,W$1,FALSE))</f>
        <v>7.4756656115367477</v>
      </c>
      <c r="X69" s="61">
        <f>IF(INDEX('Table S3 Literature Values'!$A$10:$AV$10000,MATCH($C69,'Table S3 Literature Values'!$A$10:$A$10000,0)+1,X$1)=0,INDEX('Table S9 Model Derived Values'!$A$10:$AV$10000,MATCH($C69,'Table S9 Model Derived Values'!$A$10:$A$10000,0)+1,X$1),INDEX('Table S3 Literature Values'!$A$10:$AV$10000,MATCH($C69,'Table S3 Literature Values'!$A$10:$A$10000,0)+1,X$1))</f>
        <v>0.19248207825656016</v>
      </c>
      <c r="Y69" s="63">
        <f>INDEX('Table S3 Literature Values'!$A$10:$AV$10000,MATCH($C69,'Table S3 Literature Values'!$A$10:$A$10000,0)+2,X$1)</f>
        <v>1</v>
      </c>
      <c r="Z69" s="501">
        <f>IF(VLOOKUP($C69,'Table S3 Literature Values'!$A$10:$AV$10000,Z$1,FALSE)=0,VLOOKUP($C69,'Table S9 Model Derived Values'!$A$10:$AV$10000,Z$1,FALSE),VLOOKUP($C69,'Table S3 Literature Values'!$A$10:$AV$10000,Z$1,FALSE))</f>
        <v>3.2034298799999998</v>
      </c>
      <c r="AA69" s="61">
        <f>IF(INDEX('Table S3 Literature Values'!$A$10:$AV$10000,MATCH($C69,'Table S3 Literature Values'!$A$10:$A$10000,0)+1,AA$1)=0,INDEX('Table S9 Model Derived Values'!$A$10:$AV$10000,MATCH($C69,'Table S9 Model Derived Values'!$A$10:$A$10000,0)+1,AA$1),INDEX('Table S3 Literature Values'!$A$10:$AV$10000,MATCH($C69,'Table S3 Literature Values'!$A$10:$A$10000,0)+1,AA$1))</f>
        <v>0.47526085699679993</v>
      </c>
      <c r="AB69" s="63">
        <f>INDEX('Table S3 Literature Values'!$A$10:$AV$10000,MATCH($C69,'Table S3 Literature Values'!$A$10:$A$10000,0)+2,AA$1)</f>
        <v>0</v>
      </c>
      <c r="AC69" s="501">
        <f>IF(VLOOKUP($C69,'Table S3 Literature Values'!$A$10:$AV$10000,AC$1,FALSE)=0,VLOOKUP($C69,'Table S9 Model Derived Values'!$A$10:$AV$10000,AC$1,FALSE),VLOOKUP($C69,'Table S3 Literature Values'!$A$10:$AV$10000,AC$1,FALSE))</f>
        <v>-4.6116239999999991</v>
      </c>
      <c r="AD69" s="61">
        <f>IF(INDEX('Table S3 Literature Values'!$A$10:$AV$10000,MATCH($C69,'Table S3 Literature Values'!$A$10:$A$10000,0)+1,AD$1)=0,INDEX('Table S9 Model Derived Values'!$A$10:$AV$10000,MATCH($C69,'Table S9 Model Derived Values'!$A$10:$A$10000,0)+1,AD$1),INDEX('Table S3 Literature Values'!$A$10:$AV$10000,MATCH($C69,'Table S3 Literature Values'!$A$10:$A$10000,0)+1,AD$1))</f>
        <v>0.9705992800319998</v>
      </c>
      <c r="AE69" s="63">
        <f>INDEX('Table S3 Literature Values'!$A$10:$AV$10000,MATCH($C69,'Table S3 Literature Values'!$A$10:$A$10000,0)+2,AD$1)</f>
        <v>0</v>
      </c>
      <c r="AF69" s="501">
        <f>IF(VLOOKUP($C69,'Table S3 Literature Values'!$A$10:$AV$10000,AF$1,FALSE)=0,VLOOKUP($C69,'Table S9 Model Derived Values'!$A$10:$AV$10000,AF$1,FALSE),VLOOKUP($C69,'Table S3 Literature Values'!$A$10:$AV$10000,AF$1,FALSE))</f>
        <v>-0.83534495289423183</v>
      </c>
      <c r="AG69" s="61">
        <f>IF(INDEX('Table S3 Literature Values'!$A$10:$AV$10000,MATCH($C69,'Table S3 Literature Values'!$A$10:$A$10000,0)+1,AG$1)=0,INDEX('Table S9 Model Derived Values'!$A$10:$AV$10000,MATCH($C69,'Table S9 Model Derived Values'!$A$10:$A$10000,0)+1,AG$1),INDEX('Table S3 Literature Values'!$A$10:$AV$10000,MATCH($C69,'Table S3 Literature Values'!$A$10:$A$10000,0)+1,AG$1))</f>
        <v>0.13253948571337032</v>
      </c>
      <c r="AH69" s="63">
        <f>INDEX('Table S3 Literature Values'!$A$10:$AV$10000,MATCH($C69,'Table S3 Literature Values'!$A$10:$A$10000,0)+2,AG$1)</f>
        <v>1</v>
      </c>
      <c r="AI69" s="501">
        <f>IF(VLOOKUP($C69,'Table S3 Literature Values'!$A$10:$AV$10000,AI$1,FALSE)=0,VLOOKUP($C69,'Table S9 Model Derived Values'!$A$10:$AV$10000,AI$1,FALSE),VLOOKUP($C69,'Table S3 Literature Values'!$A$10:$AV$10000,AI$1,FALSE))</f>
        <v>0.20717968999999953</v>
      </c>
      <c r="AJ69" s="61">
        <f>IF(INDEX('Table S3 Literature Values'!$A$10:$AV$10000,MATCH($C69,'Table S3 Literature Values'!$A$10:$A$10000,0)+1,AJ$1)=0,INDEX('Table S9 Model Derived Values'!$A$10:$AV$10000,MATCH($C69,'Table S9 Model Derived Values'!$A$10:$A$10000,0)+1,AJ$1),INDEX('Table S3 Literature Values'!$A$10:$AV$10000,MATCH($C69,'Table S3 Literature Values'!$A$10:$A$10000,0)+1,AJ$1))</f>
        <v>6.2769437858989849E-2</v>
      </c>
      <c r="AK69" s="63">
        <f>INDEX('Table S3 Literature Values'!$A$10:$AV$10000,MATCH($C69,'Table S3 Literature Values'!$A$10:$A$10000,0)+2,AJ$1)</f>
        <v>0</v>
      </c>
      <c r="AL69" s="501">
        <f>IF(VLOOKUP($C69,'Table S3 Literature Values'!$A$10:$AV$10000,AL$1,FALSE)=0,VLOOKUP($C69,'Table S9 Model Derived Values'!$A$10:$AV$10000,AL$1,FALSE),VLOOKUP($C69,'Table S3 Literature Values'!$A$10:$AV$10000,AL$1,FALSE))</f>
        <v>2.3943827999999989</v>
      </c>
      <c r="AM69" s="61">
        <f>IF(INDEX('Table S3 Literature Values'!$A$10:$AV$10000,MATCH($C69,'Table S3 Literature Values'!$A$10:$A$10000,0)+1,AM$1)=0,INDEX('Table S9 Model Derived Values'!$A$10:$AV$10000,MATCH($C69,'Table S9 Model Derived Values'!$A$10:$A$10000,0)+1,AM$1),INDEX('Table S3 Literature Values'!$A$10:$AV$10000,MATCH($C69,'Table S3 Literature Values'!$A$10:$A$10000,0)+1,AM$1))</f>
        <v>0.43273919782679982</v>
      </c>
      <c r="AN69" s="63">
        <f>INDEX('Table S3 Literature Values'!$A$10:$AV$10000,MATCH($C69,'Table S3 Literature Values'!$A$10:$A$10000,0)+2,AM$1)</f>
        <v>0</v>
      </c>
      <c r="AO69" s="501">
        <f>IF(VLOOKUP($C69,'Table S3 Literature Values'!$A$10:$AV$10000,AO$1,FALSE)=0,VLOOKUP($C69,'Table S9 Model Derived Values'!$A$10:$AV$10000,AO$1,FALSE),VLOOKUP($C69,'Table S3 Literature Values'!$A$10:$AV$10000,AO$1,FALSE))</f>
        <v>0</v>
      </c>
      <c r="AP69" s="61">
        <f>IF(INDEX('Table S3 Literature Values'!$A$10:$AV$10000,MATCH($C69,'Table S3 Literature Values'!$A$10:$A$10000,0)+1,AP$1)=0,INDEX('Table S9 Model Derived Values'!$A$10:$AV$10000,MATCH($C69,'Table S9 Model Derived Values'!$A$10:$A$10000,0)+1,AP$1),INDEX('Table S3 Literature Values'!$A$10:$AV$10000,MATCH($C69,'Table S3 Literature Values'!$A$10:$A$10000,0)+1,AP$1))</f>
        <v>0</v>
      </c>
      <c r="AQ69" s="63">
        <f>INDEX('Table S3 Literature Values'!$A$10:$AV$10000,MATCH($C69,'Table S3 Literature Values'!$A$10:$A$10000,0)+2,AP$1)</f>
        <v>0</v>
      </c>
      <c r="AR69" s="501">
        <f>IF(VLOOKUP($C69,'Table S3 Literature Values'!$A$10:$AV$10000,AR$1,FALSE)=0,VLOOKUP($C69,'Table S9 Model Derived Values'!$A$10:$AV$10000,AR$1,FALSE),VLOOKUP($C69,'Table S3 Literature Values'!$A$10:$AV$10000,AR$1,FALSE))</f>
        <v>51.5</v>
      </c>
      <c r="AS69" s="61">
        <f>IF(INDEX('Table S3 Literature Values'!$A$10:$AV$10000,MATCH($C69,'Table S3 Literature Values'!$A$10:$A$10000,0)+1,AS$1)=0,INDEX('Table S9 Model Derived Values'!$A$10:$AV$10000,MATCH($C69,'Table S9 Model Derived Values'!$A$10:$A$10000,0)+1,AS$1),INDEX('Table S3 Literature Values'!$A$10:$AV$10000,MATCH($C69,'Table S3 Literature Values'!$A$10:$A$10000,0)+1,AS$1))</f>
        <v>2.1213203435596424</v>
      </c>
      <c r="AT69" s="63">
        <f>INDEX('Table S3 Literature Values'!$A$10:$AV$10000,MATCH($C69,'Table S3 Literature Values'!$A$10:$A$10000,0)+2,AS$1)</f>
        <v>1</v>
      </c>
    </row>
    <row r="70" spans="1:46">
      <c r="A70" t="str">
        <f>'Table S2 Compound Identifiers'!C75</f>
        <v>UV Filter</v>
      </c>
      <c r="B70">
        <f>COUNTIF($C$3:C70,"&lt;&gt;"&amp;"")</f>
        <v>68</v>
      </c>
      <c r="C70" t="str">
        <f>IF('Table S2 Compound Identifiers'!B75="","",'Table S2 Compound Identifiers'!B75)</f>
        <v>Oxybenzone</v>
      </c>
      <c r="D70" t="str">
        <f>'Table S2 Compound Identifiers'!D75</f>
        <v>131-57-7</v>
      </c>
      <c r="E70" s="501">
        <f>IF(VLOOKUP($C70,'Table S3 Literature Values'!$A$10:$AV$10000,E$1,FALSE)=0,VLOOKUP($C70,'Table S9 Model Derived Values'!$A$10:$AV$10000,E$1,FALSE),VLOOKUP($C70,'Table S3 Literature Values'!$A$10:$AV$10000,E$1,FALSE))</f>
        <v>79.976666666666674</v>
      </c>
      <c r="F70" s="61">
        <f>IF(INDEX('Table S3 Literature Values'!$A$10:$AV$10000,MATCH($C70,'Table S3 Literature Values'!$A$10:$A$10000,0)+1,F$1)=0,INDEX('Table S9 Model Derived Values'!$A$10:$AV$10000,MATCH($C70,'Table S9 Model Derived Values'!$A$10:$A$10000,0)+1,F$1),INDEX('Table S3 Literature Values'!$A$10:$AV$10000,MATCH($C70,'Table S3 Literature Values'!$A$10:$A$10000,0)+1,F$1))</f>
        <v>7.7949748770174621</v>
      </c>
      <c r="G70" s="63">
        <f>INDEX('Table S3 Literature Values'!$A$10:$AV$10000,MATCH($C70,'Table S3 Literature Values'!$A$10:$A$10000,0)+2,F$1)</f>
        <v>3</v>
      </c>
      <c r="H70" s="501">
        <f>IF(VLOOKUP($C70,'Table S3 Literature Values'!$A$10:$AV$10000,H$1,FALSE)=0,VLOOKUP($C70,'Table S9 Model Derived Values'!$A$10:$AV$10000,H$1,FALSE),VLOOKUP($C70,'Table S3 Literature Values'!$A$10:$AV$10000,H$1,FALSE))</f>
        <v>12.407421093848001</v>
      </c>
      <c r="I70" s="61">
        <f>IF(INDEX('Table S3 Literature Values'!$A$10:$AV$10000,MATCH($C70,'Table S3 Literature Values'!$A$10:$A$10000,0)+1,I$1)=0,INDEX('Table S9 Model Derived Values'!$A$10:$AV$10000,MATCH($C70,'Table S9 Model Derived Values'!$A$10:$A$10000,0)+1,I$1),INDEX('Table S3 Literature Values'!$A$10:$AV$10000,MATCH($C70,'Table S3 Literature Values'!$A$10:$A$10000,0)+1,I$1))</f>
        <v>17.404882162028098</v>
      </c>
      <c r="J70" s="63">
        <f>INDEX('Table S3 Literature Values'!$A$10:$AV$10000,MATCH($C70,'Table S3 Literature Values'!$A$10:$A$10000,0)+2,I$1)</f>
        <v>0</v>
      </c>
      <c r="K70" s="501">
        <f>IF(VLOOKUP($C70,'Table S3 Literature Values'!$A$10:$AV$10000,K$1,FALSE)=0,VLOOKUP($C70,'Table S9 Model Derived Values'!$A$10:$AV$10000,K$1,FALSE),VLOOKUP($C70,'Table S3 Literature Values'!$A$10:$AV$10000,K$1,FALSE))</f>
        <v>0</v>
      </c>
      <c r="L70" s="61">
        <f>IF(INDEX('Table S3 Literature Values'!$A$10:$AV$10000,MATCH($C70,'Table S3 Literature Values'!$A$10:$A$10000,0)+1,L$1)=0,INDEX('Table S9 Model Derived Values'!$A$10:$AV$10000,MATCH($C70,'Table S9 Model Derived Values'!$A$10:$A$10000,0)+1,L$1),INDEX('Table S3 Literature Values'!$A$10:$AV$10000,MATCH($C70,'Table S3 Literature Values'!$A$10:$A$10000,0)+1,L$1))</f>
        <v>0</v>
      </c>
      <c r="M70" s="63">
        <f>INDEX('Table S3 Literature Values'!$A$10:$AV$10000,MATCH($C70,'Table S3 Literature Values'!$A$10:$A$10000,0)+2,L$1)</f>
        <v>0</v>
      </c>
      <c r="N70" s="501">
        <f>IF(VLOOKUP($C70,'Table S3 Literature Values'!$A$10:$AV$10000,N$1,FALSE)=0,VLOOKUP($C70,'Table S9 Model Derived Values'!$A$10:$AV$10000,N$1,FALSE),VLOOKUP($C70,'Table S3 Literature Values'!$A$10:$AV$10000,N$1,FALSE))</f>
        <v>75.3</v>
      </c>
      <c r="O70" s="61">
        <f>IF(INDEX('Table S3 Literature Values'!$A$10:$AV$10000,MATCH($C70,'Table S3 Literature Values'!$A$10:$A$10000,0)+1,O$1)=0,INDEX('Table S9 Model Derived Values'!$A$10:$AV$10000,MATCH($C70,'Table S9 Model Derived Values'!$A$10:$A$10000,0)+1,O$1),INDEX('Table S3 Literature Values'!$A$10:$AV$10000,MATCH($C70,'Table S3 Literature Values'!$A$10:$A$10000,0)+1,O$1))</f>
        <v>4.7708637086551038</v>
      </c>
      <c r="P70" s="63">
        <f>INDEX('Table S3 Literature Values'!$A$10:$AV$10000,MATCH($C70,'Table S3 Literature Values'!$A$10:$A$10000,0)+2,O$1)</f>
        <v>1</v>
      </c>
      <c r="Q70" s="501">
        <f>IF(VLOOKUP($C70,'Table S3 Literature Values'!$A$10:$AV$10000,Q$1,FALSE)=0,VLOOKUP($C70,'Table S9 Model Derived Values'!$A$10:$AV$10000,Q$1,FALSE),VLOOKUP($C70,'Table S3 Literature Values'!$A$10:$AV$10000,Q$1,FALSE))</f>
        <v>70.401418300000003</v>
      </c>
      <c r="R70" s="61">
        <f>IF(INDEX('Table S3 Literature Values'!$A$10:$AV$10000,MATCH($C70,'Table S3 Literature Values'!$A$10:$A$10000,0)+1,R$1)=0,INDEX('Table S9 Model Derived Values'!$A$10:$AV$10000,MATCH($C70,'Table S9 Model Derived Values'!$A$10:$A$10000,0)+1,R$1),INDEX('Table S3 Literature Values'!$A$10:$AV$10000,MATCH($C70,'Table S3 Literature Values'!$A$10:$A$10000,0)+1,R$1))</f>
        <v>13.1980834872827</v>
      </c>
      <c r="S70" s="63">
        <f>INDEX('Table S3 Literature Values'!$A$10:$AV$10000,MATCH($C70,'Table S3 Literature Values'!$A$10:$A$10000,0)+2,R$1)</f>
        <v>0</v>
      </c>
      <c r="T70" s="501">
        <f>IF(VLOOKUP($C70,'Table S3 Literature Values'!$A$10:$AV$10000,T$1,FALSE)=0,VLOOKUP($C70,'Table S9 Model Derived Values'!$A$10:$AV$10000,T$1,FALSE),VLOOKUP($C70,'Table S3 Literature Values'!$A$10:$AV$10000,T$1,FALSE))</f>
        <v>-11.785092000000001</v>
      </c>
      <c r="U70" s="61">
        <f>IF(INDEX('Table S3 Literature Values'!$A$10:$AV$10000,MATCH($C70,'Table S3 Literature Values'!$A$10:$A$10000,0)+1,U$1)=0,INDEX('Table S9 Model Derived Values'!$A$10:$AV$10000,MATCH($C70,'Table S9 Model Derived Values'!$A$10:$A$10000,0)+1,U$1),INDEX('Table S3 Literature Values'!$A$10:$AV$10000,MATCH($C70,'Table S3 Literature Values'!$A$10:$A$10000,0)+1,U$1))</f>
        <v>4.8343996859466394</v>
      </c>
      <c r="V70" s="63">
        <f>INDEX('Table S3 Literature Values'!$A$10:$AV$10000,MATCH($C70,'Table S3 Literature Values'!$A$10:$A$10000,0)+2,U$1)</f>
        <v>0</v>
      </c>
      <c r="W70" s="501">
        <f>IF(VLOOKUP($C70,'Table S3 Literature Values'!$A$10:$AV$10000,W$1,FALSE)=0,VLOOKUP($C70,'Table S9 Model Derived Values'!$A$10:$AV$10000,W$1,FALSE),VLOOKUP($C70,'Table S3 Literature Values'!$A$10:$AV$10000,W$1,FALSE))</f>
        <v>9.062289783061221</v>
      </c>
      <c r="X70" s="61">
        <f>IF(INDEX('Table S3 Literature Values'!$A$10:$AV$10000,MATCH($C70,'Table S3 Literature Values'!$A$10:$A$10000,0)+1,X$1)=0,INDEX('Table S9 Model Derived Values'!$A$10:$AV$10000,MATCH($C70,'Table S9 Model Derived Values'!$A$10:$A$10000,0)+1,X$1),INDEX('Table S3 Literature Values'!$A$10:$AV$10000,MATCH($C70,'Table S3 Literature Values'!$A$10:$A$10000,0)+1,X$1))</f>
        <v>0.23333418879984386</v>
      </c>
      <c r="Y70" s="63">
        <f>INDEX('Table S3 Literature Values'!$A$10:$AV$10000,MATCH($C70,'Table S3 Literature Values'!$A$10:$A$10000,0)+2,X$1)</f>
        <v>1</v>
      </c>
      <c r="Z70" s="501">
        <f>IF(VLOOKUP($C70,'Table S3 Literature Values'!$A$10:$AV$10000,Z$1,FALSE)=0,VLOOKUP($C70,'Table S9 Model Derived Values'!$A$10:$AV$10000,Z$1,FALSE),VLOOKUP($C70,'Table S3 Literature Values'!$A$10:$AV$10000,Z$1,FALSE))</f>
        <v>3.4536576318955827</v>
      </c>
      <c r="AA70" s="61">
        <f>IF(INDEX('Table S3 Literature Values'!$A$10:$AV$10000,MATCH($C70,'Table S3 Literature Values'!$A$10:$A$10000,0)+1,AA$1)=0,INDEX('Table S9 Model Derived Values'!$A$10:$AV$10000,MATCH($C70,'Table S9 Model Derived Values'!$A$10:$A$10000,0)+1,AA$1),INDEX('Table S3 Literature Values'!$A$10:$AV$10000,MATCH($C70,'Table S3 Literature Values'!$A$10:$A$10000,0)+1,AA$1))</f>
        <v>0.12659127947609147</v>
      </c>
      <c r="AB70" s="63">
        <f>INDEX('Table S3 Literature Values'!$A$10:$AV$10000,MATCH($C70,'Table S3 Literature Values'!$A$10:$A$10000,0)+2,AA$1)</f>
        <v>3</v>
      </c>
      <c r="AC70" s="501">
        <f>IF(VLOOKUP($C70,'Table S3 Literature Values'!$A$10:$AV$10000,AC$1,FALSE)=0,VLOOKUP($C70,'Table S9 Model Derived Values'!$A$10:$AV$10000,AC$1,FALSE),VLOOKUP($C70,'Table S3 Literature Values'!$A$10:$AV$10000,AC$1,FALSE))</f>
        <v>-4.6387730000000005</v>
      </c>
      <c r="AD70" s="61">
        <f>IF(INDEX('Table S3 Literature Values'!$A$10:$AV$10000,MATCH($C70,'Table S3 Literature Values'!$A$10:$A$10000,0)+1,AD$1)=0,INDEX('Table S9 Model Derived Values'!$A$10:$AV$10000,MATCH($C70,'Table S9 Model Derived Values'!$A$10:$A$10000,0)+1,AD$1),INDEX('Table S3 Literature Values'!$A$10:$AV$10000,MATCH($C70,'Table S3 Literature Values'!$A$10:$A$10000,0)+1,AD$1))</f>
        <v>0.97631327576400007</v>
      </c>
      <c r="AE70" s="63">
        <f>INDEX('Table S3 Literature Values'!$A$10:$AV$10000,MATCH($C70,'Table S3 Literature Values'!$A$10:$A$10000,0)+2,AD$1)</f>
        <v>0</v>
      </c>
      <c r="AF70" s="501">
        <f>IF(VLOOKUP($C70,'Table S3 Literature Values'!$A$10:$AV$10000,AF$1,FALSE)=0,VLOOKUP($C70,'Table S9 Model Derived Values'!$A$10:$AV$10000,AF$1,FALSE),VLOOKUP($C70,'Table S3 Literature Values'!$A$10:$AV$10000,AF$1,FALSE))</f>
        <v>-2.4901757792294523</v>
      </c>
      <c r="AG70" s="61">
        <f>IF(INDEX('Table S3 Literature Values'!$A$10:$AV$10000,MATCH($C70,'Table S3 Literature Values'!$A$10:$A$10000,0)+1,AG$1)=0,INDEX('Table S9 Model Derived Values'!$A$10:$AV$10000,MATCH($C70,'Table S9 Model Derived Values'!$A$10:$A$10000,0)+1,AG$1),INDEX('Table S3 Literature Values'!$A$10:$AV$10000,MATCH($C70,'Table S3 Literature Values'!$A$10:$A$10000,0)+1,AG$1))</f>
        <v>0.15804862177910686</v>
      </c>
      <c r="AH70" s="63">
        <f>INDEX('Table S3 Literature Values'!$A$10:$AV$10000,MATCH($C70,'Table S3 Literature Values'!$A$10:$A$10000,0)+2,AG$1)</f>
        <v>3</v>
      </c>
      <c r="AI70" s="501">
        <f ca="1">IF(VLOOKUP($C70,'Table S3 Literature Values'!$A$10:$AV$10000,AI$1,FALSE)=0,VLOOKUP($C70,'Table S9 Model Derived Values'!$A$10:$AV$10000,AI$1,FALSE),VLOOKUP($C70,'Table S3 Literature Values'!$A$10:$AV$10000,AI$1,FALSE))</f>
        <v>-0.99160050980834902</v>
      </c>
      <c r="AJ70" s="61">
        <f ca="1">IF(INDEX('Table S3 Literature Values'!$A$10:$AV$10000,MATCH($C70,'Table S3 Literature Values'!$A$10:$A$10000,0)+1,AJ$1)=0,INDEX('Table S9 Model Derived Values'!$A$10:$AV$10000,MATCH($C70,'Table S9 Model Derived Values'!$A$10:$A$10000,0)+1,AJ$1),INDEX('Table S3 Literature Values'!$A$10:$AV$10000,MATCH($C70,'Table S3 Literature Values'!$A$10:$A$10000,0)+1,AJ$1))</f>
        <v>0.18611663456422731</v>
      </c>
      <c r="AK70" s="63">
        <f ca="1">INDEX('Table S3 Literature Values'!$A$10:$AV$10000,MATCH($C70,'Table S3 Literature Values'!$A$10:$A$10000,0)+2,AJ$1)</f>
        <v>2</v>
      </c>
      <c r="AL70" s="501">
        <f>IF(VLOOKUP($C70,'Table S3 Literature Values'!$A$10:$AV$10000,AL$1,FALSE)=0,VLOOKUP($C70,'Table S9 Model Derived Values'!$A$10:$AV$10000,AL$1,FALSE),VLOOKUP($C70,'Table S3 Literature Values'!$A$10:$AV$10000,AL$1,FALSE))</f>
        <v>2.4676880999999993</v>
      </c>
      <c r="AM70" s="61">
        <f>IF(INDEX('Table S3 Literature Values'!$A$10:$AV$10000,MATCH($C70,'Table S3 Literature Values'!$A$10:$A$10000,0)+1,AM$1)=0,INDEX('Table S9 Model Derived Values'!$A$10:$AV$10000,MATCH($C70,'Table S9 Model Derived Values'!$A$10:$A$10000,0)+1,AM$1),INDEX('Table S3 Literature Values'!$A$10:$AV$10000,MATCH($C70,'Table S3 Literature Values'!$A$10:$A$10000,0)+1,AM$1))</f>
        <v>0.44598773800109986</v>
      </c>
      <c r="AN70" s="63">
        <f>INDEX('Table S3 Literature Values'!$A$10:$AV$10000,MATCH($C70,'Table S3 Literature Values'!$A$10:$A$10000,0)+2,AM$1)</f>
        <v>0</v>
      </c>
      <c r="AO70" s="501">
        <f>IF(VLOOKUP($C70,'Table S3 Literature Values'!$A$10:$AV$10000,AO$1,FALSE)=0,VLOOKUP($C70,'Table S9 Model Derived Values'!$A$10:$AV$10000,AO$1,FALSE),VLOOKUP($C70,'Table S3 Literature Values'!$A$10:$AV$10000,AO$1,FALSE))</f>
        <v>64.656964656964661</v>
      </c>
      <c r="AP70" s="61">
        <f>IF(INDEX('Table S3 Literature Values'!$A$10:$AV$10000,MATCH($C70,'Table S3 Literature Values'!$A$10:$A$10000,0)+1,AP$1)=0,INDEX('Table S9 Model Derived Values'!$A$10:$AV$10000,MATCH($C70,'Table S9 Model Derived Values'!$A$10:$A$10000,0)+1,AP$1),INDEX('Table S3 Literature Values'!$A$10:$AV$10000,MATCH($C70,'Table S3 Literature Values'!$A$10:$A$10000,0)+1,AP$1))</f>
        <v>5.096237773624499</v>
      </c>
      <c r="AQ70" s="63">
        <f>INDEX('Table S3 Literature Values'!$A$10:$AV$10000,MATCH($C70,'Table S3 Literature Values'!$A$10:$A$10000,0)+2,AP$1)</f>
        <v>1</v>
      </c>
      <c r="AR70" s="501">
        <f>IF(VLOOKUP($C70,'Table S3 Literature Values'!$A$10:$AV$10000,AR$1,FALSE)=0,VLOOKUP($C70,'Table S9 Model Derived Values'!$A$10:$AV$10000,AR$1,FALSE),VLOOKUP($C70,'Table S3 Literature Values'!$A$10:$AV$10000,AR$1,FALSE))</f>
        <v>63.741666666666667</v>
      </c>
      <c r="AS70" s="61">
        <f>IF(INDEX('Table S3 Literature Values'!$A$10:$AV$10000,MATCH($C70,'Table S3 Literature Values'!$A$10:$A$10000,0)+1,AS$1)=0,INDEX('Table S9 Model Derived Values'!$A$10:$AV$10000,MATCH($C70,'Table S9 Model Derived Values'!$A$10:$A$10000,0)+1,AS$1),INDEX('Table S3 Literature Values'!$A$10:$AV$10000,MATCH($C70,'Table S3 Literature Values'!$A$10:$A$10000,0)+1,AS$1))</f>
        <v>0.94995613933837286</v>
      </c>
      <c r="AT70" s="63">
        <f>INDEX('Table S3 Literature Values'!$A$10:$AV$10000,MATCH($C70,'Table S3 Literature Values'!$A$10:$A$10000,0)+2,AS$1)</f>
        <v>6</v>
      </c>
    </row>
    <row r="71" spans="1:46">
      <c r="A71" t="str">
        <f>'Table S2 Compound Identifiers'!C76</f>
        <v>UV Filter</v>
      </c>
      <c r="B71">
        <f>COUNTIF($C$3:C71,"&lt;&gt;"&amp;"")</f>
        <v>69</v>
      </c>
      <c r="C71" t="str">
        <f>IF('Table S2 Compound Identifiers'!B76="","",'Table S2 Compound Identifiers'!B76)</f>
        <v>3-(4-methylbenzilidine) camphor</v>
      </c>
      <c r="D71" t="str">
        <f>'Table S2 Compound Identifiers'!D76</f>
        <v>36861-47-9</v>
      </c>
      <c r="E71" s="501">
        <f>IF(VLOOKUP($C71,'Table S3 Literature Values'!$A$10:$AV$10000,E$1,FALSE)=0,VLOOKUP($C71,'Table S9 Model Derived Values'!$A$10:$AV$10000,E$1,FALSE),VLOOKUP($C71,'Table S3 Literature Values'!$A$10:$AV$10000,E$1,FALSE))</f>
        <v>65.7</v>
      </c>
      <c r="F71" s="61">
        <f>IF(INDEX('Table S3 Literature Values'!$A$10:$AV$10000,MATCH($C71,'Table S3 Literature Values'!$A$10:$A$10000,0)+1,F$1)=0,INDEX('Table S9 Model Derived Values'!$A$10:$AV$10000,MATCH($C71,'Table S9 Model Derived Values'!$A$10:$A$10000,0)+1,F$1),INDEX('Table S3 Literature Values'!$A$10:$AV$10000,MATCH($C71,'Table S3 Literature Values'!$A$10:$A$10000,0)+1,F$1))</f>
        <v>4.688576593413174</v>
      </c>
      <c r="G71" s="63">
        <f>INDEX('Table S3 Literature Values'!$A$10:$AV$10000,MATCH($C71,'Table S3 Literature Values'!$A$10:$A$10000,0)+2,F$1)</f>
        <v>1</v>
      </c>
      <c r="H71" s="501">
        <f>IF(VLOOKUP($C71,'Table S3 Literature Values'!$A$10:$AV$10000,H$1,FALSE)=0,VLOOKUP($C71,'Table S9 Model Derived Values'!$A$10:$AV$10000,H$1,FALSE),VLOOKUP($C71,'Table S3 Literature Values'!$A$10:$AV$10000,H$1,FALSE))</f>
        <v>-2.362202987335948</v>
      </c>
      <c r="I71" s="61">
        <f>IF(INDEX('Table S3 Literature Values'!$A$10:$AV$10000,MATCH($C71,'Table S3 Literature Values'!$A$10:$A$10000,0)+1,I$1)=0,INDEX('Table S9 Model Derived Values'!$A$10:$AV$10000,MATCH($C71,'Table S9 Model Derived Values'!$A$10:$A$10000,0)+1,I$1),INDEX('Table S3 Literature Values'!$A$10:$AV$10000,MATCH($C71,'Table S3 Literature Values'!$A$10:$A$10000,0)+1,I$1))</f>
        <v>3.3136511065751209</v>
      </c>
      <c r="J71" s="63">
        <f>INDEX('Table S3 Literature Values'!$A$10:$AV$10000,MATCH($C71,'Table S3 Literature Values'!$A$10:$A$10000,0)+2,I$1)</f>
        <v>0</v>
      </c>
      <c r="K71" s="501">
        <f>IF(VLOOKUP($C71,'Table S3 Literature Values'!$A$10:$AV$10000,K$1,FALSE)=0,VLOOKUP($C71,'Table S9 Model Derived Values'!$A$10:$AV$10000,K$1,FALSE),VLOOKUP($C71,'Table S3 Literature Values'!$A$10:$AV$10000,K$1,FALSE))</f>
        <v>0</v>
      </c>
      <c r="L71" s="61">
        <f>IF(INDEX('Table S3 Literature Values'!$A$10:$AV$10000,MATCH($C71,'Table S3 Literature Values'!$A$10:$A$10000,0)+1,L$1)=0,INDEX('Table S9 Model Derived Values'!$A$10:$AV$10000,MATCH($C71,'Table S9 Model Derived Values'!$A$10:$A$10000,0)+1,L$1),INDEX('Table S3 Literature Values'!$A$10:$AV$10000,MATCH($C71,'Table S3 Literature Values'!$A$10:$A$10000,0)+1,L$1))</f>
        <v>0</v>
      </c>
      <c r="M71" s="63">
        <f>INDEX('Table S3 Literature Values'!$A$10:$AV$10000,MATCH($C71,'Table S3 Literature Values'!$A$10:$A$10000,0)+2,L$1)</f>
        <v>0</v>
      </c>
      <c r="N71" s="501">
        <f>IF(VLOOKUP($C71,'Table S3 Literature Values'!$A$10:$AV$10000,N$1,FALSE)=0,VLOOKUP($C71,'Table S9 Model Derived Values'!$A$10:$AV$10000,N$1,FALSE),VLOOKUP($C71,'Table S3 Literature Values'!$A$10:$AV$10000,N$1,FALSE))</f>
        <v>64.900000000000006</v>
      </c>
      <c r="O71" s="61">
        <f>IF(INDEX('Table S3 Literature Values'!$A$10:$AV$10000,MATCH($C71,'Table S3 Literature Values'!$A$10:$A$10000,0)+1,O$1)=0,INDEX('Table S9 Model Derived Values'!$A$10:$AV$10000,MATCH($C71,'Table S9 Model Derived Values'!$A$10:$A$10000,0)+1,O$1),INDEX('Table S3 Literature Values'!$A$10:$AV$10000,MATCH($C71,'Table S3 Literature Values'!$A$10:$A$10000,0)+1,O$1))</f>
        <v>4.11193963734019</v>
      </c>
      <c r="P71" s="63">
        <f>INDEX('Table S3 Literature Values'!$A$10:$AV$10000,MATCH($C71,'Table S3 Literature Values'!$A$10:$A$10000,0)+2,O$1)</f>
        <v>1</v>
      </c>
      <c r="Q71" s="501">
        <f>IF(VLOOKUP($C71,'Table S3 Literature Values'!$A$10:$AV$10000,Q$1,FALSE)=0,VLOOKUP($C71,'Table S9 Model Derived Values'!$A$10:$AV$10000,Q$1,FALSE),VLOOKUP($C71,'Table S3 Literature Values'!$A$10:$AV$10000,Q$1,FALSE))</f>
        <v>80.724194100000005</v>
      </c>
      <c r="R71" s="61">
        <f>IF(INDEX('Table S3 Literature Values'!$A$10:$AV$10000,MATCH($C71,'Table S3 Literature Values'!$A$10:$A$10000,0)+1,R$1)=0,INDEX('Table S9 Model Derived Values'!$A$10:$AV$10000,MATCH($C71,'Table S9 Model Derived Values'!$A$10:$A$10000,0)+1,R$1),INDEX('Table S3 Literature Values'!$A$10:$AV$10000,MATCH($C71,'Table S3 Literature Values'!$A$10:$A$10000,0)+1,R$1))</f>
        <v>15.1332839437329</v>
      </c>
      <c r="S71" s="63">
        <f>INDEX('Table S3 Literature Values'!$A$10:$AV$10000,MATCH($C71,'Table S3 Literature Values'!$A$10:$A$10000,0)+2,R$1)</f>
        <v>0</v>
      </c>
      <c r="T71" s="501">
        <f>IF(VLOOKUP($C71,'Table S3 Literature Values'!$A$10:$AV$10000,T$1,FALSE)=0,VLOOKUP($C71,'Table S9 Model Derived Values'!$A$10:$AV$10000,T$1,FALSE),VLOOKUP($C71,'Table S3 Literature Values'!$A$10:$AV$10000,T$1,FALSE))</f>
        <v>-7.3026040000000041</v>
      </c>
      <c r="U71" s="61">
        <f>IF(INDEX('Table S3 Literature Values'!$A$10:$AV$10000,MATCH($C71,'Table S3 Literature Values'!$A$10:$A$10000,0)+1,U$1)=0,INDEX('Table S9 Model Derived Values'!$A$10:$AV$10000,MATCH($C71,'Table S9 Model Derived Values'!$A$10:$A$10000,0)+1,U$1),INDEX('Table S3 Literature Values'!$A$10:$AV$10000,MATCH($C71,'Table S3 Literature Values'!$A$10:$A$10000,0)+1,U$1))</f>
        <v>2.9956241736757501</v>
      </c>
      <c r="V71" s="63">
        <f>INDEX('Table S3 Literature Values'!$A$10:$AV$10000,MATCH($C71,'Table S3 Literature Values'!$A$10:$A$10000,0)+2,U$1)</f>
        <v>0</v>
      </c>
      <c r="W71" s="501">
        <f>IF(VLOOKUP($C71,'Table S3 Literature Values'!$A$10:$AV$10000,W$1,FALSE)=0,VLOOKUP($C71,'Table S9 Model Derived Values'!$A$10:$AV$10000,W$1,FALSE),VLOOKUP($C71,'Table S3 Literature Values'!$A$10:$AV$10000,W$1,FALSE))</f>
        <v>8.5342489113816207</v>
      </c>
      <c r="X71" s="61">
        <f>IF(INDEX('Table S3 Literature Values'!$A$10:$AV$10000,MATCH($C71,'Table S3 Literature Values'!$A$10:$A$10000,0)+1,X$1)=0,INDEX('Table S9 Model Derived Values'!$A$10:$AV$10000,MATCH($C71,'Table S9 Model Derived Values'!$A$10:$A$10000,0)+1,X$1),INDEX('Table S3 Literature Values'!$A$10:$AV$10000,MATCH($C71,'Table S3 Literature Values'!$A$10:$A$10000,0)+1,X$1))</f>
        <v>0.21973828849252638</v>
      </c>
      <c r="Y71" s="63">
        <f>INDEX('Table S3 Literature Values'!$A$10:$AV$10000,MATCH($C71,'Table S3 Literature Values'!$A$10:$A$10000,0)+2,X$1)</f>
        <v>1</v>
      </c>
      <c r="Z71" s="501">
        <f ca="1">IF(VLOOKUP($C71,'Table S3 Literature Values'!$A$10:$AV$10000,Z$1,FALSE)=0,VLOOKUP($C71,'Table S9 Model Derived Values'!$A$10:$AV$10000,Z$1,FALSE),VLOOKUP($C71,'Table S3 Literature Values'!$A$10:$AV$10000,Z$1,FALSE))</f>
        <v>5.1021482939458087</v>
      </c>
      <c r="AA71" s="61">
        <f ca="1">IF(INDEX('Table S3 Literature Values'!$A$10:$AV$10000,MATCH($C71,'Table S3 Literature Values'!$A$10:$A$10000,0)+1,AA$1)=0,INDEX('Table S9 Model Derived Values'!$A$10:$AV$10000,MATCH($C71,'Table S9 Model Derived Values'!$A$10:$A$10000,0)+1,AA$1),INDEX('Table S3 Literature Values'!$A$10:$AV$10000,MATCH($C71,'Table S3 Literature Values'!$A$10:$A$10000,0)+1,AA$1))</f>
        <v>1.5306444881837427</v>
      </c>
      <c r="AB71" s="63">
        <f ca="1">INDEX('Table S3 Literature Values'!$A$10:$AV$10000,MATCH($C71,'Table S3 Literature Values'!$A$10:$A$10000,0)+2,AA$1)</f>
        <v>1</v>
      </c>
      <c r="AC71" s="501">
        <f>IF(VLOOKUP($C71,'Table S3 Literature Values'!$A$10:$AV$10000,AC$1,FALSE)=0,VLOOKUP($C71,'Table S9 Model Derived Values'!$A$10:$AV$10000,AC$1,FALSE),VLOOKUP($C71,'Table S3 Literature Values'!$A$10:$AV$10000,AC$1,FALSE))</f>
        <v>-3.1825809999999994</v>
      </c>
      <c r="AD71" s="61">
        <f>IF(INDEX('Table S3 Literature Values'!$A$10:$AV$10000,MATCH($C71,'Table S3 Literature Values'!$A$10:$A$10000,0)+1,AD$1)=0,INDEX('Table S9 Model Derived Values'!$A$10:$AV$10000,MATCH($C71,'Table S9 Model Derived Values'!$A$10:$A$10000,0)+1,AD$1),INDEX('Table S3 Literature Values'!$A$10:$AV$10000,MATCH($C71,'Table S3 Literature Values'!$A$10:$A$10000,0)+1,AD$1))</f>
        <v>0.66983145790799981</v>
      </c>
      <c r="AE71" s="63">
        <f>INDEX('Table S3 Literature Values'!$A$10:$AV$10000,MATCH($C71,'Table S3 Literature Values'!$A$10:$A$10000,0)+2,AD$1)</f>
        <v>0</v>
      </c>
      <c r="AF71" s="501">
        <f>IF(VLOOKUP($C71,'Table S3 Literature Values'!$A$10:$AV$10000,AF$1,FALSE)=0,VLOOKUP($C71,'Table S9 Model Derived Values'!$A$10:$AV$10000,AF$1,FALSE),VLOOKUP($C71,'Table S3 Literature Values'!$A$10:$AV$10000,AF$1,FALSE))</f>
        <v>-2.1437560717924429</v>
      </c>
      <c r="AG71" s="61">
        <f>IF(INDEX('Table S3 Literature Values'!$A$10:$AV$10000,MATCH($C71,'Table S3 Literature Values'!$A$10:$A$10000,0)+1,AG$1)=0,INDEX('Table S9 Model Derived Values'!$A$10:$AV$10000,MATCH($C71,'Table S9 Model Derived Values'!$A$10:$A$10000,0)+1,AG$1),INDEX('Table S3 Literature Values'!$A$10:$AV$10000,MATCH($C71,'Table S3 Literature Values'!$A$10:$A$10000,0)+1,AG$1))</f>
        <v>0.57534852774613077</v>
      </c>
      <c r="AH71" s="63">
        <f>INDEX('Table S3 Literature Values'!$A$10:$AV$10000,MATCH($C71,'Table S3 Literature Values'!$A$10:$A$10000,0)+2,AG$1)</f>
        <v>2</v>
      </c>
      <c r="AI71" s="501">
        <f ca="1">IF(VLOOKUP($C71,'Table S3 Literature Values'!$A$10:$AV$10000,AI$1,FALSE)=0,VLOOKUP($C71,'Table S9 Model Derived Values'!$A$10:$AV$10000,AI$1,FALSE),VLOOKUP($C71,'Table S3 Literature Values'!$A$10:$AV$10000,AI$1,FALSE))</f>
        <v>-1.9385377595649462</v>
      </c>
      <c r="AJ71" s="61">
        <f ca="1">IF(INDEX('Table S3 Literature Values'!$A$10:$AV$10000,MATCH($C71,'Table S3 Literature Values'!$A$10:$A$10000,0)+1,AJ$1)=0,INDEX('Table S9 Model Derived Values'!$A$10:$AV$10000,MATCH($C71,'Table S9 Model Derived Values'!$A$10:$A$10000,0)+1,AJ$1),INDEX('Table S3 Literature Values'!$A$10:$AV$10000,MATCH($C71,'Table S3 Literature Values'!$A$10:$A$10000,0)+1,AJ$1))</f>
        <v>0.23970908720513637</v>
      </c>
      <c r="AK71" s="63">
        <f ca="1">INDEX('Table S3 Literature Values'!$A$10:$AV$10000,MATCH($C71,'Table S3 Literature Values'!$A$10:$A$10000,0)+2,AJ$1)</f>
        <v>1</v>
      </c>
      <c r="AL71" s="501">
        <f>IF(VLOOKUP($C71,'Table S3 Literature Values'!$A$10:$AV$10000,AL$1,FALSE)=0,VLOOKUP($C71,'Table S9 Model Derived Values'!$A$10:$AV$10000,AL$1,FALSE),VLOOKUP($C71,'Table S3 Literature Values'!$A$10:$AV$10000,AL$1,FALSE))</f>
        <v>3.2429456999999982</v>
      </c>
      <c r="AM71" s="61">
        <f>IF(INDEX('Table S3 Literature Values'!$A$10:$AV$10000,MATCH($C71,'Table S3 Literature Values'!$A$10:$A$10000,0)+1,AM$1)=0,INDEX('Table S9 Model Derived Values'!$A$10:$AV$10000,MATCH($C71,'Table S9 Model Derived Values'!$A$10:$A$10000,0)+1,AM$1),INDEX('Table S3 Literature Values'!$A$10:$AV$10000,MATCH($C71,'Table S3 Literature Values'!$A$10:$A$10000,0)+1,AM$1))</f>
        <v>0.58610081930669966</v>
      </c>
      <c r="AN71" s="63">
        <f>INDEX('Table S3 Literature Values'!$A$10:$AV$10000,MATCH($C71,'Table S3 Literature Values'!$A$10:$A$10000,0)+2,AM$1)</f>
        <v>0</v>
      </c>
      <c r="AO71" s="501">
        <f>IF(VLOOKUP($C71,'Table S3 Literature Values'!$A$10:$AV$10000,AO$1,FALSE)=0,VLOOKUP($C71,'Table S9 Model Derived Values'!$A$10:$AV$10000,AO$1,FALSE),VLOOKUP($C71,'Table S3 Literature Values'!$A$10:$AV$10000,AO$1,FALSE))</f>
        <v>0</v>
      </c>
      <c r="AP71" s="61">
        <f>IF(INDEX('Table S3 Literature Values'!$A$10:$AV$10000,MATCH($C71,'Table S3 Literature Values'!$A$10:$A$10000,0)+1,AP$1)=0,INDEX('Table S9 Model Derived Values'!$A$10:$AV$10000,MATCH($C71,'Table S9 Model Derived Values'!$A$10:$A$10000,0)+1,AP$1),INDEX('Table S3 Literature Values'!$A$10:$AV$10000,MATCH($C71,'Table S3 Literature Values'!$A$10:$A$10000,0)+1,AP$1))</f>
        <v>0</v>
      </c>
      <c r="AQ71" s="63">
        <f>INDEX('Table S3 Literature Values'!$A$10:$AV$10000,MATCH($C71,'Table S3 Literature Values'!$A$10:$A$10000,0)+2,AP$1)</f>
        <v>0</v>
      </c>
      <c r="AR71" s="501">
        <f>IF(VLOOKUP($C71,'Table S3 Literature Values'!$A$10:$AV$10000,AR$1,FALSE)=0,VLOOKUP($C71,'Table S9 Model Derived Values'!$A$10:$AV$10000,AR$1,FALSE),VLOOKUP($C71,'Table S3 Literature Values'!$A$10:$AV$10000,AR$1,FALSE))</f>
        <v>70.400000000000006</v>
      </c>
      <c r="AS71" s="61">
        <f>IF(INDEX('Table S3 Literature Values'!$A$10:$AV$10000,MATCH($C71,'Table S3 Literature Values'!$A$10:$A$10000,0)+1,AS$1)=0,INDEX('Table S9 Model Derived Values'!$A$10:$AV$10000,MATCH($C71,'Table S9 Model Derived Values'!$A$10:$A$10000,0)+1,AS$1),INDEX('Table S3 Literature Values'!$A$10:$AV$10000,MATCH($C71,'Table S3 Literature Values'!$A$10:$A$10000,0)+1,AS$1))</f>
        <v>3.2500664900723866</v>
      </c>
      <c r="AT71" s="63">
        <f>INDEX('Table S3 Literature Values'!$A$10:$AV$10000,MATCH($C71,'Table S3 Literature Values'!$A$10:$A$10000,0)+2,AS$1)</f>
        <v>1</v>
      </c>
    </row>
    <row r="72" spans="1:46">
      <c r="A72" t="str">
        <f>'Table S2 Compound Identifiers'!C77</f>
        <v>UV Filter</v>
      </c>
      <c r="B72">
        <f>COUNTIF($C$3:C72,"&lt;&gt;"&amp;"")</f>
        <v>70</v>
      </c>
      <c r="C72" t="str">
        <f>IF('Table S2 Compound Identifiers'!B77="","",'Table S2 Compound Identifiers'!B77)</f>
        <v>Homosolate</v>
      </c>
      <c r="D72" t="str">
        <f>'Table S2 Compound Identifiers'!D77</f>
        <v>‎118-56-9</v>
      </c>
      <c r="E72" s="501">
        <f>IF(VLOOKUP($C72,'Table S3 Literature Values'!$A$10:$AV$10000,E$1,FALSE)=0,VLOOKUP($C72,'Table S9 Model Derived Values'!$A$10:$AV$10000,E$1,FALSE),VLOOKUP($C72,'Table S3 Literature Values'!$A$10:$AV$10000,E$1,FALSE))</f>
        <v>95.3</v>
      </c>
      <c r="F72" s="61">
        <f>IF(INDEX('Table S3 Literature Values'!$A$10:$AV$10000,MATCH($C72,'Table S3 Literature Values'!$A$10:$A$10000,0)+1,F$1)=0,INDEX('Table S9 Model Derived Values'!$A$10:$AV$10000,MATCH($C72,'Table S9 Model Derived Values'!$A$10:$A$10000,0)+1,F$1),INDEX('Table S3 Literature Values'!$A$10:$AV$10000,MATCH($C72,'Table S3 Literature Values'!$A$10:$A$10000,0)+1,F$1))</f>
        <v>6.8009337800955159</v>
      </c>
      <c r="G72" s="63">
        <f>INDEX('Table S3 Literature Values'!$A$10:$AV$10000,MATCH($C72,'Table S3 Literature Values'!$A$10:$A$10000,0)+2,F$1)</f>
        <v>1</v>
      </c>
      <c r="H72" s="501">
        <f>IF(VLOOKUP($C72,'Table S3 Literature Values'!$A$10:$AV$10000,H$1,FALSE)=0,VLOOKUP($C72,'Table S9 Model Derived Values'!$A$10:$AV$10000,H$1,FALSE),VLOOKUP($C72,'Table S3 Literature Values'!$A$10:$AV$10000,H$1,FALSE))</f>
        <v>11.791564401960017</v>
      </c>
      <c r="I72" s="61">
        <f>IF(INDEX('Table S3 Literature Values'!$A$10:$AV$10000,MATCH($C72,'Table S3 Literature Values'!$A$10:$A$10000,0)+1,I$1)=0,INDEX('Table S9 Model Derived Values'!$A$10:$AV$10000,MATCH($C72,'Table S9 Model Derived Values'!$A$10:$A$10000,0)+1,I$1),INDEX('Table S3 Literature Values'!$A$10:$AV$10000,MATCH($C72,'Table S3 Literature Values'!$A$10:$A$10000,0)+1,I$1))</f>
        <v>16.540970711781473</v>
      </c>
      <c r="J72" s="63">
        <f>INDEX('Table S3 Literature Values'!$A$10:$AV$10000,MATCH($C72,'Table S3 Literature Values'!$A$10:$A$10000,0)+2,I$1)</f>
        <v>0</v>
      </c>
      <c r="K72" s="501">
        <f>IF(VLOOKUP($C72,'Table S3 Literature Values'!$A$10:$AV$10000,K$1,FALSE)=0,VLOOKUP($C72,'Table S9 Model Derived Values'!$A$10:$AV$10000,K$1,FALSE),VLOOKUP($C72,'Table S3 Literature Values'!$A$10:$AV$10000,K$1,FALSE))</f>
        <v>0</v>
      </c>
      <c r="L72" s="61">
        <f>IF(INDEX('Table S3 Literature Values'!$A$10:$AV$10000,MATCH($C72,'Table S3 Literature Values'!$A$10:$A$10000,0)+1,L$1)=0,INDEX('Table S9 Model Derived Values'!$A$10:$AV$10000,MATCH($C72,'Table S9 Model Derived Values'!$A$10:$A$10000,0)+1,L$1),INDEX('Table S3 Literature Values'!$A$10:$AV$10000,MATCH($C72,'Table S3 Literature Values'!$A$10:$A$10000,0)+1,L$1))</f>
        <v>0</v>
      </c>
      <c r="M72" s="63">
        <f>INDEX('Table S3 Literature Values'!$A$10:$AV$10000,MATCH($C72,'Table S3 Literature Values'!$A$10:$A$10000,0)+2,L$1)</f>
        <v>0</v>
      </c>
      <c r="N72" s="501">
        <f>IF(VLOOKUP($C72,'Table S3 Literature Values'!$A$10:$AV$10000,N$1,FALSE)=0,VLOOKUP($C72,'Table S9 Model Derived Values'!$A$10:$AV$10000,N$1,FALSE),VLOOKUP($C72,'Table S3 Literature Values'!$A$10:$AV$10000,N$1,FALSE))</f>
        <v>82.9</v>
      </c>
      <c r="O72" s="61">
        <f>IF(INDEX('Table S3 Literature Values'!$A$10:$AV$10000,MATCH($C72,'Table S3 Literature Values'!$A$10:$A$10000,0)+1,O$1)=0,INDEX('Table S9 Model Derived Values'!$A$10:$AV$10000,MATCH($C72,'Table S9 Model Derived Values'!$A$10:$A$10000,0)+1,O$1),INDEX('Table S3 Literature Values'!$A$10:$AV$10000,MATCH($C72,'Table S3 Literature Values'!$A$10:$A$10000,0)+1,O$1))</f>
        <v>5.2523851453852348</v>
      </c>
      <c r="P72" s="63">
        <f>INDEX('Table S3 Literature Values'!$A$10:$AV$10000,MATCH($C72,'Table S3 Literature Values'!$A$10:$A$10000,0)+2,O$1)</f>
        <v>1</v>
      </c>
      <c r="Q72" s="501">
        <f>IF(VLOOKUP($C72,'Table S3 Literature Values'!$A$10:$AV$10000,Q$1,FALSE)=0,VLOOKUP($C72,'Table S9 Model Derived Values'!$A$10:$AV$10000,Q$1,FALSE),VLOOKUP($C72,'Table S3 Literature Values'!$A$10:$AV$10000,Q$1,FALSE))</f>
        <v>80.665976700000002</v>
      </c>
      <c r="R72" s="61">
        <f>IF(INDEX('Table S3 Literature Values'!$A$10:$AV$10000,MATCH($C72,'Table S3 Literature Values'!$A$10:$A$10000,0)+1,R$1)=0,INDEX('Table S9 Model Derived Values'!$A$10:$AV$10000,MATCH($C72,'Table S9 Model Derived Values'!$A$10:$A$10000,0)+1,R$1),INDEX('Table S3 Literature Values'!$A$10:$AV$10000,MATCH($C72,'Table S3 Literature Values'!$A$10:$A$10000,0)+1,R$1))</f>
        <v>15.1223699859723</v>
      </c>
      <c r="S72" s="63">
        <f>INDEX('Table S3 Literature Values'!$A$10:$AV$10000,MATCH($C72,'Table S3 Literature Values'!$A$10:$A$10000,0)+2,R$1)</f>
        <v>0</v>
      </c>
      <c r="T72" s="501">
        <f>IF(VLOOKUP($C72,'Table S3 Literature Values'!$A$10:$AV$10000,T$1,FALSE)=0,VLOOKUP($C72,'Table S9 Model Derived Values'!$A$10:$AV$10000,T$1,FALSE),VLOOKUP($C72,'Table S3 Literature Values'!$A$10:$AV$10000,T$1,FALSE))</f>
        <v>-11.64974799999999</v>
      </c>
      <c r="U72" s="61">
        <f>IF(INDEX('Table S3 Literature Values'!$A$10:$AV$10000,MATCH($C72,'Table S3 Literature Values'!$A$10:$A$10000,0)+1,U$1)=0,INDEX('Table S9 Model Derived Values'!$A$10:$AV$10000,MATCH($C72,'Table S9 Model Derived Values'!$A$10:$A$10000,0)+1,U$1),INDEX('Table S3 Literature Values'!$A$10:$AV$10000,MATCH($C72,'Table S3 Literature Values'!$A$10:$A$10000,0)+1,U$1))</f>
        <v>4.7788797976763728</v>
      </c>
      <c r="V72" s="63">
        <f>INDEX('Table S3 Literature Values'!$A$10:$AV$10000,MATCH($C72,'Table S3 Literature Values'!$A$10:$A$10000,0)+2,U$1)</f>
        <v>0</v>
      </c>
      <c r="W72" s="501">
        <f>IF(VLOOKUP($C72,'Table S3 Literature Values'!$A$10:$AV$10000,W$1,FALSE)=0,VLOOKUP($C72,'Table S9 Model Derived Values'!$A$10:$AV$10000,W$1,FALSE),VLOOKUP($C72,'Table S3 Literature Values'!$A$10:$AV$10000,W$1,FALSE))</f>
        <v>8.4929739722986248</v>
      </c>
      <c r="X72" s="61">
        <f>IF(INDEX('Table S3 Literature Values'!$A$10:$AV$10000,MATCH($C72,'Table S3 Literature Values'!$A$10:$A$10000,0)+1,X$1)=0,INDEX('Table S9 Model Derived Values'!$A$10:$AV$10000,MATCH($C72,'Table S9 Model Derived Values'!$A$10:$A$10000,0)+1,X$1),INDEX('Table S3 Literature Values'!$A$10:$AV$10000,MATCH($C72,'Table S3 Literature Values'!$A$10:$A$10000,0)+1,X$1))</f>
        <v>0.21867554886940208</v>
      </c>
      <c r="Y72" s="63">
        <f>INDEX('Table S3 Literature Values'!$A$10:$AV$10000,MATCH($C72,'Table S3 Literature Values'!$A$10:$A$10000,0)+2,X$1)</f>
        <v>1</v>
      </c>
      <c r="Z72" s="501">
        <f ca="1">IF(VLOOKUP($C72,'Table S3 Literature Values'!$A$10:$AV$10000,Z$1,FALSE)=0,VLOOKUP($C72,'Table S9 Model Derived Values'!$A$10:$AV$10000,Z$1,FALSE),VLOOKUP($C72,'Table S3 Literature Values'!$A$10:$AV$10000,Z$1,FALSE))</f>
        <v>6.4226390597038554</v>
      </c>
      <c r="AA72" s="61">
        <f ca="1">IF(INDEX('Table S3 Literature Values'!$A$10:$AV$10000,MATCH($C72,'Table S3 Literature Values'!$A$10:$A$10000,0)+1,AA$1)=0,INDEX('Table S9 Model Derived Values'!$A$10:$AV$10000,MATCH($C72,'Table S9 Model Derived Values'!$A$10:$A$10000,0)+1,AA$1),INDEX('Table S3 Literature Values'!$A$10:$AV$10000,MATCH($C72,'Table S3 Literature Values'!$A$10:$A$10000,0)+1,AA$1))</f>
        <v>1.2845278119407713</v>
      </c>
      <c r="AB72" s="63">
        <f ca="1">INDEX('Table S3 Literature Values'!$A$10:$AV$10000,MATCH($C72,'Table S3 Literature Values'!$A$10:$A$10000,0)+2,AA$1)</f>
        <v>1</v>
      </c>
      <c r="AC72" s="501">
        <f>IF(VLOOKUP($C72,'Table S3 Literature Values'!$A$10:$AV$10000,AC$1,FALSE)=0,VLOOKUP($C72,'Table S9 Model Derived Values'!$A$10:$AV$10000,AC$1,FALSE),VLOOKUP($C72,'Table S3 Literature Values'!$A$10:$AV$10000,AC$1,FALSE))</f>
        <v>-2.8134969999999999</v>
      </c>
      <c r="AD72" s="61">
        <f>IF(INDEX('Table S3 Literature Values'!$A$10:$AV$10000,MATCH($C72,'Table S3 Literature Values'!$A$10:$A$10000,0)+1,AD$1)=0,INDEX('Table S9 Model Derived Values'!$A$10:$AV$10000,MATCH($C72,'Table S9 Model Derived Values'!$A$10:$A$10000,0)+1,AD$1),INDEX('Table S3 Literature Values'!$A$10:$AV$10000,MATCH($C72,'Table S3 Literature Values'!$A$10:$A$10000,0)+1,AD$1))</f>
        <v>0.59215108659599991</v>
      </c>
      <c r="AE72" s="63">
        <f>INDEX('Table S3 Literature Values'!$A$10:$AV$10000,MATCH($C72,'Table S3 Literature Values'!$A$10:$A$10000,0)+2,AD$1)</f>
        <v>0</v>
      </c>
      <c r="AF72" s="501">
        <f>IF(VLOOKUP($C72,'Table S3 Literature Values'!$A$10:$AV$10000,AF$1,FALSE)=0,VLOOKUP($C72,'Table S9 Model Derived Values'!$A$10:$AV$10000,AF$1,FALSE),VLOOKUP($C72,'Table S3 Literature Values'!$A$10:$AV$10000,AF$1,FALSE))</f>
        <v>-1.8907497643218214</v>
      </c>
      <c r="AG72" s="61">
        <f>IF(INDEX('Table S3 Literature Values'!$A$10:$AV$10000,MATCH($C72,'Table S3 Literature Values'!$A$10:$A$10000,0)+1,AG$1)=0,INDEX('Table S9 Model Derived Values'!$A$10:$AV$10000,MATCH($C72,'Table S9 Model Derived Values'!$A$10:$A$10000,0)+1,AG$1),INDEX('Table S3 Literature Values'!$A$10:$AV$10000,MATCH($C72,'Table S3 Literature Values'!$A$10:$A$10000,0)+1,AG$1))</f>
        <v>9.4527481783361011E-2</v>
      </c>
      <c r="AH72" s="63">
        <f>INDEX('Table S3 Literature Values'!$A$10:$AV$10000,MATCH($C72,'Table S3 Literature Values'!$A$10:$A$10000,0)+2,AG$1)</f>
        <v>2</v>
      </c>
      <c r="AI72" s="501">
        <f>IF(VLOOKUP($C72,'Table S3 Literature Values'!$A$10:$AV$10000,AI$1,FALSE)=0,VLOOKUP($C72,'Table S9 Model Derived Values'!$A$10:$AV$10000,AI$1,FALSE),VLOOKUP($C72,'Table S3 Literature Values'!$A$10:$AV$10000,AI$1,FALSE))</f>
        <v>-2.8168194218021276</v>
      </c>
      <c r="AJ72" s="61">
        <f>IF(INDEX('Table S3 Literature Values'!$A$10:$AV$10000,MATCH($C72,'Table S3 Literature Values'!$A$10:$A$10000,0)+1,AJ$1)=0,INDEX('Table S9 Model Derived Values'!$A$10:$AV$10000,MATCH($C72,'Table S9 Model Derived Values'!$A$10:$A$10000,0)+1,AJ$1),INDEX('Table S3 Literature Values'!$A$10:$AV$10000,MATCH($C72,'Table S3 Literature Values'!$A$10:$A$10000,0)+1,AJ$1))</f>
        <v>0.34831264394531203</v>
      </c>
      <c r="AK72" s="63">
        <f>INDEX('Table S3 Literature Values'!$A$10:$AV$10000,MATCH($C72,'Table S3 Literature Values'!$A$10:$A$10000,0)+2,AJ$1)</f>
        <v>1</v>
      </c>
      <c r="AL72" s="501">
        <f>IF(VLOOKUP($C72,'Table S3 Literature Values'!$A$10:$AV$10000,AL$1,FALSE)=0,VLOOKUP($C72,'Table S9 Model Derived Values'!$A$10:$AV$10000,AL$1,FALSE),VLOOKUP($C72,'Table S3 Literature Values'!$A$10:$AV$10000,AL$1,FALSE))</f>
        <v>3.647892699999999</v>
      </c>
      <c r="AM72" s="61">
        <f>IF(INDEX('Table S3 Literature Values'!$A$10:$AV$10000,MATCH($C72,'Table S3 Literature Values'!$A$10:$A$10000,0)+1,AM$1)=0,INDEX('Table S9 Model Derived Values'!$A$10:$AV$10000,MATCH($C72,'Table S9 Model Derived Values'!$A$10:$A$10000,0)+1,AM$1),INDEX('Table S3 Literature Values'!$A$10:$AV$10000,MATCH($C72,'Table S3 Literature Values'!$A$10:$A$10000,0)+1,AM$1))</f>
        <v>0.6592872955636998</v>
      </c>
      <c r="AN72" s="63">
        <f>INDEX('Table S3 Literature Values'!$A$10:$AV$10000,MATCH($C72,'Table S3 Literature Values'!$A$10:$A$10000,0)+2,AM$1)</f>
        <v>0</v>
      </c>
      <c r="AO72" s="501">
        <f>IF(VLOOKUP($C72,'Table S3 Literature Values'!$A$10:$AV$10000,AO$1,FALSE)=0,VLOOKUP($C72,'Table S9 Model Derived Values'!$A$10:$AV$10000,AO$1,FALSE),VLOOKUP($C72,'Table S3 Literature Values'!$A$10:$AV$10000,AO$1,FALSE))</f>
        <v>0</v>
      </c>
      <c r="AP72" s="61">
        <f>IF(INDEX('Table S3 Literature Values'!$A$10:$AV$10000,MATCH($C72,'Table S3 Literature Values'!$A$10:$A$10000,0)+1,AP$1)=0,INDEX('Table S9 Model Derived Values'!$A$10:$AV$10000,MATCH($C72,'Table S9 Model Derived Values'!$A$10:$A$10000,0)+1,AP$1),INDEX('Table S3 Literature Values'!$A$10:$AV$10000,MATCH($C72,'Table S3 Literature Values'!$A$10:$A$10000,0)+1,AP$1))</f>
        <v>0</v>
      </c>
      <c r="AQ72" s="63">
        <f>INDEX('Table S3 Literature Values'!$A$10:$AV$10000,MATCH($C72,'Table S3 Literature Values'!$A$10:$A$10000,0)+2,AP$1)</f>
        <v>0</v>
      </c>
      <c r="AR72" s="501">
        <f>IF(VLOOKUP($C72,'Table S3 Literature Values'!$A$10:$AV$10000,AR$1,FALSE)=0,VLOOKUP($C72,'Table S9 Model Derived Values'!$A$10:$AV$10000,AR$1,FALSE),VLOOKUP($C72,'Table S3 Literature Values'!$A$10:$AV$10000,AR$1,FALSE))</f>
        <v>-20</v>
      </c>
      <c r="AS72" s="61">
        <f>IF(INDEX('Table S3 Literature Values'!$A$10:$AV$10000,MATCH($C72,'Table S3 Literature Values'!$A$10:$A$10000,0)+1,AS$1)=0,INDEX('Table S9 Model Derived Values'!$A$10:$AV$10000,MATCH($C72,'Table S9 Model Derived Values'!$A$10:$A$10000,0)+1,AS$1),INDEX('Table S3 Literature Values'!$A$10:$AV$10000,MATCH($C72,'Table S3 Literature Values'!$A$10:$A$10000,0)+1,AS$1))</f>
        <v>6</v>
      </c>
      <c r="AT72" s="63">
        <f>INDEX('Table S3 Literature Values'!$A$10:$AV$10000,MATCH($C72,'Table S3 Literature Values'!$A$10:$A$10000,0)+2,AS$1)</f>
        <v>0</v>
      </c>
    </row>
    <row r="73" spans="1:46">
      <c r="A73" t="str">
        <f>'Table S2 Compound Identifiers'!C78</f>
        <v>UV Filter</v>
      </c>
      <c r="B73">
        <f>COUNTIF($C$3:C73,"&lt;&gt;"&amp;"")</f>
        <v>71</v>
      </c>
      <c r="C73" t="str">
        <f>IF('Table S2 Compound Identifiers'!B78="","",'Table S2 Compound Identifiers'!B78)</f>
        <v>Octocrylene</v>
      </c>
      <c r="D73" t="str">
        <f>'Table S2 Compound Identifiers'!D78</f>
        <v>6197-30-4</v>
      </c>
      <c r="E73" s="501">
        <f>IF(VLOOKUP($C73,'Table S3 Literature Values'!$A$10:$AV$10000,E$1,FALSE)=0,VLOOKUP($C73,'Table S9 Model Derived Values'!$A$10:$AV$10000,E$1,FALSE),VLOOKUP($C73,'Table S3 Literature Values'!$A$10:$AV$10000,E$1,FALSE))</f>
        <v>94.890864162898467</v>
      </c>
      <c r="F73" s="61">
        <f>IF(INDEX('Table S3 Literature Values'!$A$10:$AV$10000,MATCH($C73,'Table S3 Literature Values'!$A$10:$A$10000,0)+1,F$1)=0,INDEX('Table S9 Model Derived Values'!$A$10:$AV$10000,MATCH($C73,'Table S9 Model Derived Values'!$A$10:$A$10000,0)+1,F$1),INDEX('Table S3 Literature Values'!$A$10:$AV$10000,MATCH($C73,'Table S3 Literature Values'!$A$10:$A$10000,0)+1,F$1))</f>
        <v>6.7717364481417759</v>
      </c>
      <c r="G73" s="63">
        <f>INDEX('Table S3 Literature Values'!$A$10:$AV$10000,MATCH($C73,'Table S3 Literature Values'!$A$10:$A$10000,0)+2,F$1)</f>
        <v>1</v>
      </c>
      <c r="H73" s="501">
        <f>IF(VLOOKUP($C73,'Table S3 Literature Values'!$A$10:$AV$10000,H$1,FALSE)=0,VLOOKUP($C73,'Table S9 Model Derived Values'!$A$10:$AV$10000,H$1,FALSE),VLOOKUP($C73,'Table S3 Literature Values'!$A$10:$AV$10000,H$1,FALSE))</f>
        <v>14.364364347839867</v>
      </c>
      <c r="I73" s="61">
        <f>IF(INDEX('Table S3 Literature Values'!$A$10:$AV$10000,MATCH($C73,'Table S3 Literature Values'!$A$10:$A$10000,0)+1,I$1)=0,INDEX('Table S9 Model Derived Values'!$A$10:$AV$10000,MATCH($C73,'Table S9 Model Derived Values'!$A$10:$A$10000,0)+1,I$1),INDEX('Table S3 Literature Values'!$A$10:$AV$10000,MATCH($C73,'Table S3 Literature Values'!$A$10:$A$10000,0)+1,I$1))</f>
        <v>20.150043019862807</v>
      </c>
      <c r="J73" s="63">
        <f>INDEX('Table S3 Literature Values'!$A$10:$AV$10000,MATCH($C73,'Table S3 Literature Values'!$A$10:$A$10000,0)+2,I$1)</f>
        <v>0</v>
      </c>
      <c r="K73" s="501">
        <f>IF(VLOOKUP($C73,'Table S3 Literature Values'!$A$10:$AV$10000,K$1,FALSE)=0,VLOOKUP($C73,'Table S9 Model Derived Values'!$A$10:$AV$10000,K$1,FALSE),VLOOKUP($C73,'Table S3 Literature Values'!$A$10:$AV$10000,K$1,FALSE))</f>
        <v>0</v>
      </c>
      <c r="L73" s="61">
        <f>IF(INDEX('Table S3 Literature Values'!$A$10:$AV$10000,MATCH($C73,'Table S3 Literature Values'!$A$10:$A$10000,0)+1,L$1)=0,INDEX('Table S9 Model Derived Values'!$A$10:$AV$10000,MATCH($C73,'Table S9 Model Derived Values'!$A$10:$A$10000,0)+1,L$1),INDEX('Table S3 Literature Values'!$A$10:$AV$10000,MATCH($C73,'Table S3 Literature Values'!$A$10:$A$10000,0)+1,L$1))</f>
        <v>0</v>
      </c>
      <c r="M73" s="63">
        <f>INDEX('Table S3 Literature Values'!$A$10:$AV$10000,MATCH($C73,'Table S3 Literature Values'!$A$10:$A$10000,0)+2,L$1)</f>
        <v>0</v>
      </c>
      <c r="N73" s="501">
        <f>IF(VLOOKUP($C73,'Table S3 Literature Values'!$A$10:$AV$10000,N$1,FALSE)=0,VLOOKUP($C73,'Table S9 Model Derived Values'!$A$10:$AV$10000,N$1,FALSE),VLOOKUP($C73,'Table S3 Literature Values'!$A$10:$AV$10000,N$1,FALSE))</f>
        <v>-110.07866029979206</v>
      </c>
      <c r="O73" s="61">
        <f>IF(INDEX('Table S3 Literature Values'!$A$10:$AV$10000,MATCH($C73,'Table S3 Literature Values'!$A$10:$A$10000,0)+1,O$1)=0,INDEX('Table S9 Model Derived Values'!$A$10:$AV$10000,MATCH($C73,'Table S9 Model Derived Values'!$A$10:$A$10000,0)+1,O$1),INDEX('Table S3 Literature Values'!$A$10:$AV$10000,MATCH($C73,'Table S3 Literature Values'!$A$10:$A$10000,0)+1,O$1))</f>
        <v>18.278671621440772</v>
      </c>
      <c r="P73" s="63">
        <f>INDEX('Table S3 Literature Values'!$A$10:$AV$10000,MATCH($C73,'Table S3 Literature Values'!$A$10:$A$10000,0)+2,O$1)</f>
        <v>0</v>
      </c>
      <c r="Q73" s="501">
        <f>IF(VLOOKUP($C73,'Table S3 Literature Values'!$A$10:$AV$10000,Q$1,FALSE)=0,VLOOKUP($C73,'Table S9 Model Derived Values'!$A$10:$AV$10000,Q$1,FALSE),VLOOKUP($C73,'Table S3 Literature Values'!$A$10:$AV$10000,Q$1,FALSE))</f>
        <v>113.09291160000001</v>
      </c>
      <c r="R73" s="61">
        <f>IF(INDEX('Table S3 Literature Values'!$A$10:$AV$10000,MATCH($C73,'Table S3 Literature Values'!$A$10:$A$10000,0)+1,R$1)=0,INDEX('Table S9 Model Derived Values'!$A$10:$AV$10000,MATCH($C73,'Table S9 Model Derived Values'!$A$10:$A$10000,0)+1,R$1),INDEX('Table S3 Literature Values'!$A$10:$AV$10000,MATCH($C73,'Table S3 Literature Values'!$A$10:$A$10000,0)+1,R$1))</f>
        <v>21.201415044740401</v>
      </c>
      <c r="S73" s="63">
        <f>INDEX('Table S3 Literature Values'!$A$10:$AV$10000,MATCH($C73,'Table S3 Literature Values'!$A$10:$A$10000,0)+2,R$1)</f>
        <v>0</v>
      </c>
      <c r="T73" s="501">
        <f>IF(VLOOKUP($C73,'Table S3 Literature Values'!$A$10:$AV$10000,T$1,FALSE)=0,VLOOKUP($C73,'Table S9 Model Derived Values'!$A$10:$AV$10000,T$1,FALSE),VLOOKUP($C73,'Table S3 Literature Values'!$A$10:$AV$10000,T$1,FALSE))</f>
        <v>-7.3122039999999959</v>
      </c>
      <c r="U73" s="61">
        <f>IF(INDEX('Table S3 Literature Values'!$A$10:$AV$10000,MATCH($C73,'Table S3 Literature Values'!$A$10:$A$10000,0)+1,U$1)=0,INDEX('Table S9 Model Derived Values'!$A$10:$AV$10000,MATCH($C73,'Table S9 Model Derived Values'!$A$10:$A$10000,0)+1,U$1),INDEX('Table S3 Literature Values'!$A$10:$AV$10000,MATCH($C73,'Table S3 Literature Values'!$A$10:$A$10000,0)+1,U$1))</f>
        <v>2.9995622198942309</v>
      </c>
      <c r="V73" s="63">
        <f>INDEX('Table S3 Literature Values'!$A$10:$AV$10000,MATCH($C73,'Table S3 Literature Values'!$A$10:$A$10000,0)+2,U$1)</f>
        <v>0</v>
      </c>
      <c r="W73" s="501">
        <f>IF(VLOOKUP($C73,'Table S3 Literature Values'!$A$10:$AV$10000,W$1,FALSE)=0,VLOOKUP($C73,'Table S9 Model Derived Values'!$A$10:$AV$10000,W$1,FALSE),VLOOKUP($C73,'Table S3 Literature Values'!$A$10:$AV$10000,W$1,FALSE))</f>
        <v>12.639320878301151</v>
      </c>
      <c r="X73" s="61">
        <f>IF(INDEX('Table S3 Literature Values'!$A$10:$AV$10000,MATCH($C73,'Table S3 Literature Values'!$A$10:$A$10000,0)+1,X$1)=0,INDEX('Table S9 Model Derived Values'!$A$10:$AV$10000,MATCH($C73,'Table S9 Model Derived Values'!$A$10:$A$10000,0)+1,X$1),INDEX('Table S3 Literature Values'!$A$10:$AV$10000,MATCH($C73,'Table S3 Literature Values'!$A$10:$A$10000,0)+1,X$1))</f>
        <v>1.0364369513415728</v>
      </c>
      <c r="Y73" s="63">
        <f>INDEX('Table S3 Literature Values'!$A$10:$AV$10000,MATCH($C73,'Table S3 Literature Values'!$A$10:$A$10000,0)+2,X$1)</f>
        <v>0</v>
      </c>
      <c r="Z73" s="501">
        <f ca="1">IF(VLOOKUP($C73,'Table S3 Literature Values'!$A$10:$AV$10000,Z$1,FALSE)=0,VLOOKUP($C73,'Table S9 Model Derived Values'!$A$10:$AV$10000,Z$1,FALSE),VLOOKUP($C73,'Table S3 Literature Values'!$A$10:$AV$10000,Z$1,FALSE))</f>
        <v>6.089186783305113</v>
      </c>
      <c r="AA73" s="61">
        <f ca="1">IF(INDEX('Table S3 Literature Values'!$A$10:$AV$10000,MATCH($C73,'Table S3 Literature Values'!$A$10:$A$10000,0)+1,AA$1)=0,INDEX('Table S9 Model Derived Values'!$A$10:$AV$10000,MATCH($C73,'Table S9 Model Derived Values'!$A$10:$A$10000,0)+1,AA$1),INDEX('Table S3 Literature Values'!$A$10:$AV$10000,MATCH($C73,'Table S3 Literature Values'!$A$10:$A$10000,0)+1,AA$1))</f>
        <v>1.2178373566610228</v>
      </c>
      <c r="AB73" s="63">
        <f ca="1">INDEX('Table S3 Literature Values'!$A$10:$AV$10000,MATCH($C73,'Table S3 Literature Values'!$A$10:$A$10000,0)+2,AA$1)</f>
        <v>1</v>
      </c>
      <c r="AC73" s="501">
        <f>IF(VLOOKUP($C73,'Table S3 Literature Values'!$A$10:$AV$10000,AC$1,FALSE)=0,VLOOKUP($C73,'Table S9 Model Derived Values'!$A$10:$AV$10000,AC$1,FALSE),VLOOKUP($C73,'Table S3 Literature Values'!$A$10:$AV$10000,AC$1,FALSE))</f>
        <v>-5.8832059999999995</v>
      </c>
      <c r="AD73" s="61">
        <f>IF(INDEX('Table S3 Literature Values'!$A$10:$AV$10000,MATCH($C73,'Table S3 Literature Values'!$A$10:$A$10000,0)+1,AD$1)=0,INDEX('Table S9 Model Derived Values'!$A$10:$AV$10000,MATCH($C73,'Table S9 Model Derived Values'!$A$10:$A$10000,0)+1,AD$1),INDEX('Table S3 Literature Values'!$A$10:$AV$10000,MATCH($C73,'Table S3 Literature Values'!$A$10:$A$10000,0)+1,AD$1))</f>
        <v>1.2382266004079998</v>
      </c>
      <c r="AE73" s="63">
        <f>INDEX('Table S3 Literature Values'!$A$10:$AV$10000,MATCH($C73,'Table S3 Literature Values'!$A$10:$A$10000,0)+2,AD$1)</f>
        <v>0</v>
      </c>
      <c r="AF73" s="501">
        <f>IF(VLOOKUP($C73,'Table S3 Literature Values'!$A$10:$AV$10000,AF$1,FALSE)=0,VLOOKUP($C73,'Table S9 Model Derived Values'!$A$10:$AV$10000,AF$1,FALSE),VLOOKUP($C73,'Table S3 Literature Values'!$A$10:$AV$10000,AF$1,FALSE))</f>
        <v>-9.755026966610103</v>
      </c>
      <c r="AG73" s="61">
        <f>IF(INDEX('Table S3 Literature Values'!$A$10:$AV$10000,MATCH($C73,'Table S3 Literature Values'!$A$10:$A$10000,0)+1,AG$1)=0,INDEX('Table S9 Model Derived Values'!$A$10:$AV$10000,MATCH($C73,'Table S9 Model Derived Values'!$A$10:$A$10000,0)+1,AG$1),INDEX('Table S3 Literature Values'!$A$10:$AV$10000,MATCH($C73,'Table S3 Literature Values'!$A$10:$A$10000,0)+1,AG$1))</f>
        <v>1.5477752667265681</v>
      </c>
      <c r="AH73" s="63">
        <f>INDEX('Table S3 Literature Values'!$A$10:$AV$10000,MATCH($C73,'Table S3 Literature Values'!$A$10:$A$10000,0)+2,AG$1)</f>
        <v>1</v>
      </c>
      <c r="AI73" s="501">
        <f ca="1">IF(VLOOKUP($C73,'Table S3 Literature Values'!$A$10:$AV$10000,AI$1,FALSE)=0,VLOOKUP($C73,'Table S9 Model Derived Values'!$A$10:$AV$10000,AI$1,FALSE),VLOOKUP($C73,'Table S3 Literature Values'!$A$10:$AV$10000,AI$1,FALSE))</f>
        <v>-4.1239577006727393</v>
      </c>
      <c r="AJ73" s="61">
        <f ca="1">IF(INDEX('Table S3 Literature Values'!$A$10:$AV$10000,MATCH($C73,'Table S3 Literature Values'!$A$10:$A$10000,0)+1,AJ$1)=0,INDEX('Table S9 Model Derived Values'!$A$10:$AV$10000,MATCH($C73,'Table S9 Model Derived Values'!$A$10:$A$10000,0)+1,AJ$1),INDEX('Table S3 Literature Values'!$A$10:$AV$10000,MATCH($C73,'Table S3 Literature Values'!$A$10:$A$10000,0)+1,AJ$1))</f>
        <v>0.22861214103520214</v>
      </c>
      <c r="AK73" s="63">
        <f ca="1">INDEX('Table S3 Literature Values'!$A$10:$AV$10000,MATCH($C73,'Table S3 Literature Values'!$A$10:$A$10000,0)+2,AJ$1)</f>
        <v>2</v>
      </c>
      <c r="AL73" s="501">
        <f>IF(VLOOKUP($C73,'Table S3 Literature Values'!$A$10:$AV$10000,AL$1,FALSE)=0,VLOOKUP($C73,'Table S9 Model Derived Values'!$A$10:$AV$10000,AL$1,FALSE),VLOOKUP($C73,'Table S3 Literature Values'!$A$10:$AV$10000,AL$1,FALSE))</f>
        <v>3.0572181999999977</v>
      </c>
      <c r="AM73" s="61">
        <f>IF(INDEX('Table S3 Literature Values'!$A$10:$AV$10000,MATCH($C73,'Table S3 Literature Values'!$A$10:$A$10000,0)+1,AM$1)=0,INDEX('Table S9 Model Derived Values'!$A$10:$AV$10000,MATCH($C73,'Table S9 Model Derived Values'!$A$10:$A$10000,0)+1,AM$1),INDEX('Table S3 Literature Values'!$A$10:$AV$10000,MATCH($C73,'Table S3 Literature Values'!$A$10:$A$10000,0)+1,AM$1))</f>
        <v>0.55253410250419954</v>
      </c>
      <c r="AN73" s="63">
        <f>INDEX('Table S3 Literature Values'!$A$10:$AV$10000,MATCH($C73,'Table S3 Literature Values'!$A$10:$A$10000,0)+2,AM$1)</f>
        <v>0</v>
      </c>
      <c r="AO73" s="501">
        <f>IF(VLOOKUP($C73,'Table S3 Literature Values'!$A$10:$AV$10000,AO$1,FALSE)=0,VLOOKUP($C73,'Table S9 Model Derived Values'!$A$10:$AV$10000,AO$1,FALSE),VLOOKUP($C73,'Table S3 Literature Values'!$A$10:$AV$10000,AO$1,FALSE))</f>
        <v>0</v>
      </c>
      <c r="AP73" s="61">
        <f>IF(INDEX('Table S3 Literature Values'!$A$10:$AV$10000,MATCH($C73,'Table S3 Literature Values'!$A$10:$A$10000,0)+1,AP$1)=0,INDEX('Table S9 Model Derived Values'!$A$10:$AV$10000,MATCH($C73,'Table S9 Model Derived Values'!$A$10:$A$10000,0)+1,AP$1),INDEX('Table S3 Literature Values'!$A$10:$AV$10000,MATCH($C73,'Table S3 Literature Values'!$A$10:$A$10000,0)+1,AP$1))</f>
        <v>0</v>
      </c>
      <c r="AQ73" s="63">
        <f>INDEX('Table S3 Literature Values'!$A$10:$AV$10000,MATCH($C73,'Table S3 Literature Values'!$A$10:$A$10000,0)+2,AP$1)</f>
        <v>0</v>
      </c>
      <c r="AR73" s="501">
        <f>IF(VLOOKUP($C73,'Table S3 Literature Values'!$A$10:$AV$10000,AR$1,FALSE)=0,VLOOKUP($C73,'Table S9 Model Derived Values'!$A$10:$AV$10000,AR$1,FALSE),VLOOKUP($C73,'Table S3 Literature Values'!$A$10:$AV$10000,AR$1,FALSE))</f>
        <v>-9.9</v>
      </c>
      <c r="AS73" s="61">
        <f>IF(INDEX('Table S3 Literature Values'!$A$10:$AV$10000,MATCH($C73,'Table S3 Literature Values'!$A$10:$A$10000,0)+1,AS$1)=0,INDEX('Table S9 Model Derived Values'!$A$10:$AV$10000,MATCH($C73,'Table S9 Model Derived Values'!$A$10:$A$10000,0)+1,AS$1),INDEX('Table S3 Literature Values'!$A$10:$AV$10000,MATCH($C73,'Table S3 Literature Values'!$A$10:$A$10000,0)+1,AS$1))</f>
        <v>2.97</v>
      </c>
      <c r="AT73" s="63">
        <f>INDEX('Table S3 Literature Values'!$A$10:$AV$10000,MATCH($C73,'Table S3 Literature Values'!$A$10:$A$10000,0)+2,AS$1)</f>
        <v>1</v>
      </c>
    </row>
    <row r="74" spans="1:46">
      <c r="A74" t="str">
        <f>'Table S2 Compound Identifiers'!C79</f>
        <v>UV Filter</v>
      </c>
      <c r="B74">
        <f>COUNTIF($C$3:C74,"&lt;&gt;"&amp;"")</f>
        <v>72</v>
      </c>
      <c r="C74" t="str">
        <f>IF('Table S2 Compound Identifiers'!B79="","",'Table S2 Compound Identifiers'!B79)</f>
        <v>2-ethylhexyl salicylate</v>
      </c>
      <c r="D74" t="str">
        <f>'Table S2 Compound Identifiers'!D79</f>
        <v>118-60-5</v>
      </c>
      <c r="E74" s="501">
        <f>IF(VLOOKUP($C74,'Table S3 Literature Values'!$A$10:$AV$10000,E$1,FALSE)=0,VLOOKUP($C74,'Table S9 Model Derived Values'!$A$10:$AV$10000,E$1,FALSE),VLOOKUP($C74,'Table S3 Literature Values'!$A$10:$AV$10000,E$1,FALSE))</f>
        <v>95.314065814702502</v>
      </c>
      <c r="F74" s="61">
        <f>IF(INDEX('Table S3 Literature Values'!$A$10:$AV$10000,MATCH($C74,'Table S3 Literature Values'!$A$10:$A$10000,0)+1,F$1)=0,INDEX('Table S9 Model Derived Values'!$A$10:$AV$10000,MATCH($C74,'Table S9 Model Derived Values'!$A$10:$A$10000,0)+1,F$1),INDEX('Table S3 Literature Values'!$A$10:$AV$10000,MATCH($C74,'Table S3 Literature Values'!$A$10:$A$10000,0)+1,F$1))</f>
        <v>6.8019375647162388</v>
      </c>
      <c r="G74" s="63">
        <f>INDEX('Table S3 Literature Values'!$A$10:$AV$10000,MATCH($C74,'Table S3 Literature Values'!$A$10:$A$10000,0)+2,F$1)</f>
        <v>1</v>
      </c>
      <c r="H74" s="501">
        <f>IF(VLOOKUP($C74,'Table S3 Literature Values'!$A$10:$AV$10000,H$1,FALSE)=0,VLOOKUP($C74,'Table S9 Model Derived Values'!$A$10:$AV$10000,H$1,FALSE),VLOOKUP($C74,'Table S3 Literature Values'!$A$10:$AV$10000,H$1,FALSE))</f>
        <v>13.321313130624034</v>
      </c>
      <c r="I74" s="61">
        <f>IF(INDEX('Table S3 Literature Values'!$A$10:$AV$10000,MATCH($C74,'Table S3 Literature Values'!$A$10:$A$10000,0)+1,I$1)=0,INDEX('Table S9 Model Derived Values'!$A$10:$AV$10000,MATCH($C74,'Table S9 Model Derived Values'!$A$10:$A$10000,0)+1,I$1),INDEX('Table S3 Literature Values'!$A$10:$AV$10000,MATCH($C74,'Table S3 Literature Values'!$A$10:$A$10000,0)+1,I$1))</f>
        <v>18.686871633376782</v>
      </c>
      <c r="J74" s="63">
        <f>INDEX('Table S3 Literature Values'!$A$10:$AV$10000,MATCH($C74,'Table S3 Literature Values'!$A$10:$A$10000,0)+2,I$1)</f>
        <v>0</v>
      </c>
      <c r="K74" s="501">
        <f>IF(VLOOKUP($C74,'Table S3 Literature Values'!$A$10:$AV$10000,K$1,FALSE)=0,VLOOKUP($C74,'Table S9 Model Derived Values'!$A$10:$AV$10000,K$1,FALSE),VLOOKUP($C74,'Table S3 Literature Values'!$A$10:$AV$10000,K$1,FALSE))</f>
        <v>0</v>
      </c>
      <c r="L74" s="61">
        <f>IF(INDEX('Table S3 Literature Values'!$A$10:$AV$10000,MATCH($C74,'Table S3 Literature Values'!$A$10:$A$10000,0)+1,L$1)=0,INDEX('Table S9 Model Derived Values'!$A$10:$AV$10000,MATCH($C74,'Table S9 Model Derived Values'!$A$10:$A$10000,0)+1,L$1),INDEX('Table S3 Literature Values'!$A$10:$AV$10000,MATCH($C74,'Table S3 Literature Values'!$A$10:$A$10000,0)+1,L$1))</f>
        <v>0</v>
      </c>
      <c r="M74" s="63">
        <f>INDEX('Table S3 Literature Values'!$A$10:$AV$10000,MATCH($C74,'Table S3 Literature Values'!$A$10:$A$10000,0)+2,L$1)</f>
        <v>0</v>
      </c>
      <c r="N74" s="501">
        <f>IF(VLOOKUP($C74,'Table S3 Literature Values'!$A$10:$AV$10000,N$1,FALSE)=0,VLOOKUP($C74,'Table S9 Model Derived Values'!$A$10:$AV$10000,N$1,FALSE),VLOOKUP($C74,'Table S3 Literature Values'!$A$10:$AV$10000,N$1,FALSE))</f>
        <v>-77.583805094615741</v>
      </c>
      <c r="O74" s="61">
        <f>IF(INDEX('Table S3 Literature Values'!$A$10:$AV$10000,MATCH($C74,'Table S3 Literature Values'!$A$10:$A$10000,0)+1,O$1)=0,INDEX('Table S9 Model Derived Values'!$A$10:$AV$10000,MATCH($C74,'Table S9 Model Derived Values'!$A$10:$A$10000,0)+1,O$1),INDEX('Table S3 Literature Values'!$A$10:$AV$10000,MATCH($C74,'Table S3 Literature Values'!$A$10:$A$10000,0)+1,O$1))</f>
        <v>12.882868419766039</v>
      </c>
      <c r="P74" s="63">
        <f>INDEX('Table S3 Literature Values'!$A$10:$AV$10000,MATCH($C74,'Table S3 Literature Values'!$A$10:$A$10000,0)+2,O$1)</f>
        <v>0</v>
      </c>
      <c r="Q74" s="501">
        <f>IF(VLOOKUP($C74,'Table S3 Literature Values'!$A$10:$AV$10000,Q$1,FALSE)=0,VLOOKUP($C74,'Table S9 Model Derived Values'!$A$10:$AV$10000,Q$1,FALSE),VLOOKUP($C74,'Table S3 Literature Values'!$A$10:$AV$10000,Q$1,FALSE))</f>
        <v>77.906984800000004</v>
      </c>
      <c r="R74" s="61">
        <f>IF(INDEX('Table S3 Literature Values'!$A$10:$AV$10000,MATCH($C74,'Table S3 Literature Values'!$A$10:$A$10000,0)+1,R$1)=0,INDEX('Table S9 Model Derived Values'!$A$10:$AV$10000,MATCH($C74,'Table S9 Model Derived Values'!$A$10:$A$10000,0)+1,R$1),INDEX('Table S3 Literature Values'!$A$10:$AV$10000,MATCH($C74,'Table S3 Literature Values'!$A$10:$A$10000,0)+1,R$1))</f>
        <v>14.605144533471201</v>
      </c>
      <c r="S74" s="63">
        <f>INDEX('Table S3 Literature Values'!$A$10:$AV$10000,MATCH($C74,'Table S3 Literature Values'!$A$10:$A$10000,0)+2,R$1)</f>
        <v>0</v>
      </c>
      <c r="T74" s="501">
        <f>IF(VLOOKUP($C74,'Table S3 Literature Values'!$A$10:$AV$10000,T$1,FALSE)=0,VLOOKUP($C74,'Table S9 Model Derived Values'!$A$10:$AV$10000,T$1,FALSE),VLOOKUP($C74,'Table S3 Literature Values'!$A$10:$AV$10000,T$1,FALSE))</f>
        <v>-10.924632000000004</v>
      </c>
      <c r="U74" s="61">
        <f>IF(INDEX('Table S3 Literature Values'!$A$10:$AV$10000,MATCH($C74,'Table S3 Literature Values'!$A$10:$A$10000,0)+1,U$1)=0,INDEX('Table S9 Model Derived Values'!$A$10:$AV$10000,MATCH($C74,'Table S9 Model Derived Values'!$A$10:$A$10000,0)+1,U$1),INDEX('Table S3 Literature Values'!$A$10:$AV$10000,MATCH($C74,'Table S3 Literature Values'!$A$10:$A$10000,0)+1,U$1))</f>
        <v>4.4814276808261342</v>
      </c>
      <c r="V74" s="63">
        <f>INDEX('Table S3 Literature Values'!$A$10:$AV$10000,MATCH($C74,'Table S3 Literature Values'!$A$10:$A$10000,0)+2,U$1)</f>
        <v>0</v>
      </c>
      <c r="W74" s="501">
        <f>IF(VLOOKUP($C74,'Table S3 Literature Values'!$A$10:$AV$10000,W$1,FALSE)=0,VLOOKUP($C74,'Table S9 Model Derived Values'!$A$10:$AV$10000,W$1,FALSE),VLOOKUP($C74,'Table S3 Literature Values'!$A$10:$AV$10000,W$1,FALSE))</f>
        <v>8.2228855706999919</v>
      </c>
      <c r="X74" s="61">
        <f>IF(INDEX('Table S3 Literature Values'!$A$10:$AV$10000,MATCH($C74,'Table S3 Literature Values'!$A$10:$A$10000,0)+1,X$1)=0,INDEX('Table S9 Model Derived Values'!$A$10:$AV$10000,MATCH($C74,'Table S9 Model Derived Values'!$A$10:$A$10000,0)+1,X$1),INDEX('Table S3 Literature Values'!$A$10:$AV$10000,MATCH($C74,'Table S3 Literature Values'!$A$10:$A$10000,0)+1,X$1))</f>
        <v>0.67428483968297004</v>
      </c>
      <c r="Y74" s="63">
        <f>INDEX('Table S3 Literature Values'!$A$10:$AV$10000,MATCH($C74,'Table S3 Literature Values'!$A$10:$A$10000,0)+2,X$1)</f>
        <v>0</v>
      </c>
      <c r="Z74" s="501">
        <f ca="1">IF(VLOOKUP($C74,'Table S3 Literature Values'!$A$10:$AV$10000,Z$1,FALSE)=0,VLOOKUP($C74,'Table S9 Model Derived Values'!$A$10:$AV$10000,Z$1,FALSE),VLOOKUP($C74,'Table S3 Literature Values'!$A$10:$AV$10000,Z$1,FALSE))</f>
        <v>6.4362128672865646</v>
      </c>
      <c r="AA74" s="61">
        <f ca="1">IF(INDEX('Table S3 Literature Values'!$A$10:$AV$10000,MATCH($C74,'Table S3 Literature Values'!$A$10:$A$10000,0)+1,AA$1)=0,INDEX('Table S9 Model Derived Values'!$A$10:$AV$10000,MATCH($C74,'Table S9 Model Derived Values'!$A$10:$A$10000,0)+1,AA$1),INDEX('Table S3 Literature Values'!$A$10:$AV$10000,MATCH($C74,'Table S3 Literature Values'!$A$10:$A$10000,0)+1,AA$1))</f>
        <v>1.9308638601859693</v>
      </c>
      <c r="AB74" s="63">
        <f ca="1">INDEX('Table S3 Literature Values'!$A$10:$AV$10000,MATCH($C74,'Table S3 Literature Values'!$A$10:$A$10000,0)+2,AA$1)</f>
        <v>1</v>
      </c>
      <c r="AC74" s="501">
        <f>IF(VLOOKUP($C74,'Table S3 Literature Values'!$A$10:$AV$10000,AC$1,FALSE)=0,VLOOKUP($C74,'Table S9 Model Derived Values'!$A$10:$AV$10000,AC$1,FALSE),VLOOKUP($C74,'Table S3 Literature Values'!$A$10:$AV$10000,AC$1,FALSE))</f>
        <v>-2.5275280000000002</v>
      </c>
      <c r="AD74" s="61">
        <f>IF(INDEX('Table S3 Literature Values'!$A$10:$AV$10000,MATCH($C74,'Table S3 Literature Values'!$A$10:$A$10000,0)+1,AD$1)=0,INDEX('Table S9 Model Derived Values'!$A$10:$AV$10000,MATCH($C74,'Table S9 Model Derived Values'!$A$10:$A$10000,0)+1,AD$1),INDEX('Table S3 Literature Values'!$A$10:$AV$10000,MATCH($C74,'Table S3 Literature Values'!$A$10:$A$10000,0)+1,AD$1))</f>
        <v>0.53196376310400006</v>
      </c>
      <c r="AE74" s="63">
        <f>INDEX('Table S3 Literature Values'!$A$10:$AV$10000,MATCH($C74,'Table S3 Literature Values'!$A$10:$A$10000,0)+2,AD$1)</f>
        <v>0</v>
      </c>
      <c r="AF74" s="501">
        <f>IF(VLOOKUP($C74,'Table S3 Literature Values'!$A$10:$AV$10000,AF$1,FALSE)=0,VLOOKUP($C74,'Table S9 Model Derived Values'!$A$10:$AV$10000,AF$1,FALSE),VLOOKUP($C74,'Table S3 Literature Values'!$A$10:$AV$10000,AF$1,FALSE))</f>
        <v>-1.2839966563652008</v>
      </c>
      <c r="AG74" s="61">
        <f>IF(INDEX('Table S3 Literature Values'!$A$10:$AV$10000,MATCH($C74,'Table S3 Literature Values'!$A$10:$A$10000,0)+1,AG$1)=0,INDEX('Table S9 Model Derived Values'!$A$10:$AV$10000,MATCH($C74,'Table S9 Model Derived Values'!$A$10:$A$10000,0)+1,AG$1),INDEX('Table S3 Literature Values'!$A$10:$AV$10000,MATCH($C74,'Table S3 Literature Values'!$A$10:$A$10000,0)+1,AG$1))</f>
        <v>0.20372452829541232</v>
      </c>
      <c r="AH74" s="63">
        <f>INDEX('Table S3 Literature Values'!$A$10:$AV$10000,MATCH($C74,'Table S3 Literature Values'!$A$10:$A$10000,0)+2,AG$1)</f>
        <v>1</v>
      </c>
      <c r="AI74" s="501">
        <f ca="1">IF(VLOOKUP($C74,'Table S3 Literature Values'!$A$10:$AV$10000,AI$1,FALSE)=0,VLOOKUP($C74,'Table S9 Model Derived Values'!$A$10:$AV$10000,AI$1,FALSE),VLOOKUP($C74,'Table S3 Literature Values'!$A$10:$AV$10000,AI$1,FALSE))</f>
        <v>-2.6450973005369249</v>
      </c>
      <c r="AJ74" s="61">
        <f ca="1">IF(INDEX('Table S3 Literature Values'!$A$10:$AV$10000,MATCH($C74,'Table S3 Literature Values'!$A$10:$A$10000,0)+1,AJ$1)=0,INDEX('Table S9 Model Derived Values'!$A$10:$AV$10000,MATCH($C74,'Table S9 Model Derived Values'!$A$10:$A$10000,0)+1,AJ$1),INDEX('Table S3 Literature Values'!$A$10:$AV$10000,MATCH($C74,'Table S3 Literature Values'!$A$10:$A$10000,0)+1,AJ$1))</f>
        <v>0.32707841585854547</v>
      </c>
      <c r="AK74" s="63">
        <f ca="1">INDEX('Table S3 Literature Values'!$A$10:$AV$10000,MATCH($C74,'Table S3 Literature Values'!$A$10:$A$10000,0)+2,AJ$1)</f>
        <v>1</v>
      </c>
      <c r="AL74" s="501">
        <f>IF(VLOOKUP($C74,'Table S3 Literature Values'!$A$10:$AV$10000,AL$1,FALSE)=0,VLOOKUP($C74,'Table S9 Model Derived Values'!$A$10:$AV$10000,AL$1,FALSE),VLOOKUP($C74,'Table S3 Literature Values'!$A$10:$AV$10000,AL$1,FALSE))</f>
        <v>3.7626205999999982</v>
      </c>
      <c r="AM74" s="61">
        <f>IF(INDEX('Table S3 Literature Values'!$A$10:$AV$10000,MATCH($C74,'Table S3 Literature Values'!$A$10:$A$10000,0)+1,AM$1)=0,INDEX('Table S9 Model Derived Values'!$A$10:$AV$10000,MATCH($C74,'Table S9 Model Derived Values'!$A$10:$A$10000,0)+1,AM$1),INDEX('Table S3 Literature Values'!$A$10:$AV$10000,MATCH($C74,'Table S3 Literature Values'!$A$10:$A$10000,0)+1,AM$1))</f>
        <v>0.68002218365859968</v>
      </c>
      <c r="AN74" s="63">
        <f>INDEX('Table S3 Literature Values'!$A$10:$AV$10000,MATCH($C74,'Table S3 Literature Values'!$A$10:$A$10000,0)+2,AM$1)</f>
        <v>0</v>
      </c>
      <c r="AO74" s="501">
        <f>IF(VLOOKUP($C74,'Table S3 Literature Values'!$A$10:$AV$10000,AO$1,FALSE)=0,VLOOKUP($C74,'Table S9 Model Derived Values'!$A$10:$AV$10000,AO$1,FALSE),VLOOKUP($C74,'Table S3 Literature Values'!$A$10:$AV$10000,AO$1,FALSE))</f>
        <v>0</v>
      </c>
      <c r="AP74" s="61">
        <f>IF(INDEX('Table S3 Literature Values'!$A$10:$AV$10000,MATCH($C74,'Table S3 Literature Values'!$A$10:$A$10000,0)+1,AP$1)=0,INDEX('Table S9 Model Derived Values'!$A$10:$AV$10000,MATCH($C74,'Table S9 Model Derived Values'!$A$10:$A$10000,0)+1,AP$1),INDEX('Table S3 Literature Values'!$A$10:$AV$10000,MATCH($C74,'Table S3 Literature Values'!$A$10:$A$10000,0)+1,AP$1))</f>
        <v>0</v>
      </c>
      <c r="AQ74" s="63">
        <f>INDEX('Table S3 Literature Values'!$A$10:$AV$10000,MATCH($C74,'Table S3 Literature Values'!$A$10:$A$10000,0)+2,AP$1)</f>
        <v>0</v>
      </c>
      <c r="AR74" s="501">
        <f>IF(VLOOKUP($C74,'Table S3 Literature Values'!$A$10:$AV$10000,AR$1,FALSE)=0,VLOOKUP($C74,'Table S9 Model Derived Values'!$A$10:$AV$10000,AR$1,FALSE),VLOOKUP($C74,'Table S3 Literature Values'!$A$10:$AV$10000,AR$1,FALSE))</f>
        <v>-20</v>
      </c>
      <c r="AS74" s="61">
        <f>IF(INDEX('Table S3 Literature Values'!$A$10:$AV$10000,MATCH($C74,'Table S3 Literature Values'!$A$10:$A$10000,0)+1,AS$1)=0,INDEX('Table S9 Model Derived Values'!$A$10:$AV$10000,MATCH($C74,'Table S9 Model Derived Values'!$A$10:$A$10000,0)+1,AS$1),INDEX('Table S3 Literature Values'!$A$10:$AV$10000,MATCH($C74,'Table S3 Literature Values'!$A$10:$A$10000,0)+1,AS$1))</f>
        <v>6</v>
      </c>
      <c r="AT74" s="63">
        <f>INDEX('Table S3 Literature Values'!$A$10:$AV$10000,MATCH($C74,'Table S3 Literature Values'!$A$10:$A$10000,0)+2,AS$1)</f>
        <v>1</v>
      </c>
    </row>
    <row r="75" spans="1:46">
      <c r="A75" t="str">
        <f>'Table S2 Compound Identifiers'!C80</f>
        <v>UV Filter</v>
      </c>
      <c r="B75">
        <f>COUNTIF($C$3:C75,"&lt;&gt;"&amp;"")</f>
        <v>73</v>
      </c>
      <c r="C75" t="str">
        <f>IF('Table S2 Compound Identifiers'!B80="","",'Table S2 Compound Identifiers'!B80)</f>
        <v>Avobenzone</v>
      </c>
      <c r="D75" t="str">
        <f>'Table S2 Compound Identifiers'!D80</f>
        <v>70356-09-1</v>
      </c>
      <c r="E75" s="501">
        <f>IF(VLOOKUP($C75,'Table S3 Literature Values'!$A$10:$AV$10000,E$1,FALSE)=0,VLOOKUP($C75,'Table S9 Model Derived Values'!$A$10:$AV$10000,E$1,FALSE),VLOOKUP($C75,'Table S3 Literature Values'!$A$10:$AV$10000,E$1,FALSE))</f>
        <v>109.20942995680001</v>
      </c>
      <c r="F75" s="61">
        <f>IF(INDEX('Table S3 Literature Values'!$A$10:$AV$10000,MATCH($C75,'Table S3 Literature Values'!$A$10:$A$10000,0)+1,F$1)=0,INDEX('Table S9 Model Derived Values'!$A$10:$AV$10000,MATCH($C75,'Table S9 Model Derived Values'!$A$10:$A$10000,0)+1,F$1),INDEX('Table S3 Literature Values'!$A$10:$AV$10000,MATCH($C75,'Table S3 Literature Values'!$A$10:$A$10000,0)+1,F$1))</f>
        <v>19.497050320757548</v>
      </c>
      <c r="G75" s="63">
        <f>INDEX('Table S3 Literature Values'!$A$10:$AV$10000,MATCH($C75,'Table S3 Literature Values'!$A$10:$A$10000,0)+2,F$1)</f>
        <v>0</v>
      </c>
      <c r="H75" s="501">
        <f>IF(VLOOKUP($C75,'Table S3 Literature Values'!$A$10:$AV$10000,H$1,FALSE)=0,VLOOKUP($C75,'Table S9 Model Derived Values'!$A$10:$AV$10000,H$1,FALSE),VLOOKUP($C75,'Table S3 Literature Values'!$A$10:$AV$10000,H$1,FALSE))</f>
        <v>3.8691312060082481</v>
      </c>
      <c r="I75" s="61">
        <f>IF(INDEX('Table S3 Literature Values'!$A$10:$AV$10000,MATCH($C75,'Table S3 Literature Values'!$A$10:$A$10000,0)+1,I$1)=0,INDEX('Table S9 Model Derived Values'!$A$10:$AV$10000,MATCH($C75,'Table S9 Model Derived Values'!$A$10:$A$10000,0)+1,I$1),INDEX('Table S3 Literature Values'!$A$10:$AV$10000,MATCH($C75,'Table S3 Literature Values'!$A$10:$A$10000,0)+1,I$1))</f>
        <v>5.4275398731642497</v>
      </c>
      <c r="J75" s="63">
        <f>INDEX('Table S3 Literature Values'!$A$10:$AV$10000,MATCH($C75,'Table S3 Literature Values'!$A$10:$A$10000,0)+2,I$1)</f>
        <v>0</v>
      </c>
      <c r="K75" s="501">
        <f>IF(VLOOKUP($C75,'Table S3 Literature Values'!$A$10:$AV$10000,K$1,FALSE)=0,VLOOKUP($C75,'Table S9 Model Derived Values'!$A$10:$AV$10000,K$1,FALSE),VLOOKUP($C75,'Table S3 Literature Values'!$A$10:$AV$10000,K$1,FALSE))</f>
        <v>0</v>
      </c>
      <c r="L75" s="61">
        <f>IF(INDEX('Table S3 Literature Values'!$A$10:$AV$10000,MATCH($C75,'Table S3 Literature Values'!$A$10:$A$10000,0)+1,L$1)=0,INDEX('Table S9 Model Derived Values'!$A$10:$AV$10000,MATCH($C75,'Table S9 Model Derived Values'!$A$10:$A$10000,0)+1,L$1),INDEX('Table S3 Literature Values'!$A$10:$AV$10000,MATCH($C75,'Table S3 Literature Values'!$A$10:$A$10000,0)+1,L$1))</f>
        <v>0</v>
      </c>
      <c r="M75" s="63">
        <f>INDEX('Table S3 Literature Values'!$A$10:$AV$10000,MATCH($C75,'Table S3 Literature Values'!$A$10:$A$10000,0)+2,L$1)</f>
        <v>0</v>
      </c>
      <c r="N75" s="501">
        <f>IF(VLOOKUP($C75,'Table S3 Literature Values'!$A$10:$AV$10000,N$1,FALSE)=0,VLOOKUP($C75,'Table S9 Model Derived Values'!$A$10:$AV$10000,N$1,FALSE),VLOOKUP($C75,'Table S3 Literature Values'!$A$10:$AV$10000,N$1,FALSE))</f>
        <v>-99.692940717856132</v>
      </c>
      <c r="O75" s="61">
        <f>IF(INDEX('Table S3 Literature Values'!$A$10:$AV$10000,MATCH($C75,'Table S3 Literature Values'!$A$10:$A$10000,0)+1,O$1)=0,INDEX('Table S9 Model Derived Values'!$A$10:$AV$10000,MATCH($C75,'Table S9 Model Derived Values'!$A$10:$A$10000,0)+1,O$1),INDEX('Table S3 Literature Values'!$A$10:$AV$10000,MATCH($C75,'Table S3 Literature Values'!$A$10:$A$10000,0)+1,O$1))</f>
        <v>16.554112499140729</v>
      </c>
      <c r="P75" s="63">
        <f>INDEX('Table S3 Literature Values'!$A$10:$AV$10000,MATCH($C75,'Table S3 Literature Values'!$A$10:$A$10000,0)+2,O$1)</f>
        <v>0</v>
      </c>
      <c r="Q75" s="501">
        <f>IF(VLOOKUP($C75,'Table S3 Literature Values'!$A$10:$AV$10000,Q$1,FALSE)=0,VLOOKUP($C75,'Table S9 Model Derived Values'!$A$10:$AV$10000,Q$1,FALSE),VLOOKUP($C75,'Table S3 Literature Values'!$A$10:$AV$10000,Q$1,FALSE))</f>
        <v>111.53555650000001</v>
      </c>
      <c r="R75" s="61">
        <f>IF(INDEX('Table S3 Literature Values'!$A$10:$AV$10000,MATCH($C75,'Table S3 Literature Values'!$A$10:$A$10000,0)+1,R$1)=0,INDEX('Table S9 Model Derived Values'!$A$10:$AV$10000,MATCH($C75,'Table S9 Model Derived Values'!$A$10:$A$10000,0)+1,R$1),INDEX('Table S3 Literature Values'!$A$10:$AV$10000,MATCH($C75,'Table S3 Literature Values'!$A$10:$A$10000,0)+1,R$1))</f>
        <v>20.909459241498503</v>
      </c>
      <c r="S75" s="63">
        <f>INDEX('Table S3 Literature Values'!$A$10:$AV$10000,MATCH($C75,'Table S3 Literature Values'!$A$10:$A$10000,0)+2,R$1)</f>
        <v>0</v>
      </c>
      <c r="T75" s="501">
        <f>IF(VLOOKUP($C75,'Table S3 Literature Values'!$A$10:$AV$10000,T$1,FALSE)=0,VLOOKUP($C75,'Table S9 Model Derived Values'!$A$10:$AV$10000,T$1,FALSE),VLOOKUP($C75,'Table S3 Literature Values'!$A$10:$AV$10000,T$1,FALSE))</f>
        <v>3.0459800000000197</v>
      </c>
      <c r="U75" s="61">
        <f>IF(INDEX('Table S3 Literature Values'!$A$10:$AV$10000,MATCH($C75,'Table S3 Literature Values'!$A$10:$A$10000,0)+1,U$1)=0,INDEX('Table S9 Model Derived Values'!$A$10:$AV$10000,MATCH($C75,'Table S9 Model Derived Values'!$A$10:$A$10000,0)+1,U$1),INDEX('Table S3 Literature Values'!$A$10:$AV$10000,MATCH($C75,'Table S3 Literature Values'!$A$10:$A$10000,0)+1,U$1))</f>
        <v>1.2495010438102512</v>
      </c>
      <c r="V75" s="63">
        <f>INDEX('Table S3 Literature Values'!$A$10:$AV$10000,MATCH($C75,'Table S3 Literature Values'!$A$10:$A$10000,0)+2,U$1)</f>
        <v>0</v>
      </c>
      <c r="W75" s="501">
        <f>IF(VLOOKUP($C75,'Table S3 Literature Values'!$A$10:$AV$10000,W$1,FALSE)=0,VLOOKUP($C75,'Table S9 Model Derived Values'!$A$10:$AV$10000,W$1,FALSE),VLOOKUP($C75,'Table S3 Literature Values'!$A$10:$AV$10000,W$1,FALSE))</f>
        <v>11.674199918450622</v>
      </c>
      <c r="X75" s="61">
        <f>IF(INDEX('Table S3 Literature Values'!$A$10:$AV$10000,MATCH($C75,'Table S3 Literature Values'!$A$10:$A$10000,0)+1,X$1)=0,INDEX('Table S9 Model Derived Values'!$A$10:$AV$10000,MATCH($C75,'Table S9 Model Derived Values'!$A$10:$A$10000,0)+1,X$1),INDEX('Table S3 Literature Values'!$A$10:$AV$10000,MATCH($C75,'Table S3 Literature Values'!$A$10:$A$10000,0)+1,X$1))</f>
        <v>0.95729606751286955</v>
      </c>
      <c r="Y75" s="63">
        <f>INDEX('Table S3 Literature Values'!$A$10:$AV$10000,MATCH($C75,'Table S3 Literature Values'!$A$10:$A$10000,0)+2,X$1)</f>
        <v>0</v>
      </c>
      <c r="Z75" s="501">
        <f>IF(VLOOKUP($C75,'Table S3 Literature Values'!$A$10:$AV$10000,Z$1,FALSE)=0,VLOOKUP($C75,'Table S9 Model Derived Values'!$A$10:$AV$10000,Z$1,FALSE),VLOOKUP($C75,'Table S3 Literature Values'!$A$10:$AV$10000,Z$1,FALSE))</f>
        <v>4.7695797400000002</v>
      </c>
      <c r="AA75" s="61">
        <f>IF(INDEX('Table S3 Literature Values'!$A$10:$AV$10000,MATCH($C75,'Table S3 Literature Values'!$A$10:$A$10000,0)+1,AA$1)=0,INDEX('Table S9 Model Derived Values'!$A$10:$AV$10000,MATCH($C75,'Table S9 Model Derived Values'!$A$10:$A$10000,0)+1,AA$1),INDEX('Table S3 Literature Values'!$A$10:$AV$10000,MATCH($C75,'Table S3 Literature Values'!$A$10:$A$10000,0)+1,AA$1))</f>
        <v>0.70761485022640003</v>
      </c>
      <c r="AB75" s="63">
        <f>INDEX('Table S3 Literature Values'!$A$10:$AV$10000,MATCH($C75,'Table S3 Literature Values'!$A$10:$A$10000,0)+2,AA$1)</f>
        <v>0</v>
      </c>
      <c r="AC75" s="501">
        <f>IF(VLOOKUP($C75,'Table S3 Literature Values'!$A$10:$AV$10000,AC$1,FALSE)=0,VLOOKUP($C75,'Table S9 Model Derived Values'!$A$10:$AV$10000,AC$1,FALSE),VLOOKUP($C75,'Table S3 Literature Values'!$A$10:$AV$10000,AC$1,FALSE))</f>
        <v>-7.4751449999999995</v>
      </c>
      <c r="AD75" s="61">
        <f>IF(INDEX('Table S3 Literature Values'!$A$10:$AV$10000,MATCH($C75,'Table S3 Literature Values'!$A$10:$A$10000,0)+1,AD$1)=0,INDEX('Table S9 Model Derived Values'!$A$10:$AV$10000,MATCH($C75,'Table S9 Model Derived Values'!$A$10:$A$10000,0)+1,AD$1),INDEX('Table S3 Literature Values'!$A$10:$AV$10000,MATCH($C75,'Table S3 Literature Values'!$A$10:$A$10000,0)+1,AD$1))</f>
        <v>1.5732788178599999</v>
      </c>
      <c r="AE75" s="63">
        <f>INDEX('Table S3 Literature Values'!$A$10:$AV$10000,MATCH($C75,'Table S3 Literature Values'!$A$10:$A$10000,0)+2,AD$1)</f>
        <v>0</v>
      </c>
      <c r="AF75" s="501">
        <f>IF(VLOOKUP($C75,'Table S3 Literature Values'!$A$10:$AV$10000,AF$1,FALSE)=0,VLOOKUP($C75,'Table S9 Model Derived Values'!$A$10:$AV$10000,AF$1,FALSE),VLOOKUP($C75,'Table S3 Literature Values'!$A$10:$AV$10000,AF$1,FALSE))</f>
        <v>-4.8499999999999996</v>
      </c>
      <c r="AG75" s="61">
        <f>IF(INDEX('Table S3 Literature Values'!$A$10:$AV$10000,MATCH($C75,'Table S3 Literature Values'!$A$10:$A$10000,0)+1,AG$1)=0,INDEX('Table S9 Model Derived Values'!$A$10:$AV$10000,MATCH($C75,'Table S9 Model Derived Values'!$A$10:$A$10000,0)+1,AG$1),INDEX('Table S3 Literature Values'!$A$10:$AV$10000,MATCH($C75,'Table S3 Literature Values'!$A$10:$A$10000,0)+1,AG$1))</f>
        <v>0.76952222370251988</v>
      </c>
      <c r="AH75" s="63">
        <f>INDEX('Table S3 Literature Values'!$A$10:$AV$10000,MATCH($C75,'Table S3 Literature Values'!$A$10:$A$10000,0)+2,AG$1)</f>
        <v>1</v>
      </c>
      <c r="AI75" s="501">
        <f ca="1">IF(VLOOKUP($C75,'Table S3 Literature Values'!$A$10:$AV$10000,AI$1,FALSE)=0,VLOOKUP($C75,'Table S9 Model Derived Values'!$A$10:$AV$10000,AI$1,FALSE),VLOOKUP($C75,'Table S3 Literature Values'!$A$10:$AV$10000,AI$1,FALSE))</f>
        <v>-4.0495573269641527</v>
      </c>
      <c r="AJ75" s="61">
        <f ca="1">IF(INDEX('Table S3 Literature Values'!$A$10:$AV$10000,MATCH($C75,'Table S3 Literature Values'!$A$10:$A$10000,0)+1,AJ$1)=0,INDEX('Table S9 Model Derived Values'!$A$10:$AV$10000,MATCH($C75,'Table S9 Model Derived Values'!$A$10:$A$10000,0)+1,AJ$1),INDEX('Table S3 Literature Values'!$A$10:$AV$10000,MATCH($C75,'Table S3 Literature Values'!$A$10:$A$10000,0)+1,AJ$1))</f>
        <v>0.50074634122644102</v>
      </c>
      <c r="AK75" s="63">
        <f ca="1">INDEX('Table S3 Literature Values'!$A$10:$AV$10000,MATCH($C75,'Table S3 Literature Values'!$A$10:$A$10000,0)+2,AJ$1)</f>
        <v>1</v>
      </c>
      <c r="AL75" s="501">
        <f>IF(VLOOKUP($C75,'Table S3 Literature Values'!$A$10:$AV$10000,AL$1,FALSE)=0,VLOOKUP($C75,'Table S9 Model Derived Values'!$A$10:$AV$10000,AL$1,FALSE),VLOOKUP($C75,'Table S3 Literature Values'!$A$10:$AV$10000,AL$1,FALSE))</f>
        <v>2.0133316945093855</v>
      </c>
      <c r="AM75" s="61">
        <f>IF(INDEX('Table S3 Literature Values'!$A$10:$AV$10000,MATCH($C75,'Table S3 Literature Values'!$A$10:$A$10000,0)+1,AM$1)=0,INDEX('Table S9 Model Derived Values'!$A$10:$AV$10000,MATCH($C75,'Table S9 Model Derived Values'!$A$10:$A$10000,0)+1,AM$1),INDEX('Table S3 Literature Values'!$A$10:$AV$10000,MATCH($C75,'Table S3 Literature Values'!$A$10:$A$10000,0)+1,AM$1))</f>
        <v>0.40266633890187714</v>
      </c>
      <c r="AN75" s="63">
        <f>INDEX('Table S3 Literature Values'!$A$10:$AV$10000,MATCH($C75,'Table S3 Literature Values'!$A$10:$A$10000,0)+2,AM$1)</f>
        <v>1</v>
      </c>
      <c r="AO75" s="501">
        <f>IF(VLOOKUP($C75,'Table S3 Literature Values'!$A$10:$AV$10000,AO$1,FALSE)=0,VLOOKUP($C75,'Table S9 Model Derived Values'!$A$10:$AV$10000,AO$1,FALSE),VLOOKUP($C75,'Table S3 Literature Values'!$A$10:$AV$10000,AO$1,FALSE))</f>
        <v>0</v>
      </c>
      <c r="AP75" s="61">
        <f>IF(INDEX('Table S3 Literature Values'!$A$10:$AV$10000,MATCH($C75,'Table S3 Literature Values'!$A$10:$A$10000,0)+1,AP$1)=0,INDEX('Table S9 Model Derived Values'!$A$10:$AV$10000,MATCH($C75,'Table S9 Model Derived Values'!$A$10:$A$10000,0)+1,AP$1),INDEX('Table S3 Literature Values'!$A$10:$AV$10000,MATCH($C75,'Table S3 Literature Values'!$A$10:$A$10000,0)+1,AP$1))</f>
        <v>0</v>
      </c>
      <c r="AQ75" s="63">
        <f>INDEX('Table S3 Literature Values'!$A$10:$AV$10000,MATCH($C75,'Table S3 Literature Values'!$A$10:$A$10000,0)+2,AP$1)</f>
        <v>0</v>
      </c>
      <c r="AR75" s="501">
        <f>IF(VLOOKUP($C75,'Table S3 Literature Values'!$A$10:$AV$10000,AR$1,FALSE)=0,VLOOKUP($C75,'Table S9 Model Derived Values'!$A$10:$AV$10000,AR$1,FALSE),VLOOKUP($C75,'Table S3 Literature Values'!$A$10:$AV$10000,AR$1,FALSE))</f>
        <v>39.783333333333331</v>
      </c>
      <c r="AS75" s="61">
        <f>IF(INDEX('Table S3 Literature Values'!$A$10:$AV$10000,MATCH($C75,'Table S3 Literature Values'!$A$10:$A$10000,0)+1,AS$1)=0,INDEX('Table S9 Model Derived Values'!$A$10:$AV$10000,MATCH($C75,'Table S9 Model Derived Values'!$A$10:$A$10000,0)+1,AS$1),INDEX('Table S3 Literature Values'!$A$10:$AV$10000,MATCH($C75,'Table S3 Literature Values'!$A$10:$A$10000,0)+1,AS$1))</f>
        <v>68.339020088575069</v>
      </c>
      <c r="AT75" s="63">
        <f>INDEX('Table S3 Literature Values'!$A$10:$AV$10000,MATCH($C75,'Table S3 Literature Values'!$A$10:$A$10000,0)+2,AS$1)</f>
        <v>4</v>
      </c>
    </row>
    <row r="76" spans="1:46">
      <c r="A76" t="str">
        <f>'Table S2 Compound Identifiers'!C81</f>
        <v>UV Filter</v>
      </c>
      <c r="B76">
        <f>COUNTIF($C$3:C76,"&lt;&gt;"&amp;"")</f>
        <v>74</v>
      </c>
      <c r="C76" t="str">
        <f>IF('Table S2 Compound Identifiers'!B81="","",'Table S2 Compound Identifiers'!B81)</f>
        <v>Octinoxate</v>
      </c>
      <c r="D76" t="str">
        <f>'Table S2 Compound Identifiers'!D81</f>
        <v>5466-77-3</v>
      </c>
      <c r="E76" s="501">
        <f>IF(VLOOKUP($C76,'Table S3 Literature Values'!$A$10:$AV$10000,E$1,FALSE)=0,VLOOKUP($C76,'Table S9 Model Derived Values'!$A$10:$AV$10000,E$1,FALSE),VLOOKUP($C76,'Table S3 Literature Values'!$A$10:$AV$10000,E$1,FALSE))</f>
        <v>110.96000000000001</v>
      </c>
      <c r="F76" s="61">
        <f>IF(INDEX('Table S3 Literature Values'!$A$10:$AV$10000,MATCH($C76,'Table S3 Literature Values'!$A$10:$A$10000,0)+1,F$1)=0,INDEX('Table S9 Model Derived Values'!$A$10:$AV$10000,MATCH($C76,'Table S9 Model Derived Values'!$A$10:$A$10000,0)+1,F$1),INDEX('Table S3 Literature Values'!$A$10:$AV$10000,MATCH($C76,'Table S3 Literature Values'!$A$10:$A$10000,0)+1,F$1))</f>
        <v>9.9560634791065876</v>
      </c>
      <c r="G76" s="63">
        <f>INDEX('Table S3 Literature Values'!$A$10:$AV$10000,MATCH($C76,'Table S3 Literature Values'!$A$10:$A$10000,0)+2,F$1)</f>
        <v>2</v>
      </c>
      <c r="H76" s="501">
        <f>IF(VLOOKUP($C76,'Table S3 Literature Values'!$A$10:$AV$10000,H$1,FALSE)=0,VLOOKUP($C76,'Table S9 Model Derived Values'!$A$10:$AV$10000,H$1,FALSE),VLOOKUP($C76,'Table S3 Literature Values'!$A$10:$AV$10000,H$1,FALSE))</f>
        <v>6.0135759891440017</v>
      </c>
      <c r="I76" s="61">
        <f>IF(INDEX('Table S3 Literature Values'!$A$10:$AV$10000,MATCH($C76,'Table S3 Literature Values'!$A$10:$A$10000,0)+1,I$1)=0,INDEX('Table S9 Model Derived Values'!$A$10:$AV$10000,MATCH($C76,'Table S9 Model Derived Values'!$A$10:$A$10000,0)+1,I$1),INDEX('Table S3 Literature Values'!$A$10:$AV$10000,MATCH($C76,'Table S3 Literature Values'!$A$10:$A$10000,0)+1,I$1))</f>
        <v>8.4357241260514222</v>
      </c>
      <c r="J76" s="63">
        <f>INDEX('Table S3 Literature Values'!$A$10:$AV$10000,MATCH($C76,'Table S3 Literature Values'!$A$10:$A$10000,0)+2,I$1)</f>
        <v>0</v>
      </c>
      <c r="K76" s="501">
        <f>IF(VLOOKUP($C76,'Table S3 Literature Values'!$A$10:$AV$10000,K$1,FALSE)=0,VLOOKUP($C76,'Table S9 Model Derived Values'!$A$10:$AV$10000,K$1,FALSE),VLOOKUP($C76,'Table S3 Literature Values'!$A$10:$AV$10000,K$1,FALSE))</f>
        <v>0</v>
      </c>
      <c r="L76" s="61">
        <f>IF(INDEX('Table S3 Literature Values'!$A$10:$AV$10000,MATCH($C76,'Table S3 Literature Values'!$A$10:$A$10000,0)+1,L$1)=0,INDEX('Table S9 Model Derived Values'!$A$10:$AV$10000,MATCH($C76,'Table S9 Model Derived Values'!$A$10:$A$10000,0)+1,L$1),INDEX('Table S3 Literature Values'!$A$10:$AV$10000,MATCH($C76,'Table S3 Literature Values'!$A$10:$A$10000,0)+1,L$1))</f>
        <v>0</v>
      </c>
      <c r="M76" s="63">
        <f>INDEX('Table S3 Literature Values'!$A$10:$AV$10000,MATCH($C76,'Table S3 Literature Values'!$A$10:$A$10000,0)+2,L$1)</f>
        <v>0</v>
      </c>
      <c r="N76" s="501">
        <f>IF(VLOOKUP($C76,'Table S3 Literature Values'!$A$10:$AV$10000,N$1,FALSE)=0,VLOOKUP($C76,'Table S9 Model Derived Values'!$A$10:$AV$10000,N$1,FALSE),VLOOKUP($C76,'Table S3 Literature Values'!$A$10:$AV$10000,N$1,FALSE))</f>
        <v>101.7366255</v>
      </c>
      <c r="O76" s="61">
        <f>IF(INDEX('Table S3 Literature Values'!$A$10:$AV$10000,MATCH($C76,'Table S3 Literature Values'!$A$10:$A$10000,0)+1,O$1)=0,INDEX('Table S9 Model Derived Values'!$A$10:$AV$10000,MATCH($C76,'Table S9 Model Derived Values'!$A$10:$A$10000,0)+1,O$1),INDEX('Table S3 Literature Values'!$A$10:$AV$10000,MATCH($C76,'Table S3 Literature Values'!$A$10:$A$10000,0)+1,O$1))</f>
        <v>20.17145766310653</v>
      </c>
      <c r="P76" s="63">
        <f>INDEX('Table S3 Literature Values'!$A$10:$AV$10000,MATCH($C76,'Table S3 Literature Values'!$A$10:$A$10000,0)+2,O$1)</f>
        <v>2</v>
      </c>
      <c r="Q76" s="501">
        <f>IF(VLOOKUP($C76,'Table S3 Literature Values'!$A$10:$AV$10000,Q$1,FALSE)=0,VLOOKUP($C76,'Table S9 Model Derived Values'!$A$10:$AV$10000,Q$1,FALSE),VLOOKUP($C76,'Table S3 Literature Values'!$A$10:$AV$10000,Q$1,FALSE))</f>
        <v>95.871147899999997</v>
      </c>
      <c r="R76" s="61">
        <f>IF(INDEX('Table S3 Literature Values'!$A$10:$AV$10000,MATCH($C76,'Table S3 Literature Values'!$A$10:$A$10000,0)+1,R$1)=0,INDEX('Table S9 Model Derived Values'!$A$10:$AV$10000,MATCH($C76,'Table S9 Model Derived Values'!$A$10:$A$10000,0)+1,R$1),INDEX('Table S3 Literature Values'!$A$10:$AV$10000,MATCH($C76,'Table S3 Literature Values'!$A$10:$A$10000,0)+1,R$1))</f>
        <v>17.972868225665099</v>
      </c>
      <c r="S76" s="63">
        <f>INDEX('Table S3 Literature Values'!$A$10:$AV$10000,MATCH($C76,'Table S3 Literature Values'!$A$10:$A$10000,0)+2,R$1)</f>
        <v>0</v>
      </c>
      <c r="T76" s="501">
        <f>IF(VLOOKUP($C76,'Table S3 Literature Values'!$A$10:$AV$10000,T$1,FALSE)=0,VLOOKUP($C76,'Table S9 Model Derived Values'!$A$10:$AV$10000,T$1,FALSE),VLOOKUP($C76,'Table S3 Literature Values'!$A$10:$AV$10000,T$1,FALSE))</f>
        <v>2.0442639999999894</v>
      </c>
      <c r="U76" s="61">
        <f>IF(INDEX('Table S3 Literature Values'!$A$10:$AV$10000,MATCH($C76,'Table S3 Literature Values'!$A$10:$A$10000,0)+1,U$1)=0,INDEX('Table S9 Model Derived Values'!$A$10:$AV$10000,MATCH($C76,'Table S9 Model Derived Values'!$A$10:$A$10000,0)+1,U$1),INDEX('Table S3 Literature Values'!$A$10:$AV$10000,MATCH($C76,'Table S3 Literature Values'!$A$10:$A$10000,0)+1,U$1))</f>
        <v>0.8385839702899196</v>
      </c>
      <c r="V76" s="63">
        <f>INDEX('Table S3 Literature Values'!$A$10:$AV$10000,MATCH($C76,'Table S3 Literature Values'!$A$10:$A$10000,0)+2,U$1)</f>
        <v>0</v>
      </c>
      <c r="W76" s="501">
        <f>IF(VLOOKUP($C76,'Table S3 Literature Values'!$A$10:$AV$10000,W$1,FALSE)=0,VLOOKUP($C76,'Table S9 Model Derived Values'!$A$10:$AV$10000,W$1,FALSE),VLOOKUP($C76,'Table S3 Literature Values'!$A$10:$AV$10000,W$1,FALSE))</f>
        <v>10.330951337636964</v>
      </c>
      <c r="X76" s="61">
        <f>IF(INDEX('Table S3 Literature Values'!$A$10:$AV$10000,MATCH($C76,'Table S3 Literature Values'!$A$10:$A$10000,0)+1,X$1)=0,INDEX('Table S9 Model Derived Values'!$A$10:$AV$10000,MATCH($C76,'Table S9 Model Derived Values'!$A$10:$A$10000,0)+1,X$1),INDEX('Table S3 Literature Values'!$A$10:$AV$10000,MATCH($C76,'Table S3 Literature Values'!$A$10:$A$10000,0)+1,X$1))</f>
        <v>1.3307061432192995</v>
      </c>
      <c r="Y76" s="63">
        <f>INDEX('Table S3 Literature Values'!$A$10:$AV$10000,MATCH($C76,'Table S3 Literature Values'!$A$10:$A$10000,0)+2,X$1)</f>
        <v>2</v>
      </c>
      <c r="Z76" s="501">
        <f ca="1">IF(VLOOKUP($C76,'Table S3 Literature Values'!$A$10:$AV$10000,Z$1,FALSE)=0,VLOOKUP($C76,'Table S9 Model Derived Values'!$A$10:$AV$10000,Z$1,FALSE),VLOOKUP($C76,'Table S3 Literature Values'!$A$10:$AV$10000,Z$1,FALSE))</f>
        <v>6.0022541387692874</v>
      </c>
      <c r="AA76" s="61">
        <f ca="1">IF(INDEX('Table S3 Literature Values'!$A$10:$AV$10000,MATCH($C76,'Table S3 Literature Values'!$A$10:$A$10000,0)+1,AA$1)=0,INDEX('Table S9 Model Derived Values'!$A$10:$AV$10000,MATCH($C76,'Table S9 Model Derived Values'!$A$10:$A$10000,0)+1,AA$1),INDEX('Table S3 Literature Values'!$A$10:$AV$10000,MATCH($C76,'Table S3 Literature Values'!$A$10:$A$10000,0)+1,AA$1))</f>
        <v>1.2004508277538575</v>
      </c>
      <c r="AB76" s="63">
        <f ca="1">INDEX('Table S3 Literature Values'!$A$10:$AV$10000,MATCH($C76,'Table S3 Literature Values'!$A$10:$A$10000,0)+2,AA$1)</f>
        <v>1</v>
      </c>
      <c r="AC76" s="501">
        <f>IF(VLOOKUP($C76,'Table S3 Literature Values'!$A$10:$AV$10000,AC$1,FALSE)=0,VLOOKUP($C76,'Table S9 Model Derived Values'!$A$10:$AV$10000,AC$1,FALSE),VLOOKUP($C76,'Table S3 Literature Values'!$A$10:$AV$10000,AC$1,FALSE))</f>
        <v>-3.6227189999999996</v>
      </c>
      <c r="AD76" s="61">
        <f>IF(INDEX('Table S3 Literature Values'!$A$10:$AV$10000,MATCH($C76,'Table S3 Literature Values'!$A$10:$A$10000,0)+1,AD$1)=0,INDEX('Table S9 Model Derived Values'!$A$10:$AV$10000,MATCH($C76,'Table S9 Model Derived Values'!$A$10:$A$10000,0)+1,AD$1),INDEX('Table S3 Literature Values'!$A$10:$AV$10000,MATCH($C76,'Table S3 Literature Values'!$A$10:$A$10000,0)+1,AD$1))</f>
        <v>0.76246642249199992</v>
      </c>
      <c r="AE76" s="63">
        <f>INDEX('Table S3 Literature Values'!$A$10:$AV$10000,MATCH($C76,'Table S3 Literature Values'!$A$10:$A$10000,0)+2,AD$1)</f>
        <v>0</v>
      </c>
      <c r="AF76" s="501">
        <f>IF(VLOOKUP($C76,'Table S3 Literature Values'!$A$10:$AV$10000,AF$1,FALSE)=0,VLOOKUP($C76,'Table S9 Model Derived Values'!$A$10:$AV$10000,AF$1,FALSE),VLOOKUP($C76,'Table S3 Literature Values'!$A$10:$AV$10000,AF$1,FALSE))</f>
        <v>-4.0845351391156468</v>
      </c>
      <c r="AG76" s="61">
        <f>IF(INDEX('Table S3 Literature Values'!$A$10:$AV$10000,MATCH($C76,'Table S3 Literature Values'!$A$10:$A$10000,0)+1,AG$1)=0,INDEX('Table S9 Model Derived Values'!$A$10:$AV$10000,MATCH($C76,'Table S9 Model Derived Values'!$A$10:$A$10000,0)+1,AG$1),INDEX('Table S3 Literature Values'!$A$10:$AV$10000,MATCH($C76,'Table S3 Literature Values'!$A$10:$A$10000,0)+1,AG$1))</f>
        <v>0.98176864457868018</v>
      </c>
      <c r="AH76" s="63">
        <f>INDEX('Table S3 Literature Values'!$A$10:$AV$10000,MATCH($C76,'Table S3 Literature Values'!$A$10:$A$10000,0)+2,AG$1)</f>
        <v>2</v>
      </c>
      <c r="AI76" s="501">
        <f ca="1">IF(VLOOKUP($C76,'Table S3 Literature Values'!$A$10:$AV$10000,AI$1,FALSE)=0,VLOOKUP($C76,'Table S9 Model Derived Values'!$A$10:$AV$10000,AI$1,FALSE),VLOOKUP($C76,'Table S3 Literature Values'!$A$10:$AV$10000,AI$1,FALSE))</f>
        <v>-3.3038705028971718</v>
      </c>
      <c r="AJ76" s="61">
        <f ca="1">IF(INDEX('Table S3 Literature Values'!$A$10:$AV$10000,MATCH($C76,'Table S3 Literature Values'!$A$10:$A$10000,0)+1,AJ$1)=0,INDEX('Table S9 Model Derived Values'!$A$10:$AV$10000,MATCH($C76,'Table S9 Model Derived Values'!$A$10:$A$10000,0)+1,AJ$1),INDEX('Table S3 Literature Values'!$A$10:$AV$10000,MATCH($C76,'Table S3 Literature Values'!$A$10:$A$10000,0)+1,AJ$1))</f>
        <v>0.76711407451090985</v>
      </c>
      <c r="AK76" s="63">
        <f ca="1">INDEX('Table S3 Literature Values'!$A$10:$AV$10000,MATCH($C76,'Table S3 Literature Values'!$A$10:$A$10000,0)+2,AJ$1)</f>
        <v>2</v>
      </c>
      <c r="AL76" s="501">
        <f>IF(VLOOKUP($C76,'Table S3 Literature Values'!$A$10:$AV$10000,AL$1,FALSE)=0,VLOOKUP($C76,'Table S9 Model Derived Values'!$A$10:$AV$10000,AL$1,FALSE),VLOOKUP($C76,'Table S3 Literature Values'!$A$10:$AV$10000,AL$1,FALSE))</f>
        <v>3.5162542999999982</v>
      </c>
      <c r="AM76" s="61">
        <f>IF(INDEX('Table S3 Literature Values'!$A$10:$AV$10000,MATCH($C76,'Table S3 Literature Values'!$A$10:$A$10000,0)+1,AM$1)=0,INDEX('Table S9 Model Derived Values'!$A$10:$AV$10000,MATCH($C76,'Table S9 Model Derived Values'!$A$10:$A$10000,0)+1,AM$1),INDEX('Table S3 Literature Values'!$A$10:$AV$10000,MATCH($C76,'Table S3 Literature Values'!$A$10:$A$10000,0)+1,AM$1))</f>
        <v>0.63549615589329966</v>
      </c>
      <c r="AN76" s="63">
        <f>INDEX('Table S3 Literature Values'!$A$10:$AV$10000,MATCH($C76,'Table S3 Literature Values'!$A$10:$A$10000,0)+2,AM$1)</f>
        <v>0</v>
      </c>
      <c r="AO76" s="501">
        <f>IF(VLOOKUP($C76,'Table S3 Literature Values'!$A$10:$AV$10000,AO$1,FALSE)=0,VLOOKUP($C76,'Table S9 Model Derived Values'!$A$10:$AV$10000,AO$1,FALSE),VLOOKUP($C76,'Table S3 Literature Values'!$A$10:$AV$10000,AO$1,FALSE))</f>
        <v>0</v>
      </c>
      <c r="AP76" s="61">
        <f>IF(INDEX('Table S3 Literature Values'!$A$10:$AV$10000,MATCH($C76,'Table S3 Literature Values'!$A$10:$A$10000,0)+1,AP$1)=0,INDEX('Table S9 Model Derived Values'!$A$10:$AV$10000,MATCH($C76,'Table S9 Model Derived Values'!$A$10:$A$10000,0)+1,AP$1),INDEX('Table S3 Literature Values'!$A$10:$AV$10000,MATCH($C76,'Table S3 Literature Values'!$A$10:$A$10000,0)+1,AP$1))</f>
        <v>0</v>
      </c>
      <c r="AQ76" s="63">
        <f>INDEX('Table S3 Literature Values'!$A$10:$AV$10000,MATCH($C76,'Table S3 Literature Values'!$A$10:$A$10000,0)+2,AP$1)</f>
        <v>0</v>
      </c>
      <c r="AR76" s="501">
        <f>IF(VLOOKUP($C76,'Table S3 Literature Values'!$A$10:$AV$10000,AR$1,FALSE)=0,VLOOKUP($C76,'Table S9 Model Derived Values'!$A$10:$AV$10000,AR$1,FALSE),VLOOKUP($C76,'Table S3 Literature Values'!$A$10:$AV$10000,AR$1,FALSE))</f>
        <v>-68.3</v>
      </c>
      <c r="AS76" s="61">
        <f>IF(INDEX('Table S3 Literature Values'!$A$10:$AV$10000,MATCH($C76,'Table S3 Literature Values'!$A$10:$A$10000,0)+1,AS$1)=0,INDEX('Table S9 Model Derived Values'!$A$10:$AV$10000,MATCH($C76,'Table S9 Model Derived Values'!$A$10:$A$10000,0)+1,AS$1),INDEX('Table S3 Literature Values'!$A$10:$AV$10000,MATCH($C76,'Table S3 Literature Values'!$A$10:$A$10000,0)+1,AS$1))</f>
        <v>3.1531184839764772</v>
      </c>
      <c r="AT76" s="63">
        <f>INDEX('Table S3 Literature Values'!$A$10:$AV$10000,MATCH($C76,'Table S3 Literature Values'!$A$10:$A$10000,0)+2,AS$1)</f>
        <v>1</v>
      </c>
    </row>
    <row r="77" spans="1:46">
      <c r="E77" s="61"/>
    </row>
    <row r="78" spans="1:46">
      <c r="E78" s="61"/>
    </row>
    <row r="79" spans="1:46">
      <c r="E79" s="61"/>
    </row>
    <row r="80" spans="1:46">
      <c r="E80" s="61"/>
    </row>
    <row r="81" spans="5:5">
      <c r="E81" s="6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C8AF5-490F-46B6-AD01-F00B891D61CC}">
  <sheetPr codeName="Sheet8">
    <tabColor rgb="FFFF9900"/>
  </sheetPr>
  <dimension ref="B1:AU3537"/>
  <sheetViews>
    <sheetView workbookViewId="0">
      <pane xSplit="4" ySplit="5" topLeftCell="E6" activePane="bottomRight" state="frozen"/>
      <selection pane="topRight" activeCell="E1" sqref="E1"/>
      <selection pane="bottomLeft" activeCell="A6" sqref="A6"/>
      <selection pane="bottomRight" activeCell="C7" sqref="C7"/>
    </sheetView>
  </sheetViews>
  <sheetFormatPr defaultRowHeight="15"/>
  <cols>
    <col min="2" max="3" width="11" customWidth="1"/>
    <col min="4" max="4" width="31" style="231" bestFit="1" customWidth="1"/>
    <col min="5" max="5" width="11.42578125" bestFit="1" customWidth="1"/>
    <col min="6" max="6" width="18" bestFit="1" customWidth="1"/>
    <col min="7" max="7" width="12.140625" customWidth="1"/>
    <col min="8" max="8" width="10.5703125" style="63" bestFit="1" customWidth="1"/>
    <col min="9" max="9" width="16" style="61" customWidth="1"/>
    <col min="10" max="10" width="10.42578125" customWidth="1"/>
    <col min="11" max="11" width="10.5703125" style="63" bestFit="1" customWidth="1"/>
    <col min="12" max="12" width="15.42578125" customWidth="1"/>
    <col min="13" max="13" width="9.85546875" customWidth="1"/>
    <col min="14" max="14" width="10.5703125" style="63" bestFit="1" customWidth="1"/>
    <col min="15" max="15" width="16.85546875" customWidth="1"/>
    <col min="16" max="16" width="11.28515625" customWidth="1"/>
    <col min="17" max="17" width="10.5703125" style="63" bestFit="1" customWidth="1"/>
    <col min="18" max="18" width="16" customWidth="1"/>
    <col min="19" max="19" width="11.85546875" customWidth="1"/>
    <col min="20" max="20" width="10.5703125" style="63" bestFit="1" customWidth="1"/>
    <col min="21" max="21" width="16.140625" customWidth="1"/>
    <col min="22" max="22" width="12" customWidth="1"/>
    <col min="23" max="23" width="10.5703125" style="63" bestFit="1" customWidth="1"/>
    <col min="24" max="24" width="10" customWidth="1"/>
    <col min="25" max="25" width="12.7109375" customWidth="1"/>
    <col min="26" max="26" width="10.5703125" style="63" bestFit="1" customWidth="1"/>
    <col min="27" max="27" width="10.7109375" customWidth="1"/>
    <col min="28" max="28" width="13.42578125" customWidth="1"/>
    <col min="29" max="29" width="10.5703125" style="63" bestFit="1" customWidth="1"/>
    <col min="30" max="30" width="10.5703125" customWidth="1"/>
    <col min="31" max="31" width="13.28515625" customWidth="1"/>
    <col min="32" max="32" width="10.5703125" style="63" bestFit="1" customWidth="1"/>
    <col min="34" max="34" width="10.85546875" customWidth="1"/>
    <col min="35" max="35" width="10.5703125" style="63" bestFit="1" customWidth="1"/>
    <col min="36" max="36" width="10" customWidth="1"/>
    <col min="37" max="37" width="12.7109375" customWidth="1"/>
    <col min="38" max="38" width="10.5703125" style="63" bestFit="1" customWidth="1"/>
    <col min="39" max="39" width="9.42578125" customWidth="1"/>
    <col min="40" max="40" width="12.140625" customWidth="1"/>
    <col min="41" max="41" width="10.5703125" style="63" bestFit="1" customWidth="1"/>
    <col min="43" max="43" width="10.85546875" customWidth="1"/>
    <col min="44" max="44" width="10.5703125" style="63" bestFit="1" customWidth="1"/>
    <col min="47" max="47" width="10.5703125" style="63" bestFit="1" customWidth="1"/>
  </cols>
  <sheetData>
    <row r="1" spans="2:47">
      <c r="E1">
        <v>1</v>
      </c>
      <c r="F1">
        <f>1+E1</f>
        <v>2</v>
      </c>
      <c r="G1">
        <f t="shared" ref="G1:AU1" si="0">1+F1</f>
        <v>3</v>
      </c>
      <c r="H1" s="63">
        <f t="shared" si="0"/>
        <v>4</v>
      </c>
      <c r="I1" s="63">
        <f t="shared" si="0"/>
        <v>5</v>
      </c>
      <c r="J1">
        <f t="shared" si="0"/>
        <v>6</v>
      </c>
      <c r="K1" s="63">
        <f t="shared" si="0"/>
        <v>7</v>
      </c>
      <c r="L1">
        <f t="shared" si="0"/>
        <v>8</v>
      </c>
      <c r="M1">
        <f t="shared" si="0"/>
        <v>9</v>
      </c>
      <c r="N1" s="63">
        <f t="shared" si="0"/>
        <v>10</v>
      </c>
      <c r="O1">
        <f t="shared" si="0"/>
        <v>11</v>
      </c>
      <c r="P1">
        <f t="shared" si="0"/>
        <v>12</v>
      </c>
      <c r="Q1" s="63">
        <f t="shared" si="0"/>
        <v>13</v>
      </c>
      <c r="R1">
        <f t="shared" si="0"/>
        <v>14</v>
      </c>
      <c r="S1">
        <f t="shared" si="0"/>
        <v>15</v>
      </c>
      <c r="T1" s="63">
        <f t="shared" si="0"/>
        <v>16</v>
      </c>
      <c r="U1">
        <f t="shared" si="0"/>
        <v>17</v>
      </c>
      <c r="V1">
        <f t="shared" si="0"/>
        <v>18</v>
      </c>
      <c r="W1" s="63">
        <f t="shared" si="0"/>
        <v>19</v>
      </c>
      <c r="X1">
        <f t="shared" si="0"/>
        <v>20</v>
      </c>
      <c r="Y1">
        <f t="shared" si="0"/>
        <v>21</v>
      </c>
      <c r="Z1" s="63">
        <f t="shared" si="0"/>
        <v>22</v>
      </c>
      <c r="AA1">
        <f t="shared" si="0"/>
        <v>23</v>
      </c>
      <c r="AB1">
        <f t="shared" si="0"/>
        <v>24</v>
      </c>
      <c r="AC1" s="63">
        <f t="shared" si="0"/>
        <v>25</v>
      </c>
      <c r="AD1">
        <f t="shared" si="0"/>
        <v>26</v>
      </c>
      <c r="AE1">
        <f t="shared" si="0"/>
        <v>27</v>
      </c>
      <c r="AF1" s="63">
        <f t="shared" si="0"/>
        <v>28</v>
      </c>
      <c r="AG1">
        <f t="shared" si="0"/>
        <v>29</v>
      </c>
      <c r="AH1">
        <f t="shared" si="0"/>
        <v>30</v>
      </c>
      <c r="AI1" s="63">
        <f t="shared" si="0"/>
        <v>31</v>
      </c>
      <c r="AJ1">
        <f t="shared" si="0"/>
        <v>32</v>
      </c>
      <c r="AK1">
        <f t="shared" si="0"/>
        <v>33</v>
      </c>
      <c r="AL1" s="63">
        <f t="shared" si="0"/>
        <v>34</v>
      </c>
      <c r="AM1">
        <f t="shared" si="0"/>
        <v>35</v>
      </c>
      <c r="AN1">
        <f t="shared" si="0"/>
        <v>36</v>
      </c>
      <c r="AO1" s="63">
        <f t="shared" si="0"/>
        <v>37</v>
      </c>
      <c r="AP1">
        <f t="shared" si="0"/>
        <v>38</v>
      </c>
      <c r="AQ1">
        <f t="shared" si="0"/>
        <v>39</v>
      </c>
      <c r="AR1" s="63">
        <f t="shared" si="0"/>
        <v>40</v>
      </c>
      <c r="AS1">
        <f t="shared" si="0"/>
        <v>41</v>
      </c>
      <c r="AT1">
        <f t="shared" si="0"/>
        <v>42</v>
      </c>
      <c r="AU1" s="63">
        <f t="shared" si="0"/>
        <v>43</v>
      </c>
    </row>
    <row r="2" spans="2:47">
      <c r="E2" t="s">
        <v>1399</v>
      </c>
      <c r="G2">
        <f>COUNTIF(Table245[∆VAPH SD],"&lt;"&amp;0)</f>
        <v>0</v>
      </c>
      <c r="I2" s="63"/>
      <c r="J2">
        <f>COUNTIF(Table245[∆WH SD],"&lt;"&amp;0)</f>
        <v>0</v>
      </c>
      <c r="M2">
        <f>COUNTIF(Table245[∆OH SD],"&lt;"&amp;0)</f>
        <v>0</v>
      </c>
      <c r="P2">
        <f>COUNTIF(Table245[∆OAU SD],"&lt;"&amp;0)</f>
        <v>0</v>
      </c>
      <c r="S2">
        <f>COUNTIF(Table245[∆AWU SD],"&lt;"&amp;0)</f>
        <v>0</v>
      </c>
      <c r="V2">
        <f>COUNTIF(Table245[∆OWU SD],"&lt;"&amp;0)</f>
        <v>0</v>
      </c>
      <c r="Y2">
        <f>COUNTIF(Table245[LogKOA SD],"&lt;"&amp;0)</f>
        <v>0</v>
      </c>
      <c r="AB2">
        <f>COUNTIF(Table245[LogKOW SD],"&lt;"&amp;0)</f>
        <v>0</v>
      </c>
      <c r="AE2">
        <f>COUNTIF(Table245[LogKAW SD],"&lt;"&amp;0)</f>
        <v>0</v>
      </c>
      <c r="AH2">
        <f>COUNTIF(Table245[LogPL SD],"&lt;"&amp;0)</f>
        <v>0</v>
      </c>
      <c r="AK2">
        <f>COUNTIF(Table245[LogSWL SD],"&lt;"&amp;0)</f>
        <v>0</v>
      </c>
      <c r="AN2">
        <f>COUNTIF(Table245[LogSOL SD],"&lt;"&amp;0)</f>
        <v>0</v>
      </c>
      <c r="AQ2">
        <f>COUNTIF(Table245[∆fusS SD],"&lt;"&amp;0)</f>
        <v>0</v>
      </c>
      <c r="AT2">
        <f>COUNTIF(Table245[Tm SD],"&lt;"&amp;0)</f>
        <v>0</v>
      </c>
    </row>
    <row r="3" spans="2:47">
      <c r="D3" s="241" t="s">
        <v>1038</v>
      </c>
      <c r="E3">
        <f>COUNTIF(E6:E3537,"&lt;&gt;"&amp;0)</f>
        <v>3532</v>
      </c>
      <c r="F3">
        <f>COUNTIF(F6:F3537,"&lt;&gt;"&amp;0)</f>
        <v>3532</v>
      </c>
      <c r="G3">
        <f t="shared" ref="G3:P3" si="1">COUNTIF(G6:G79,"&lt;&gt;"&amp;0)</f>
        <v>64</v>
      </c>
      <c r="I3" s="63">
        <f t="shared" si="1"/>
        <v>74</v>
      </c>
      <c r="J3">
        <f t="shared" si="1"/>
        <v>64</v>
      </c>
      <c r="L3">
        <f t="shared" si="1"/>
        <v>74</v>
      </c>
      <c r="M3">
        <f t="shared" si="1"/>
        <v>64</v>
      </c>
      <c r="O3">
        <f t="shared" si="1"/>
        <v>74</v>
      </c>
      <c r="P3">
        <f t="shared" si="1"/>
        <v>64</v>
      </c>
      <c r="R3">
        <f>COUNTIF(R6:R3537,"&lt;&gt;"&amp;0)</f>
        <v>3532</v>
      </c>
      <c r="S3">
        <f>COUNTIF(S6:S3537,"&lt;&gt;"&amp;0)</f>
        <v>3522</v>
      </c>
      <c r="U3">
        <f>COUNTIF(U6:U3537,"&lt;&gt;"&amp;0)</f>
        <v>3532</v>
      </c>
      <c r="V3">
        <f>COUNTIF(V6:V3537,"&lt;&gt;"&amp;0)</f>
        <v>3522</v>
      </c>
      <c r="X3">
        <f>COUNTIF(X6:X3537,"&lt;&gt;"&amp;0)</f>
        <v>3532</v>
      </c>
      <c r="Y3">
        <f>COUNTIF(Y6:Y3537,"&lt;&gt;"&amp;0)</f>
        <v>3522</v>
      </c>
      <c r="AA3">
        <f>COUNTIF(AA6:AA3537,"&lt;&gt;"&amp;0)</f>
        <v>3532</v>
      </c>
      <c r="AB3">
        <f>COUNTIF(AB6:AB3537,"&lt;&gt;"&amp;0)</f>
        <v>3522</v>
      </c>
      <c r="AD3">
        <f>COUNTIF(AD6:AD3537,"&lt;&gt;"&amp;0)</f>
        <v>3532</v>
      </c>
      <c r="AE3">
        <f>COUNTIF(AE6:AE3537,"&lt;&gt;"&amp;0)</f>
        <v>3522</v>
      </c>
      <c r="AG3">
        <f>COUNTIF(AG6:AG3537,"&lt;&gt;"&amp;0)</f>
        <v>3532</v>
      </c>
      <c r="AH3">
        <f>COUNTIF(AH6:AH3537,"&lt;&gt;"&amp;0)</f>
        <v>3522</v>
      </c>
      <c r="AJ3">
        <f>COUNTIF(AJ6:AJ3537,"&lt;&gt;"&amp;0)</f>
        <v>3532</v>
      </c>
      <c r="AK3">
        <f>COUNTIF(AK6:AK3537,"&lt;&gt;"&amp;0)</f>
        <v>3522</v>
      </c>
      <c r="AM3">
        <f>COUNTIF(AM6:AM3537,"&lt;&gt;"&amp;0)</f>
        <v>3532</v>
      </c>
      <c r="AN3">
        <f>COUNTIF(AN6:AN3537,"&lt;&gt;"&amp;0)</f>
        <v>3522</v>
      </c>
      <c r="AP3">
        <f>COUNTIF(AP6:AP3537,"&lt;&gt;"&amp;0)</f>
        <v>3532</v>
      </c>
      <c r="AQ3">
        <f>COUNTIF(AQ6:AQ3537,"&lt;&gt;"&amp;0)</f>
        <v>3522</v>
      </c>
      <c r="AS3">
        <f>COUNTIF(AS6:AS3537,"&lt;&gt;"&amp;0)</f>
        <v>3532</v>
      </c>
      <c r="AT3">
        <f>COUNTIF(AT6:AT3537,"&lt;&gt;"&amp;0)</f>
        <v>3522</v>
      </c>
    </row>
    <row r="4" spans="2:47">
      <c r="D4" s="241" t="s">
        <v>1028</v>
      </c>
      <c r="E4">
        <v>2</v>
      </c>
      <c r="F4">
        <v>3</v>
      </c>
      <c r="G4">
        <v>3</v>
      </c>
      <c r="I4" s="63">
        <f>'Table S6 Recommended Values'!G1</f>
        <v>7</v>
      </c>
      <c r="J4" s="63">
        <f>'Table S6 Recommended Values'!G1</f>
        <v>7</v>
      </c>
      <c r="L4">
        <f>'Table S6 Recommended Values'!$K$1</f>
        <v>11</v>
      </c>
      <c r="M4">
        <f>'Table S6 Recommended Values'!$K$1</f>
        <v>11</v>
      </c>
      <c r="O4">
        <f>'Table S6 Recommended Values'!O1</f>
        <v>15</v>
      </c>
      <c r="P4">
        <f>'Table S6 Recommended Values'!O1</f>
        <v>15</v>
      </c>
      <c r="R4">
        <f>'Table S6 Recommended Values'!S1</f>
        <v>19</v>
      </c>
      <c r="S4">
        <f>'Table S6 Recommended Values'!S1</f>
        <v>19</v>
      </c>
      <c r="U4">
        <f>'Table S6 Recommended Values'!W1</f>
        <v>23</v>
      </c>
      <c r="V4">
        <f>'Table S6 Recommended Values'!W1</f>
        <v>23</v>
      </c>
      <c r="X4">
        <f>'Table S6 Recommended Values'!AA1</f>
        <v>27</v>
      </c>
      <c r="Y4">
        <f>'Table S6 Recommended Values'!AA1</f>
        <v>27</v>
      </c>
      <c r="AA4">
        <f>'Table S6 Recommended Values'!AE1</f>
        <v>31</v>
      </c>
      <c r="AB4">
        <f>'Table S6 Recommended Values'!AE1</f>
        <v>31</v>
      </c>
      <c r="AD4">
        <f>'Table S6 Recommended Values'!AI1</f>
        <v>35</v>
      </c>
      <c r="AE4">
        <f>'Table S6 Recommended Values'!AI1</f>
        <v>35</v>
      </c>
      <c r="AG4">
        <f>'Table S6 Recommended Values'!AM1</f>
        <v>39</v>
      </c>
      <c r="AH4">
        <f>'Table S6 Recommended Values'!AM1</f>
        <v>39</v>
      </c>
      <c r="AJ4">
        <f>'Table S6 Recommended Values'!AQ1</f>
        <v>43</v>
      </c>
      <c r="AK4">
        <f>'Table S6 Recommended Values'!AQ1</f>
        <v>43</v>
      </c>
      <c r="AM4">
        <f>'Table S6 Recommended Values'!AU1</f>
        <v>47</v>
      </c>
      <c r="AN4">
        <f>'Table S6 Recommended Values'!AU1</f>
        <v>47</v>
      </c>
      <c r="AP4">
        <f>'Table S6 Recommended Values'!AY1</f>
        <v>51</v>
      </c>
      <c r="AQ4">
        <f>'Table S6 Recommended Values'!AY1</f>
        <v>51</v>
      </c>
      <c r="AS4">
        <f>'Table S6 Recommended Values'!BC1</f>
        <v>55</v>
      </c>
      <c r="AT4">
        <f>'Table S6 Recommended Values'!BC1</f>
        <v>55</v>
      </c>
    </row>
    <row r="5" spans="2:47" ht="18">
      <c r="B5" s="242" t="s">
        <v>1018</v>
      </c>
      <c r="C5" s="242" t="s">
        <v>1017</v>
      </c>
      <c r="D5" s="242" t="s">
        <v>1027</v>
      </c>
      <c r="E5" s="242" t="s">
        <v>1029</v>
      </c>
      <c r="F5" s="243" t="s">
        <v>1030</v>
      </c>
      <c r="G5" s="244" t="s">
        <v>1031</v>
      </c>
      <c r="H5" s="329" t="s">
        <v>1483</v>
      </c>
      <c r="I5" s="331" t="s">
        <v>1032</v>
      </c>
      <c r="J5" s="244" t="s">
        <v>1033</v>
      </c>
      <c r="K5" s="329" t="s">
        <v>1482</v>
      </c>
      <c r="L5" s="245" t="s">
        <v>1034</v>
      </c>
      <c r="M5" s="244" t="s">
        <v>1035</v>
      </c>
      <c r="N5" s="329" t="s">
        <v>1487</v>
      </c>
      <c r="O5" s="245" t="s">
        <v>1036</v>
      </c>
      <c r="P5" s="244" t="s">
        <v>1037</v>
      </c>
      <c r="Q5" s="329" t="s">
        <v>1486</v>
      </c>
      <c r="R5" s="245" t="s">
        <v>1040</v>
      </c>
      <c r="S5" s="244" t="s">
        <v>1039</v>
      </c>
      <c r="T5" s="329" t="s">
        <v>1485</v>
      </c>
      <c r="U5" s="245" t="s">
        <v>1041</v>
      </c>
      <c r="V5" s="244" t="s">
        <v>1042</v>
      </c>
      <c r="W5" s="329" t="s">
        <v>1484</v>
      </c>
      <c r="X5" s="244" t="s">
        <v>1044</v>
      </c>
      <c r="Y5" s="244" t="s">
        <v>1043</v>
      </c>
      <c r="Z5" s="329" t="s">
        <v>1488</v>
      </c>
      <c r="AA5" s="244" t="s">
        <v>1045</v>
      </c>
      <c r="AB5" s="244" t="s">
        <v>1046</v>
      </c>
      <c r="AC5" s="329" t="s">
        <v>1489</v>
      </c>
      <c r="AD5" s="244" t="s">
        <v>1047</v>
      </c>
      <c r="AE5" s="244" t="s">
        <v>1048</v>
      </c>
      <c r="AF5" s="329" t="s">
        <v>1490</v>
      </c>
      <c r="AG5" s="244" t="s">
        <v>1049</v>
      </c>
      <c r="AH5" s="244" t="s">
        <v>1050</v>
      </c>
      <c r="AI5" s="329" t="s">
        <v>1491</v>
      </c>
      <c r="AJ5" s="244" t="s">
        <v>1051</v>
      </c>
      <c r="AK5" s="244" t="s">
        <v>1052</v>
      </c>
      <c r="AL5" s="329" t="s">
        <v>1492</v>
      </c>
      <c r="AM5" s="244" t="s">
        <v>1053</v>
      </c>
      <c r="AN5" s="245" t="s">
        <v>1054</v>
      </c>
      <c r="AO5" s="329" t="s">
        <v>1493</v>
      </c>
      <c r="AP5" s="246" t="s">
        <v>1055</v>
      </c>
      <c r="AQ5" s="246" t="s">
        <v>1056</v>
      </c>
      <c r="AR5" s="329" t="s">
        <v>1494</v>
      </c>
      <c r="AS5" s="244" t="s">
        <v>1057</v>
      </c>
      <c r="AT5" s="244" t="s">
        <v>1058</v>
      </c>
      <c r="AU5" s="329" t="s">
        <v>1495</v>
      </c>
    </row>
    <row r="6" spans="2:47">
      <c r="B6" s="247" t="str">
        <f>'Table S2 Compound Identifiers'!C8</f>
        <v>Musk</v>
      </c>
      <c r="C6">
        <f>COUNTIF($D$6:D6,"&lt;&gt;"&amp;"")</f>
        <v>1</v>
      </c>
      <c r="D6" s="247" t="str">
        <f>'Table S2 Compound Identifiers'!B8</f>
        <v>cyclopentadecanone</v>
      </c>
      <c r="E6" s="247" t="str">
        <f>VLOOKUP(RAVs!$D6,'Table S3 Literature Values'!$A$10:$AV$551,E$4,FALSE)</f>
        <v>502-72-7</v>
      </c>
      <c r="F6" s="248">
        <f>VLOOKUP(Table245[[#This Row],[Compound Name]],'Table S6 Recommended Values'!$A$10:$BD$398,RAVs!F$4,FALSE)</f>
        <v>64.044399324153304</v>
      </c>
      <c r="G6" s="250" cm="1">
        <f t="array" ref="G6">INDEX('Table S6 Recommended Values'!$A$10:$BD$398,MATCH(RAVs!$D6,'Table S6 Recommended Values'!$A$10:$A$398,0)+1,G$4)</f>
        <v>11.247407250340601</v>
      </c>
      <c r="H6" s="330"/>
      <c r="I6" s="343">
        <f>VLOOKUP(Table245[[#This Row],[Compound Name]],'Table S6 Recommended Values'!$A$10:$BD$398,RAVs!I$4,FALSE)</f>
        <v>5.1368203185714201</v>
      </c>
      <c r="J6" s="249" cm="1">
        <f t="array" ref="J6">INDEX('Table S6 Recommended Values'!$A$10:$BD$398,MATCH(RAVs!$D6,'Table S6 Recommended Values'!$A$10:$A$398,0)+1,J$4)</f>
        <v>14.645600403107601</v>
      </c>
      <c r="K6" s="327"/>
      <c r="L6" s="343">
        <f>VLOOKUP(Table245[[#This Row],[Compound Name]],'Table S6 Recommended Values'!$A$10:$BD$398,RAVs!L$4,FALSE)</f>
        <v>22.232362921152507</v>
      </c>
      <c r="M6" s="249" cm="1">
        <f t="array" ref="M6">INDEX('Table S6 Recommended Values'!$A$10:$BD$398,MATCH(RAVs!$D6,'Table S6 Recommended Values'!$A$10:$A$398,0)+1,M$4)</f>
        <v>15.022803318704382</v>
      </c>
      <c r="N6" s="327"/>
      <c r="O6" s="343">
        <f>VLOOKUP(Table245[[#This Row],[Compound Name]],'Table S6 Recommended Values'!$A$10:$BD$398,RAVs!O$4,FALSE)</f>
        <v>-39.421036403000798</v>
      </c>
      <c r="P6" s="249" cm="1">
        <f t="array" ref="P6">INDEX('Table S6 Recommended Values'!$A$10:$BD$398,MATCH(RAVs!$D6,'Table S6 Recommended Values'!$A$10:$A$398,0)+1,P$4)</f>
        <v>9.9589381812249993</v>
      </c>
      <c r="Q6" s="327"/>
      <c r="R6" s="343">
        <f>VLOOKUP(Table245[[#This Row],[Compound Name]],'Table S6 Recommended Values'!$A$10:$BD$398,RAVs!R$4,FALSE)</f>
        <v>56.5153382167139</v>
      </c>
      <c r="S6" s="249" cm="1">
        <f t="array" ref="S6">INDEX('Table S6 Recommended Values'!$A$10:$BD$398,MATCH(RAVs!$D6,'Table S6 Recommended Values'!$A$10:$A$398,0)+1,S$4)</f>
        <v>13.401310108308801</v>
      </c>
      <c r="T6" s="327"/>
      <c r="U6" s="343">
        <f>VLOOKUP(Table245[[#This Row],[Compound Name]],'Table S6 Recommended Values'!$A$10:$BD$398,RAVs!U$4,FALSE)</f>
        <v>17.092706768038401</v>
      </c>
      <c r="V6" s="249" cm="1">
        <f t="array" ref="V6">INDEX('Table S6 Recommended Values'!$A$10:$BD$398,MATCH(RAVs!$D6,'Table S6 Recommended Values'!$A$10:$A$398,0)+1,V$4)</f>
        <v>14.3022301363082</v>
      </c>
      <c r="W6" s="327"/>
      <c r="X6" s="343">
        <f>VLOOKUP(Table245[[#This Row],[Compound Name]],'Table S6 Recommended Values'!$A$10:$BF$398,RAVs!X$4,FALSE)</f>
        <v>6.7859081191935404</v>
      </c>
      <c r="Y6" s="249" cm="1">
        <f t="array" ref="Y6">INDEX('Table S6 Recommended Values'!$A$10:$BF$398,MATCH(RAVs!$D6,'Table S6 Recommended Values'!$A$10:$A$398,0)+1,Y$4)</f>
        <v>0.363340702106625</v>
      </c>
      <c r="Z6" s="327"/>
      <c r="AA6" s="343">
        <f>VLOOKUP(Table245[[#This Row],[Compound Name]],'Table S6 Recommended Values'!$A$10:$BF$398,RAVs!AA$4,FALSE)</f>
        <v>5.86756508426412</v>
      </c>
      <c r="AB6" s="249" cm="1">
        <f t="array" ref="AB6">INDEX('Table S6 Recommended Values'!$A$10:$BF$398,MATCH(RAVs!$D6,'Table S6 Recommended Values'!$A$10:$A$398,0)+1,AB$4)</f>
        <v>0.53622949210097604</v>
      </c>
      <c r="AC6" s="343"/>
      <c r="AD6" s="343">
        <f>VLOOKUP(Table245[[#This Row],[Compound Name]],'Table S6 Recommended Values'!$A$10:$BF$398,RAVs!AD$4,FALSE)</f>
        <v>-0.92706081973982801</v>
      </c>
      <c r="AE6" s="249" cm="1">
        <f t="array" ref="AE6">INDEX('Table S6 Recommended Values'!$A$10:$BF$398,MATCH(RAVs!$D6,'Table S6 Recommended Values'!$A$10:$A$398,0)+1,AE$4)</f>
        <v>0.45548031840665998</v>
      </c>
      <c r="AF6" s="249"/>
      <c r="AG6" s="343">
        <f>VLOOKUP(Table245[[#This Row],[Compound Name]],'Table S6 Recommended Values'!$A$10:$BF$398,RAVs!AG$4,FALSE)</f>
        <v>1.4701347467103483E-2</v>
      </c>
      <c r="AH6" s="249" cm="1">
        <f t="array" ref="AH6">INDEX('Table S6 Recommended Values'!$A$10:$BF$398,MATCH(RAVs!$D6,'Table S6 Recommended Values'!$A$10:$A$398,0)+1,AH$4)</f>
        <v>0.360418755543017</v>
      </c>
      <c r="AI6" s="343"/>
      <c r="AJ6" s="343">
        <f>VLOOKUP(Table245[[#This Row],[Compound Name]],'Table S6 Recommended Values'!$A$10:$BF$398,RAVs!AJ$4,FALSE)</f>
        <v>-2.4501588666919898</v>
      </c>
      <c r="AK6" s="249" cm="1">
        <f t="array" ref="AK6">INDEX('Table S6 Recommended Values'!$A$10:$BF$398,MATCH(RAVs!$D6,'Table S6 Recommended Values'!$A$10:$A$398,0)+1,AK$4)</f>
        <v>0.36276422494720101</v>
      </c>
      <c r="AL6" s="249"/>
      <c r="AM6" s="343">
        <f>VLOOKUP(Table245[[#This Row],[Compound Name]],'Table S6 Recommended Values'!$A$10:$BF$398,RAVs!AM$4,FALSE)</f>
        <v>3.4166266595993799</v>
      </c>
      <c r="AN6" s="249" cm="1">
        <f t="array" ref="AN6">INDEX('Table S6 Recommended Values'!$A$10:$BF$398,MATCH(RAVs!$D6,'Table S6 Recommended Values'!$A$10:$A$398,0)+1,AN$4)</f>
        <v>0.45319533274921298</v>
      </c>
      <c r="AO6" s="343"/>
      <c r="AP6" s="343">
        <f>VLOOKUP(Table245[[#This Row],[Compound Name]],'Table S6 Recommended Values'!$A$10:$BF$398,RAVs!AP$4,FALSE)</f>
        <v>27.437164066193851</v>
      </c>
      <c r="AQ6" s="249" cm="1">
        <f t="array" ref="AQ6">INDEX('Table S6 Recommended Values'!$A$10:$BF$398,MATCH(RAVs!$D6,'Table S6 Recommended Values'!$A$10:$A$398,0)+1,AQ$4)</f>
        <v>2.0257703248192196</v>
      </c>
      <c r="AR6" s="249"/>
      <c r="AS6" s="343">
        <f>VLOOKUP(Table245[[#This Row],[Compound Name]],'Table S6 Recommended Values'!$A$10:$BF$398,RAVs!AS$4,FALSE)</f>
        <v>63.82222222222223</v>
      </c>
      <c r="AT6" s="249" cm="1">
        <f t="array" ref="AT6">INDEX('Table S6 Recommended Values'!$A$10:$BF$398,MATCH(RAVs!$D6,'Table S6 Recommended Values'!$A$10:$A$398,0)+1,AT$4)</f>
        <v>3.0339857357022035</v>
      </c>
      <c r="AU6" s="343"/>
    </row>
    <row r="7" spans="2:47">
      <c r="B7" s="247" t="str">
        <f>'Table S2 Compound Identifiers'!C9</f>
        <v>Musk</v>
      </c>
      <c r="C7">
        <f>COUNTIF($D$6:D7,"&lt;&gt;"&amp;"")</f>
        <v>2</v>
      </c>
      <c r="D7" s="247" t="str">
        <f>'Table S2 Compound Identifiers'!B9</f>
        <v>15-pentadecanolide</v>
      </c>
      <c r="E7" s="247" t="str">
        <f>VLOOKUP(RAVs!$D7,'Table S3 Literature Values'!$A$10:$AV$551,E$4,FALSE)</f>
        <v>106-02-5</v>
      </c>
      <c r="F7" s="248">
        <f>VLOOKUP(Table245[[#This Row],[Compound Name]],'Table S6 Recommended Values'!$A$10:$BD$398,RAVs!F$4,FALSE)</f>
        <v>77.051090849398904</v>
      </c>
      <c r="G7" s="249" cm="1">
        <f t="array" ref="G7">INDEX('Table S6 Recommended Values'!$A$10:$BD$398,MATCH(RAVs!$D7,'Table S6 Recommended Values'!$A$10:$A$398,0)+1,G$4)</f>
        <v>2.4401658671586399</v>
      </c>
      <c r="H7" s="330"/>
      <c r="I7" s="332">
        <f>VLOOKUP(Table245[[#This Row],[Compound Name]],'Table S6 Recommended Values'!$A$10:$BD$398,RAVs!I$4,FALSE)</f>
        <v>4.4961263956267299</v>
      </c>
      <c r="J7" s="330" cm="1">
        <f t="array" ref="J7">INDEX('Table S6 Recommended Values'!$A$10:$BD$398,MATCH(RAVs!$D7,'Table S6 Recommended Values'!$A$10:$A$398,0)+1,J$4)</f>
        <v>3.75182379524413</v>
      </c>
      <c r="K7" s="330"/>
      <c r="L7" s="330">
        <f>VLOOKUP(Table245[[#This Row],[Compound Name]],'Table S6 Recommended Values'!$A$10:$BD$398,RAVs!L$4,FALSE)</f>
        <v>3.786068539609607</v>
      </c>
      <c r="M7" s="330" cm="1">
        <f t="array" ref="M7">INDEX('Table S6 Recommended Values'!$A$10:$BD$398,MATCH(RAVs!$D7,'Table S6 Recommended Values'!$A$10:$A$398,0)+1,M$4)</f>
        <v>5.7968615539742325</v>
      </c>
      <c r="N7" s="330"/>
      <c r="O7" s="330">
        <f>VLOOKUP(Table245[[#This Row],[Compound Name]],'Table S6 Recommended Values'!$A$10:$BD$398,RAVs!O$4,FALSE)</f>
        <v>-70.874022309789297</v>
      </c>
      <c r="P7" s="330" cm="1">
        <f t="array" ref="P7">INDEX('Table S6 Recommended Values'!$A$10:$BD$398,MATCH(RAVs!$D7,'Table S6 Recommended Values'!$A$10:$A$398,0)+1,P$4)</f>
        <v>5.2582501287689301</v>
      </c>
      <c r="Q7" s="330"/>
      <c r="R7" s="330">
        <f>VLOOKUP(Table245[[#This Row],[Compound Name]],'Table S6 Recommended Values'!$A$10:$BD$398,RAVs!R$4,FALSE)</f>
        <v>70.164694617555398</v>
      </c>
      <c r="S7" s="330" cm="1">
        <f t="array" ref="S7">INDEX('Table S6 Recommended Values'!$A$10:$BD$398,MATCH(RAVs!$D7,'Table S6 Recommended Values'!$A$10:$A$398,0)+1,S$4)</f>
        <v>4.3046088006826499</v>
      </c>
      <c r="T7" s="330"/>
      <c r="U7" s="330">
        <f>VLOOKUP(Table245[[#This Row],[Compound Name]],'Table S6 Recommended Values'!$A$10:$BD$398,RAVs!U$4,FALSE)</f>
        <v>-0.70966283867056201</v>
      </c>
      <c r="V7" s="330" cm="1">
        <f t="array" ref="V7">INDEX('Table S6 Recommended Values'!$A$10:$BD$398,MATCH(RAVs!$D7,'Table S6 Recommended Values'!$A$10:$A$398,0)+1,V$4)</f>
        <v>3.0738598168231599</v>
      </c>
      <c r="W7" s="330"/>
      <c r="X7" s="343">
        <f>VLOOKUP(Table245[[#This Row],[Compound Name]],'Table S6 Recommended Values'!$A$10:$BF$398,RAVs!X$4,FALSE)</f>
        <v>8.2862242334128293</v>
      </c>
      <c r="Y7" s="249" cm="1">
        <f t="array" ref="Y7">INDEX('Table S6 Recommended Values'!$A$10:$BF$398,MATCH(RAVs!$D7,'Table S6 Recommended Values'!$A$10:$A$398,0)+1,Y$4)</f>
        <v>0.54842622541147601</v>
      </c>
      <c r="Z7" s="330"/>
      <c r="AA7" s="343">
        <f>VLOOKUP(Table245[[#This Row],[Compound Name]],'Table S6 Recommended Values'!$A$10:$BF$398,RAVs!AA$4,FALSE)</f>
        <v>6.8124291424026797</v>
      </c>
      <c r="AB7" s="249" cm="1">
        <f t="array" ref="AB7">INDEX('Table S6 Recommended Values'!$A$10:$BF$398,MATCH(RAVs!$D7,'Table S6 Recommended Values'!$A$10:$A$398,0)+1,AB$4)</f>
        <v>0.54063838477767301</v>
      </c>
      <c r="AC7" s="330"/>
      <c r="AD7" s="343">
        <f>VLOOKUP(Table245[[#This Row],[Compound Name]],'Table S6 Recommended Values'!$A$10:$BF$398,RAVs!AD$4,FALSE)</f>
        <v>-1.4476662522431201</v>
      </c>
      <c r="AE7" s="249" cm="1">
        <f t="array" ref="AE7">INDEX('Table S6 Recommended Values'!$A$10:$BF$398,MATCH(RAVs!$D7,'Table S6 Recommended Values'!$A$10:$A$398,0)+1,AE$4)</f>
        <v>0.37941188355073302</v>
      </c>
      <c r="AF7" s="330"/>
      <c r="AG7" s="343">
        <f>VLOOKUP(Table245[[#This Row],[Compound Name]],'Table S6 Recommended Values'!$A$10:$BF$398,RAVs!AG$4,FALSE)</f>
        <v>-1.0207343306259067</v>
      </c>
      <c r="AH7" s="249" cm="1">
        <f t="array" ref="AH7">INDEX('Table S6 Recommended Values'!$A$10:$BF$398,MATCH(RAVs!$D7,'Table S6 Recommended Values'!$A$10:$A$398,0)+1,AH$4)</f>
        <v>0.19283848401916201</v>
      </c>
      <c r="AI7" s="330"/>
      <c r="AJ7" s="343">
        <f>VLOOKUP(Table245[[#This Row],[Compound Name]],'Table S6 Recommended Values'!$A$10:$BF$398,RAVs!AJ$4,FALSE)</f>
        <v>-2.95308617326359</v>
      </c>
      <c r="AK7" s="249" cm="1">
        <f t="array" ref="AK7">INDEX('Table S6 Recommended Values'!$A$10:$BF$398,MATCH(RAVs!$D7,'Table S6 Recommended Values'!$A$10:$A$398,0)+1,AK$4)</f>
        <v>0.34236194007381998</v>
      </c>
      <c r="AL7" s="330"/>
      <c r="AM7" s="343">
        <f>VLOOKUP(Table245[[#This Row],[Compound Name]],'Table S6 Recommended Values'!$A$10:$BF$398,RAVs!AM$4,FALSE)</f>
        <v>3.868267115004</v>
      </c>
      <c r="AN7" s="249" cm="1">
        <f t="array" ref="AN7">INDEX('Table S6 Recommended Values'!$A$10:$BF$398,MATCH(RAVs!$D7,'Table S6 Recommended Values'!$A$10:$A$398,0)+1,AN$4)</f>
        <v>0.527349935079378</v>
      </c>
      <c r="AO7" s="330"/>
      <c r="AP7" s="343">
        <f>VLOOKUP(Table245[[#This Row],[Compound Name]],'Table S6 Recommended Values'!$A$10:$BF$398,RAVs!AP$4,FALSE)</f>
        <v>22.617124394184167</v>
      </c>
      <c r="AQ7" s="249" cm="1">
        <f t="array" ref="AQ7">INDEX('Table S6 Recommended Values'!$A$10:$BF$398,MATCH(RAVs!$D7,'Table S6 Recommended Values'!$A$10:$A$398,0)+1,AQ$4)</f>
        <v>1.7826732863184251</v>
      </c>
      <c r="AR7" s="330"/>
      <c r="AS7" s="343">
        <f>VLOOKUP(Table245[[#This Row],[Compound Name]],'Table S6 Recommended Values'!$A$10:$BF$398,RAVs!AS$4,FALSE)</f>
        <v>34.290000000000006</v>
      </c>
      <c r="AT7" s="249" cm="1">
        <f t="array" ref="AT7">INDEX('Table S6 Recommended Values'!$A$10:$BF$398,MATCH(RAVs!$D7,'Table S6 Recommended Values'!$A$10:$A$398,0)+1,AT$4)</f>
        <v>1.6364595931461381</v>
      </c>
      <c r="AU7" s="330"/>
    </row>
    <row r="8" spans="2:47">
      <c r="B8" s="247" t="str">
        <f>'Table S2 Compound Identifiers'!C10</f>
        <v>Musk</v>
      </c>
      <c r="C8" s="247">
        <f>COUNTIF($D$6:D8,"&lt;&gt;"&amp;"")</f>
        <v>3</v>
      </c>
      <c r="D8" s="247" t="str">
        <f>'Table S2 Compound Identifiers'!B10</f>
        <v>Musk Ambrette</v>
      </c>
      <c r="E8" s="247" t="str">
        <f>VLOOKUP(RAVs!$D8,'Table S3 Literature Values'!$A$10:$AV$551,E$4,FALSE)</f>
        <v>83-66-9</v>
      </c>
      <c r="F8" s="248">
        <f>VLOOKUP(Table245[[#This Row],[Compound Name]],'Table S6 Recommended Values'!$A$10:$BD$398,RAVs!F$4,FALSE)</f>
        <v>94.163003250220498</v>
      </c>
      <c r="G8" s="249" cm="1">
        <f t="array" ref="G8">INDEX('Table S6 Recommended Values'!$A$10:$BD$398,MATCH(RAVs!$D8,'Table S6 Recommended Values'!$A$10:$A$398,0)+1,G$4)</f>
        <v>12.7381895159967</v>
      </c>
      <c r="H8" s="330"/>
      <c r="I8" s="332">
        <f>VLOOKUP(Table245[[#This Row],[Compound Name]],'Table S6 Recommended Values'!$A$10:$BD$398,RAVs!I$4,FALSE)</f>
        <v>33.206125118334</v>
      </c>
      <c r="J8" s="330" cm="1">
        <f t="array" ref="J8">INDEX('Table S6 Recommended Values'!$A$10:$BD$398,MATCH(RAVs!$D8,'Table S6 Recommended Values'!$A$10:$A$398,0)+1,J$4)</f>
        <v>12.675723950149401</v>
      </c>
      <c r="K8" s="330"/>
      <c r="L8" s="330">
        <f>VLOOKUP(Table245[[#This Row],[Compound Name]],'Table S6 Recommended Values'!$A$10:$BD$398,RAVs!L$4,FALSE)</f>
        <v>25.337256618379904</v>
      </c>
      <c r="M8" s="330" cm="1">
        <f t="array" ref="M8">INDEX('Table S6 Recommended Values'!$A$10:$BD$398,MATCH(RAVs!$D8,'Table S6 Recommended Values'!$A$10:$A$398,0)+1,M$4)</f>
        <v>14.749633767740006</v>
      </c>
      <c r="N8" s="330"/>
      <c r="O8" s="330">
        <f>VLOOKUP(Table245[[#This Row],[Compound Name]],'Table S6 Recommended Values'!$A$10:$BD$398,RAVs!O$4,FALSE)</f>
        <v>-66.434746631840596</v>
      </c>
      <c r="P8" s="330" cm="1">
        <f t="array" ref="P8">INDEX('Table S6 Recommended Values'!$A$10:$BD$398,MATCH(RAVs!$D8,'Table S6 Recommended Values'!$A$10:$A$398,0)+1,P$4)</f>
        <v>7.4357396496251802</v>
      </c>
      <c r="Q8" s="330"/>
      <c r="R8" s="330">
        <f>VLOOKUP(Table245[[#This Row],[Compound Name]],'Table S6 Recommended Values'!$A$10:$BD$398,RAVs!R$4,FALSE)</f>
        <v>58.5689184362856</v>
      </c>
      <c r="S8" s="330" cm="1">
        <f t="array" ref="S8">INDEX('Table S6 Recommended Values'!$A$10:$BD$398,MATCH(RAVs!$D8,'Table S6 Recommended Values'!$A$10:$A$398,0)+1,S$4)</f>
        <v>12.5180415622523</v>
      </c>
      <c r="T8" s="330"/>
      <c r="U8" s="330">
        <f>VLOOKUP(Table245[[#This Row],[Compound Name]],'Table S6 Recommended Values'!$A$10:$BD$398,RAVs!U$4,FALSE)</f>
        <v>-7.8642066756705802</v>
      </c>
      <c r="V8" s="330" cm="1">
        <f t="array" ref="V8">INDEX('Table S6 Recommended Values'!$A$10:$BD$398,MATCH(RAVs!$D8,'Table S6 Recommended Values'!$A$10:$A$398,0)+1,V$4)</f>
        <v>12.2591173119269</v>
      </c>
      <c r="W8" s="330"/>
      <c r="X8" s="343">
        <f>VLOOKUP(Table245[[#This Row],[Compound Name]],'Table S6 Recommended Values'!$A$10:$BF$398,RAVs!X$4,FALSE)</f>
        <v>7.8750223749763801</v>
      </c>
      <c r="Y8" s="249" cm="1">
        <f t="array" ref="Y8">INDEX('Table S6 Recommended Values'!$A$10:$BF$398,MATCH(RAVs!$D8,'Table S6 Recommended Values'!$A$10:$A$398,0)+1,Y$4)</f>
        <v>0.39882492735078801</v>
      </c>
      <c r="Z8" s="330"/>
      <c r="AA8" s="343">
        <f>VLOOKUP(Table245[[#This Row],[Compound Name]],'Table S6 Recommended Values'!$A$10:$BF$398,RAVs!AA$4,FALSE)</f>
        <v>4.6551204764599001</v>
      </c>
      <c r="AB8" s="249" cm="1">
        <f t="array" ref="AB8">INDEX('Table S6 Recommended Values'!$A$10:$BF$398,MATCH(RAVs!$D8,'Table S6 Recommended Values'!$A$10:$A$398,0)+1,AB$4)</f>
        <v>0.63686637305464999</v>
      </c>
      <c r="AC8" s="330"/>
      <c r="AD8" s="343">
        <f>VLOOKUP(Table245[[#This Row],[Compound Name]],'Table S6 Recommended Values'!$A$10:$BF$398,RAVs!AD$4,FALSE)</f>
        <v>-3.20927055698164</v>
      </c>
      <c r="AE8" s="249" cm="1">
        <f t="array" ref="AE8">INDEX('Table S6 Recommended Values'!$A$10:$BF$398,MATCH(RAVs!$D8,'Table S6 Recommended Values'!$A$10:$A$398,0)+1,AE$4)</f>
        <v>0.64981332227049005</v>
      </c>
      <c r="AF8" s="330"/>
      <c r="AG8" s="343">
        <f>VLOOKUP(Table245[[#This Row],[Compound Name]],'Table S6 Recommended Values'!$A$10:$BF$398,RAVs!AG$4,FALSE)</f>
        <v>-1.4485784657801761</v>
      </c>
      <c r="AH8" s="249" cm="1">
        <f t="array" ref="AH8">INDEX('Table S6 Recommended Values'!$A$10:$BF$398,MATCH(RAVs!$D8,'Table S6 Recommended Values'!$A$10:$A$398,0)+1,AH$4)</f>
        <v>0.39876676087693003</v>
      </c>
      <c r="AI8" s="330"/>
      <c r="AJ8" s="343">
        <f>VLOOKUP(Table245[[#This Row],[Compound Name]],'Table S6 Recommended Values'!$A$10:$BF$398,RAVs!AJ$4,FALSE)</f>
        <v>-1.6372441692450901</v>
      </c>
      <c r="AK8" s="249" cm="1">
        <f t="array" ref="AK8">INDEX('Table S6 Recommended Values'!$A$10:$BF$398,MATCH(RAVs!$D8,'Table S6 Recommended Values'!$A$10:$A$398,0)+1,AK$4)</f>
        <v>0.63388787522016099</v>
      </c>
      <c r="AL8" s="330"/>
      <c r="AM8" s="343">
        <f>VLOOKUP(Table245[[#This Row],[Compound Name]],'Table S6 Recommended Values'!$A$10:$BF$398,RAVs!AM$4,FALSE)</f>
        <v>3.0245245351517802</v>
      </c>
      <c r="AN8" s="249" cm="1">
        <f t="array" ref="AN8">INDEX('Table S6 Recommended Values'!$A$10:$BF$398,MATCH(RAVs!$D8,'Table S6 Recommended Values'!$A$10:$A$398,0)+1,AN$4)</f>
        <v>0.52255679616604001</v>
      </c>
      <c r="AO8" s="330"/>
      <c r="AP8" s="343" t="str">
        <f>VLOOKUP(Table245[[#This Row],[Compound Name]],'Table S6 Recommended Values'!$A$10:$BF$398,RAVs!AP$4,FALSE)</f>
        <v>-</v>
      </c>
      <c r="AQ8" s="249" t="str" cm="1">
        <f t="array" ref="AQ8">INDEX('Table S6 Recommended Values'!$A$10:$BF$398,MATCH(RAVs!$D8,'Table S6 Recommended Values'!$A$10:$A$398,0)+1,AQ$4)</f>
        <v>-</v>
      </c>
      <c r="AR8" s="330"/>
      <c r="AS8" s="343">
        <f>VLOOKUP(Table245[[#This Row],[Compound Name]],'Table S6 Recommended Values'!$A$10:$BF$398,RAVs!AS$4,FALSE)</f>
        <v>85.25</v>
      </c>
      <c r="AT8" s="249" cm="1">
        <f t="array" ref="AT8">INDEX('Table S6 Recommended Values'!$A$10:$BF$398,MATCH(RAVs!$D8,'Table S6 Recommended Values'!$A$10:$A$398,0)+1,AT$4)</f>
        <v>0.5</v>
      </c>
      <c r="AU8" s="330"/>
    </row>
    <row r="9" spans="2:47">
      <c r="B9" s="247" t="str">
        <f>'Table S2 Compound Identifiers'!C11</f>
        <v>Musk</v>
      </c>
      <c r="C9" s="247">
        <f>COUNTIF($D$6:D9,"&lt;&gt;"&amp;"")</f>
        <v>4</v>
      </c>
      <c r="D9" s="247" t="str">
        <f>'Table S2 Compound Identifiers'!B11</f>
        <v>16-hexadecanolide</v>
      </c>
      <c r="E9" s="247" t="str">
        <f>VLOOKUP(RAVs!$D9,'Table S3 Literature Values'!$A$10:$AV$551,E$4,FALSE)</f>
        <v>109-29-5</v>
      </c>
      <c r="F9" s="248">
        <f>VLOOKUP(Table245[[#This Row],[Compound Name]],'Table S6 Recommended Values'!$A$10:$BD$398,RAVs!F$4,FALSE)</f>
        <v>73.257107669058399</v>
      </c>
      <c r="G9" s="249" cm="1">
        <f t="array" ref="G9">INDEX('Table S6 Recommended Values'!$A$10:$BD$398,MATCH(RAVs!$D9,'Table S6 Recommended Values'!$A$10:$A$398,0)+1,G$4)</f>
        <v>8.9872598744832199</v>
      </c>
      <c r="H9" s="330"/>
      <c r="I9" s="332">
        <f>VLOOKUP(Table245[[#This Row],[Compound Name]],'Table S6 Recommended Values'!$A$10:$BD$398,RAVs!I$4,FALSE)</f>
        <v>7.6861874046552003</v>
      </c>
      <c r="J9" s="330" cm="1">
        <f t="array" ref="J9">INDEX('Table S6 Recommended Values'!$A$10:$BD$398,MATCH(RAVs!$D9,'Table S6 Recommended Values'!$A$10:$A$398,0)+1,J$4)</f>
        <v>11.8363427045248</v>
      </c>
      <c r="K9" s="330"/>
      <c r="L9" s="330">
        <f>VLOOKUP(Table245[[#This Row],[Compound Name]],'Table S6 Recommended Values'!$A$10:$BD$398,RAVs!L$4,FALSE)</f>
        <v>15.674888933249902</v>
      </c>
      <c r="M9" s="330" cm="1">
        <f t="array" ref="M9">INDEX('Table S6 Recommended Values'!$A$10:$BD$398,MATCH(RAVs!$D9,'Table S6 Recommended Values'!$A$10:$A$398,0)+1,M$4)</f>
        <v>12.069906339165497</v>
      </c>
      <c r="N9" s="330"/>
      <c r="O9" s="330">
        <f>VLOOKUP(Table245[[#This Row],[Compound Name]],'Table S6 Recommended Values'!$A$10:$BD$398,RAVs!O$4,FALSE)</f>
        <v>-55.191218735808498</v>
      </c>
      <c r="P9" s="330" cm="1">
        <f t="array" ref="P9">INDEX('Table S6 Recommended Values'!$A$10:$BD$398,MATCH(RAVs!$D9,'Table S6 Recommended Values'!$A$10:$A$398,0)+1,P$4)</f>
        <v>8.0567858966669395</v>
      </c>
      <c r="Q9" s="330"/>
      <c r="R9" s="330">
        <f>VLOOKUP(Table245[[#This Row],[Compound Name]],'Table S6 Recommended Values'!$A$10:$BD$398,RAVs!R$4,FALSE)</f>
        <v>63.179617943944599</v>
      </c>
      <c r="S9" s="330" cm="1">
        <f t="array" ref="S9">INDEX('Table S6 Recommended Values'!$A$10:$BD$398,MATCH(RAVs!$D9,'Table S6 Recommended Values'!$A$10:$A$398,0)+1,S$4)</f>
        <v>10.7906071723654</v>
      </c>
      <c r="T9" s="330"/>
      <c r="U9" s="330">
        <f>VLOOKUP(Table245[[#This Row],[Compound Name]],'Table S6 Recommended Values'!$A$10:$BD$398,RAVs!U$4,FALSE)</f>
        <v>7.9869303571894497</v>
      </c>
      <c r="V9" s="330" cm="1">
        <f t="array" ref="V9">INDEX('Table S6 Recommended Values'!$A$10:$BD$398,MATCH(RAVs!$D9,'Table S6 Recommended Values'!$A$10:$A$398,0)+1,V$4)</f>
        <v>11.5347880488362</v>
      </c>
      <c r="W9" s="330"/>
      <c r="X9" s="343">
        <f>VLOOKUP(Table245[[#This Row],[Compound Name]],'Table S6 Recommended Values'!$A$10:$BF$398,RAVs!X$4,FALSE)</f>
        <v>7.6625644912374398</v>
      </c>
      <c r="Y9" s="249" cm="1">
        <f t="array" ref="Y9">INDEX('Table S6 Recommended Values'!$A$10:$BF$398,MATCH(RAVs!$D9,'Table S6 Recommended Values'!$A$10:$A$398,0)+1,Y$4)</f>
        <v>0.48284093639688802</v>
      </c>
      <c r="Z9" s="330"/>
      <c r="AA9" s="343">
        <f>VLOOKUP(Table245[[#This Row],[Compound Name]],'Table S6 Recommended Values'!$A$10:$BF$398,RAVs!AA$4,FALSE)</f>
        <v>6.9540940874145303</v>
      </c>
      <c r="AB9" s="249" cm="1">
        <f t="array" ref="AB9">INDEX('Table S6 Recommended Values'!$A$10:$BF$398,MATCH(RAVs!$D9,'Table S6 Recommended Values'!$A$10:$A$398,0)+1,AB$4)</f>
        <v>0.68983675695806101</v>
      </c>
      <c r="AC9" s="330"/>
      <c r="AD9" s="343">
        <f>VLOOKUP(Table245[[#This Row],[Compound Name]],'Table S6 Recommended Values'!$A$10:$BF$398,RAVs!AD$4,FALSE)</f>
        <v>-0.72050507466904201</v>
      </c>
      <c r="AE9" s="249" cm="1">
        <f t="array" ref="AE9">INDEX('Table S6 Recommended Values'!$A$10:$BF$398,MATCH(RAVs!$D9,'Table S6 Recommended Values'!$A$10:$A$398,0)+1,AE$4)</f>
        <v>0.56538167222095304</v>
      </c>
      <c r="AF9" s="330"/>
      <c r="AG9" s="343">
        <f>VLOOKUP(Table245[[#This Row],[Compound Name]],'Table S6 Recommended Values'!$A$10:$BF$398,RAVs!AG$4,FALSE)</f>
        <v>-0.84718891358109705</v>
      </c>
      <c r="AH9" s="249" cm="1">
        <f t="array" ref="AH9">INDEX('Table S6 Recommended Values'!$A$10:$BF$398,MATCH(RAVs!$D9,'Table S6 Recommended Values'!$A$10:$A$398,0)+1,AH$4)</f>
        <v>0.38925297706055201</v>
      </c>
      <c r="AI9" s="330"/>
      <c r="AJ9" s="343">
        <f>VLOOKUP(Table245[[#This Row],[Compound Name]],'Table S6 Recommended Values'!$A$10:$BF$398,RAVs!AJ$4,FALSE)</f>
        <v>-3.51846450659409</v>
      </c>
      <c r="AK9" s="249" cm="1">
        <f t="array" ref="AK9">INDEX('Table S6 Recommended Values'!$A$10:$BF$398,MATCH(RAVs!$D9,'Table S6 Recommended Values'!$A$10:$A$398,0)+1,AK$4)</f>
        <v>0.481187085639389</v>
      </c>
      <c r="AL9" s="330"/>
      <c r="AM9" s="343">
        <f>VLOOKUP(Table245[[#This Row],[Compound Name]],'Table S6 Recommended Values'!$A$10:$BF$398,RAVs!AM$4,FALSE)</f>
        <v>3.4321656599735699</v>
      </c>
      <c r="AN9" s="249" cm="1">
        <f t="array" ref="AN9">INDEX('Table S6 Recommended Values'!$A$10:$BF$398,MATCH(RAVs!$D9,'Table S6 Recommended Values'!$A$10:$A$398,0)+1,AN$4)</f>
        <v>0.56200137383723903</v>
      </c>
      <c r="AO9" s="330"/>
      <c r="AP9" s="343">
        <f>VLOOKUP(Table245[[#This Row],[Compound Name]],'Table S6 Recommended Values'!$A$10:$BF$398,RAVs!AP$4,FALSE)</f>
        <v>24.902975420439848</v>
      </c>
      <c r="AQ9" s="249" cm="1">
        <f t="array" ref="AQ9">INDEX('Table S6 Recommended Values'!$A$10:$BF$398,MATCH(RAVs!$D9,'Table S6 Recommended Values'!$A$10:$A$398,0)+1,AQ$4)</f>
        <v>1.962843209337348</v>
      </c>
      <c r="AR9" s="330"/>
      <c r="AS9" s="343">
        <f>VLOOKUP(Table245[[#This Row],[Compound Name]],'Table S6 Recommended Values'!$A$10:$BF$398,RAVs!AS$4,FALSE)</f>
        <v>35.525000000000006</v>
      </c>
      <c r="AT9" s="249" cm="1">
        <f t="array" ref="AT9">INDEX('Table S6 Recommended Values'!$A$10:$BF$398,MATCH(RAVs!$D9,'Table S6 Recommended Values'!$A$10:$A$398,0)+1,AT$4)</f>
        <v>0.74246212024588287</v>
      </c>
      <c r="AU9" s="330"/>
    </row>
    <row r="10" spans="2:47">
      <c r="B10" s="247" t="str">
        <f>'Table S2 Compound Identifiers'!C12</f>
        <v>Musk</v>
      </c>
      <c r="C10" s="247">
        <f>COUNTIF($D$6:D10,"&lt;&gt;"&amp;"")</f>
        <v>5</v>
      </c>
      <c r="D10" s="247" t="str">
        <f>'Table S2 Compound Identifiers'!B12</f>
        <v>Celestolide</v>
      </c>
      <c r="E10" s="247" t="str">
        <f>VLOOKUP(RAVs!$D10,'Table S3 Literature Values'!$A$10:$AV$551,E$4,FALSE)</f>
        <v>13171-00-1</v>
      </c>
      <c r="F10" s="248">
        <f>VLOOKUP(Table245[[#This Row],[Compound Name]],'Table S6 Recommended Values'!$A$10:$BD$398,RAVs!F$4,FALSE)</f>
        <v>56.007294871555196</v>
      </c>
      <c r="G10" s="249" cm="1">
        <f t="array" ref="G10">INDEX('Table S6 Recommended Values'!$A$10:$BD$398,MATCH(RAVs!$D10,'Table S6 Recommended Values'!$A$10:$A$398,0)+1,G$4)</f>
        <v>9.6724602900215206</v>
      </c>
      <c r="H10" s="330"/>
      <c r="I10" s="328">
        <f>VLOOKUP(Table245[[#This Row],[Compound Name]],'Table S6 Recommended Values'!$A$10:$BD$398,RAVs!I$4,FALSE)</f>
        <v>-18.988723064732699</v>
      </c>
      <c r="J10" s="249" cm="1">
        <f t="array" ref="J10">INDEX('Table S6 Recommended Values'!$A$10:$BD$398,MATCH(RAVs!$D10,'Table S6 Recommended Values'!$A$10:$A$398,0)+1,J$4)</f>
        <v>6.8671673848398296</v>
      </c>
      <c r="K10" s="330"/>
      <c r="L10" s="250">
        <f>VLOOKUP(Table245[[#This Row],[Compound Name]],'Table S6 Recommended Values'!$A$10:$BD$398,RAVs!L$4,FALSE)</f>
        <v>-15.1183619774057</v>
      </c>
      <c r="M10" s="249" cm="1">
        <f t="array" ref="M10">INDEX('Table S6 Recommended Values'!$A$10:$BD$398,MATCH(RAVs!$D10,'Table S6 Recommended Values'!$A$10:$A$398,0)+1,M$4)</f>
        <v>11.615695938793243</v>
      </c>
      <c r="N10" s="330"/>
      <c r="O10" s="250">
        <f>VLOOKUP(Table245[[#This Row],[Compound Name]],'Table S6 Recommended Values'!$A$10:$BD$398,RAVs!O$4,FALSE)</f>
        <v>-68.734656848960896</v>
      </c>
      <c r="P10" s="249" cm="1">
        <f t="array" ref="P10">INDEX('Table S6 Recommended Values'!$A$10:$BD$398,MATCH(RAVs!$D10,'Table S6 Recommended Values'!$A$10:$A$398,0)+1,P$4)</f>
        <v>6.4317885599928299</v>
      </c>
      <c r="Q10" s="330"/>
      <c r="R10" s="250">
        <f>VLOOKUP(Table245[[#This Row],[Compound Name]],'Table S6 Recommended Values'!$A$10:$BD$398,RAVs!R$4,FALSE)</f>
        <v>72.601548096413396</v>
      </c>
      <c r="S10" s="249" cm="1">
        <f t="array" ref="S10">INDEX('Table S6 Recommended Values'!$A$10:$BD$398,MATCH(RAVs!$D10,'Table S6 Recommended Values'!$A$10:$A$398,0)+1,S$4)</f>
        <v>7.8166871534656002</v>
      </c>
      <c r="T10" s="330"/>
      <c r="U10" s="250">
        <f>VLOOKUP(Table245[[#This Row],[Compound Name]],'Table S6 Recommended Values'!$A$10:$BD$398,RAVs!U$4,FALSE)</f>
        <v>3.8644381341585499</v>
      </c>
      <c r="V10" s="249" cm="1">
        <f t="array" ref="V10">INDEX('Table S6 Recommended Values'!$A$10:$BD$398,MATCH(RAVs!$D10,'Table S6 Recommended Values'!$A$10:$A$398,0)+1,V$4)</f>
        <v>6.4108437666655096</v>
      </c>
      <c r="W10" s="330"/>
      <c r="X10" s="343">
        <f>VLOOKUP(Table245[[#This Row],[Compound Name]],'Table S6 Recommended Values'!$A$10:$BF$398,RAVs!X$4,FALSE)</f>
        <v>7.6391223946349998</v>
      </c>
      <c r="Y10" s="249" cm="1">
        <f t="array" ref="Y10">INDEX('Table S6 Recommended Values'!$A$10:$BF$398,MATCH(RAVs!$D10,'Table S6 Recommended Values'!$A$10:$A$398,0)+1,Y$4)</f>
        <v>0.329339400787724</v>
      </c>
      <c r="Z10" s="330"/>
      <c r="AA10" s="343">
        <f>VLOOKUP(Table245[[#This Row],[Compound Name]],'Table S6 Recommended Values'!$A$10:$BF$398,RAVs!AA$4,FALSE)</f>
        <v>5.1402506387086504</v>
      </c>
      <c r="AB10" s="249" cm="1">
        <f t="array" ref="AB10">INDEX('Table S6 Recommended Values'!$A$10:$BF$398,MATCH(RAVs!$D10,'Table S6 Recommended Values'!$A$10:$A$398,0)+1,AB$4)</f>
        <v>0.49833080178880002</v>
      </c>
      <c r="AC10" s="330"/>
      <c r="AD10" s="343">
        <f>VLOOKUP(Table245[[#This Row],[Compound Name]],'Table S6 Recommended Values'!$A$10:$BF$398,RAVs!AD$4,FALSE)</f>
        <v>-2.4999029809298299</v>
      </c>
      <c r="AE10" s="249" cm="1">
        <f t="array" ref="AE10">INDEX('Table S6 Recommended Values'!$A$10:$BF$398,MATCH(RAVs!$D10,'Table S6 Recommended Values'!$A$10:$A$398,0)+1,AE$4)</f>
        <v>0.42408485142894597</v>
      </c>
      <c r="AF10" s="330"/>
      <c r="AG10" s="343">
        <f>VLOOKUP(Table245[[#This Row],[Compound Name]],'Table S6 Recommended Values'!$A$10:$BF$398,RAVs!AG$4,FALSE)</f>
        <v>-0.61495757133778572</v>
      </c>
      <c r="AH10" s="249" cm="1">
        <f t="array" ref="AH10">INDEX('Table S6 Recommended Values'!$A$10:$BF$398,MATCH(RAVs!$D10,'Table S6 Recommended Values'!$A$10:$A$398,0)+1,AH$4)</f>
        <v>0.312258378211899</v>
      </c>
      <c r="AI10" s="330"/>
      <c r="AJ10" s="343">
        <f>VLOOKUP(Table245[[#This Row],[Compound Name]],'Table S6 Recommended Values'!$A$10:$BF$398,RAVs!AJ$4,FALSE)</f>
        <v>-1.5023027135254801</v>
      </c>
      <c r="AK10" s="249" cm="1">
        <f t="array" ref="AK10">INDEX('Table S6 Recommended Values'!$A$10:$BF$398,MATCH(RAVs!$D10,'Table S6 Recommended Values'!$A$10:$A$398,0)+1,AK$4)</f>
        <v>0.33706156554697198</v>
      </c>
      <c r="AL10" s="330"/>
      <c r="AM10" s="343">
        <f>VLOOKUP(Table245[[#This Row],[Compound Name]],'Table S6 Recommended Values'!$A$10:$BF$398,RAVs!AM$4,FALSE)</f>
        <v>3.6337456928099399</v>
      </c>
      <c r="AN10" s="249" cm="1">
        <f t="array" ref="AN10">INDEX('Table S6 Recommended Values'!$A$10:$BF$398,MATCH(RAVs!$D10,'Table S6 Recommended Values'!$A$10:$A$398,0)+1,AN$4)</f>
        <v>0.40749559607068297</v>
      </c>
      <c r="AO10" s="330"/>
      <c r="AP10" s="343" t="str">
        <f>VLOOKUP(Table245[[#This Row],[Compound Name]],'Table S6 Recommended Values'!$A$10:$BF$398,RAVs!AP$4,FALSE)</f>
        <v>-</v>
      </c>
      <c r="AQ10" s="249" t="str" cm="1">
        <f t="array" ref="AQ10">INDEX('Table S6 Recommended Values'!$A$10:$BF$398,MATCH(RAVs!$D10,'Table S6 Recommended Values'!$A$10:$A$398,0)+1,AQ$4)</f>
        <v>-</v>
      </c>
      <c r="AR10" s="330"/>
      <c r="AS10" s="343">
        <f>VLOOKUP(Table245[[#This Row],[Compound Name]],'Table S6 Recommended Values'!$A$10:$BF$398,RAVs!AS$4,FALSE)</f>
        <v>78</v>
      </c>
      <c r="AT10" s="249" cm="1">
        <f t="array" ref="AT10">INDEX('Table S6 Recommended Values'!$A$10:$BF$398,MATCH(RAVs!$D10,'Table S6 Recommended Values'!$A$10:$A$398,0)+1,AT$4)</f>
        <v>0.5</v>
      </c>
      <c r="AU10" s="330"/>
    </row>
    <row r="11" spans="2:47">
      <c r="B11" s="247" t="str">
        <f>'Table S2 Compound Identifiers'!C13</f>
        <v>Musk</v>
      </c>
      <c r="C11" s="247">
        <f>COUNTIF($D$6:D11,"&lt;&gt;"&amp;"")</f>
        <v>6</v>
      </c>
      <c r="D11" s="247" t="str">
        <f>'Table S2 Compound Identifiers'!B13</f>
        <v>Muskonate</v>
      </c>
      <c r="E11" s="247" t="str">
        <f>VLOOKUP(RAVs!$D11,'Table S3 Literature Values'!$A$10:$AV$551,E$4,FALSE)</f>
        <v>54982-83-1</v>
      </c>
      <c r="F11" s="248">
        <f>VLOOKUP(Table245[[#This Row],[Compound Name]],'Table S6 Recommended Values'!$A$10:$BD$398,RAVs!F$4,FALSE)</f>
        <v>78.014699132377004</v>
      </c>
      <c r="G11" s="249" cm="1">
        <f t="array" ref="G11">INDEX('Table S6 Recommended Values'!$A$10:$BD$398,MATCH(RAVs!$D11,'Table S6 Recommended Values'!$A$10:$A$398,0)+1,G$4)</f>
        <v>5.0138123310893699</v>
      </c>
      <c r="H11" s="330"/>
      <c r="I11" s="328">
        <f>VLOOKUP(Table245[[#This Row],[Compound Name]],'Table S6 Recommended Values'!$A$10:$BD$398,RAVs!I$4,FALSE)</f>
        <v>-1.8997252646368299</v>
      </c>
      <c r="J11" s="249" cm="1">
        <f t="array" ref="J11">INDEX('Table S6 Recommended Values'!$A$10:$BD$398,MATCH(RAVs!$D11,'Table S6 Recommended Values'!$A$10:$A$398,0)+1,J$4)</f>
        <v>5.82628213499033</v>
      </c>
      <c r="K11" s="330"/>
      <c r="L11" s="250">
        <f>VLOOKUP(Table245[[#This Row],[Compound Name]],'Table S6 Recommended Values'!$A$10:$BD$398,RAVs!L$4,FALSE)</f>
        <v>10.199514221738005</v>
      </c>
      <c r="M11" s="249" cm="1">
        <f t="array" ref="M11">INDEX('Table S6 Recommended Values'!$A$10:$BD$398,MATCH(RAVs!$D11,'Table S6 Recommended Values'!$A$10:$A$398,0)+1,M$4)</f>
        <v>6.4211983343881274</v>
      </c>
      <c r="N11" s="330"/>
      <c r="O11" s="250">
        <f>VLOOKUP(Table245[[#This Row],[Compound Name]],'Table S6 Recommended Values'!$A$10:$BD$398,RAVs!O$4,FALSE)</f>
        <v>-65.424184910638999</v>
      </c>
      <c r="P11" s="249" cm="1">
        <f t="array" ref="P11">INDEX('Table S6 Recommended Values'!$A$10:$BD$398,MATCH(RAVs!$D11,'Table S6 Recommended Values'!$A$10:$A$398,0)+1,P$4)</f>
        <v>4.0116672292408602</v>
      </c>
      <c r="Q11" s="330"/>
      <c r="R11" s="250">
        <f>VLOOKUP(Table245[[#This Row],[Compound Name]],'Table S6 Recommended Values'!$A$10:$BD$398,RAVs!R$4,FALSE)</f>
        <v>77.524707598247304</v>
      </c>
      <c r="S11" s="249" cm="1">
        <f t="array" ref="S11">INDEX('Table S6 Recommended Values'!$A$10:$BD$398,MATCH(RAVs!$D11,'Table S6 Recommended Values'!$A$10:$A$398,0)+1,S$4)</f>
        <v>6.72114995141159</v>
      </c>
      <c r="T11" s="330"/>
      <c r="U11" s="250">
        <f>VLOOKUP(Table245[[#This Row],[Compound Name]],'Table S6 Recommended Values'!$A$10:$BD$398,RAVs!U$4,FALSE)</f>
        <v>12.0997150104893</v>
      </c>
      <c r="V11" s="249" cm="1">
        <f t="array" ref="V11">INDEX('Table S6 Recommended Values'!$A$10:$BD$398,MATCH(RAVs!$D11,'Table S6 Recommended Values'!$A$10:$A$398,0)+1,V$4)</f>
        <v>7.4620019779644604</v>
      </c>
      <c r="W11" s="330"/>
      <c r="X11" s="343">
        <f>VLOOKUP(Table245[[#This Row],[Compound Name]],'Table S6 Recommended Values'!$A$10:$BF$398,RAVs!X$4,FALSE)</f>
        <v>7.8592858811007797</v>
      </c>
      <c r="Y11" s="249" cm="1">
        <f t="array" ref="Y11">INDEX('Table S6 Recommended Values'!$A$10:$BF$398,MATCH(RAVs!$D11,'Table S6 Recommended Values'!$A$10:$A$398,0)+1,Y$4)</f>
        <v>0.35529528413871903</v>
      </c>
      <c r="Z11" s="330"/>
      <c r="AA11" s="343">
        <f>VLOOKUP(Table245[[#This Row],[Compound Name]],'Table S6 Recommended Values'!$A$10:$BF$398,RAVs!AA$4,FALSE)</f>
        <v>3.7906422960517898</v>
      </c>
      <c r="AB11" s="249" cm="1">
        <f t="array" ref="AB11">INDEX('Table S6 Recommended Values'!$A$10:$BF$398,MATCH(RAVs!$D11,'Table S6 Recommended Values'!$A$10:$A$398,0)+1,AB$4)</f>
        <v>0.46273134458649801</v>
      </c>
      <c r="AC11" s="330"/>
      <c r="AD11" s="343">
        <f>VLOOKUP(Table245[[#This Row],[Compound Name]],'Table S6 Recommended Values'!$A$10:$BF$398,RAVs!AD$4,FALSE)</f>
        <v>-4.05905002835107</v>
      </c>
      <c r="AE11" s="249" cm="1">
        <f t="array" ref="AE11">INDEX('Table S6 Recommended Values'!$A$10:$BF$398,MATCH(RAVs!$D11,'Table S6 Recommended Values'!$A$10:$A$398,0)+1,AE$4)</f>
        <v>0.424659887149198</v>
      </c>
      <c r="AF11" s="330"/>
      <c r="AG11" s="343">
        <f>VLOOKUP(Table245[[#This Row],[Compound Name]],'Table S6 Recommended Values'!$A$10:$BF$398,RAVs!AG$4,FALSE)</f>
        <v>-1.2695848970149464</v>
      </c>
      <c r="AH11" s="249" cm="1">
        <f t="array" ref="AH11">INDEX('Table S6 Recommended Values'!$A$10:$BF$398,MATCH(RAVs!$D11,'Table S6 Recommended Values'!$A$10:$A$398,0)+1,AH$4)</f>
        <v>0.26462772023487602</v>
      </c>
      <c r="AI11" s="330"/>
      <c r="AJ11" s="343">
        <f>VLOOKUP(Table245[[#This Row],[Compound Name]],'Table S6 Recommended Values'!$A$10:$BF$398,RAVs!AJ$4,FALSE)</f>
        <v>-0.59788787366643004</v>
      </c>
      <c r="AK11" s="249" cm="1">
        <f t="array" ref="AK11">INDEX('Table S6 Recommended Values'!$A$10:$BF$398,MATCH(RAVs!$D11,'Table S6 Recommended Values'!$A$10:$A$398,0)+1,AK$4)</f>
        <v>0.36482384260306799</v>
      </c>
      <c r="AL11" s="330"/>
      <c r="AM11" s="343">
        <f>VLOOKUP(Table245[[#This Row],[Compound Name]],'Table S6 Recommended Values'!$A$10:$BF$398,RAVs!AM$4,FALSE)</f>
        <v>3.1967715037166502</v>
      </c>
      <c r="AN11" s="249" cm="1">
        <f t="array" ref="AN11">INDEX('Table S6 Recommended Values'!$A$10:$BF$398,MATCH(RAVs!$D11,'Table S6 Recommended Values'!$A$10:$A$398,0)+1,AN$4)</f>
        <v>0.39352399115963799</v>
      </c>
      <c r="AO11" s="330"/>
      <c r="AP11" s="343" t="str">
        <f>VLOOKUP(Table245[[#This Row],[Compound Name]],'Table S6 Recommended Values'!$A$10:$BF$398,RAVs!AP$4,FALSE)</f>
        <v>-</v>
      </c>
      <c r="AQ11" s="249" t="str" cm="1">
        <f t="array" ref="AQ11">INDEX('Table S6 Recommended Values'!$A$10:$BF$398,MATCH(RAVs!$D11,'Table S6 Recommended Values'!$A$10:$A$398,0)+1,AQ$4)</f>
        <v>-</v>
      </c>
      <c r="AR11" s="330"/>
      <c r="AS11" s="343">
        <f>VLOOKUP(Table245[[#This Row],[Compound Name]],'Table S6 Recommended Values'!$A$10:$BF$398,RAVs!AS$4,FALSE)</f>
        <v>17.36</v>
      </c>
      <c r="AT11" s="249" cm="1">
        <f t="array" ref="AT11">INDEX('Table S6 Recommended Values'!$A$10:$BF$398,MATCH(RAVs!$D11,'Table S6 Recommended Values'!$A$10:$A$398,0)+1,AT$4)</f>
        <v>0.90509667991878162</v>
      </c>
      <c r="AU11" s="330"/>
    </row>
    <row r="12" spans="2:47">
      <c r="B12" s="247" t="str">
        <f>'Table S2 Compound Identifiers'!C14</f>
        <v>Musk</v>
      </c>
      <c r="C12" s="247">
        <f>COUNTIF($D$6:D12,"&lt;&gt;"&amp;"")</f>
        <v>7</v>
      </c>
      <c r="D12" s="247" t="str">
        <f>'Table S2 Compound Identifiers'!B14</f>
        <v>Phantolide</v>
      </c>
      <c r="E12" s="247" t="str">
        <f>VLOOKUP(RAVs!$D12,'Table S3 Literature Values'!$A$10:$AV$551,E$4,FALSE)</f>
        <v>15323-35-0</v>
      </c>
      <c r="F12" s="248">
        <f>VLOOKUP(Table245[[#This Row],[Compound Name]],'Table S6 Recommended Values'!$A$10:$BD$398,RAVs!F$4,FALSE)</f>
        <v>65.406491872309502</v>
      </c>
      <c r="G12" s="249" cm="1">
        <f t="array" ref="G12">INDEX('Table S6 Recommended Values'!$A$10:$BD$398,MATCH(RAVs!$D12,'Table S6 Recommended Values'!$A$10:$A$398,0)+1,G$4)</f>
        <v>4.4054800975332302</v>
      </c>
      <c r="H12" s="330"/>
      <c r="I12" s="328">
        <f>VLOOKUP(Table245[[#This Row],[Compound Name]],'Table S6 Recommended Values'!$A$10:$BD$398,RAVs!I$4,FALSE)</f>
        <v>-12.7187637776351</v>
      </c>
      <c r="J12" s="249" cm="1">
        <f t="array" ref="J12">INDEX('Table S6 Recommended Values'!$A$10:$BD$398,MATCH(RAVs!$D12,'Table S6 Recommended Values'!$A$10:$A$398,0)+1,J$4)</f>
        <v>4.8635218298089304</v>
      </c>
      <c r="K12" s="330"/>
      <c r="L12" s="250">
        <f>VLOOKUP(Table245[[#This Row],[Compound Name]],'Table S6 Recommended Values'!$A$10:$BD$398,RAVs!L$4,FALSE)</f>
        <v>-7.327704404577597</v>
      </c>
      <c r="M12" s="249" cm="1">
        <f t="array" ref="M12">INDEX('Table S6 Recommended Values'!$A$10:$BD$398,MATCH(RAVs!$D12,'Table S6 Recommended Values'!$A$10:$A$398,0)+1,M$4)</f>
        <v>6.5989025101103094</v>
      </c>
      <c r="N12" s="330"/>
      <c r="O12" s="250">
        <f>VLOOKUP(Table245[[#This Row],[Compound Name]],'Table S6 Recommended Values'!$A$10:$BD$398,RAVs!O$4,FALSE)</f>
        <v>-70.343196276887099</v>
      </c>
      <c r="P12" s="249" cm="1">
        <f t="array" ref="P12">INDEX('Table S6 Recommended Values'!$A$10:$BD$398,MATCH(RAVs!$D12,'Table S6 Recommended Values'!$A$10:$A$398,0)+1,P$4)</f>
        <v>4.9129684965587499</v>
      </c>
      <c r="Q12" s="330"/>
      <c r="R12" s="250">
        <f>VLOOKUP(Table245[[#This Row],[Compound Name]],'Table S6 Recommended Values'!$A$10:$BD$398,RAVs!R$4,FALSE)</f>
        <v>75.725211839103196</v>
      </c>
      <c r="S12" s="249" cm="1">
        <f t="array" ref="S12">INDEX('Table S6 Recommended Values'!$A$10:$BD$398,MATCH(RAVs!$D12,'Table S6 Recommended Values'!$A$10:$A$398,0)+1,S$4)</f>
        <v>5.1225815222130304</v>
      </c>
      <c r="T12" s="330"/>
      <c r="U12" s="250">
        <f>VLOOKUP(Table245[[#This Row],[Compound Name]],'Table S6 Recommended Values'!$A$10:$BD$398,RAVs!U$4,FALSE)</f>
        <v>5.3724944079313302</v>
      </c>
      <c r="V12" s="249" cm="1">
        <f t="array" ref="V12">INDEX('Table S6 Recommended Values'!$A$10:$BD$398,MATCH(RAVs!$D12,'Table S6 Recommended Values'!$A$10:$A$398,0)+1,V$4)</f>
        <v>4.3812151820731096</v>
      </c>
      <c r="W12" s="330"/>
      <c r="X12" s="343">
        <f>VLOOKUP(Table245[[#This Row],[Compound Name]],'Table S6 Recommended Values'!$A$10:$BF$398,RAVs!X$4,FALSE)</f>
        <v>7.63253426170641</v>
      </c>
      <c r="Y12" s="249" cm="1">
        <f t="array" ref="Y12">INDEX('Table S6 Recommended Values'!$A$10:$BF$398,MATCH(RAVs!$D12,'Table S6 Recommended Values'!$A$10:$A$398,0)+1,Y$4)</f>
        <v>0.21309086220248399</v>
      </c>
      <c r="Z12" s="330"/>
      <c r="AA12" s="343">
        <f>VLOOKUP(Table245[[#This Row],[Compound Name]],'Table S6 Recommended Values'!$A$10:$BF$398,RAVs!AA$4,FALSE)</f>
        <v>5.0513005974729701</v>
      </c>
      <c r="AB12" s="249" cm="1">
        <f t="array" ref="AB12">INDEX('Table S6 Recommended Values'!$A$10:$BF$398,MATCH(RAVs!$D12,'Table S6 Recommended Values'!$A$10:$A$398,0)+1,AB$4)</f>
        <v>0.406521794616446</v>
      </c>
      <c r="AC12" s="330"/>
      <c r="AD12" s="343">
        <f>VLOOKUP(Table245[[#This Row],[Compound Name]],'Table S6 Recommended Values'!$A$10:$BF$398,RAVs!AD$4,FALSE)</f>
        <v>-2.5847220843490399</v>
      </c>
      <c r="AE12" s="249" cm="1">
        <f t="array" ref="AE12">INDEX('Table S6 Recommended Values'!$A$10:$BF$398,MATCH(RAVs!$D12,'Table S6 Recommended Values'!$A$10:$A$398,0)+1,AE$4)</f>
        <v>0.35620967875047499</v>
      </c>
      <c r="AF12" s="330"/>
      <c r="AG12" s="343">
        <f>VLOOKUP(Table245[[#This Row],[Compound Name]],'Table S6 Recommended Values'!$A$10:$BF$398,RAVs!AG$4,FALSE)</f>
        <v>-0.70776091769666594</v>
      </c>
      <c r="AH12" s="249" cm="1">
        <f t="array" ref="AH12">INDEX('Table S6 Recommended Values'!$A$10:$BF$398,MATCH(RAVs!$D12,'Table S6 Recommended Values'!$A$10:$A$398,0)+1,AH$4)</f>
        <v>0.21717028867202501</v>
      </c>
      <c r="AI12" s="330"/>
      <c r="AJ12" s="343">
        <f>VLOOKUP(Table245[[#This Row],[Compound Name]],'Table S6 Recommended Values'!$A$10:$BF$398,RAVs!AJ$4,FALSE)</f>
        <v>-1.51064399510685</v>
      </c>
      <c r="AK12" s="249" cm="1">
        <f t="array" ref="AK12">INDEX('Table S6 Recommended Values'!$A$10:$BF$398,MATCH(RAVs!$D12,'Table S6 Recommended Values'!$A$10:$A$398,0)+1,AK$4)</f>
        <v>0.29670545371922302</v>
      </c>
      <c r="AL12" s="330"/>
      <c r="AM12" s="343">
        <f>VLOOKUP(Table245[[#This Row],[Compound Name]],'Table S6 Recommended Values'!$A$10:$BF$398,RAVs!AM$4,FALSE)</f>
        <v>3.5364605005279799</v>
      </c>
      <c r="AN12" s="249" cm="1">
        <f t="array" ref="AN12">INDEX('Table S6 Recommended Values'!$A$10:$BF$398,MATCH(RAVs!$D12,'Table S6 Recommended Values'!$A$10:$A$398,0)+1,AN$4)</f>
        <v>0.29294772862431701</v>
      </c>
      <c r="AO12" s="330"/>
      <c r="AP12" s="343" t="str">
        <f>VLOOKUP(Table245[[#This Row],[Compound Name]],'Table S6 Recommended Values'!$A$10:$BF$398,RAVs!AP$4,FALSE)</f>
        <v>-</v>
      </c>
      <c r="AQ12" s="249" t="str" cm="1">
        <f t="array" ref="AQ12">INDEX('Table S6 Recommended Values'!$A$10:$BF$398,MATCH(RAVs!$D12,'Table S6 Recommended Values'!$A$10:$A$398,0)+1,AQ$4)</f>
        <v>-</v>
      </c>
      <c r="AR12" s="330"/>
      <c r="AS12" s="343">
        <f>VLOOKUP(Table245[[#This Row],[Compound Name]],'Table S6 Recommended Values'!$A$10:$BF$398,RAVs!AS$4,FALSE)</f>
        <v>59.8</v>
      </c>
      <c r="AT12" s="249" cm="1">
        <f t="array" ref="AT12">INDEX('Table S6 Recommended Values'!$A$10:$BF$398,MATCH(RAVs!$D12,'Table S6 Recommended Values'!$A$10:$A$398,0)+1,AT$4)</f>
        <v>2.4041630560342604</v>
      </c>
      <c r="AU12" s="330"/>
    </row>
    <row r="13" spans="2:47">
      <c r="B13" s="247" t="str">
        <f>'Table S2 Compound Identifiers'!C15</f>
        <v>Musk</v>
      </c>
      <c r="C13" s="247">
        <f>COUNTIF($D$6:D13,"&lt;&gt;"&amp;"")</f>
        <v>8</v>
      </c>
      <c r="D13" s="247" t="str">
        <f>'Table S2 Compound Identifiers'!B15</f>
        <v>Cervolide</v>
      </c>
      <c r="E13" s="247" t="str">
        <f>VLOOKUP(RAVs!$D13,'Table S3 Literature Values'!$A$10:$AV$551,E$4,FALSE)</f>
        <v>6707-60-4</v>
      </c>
      <c r="F13" s="248">
        <f>VLOOKUP(Table245[[#This Row],[Compound Name]],'Table S6 Recommended Values'!$A$10:$BD$398,RAVs!F$4,FALSE)</f>
        <v>64.209824312646901</v>
      </c>
      <c r="G13" s="249" cm="1">
        <f t="array" ref="G13">INDEX('Table S6 Recommended Values'!$A$10:$BD$398,MATCH(RAVs!$D13,'Table S6 Recommended Values'!$A$10:$A$398,0)+1,G$4)</f>
        <v>14.3105596366283</v>
      </c>
      <c r="H13" s="330"/>
      <c r="I13" s="328">
        <f>VLOOKUP(Table245[[#This Row],[Compound Name]],'Table S6 Recommended Values'!$A$10:$BD$398,RAVs!I$4,FALSE)</f>
        <v>-7.9295514839308296</v>
      </c>
      <c r="J13" s="249" cm="1">
        <f t="array" ref="J13">INDEX('Table S6 Recommended Values'!$A$10:$BD$398,MATCH(RAVs!$D13,'Table S6 Recommended Values'!$A$10:$A$398,0)+1,J$4)</f>
        <v>13.7934213114205</v>
      </c>
      <c r="K13" s="330"/>
      <c r="L13" s="250">
        <f>VLOOKUP(Table245[[#This Row],[Compound Name]],'Table S6 Recommended Values'!$A$10:$BD$398,RAVs!L$4,FALSE)</f>
        <v>11.544155116040498</v>
      </c>
      <c r="M13" s="249" cm="1">
        <f t="array" ref="M13">INDEX('Table S6 Recommended Values'!$A$10:$BD$398,MATCH(RAVs!$D13,'Table S6 Recommended Values'!$A$10:$A$398,0)+1,M$4)</f>
        <v>16.359417999699463</v>
      </c>
      <c r="N13" s="330"/>
      <c r="O13" s="250">
        <f>VLOOKUP(Table245[[#This Row],[Compound Name]],'Table S6 Recommended Values'!$A$10:$BD$398,RAVs!O$4,FALSE)</f>
        <v>-50.274669196606403</v>
      </c>
      <c r="P13" s="249" cm="1">
        <f t="array" ref="P13">INDEX('Table S6 Recommended Values'!$A$10:$BD$398,MATCH(RAVs!$D13,'Table S6 Recommended Values'!$A$10:$A$398,0)+1,P$4)</f>
        <v>7.9270700877055296</v>
      </c>
      <c r="Q13" s="330"/>
      <c r="R13" s="250">
        <f>VLOOKUP(Table245[[#This Row],[Compound Name]],'Table S6 Recommended Values'!$A$10:$BD$398,RAVs!R$4,FALSE)</f>
        <v>69.747096984771105</v>
      </c>
      <c r="S13" s="249" cm="1">
        <f t="array" ref="S13">INDEX('Table S6 Recommended Values'!$A$10:$BD$398,MATCH(RAVs!$D13,'Table S6 Recommended Values'!$A$10:$A$398,0)+1,S$4)</f>
        <v>11.4959633588422</v>
      </c>
      <c r="T13" s="330"/>
      <c r="U13" s="250">
        <f>VLOOKUP(Table245[[#This Row],[Compound Name]],'Table S6 Recommended Values'!$A$10:$BD$398,RAVs!U$4,FALSE)</f>
        <v>19.471110175535301</v>
      </c>
      <c r="V13" s="249" cm="1">
        <f t="array" ref="V13">INDEX('Table S6 Recommended Values'!$A$10:$BD$398,MATCH(RAVs!$D13,'Table S6 Recommended Values'!$A$10:$A$398,0)+1,V$4)</f>
        <v>11.9840505198658</v>
      </c>
      <c r="W13" s="330"/>
      <c r="X13" s="343">
        <f>VLOOKUP(Table245[[#This Row],[Compound Name]],'Table S6 Recommended Values'!$A$10:$BF$398,RAVs!X$4,FALSE)</f>
        <v>7.8187306342451803</v>
      </c>
      <c r="Y13" s="249" cm="1">
        <f t="array" ref="Y13">INDEX('Table S6 Recommended Values'!$A$10:$BF$398,MATCH(RAVs!$D13,'Table S6 Recommended Values'!$A$10:$A$398,0)+1,Y$4)</f>
        <v>0.48615358125741698</v>
      </c>
      <c r="Z13" s="330"/>
      <c r="AA13" s="343">
        <f>VLOOKUP(Table245[[#This Row],[Compound Name]],'Table S6 Recommended Values'!$A$10:$BF$398,RAVs!AA$4,FALSE)</f>
        <v>4.78873301384239</v>
      </c>
      <c r="AB13" s="249" cm="1">
        <f t="array" ref="AB13">INDEX('Table S6 Recommended Values'!$A$10:$BF$398,MATCH(RAVs!$D13,'Table S6 Recommended Values'!$A$10:$A$398,0)+1,AB$4)</f>
        <v>0.67125991747149605</v>
      </c>
      <c r="AC13" s="330"/>
      <c r="AD13" s="343">
        <f>VLOOKUP(Table245[[#This Row],[Compound Name]],'Table S6 Recommended Values'!$A$10:$BF$398,RAVs!AD$4,FALSE)</f>
        <v>-3.0214490870780599</v>
      </c>
      <c r="AE13" s="249" cm="1">
        <f t="array" ref="AE13">INDEX('Table S6 Recommended Values'!$A$10:$BF$398,MATCH(RAVs!$D13,'Table S6 Recommended Values'!$A$10:$A$398,0)+1,AE$4)</f>
        <v>0.524810130272655</v>
      </c>
      <c r="AF13" s="330"/>
      <c r="AG13" s="343">
        <f>VLOOKUP(Table245[[#This Row],[Compound Name]],'Table S6 Recommended Values'!$A$10:$BF$398,RAVs!AG$4,FALSE)</f>
        <v>-0.9500363118680567</v>
      </c>
      <c r="AH13" s="249" cm="1">
        <f t="array" ref="AH13">INDEX('Table S6 Recommended Values'!$A$10:$BF$398,MATCH(RAVs!$D13,'Table S6 Recommended Values'!$A$10:$A$398,0)+1,AH$4)</f>
        <v>0.26399473849639998</v>
      </c>
      <c r="AI13" s="330"/>
      <c r="AJ13" s="343">
        <f>VLOOKUP(Table245[[#This Row],[Compound Name]],'Table S6 Recommended Values'!$A$10:$BF$398,RAVs!AJ$4,FALSE)</f>
        <v>-1.3135967455189701</v>
      </c>
      <c r="AK13" s="249" cm="1">
        <f t="array" ref="AK13">INDEX('Table S6 Recommended Values'!$A$10:$BF$398,MATCH(RAVs!$D13,'Table S6 Recommended Values'!$A$10:$A$398,0)+1,AK$4)</f>
        <v>0.486538636491405</v>
      </c>
      <c r="AL13" s="330"/>
      <c r="AM13" s="343">
        <f>VLOOKUP(Table245[[#This Row],[Compound Name]],'Table S6 Recommended Values'!$A$10:$BF$398,RAVs!AM$4,FALSE)</f>
        <v>3.4768179488727098</v>
      </c>
      <c r="AN13" s="249" cm="1">
        <f t="array" ref="AN13">INDEX('Table S6 Recommended Values'!$A$10:$BF$398,MATCH(RAVs!$D13,'Table S6 Recommended Values'!$A$10:$A$398,0)+1,AN$4)</f>
        <v>0.52396715310828401</v>
      </c>
      <c r="AO13" s="330"/>
      <c r="AP13" s="343" t="str">
        <f>VLOOKUP(Table245[[#This Row],[Compound Name]],'Table S6 Recommended Values'!$A$10:$BF$398,RAVs!AP$4,FALSE)</f>
        <v>-</v>
      </c>
      <c r="AQ13" s="249" t="str" cm="1">
        <f t="array" ref="AQ13">INDEX('Table S6 Recommended Values'!$A$10:$BF$398,MATCH(RAVs!$D13,'Table S6 Recommended Values'!$A$10:$A$398,0)+1,AQ$4)</f>
        <v>-</v>
      </c>
      <c r="AR13" s="330"/>
      <c r="AS13" s="343">
        <f>VLOOKUP(Table245[[#This Row],[Compound Name]],'Table S6 Recommended Values'!$A$10:$BF$398,RAVs!AS$4,FALSE)</f>
        <v>-27.1</v>
      </c>
      <c r="AT13" s="249" cm="1">
        <f t="array" ref="AT13">INDEX('Table S6 Recommended Values'!$A$10:$BF$398,MATCH(RAVs!$D13,'Table S6 Recommended Values'!$A$10:$A$398,0)+1,AT$4)</f>
        <v>1.2510909358091147</v>
      </c>
      <c r="AU13" s="330"/>
    </row>
    <row r="14" spans="2:47">
      <c r="B14" s="247" t="str">
        <f>'Table S2 Compound Identifiers'!C16</f>
        <v>Musk</v>
      </c>
      <c r="C14" s="247">
        <f>COUNTIF($D$6:D14,"&lt;&gt;"&amp;"")</f>
        <v>9</v>
      </c>
      <c r="D14" s="247" t="str">
        <f>'Table S2 Compound Identifiers'!B16</f>
        <v>Traseolide</v>
      </c>
      <c r="E14" s="247" t="str">
        <f>VLOOKUP(RAVs!$D14,'Table S3 Literature Values'!$A$10:$AV$551,E$4,FALSE)</f>
        <v>68140-48-7</v>
      </c>
      <c r="F14" s="248">
        <f>VLOOKUP(Table245[[#This Row],[Compound Name]],'Table S6 Recommended Values'!$A$10:$BD$398,RAVs!F$4,FALSE)</f>
        <v>65.362143622774795</v>
      </c>
      <c r="G14" s="249" cm="1">
        <f t="array" ref="G14">INDEX('Table S6 Recommended Values'!$A$10:$BD$398,MATCH(RAVs!$D14,'Table S6 Recommended Values'!$A$10:$A$398,0)+1,G$4)</f>
        <v>8.3481054468286704</v>
      </c>
      <c r="H14" s="330"/>
      <c r="I14" s="328">
        <f>VLOOKUP(Table245[[#This Row],[Compound Name]],'Table S6 Recommended Values'!$A$10:$BD$398,RAVs!I$4,FALSE)</f>
        <v>-22.621512277570702</v>
      </c>
      <c r="J14" s="249" cm="1">
        <f t="array" ref="J14">INDEX('Table S6 Recommended Values'!$A$10:$BD$398,MATCH(RAVs!$D14,'Table S6 Recommended Values'!$A$10:$A$398,0)+1,J$4)</f>
        <v>8.9841848281536993</v>
      </c>
      <c r="K14" s="330"/>
      <c r="L14" s="250">
        <f>VLOOKUP(Table245[[#This Row],[Compound Name]],'Table S6 Recommended Values'!$A$10:$BD$398,RAVs!L$4,FALSE)</f>
        <v>-12.094191551414704</v>
      </c>
      <c r="M14" s="249" cm="1">
        <f t="array" ref="M14">INDEX('Table S6 Recommended Values'!$A$10:$BD$398,MATCH(RAVs!$D14,'Table S6 Recommended Values'!$A$10:$A$398,0)+1,M$4)</f>
        <v>11.765412598348233</v>
      </c>
      <c r="N14" s="330"/>
      <c r="O14" s="250">
        <f>VLOOKUP(Table245[[#This Row],[Compound Name]],'Table S6 Recommended Values'!$A$10:$BD$398,RAVs!O$4,FALSE)</f>
        <v>-75.065335174189499</v>
      </c>
      <c r="P14" s="249" cm="1">
        <f t="array" ref="P14">INDEX('Table S6 Recommended Values'!$A$10:$BD$398,MATCH(RAVs!$D14,'Table S6 Recommended Values'!$A$10:$A$398,0)+1,P$4)</f>
        <v>8.2906012482811402</v>
      </c>
      <c r="Q14" s="330"/>
      <c r="R14" s="250">
        <f>VLOOKUP(Table245[[#This Row],[Compound Name]],'Table S6 Recommended Values'!$A$10:$BD$398,RAVs!R$4,FALSE)</f>
        <v>85.587072784634501</v>
      </c>
      <c r="S14" s="249" cm="1">
        <f t="array" ref="S14">INDEX('Table S6 Recommended Values'!$A$10:$BD$398,MATCH(RAVs!$D14,'Table S6 Recommended Values'!$A$10:$A$398,0)+1,S$4)</f>
        <v>9.0209543597838309</v>
      </c>
      <c r="T14" s="330"/>
      <c r="U14" s="250">
        <f>VLOOKUP(Table245[[#This Row],[Compound Name]],'Table S6 Recommended Values'!$A$10:$BD$398,RAVs!U$4,FALSE)</f>
        <v>10.518260389715699</v>
      </c>
      <c r="V14" s="249" cm="1">
        <f t="array" ref="V14">INDEX('Table S6 Recommended Values'!$A$10:$BD$398,MATCH(RAVs!$D14,'Table S6 Recommended Values'!$A$10:$A$398,0)+1,V$4)</f>
        <v>8.3576832223397695</v>
      </c>
      <c r="W14" s="330"/>
      <c r="X14" s="343">
        <f>VLOOKUP(Table245[[#This Row],[Compound Name]],'Table S6 Recommended Values'!$A$10:$BF$398,RAVs!X$4,FALSE)</f>
        <v>8.0406390101334804</v>
      </c>
      <c r="Y14" s="249" cm="1">
        <f t="array" ref="Y14">INDEX('Table S6 Recommended Values'!$A$10:$BF$398,MATCH(RAVs!$D14,'Table S6 Recommended Values'!$A$10:$A$398,0)+1,Y$4)</f>
        <v>0.29950436593005902</v>
      </c>
      <c r="Z14" s="330"/>
      <c r="AA14" s="343">
        <f>VLOOKUP(Table245[[#This Row],[Compound Name]],'Table S6 Recommended Values'!$A$10:$BF$398,RAVs!AA$4,FALSE)</f>
        <v>6.0365527087945301</v>
      </c>
      <c r="AB14" s="249" cm="1">
        <f t="array" ref="AB14">INDEX('Table S6 Recommended Values'!$A$10:$BF$398,MATCH(RAVs!$D14,'Table S6 Recommended Values'!$A$10:$A$398,0)+1,AB$4)</f>
        <v>0.482861261244796</v>
      </c>
      <c r="AC14" s="330"/>
      <c r="AD14" s="343">
        <f>VLOOKUP(Table245[[#This Row],[Compound Name]],'Table S6 Recommended Values'!$A$10:$BF$398,RAVs!AD$4,FALSE)</f>
        <v>-2.0136355434472</v>
      </c>
      <c r="AE14" s="249" cm="1">
        <f t="array" ref="AE14">INDEX('Table S6 Recommended Values'!$A$10:$BF$398,MATCH(RAVs!$D14,'Table S6 Recommended Values'!$A$10:$A$398,0)+1,AE$4)</f>
        <v>0.41678258479114999</v>
      </c>
      <c r="AF14" s="330"/>
      <c r="AG14" s="343">
        <f>VLOOKUP(Table245[[#This Row],[Compound Name]],'Table S6 Recommended Values'!$A$10:$BF$398,RAVs!AG$4,FALSE)</f>
        <v>-1.3446515709870561</v>
      </c>
      <c r="AH14" s="249" cm="1">
        <f t="array" ref="AH14">INDEX('Table S6 Recommended Values'!$A$10:$BF$398,MATCH(RAVs!$D14,'Table S6 Recommended Values'!$A$10:$A$398,0)+1,AH$4)</f>
        <v>0.30507106945523499</v>
      </c>
      <c r="AI14" s="330"/>
      <c r="AJ14" s="343">
        <f>VLOOKUP(Table245[[#This Row],[Compound Name]],'Table S6 Recommended Values'!$A$10:$BF$398,RAVs!AJ$4,FALSE)</f>
        <v>-2.7268569126062601</v>
      </c>
      <c r="AK14" s="249" cm="1">
        <f t="array" ref="AK14">INDEX('Table S6 Recommended Values'!$A$10:$BF$398,MATCH(RAVs!$D14,'Table S6 Recommended Values'!$A$10:$A$398,0)+1,AK$4)</f>
        <v>0.31634173036357699</v>
      </c>
      <c r="AL14" s="330"/>
      <c r="AM14" s="343">
        <f>VLOOKUP(Table245[[#This Row],[Compound Name]],'Table S6 Recommended Values'!$A$10:$BF$398,RAVs!AM$4,FALSE)</f>
        <v>3.3098119803621699</v>
      </c>
      <c r="AN14" s="249" cm="1">
        <f t="array" ref="AN14">INDEX('Table S6 Recommended Values'!$A$10:$BF$398,MATCH(RAVs!$D14,'Table S6 Recommended Values'!$A$10:$A$398,0)+1,AN$4)</f>
        <v>0.38406136170638999</v>
      </c>
      <c r="AO14" s="330"/>
      <c r="AP14" s="343" t="str">
        <f>VLOOKUP(Table245[[#This Row],[Compound Name]],'Table S6 Recommended Values'!$A$10:$BF$398,RAVs!AP$4,FALSE)</f>
        <v>-</v>
      </c>
      <c r="AQ14" s="249" t="str" cm="1">
        <f t="array" ref="AQ14">INDEX('Table S6 Recommended Values'!$A$10:$BF$398,MATCH(RAVs!$D14,'Table S6 Recommended Values'!$A$10:$A$398,0)+1,AQ$4)</f>
        <v>-</v>
      </c>
      <c r="AR14" s="330"/>
      <c r="AS14" s="343">
        <f>VLOOKUP(Table245[[#This Row],[Compound Name]],'Table S6 Recommended Values'!$A$10:$BF$398,RAVs!AS$4,FALSE)</f>
        <v>-50</v>
      </c>
      <c r="AT14" s="249" cm="1">
        <f t="array" ref="AT14">INDEX('Table S6 Recommended Values'!$A$10:$BF$398,MATCH(RAVs!$D14,'Table S6 Recommended Values'!$A$10:$A$398,0)+1,AT$4)</f>
        <v>15</v>
      </c>
      <c r="AU14" s="330"/>
    </row>
    <row r="15" spans="2:47">
      <c r="B15" s="247" t="str">
        <f>'Table S2 Compound Identifiers'!C17</f>
        <v>Musk</v>
      </c>
      <c r="C15" s="247">
        <f>COUNTIF($D$6:D15,"&lt;&gt;"&amp;"")</f>
        <v>10</v>
      </c>
      <c r="D15" s="247" t="str">
        <f>'Table S2 Compound Identifiers'!B17</f>
        <v>Moskene</v>
      </c>
      <c r="E15" s="247" t="str">
        <f>VLOOKUP(RAVs!$D15,'Table S3 Literature Values'!$A$10:$AV$551,E$4,FALSE)</f>
        <v>116-66-5</v>
      </c>
      <c r="F15" s="248">
        <f>VLOOKUP(Table245[[#This Row],[Compound Name]],'Table S6 Recommended Values'!$A$10:$BD$398,RAVs!F$4,FALSE)</f>
        <v>58.079360630807301</v>
      </c>
      <c r="G15" s="249" cm="1">
        <f t="array" ref="G15">INDEX('Table S6 Recommended Values'!$A$10:$BD$398,MATCH(RAVs!$D15,'Table S6 Recommended Values'!$A$10:$A$398,0)+1,G$4)</f>
        <v>10.1774167955957</v>
      </c>
      <c r="H15" s="330"/>
      <c r="I15" s="328">
        <f>VLOOKUP(Table245[[#This Row],[Compound Name]],'Table S6 Recommended Values'!$A$10:$BD$398,RAVs!I$4,FALSE)</f>
        <v>-4.0205512561166001</v>
      </c>
      <c r="J15" s="249" cm="1">
        <f t="array" ref="J15">INDEX('Table S6 Recommended Values'!$A$10:$BD$398,MATCH(RAVs!$D15,'Table S6 Recommended Values'!$A$10:$A$398,0)+1,J$4)</f>
        <v>13.842475897571999</v>
      </c>
      <c r="K15" s="330"/>
      <c r="L15" s="250">
        <f>VLOOKUP(Table245[[#This Row],[Compound Name]],'Table S6 Recommended Values'!$A$10:$BD$398,RAVs!L$4,FALSE)</f>
        <v>-4.1254427325704004</v>
      </c>
      <c r="M15" s="249" cm="1">
        <f t="array" ref="M15">INDEX('Table S6 Recommended Values'!$A$10:$BD$398,MATCH(RAVs!$D15,'Table S6 Recommended Values'!$A$10:$A$398,0)+1,M$4)</f>
        <v>15.466074730087835</v>
      </c>
      <c r="N15" s="330"/>
      <c r="O15" s="250">
        <f>VLOOKUP(Table245[[#This Row],[Compound Name]],'Table S6 Recommended Values'!$A$10:$BD$398,RAVs!O$4,FALSE)</f>
        <v>-59.813803363377701</v>
      </c>
      <c r="P15" s="249" cm="1">
        <f t="array" ref="P15">INDEX('Table S6 Recommended Values'!$A$10:$BD$398,MATCH(RAVs!$D15,'Table S6 Recommended Values'!$A$10:$A$398,0)+1,P$4)</f>
        <v>11.645585211804001</v>
      </c>
      <c r="Q15" s="330"/>
      <c r="R15" s="250">
        <f>VLOOKUP(Table245[[#This Row],[Compound Name]],'Table S6 Recommended Values'!$A$10:$BD$398,RAVs!R$4,FALSE)</f>
        <v>59.710852874934901</v>
      </c>
      <c r="S15" s="249" cm="1">
        <f t="array" ref="S15">INDEX('Table S6 Recommended Values'!$A$10:$BD$398,MATCH(RAVs!$D15,'Table S6 Recommended Values'!$A$10:$A$398,0)+1,S$4)</f>
        <v>12.219917856728401</v>
      </c>
      <c r="T15" s="330"/>
      <c r="U15" s="250">
        <f>VLOOKUP(Table245[[#This Row],[Compound Name]],'Table S6 Recommended Values'!$A$10:$BD$398,RAVs!U$4,FALSE)</f>
        <v>-0.102551444534927</v>
      </c>
      <c r="V15" s="249" cm="1">
        <f t="array" ref="V15">INDEX('Table S6 Recommended Values'!$A$10:$BD$398,MATCH(RAVs!$D15,'Table S6 Recommended Values'!$A$10:$A$398,0)+1,V$4)</f>
        <v>9.9152410275928293</v>
      </c>
      <c r="W15" s="330"/>
      <c r="X15" s="343">
        <f>VLOOKUP(Table245[[#This Row],[Compound Name]],'Table S6 Recommended Values'!$A$10:$BF$398,RAVs!X$4,FALSE)</f>
        <v>7.9034344741726601</v>
      </c>
      <c r="Y15" s="249" cm="1">
        <f t="array" ref="Y15">INDEX('Table S6 Recommended Values'!$A$10:$BF$398,MATCH(RAVs!$D15,'Table S6 Recommended Values'!$A$10:$A$398,0)+1,Y$4)</f>
        <v>0.38670838059241502</v>
      </c>
      <c r="Z15" s="330"/>
      <c r="AA15" s="343">
        <f>VLOOKUP(Table245[[#This Row],[Compound Name]],'Table S6 Recommended Values'!$A$10:$BF$398,RAVs!AA$4,FALSE)</f>
        <v>5.1825842250349501</v>
      </c>
      <c r="AB15" s="249" cm="1">
        <f t="array" ref="AB15">INDEX('Table S6 Recommended Values'!$A$10:$BF$398,MATCH(RAVs!$D15,'Table S6 Recommended Values'!$A$10:$A$398,0)+1,AB$4)</f>
        <v>0.62412013157611601</v>
      </c>
      <c r="AC15" s="330"/>
      <c r="AD15" s="343">
        <f>VLOOKUP(Table245[[#This Row],[Compound Name]],'Table S6 Recommended Values'!$A$10:$BF$398,RAVs!AD$4,FALSE)</f>
        <v>-2.7032979508132202</v>
      </c>
      <c r="AE15" s="249" cm="1">
        <f t="array" ref="AE15">INDEX('Table S6 Recommended Values'!$A$10:$BF$398,MATCH(RAVs!$D15,'Table S6 Recommended Values'!$A$10:$A$398,0)+1,AE$4)</f>
        <v>0.654306674999108</v>
      </c>
      <c r="AF15" s="330"/>
      <c r="AG15" s="343">
        <f>VLOOKUP(Table245[[#This Row],[Compound Name]],'Table S6 Recommended Values'!$A$10:$BF$398,RAVs!AG$4,FALSE)</f>
        <v>-2.0711420692820863</v>
      </c>
      <c r="AH15" s="249" cm="1">
        <f t="array" ref="AH15">INDEX('Table S6 Recommended Values'!$A$10:$BF$398,MATCH(RAVs!$D15,'Table S6 Recommended Values'!$A$10:$A$398,0)+1,AH$4)</f>
        <v>0.56447045251161698</v>
      </c>
      <c r="AI15" s="330"/>
      <c r="AJ15" s="343">
        <f>VLOOKUP(Table245[[#This Row],[Compound Name]],'Table S6 Recommended Values'!$A$10:$BF$398,RAVs!AJ$4,FALSE)</f>
        <v>-2.76498696422111</v>
      </c>
      <c r="AK15" s="249" cm="1">
        <f t="array" ref="AK15">INDEX('Table S6 Recommended Values'!$A$10:$BF$398,MATCH(RAVs!$D15,'Table S6 Recommended Values'!$A$10:$A$398,0)+1,AK$4)</f>
        <v>0.63932142420777505</v>
      </c>
      <c r="AL15" s="330"/>
      <c r="AM15" s="343">
        <f>VLOOKUP(Table245[[#This Row],[Compound Name]],'Table S6 Recommended Values'!$A$10:$BF$398,RAVs!AM$4,FALSE)</f>
        <v>2.4288744693717401</v>
      </c>
      <c r="AN15" s="249" cm="1">
        <f t="array" ref="AN15">INDEX('Table S6 Recommended Values'!$A$10:$BF$398,MATCH(RAVs!$D15,'Table S6 Recommended Values'!$A$10:$A$398,0)+1,AN$4)</f>
        <v>0.61241725802990898</v>
      </c>
      <c r="AO15" s="330"/>
      <c r="AP15" s="343" t="str">
        <f>VLOOKUP(Table245[[#This Row],[Compound Name]],'Table S6 Recommended Values'!$A$10:$BF$398,RAVs!AP$4,FALSE)</f>
        <v>-</v>
      </c>
      <c r="AQ15" s="249" t="str" cm="1">
        <f t="array" ref="AQ15">INDEX('Table S6 Recommended Values'!$A$10:$BF$398,MATCH(RAVs!$D15,'Table S6 Recommended Values'!$A$10:$A$398,0)+1,AQ$4)</f>
        <v>-</v>
      </c>
      <c r="AR15" s="330"/>
      <c r="AS15" s="343">
        <f>VLOOKUP(Table245[[#This Row],[Compound Name]],'Table S6 Recommended Values'!$A$10:$BF$398,RAVs!AS$4,FALSE)</f>
        <v>133</v>
      </c>
      <c r="AT15" s="249" cm="1">
        <f t="array" ref="AT15">INDEX('Table S6 Recommended Values'!$A$10:$BF$398,MATCH(RAVs!$D15,'Table S6 Recommended Values'!$A$10:$A$398,0)+1,AT$4)</f>
        <v>39.9</v>
      </c>
      <c r="AU15" s="330"/>
    </row>
    <row r="16" spans="2:47">
      <c r="B16" s="247" t="str">
        <f>'Table S2 Compound Identifiers'!C18</f>
        <v>Musk</v>
      </c>
      <c r="C16" s="247">
        <f>COUNTIF($D$6:D16,"&lt;&gt;"&amp;"")</f>
        <v>11</v>
      </c>
      <c r="D16" s="247" t="str">
        <f>'Table S2 Compound Identifiers'!B18</f>
        <v>Tonalide</v>
      </c>
      <c r="E16" s="247" t="str">
        <f>VLOOKUP(RAVs!$D16,'Table S3 Literature Values'!$A$10:$AV$551,E$4,FALSE)</f>
        <v>21145-77-7</v>
      </c>
      <c r="F16" s="248">
        <f>VLOOKUP(Table245[[#This Row],[Compound Name]],'Table S6 Recommended Values'!$A$10:$BD$398,RAVs!F$4,FALSE)</f>
        <v>60.516519255099801</v>
      </c>
      <c r="G16" s="249" cm="1">
        <f t="array" ref="G16">INDEX('Table S6 Recommended Values'!$A$10:$BD$398,MATCH(RAVs!$D16,'Table S6 Recommended Values'!$A$10:$A$398,0)+1,G$4)</f>
        <v>12.214596324134099</v>
      </c>
      <c r="H16" s="330"/>
      <c r="I16" s="328">
        <f>VLOOKUP(Table245[[#This Row],[Compound Name]],'Table S6 Recommended Values'!$A$10:$BD$398,RAVs!I$4,FALSE)</f>
        <v>-23.901570188792501</v>
      </c>
      <c r="J16" s="249" cm="1">
        <f t="array" ref="J16">INDEX('Table S6 Recommended Values'!$A$10:$BD$398,MATCH(RAVs!$D16,'Table S6 Recommended Values'!$A$10:$A$398,0)+1,J$4)</f>
        <v>9.2097379897017806</v>
      </c>
      <c r="K16" s="330"/>
      <c r="L16" s="250">
        <f>VLOOKUP(Table245[[#This Row],[Compound Name]],'Table S6 Recommended Values'!$A$10:$BD$398,RAVs!L$4,FALSE)</f>
        <v>-19.093224163485303</v>
      </c>
      <c r="M16" s="249" cm="1">
        <f t="array" ref="M16">INDEX('Table S6 Recommended Values'!$A$10:$BD$398,MATCH(RAVs!$D16,'Table S6 Recommended Values'!$A$10:$A$398,0)+1,M$4)</f>
        <v>14.949470247030238</v>
      </c>
      <c r="N16" s="330"/>
      <c r="O16" s="250">
        <f>VLOOKUP(Table245[[#This Row],[Compound Name]],'Table S6 Recommended Values'!$A$10:$BD$398,RAVs!O$4,FALSE)</f>
        <v>-77.218743418585106</v>
      </c>
      <c r="P16" s="249" cm="1">
        <f t="array" ref="P16">INDEX('Table S6 Recommended Values'!$A$10:$BD$398,MATCH(RAVs!$D16,'Table S6 Recommended Values'!$A$10:$A$398,0)+1,P$4)</f>
        <v>8.6191819394471594</v>
      </c>
      <c r="Q16" s="330"/>
      <c r="R16" s="250">
        <f>VLOOKUP(Table245[[#This Row],[Compound Name]],'Table S6 Recommended Values'!$A$10:$BD$398,RAVs!R$4,FALSE)</f>
        <v>82.024972430536707</v>
      </c>
      <c r="S16" s="249" cm="1">
        <f t="array" ref="S16">INDEX('Table S6 Recommended Values'!$A$10:$BD$398,MATCH(RAVs!$D16,'Table S6 Recommended Values'!$A$10:$A$398,0)+1,S$4)</f>
        <v>10.211993497956099</v>
      </c>
      <c r="T16" s="330"/>
      <c r="U16" s="250">
        <f>VLOOKUP(Table245[[#This Row],[Compound Name]],'Table S6 Recommended Values'!$A$10:$BD$398,RAVs!U$4,FALSE)</f>
        <v>4.8046259583034496</v>
      </c>
      <c r="V16" s="249" cm="1">
        <f t="array" ref="V16">INDEX('Table S6 Recommended Values'!$A$10:$BD$398,MATCH(RAVs!$D16,'Table S6 Recommended Values'!$A$10:$A$398,0)+1,V$4)</f>
        <v>8.6238758074933095</v>
      </c>
      <c r="W16" s="330"/>
      <c r="X16" s="343">
        <f>VLOOKUP(Table245[[#This Row],[Compound Name]],'Table S6 Recommended Values'!$A$10:$BF$398,RAVs!X$4,FALSE)</f>
        <v>8.1763409261796802</v>
      </c>
      <c r="Y16" s="249" cm="1">
        <f t="array" ref="Y16">INDEX('Table S6 Recommended Values'!$A$10:$BF$398,MATCH(RAVs!$D16,'Table S6 Recommended Values'!$A$10:$A$398,0)+1,Y$4)</f>
        <v>0.18364291581697001</v>
      </c>
      <c r="Z16" s="330"/>
      <c r="AA16" s="343">
        <f>VLOOKUP(Table245[[#This Row],[Compound Name]],'Table S6 Recommended Values'!$A$10:$BF$398,RAVs!AA$4,FALSE)</f>
        <v>6.00044655934256</v>
      </c>
      <c r="AB16" s="249" cm="1">
        <f t="array" ref="AB16">INDEX('Table S6 Recommended Values'!$A$10:$BF$398,MATCH(RAVs!$D16,'Table S6 Recommended Values'!$A$10:$A$398,0)+1,AB$4)</f>
        <v>0.21830621827942201</v>
      </c>
      <c r="AC16" s="330"/>
      <c r="AD16" s="343">
        <f>VLOOKUP(Table245[[#This Row],[Compound Name]],'Table S6 Recommended Values'!$A$10:$BF$398,RAVs!AD$4,FALSE)</f>
        <v>-2.1319008922850702</v>
      </c>
      <c r="AE16" s="249" cm="1">
        <f t="array" ref="AE16">INDEX('Table S6 Recommended Values'!$A$10:$BF$398,MATCH(RAVs!$D16,'Table S6 Recommended Values'!$A$10:$A$398,0)+1,AE$4)</f>
        <v>0.20579909266834001</v>
      </c>
      <c r="AF16" s="330"/>
      <c r="AG16" s="343">
        <f>VLOOKUP(Table245[[#This Row],[Compound Name]],'Table S6 Recommended Values'!$A$10:$BF$398,RAVs!AG$4,FALSE)</f>
        <v>-0.85290698013769584</v>
      </c>
      <c r="AH16" s="249" cm="1">
        <f t="array" ref="AH16">INDEX('Table S6 Recommended Values'!$A$10:$BF$398,MATCH(RAVs!$D16,'Table S6 Recommended Values'!$A$10:$A$398,0)+1,AH$4)</f>
        <v>0.13014603595539401</v>
      </c>
      <c r="AI16" s="330"/>
      <c r="AJ16" s="343">
        <f>VLOOKUP(Table245[[#This Row],[Compound Name]],'Table S6 Recommended Values'!$A$10:$BF$398,RAVs!AJ$4,FALSE)</f>
        <v>-2.0932402356478601</v>
      </c>
      <c r="AK16" s="249" cm="1">
        <f t="array" ref="AK16">INDEX('Table S6 Recommended Values'!$A$10:$BF$398,MATCH(RAVs!$D16,'Table S6 Recommended Values'!$A$10:$A$398,0)+1,AK$4)</f>
        <v>0.191515417631307</v>
      </c>
      <c r="AL16" s="330"/>
      <c r="AM16" s="343">
        <f>VLOOKUP(Table245[[#This Row],[Compound Name]],'Table S6 Recommended Values'!$A$10:$BF$398,RAVs!AM$4,FALSE)</f>
        <v>3.9169343482716799</v>
      </c>
      <c r="AN16" s="249" cm="1">
        <f t="array" ref="AN16">INDEX('Table S6 Recommended Values'!$A$10:$BF$398,MATCH(RAVs!$D16,'Table S6 Recommended Values'!$A$10:$A$398,0)+1,AN$4)</f>
        <v>0.215072185484352</v>
      </c>
      <c r="AO16" s="330"/>
      <c r="AP16" s="343" t="str">
        <f>VLOOKUP(Table245[[#This Row],[Compound Name]],'Table S6 Recommended Values'!$A$10:$BF$398,RAVs!AP$4,FALSE)</f>
        <v>-</v>
      </c>
      <c r="AQ16" s="249" t="str" cm="1">
        <f t="array" ref="AQ16">INDEX('Table S6 Recommended Values'!$A$10:$BF$398,MATCH(RAVs!$D16,'Table S6 Recommended Values'!$A$10:$A$398,0)+1,AQ$4)</f>
        <v>-</v>
      </c>
      <c r="AR16" s="330"/>
      <c r="AS16" s="343">
        <f>VLOOKUP(Table245[[#This Row],[Compound Name]],'Table S6 Recommended Values'!$A$10:$BF$398,RAVs!AS$4,FALSE)</f>
        <v>54.949999999999996</v>
      </c>
      <c r="AT16" s="249" cm="1">
        <f t="array" ref="AT16">INDEX('Table S6 Recommended Values'!$A$10:$BF$398,MATCH(RAVs!$D16,'Table S6 Recommended Values'!$A$10:$A$398,0)+1,AT$4)</f>
        <v>1.2379418403139955</v>
      </c>
      <c r="AU16" s="330"/>
    </row>
    <row r="17" spans="2:47">
      <c r="B17" s="247" t="str">
        <f>'Table S2 Compound Identifiers'!C19</f>
        <v>Musk</v>
      </c>
      <c r="C17" s="247">
        <f>COUNTIF($D$6:D17,"&lt;&gt;"&amp;"")</f>
        <v>12</v>
      </c>
      <c r="D17" s="247" t="str">
        <f>'Table S2 Compound Identifiers'!B19</f>
        <v>Galaxolide 1</v>
      </c>
      <c r="E17" s="247" t="str">
        <f>VLOOKUP(RAVs!$D17,'Table S3 Literature Values'!$A$10:$AV$551,E$4,FALSE)</f>
        <v>1222-05-5</v>
      </c>
      <c r="F17" s="248">
        <f>VLOOKUP(Table245[[#This Row],[Compound Name]],'Table S6 Recommended Values'!$A$10:$BD$398,RAVs!F$4,FALSE)</f>
        <v>86.299305835356407</v>
      </c>
      <c r="G17" s="249" cm="1">
        <f t="array" ref="G17">INDEX('Table S6 Recommended Values'!$A$10:$BD$398,MATCH(RAVs!$D17,'Table S6 Recommended Values'!$A$10:$A$398,0)+1,G$4)</f>
        <v>2.5114336972291</v>
      </c>
      <c r="H17" s="330"/>
      <c r="I17" s="328">
        <f>VLOOKUP(Table245[[#This Row],[Compound Name]],'Table S6 Recommended Values'!$A$10:$BD$398,RAVs!I$4,FALSE)</f>
        <v>16.018315529616899</v>
      </c>
      <c r="J17" s="249" cm="1">
        <f t="array" ref="J17">INDEX('Table S6 Recommended Values'!$A$10:$BD$398,MATCH(RAVs!$D17,'Table S6 Recommended Values'!$A$10:$A$398,0)+1,J$4)</f>
        <v>4.5050571813864799</v>
      </c>
      <c r="K17" s="330"/>
      <c r="L17" s="250">
        <f>VLOOKUP(Table245[[#This Row],[Compound Name]],'Table S6 Recommended Values'!$A$10:$BD$398,RAVs!L$4,FALSE)</f>
        <v>13.288497470620205</v>
      </c>
      <c r="M17" s="249" cm="1">
        <f t="array" ref="M17">INDEX('Table S6 Recommended Values'!$A$10:$BD$398,MATCH(RAVs!$D17,'Table S6 Recommended Values'!$A$10:$A$398,0)+1,M$4)</f>
        <v>3.5521386373675874</v>
      </c>
      <c r="N17" s="330"/>
      <c r="O17" s="250">
        <f>VLOOKUP(Table245[[#This Row],[Compound Name]],'Table S6 Recommended Values'!$A$10:$BD$398,RAVs!O$4,FALSE)</f>
        <v>-70.619808364736201</v>
      </c>
      <c r="P17" s="249" cm="1">
        <f t="array" ref="P17">INDEX('Table S6 Recommended Values'!$A$10:$BD$398,MATCH(RAVs!$D17,'Table S6 Recommended Values'!$A$10:$A$398,0)+1,P$4)</f>
        <v>2.5120489014949201</v>
      </c>
      <c r="Q17" s="330"/>
      <c r="R17" s="250">
        <f>VLOOKUP(Table245[[#This Row],[Compound Name]],'Table S6 Recommended Values'!$A$10:$BD$398,RAVs!R$4,FALSE)</f>
        <v>67.895840150703805</v>
      </c>
      <c r="S17" s="249" cm="1">
        <f t="array" ref="S17">INDEX('Table S6 Recommended Values'!$A$10:$BD$398,MATCH(RAVs!$D17,'Table S6 Recommended Values'!$A$10:$A$398,0)+1,S$4)</f>
        <v>4.32827989385863</v>
      </c>
      <c r="T17" s="330"/>
      <c r="U17" s="250">
        <f>VLOOKUP(Table245[[#This Row],[Compound Name]],'Table S6 Recommended Values'!$A$10:$BD$398,RAVs!U$4,FALSE)</f>
        <v>-2.7197647639654399</v>
      </c>
      <c r="V17" s="249" cm="1">
        <f t="array" ref="V17">INDEX('Table S6 Recommended Values'!$A$10:$BD$398,MATCH(RAVs!$D17,'Table S6 Recommended Values'!$A$10:$A$398,0)+1,V$4)</f>
        <v>4.2086387421469302</v>
      </c>
      <c r="W17" s="330"/>
      <c r="X17" s="343">
        <f>VLOOKUP(Table245[[#This Row],[Compound Name]],'Table S6 Recommended Values'!$A$10:$BF$398,RAVs!X$4,FALSE)</f>
        <v>8.0723704870270705</v>
      </c>
      <c r="Y17" s="249" cm="1">
        <f t="array" ref="Y17">INDEX('Table S6 Recommended Values'!$A$10:$BF$398,MATCH(RAVs!$D17,'Table S6 Recommended Values'!$A$10:$A$398,0)+1,Y$4)</f>
        <v>0.194929202151987</v>
      </c>
      <c r="Z17" s="330"/>
      <c r="AA17" s="343">
        <f>VLOOKUP(Table245[[#This Row],[Compound Name]],'Table S6 Recommended Values'!$A$10:$BF$398,RAVs!AA$4,FALSE)</f>
        <v>5.7105185036412101</v>
      </c>
      <c r="AB17" s="249" cm="1">
        <f t="array" ref="AB17">INDEX('Table S6 Recommended Values'!$A$10:$BF$398,MATCH(RAVs!$D17,'Table S6 Recommended Values'!$A$10:$A$398,0)+1,AB$4)</f>
        <v>0.24970236375275501</v>
      </c>
      <c r="AC17" s="330"/>
      <c r="AD17" s="343">
        <f>VLOOKUP(Table245[[#This Row],[Compound Name]],'Table S6 Recommended Values'!$A$10:$BF$398,RAVs!AD$4,FALSE)</f>
        <v>-2.3496394728358299</v>
      </c>
      <c r="AE17" s="249" cm="1">
        <f t="array" ref="AE17">INDEX('Table S6 Recommended Values'!$A$10:$BF$398,MATCH(RAVs!$D17,'Table S6 Recommended Values'!$A$10:$A$398,0)+1,AE$4)</f>
        <v>0.164582715239875</v>
      </c>
      <c r="AF17" s="330"/>
      <c r="AG17" s="343">
        <f>VLOOKUP(Table245[[#This Row],[Compound Name]],'Table S6 Recommended Values'!$A$10:$BF$398,RAVs!AG$4,FALSE)</f>
        <v>-1.1582446085834464</v>
      </c>
      <c r="AH17" s="249" cm="1">
        <f t="array" ref="AH17">INDEX('Table S6 Recommended Values'!$A$10:$BF$398,MATCH(RAVs!$D17,'Table S6 Recommended Values'!$A$10:$A$398,0)+1,AH$4)</f>
        <v>0.12924400848171999</v>
      </c>
      <c r="AI17" s="330"/>
      <c r="AJ17" s="343">
        <f>VLOOKUP(Table245[[#This Row],[Compound Name]],'Table S6 Recommended Values'!$A$10:$BF$398,RAVs!AJ$4,FALSE)</f>
        <v>-2.16682492478972</v>
      </c>
      <c r="AK17" s="249" cm="1">
        <f t="array" ref="AK17">INDEX('Table S6 Recommended Values'!$A$10:$BF$398,MATCH(RAVs!$D17,'Table S6 Recommended Values'!$A$10:$A$398,0)+1,AK$4)</f>
        <v>7.5816250244709699E-2</v>
      </c>
      <c r="AL17" s="330"/>
      <c r="AM17" s="343">
        <f>VLOOKUP(Table245[[#This Row],[Compound Name]],'Table S6 Recommended Values'!$A$10:$BF$398,RAVs!AM$4,FALSE)</f>
        <v>3.5357753904757701</v>
      </c>
      <c r="AN17" s="249" cm="1">
        <f t="array" ref="AN17">INDEX('Table S6 Recommended Values'!$A$10:$BF$398,MATCH(RAVs!$D17,'Table S6 Recommended Values'!$A$10:$A$398,0)+1,AN$4)</f>
        <v>0.23170115220430801</v>
      </c>
      <c r="AO17" s="330"/>
      <c r="AP17" s="343" t="str">
        <f>VLOOKUP(Table245[[#This Row],[Compound Name]],'Table S6 Recommended Values'!$A$10:$BF$398,RAVs!AP$4,FALSE)</f>
        <v>-</v>
      </c>
      <c r="AQ17" s="249" t="str" cm="1">
        <f t="array" ref="AQ17">INDEX('Table S6 Recommended Values'!$A$10:$BF$398,MATCH(RAVs!$D17,'Table S6 Recommended Values'!$A$10:$A$398,0)+1,AQ$4)</f>
        <v>-</v>
      </c>
      <c r="AR17" s="330"/>
      <c r="AS17" s="343">
        <f>VLOOKUP(Table245[[#This Row],[Compound Name]],'Table S6 Recommended Values'!$A$10:$BF$398,RAVs!AS$4,FALSE)</f>
        <v>-20</v>
      </c>
      <c r="AT17" s="249" cm="1">
        <f t="array" ref="AT17">INDEX('Table S6 Recommended Values'!$A$10:$BF$398,MATCH(RAVs!$D17,'Table S6 Recommended Values'!$A$10:$A$398,0)+1,AT$4)</f>
        <v>6</v>
      </c>
      <c r="AU17" s="330"/>
    </row>
    <row r="18" spans="2:47">
      <c r="B18" s="247" t="str">
        <f>'Table S2 Compound Identifiers'!C20</f>
        <v>Musk</v>
      </c>
      <c r="C18" s="247">
        <f>COUNTIF($D$6:D18,"&lt;&gt;"&amp;"")</f>
        <v>13</v>
      </c>
      <c r="D18" s="247" t="str">
        <f>'Table S2 Compound Identifiers'!B20</f>
        <v>Musk Tibetene</v>
      </c>
      <c r="E18" s="247" t="str">
        <f>VLOOKUP(RAVs!$D18,'Table S3 Literature Values'!$A$10:$AV$551,E$4,FALSE)</f>
        <v>145-39-1</v>
      </c>
      <c r="F18" s="248">
        <f>VLOOKUP(Table245[[#This Row],[Compound Name]],'Table S6 Recommended Values'!$A$10:$BD$398,RAVs!F$4,FALSE)</f>
        <v>95.333248577082202</v>
      </c>
      <c r="G18" s="249" cm="1">
        <f t="array" ref="G18">INDEX('Table S6 Recommended Values'!$A$10:$BD$398,MATCH(RAVs!$D18,'Table S6 Recommended Values'!$A$10:$A$398,0)+1,G$4)</f>
        <v>5.0790848705248601</v>
      </c>
      <c r="H18" s="330"/>
      <c r="I18" s="328">
        <f>VLOOKUP(Table245[[#This Row],[Compound Name]],'Table S6 Recommended Values'!$A$10:$BD$398,RAVs!I$4,FALSE)</f>
        <v>16.554535313873298</v>
      </c>
      <c r="J18" s="249" cm="1">
        <f t="array" ref="J18">INDEX('Table S6 Recommended Values'!$A$10:$BD$398,MATCH(RAVs!$D18,'Table S6 Recommended Values'!$A$10:$A$398,0)+1,J$4)</f>
        <v>5.1887732802996602</v>
      </c>
      <c r="K18" s="330"/>
      <c r="L18" s="250">
        <f>VLOOKUP(Table245[[#This Row],[Compound Name]],'Table S6 Recommended Values'!$A$10:$BD$398,RAVs!L$4,FALSE)</f>
        <v>17.711581396024208</v>
      </c>
      <c r="M18" s="249" cm="1">
        <f t="array" ref="M18">INDEX('Table S6 Recommended Values'!$A$10:$BD$398,MATCH(RAVs!$D18,'Table S6 Recommended Values'!$A$10:$A$398,0)+1,M$4)</f>
        <v>5.406207626779107</v>
      </c>
      <c r="N18" s="330"/>
      <c r="O18" s="250">
        <f>VLOOKUP(Table245[[#This Row],[Compound Name]],'Table S6 Recommended Values'!$A$10:$BD$398,RAVs!O$4,FALSE)</f>
        <v>-75.230667181057996</v>
      </c>
      <c r="P18" s="249" cm="1">
        <f t="array" ref="P18">INDEX('Table S6 Recommended Values'!$A$10:$BD$398,MATCH(RAVs!$D18,'Table S6 Recommended Values'!$A$10:$A$398,0)+1,P$4)</f>
        <v>1.85201991939883</v>
      </c>
      <c r="Q18" s="330"/>
      <c r="R18" s="250">
        <f>VLOOKUP(Table245[[#This Row],[Compound Name]],'Table S6 Recommended Values'!$A$10:$BD$398,RAVs!R$4,FALSE)</f>
        <v>76.392573014920302</v>
      </c>
      <c r="S18" s="249" cm="1">
        <f t="array" ref="S18">INDEX('Table S6 Recommended Values'!$A$10:$BD$398,MATCH(RAVs!$D18,'Table S6 Recommended Values'!$A$10:$A$398,0)+1,S$4)</f>
        <v>3.71078002743034</v>
      </c>
      <c r="T18" s="330"/>
      <c r="U18" s="250">
        <f>VLOOKUP(Table245[[#This Row],[Compound Name]],'Table S6 Recommended Values'!$A$10:$BD$398,RAVs!U$4,FALSE)</f>
        <v>1.17167398724376</v>
      </c>
      <c r="V18" s="249" cm="1">
        <f t="array" ref="V18">INDEX('Table S6 Recommended Values'!$A$10:$BD$398,MATCH(RAVs!$D18,'Table S6 Recommended Values'!$A$10:$A$398,0)+1,V$4)</f>
        <v>3.4243784264389299</v>
      </c>
      <c r="W18" s="330"/>
      <c r="X18" s="343">
        <f>VLOOKUP(Table245[[#This Row],[Compound Name]],'Table S6 Recommended Values'!$A$10:$BF$398,RAVs!X$4,FALSE)</f>
        <v>8.1732639552134199</v>
      </c>
      <c r="Y18" s="249" cm="1">
        <f t="array" ref="Y18">INDEX('Table S6 Recommended Values'!$A$10:$BF$398,MATCH(RAVs!$D18,'Table S6 Recommended Values'!$A$10:$A$398,0)+1,Y$4)</f>
        <v>0.41612146749498002</v>
      </c>
      <c r="Z18" s="330"/>
      <c r="AA18" s="343">
        <f>VLOOKUP(Table245[[#This Row],[Compound Name]],'Table S6 Recommended Values'!$A$10:$BF$398,RAVs!AA$4,FALSE)</f>
        <v>5.19150294031654</v>
      </c>
      <c r="AB18" s="249" cm="1">
        <f t="array" ref="AB18">INDEX('Table S6 Recommended Values'!$A$10:$BF$398,MATCH(RAVs!$D18,'Table S6 Recommended Values'!$A$10:$A$398,0)+1,AB$4)</f>
        <v>0.65761733002238898</v>
      </c>
      <c r="AC18" s="330"/>
      <c r="AD18" s="343">
        <f>VLOOKUP(Table245[[#This Row],[Compound Name]],'Table S6 Recommended Values'!$A$10:$BF$398,RAVs!AD$4,FALSE)</f>
        <v>-2.96004238806252</v>
      </c>
      <c r="AE18" s="249" cm="1">
        <f t="array" ref="AE18">INDEX('Table S6 Recommended Values'!$A$10:$BF$398,MATCH(RAVs!$D18,'Table S6 Recommended Values'!$A$10:$A$398,0)+1,AE$4)</f>
        <v>0.66599940629069598</v>
      </c>
      <c r="AF18" s="330"/>
      <c r="AG18" s="343">
        <f>VLOOKUP(Table245[[#This Row],[Compound Name]],'Table S6 Recommended Values'!$A$10:$BF$398,RAVs!AG$4,FALSE)</f>
        <v>-2.1736517464854863</v>
      </c>
      <c r="AH18" s="249" cm="1">
        <f t="array" ref="AH18">INDEX('Table S6 Recommended Values'!$A$10:$BF$398,MATCH(RAVs!$D18,'Table S6 Recommended Values'!$A$10:$A$398,0)+1,AH$4)</f>
        <v>0.41225798182413398</v>
      </c>
      <c r="AI18" s="330"/>
      <c r="AJ18" s="343">
        <f>VLOOKUP(Table245[[#This Row],[Compound Name]],'Table S6 Recommended Values'!$A$10:$BF$398,RAVs!AJ$4,FALSE)</f>
        <v>-2.60849856725928</v>
      </c>
      <c r="AK18" s="249" cm="1">
        <f t="array" ref="AK18">INDEX('Table S6 Recommended Values'!$A$10:$BF$398,MATCH(RAVs!$D18,'Table S6 Recommended Values'!$A$10:$A$398,0)+1,AK$4)</f>
        <v>0.65620016606248299</v>
      </c>
      <c r="AL18" s="330"/>
      <c r="AM18" s="343">
        <f>VLOOKUP(Table245[[#This Row],[Compound Name]],'Table S6 Recommended Values'!$A$10:$BF$398,RAVs!AM$4,FALSE)</f>
        <v>2.5949404408335801</v>
      </c>
      <c r="AN18" s="249" cm="1">
        <f t="array" ref="AN18">INDEX('Table S6 Recommended Values'!$A$10:$BF$398,MATCH(RAVs!$D18,'Table S6 Recommended Values'!$A$10:$A$398,0)+1,AN$4)</f>
        <v>0.54585195483752402</v>
      </c>
      <c r="AO18" s="330"/>
      <c r="AP18" s="343" t="str">
        <f>VLOOKUP(Table245[[#This Row],[Compound Name]],'Table S6 Recommended Values'!$A$10:$BF$398,RAVs!AP$4,FALSE)</f>
        <v>-</v>
      </c>
      <c r="AQ18" s="249" t="str" cm="1">
        <f t="array" ref="AQ18">INDEX('Table S6 Recommended Values'!$A$10:$BF$398,MATCH(RAVs!$D18,'Table S6 Recommended Values'!$A$10:$A$398,0)+1,AQ$4)</f>
        <v>-</v>
      </c>
      <c r="AR18" s="330"/>
      <c r="AS18" s="343">
        <f>VLOOKUP(Table245[[#This Row],[Compound Name]],'Table S6 Recommended Values'!$A$10:$BF$398,RAVs!AS$4,FALSE)</f>
        <v>135.5</v>
      </c>
      <c r="AT18" s="249" cm="1">
        <f t="array" ref="AT18">INDEX('Table S6 Recommended Values'!$A$10:$BF$398,MATCH(RAVs!$D18,'Table S6 Recommended Values'!$A$10:$A$398,0)+1,AT$4)</f>
        <v>0.70710678118654757</v>
      </c>
      <c r="AU18" s="330"/>
    </row>
    <row r="19" spans="2:47">
      <c r="B19" s="247" t="str">
        <f>'Table S2 Compound Identifiers'!C21</f>
        <v>NBFR</v>
      </c>
      <c r="C19" s="247">
        <f>COUNTIF($D$6:D19,"&lt;&gt;"&amp;"")</f>
        <v>14</v>
      </c>
      <c r="D19" s="247" t="str">
        <f>'Table S2 Compound Identifiers'!B21</f>
        <v>TBP-AE</v>
      </c>
      <c r="E19" s="247" t="str">
        <f>VLOOKUP(RAVs!$D19,'Table S3 Literature Values'!$A$10:$AV$551,E$4,FALSE)</f>
        <v>3278-89-5</v>
      </c>
      <c r="F19" s="248">
        <f>VLOOKUP(Table245[[#This Row],[Compound Name]],'Table S6 Recommended Values'!$A$10:$BD$398,RAVs!F$4,FALSE)</f>
        <v>73.176868700435904</v>
      </c>
      <c r="G19" s="249" cm="1">
        <f t="array" ref="G19">INDEX('Table S6 Recommended Values'!$A$10:$BD$398,MATCH(RAVs!$D19,'Table S6 Recommended Values'!$A$10:$A$398,0)+1,G$4)</f>
        <v>10.0249150948158</v>
      </c>
      <c r="H19" s="330"/>
      <c r="I19" s="328">
        <f>VLOOKUP(Table245[[#This Row],[Compound Name]],'Table S6 Recommended Values'!$A$10:$BD$398,RAVs!I$4,FALSE)</f>
        <v>19.3891572855729</v>
      </c>
      <c r="J19" s="249" cm="1">
        <f t="array" ref="J19">INDEX('Table S6 Recommended Values'!$A$10:$BD$398,MATCH(RAVs!$D19,'Table S6 Recommended Values'!$A$10:$A$398,0)+1,J$4)</f>
        <v>14.3823010922161</v>
      </c>
      <c r="K19" s="330"/>
      <c r="L19" s="250">
        <f>VLOOKUP(Table245[[#This Row],[Compound Name]],'Table S6 Recommended Values'!$A$10:$BD$398,RAVs!L$4,FALSE)</f>
        <v>16.195549314901008</v>
      </c>
      <c r="M19" s="249" cm="1">
        <f t="array" ref="M19">INDEX('Table S6 Recommended Values'!$A$10:$BD$398,MATCH(RAVs!$D19,'Table S6 Recommended Values'!$A$10:$A$398,0)+1,M$4)</f>
        <v>14.188428764134342</v>
      </c>
      <c r="N19" s="330"/>
      <c r="O19" s="250">
        <f>VLOOKUP(Table245[[#This Row],[Compound Name]],'Table S6 Recommended Values'!$A$10:$BD$398,RAVs!O$4,FALSE)</f>
        <v>-54.590319385534897</v>
      </c>
      <c r="P19" s="249" cm="1">
        <f t="array" ref="P19">INDEX('Table S6 Recommended Values'!$A$10:$BD$398,MATCH(RAVs!$D19,'Table S6 Recommended Values'!$A$10:$A$398,0)+1,P$4)</f>
        <v>10.0405472030487</v>
      </c>
      <c r="Q19" s="330"/>
      <c r="R19" s="250">
        <f>VLOOKUP(Table245[[#This Row],[Compound Name]],'Table S6 Recommended Values'!$A$10:$BD$398,RAVs!R$4,FALSE)</f>
        <v>51.396599290728197</v>
      </c>
      <c r="S19" s="249" cm="1">
        <f t="array" ref="S19">INDEX('Table S6 Recommended Values'!$A$10:$BD$398,MATCH(RAVs!$D19,'Table S6 Recommended Values'!$A$10:$A$398,0)+1,S$4)</f>
        <v>13.4050604285564</v>
      </c>
      <c r="T19" s="330"/>
      <c r="U19" s="250">
        <f>VLOOKUP(Table245[[#This Row],[Compound Name]],'Table S6 Recommended Values'!$A$10:$BD$398,RAVs!U$4,FALSE)</f>
        <v>-3.19540326044921</v>
      </c>
      <c r="V19" s="249" cm="1">
        <f t="array" ref="V19">INDEX('Table S6 Recommended Values'!$A$10:$BD$398,MATCH(RAVs!$D19,'Table S6 Recommended Values'!$A$10:$A$398,0)+1,V$4)</f>
        <v>14.387232506533399</v>
      </c>
      <c r="W19" s="330"/>
      <c r="X19" s="343">
        <f>VLOOKUP(Table245[[#This Row],[Compound Name]],'Table S6 Recommended Values'!$A$10:$BF$398,RAVs!X$4,FALSE)</f>
        <v>6.9211747651154303</v>
      </c>
      <c r="Y19" s="249" cm="1">
        <f t="array" ref="Y19">INDEX('Table S6 Recommended Values'!$A$10:$BF$398,MATCH(RAVs!$D19,'Table S6 Recommended Values'!$A$10:$A$398,0)+1,Y$4)</f>
        <v>0.408677437746016</v>
      </c>
      <c r="Z19" s="330"/>
      <c r="AA19" s="343">
        <f>VLOOKUP(Table245[[#This Row],[Compound Name]],'Table S6 Recommended Values'!$A$10:$BF$398,RAVs!AA$4,FALSE)</f>
        <v>5.0047082304973998</v>
      </c>
      <c r="AB19" s="249" cm="1">
        <f t="array" ref="AB19">INDEX('Table S6 Recommended Values'!$A$10:$BF$398,MATCH(RAVs!$D19,'Table S6 Recommended Values'!$A$10:$A$398,0)+1,AB$4)</f>
        <v>0.60762649292844095</v>
      </c>
      <c r="AC19" s="330"/>
      <c r="AD19" s="343">
        <f>VLOOKUP(Table245[[#This Row],[Compound Name]],'Table S6 Recommended Values'!$A$10:$BF$398,RAVs!AD$4,FALSE)</f>
        <v>-1.9302160455945201</v>
      </c>
      <c r="AE19" s="249" cm="1">
        <f t="array" ref="AE19">INDEX('Table S6 Recommended Values'!$A$10:$BF$398,MATCH(RAVs!$D19,'Table S6 Recommended Values'!$A$10:$A$398,0)+1,AE$4)</f>
        <v>0.51251223808305102</v>
      </c>
      <c r="AF19" s="330"/>
      <c r="AG19" s="343">
        <f>VLOOKUP(Table245[[#This Row],[Compound Name]],'Table S6 Recommended Values'!$A$10:$BF$398,RAVs!AG$4,FALSE)</f>
        <v>-1.0604214703229866</v>
      </c>
      <c r="AH19" s="249" cm="1">
        <f t="array" ref="AH19">INDEX('Table S6 Recommended Values'!$A$10:$BF$398,MATCH(RAVs!$D19,'Table S6 Recommended Values'!$A$10:$A$398,0)+1,AH$4)</f>
        <v>0.384231055762496</v>
      </c>
      <c r="AI19" s="330"/>
      <c r="AJ19" s="343">
        <f>VLOOKUP(Table245[[#This Row],[Compound Name]],'Table S6 Recommended Values'!$A$10:$BF$398,RAVs!AJ$4,FALSE)</f>
        <v>-2.53371878142045</v>
      </c>
      <c r="AK19" s="249" cm="1">
        <f t="array" ref="AK19">INDEX('Table S6 Recommended Values'!$A$10:$BF$398,MATCH(RAVs!$D19,'Table S6 Recommended Values'!$A$10:$A$398,0)+1,AK$4)</f>
        <v>0.41369176279792302</v>
      </c>
      <c r="AL19" s="330"/>
      <c r="AM19" s="343">
        <f>VLOOKUP(Table245[[#This Row],[Compound Name]],'Table S6 Recommended Values'!$A$10:$BF$398,RAVs!AM$4,FALSE)</f>
        <v>2.4714211492798599</v>
      </c>
      <c r="AN19" s="249" cm="1">
        <f t="array" ref="AN19">INDEX('Table S6 Recommended Values'!$A$10:$BF$398,MATCH(RAVs!$D19,'Table S6 Recommended Values'!$A$10:$A$398,0)+1,AN$4)</f>
        <v>0.50196563448738796</v>
      </c>
      <c r="AO19" s="330"/>
      <c r="AP19" s="343" t="str">
        <f>VLOOKUP(Table245[[#This Row],[Compound Name]],'Table S6 Recommended Values'!$A$10:$BF$398,RAVs!AP$4,FALSE)</f>
        <v>-</v>
      </c>
      <c r="AQ19" s="249" t="str" cm="1">
        <f t="array" ref="AQ19">INDEX('Table S6 Recommended Values'!$A$10:$BF$398,MATCH(RAVs!$D19,'Table S6 Recommended Values'!$A$10:$A$398,0)+1,AQ$4)</f>
        <v>-</v>
      </c>
      <c r="AR19" s="330"/>
      <c r="AS19" s="343">
        <f>VLOOKUP(Table245[[#This Row],[Compound Name]],'Table S6 Recommended Values'!$A$10:$BF$398,RAVs!AS$4,FALSE)</f>
        <v>75.400000000000006</v>
      </c>
      <c r="AT19" s="249" cm="1">
        <f t="array" ref="AT19">INDEX('Table S6 Recommended Values'!$A$10:$BF$398,MATCH(RAVs!$D19,'Table S6 Recommended Values'!$A$10:$A$398,0)+1,AT$4)</f>
        <v>0.56568542494923602</v>
      </c>
      <c r="AU19" s="330"/>
    </row>
    <row r="20" spans="2:47">
      <c r="B20" s="247" t="str">
        <f>'Table S2 Compound Identifiers'!C22</f>
        <v>NBFR</v>
      </c>
      <c r="C20" s="247">
        <f>COUNTIF($D$6:D20,"&lt;&gt;"&amp;"")</f>
        <v>15</v>
      </c>
      <c r="D20" s="247" t="str">
        <f>'Table S2 Compound Identifiers'!B22</f>
        <v>β-TBCO</v>
      </c>
      <c r="E20" s="247" t="str">
        <f>VLOOKUP(RAVs!$D20,'Table S3 Literature Values'!$A$10:$AV$551,E$4,FALSE)</f>
        <v>3194-57-8</v>
      </c>
      <c r="F20" s="248">
        <f>VLOOKUP(Table245[[#This Row],[Compound Name]],'Table S6 Recommended Values'!$A$10:$BD$398,RAVs!F$4,FALSE)</f>
        <v>64.543131105368104</v>
      </c>
      <c r="G20" s="249" cm="1">
        <f t="array" ref="G20">INDEX('Table S6 Recommended Values'!$A$10:$BD$398,MATCH(RAVs!$D20,'Table S6 Recommended Values'!$A$10:$A$398,0)+1,G$4)</f>
        <v>9.64440325223649</v>
      </c>
      <c r="H20" s="330"/>
      <c r="I20" s="328">
        <f>VLOOKUP(Table245[[#This Row],[Compound Name]],'Table S6 Recommended Values'!$A$10:$BD$398,RAVs!I$4,FALSE)</f>
        <v>13.8939819597739</v>
      </c>
      <c r="J20" s="249" cm="1">
        <f t="array" ref="J20">INDEX('Table S6 Recommended Values'!$A$10:$BD$398,MATCH(RAVs!$D20,'Table S6 Recommended Values'!$A$10:$A$398,0)+1,J$4)</f>
        <v>13.6124801445287</v>
      </c>
      <c r="K20" s="330"/>
      <c r="L20" s="250">
        <f>VLOOKUP(Table245[[#This Row],[Compound Name]],'Table S6 Recommended Values'!$A$10:$BD$398,RAVs!L$4,FALSE)</f>
        <v>6.5214297026220063</v>
      </c>
      <c r="M20" s="249" cm="1">
        <f t="array" ref="M20">INDEX('Table S6 Recommended Values'!$A$10:$BD$398,MATCH(RAVs!$D20,'Table S6 Recommended Values'!$A$10:$A$398,0)+1,M$4)</f>
        <v>13.392590590061742</v>
      </c>
      <c r="N20" s="330"/>
      <c r="O20" s="250">
        <f>VLOOKUP(Table245[[#This Row],[Compound Name]],'Table S6 Recommended Values'!$A$10:$BD$398,RAVs!O$4,FALSE)</f>
        <v>-55.630701402746098</v>
      </c>
      <c r="P20" s="249" cm="1">
        <f t="array" ref="P20">INDEX('Table S6 Recommended Values'!$A$10:$BD$398,MATCH(RAVs!$D20,'Table S6 Recommended Values'!$A$10:$A$398,0)+1,P$4)</f>
        <v>9.2923069590527696</v>
      </c>
      <c r="Q20" s="330"/>
      <c r="R20" s="250">
        <f>VLOOKUP(Table245[[#This Row],[Compound Name]],'Table S6 Recommended Values'!$A$10:$BD$398,RAVs!R$4,FALSE)</f>
        <v>48.257707333913601</v>
      </c>
      <c r="S20" s="249" cm="1">
        <f t="array" ref="S20">INDEX('Table S6 Recommended Values'!$A$10:$BD$398,MATCH(RAVs!$D20,'Table S6 Recommended Values'!$A$10:$A$398,0)+1,S$4)</f>
        <v>12.592886651222299</v>
      </c>
      <c r="T20" s="330"/>
      <c r="U20" s="250">
        <f>VLOOKUP(Table245[[#This Row],[Compound Name]],'Table S6 Recommended Values'!$A$10:$BD$398,RAVs!U$4,FALSE)</f>
        <v>-7.3730948616554501</v>
      </c>
      <c r="V20" s="249" cm="1">
        <f t="array" ref="V20">INDEX('Table S6 Recommended Values'!$A$10:$BD$398,MATCH(RAVs!$D20,'Table S6 Recommended Values'!$A$10:$A$398,0)+1,V$4)</f>
        <v>13.5905562607473</v>
      </c>
      <c r="W20" s="330"/>
      <c r="X20" s="343">
        <f>VLOOKUP(Table245[[#This Row],[Compound Name]],'Table S6 Recommended Values'!$A$10:$BF$398,RAVs!X$4,FALSE)</f>
        <v>7.3976739459553604</v>
      </c>
      <c r="Y20" s="249" cm="1">
        <f t="array" ref="Y20">INDEX('Table S6 Recommended Values'!$A$10:$BF$398,MATCH(RAVs!$D20,'Table S6 Recommended Values'!$A$10:$A$398,0)+1,Y$4)</f>
        <v>0.488744421000261</v>
      </c>
      <c r="Z20" s="330"/>
      <c r="AA20" s="343">
        <f>VLOOKUP(Table245[[#This Row],[Compound Name]],'Table S6 Recommended Values'!$A$10:$BF$398,RAVs!AA$4,FALSE)</f>
        <v>5.3691010093097598</v>
      </c>
      <c r="AB20" s="249" cm="1">
        <f t="array" ref="AB20">INDEX('Table S6 Recommended Values'!$A$10:$BF$398,MATCH(RAVs!$D20,'Table S6 Recommended Values'!$A$10:$A$398,0)+1,AB$4)</f>
        <v>0.76960073180072397</v>
      </c>
      <c r="AC20" s="330"/>
      <c r="AD20" s="343">
        <f>VLOOKUP(Table245[[#This Row],[Compound Name]],'Table S6 Recommended Values'!$A$10:$BF$398,RAVs!AD$4,FALSE)</f>
        <v>-2.0344965396017098</v>
      </c>
      <c r="AE20" s="249" cm="1">
        <f t="array" ref="AE20">INDEX('Table S6 Recommended Values'!$A$10:$BF$398,MATCH(RAVs!$D20,'Table S6 Recommended Values'!$A$10:$A$398,0)+1,AE$4)</f>
        <v>0.71513162519859197</v>
      </c>
      <c r="AF20" s="330"/>
      <c r="AG20" s="343">
        <f>VLOOKUP(Table245[[#This Row],[Compound Name]],'Table S6 Recommended Values'!$A$10:$BF$398,RAVs!AG$4,FALSE)</f>
        <v>-0.93910323816878594</v>
      </c>
      <c r="AH20" s="249" cm="1">
        <f t="array" ref="AH20">INDEX('Table S6 Recommended Values'!$A$10:$BF$398,MATCH(RAVs!$D20,'Table S6 Recommended Values'!$A$10:$A$398,0)+1,AH$4)</f>
        <v>0.480882734818182</v>
      </c>
      <c r="AI20" s="330"/>
      <c r="AJ20" s="343">
        <f>VLOOKUP(Table245[[#This Row],[Compound Name]],'Table S6 Recommended Values'!$A$10:$BF$398,RAVs!AJ$4,FALSE)</f>
        <v>-2.3047395138625699</v>
      </c>
      <c r="AK20" s="249" cm="1">
        <f t="array" ref="AK20">INDEX('Table S6 Recommended Values'!$A$10:$BF$398,MATCH(RAVs!$D20,'Table S6 Recommended Values'!$A$10:$A$398,0)+1,AK$4)</f>
        <v>0.73702664336786305</v>
      </c>
      <c r="AL20" s="330"/>
      <c r="AM20" s="343">
        <f>VLOOKUP(Table245[[#This Row],[Compound Name]],'Table S6 Recommended Values'!$A$10:$BF$398,RAVs!AM$4,FALSE)</f>
        <v>3.0643751662849099</v>
      </c>
      <c r="AN20" s="249" cm="1">
        <f t="array" ref="AN20">INDEX('Table S6 Recommended Values'!$A$10:$BF$398,MATCH(RAVs!$D20,'Table S6 Recommended Values'!$A$10:$A$398,0)+1,AN$4)</f>
        <v>0.604484291938712</v>
      </c>
      <c r="AO20" s="330"/>
      <c r="AP20" s="343" t="str">
        <f>VLOOKUP(Table245[[#This Row],[Compound Name]],'Table S6 Recommended Values'!$A$10:$BF$398,RAVs!AP$4,FALSE)</f>
        <v>-</v>
      </c>
      <c r="AQ20" s="249" t="str" cm="1">
        <f t="array" ref="AQ20">INDEX('Table S6 Recommended Values'!$A$10:$BF$398,MATCH(RAVs!$D20,'Table S6 Recommended Values'!$A$10:$A$398,0)+1,AQ$4)</f>
        <v>-</v>
      </c>
      <c r="AR20" s="330"/>
      <c r="AS20" s="343">
        <f>VLOOKUP(Table245[[#This Row],[Compound Name]],'Table S6 Recommended Values'!$A$10:$BF$398,RAVs!AS$4,FALSE)</f>
        <v>147.5</v>
      </c>
      <c r="AT20" s="249" cm="1">
        <f t="array" ref="AT20">INDEX('Table S6 Recommended Values'!$A$10:$BF$398,MATCH(RAVs!$D20,'Table S6 Recommended Values'!$A$10:$A$398,0)+1,AT$4)</f>
        <v>44.25</v>
      </c>
      <c r="AU20" s="330"/>
    </row>
    <row r="21" spans="2:47">
      <c r="B21" s="247" t="str">
        <f>'Table S2 Compound Identifiers'!C23</f>
        <v>NBFR</v>
      </c>
      <c r="C21" s="247">
        <f>COUNTIF($D$6:D21,"&lt;&gt;"&amp;"")</f>
        <v>16</v>
      </c>
      <c r="D21" s="247" t="str">
        <f>'Table S2 Compound Identifiers'!B23</f>
        <v>PBBZ</v>
      </c>
      <c r="E21" s="247" t="str">
        <f>VLOOKUP(RAVs!$D21,'Table S3 Literature Values'!$A$10:$AV$551,E$4,FALSE)</f>
        <v>608-90-2</v>
      </c>
      <c r="F21" s="248">
        <f>VLOOKUP(Table245[[#This Row],[Compound Name]],'Table S6 Recommended Values'!$A$10:$BD$398,RAVs!F$4,FALSE)</f>
        <v>60.779987488315399</v>
      </c>
      <c r="G21" s="249" cm="1">
        <f t="array" ref="G21">INDEX('Table S6 Recommended Values'!$A$10:$BD$398,MATCH(RAVs!$D21,'Table S6 Recommended Values'!$A$10:$A$398,0)+1,G$4)</f>
        <v>5.3111536137936497</v>
      </c>
      <c r="H21" s="330"/>
      <c r="I21" s="328">
        <f>VLOOKUP(Table245[[#This Row],[Compound Name]],'Table S6 Recommended Values'!$A$10:$BD$398,RAVs!I$4,FALSE)</f>
        <v>17.672509700736601</v>
      </c>
      <c r="J21" s="249" cm="1">
        <f t="array" ref="J21">INDEX('Table S6 Recommended Values'!$A$10:$BD$398,MATCH(RAVs!$D21,'Table S6 Recommended Values'!$A$10:$A$398,0)+1,J$4)</f>
        <v>8.7544226950697794</v>
      </c>
      <c r="K21" s="330"/>
      <c r="L21" s="250">
        <f>VLOOKUP(Table245[[#This Row],[Compound Name]],'Table S6 Recommended Values'!$A$10:$BD$398,RAVs!L$4,FALSE)</f>
        <v>-4.2343194940435982</v>
      </c>
      <c r="M21" s="249" cm="1">
        <f t="array" ref="M21">INDEX('Table S6 Recommended Values'!$A$10:$BD$398,MATCH(RAVs!$D21,'Table S6 Recommended Values'!$A$10:$A$398,0)+1,M$4)</f>
        <v>7.4688677764728881</v>
      </c>
      <c r="N21" s="330"/>
      <c r="O21" s="250">
        <f>VLOOKUP(Table245[[#This Row],[Compound Name]],'Table S6 Recommended Values'!$A$10:$BD$398,RAVs!O$4,FALSE)</f>
        <v>-62.623306982358997</v>
      </c>
      <c r="P21" s="249" cm="1">
        <f t="array" ref="P21">INDEX('Table S6 Recommended Values'!$A$10:$BD$398,MATCH(RAVs!$D21,'Table S6 Recommended Values'!$A$10:$A$398,0)+1,P$4)</f>
        <v>5.25125062752881</v>
      </c>
      <c r="Q21" s="330"/>
      <c r="R21" s="250">
        <f>VLOOKUP(Table245[[#This Row],[Compound Name]],'Table S6 Recommended Values'!$A$10:$BD$398,RAVs!R$4,FALSE)</f>
        <v>40.7154037627432</v>
      </c>
      <c r="S21" s="249" cm="1">
        <f t="array" ref="S21">INDEX('Table S6 Recommended Values'!$A$10:$BD$398,MATCH(RAVs!$D21,'Table S6 Recommended Values'!$A$10:$A$398,0)+1,S$4)</f>
        <v>7.80021164582823</v>
      </c>
      <c r="T21" s="330"/>
      <c r="U21" s="250">
        <f>VLOOKUP(Table245[[#This Row],[Compound Name]],'Table S6 Recommended Values'!$A$10:$BD$398,RAVs!U$4,FALSE)</f>
        <v>-21.910597661529</v>
      </c>
      <c r="V21" s="249" cm="1">
        <f t="array" ref="V21">INDEX('Table S6 Recommended Values'!$A$10:$BD$398,MATCH(RAVs!$D21,'Table S6 Recommended Values'!$A$10:$A$398,0)+1,V$4)</f>
        <v>8.3469687804838006</v>
      </c>
      <c r="W21" s="330"/>
      <c r="X21" s="343">
        <f>VLOOKUP(Table245[[#This Row],[Compound Name]],'Table S6 Recommended Values'!$A$10:$BF$398,RAVs!X$4,FALSE)</f>
        <v>8.1101403759282604</v>
      </c>
      <c r="Y21" s="249" cm="1">
        <f t="array" ref="Y21">INDEX('Table S6 Recommended Values'!$A$10:$BF$398,MATCH(RAVs!$D21,'Table S6 Recommended Values'!$A$10:$A$398,0)+1,Y$4)</f>
        <v>0.38693490281439002</v>
      </c>
      <c r="Z21" s="330"/>
      <c r="AA21" s="343">
        <f>VLOOKUP(Table245[[#This Row],[Compound Name]],'Table S6 Recommended Values'!$A$10:$BF$398,RAVs!AA$4,FALSE)</f>
        <v>5.6849087437761199</v>
      </c>
      <c r="AB21" s="249" cm="1">
        <f t="array" ref="AB21">INDEX('Table S6 Recommended Values'!$A$10:$BF$398,MATCH(RAVs!$D21,'Table S6 Recommended Values'!$A$10:$A$398,0)+1,AB$4)</f>
        <v>0.64034324872113402</v>
      </c>
      <c r="AC21" s="330"/>
      <c r="AD21" s="343">
        <f>VLOOKUP(Table245[[#This Row],[Compound Name]],'Table S6 Recommended Values'!$A$10:$BF$398,RAVs!AD$4,FALSE)</f>
        <v>-2.4119457400011299</v>
      </c>
      <c r="AE21" s="249" cm="1">
        <f t="array" ref="AE21">INDEX('Table S6 Recommended Values'!$A$10:$BF$398,MATCH(RAVs!$D21,'Table S6 Recommended Values'!$A$10:$A$398,0)+1,AE$4)</f>
        <v>0.58270117153858303</v>
      </c>
      <c r="AF21" s="330"/>
      <c r="AG21" s="343">
        <f>VLOOKUP(Table245[[#This Row],[Compound Name]],'Table S6 Recommended Values'!$A$10:$BF$398,RAVs!AG$4,FALSE)</f>
        <v>-1.7215655612037966</v>
      </c>
      <c r="AH21" s="249" cm="1">
        <f t="array" ref="AH21">INDEX('Table S6 Recommended Values'!$A$10:$BF$398,MATCH(RAVs!$D21,'Table S6 Recommended Values'!$A$10:$A$398,0)+1,AH$4)</f>
        <v>0.37713809167455298</v>
      </c>
      <c r="AI21" s="330"/>
      <c r="AJ21" s="343">
        <f>VLOOKUP(Table245[[#This Row],[Compound Name]],'Table S6 Recommended Values'!$A$10:$BF$398,RAVs!AJ$4,FALSE)</f>
        <v>-2.70636869110698</v>
      </c>
      <c r="AK21" s="249" cm="1">
        <f t="array" ref="AK21">INDEX('Table S6 Recommended Values'!$A$10:$BF$398,MATCH(RAVs!$D21,'Table S6 Recommended Values'!$A$10:$A$398,0)+1,AK$4)</f>
        <v>0.59757402537158399</v>
      </c>
      <c r="AL21" s="330"/>
      <c r="AM21" s="343">
        <f>VLOOKUP(Table245[[#This Row],[Compound Name]],'Table S6 Recommended Values'!$A$10:$BF$398,RAVs!AM$4,FALSE)</f>
        <v>2.9844420964935701</v>
      </c>
      <c r="AN21" s="249" cm="1">
        <f t="array" ref="AN21">INDEX('Table S6 Recommended Values'!$A$10:$BF$398,MATCH(RAVs!$D21,'Table S6 Recommended Values'!$A$10:$A$398,0)+1,AN$4)</f>
        <v>0.48218097992347198</v>
      </c>
      <c r="AO21" s="330"/>
      <c r="AP21" s="343" t="str">
        <f>VLOOKUP(Table245[[#This Row],[Compound Name]],'Table S6 Recommended Values'!$A$10:$BF$398,RAVs!AP$4,FALSE)</f>
        <v>-</v>
      </c>
      <c r="AQ21" s="249" t="str" cm="1">
        <f t="array" ref="AQ21">INDEX('Table S6 Recommended Values'!$A$10:$BF$398,MATCH(RAVs!$D21,'Table S6 Recommended Values'!$A$10:$A$398,0)+1,AQ$4)</f>
        <v>-</v>
      </c>
      <c r="AR21" s="330"/>
      <c r="AS21" s="343">
        <f>VLOOKUP(Table245[[#This Row],[Compound Name]],'Table S6 Recommended Values'!$A$10:$BF$398,RAVs!AS$4,FALSE)</f>
        <v>159.66666666666666</v>
      </c>
      <c r="AT21" s="249" cm="1">
        <f t="array" ref="AT21">INDEX('Table S6 Recommended Values'!$A$10:$BF$398,MATCH(RAVs!$D21,'Table S6 Recommended Values'!$A$10:$A$398,0)+1,AT$4)</f>
        <v>1.2583057392117916</v>
      </c>
      <c r="AU21" s="330"/>
    </row>
    <row r="22" spans="2:47">
      <c r="B22" s="247" t="str">
        <f>'Table S2 Compound Identifiers'!C24</f>
        <v>NBFR</v>
      </c>
      <c r="C22" s="247">
        <f>COUNTIF($D$6:D22,"&lt;&gt;"&amp;"")</f>
        <v>17</v>
      </c>
      <c r="D22" s="247" t="str">
        <f>'Table S2 Compound Identifiers'!B24</f>
        <v>PBEB</v>
      </c>
      <c r="E22" s="247" t="str">
        <f>VLOOKUP(RAVs!$D22,'Table S3 Literature Values'!$A$10:$AV$551,E$4,FALSE)</f>
        <v>85-22-3</v>
      </c>
      <c r="F22" s="248">
        <f>VLOOKUP(Table245[[#This Row],[Compound Name]],'Table S6 Recommended Values'!$A$10:$BD$398,RAVs!F$4,FALSE)</f>
        <v>77.574459875704605</v>
      </c>
      <c r="G22" s="249" cm="1">
        <f t="array" ref="G22">INDEX('Table S6 Recommended Values'!$A$10:$BD$398,MATCH(RAVs!$D22,'Table S6 Recommended Values'!$A$10:$A$398,0)+1,G$4)</f>
        <v>6.2937113125555104</v>
      </c>
      <c r="H22" s="330"/>
      <c r="I22" s="328">
        <f>VLOOKUP(Table245[[#This Row],[Compound Name]],'Table S6 Recommended Values'!$A$10:$BD$398,RAVs!I$4,FALSE)</f>
        <v>18.172455653371401</v>
      </c>
      <c r="J22" s="249" cm="1">
        <f t="array" ref="J22">INDEX('Table S6 Recommended Values'!$A$10:$BD$398,MATCH(RAVs!$D22,'Table S6 Recommended Values'!$A$10:$A$398,0)+1,J$4)</f>
        <v>9.8382843031898606</v>
      </c>
      <c r="K22" s="330"/>
      <c r="L22" s="250">
        <f>VLOOKUP(Table245[[#This Row],[Compound Name]],'Table S6 Recommended Values'!$A$10:$BD$398,RAVs!L$4,FALSE)</f>
        <v>-4.3078551772811924</v>
      </c>
      <c r="M22" s="249" cm="1">
        <f t="array" ref="M22">INDEX('Table S6 Recommended Values'!$A$10:$BD$398,MATCH(RAVs!$D22,'Table S6 Recommended Values'!$A$10:$A$398,0)+1,M$4)</f>
        <v>8.8226482752641484</v>
      </c>
      <c r="N22" s="330"/>
      <c r="O22" s="250">
        <f>VLOOKUP(Table245[[#This Row],[Compound Name]],'Table S6 Recommended Values'!$A$10:$BD$398,RAVs!O$4,FALSE)</f>
        <v>-79.491315052985797</v>
      </c>
      <c r="P22" s="249" cm="1">
        <f t="array" ref="P22">INDEX('Table S6 Recommended Values'!$A$10:$BD$398,MATCH(RAVs!$D22,'Table S6 Recommended Values'!$A$10:$A$398,0)+1,P$4)</f>
        <v>6.1829055065747403</v>
      </c>
      <c r="Q22" s="330"/>
      <c r="R22" s="250">
        <f>VLOOKUP(Table245[[#This Row],[Compound Name]],'Table S6 Recommended Values'!$A$10:$BD$398,RAVs!R$4,FALSE)</f>
        <v>57.010629299879099</v>
      </c>
      <c r="S22" s="249" cm="1">
        <f t="array" ref="S22">INDEX('Table S6 Recommended Values'!$A$10:$BD$398,MATCH(RAVs!$D22,'Table S6 Recommended Values'!$A$10:$A$398,0)+1,S$4)</f>
        <v>8.7113411144999198</v>
      </c>
      <c r="T22" s="330"/>
      <c r="U22" s="250">
        <f>VLOOKUP(Table245[[#This Row],[Compound Name]],'Table S6 Recommended Values'!$A$10:$BD$398,RAVs!U$4,FALSE)</f>
        <v>-22.483055090470799</v>
      </c>
      <c r="V22" s="249" cm="1">
        <f t="array" ref="V22">INDEX('Table S6 Recommended Values'!$A$10:$BD$398,MATCH(RAVs!$D22,'Table S6 Recommended Values'!$A$10:$A$398,0)+1,V$4)</f>
        <v>9.1518101214671805</v>
      </c>
      <c r="W22" s="330"/>
      <c r="X22" s="343">
        <f>VLOOKUP(Table245[[#This Row],[Compound Name]],'Table S6 Recommended Values'!$A$10:$BF$398,RAVs!X$4,FALSE)</f>
        <v>9.3429619138065707</v>
      </c>
      <c r="Y22" s="249" cm="1">
        <f t="array" ref="Y22">INDEX('Table S6 Recommended Values'!$A$10:$BF$398,MATCH(RAVs!$D22,'Table S6 Recommended Values'!$A$10:$A$398,0)+1,Y$4)</f>
        <v>0.11612022256297599</v>
      </c>
      <c r="Z22" s="330"/>
      <c r="AA22" s="343">
        <f>VLOOKUP(Table245[[#This Row],[Compound Name]],'Table S6 Recommended Values'!$A$10:$BF$398,RAVs!AA$4,FALSE)</f>
        <v>6.7421994837125698</v>
      </c>
      <c r="AB22" s="249" cm="1">
        <f t="array" ref="AB22">INDEX('Table S6 Recommended Values'!$A$10:$BF$398,MATCH(RAVs!$D22,'Table S6 Recommended Values'!$A$10:$A$398,0)+1,AB$4)</f>
        <v>0.60622999363841701</v>
      </c>
      <c r="AC22" s="330"/>
      <c r="AD22" s="343">
        <f>VLOOKUP(Table245[[#This Row],[Compound Name]],'Table S6 Recommended Values'!$A$10:$BF$398,RAVs!AD$4,FALSE)</f>
        <v>-2.5945005945777901</v>
      </c>
      <c r="AE22" s="249" cm="1">
        <f t="array" ref="AE22">INDEX('Table S6 Recommended Values'!$A$10:$BF$398,MATCH(RAVs!$D22,'Table S6 Recommended Values'!$A$10:$A$398,0)+1,AE$4)</f>
        <v>0.59322839853601494</v>
      </c>
      <c r="AF22" s="330"/>
      <c r="AG22" s="343">
        <f>VLOOKUP(Table245[[#This Row],[Compound Name]],'Table S6 Recommended Values'!$A$10:$BF$398,RAVs!AG$4,FALSE)</f>
        <v>-2.8785021166739471</v>
      </c>
      <c r="AH22" s="249" cm="1">
        <f t="array" ref="AH22">INDEX('Table S6 Recommended Values'!$A$10:$BF$398,MATCH(RAVs!$D22,'Table S6 Recommended Values'!$A$10:$A$398,0)+1,AH$4)</f>
        <v>0.32916179983968102</v>
      </c>
      <c r="AI22" s="330"/>
      <c r="AJ22" s="343">
        <f>VLOOKUP(Table245[[#This Row],[Compound Name]],'Table S6 Recommended Values'!$A$10:$BF$398,RAVs!AJ$4,FALSE)</f>
        <v>-3.6764761771174501</v>
      </c>
      <c r="AK22" s="249" cm="1">
        <f t="array" ref="AK22">INDEX('Table S6 Recommended Values'!$A$10:$BF$398,MATCH(RAVs!$D22,'Table S6 Recommended Values'!$A$10:$A$398,0)+1,AK$4)</f>
        <v>0.61574125454220996</v>
      </c>
      <c r="AL22" s="330"/>
      <c r="AM22" s="343">
        <f>VLOOKUP(Table245[[#This Row],[Compound Name]],'Table S6 Recommended Values'!$A$10:$BF$398,RAVs!AM$4,FALSE)</f>
        <v>3.0670711248439799</v>
      </c>
      <c r="AN22" s="249" cm="1">
        <f t="array" ref="AN22">INDEX('Table S6 Recommended Values'!$A$10:$BF$398,MATCH(RAVs!$D22,'Table S6 Recommended Values'!$A$10:$A$398,0)+1,AN$4)</f>
        <v>0.34044184067404198</v>
      </c>
      <c r="AO22" s="330"/>
      <c r="AP22" s="343">
        <f>VLOOKUP(Table245[[#This Row],[Compound Name]],'Table S6 Recommended Values'!$A$10:$BF$398,RAVs!AP$4,FALSE)</f>
        <v>32.770848618244074</v>
      </c>
      <c r="AQ22" s="249" cm="1">
        <f t="array" ref="AQ22">INDEX('Table S6 Recommended Values'!$A$10:$BF$398,MATCH(RAVs!$D22,'Table S6 Recommended Values'!$A$10:$A$398,0)+1,AQ$4)</f>
        <v>2.5829860323335803</v>
      </c>
      <c r="AR22" s="330"/>
      <c r="AS22" s="343">
        <f>VLOOKUP(Table245[[#This Row],[Compound Name]],'Table S6 Recommended Values'!$A$10:$BF$398,RAVs!AS$4,FALSE)</f>
        <v>137.16666666666666</v>
      </c>
      <c r="AT22" s="249" cm="1">
        <f t="array" ref="AT22">INDEX('Table S6 Recommended Values'!$A$10:$BF$398,MATCH(RAVs!$D22,'Table S6 Recommended Values'!$A$10:$A$398,0)+1,AT$4)</f>
        <v>1.2332207155790618</v>
      </c>
      <c r="AU22" s="330"/>
    </row>
    <row r="23" spans="2:47">
      <c r="B23" s="247" t="str">
        <f>'Table S2 Compound Identifiers'!C25</f>
        <v>NBFR</v>
      </c>
      <c r="C23" s="247">
        <f>COUNTIF($D$6:D23,"&lt;&gt;"&amp;"")</f>
        <v>18</v>
      </c>
      <c r="D23" s="247" t="str">
        <f>'Table S2 Compound Identifiers'!B25</f>
        <v>DPTE</v>
      </c>
      <c r="E23" s="247" t="str">
        <f>VLOOKUP(RAVs!$D23,'Table S3 Literature Values'!$A$10:$AV$551,E$4,FALSE)</f>
        <v>35109-60-5</v>
      </c>
      <c r="F23" s="248">
        <f>VLOOKUP(Table245[[#This Row],[Compound Name]],'Table S6 Recommended Values'!$A$10:$BD$398,RAVs!F$4,FALSE)</f>
        <v>85.433735438151601</v>
      </c>
      <c r="G23" s="249" cm="1">
        <f t="array" ref="G23">INDEX('Table S6 Recommended Values'!$A$10:$BD$398,MATCH(RAVs!$D23,'Table S6 Recommended Values'!$A$10:$A$398,0)+1,G$4)</f>
        <v>16.6228333840203</v>
      </c>
      <c r="H23" s="330"/>
      <c r="I23" s="328">
        <f>VLOOKUP(Table245[[#This Row],[Compound Name]],'Table S6 Recommended Values'!$A$10:$BD$398,RAVs!I$4,FALSE)</f>
        <v>13.1060282154784</v>
      </c>
      <c r="J23" s="249" cm="1">
        <f t="array" ref="J23">INDEX('Table S6 Recommended Values'!$A$10:$BD$398,MATCH(RAVs!$D23,'Table S6 Recommended Values'!$A$10:$A$398,0)+1,J$4)</f>
        <v>16.312239032257501</v>
      </c>
      <c r="K23" s="330"/>
      <c r="L23" s="250">
        <f>VLOOKUP(Table245[[#This Row],[Compound Name]],'Table S6 Recommended Values'!$A$10:$BD$398,RAVs!L$4,FALSE)</f>
        <v>4.2054503508979959</v>
      </c>
      <c r="M23" s="249" cm="1">
        <f t="array" ref="M23">INDEX('Table S6 Recommended Values'!$A$10:$BD$398,MATCH(RAVs!$D23,'Table S6 Recommended Values'!$A$10:$A$398,0)+1,M$4)</f>
        <v>17.695568508088776</v>
      </c>
      <c r="N23" s="330"/>
      <c r="O23" s="250">
        <f>VLOOKUP(Table245[[#This Row],[Compound Name]],'Table S6 Recommended Values'!$A$10:$BD$398,RAVs!O$4,FALSE)</f>
        <v>-78.837285087253605</v>
      </c>
      <c r="P23" s="249" cm="1">
        <f t="array" ref="P23">INDEX('Table S6 Recommended Values'!$A$10:$BD$398,MATCH(RAVs!$D23,'Table S6 Recommended Values'!$A$10:$A$398,0)+1,P$4)</f>
        <v>6.0674999061856996</v>
      </c>
      <c r="Q23" s="330"/>
      <c r="R23" s="250">
        <f>VLOOKUP(Table245[[#This Row],[Compound Name]],'Table S6 Recommended Values'!$A$10:$BD$398,RAVs!R$4,FALSE)</f>
        <v>69.9371613548293</v>
      </c>
      <c r="S23" s="249" cm="1">
        <f t="array" ref="S23">INDEX('Table S6 Recommended Values'!$A$10:$BD$398,MATCH(RAVs!$D23,'Table S6 Recommended Values'!$A$10:$A$398,0)+1,S$4)</f>
        <v>9.8107935018984893</v>
      </c>
      <c r="T23" s="330"/>
      <c r="U23" s="250">
        <f>VLOOKUP(Table245[[#This Row],[Compound Name]],'Table S6 Recommended Values'!$A$10:$BD$398,RAVs!U$4,FALSE)</f>
        <v>-8.9022592744680793</v>
      </c>
      <c r="V23" s="249" cm="1">
        <f t="array" ref="V23">INDEX('Table S6 Recommended Values'!$A$10:$BD$398,MATCH(RAVs!$D23,'Table S6 Recommended Values'!$A$10:$A$398,0)+1,V$4)</f>
        <v>9.6028704894652304</v>
      </c>
      <c r="W23" s="330"/>
      <c r="X23" s="343">
        <f>VLOOKUP(Table245[[#This Row],[Compound Name]],'Table S6 Recommended Values'!$A$10:$BF$398,RAVs!X$4,FALSE)</f>
        <v>8.9231594848933007</v>
      </c>
      <c r="Y23" s="249" cm="1">
        <f t="array" ref="Y23">INDEX('Table S6 Recommended Values'!$A$10:$BF$398,MATCH(RAVs!$D23,'Table S6 Recommended Values'!$A$10:$A$398,0)+1,Y$4)</f>
        <v>0.25045890228090301</v>
      </c>
      <c r="Z23" s="330"/>
      <c r="AA23" s="343">
        <f>VLOOKUP(Table245[[#This Row],[Compound Name]],'Table S6 Recommended Values'!$A$10:$BF$398,RAVs!AA$4,FALSE)</f>
        <v>5.2804126078025302</v>
      </c>
      <c r="AB23" s="249" cm="1">
        <f t="array" ref="AB23">INDEX('Table S6 Recommended Values'!$A$10:$BF$398,MATCH(RAVs!$D23,'Table S6 Recommended Values'!$A$10:$A$398,0)+1,AB$4)</f>
        <v>0.714175034075333</v>
      </c>
      <c r="AC23" s="330"/>
      <c r="AD23" s="343">
        <f>VLOOKUP(Table245[[#This Row],[Compound Name]],'Table S6 Recommended Values'!$A$10:$BF$398,RAVs!AD$4,FALSE)</f>
        <v>-3.6705936556713099</v>
      </c>
      <c r="AE23" s="249" cm="1">
        <f t="array" ref="AE23">INDEX('Table S6 Recommended Values'!$A$10:$BF$398,MATCH(RAVs!$D23,'Table S6 Recommended Values'!$A$10:$A$398,0)+1,AE$4)</f>
        <v>0.70100183823751705</v>
      </c>
      <c r="AF23" s="330"/>
      <c r="AG23" s="343">
        <f>VLOOKUP(Table245[[#This Row],[Compound Name]],'Table S6 Recommended Values'!$A$10:$BF$398,RAVs!AG$4,FALSE)</f>
        <v>-3.6220926346423359</v>
      </c>
      <c r="AH23" s="249" cm="1">
        <f t="array" ref="AH23">INDEX('Table S6 Recommended Values'!$A$10:$BF$398,MATCH(RAVs!$D23,'Table S6 Recommended Values'!$A$10:$A$398,0)+1,AH$4)</f>
        <v>0.296898173399536</v>
      </c>
      <c r="AI23" s="330"/>
      <c r="AJ23" s="343">
        <f>VLOOKUP(Table245[[#This Row],[Compound Name]],'Table S6 Recommended Values'!$A$10:$BF$398,RAVs!AJ$4,FALSE)</f>
        <v>-3.3499919292191498</v>
      </c>
      <c r="AK23" s="249" cm="1">
        <f t="array" ref="AK23">INDEX('Table S6 Recommended Values'!$A$10:$BF$398,MATCH(RAVs!$D23,'Table S6 Recommended Values'!$A$10:$A$398,0)+1,AK$4)</f>
        <v>0.67669988915935098</v>
      </c>
      <c r="AL23" s="330"/>
      <c r="AM23" s="343">
        <f>VLOOKUP(Table245[[#This Row],[Compound Name]],'Table S6 Recommended Values'!$A$10:$BF$398,RAVs!AM$4,FALSE)</f>
        <v>1.92524691893431</v>
      </c>
      <c r="AN23" s="249" cm="1">
        <f t="array" ref="AN23">INDEX('Table S6 Recommended Values'!$A$10:$BF$398,MATCH(RAVs!$D23,'Table S6 Recommended Values'!$A$10:$A$398,0)+1,AN$4)</f>
        <v>0.34255192147347402</v>
      </c>
      <c r="AO23" s="330"/>
      <c r="AP23" s="343">
        <f>VLOOKUP(Table245[[#This Row],[Compound Name]],'Table S6 Recommended Values'!$A$10:$BF$398,RAVs!AP$4,FALSE)</f>
        <v>8.1606630538731277</v>
      </c>
      <c r="AQ23" s="249" cm="1">
        <f t="array" ref="AQ23">INDEX('Table S6 Recommended Values'!$A$10:$BF$398,MATCH(RAVs!$D23,'Table S6 Recommended Values'!$A$10:$A$398,0)+1,AQ$4)</f>
        <v>0.64322040995301011</v>
      </c>
      <c r="AR23" s="330"/>
      <c r="AS23" s="343">
        <f>VLOOKUP(Table245[[#This Row],[Compound Name]],'Table S6 Recommended Values'!$A$10:$BF$398,RAVs!AS$4,FALSE)</f>
        <v>40.550000000000011</v>
      </c>
      <c r="AT23" s="249" cm="1">
        <f t="array" ref="AT23">INDEX('Table S6 Recommended Values'!$A$10:$BF$398,MATCH(RAVs!$D23,'Table S6 Recommended Values'!$A$10:$A$398,0)+1,AT$4)</f>
        <v>1.8720198319948196</v>
      </c>
      <c r="AU23" s="330"/>
    </row>
    <row r="24" spans="2:47">
      <c r="B24" s="247" t="str">
        <f>'Table S2 Compound Identifiers'!C26</f>
        <v>NBFR</v>
      </c>
      <c r="C24" s="247">
        <f>COUNTIF($D$6:D24,"&lt;&gt;"&amp;"")</f>
        <v>19</v>
      </c>
      <c r="D24" s="247" t="str">
        <f>'Table S2 Compound Identifiers'!B26</f>
        <v>β-HBCDD</v>
      </c>
      <c r="E24" s="247" t="str">
        <f>VLOOKUP(RAVs!$D24,'Table S3 Literature Values'!$A$10:$AV$551,E$4,FALSE)</f>
        <v>134237-51-7</v>
      </c>
      <c r="F24" s="248">
        <f>VLOOKUP(Table245[[#This Row],[Compound Name]],'Table S6 Recommended Values'!$A$10:$BD$398,RAVs!F$4,FALSE)</f>
        <v>101.3245387105719</v>
      </c>
      <c r="G24" s="249" cm="1">
        <f t="array" ref="G24">INDEX('Table S6 Recommended Values'!$A$10:$BD$398,MATCH(RAVs!$D24,'Table S6 Recommended Values'!$A$10:$A$398,0)+1,G$4)</f>
        <v>6.9122214083899101</v>
      </c>
      <c r="H24" s="330"/>
      <c r="I24" s="328">
        <f>VLOOKUP(Table245[[#This Row],[Compound Name]],'Table S6 Recommended Values'!$A$10:$BD$398,RAVs!I$4,FALSE)</f>
        <v>9.9547481482321007</v>
      </c>
      <c r="J24" s="249" cm="1">
        <f t="array" ref="J24">INDEX('Table S6 Recommended Values'!$A$10:$BD$398,MATCH(RAVs!$D24,'Table S6 Recommended Values'!$A$10:$A$398,0)+1,J$4)</f>
        <v>11.9001514295256</v>
      </c>
      <c r="K24" s="330"/>
      <c r="L24" s="250">
        <f>VLOOKUP(Table245[[#This Row],[Compound Name]],'Table S6 Recommended Values'!$A$10:$BD$398,RAVs!L$4,FALSE)</f>
        <v>-12.596713225166093</v>
      </c>
      <c r="M24" s="249" cm="1">
        <f t="array" ref="M24">INDEX('Table S6 Recommended Values'!$A$10:$BD$398,MATCH(RAVs!$D24,'Table S6 Recommended Values'!$A$10:$A$398,0)+1,M$4)</f>
        <v>14.225534148239376</v>
      </c>
      <c r="N24" s="330"/>
      <c r="O24" s="250">
        <f>VLOOKUP(Table245[[#This Row],[Compound Name]],'Table S6 Recommended Values'!$A$10:$BD$398,RAVs!O$4,FALSE)</f>
        <v>-111.53025193573799</v>
      </c>
      <c r="P24" s="249" cm="1">
        <f t="array" ref="P24">INDEX('Table S6 Recommended Values'!$A$10:$BD$398,MATCH(RAVs!$D24,'Table S6 Recommended Values'!$A$10:$A$398,0)+1,P$4)</f>
        <v>12.4333027391808</v>
      </c>
      <c r="Q24" s="330"/>
      <c r="R24" s="250">
        <f>VLOOKUP(Table245[[#This Row],[Compound Name]],'Table S6 Recommended Values'!$A$10:$BD$398,RAVs!R$4,FALSE)</f>
        <v>88.9798952291859</v>
      </c>
      <c r="S24" s="249" cm="1">
        <f t="array" ref="S24">INDEX('Table S6 Recommended Values'!$A$10:$BD$398,MATCH(RAVs!$D24,'Table S6 Recommended Values'!$A$10:$A$398,0)+1,S$4)</f>
        <v>11.742901609276</v>
      </c>
      <c r="T24" s="330"/>
      <c r="U24" s="250">
        <f>VLOOKUP(Table245[[#This Row],[Compound Name]],'Table S6 Recommended Values'!$A$10:$BD$398,RAVs!U$4,FALSE)</f>
        <v>-22.5492664718419</v>
      </c>
      <c r="V24" s="249" cm="1">
        <f t="array" ref="V24">INDEX('Table S6 Recommended Values'!$A$10:$BD$398,MATCH(RAVs!$D24,'Table S6 Recommended Values'!$A$10:$A$398,0)+1,V$4)</f>
        <v>4.4835344850961096</v>
      </c>
      <c r="W24" s="330"/>
      <c r="X24" s="343">
        <f>VLOOKUP(Table245[[#This Row],[Compound Name]],'Table S6 Recommended Values'!$A$10:$BF$398,RAVs!X$4,FALSE)</f>
        <v>10.6865757205296</v>
      </c>
      <c r="Y24" s="249" cm="1">
        <f t="array" ref="Y24">INDEX('Table S6 Recommended Values'!$A$10:$BF$398,MATCH(RAVs!$D24,'Table S6 Recommended Values'!$A$10:$A$398,0)+1,Y$4)</f>
        <v>1.0915092881533801</v>
      </c>
      <c r="Z24" s="330"/>
      <c r="AA24" s="343">
        <f>VLOOKUP(Table245[[#This Row],[Compound Name]],'Table S6 Recommended Values'!$A$10:$BF$398,RAVs!AA$4,FALSE)</f>
        <v>6.17618418011544</v>
      </c>
      <c r="AB24" s="249" cm="1">
        <f t="array" ref="AB24">INDEX('Table S6 Recommended Values'!$A$10:$BF$398,MATCH(RAVs!$D24,'Table S6 Recommended Values'!$A$10:$A$398,0)+1,AB$4)</f>
        <v>0.55036081022322203</v>
      </c>
      <c r="AC24" s="330"/>
      <c r="AD24" s="343">
        <f>VLOOKUP(Table245[[#This Row],[Compound Name]],'Table S6 Recommended Values'!$A$10:$BF$398,RAVs!AD$4,FALSE)</f>
        <v>-4.4992259467150202</v>
      </c>
      <c r="AE24" s="249" cm="1">
        <f t="array" ref="AE24">INDEX('Table S6 Recommended Values'!$A$10:$BF$398,MATCH(RAVs!$D24,'Table S6 Recommended Values'!$A$10:$A$398,0)+1,AE$4)</f>
        <v>1.0145922537037799</v>
      </c>
      <c r="AF24" s="330"/>
      <c r="AG24" s="343">
        <f>VLOOKUP(Table245[[#This Row],[Compound Name]],'Table S6 Recommended Values'!$A$10:$BF$398,RAVs!AG$4,FALSE)</f>
        <v>-4.4602193918710578</v>
      </c>
      <c r="AH24" s="249" cm="1">
        <f t="array" ref="AH24">INDEX('Table S6 Recommended Values'!$A$10:$BF$398,MATCH(RAVs!$D24,'Table S6 Recommended Values'!$A$10:$A$398,0)+1,AH$4)</f>
        <v>0.96276416036826096</v>
      </c>
      <c r="AI24" s="330"/>
      <c r="AJ24" s="343">
        <f>VLOOKUP(Table245[[#This Row],[Compound Name]],'Table S6 Recommended Values'!$A$10:$BF$398,RAVs!AJ$4,FALSE)</f>
        <v>-3.35458293067322</v>
      </c>
      <c r="AK24" s="249" cm="1">
        <f t="array" ref="AK24">INDEX('Table S6 Recommended Values'!$A$10:$BF$398,MATCH(RAVs!$D24,'Table S6 Recommended Values'!$A$10:$A$398,0)+1,AK$4)</f>
        <v>0.54007427591731905</v>
      </c>
      <c r="AL24" s="330"/>
      <c r="AM24" s="343">
        <f>VLOOKUP(Table245[[#This Row],[Compound Name]],'Table S6 Recommended Values'!$A$10:$BF$398,RAVs!AM$4,FALSE)</f>
        <v>2.82686704866929</v>
      </c>
      <c r="AN24" s="249" cm="1">
        <f t="array" ref="AN24">INDEX('Table S6 Recommended Values'!$A$10:$BF$398,MATCH(RAVs!$D24,'Table S6 Recommended Values'!$A$10:$A$398,0)+1,AN$4)</f>
        <v>0.74481915484008598</v>
      </c>
      <c r="AO24" s="330"/>
      <c r="AP24" s="343" t="str">
        <f>VLOOKUP(Table245[[#This Row],[Compound Name]],'Table S6 Recommended Values'!$A$10:$BF$398,RAVs!AP$4,FALSE)</f>
        <v>-</v>
      </c>
      <c r="AQ24" s="249" t="str" cm="1">
        <f t="array" ref="AQ24">INDEX('Table S6 Recommended Values'!$A$10:$BF$398,MATCH(RAVs!$D24,'Table S6 Recommended Values'!$A$10:$A$398,0)+1,AQ$4)</f>
        <v>-</v>
      </c>
      <c r="AR24" s="330"/>
      <c r="AS24" s="343">
        <f>VLOOKUP(Table245[[#This Row],[Compound Name]],'Table S6 Recommended Values'!$A$10:$BF$398,RAVs!AS$4,FALSE)</f>
        <v>170.25</v>
      </c>
      <c r="AT24" s="249" cm="1">
        <f t="array" ref="AT24">INDEX('Table S6 Recommended Values'!$A$10:$BF$398,MATCH(RAVs!$D24,'Table S6 Recommended Values'!$A$10:$A$398,0)+1,AT$4)</f>
        <v>1.0606601717798212</v>
      </c>
      <c r="AU24" s="330"/>
    </row>
    <row r="25" spans="2:47">
      <c r="B25" s="247" t="str">
        <f>'Table S2 Compound Identifiers'!C27</f>
        <v>NBFR</v>
      </c>
      <c r="C25" s="247">
        <f>COUNTIF($D$6:D25,"&lt;&gt;"&amp;"")</f>
        <v>20</v>
      </c>
      <c r="D25" s="247" t="str">
        <f>'Table S2 Compound Identifiers'!B27</f>
        <v>anti-DDC-CO</v>
      </c>
      <c r="E25" s="247" t="str">
        <f>VLOOKUP(RAVs!$D25,'Table S3 Literature Values'!$A$10:$AV$551,E$4,FALSE)</f>
        <v>13560-92-4</v>
      </c>
      <c r="F25" s="248">
        <f>VLOOKUP(Table245[[#This Row],[Compound Name]],'Table S6 Recommended Values'!$A$10:$BD$398,RAVs!F$4,FALSE)</f>
        <v>134.35124268394199</v>
      </c>
      <c r="G25" s="249" cm="1">
        <f t="array" ref="G25">INDEX('Table S6 Recommended Values'!$A$10:$BD$398,MATCH(RAVs!$D25,'Table S6 Recommended Values'!$A$10:$A$398,0)+1,G$4)</f>
        <v>9.1005820699741093</v>
      </c>
      <c r="H25" s="330"/>
      <c r="I25" s="328">
        <f>VLOOKUP(Table245[[#This Row],[Compound Name]],'Table S6 Recommended Values'!$A$10:$BD$398,RAVs!I$4,FALSE)</f>
        <v>6.5788138686790596</v>
      </c>
      <c r="J25" s="249" cm="1">
        <f t="array" ref="J25">INDEX('Table S6 Recommended Values'!$A$10:$BD$398,MATCH(RAVs!$D25,'Table S6 Recommended Values'!$A$10:$A$398,0)+1,J$4)</f>
        <v>11.491552714882401</v>
      </c>
      <c r="K25" s="330"/>
      <c r="L25" s="250">
        <f>VLOOKUP(Table245[[#This Row],[Compound Name]],'Table S6 Recommended Values'!$A$10:$BD$398,RAVs!L$4,FALSE)</f>
        <v>-21.698523634691021</v>
      </c>
      <c r="M25" s="249" cm="1">
        <f t="array" ref="M25">INDEX('Table S6 Recommended Values'!$A$10:$BD$398,MATCH(RAVs!$D25,'Table S6 Recommended Values'!$A$10:$A$398,0)+1,M$4)</f>
        <v>19.554604370127464</v>
      </c>
      <c r="N25" s="330"/>
      <c r="O25" s="250">
        <f>VLOOKUP(Table245[[#This Row],[Compound Name]],'Table S6 Recommended Values'!$A$10:$BD$398,RAVs!O$4,FALSE)</f>
        <v>-153.65876631863301</v>
      </c>
      <c r="P25" s="249" cm="1">
        <f t="array" ref="P25">INDEX('Table S6 Recommended Values'!$A$10:$BD$398,MATCH(RAVs!$D25,'Table S6 Recommended Values'!$A$10:$A$398,0)+1,P$4)</f>
        <v>17.307858274780099</v>
      </c>
      <c r="Q25" s="330"/>
      <c r="R25" s="250">
        <f>VLOOKUP(Table245[[#This Row],[Compound Name]],'Table S6 Recommended Values'!$A$10:$BD$398,RAVs!R$4,FALSE)</f>
        <v>125.381377541905</v>
      </c>
      <c r="S25" s="249" cm="1">
        <f t="array" ref="S25">INDEX('Table S6 Recommended Values'!$A$10:$BD$398,MATCH(RAVs!$D25,'Table S6 Recommended Values'!$A$10:$A$398,0)+1,S$4)</f>
        <v>12.744257768720001</v>
      </c>
      <c r="T25" s="330"/>
      <c r="U25" s="250">
        <f>VLOOKUP(Table245[[#This Row],[Compound Name]],'Table S6 Recommended Values'!$A$10:$BD$398,RAVs!U$4,FALSE)</f>
        <v>-28.2793264613797</v>
      </c>
      <c r="V25" s="249" cm="1">
        <f t="array" ref="V25">INDEX('Table S6 Recommended Values'!$A$10:$BD$398,MATCH(RAVs!$D25,'Table S6 Recommended Values'!$A$10:$A$398,0)+1,V$4)</f>
        <v>12.948469447529099</v>
      </c>
      <c r="W25" s="330"/>
      <c r="X25" s="343">
        <f>VLOOKUP(Table245[[#This Row],[Compound Name]],'Table S6 Recommended Values'!$A$10:$BF$398,RAVs!X$4,FALSE)</f>
        <v>13.6824357617043</v>
      </c>
      <c r="Y25" s="249" cm="1">
        <f t="array" ref="Y25">INDEX('Table S6 Recommended Values'!$A$10:$BF$398,MATCH(RAVs!$D25,'Table S6 Recommended Values'!$A$10:$A$398,0)+1,Y$4)</f>
        <v>2.0454488415088998</v>
      </c>
      <c r="Z25" s="330"/>
      <c r="AA25" s="343">
        <f>VLOOKUP(Table245[[#This Row],[Compound Name]],'Table S6 Recommended Values'!$A$10:$BF$398,RAVs!AA$4,FALSE)</f>
        <v>9.0157182011642494</v>
      </c>
      <c r="AB25" s="249" cm="1">
        <f t="array" ref="AB25">INDEX('Table S6 Recommended Values'!$A$10:$BF$398,MATCH(RAVs!$D25,'Table S6 Recommended Values'!$A$10:$A$398,0)+1,AB$4)</f>
        <v>2.2252843275445202</v>
      </c>
      <c r="AC25" s="330"/>
      <c r="AD25" s="343">
        <f>VLOOKUP(Table245[[#This Row],[Compound Name]],'Table S6 Recommended Values'!$A$10:$BF$398,RAVs!AD$4,FALSE)</f>
        <v>-4.6630243985845201</v>
      </c>
      <c r="AE25" s="249" cm="1">
        <f t="array" ref="AE25">INDEX('Table S6 Recommended Values'!$A$10:$BF$398,MATCH(RAVs!$D25,'Table S6 Recommended Values'!$A$10:$A$398,0)+1,AE$4)</f>
        <v>2.0337079312437698</v>
      </c>
      <c r="AF25" s="330"/>
      <c r="AG25" s="343">
        <f>VLOOKUP(Table245[[#This Row],[Compound Name]],'Table S6 Recommended Values'!$A$10:$BF$398,RAVs!AG$4,FALSE)</f>
        <v>-8.6541623001552459</v>
      </c>
      <c r="AH25" s="249" cm="1">
        <f t="array" ref="AH25">INDEX('Table S6 Recommended Values'!$A$10:$BF$398,MATCH(RAVs!$D25,'Table S6 Recommended Values'!$A$10:$A$398,0)+1,AH$4)</f>
        <v>1.38654954964613</v>
      </c>
      <c r="AI25" s="330"/>
      <c r="AJ25" s="343">
        <f>VLOOKUP(Table245[[#This Row],[Compound Name]],'Table S6 Recommended Values'!$A$10:$BF$398,RAVs!AJ$4,FALSE)</f>
        <v>-7.3842343265906898</v>
      </c>
      <c r="AK25" s="249" cm="1">
        <f t="array" ref="AK25">INDEX('Table S6 Recommended Values'!$A$10:$BF$398,MATCH(RAVs!$D25,'Table S6 Recommended Values'!$A$10:$A$398,0)+1,AK$4)</f>
        <v>2.03765790613667</v>
      </c>
      <c r="AL25" s="330"/>
      <c r="AM25" s="343">
        <f>VLOOKUP(Table245[[#This Row],[Compound Name]],'Table S6 Recommended Values'!$A$10:$BF$398,RAVs!AM$4,FALSE)</f>
        <v>1.6335364234760501</v>
      </c>
      <c r="AN25" s="249" cm="1">
        <f t="array" ref="AN25">INDEX('Table S6 Recommended Values'!$A$10:$BF$398,MATCH(RAVs!$D25,'Table S6 Recommended Values'!$A$10:$A$398,0)+1,AN$4)</f>
        <v>2.04929439153634</v>
      </c>
      <c r="AO25" s="330"/>
      <c r="AP25" s="343" t="str">
        <f>VLOOKUP(Table245[[#This Row],[Compound Name]],'Table S6 Recommended Values'!$A$10:$BF$398,RAVs!AP$4,FALSE)</f>
        <v>-</v>
      </c>
      <c r="AQ25" s="249" t="str" cm="1">
        <f t="array" ref="AQ25">INDEX('Table S6 Recommended Values'!$A$10:$BF$398,MATCH(RAVs!$D25,'Table S6 Recommended Values'!$A$10:$A$398,0)+1,AQ$4)</f>
        <v>-</v>
      </c>
      <c r="AR25" s="330"/>
      <c r="AS25" s="343" t="str">
        <f>VLOOKUP(Table245[[#This Row],[Compound Name]],'Table S6 Recommended Values'!$A$10:$BF$398,RAVs!AS$4,FALSE)</f>
        <v>-</v>
      </c>
      <c r="AT25" s="249" t="str" cm="1">
        <f t="array" ref="AT25">INDEX('Table S6 Recommended Values'!$A$10:$BF$398,MATCH(RAVs!$D25,'Table S6 Recommended Values'!$A$10:$A$398,0)+1,AT$4)</f>
        <v>-</v>
      </c>
      <c r="AU25" s="330"/>
    </row>
    <row r="26" spans="2:47">
      <c r="B26" s="247" t="str">
        <f>'Table S2 Compound Identifiers'!C28</f>
        <v>NBFR</v>
      </c>
      <c r="C26" s="247">
        <f>COUNTIF($D$6:D26,"&lt;&gt;"&amp;"")</f>
        <v>21</v>
      </c>
      <c r="D26" s="247" t="str">
        <f>'Table S2 Compound Identifiers'!B28</f>
        <v>syn-DDC-CO</v>
      </c>
      <c r="E26" s="247" t="str">
        <f>VLOOKUP(RAVs!$D26,'Table S3 Literature Values'!$A$10:$AV$551,E$4,FALSE)</f>
        <v>13560-89-9</v>
      </c>
      <c r="F26" s="248">
        <f>VLOOKUP(Table245[[#This Row],[Compound Name]],'Table S6 Recommended Values'!$A$10:$BD$398,RAVs!F$4,FALSE)</f>
        <v>142.18715525635298</v>
      </c>
      <c r="G26" s="249" cm="1">
        <f t="array" ref="G26">INDEX('Table S6 Recommended Values'!$A$10:$BD$398,MATCH(RAVs!$D26,'Table S6 Recommended Values'!$A$10:$A$398,0)+1,G$4)</f>
        <v>10.492976974115001</v>
      </c>
      <c r="H26" s="330"/>
      <c r="I26" s="328">
        <f>VLOOKUP(Table245[[#This Row],[Compound Name]],'Table S6 Recommended Values'!$A$10:$BD$398,RAVs!I$4,FALSE)</f>
        <v>22.972343715575601</v>
      </c>
      <c r="J26" s="249" cm="1">
        <f t="array" ref="J26">INDEX('Table S6 Recommended Values'!$A$10:$BD$398,MATCH(RAVs!$D26,'Table S6 Recommended Values'!$A$10:$A$398,0)+1,J$4)</f>
        <v>16.135039348075999</v>
      </c>
      <c r="K26" s="330"/>
      <c r="L26" s="250">
        <f>VLOOKUP(Table245[[#This Row],[Compound Name]],'Table S6 Recommended Values'!$A$10:$BD$398,RAVs!L$4,FALSE)</f>
        <v>1.6623892384759724</v>
      </c>
      <c r="M26" s="249" cm="1">
        <f t="array" ref="M26">INDEX('Table S6 Recommended Values'!$A$10:$BD$398,MATCH(RAVs!$D26,'Table S6 Recommended Values'!$A$10:$A$398,0)+1,M$4)</f>
        <v>24.190053875885795</v>
      </c>
      <c r="N26" s="330"/>
      <c r="O26" s="250">
        <f>VLOOKUP(Table245[[#This Row],[Compound Name]],'Table S6 Recommended Values'!$A$10:$BD$398,RAVs!O$4,FALSE)</f>
        <v>-138.13376601787701</v>
      </c>
      <c r="P26" s="249" cm="1">
        <f t="array" ref="P26">INDEX('Table S6 Recommended Values'!$A$10:$BD$398,MATCH(RAVs!$D26,'Table S6 Recommended Values'!$A$10:$A$398,0)+1,P$4)</f>
        <v>21.795782636532</v>
      </c>
      <c r="Q26" s="330"/>
      <c r="R26" s="250">
        <f>VLOOKUP(Table245[[#This Row],[Compound Name]],'Table S6 Recommended Values'!$A$10:$BD$398,RAVs!R$4,FALSE)</f>
        <v>116.823362154335</v>
      </c>
      <c r="S26" s="249" cm="1">
        <f t="array" ref="S26">INDEX('Table S6 Recommended Values'!$A$10:$BD$398,MATCH(RAVs!$D26,'Table S6 Recommended Values'!$A$10:$A$398,0)+1,S$4)</f>
        <v>15.5316822508033</v>
      </c>
      <c r="T26" s="330"/>
      <c r="U26" s="250">
        <f>VLOOKUP(Table245[[#This Row],[Compound Name]],'Table S6 Recommended Values'!$A$10:$BD$398,RAVs!U$4,FALSE)</f>
        <v>-21.3112943539562</v>
      </c>
      <c r="V26" s="249" cm="1">
        <f t="array" ref="V26">INDEX('Table S6 Recommended Values'!$A$10:$BD$398,MATCH(RAVs!$D26,'Table S6 Recommended Values'!$A$10:$A$398,0)+1,V$4)</f>
        <v>19.475765678484098</v>
      </c>
      <c r="W26" s="330"/>
      <c r="X26" s="343">
        <f>VLOOKUP(Table245[[#This Row],[Compound Name]],'Table S6 Recommended Values'!$A$10:$BF$398,RAVs!X$4,FALSE)</f>
        <v>13.0453673599265</v>
      </c>
      <c r="Y26" s="249" cm="1">
        <f t="array" ref="Y26">INDEX('Table S6 Recommended Values'!$A$10:$BF$398,MATCH(RAVs!$D26,'Table S6 Recommended Values'!$A$10:$A$398,0)+1,Y$4)</f>
        <v>2.5758614738998</v>
      </c>
      <c r="Z26" s="330"/>
      <c r="AA26" s="343">
        <f>VLOOKUP(Table245[[#This Row],[Compound Name]],'Table S6 Recommended Values'!$A$10:$BF$398,RAVs!AA$4,FALSE)</f>
        <v>9.1904419399426605</v>
      </c>
      <c r="AB26" s="249" cm="1">
        <f t="array" ref="AB26">INDEX('Table S6 Recommended Values'!$A$10:$BF$398,MATCH(RAVs!$D26,'Table S6 Recommended Values'!$A$10:$A$398,0)+1,AB$4)</f>
        <v>2.7083925269033</v>
      </c>
      <c r="AC26" s="330"/>
      <c r="AD26" s="343">
        <f>VLOOKUP(Table245[[#This Row],[Compound Name]],'Table S6 Recommended Values'!$A$10:$BF$398,RAVs!AD$4,FALSE)</f>
        <v>-3.85453364350824</v>
      </c>
      <c r="AE26" s="249" cm="1">
        <f t="array" ref="AE26">INDEX('Table S6 Recommended Values'!$A$10:$BF$398,MATCH(RAVs!$D26,'Table S6 Recommended Values'!$A$10:$A$398,0)+1,AE$4)</f>
        <v>2.3610953382280102</v>
      </c>
      <c r="AF26" s="330"/>
      <c r="AG26" s="343">
        <f>VLOOKUP(Table245[[#This Row],[Compound Name]],'Table S6 Recommended Values'!$A$10:$BF$398,RAVs!AG$4,FALSE)</f>
        <v>-9.0277439672748461</v>
      </c>
      <c r="AH26" s="249" cm="1">
        <f t="array" ref="AH26">INDEX('Table S6 Recommended Values'!$A$10:$BF$398,MATCH(RAVs!$D26,'Table S6 Recommended Values'!$A$10:$A$398,0)+1,AH$4)</f>
        <v>1.73441466430724</v>
      </c>
      <c r="AI26" s="330"/>
      <c r="AJ26" s="343">
        <f>VLOOKUP(Table245[[#This Row],[Compound Name]],'Table S6 Recommended Values'!$A$10:$BF$398,RAVs!AJ$4,FALSE)</f>
        <v>-8.5679778128574995</v>
      </c>
      <c r="AK26" s="249" cm="1">
        <f t="array" ref="AK26">INDEX('Table S6 Recommended Values'!$A$10:$BF$398,MATCH(RAVs!$D26,'Table S6 Recommended Values'!$A$10:$A$398,0)+1,AK$4)</f>
        <v>2.20899653813537</v>
      </c>
      <c r="AL26" s="330"/>
      <c r="AM26" s="343">
        <f>VLOOKUP(Table245[[#This Row],[Compound Name]],'Table S6 Recommended Values'!$A$10:$BF$398,RAVs!AM$4,FALSE)</f>
        <v>0.623429420282131</v>
      </c>
      <c r="AN26" s="249" cm="1">
        <f t="array" ref="AN26">INDEX('Table S6 Recommended Values'!$A$10:$BF$398,MATCH(RAVs!$D26,'Table S6 Recommended Values'!$A$10:$A$398,0)+1,AN$4)</f>
        <v>2.5270957501236602</v>
      </c>
      <c r="AO26" s="330"/>
      <c r="AP26" s="343" t="str">
        <f>VLOOKUP(Table245[[#This Row],[Compound Name]],'Table S6 Recommended Values'!$A$10:$BF$398,RAVs!AP$4,FALSE)</f>
        <v>-</v>
      </c>
      <c r="AQ26" s="249" t="str" cm="1">
        <f t="array" ref="AQ26">INDEX('Table S6 Recommended Values'!$A$10:$BF$398,MATCH(RAVs!$D26,'Table S6 Recommended Values'!$A$10:$A$398,0)+1,AQ$4)</f>
        <v>-</v>
      </c>
      <c r="AR26" s="330"/>
      <c r="AS26" s="343">
        <f>VLOOKUP(Table245[[#This Row],[Compound Name]],'Table S6 Recommended Values'!$A$10:$BF$398,RAVs!AS$4,FALSE)</f>
        <v>380</v>
      </c>
      <c r="AT26" s="249" cm="1">
        <f t="array" ref="AT26">INDEX('Table S6 Recommended Values'!$A$10:$BF$398,MATCH(RAVs!$D26,'Table S6 Recommended Values'!$A$10:$A$398,0)+1,AT$4)</f>
        <v>114</v>
      </c>
      <c r="AU26" s="330"/>
    </row>
    <row r="27" spans="2:47">
      <c r="B27" s="247" t="str">
        <f>'Table S2 Compound Identifiers'!C29</f>
        <v>OCP</v>
      </c>
      <c r="C27" s="247">
        <f>COUNTIF($D$6:D27,"&lt;&gt;"&amp;"")</f>
        <v>22</v>
      </c>
      <c r="D27" s="247" t="str">
        <f>'Table S2 Compound Identifiers'!B29</f>
        <v>p,p'- DDE</v>
      </c>
      <c r="E27" s="247" t="str">
        <f>VLOOKUP(RAVs!$D27,'Table S3 Literature Values'!$A$10:$AV$551,E$4,FALSE)</f>
        <v>72-55-9</v>
      </c>
      <c r="F27" s="248">
        <f>VLOOKUP(Table245[[#This Row],[Compound Name]],'Table S6 Recommended Values'!$A$10:$BD$398,RAVs!F$4,FALSE)</f>
        <v>85.192139340417711</v>
      </c>
      <c r="G27" s="249" cm="1">
        <f t="array" ref="G27">INDEX('Table S6 Recommended Values'!$A$10:$BD$398,MATCH(RAVs!$D27,'Table S6 Recommended Values'!$A$10:$A$398,0)+1,G$4)</f>
        <v>2.6837502027736901</v>
      </c>
      <c r="H27" s="330"/>
      <c r="I27" s="328">
        <f>VLOOKUP(Table245[[#This Row],[Compound Name]],'Table S6 Recommended Values'!$A$10:$BD$398,RAVs!I$4,FALSE)</f>
        <v>29.486552806597601</v>
      </c>
      <c r="J27" s="249" cm="1">
        <f t="array" ref="J27">INDEX('Table S6 Recommended Values'!$A$10:$BD$398,MATCH(RAVs!$D27,'Table S6 Recommended Values'!$A$10:$A$398,0)+1,J$4)</f>
        <v>5.2017127483615804</v>
      </c>
      <c r="K27" s="330"/>
      <c r="L27" s="250">
        <f>VLOOKUP(Table245[[#This Row],[Compound Name]],'Table S6 Recommended Values'!$A$10:$BD$398,RAVs!L$4,FALSE)</f>
        <v>1.3465058862351125</v>
      </c>
      <c r="M27" s="249" cm="1">
        <f t="array" ref="M27">INDEX('Table S6 Recommended Values'!$A$10:$BD$398,MATCH(RAVs!$D27,'Table S6 Recommended Values'!$A$10:$A$398,0)+1,M$4)</f>
        <v>3.8715181710019326</v>
      </c>
      <c r="N27" s="330"/>
      <c r="O27" s="250">
        <f>VLOOKUP(Table245[[#This Row],[Compound Name]],'Table S6 Recommended Values'!$A$10:$BD$398,RAVs!O$4,FALSE)</f>
        <v>-81.454633454182598</v>
      </c>
      <c r="P27" s="249" cm="1">
        <f t="array" ref="P27">INDEX('Table S6 Recommended Values'!$A$10:$BD$398,MATCH(RAVs!$D27,'Table S6 Recommended Values'!$A$10:$A$398,0)+1,P$4)</f>
        <v>2.79036517278838</v>
      </c>
      <c r="Q27" s="330"/>
      <c r="R27" s="250">
        <f>VLOOKUP(Table245[[#This Row],[Compound Name]],'Table S6 Recommended Values'!$A$10:$BD$398,RAVs!R$4,FALSE)</f>
        <v>53.318731511617699</v>
      </c>
      <c r="S27" s="249" cm="1">
        <f t="array" ref="S27">INDEX('Table S6 Recommended Values'!$A$10:$BD$398,MATCH(RAVs!$D27,'Table S6 Recommended Values'!$A$10:$A$398,0)+1,S$4)</f>
        <v>5.3582511750754103</v>
      </c>
      <c r="T27" s="330"/>
      <c r="U27" s="250">
        <f>VLOOKUP(Table245[[#This Row],[Compound Name]],'Table S6 Recommended Values'!$A$10:$BD$398,RAVs!U$4,FALSE)</f>
        <v>-28.1332664907757</v>
      </c>
      <c r="V27" s="249" cm="1">
        <f t="array" ref="V27">INDEX('Table S6 Recommended Values'!$A$10:$BD$398,MATCH(RAVs!$D27,'Table S6 Recommended Values'!$A$10:$A$398,0)+1,V$4)</f>
        <v>5.6546321418383396</v>
      </c>
      <c r="W27" s="330"/>
      <c r="X27" s="343">
        <f>VLOOKUP(Table245[[#This Row],[Compound Name]],'Table S6 Recommended Values'!$A$10:$BF$398,RAVs!X$4,FALSE)</f>
        <v>9.5006100784031098</v>
      </c>
      <c r="Y27" s="249" cm="1">
        <f t="array" ref="Y27">INDEX('Table S6 Recommended Values'!$A$10:$BF$398,MATCH(RAVs!$D27,'Table S6 Recommended Values'!$A$10:$A$398,0)+1,Y$4)</f>
        <v>0.20708173798257301</v>
      </c>
      <c r="Z27" s="330"/>
      <c r="AA27" s="343">
        <f>VLOOKUP(Table245[[#This Row],[Compound Name]],'Table S6 Recommended Values'!$A$10:$BF$398,RAVs!AA$4,FALSE)</f>
        <v>6.9471642802517497</v>
      </c>
      <c r="AB27" s="249" cm="1">
        <f t="array" ref="AB27">INDEX('Table S6 Recommended Values'!$A$10:$BF$398,MATCH(RAVs!$D27,'Table S6 Recommended Values'!$A$10:$A$398,0)+1,AB$4)</f>
        <v>0.344731204717103</v>
      </c>
      <c r="AC27" s="330"/>
      <c r="AD27" s="343">
        <f>VLOOKUP(Table245[[#This Row],[Compound Name]],'Table S6 Recommended Values'!$A$10:$BF$398,RAVs!AD$4,FALSE)</f>
        <v>-2.5789338525506502</v>
      </c>
      <c r="AE27" s="249" cm="1">
        <f t="array" ref="AE27">INDEX('Table S6 Recommended Values'!$A$10:$BF$398,MATCH(RAVs!$D27,'Table S6 Recommended Values'!$A$10:$A$398,0)+1,AE$4)</f>
        <v>0.311532935296506</v>
      </c>
      <c r="AF27" s="330"/>
      <c r="AG27" s="343">
        <f>VLOOKUP(Table245[[#This Row],[Compound Name]],'Table S6 Recommended Values'!$A$10:$BF$398,RAVs!AG$4,FALSE)</f>
        <v>-2.5891262565090067</v>
      </c>
      <c r="AH27" s="249" cm="1">
        <f t="array" ref="AH27">INDEX('Table S6 Recommended Values'!$A$10:$BF$398,MATCH(RAVs!$D27,'Table S6 Recommended Values'!$A$10:$A$398,0)+1,AH$4)</f>
        <v>0.17808519871765799</v>
      </c>
      <c r="AI27" s="330"/>
      <c r="AJ27" s="343">
        <f>VLOOKUP(Table245[[#This Row],[Compound Name]],'Table S6 Recommended Values'!$A$10:$BF$398,RAVs!AJ$4,FALSE)</f>
        <v>-3.4081728416361501</v>
      </c>
      <c r="AK27" s="249" cm="1">
        <f t="array" ref="AK27">INDEX('Table S6 Recommended Values'!$A$10:$BF$398,MATCH(RAVs!$D27,'Table S6 Recommended Values'!$A$10:$A$398,0)+1,AK$4)</f>
        <v>0.28913166203003499</v>
      </c>
      <c r="AL27" s="330"/>
      <c r="AM27" s="343">
        <f>VLOOKUP(Table245[[#This Row],[Compound Name]],'Table S6 Recommended Values'!$A$10:$BF$398,RAVs!AM$4,FALSE)</f>
        <v>3.51877721065263</v>
      </c>
      <c r="AN27" s="249" cm="1">
        <f t="array" ref="AN27">INDEX('Table S6 Recommended Values'!$A$10:$BF$398,MATCH(RAVs!$D27,'Table S6 Recommended Values'!$A$10:$A$398,0)+1,AN$4)</f>
        <v>0.259702289243673</v>
      </c>
      <c r="AO27" s="330"/>
      <c r="AP27" s="343">
        <f>VLOOKUP(Table245[[#This Row],[Compound Name]],'Table S6 Recommended Values'!$A$10:$BF$398,RAVs!AP$4,FALSE)</f>
        <v>65.848126363730174</v>
      </c>
      <c r="AQ27" s="249" cm="1">
        <f t="array" ref="AQ27">INDEX('Table S6 Recommended Values'!$A$10:$BF$398,MATCH(RAVs!$D27,'Table S6 Recommended Values'!$A$10:$A$398,0)+1,AQ$4)</f>
        <v>0.86935111572526058</v>
      </c>
      <c r="AR27" s="330"/>
      <c r="AS27" s="343">
        <f>VLOOKUP(Table245[[#This Row],[Compound Name]],'Table S6 Recommended Values'!$A$10:$BF$398,RAVs!AS$4,FALSE)</f>
        <v>88.638000000000005</v>
      </c>
      <c r="AT27" s="249" cm="1">
        <f t="array" ref="AT27">INDEX('Table S6 Recommended Values'!$A$10:$BF$398,MATCH(RAVs!$D27,'Table S6 Recommended Values'!$A$10:$A$398,0)+1,AT$4)</f>
        <v>0.92923086474782779</v>
      </c>
      <c r="AU27" s="330"/>
    </row>
    <row r="28" spans="2:47">
      <c r="B28" s="247" t="str">
        <f>'Table S2 Compound Identifiers'!C30</f>
        <v>OCP</v>
      </c>
      <c r="C28" s="247">
        <f>COUNTIF($D$6:D28,"&lt;&gt;"&amp;"")</f>
        <v>23</v>
      </c>
      <c r="D28" s="247" t="str">
        <f>'Table S2 Compound Identifiers'!B30</f>
        <v>o,p'-DDD</v>
      </c>
      <c r="E28" s="247" t="str">
        <f>VLOOKUP(RAVs!$D28,'Table S3 Literature Values'!$A$10:$AV$551,E$4,FALSE)</f>
        <v>53-19-0</v>
      </c>
      <c r="F28" s="248">
        <f>VLOOKUP(Table245[[#This Row],[Compound Name]],'Table S6 Recommended Values'!$A$10:$BD$398,RAVs!F$4,FALSE)</f>
        <v>84.526939616741799</v>
      </c>
      <c r="G28" s="249" cm="1">
        <f t="array" ref="G28">INDEX('Table S6 Recommended Values'!$A$10:$BD$398,MATCH(RAVs!$D28,'Table S6 Recommended Values'!$A$10:$A$398,0)+1,G$4)</f>
        <v>3.6355990438999699</v>
      </c>
      <c r="H28" s="330"/>
      <c r="I28" s="328">
        <f>VLOOKUP(Table245[[#This Row],[Compound Name]],'Table S6 Recommended Values'!$A$10:$BD$398,RAVs!I$4,FALSE)</f>
        <v>19.880618183846199</v>
      </c>
      <c r="J28" s="249" cm="1">
        <f t="array" ref="J28">INDEX('Table S6 Recommended Values'!$A$10:$BD$398,MATCH(RAVs!$D28,'Table S6 Recommended Values'!$A$10:$A$398,0)+1,J$4)</f>
        <v>3.6120994386283498</v>
      </c>
      <c r="K28" s="330"/>
      <c r="L28" s="250">
        <f>VLOOKUP(Table245[[#This Row],[Compound Name]],'Table S6 Recommended Values'!$A$10:$BD$398,RAVs!L$4,FALSE)</f>
        <v>0.11819344940409415</v>
      </c>
      <c r="M28" s="249" cm="1">
        <f t="array" ref="M28">INDEX('Table S6 Recommended Values'!$A$10:$BD$398,MATCH(RAVs!$D28,'Table S6 Recommended Values'!$A$10:$A$398,0)+1,M$4)</f>
        <v>4.5906406765183148</v>
      </c>
      <c r="N28" s="330"/>
      <c r="O28" s="250">
        <f>VLOOKUP(Table245[[#This Row],[Compound Name]],'Table S6 Recommended Values'!$A$10:$BD$398,RAVs!O$4,FALSE)</f>
        <v>-82.017746167337705</v>
      </c>
      <c r="P28" s="249" cm="1">
        <f t="array" ref="P28">INDEX('Table S6 Recommended Values'!$A$10:$BD$398,MATCH(RAVs!$D28,'Table S6 Recommended Values'!$A$10:$A$398,0)+1,P$4)</f>
        <v>2.80292729354476</v>
      </c>
      <c r="Q28" s="330"/>
      <c r="R28" s="250">
        <f>VLOOKUP(Table245[[#This Row],[Compound Name]],'Table S6 Recommended Values'!$A$10:$BD$398,RAVs!R$4,FALSE)</f>
        <v>62.254837179763499</v>
      </c>
      <c r="S28" s="249" cm="1">
        <f t="array" ref="S28">INDEX('Table S6 Recommended Values'!$A$10:$BD$398,MATCH(RAVs!$D28,'Table S6 Recommended Values'!$A$10:$A$398,0)+1,S$4)</f>
        <v>4.6332894005397902</v>
      </c>
      <c r="T28" s="330"/>
      <c r="U28" s="250">
        <f>VLOOKUP(Table245[[#This Row],[Compound Name]],'Table S6 Recommended Values'!$A$10:$BD$398,RAVs!U$4,FALSE)</f>
        <v>-19.764401430403499</v>
      </c>
      <c r="V28" s="249" cm="1">
        <f t="array" ref="V28">INDEX('Table S6 Recommended Values'!$A$10:$BD$398,MATCH(RAVs!$D28,'Table S6 Recommended Values'!$A$10:$A$398,0)+1,V$4)</f>
        <v>5.0741098965731002</v>
      </c>
      <c r="W28" s="330"/>
      <c r="X28" s="343">
        <f>VLOOKUP(Table245[[#This Row],[Compound Name]],'Table S6 Recommended Values'!$A$10:$BF$398,RAVs!X$4,FALSE)</f>
        <v>9.3593572447661604</v>
      </c>
      <c r="Y28" s="249" cm="1">
        <f t="array" ref="Y28">INDEX('Table S6 Recommended Values'!$A$10:$BF$398,MATCH(RAVs!$D28,'Table S6 Recommended Values'!$A$10:$A$398,0)+1,Y$4)</f>
        <v>0.217487101554384</v>
      </c>
      <c r="Z28" s="330"/>
      <c r="AA28" s="343">
        <f>VLOOKUP(Table245[[#This Row],[Compound Name]],'Table S6 Recommended Values'!$A$10:$BF$398,RAVs!AA$4,FALSE)</f>
        <v>6.1093524342583203</v>
      </c>
      <c r="AB28" s="249" cm="1">
        <f t="array" ref="AB28">INDEX('Table S6 Recommended Values'!$A$10:$BF$398,MATCH(RAVs!$D28,'Table S6 Recommended Values'!$A$10:$A$398,0)+1,AB$4)</f>
        <v>0.40721188464307601</v>
      </c>
      <c r="AC28" s="330"/>
      <c r="AD28" s="343">
        <f>VLOOKUP(Table245[[#This Row],[Compound Name]],'Table S6 Recommended Values'!$A$10:$BF$398,RAVs!AD$4,FALSE)</f>
        <v>-3.2343875148081902</v>
      </c>
      <c r="AE28" s="249" cm="1">
        <f t="array" ref="AE28">INDEX('Table S6 Recommended Values'!$A$10:$BF$398,MATCH(RAVs!$D28,'Table S6 Recommended Values'!$A$10:$A$398,0)+1,AE$4)</f>
        <v>0.349259554047256</v>
      </c>
      <c r="AF28" s="330"/>
      <c r="AG28" s="343">
        <f>VLOOKUP(Table245[[#This Row],[Compound Name]],'Table S6 Recommended Values'!$A$10:$BF$398,RAVs!AG$4,FALSE)</f>
        <v>-2.5840900316508968</v>
      </c>
      <c r="AH28" s="249" cm="1">
        <f t="array" ref="AH28">INDEX('Table S6 Recommended Values'!$A$10:$BF$398,MATCH(RAVs!$D28,'Table S6 Recommended Values'!$A$10:$A$398,0)+1,AH$4)</f>
        <v>0.17107240239193899</v>
      </c>
      <c r="AI28" s="330"/>
      <c r="AJ28" s="343">
        <f>VLOOKUP(Table245[[#This Row],[Compound Name]],'Table S6 Recommended Values'!$A$10:$BF$398,RAVs!AJ$4,FALSE)</f>
        <v>-2.7427391410965001</v>
      </c>
      <c r="AK28" s="249" cm="1">
        <f t="array" ref="AK28">INDEX('Table S6 Recommended Values'!$A$10:$BF$398,MATCH(RAVs!$D28,'Table S6 Recommended Values'!$A$10:$A$398,0)+1,AK$4)</f>
        <v>0.321333590377617</v>
      </c>
      <c r="AL28" s="330"/>
      <c r="AM28" s="343">
        <f>VLOOKUP(Table245[[#This Row],[Compound Name]],'Table S6 Recommended Values'!$A$10:$BF$398,RAVs!AM$4,FALSE)</f>
        <v>3.3725332109905999</v>
      </c>
      <c r="AN28" s="249" cm="1">
        <f t="array" ref="AN28">INDEX('Table S6 Recommended Values'!$A$10:$BF$398,MATCH(RAVs!$D28,'Table S6 Recommended Values'!$A$10:$A$398,0)+1,AN$4)</f>
        <v>0.27514634419679801</v>
      </c>
      <c r="AO28" s="330"/>
      <c r="AP28" s="343">
        <f>VLOOKUP(Table245[[#This Row],[Compound Name]],'Table S6 Recommended Values'!$A$10:$BF$398,RAVs!AP$4,FALSE)</f>
        <v>75.441327990841444</v>
      </c>
      <c r="AQ28" s="249" cm="1">
        <f t="array" ref="AQ28">INDEX('Table S6 Recommended Values'!$A$10:$BF$398,MATCH(RAVs!$D28,'Table S6 Recommended Values'!$A$10:$A$398,0)+1,AQ$4)</f>
        <v>5.9462572584268036</v>
      </c>
      <c r="AR28" s="330"/>
      <c r="AS28" s="343">
        <f>VLOOKUP(Table245[[#This Row],[Compound Name]],'Table S6 Recommended Values'!$A$10:$BF$398,RAVs!AS$4,FALSE)</f>
        <v>76.083333333333329</v>
      </c>
      <c r="AT28" s="249" cm="1">
        <f t="array" ref="AT28">INDEX('Table S6 Recommended Values'!$A$10:$BF$398,MATCH(RAVs!$D28,'Table S6 Recommended Values'!$A$10:$A$398,0)+1,AT$4)</f>
        <v>1.0103629710818451</v>
      </c>
      <c r="AU28" s="330"/>
    </row>
    <row r="29" spans="2:47">
      <c r="B29" s="247" t="str">
        <f>'Table S2 Compound Identifiers'!C31</f>
        <v>OCP</v>
      </c>
      <c r="C29" s="247">
        <f>COUNTIF($D$6:D29,"&lt;&gt;"&amp;"")</f>
        <v>24</v>
      </c>
      <c r="D29" s="247" t="str">
        <f>'Table S2 Compound Identifiers'!B31</f>
        <v>p,p'-DDD</v>
      </c>
      <c r="E29" s="247" t="str">
        <f>VLOOKUP(RAVs!$D29,'Table S3 Literature Values'!$A$10:$AV$551,E$4,FALSE)</f>
        <v>72-54-8</v>
      </c>
      <c r="F29" s="248">
        <f>VLOOKUP(Table245[[#This Row],[Compound Name]],'Table S6 Recommended Values'!$A$10:$BD$398,RAVs!F$4,FALSE)</f>
        <v>86.561434827190709</v>
      </c>
      <c r="G29" s="249" cm="1">
        <f t="array" ref="G29">INDEX('Table S6 Recommended Values'!$A$10:$BD$398,MATCH(RAVs!$D29,'Table S6 Recommended Values'!$A$10:$A$398,0)+1,G$4)</f>
        <v>2.06454846748872</v>
      </c>
      <c r="H29" s="330"/>
      <c r="I29" s="328">
        <f>VLOOKUP(Table245[[#This Row],[Compound Name]],'Table S6 Recommended Values'!$A$10:$BD$398,RAVs!I$4,FALSE)</f>
        <v>11.9481622414188</v>
      </c>
      <c r="J29" s="249" cm="1">
        <f t="array" ref="J29">INDEX('Table S6 Recommended Values'!$A$10:$BD$398,MATCH(RAVs!$D29,'Table S6 Recommended Values'!$A$10:$A$398,0)+1,J$4)</f>
        <v>3.0461317456255199</v>
      </c>
      <c r="K29" s="330"/>
      <c r="L29" s="250">
        <f>VLOOKUP(Table245[[#This Row],[Compound Name]],'Table S6 Recommended Values'!$A$10:$BD$398,RAVs!L$4,FALSE)</f>
        <v>-1.2881629321214891</v>
      </c>
      <c r="M29" s="249" cm="1">
        <f t="array" ref="M29">INDEX('Table S6 Recommended Values'!$A$10:$BD$398,MATCH(RAVs!$D29,'Table S6 Recommended Values'!$A$10:$A$398,0)+1,M$4)</f>
        <v>2.8328976320960475</v>
      </c>
      <c r="N29" s="330"/>
      <c r="O29" s="250">
        <f>VLOOKUP(Table245[[#This Row],[Compound Name]],'Table S6 Recommended Values'!$A$10:$BD$398,RAVs!O$4,FALSE)</f>
        <v>-85.458597759312198</v>
      </c>
      <c r="P29" s="249" cm="1">
        <f t="array" ref="P29">INDEX('Table S6 Recommended Values'!$A$10:$BD$398,MATCH(RAVs!$D29,'Table S6 Recommended Values'!$A$10:$A$398,0)+1,P$4)</f>
        <v>1.93983211111822</v>
      </c>
      <c r="Q29" s="330"/>
      <c r="R29" s="250">
        <f>VLOOKUP(Table245[[#This Row],[Compound Name]],'Table S6 Recommended Values'!$A$10:$BD$398,RAVs!R$4,FALSE)</f>
        <v>72.216841932890404</v>
      </c>
      <c r="S29" s="249" cm="1">
        <f t="array" ref="S29">INDEX('Table S6 Recommended Values'!$A$10:$BD$398,MATCH(RAVs!$D29,'Table S6 Recommended Values'!$A$10:$A$398,0)+1,S$4)</f>
        <v>3.5188025972918702</v>
      </c>
      <c r="T29" s="330"/>
      <c r="U29" s="250">
        <f>VLOOKUP(Table245[[#This Row],[Compound Name]],'Table S6 Recommended Values'!$A$10:$BD$398,RAVs!U$4,FALSE)</f>
        <v>-13.246404662499099</v>
      </c>
      <c r="V29" s="249" cm="1">
        <f t="array" ref="V29">INDEX('Table S6 Recommended Values'!$A$10:$BD$398,MATCH(RAVs!$D29,'Table S6 Recommended Values'!$A$10:$A$398,0)+1,V$4)</f>
        <v>3.94336185668271</v>
      </c>
      <c r="W29" s="330"/>
      <c r="X29" s="343">
        <f>VLOOKUP(Table245[[#This Row],[Compound Name]],'Table S6 Recommended Values'!$A$10:$BF$398,RAVs!X$4,FALSE)</f>
        <v>9.8747608931984292</v>
      </c>
      <c r="Y29" s="249" cm="1">
        <f t="array" ref="Y29">INDEX('Table S6 Recommended Values'!$A$10:$BF$398,MATCH(RAVs!$D29,'Table S6 Recommended Values'!$A$10:$A$398,0)+1,Y$4)</f>
        <v>0.25356994764131802</v>
      </c>
      <c r="Z29" s="330"/>
      <c r="AA29" s="343">
        <f>VLOOKUP(Table245[[#This Row],[Compound Name]],'Table S6 Recommended Values'!$A$10:$BF$398,RAVs!AA$4,FALSE)</f>
        <v>6.4143130824873698</v>
      </c>
      <c r="AB29" s="249" cm="1">
        <f t="array" ref="AB29">INDEX('Table S6 Recommended Values'!$A$10:$BF$398,MATCH(RAVs!$D29,'Table S6 Recommended Values'!$A$10:$A$398,0)+1,AB$4)</f>
        <v>0.3763636317031</v>
      </c>
      <c r="AC29" s="330"/>
      <c r="AD29" s="343">
        <f>VLOOKUP(Table245[[#This Row],[Compound Name]],'Table S6 Recommended Values'!$A$10:$BF$398,RAVs!AD$4,FALSE)</f>
        <v>-3.4776429551068699</v>
      </c>
      <c r="AE29" s="249" cm="1">
        <f t="array" ref="AE29">INDEX('Table S6 Recommended Values'!$A$10:$BF$398,MATCH(RAVs!$D29,'Table S6 Recommended Values'!$A$10:$A$398,0)+1,AE$4)</f>
        <v>0.356594876833427</v>
      </c>
      <c r="AF29" s="330"/>
      <c r="AG29" s="343">
        <f>VLOOKUP(Table245[[#This Row],[Compound Name]],'Table S6 Recommended Values'!$A$10:$BF$398,RAVs!AG$4,FALSE)</f>
        <v>-2.9517006502930965</v>
      </c>
      <c r="AH29" s="249" cm="1">
        <f t="array" ref="AH29">INDEX('Table S6 Recommended Values'!$A$10:$BF$398,MATCH(RAVs!$D29,'Table S6 Recommended Values'!$A$10:$A$398,0)+1,AH$4)</f>
        <v>0.154179452191259</v>
      </c>
      <c r="AI29" s="330"/>
      <c r="AJ29" s="343">
        <f>VLOOKUP(Table245[[#This Row],[Compound Name]],'Table S6 Recommended Values'!$A$10:$BF$398,RAVs!AJ$4,FALSE)</f>
        <v>-2.8694495482712998</v>
      </c>
      <c r="AK29" s="249" cm="1">
        <f t="array" ref="AK29">INDEX('Table S6 Recommended Values'!$A$10:$BF$398,MATCH(RAVs!$D29,'Table S6 Recommended Values'!$A$10:$A$398,0)+1,AK$4)</f>
        <v>0.34151506757709899</v>
      </c>
      <c r="AL29" s="330"/>
      <c r="AM29" s="343">
        <f>VLOOKUP(Table245[[#This Row],[Compound Name]],'Table S6 Recommended Values'!$A$10:$BF$398,RAVs!AM$4,FALSE)</f>
        <v>3.5328737305744999</v>
      </c>
      <c r="AN29" s="249" cm="1">
        <f t="array" ref="AN29">INDEX('Table S6 Recommended Values'!$A$10:$BF$398,MATCH(RAVs!$D29,'Table S6 Recommended Values'!$A$10:$A$398,0)+1,AN$4)</f>
        <v>0.28038735674052001</v>
      </c>
      <c r="AO29" s="330"/>
      <c r="AP29" s="343">
        <f>VLOOKUP(Table245[[#This Row],[Compound Name]],'Table S6 Recommended Values'!$A$10:$BF$398,RAVs!AP$4,FALSE)</f>
        <v>76.233760351550458</v>
      </c>
      <c r="AQ29" s="249" cm="1">
        <f t="array" ref="AQ29">INDEX('Table S6 Recommended Values'!$A$10:$BF$398,MATCH(RAVs!$D29,'Table S6 Recommended Values'!$A$10:$A$398,0)+1,AQ$4)</f>
        <v>6.7230943967648491</v>
      </c>
      <c r="AR29" s="330"/>
      <c r="AS29" s="343">
        <f>VLOOKUP(Table245[[#This Row],[Compound Name]],'Table S6 Recommended Values'!$A$10:$BF$398,RAVs!AS$4,FALSE)</f>
        <v>109.78000000000002</v>
      </c>
      <c r="AT29" s="249" cm="1">
        <f t="array" ref="AT29">INDEX('Table S6 Recommended Values'!$A$10:$BF$398,MATCH(RAVs!$D29,'Table S6 Recommended Values'!$A$10:$A$398,0)+1,AT$4)</f>
        <v>0.7973393255070198</v>
      </c>
      <c r="AU29" s="330"/>
    </row>
    <row r="30" spans="2:47">
      <c r="B30" s="247" t="str">
        <f>'Table S2 Compound Identifiers'!C32</f>
        <v>OCP</v>
      </c>
      <c r="C30" s="247">
        <f>COUNTIF($D$6:D30,"&lt;&gt;"&amp;"")</f>
        <v>25</v>
      </c>
      <c r="D30" s="247" t="str">
        <f>'Table S2 Compound Identifiers'!B32</f>
        <v>o,p'-DDT</v>
      </c>
      <c r="E30" s="247" t="str">
        <f>VLOOKUP(RAVs!$D30,'Table S3 Literature Values'!$A$10:$AV$551,E$4,FALSE)</f>
        <v>789-02-6</v>
      </c>
      <c r="F30" s="248">
        <f>VLOOKUP(Table245[[#This Row],[Compound Name]],'Table S6 Recommended Values'!$A$10:$BD$398,RAVs!F$4,FALSE)</f>
        <v>86.378622777650207</v>
      </c>
      <c r="G30" s="249" cm="1">
        <f t="array" ref="G30">INDEX('Table S6 Recommended Values'!$A$10:$BD$398,MATCH(RAVs!$D30,'Table S6 Recommended Values'!$A$10:$A$398,0)+1,G$4)</f>
        <v>1.6977978211973199</v>
      </c>
      <c r="H30" s="330"/>
      <c r="I30" s="328">
        <f>VLOOKUP(Table245[[#This Row],[Compound Name]],'Table S6 Recommended Values'!$A$10:$BD$398,RAVs!I$4,FALSE)</f>
        <v>11.300733036256601</v>
      </c>
      <c r="J30" s="249" cm="1">
        <f t="array" ref="J30">INDEX('Table S6 Recommended Values'!$A$10:$BD$398,MATCH(RAVs!$D30,'Table S6 Recommended Values'!$A$10:$A$398,0)+1,J$4)</f>
        <v>2.2404349893648599</v>
      </c>
      <c r="K30" s="330"/>
      <c r="L30" s="250">
        <f>VLOOKUP(Table245[[#This Row],[Compound Name]],'Table S6 Recommended Values'!$A$10:$BD$398,RAVs!L$4,FALSE)</f>
        <v>-0.67417413090979927</v>
      </c>
      <c r="M30" s="249" cm="1">
        <f t="array" ref="M30">INDEX('Table S6 Recommended Values'!$A$10:$BD$398,MATCH(RAVs!$D30,'Table S6 Recommended Values'!$A$10:$A$398,0)+1,M$4)</f>
        <v>2.059437655979941</v>
      </c>
      <c r="N30" s="330"/>
      <c r="O30" s="250">
        <f>VLOOKUP(Table245[[#This Row],[Compound Name]],'Table S6 Recommended Values'!$A$10:$BD$398,RAVs!O$4,FALSE)</f>
        <v>-84.661796908560007</v>
      </c>
      <c r="P30" s="249" cm="1">
        <f t="array" ref="P30">INDEX('Table S6 Recommended Values'!$A$10:$BD$398,MATCH(RAVs!$D30,'Table S6 Recommended Values'!$A$10:$A$398,0)+1,P$4)</f>
        <v>1.16566119314567</v>
      </c>
      <c r="Q30" s="330"/>
      <c r="R30" s="250">
        <f>VLOOKUP(Table245[[#This Row],[Compound Name]],'Table S6 Recommended Values'!$A$10:$BD$398,RAVs!R$4,FALSE)</f>
        <v>72.680680665693501</v>
      </c>
      <c r="S30" s="249" cm="1">
        <f t="array" ref="S30">INDEX('Table S6 Recommended Values'!$A$10:$BD$398,MATCH(RAVs!$D30,'Table S6 Recommended Values'!$A$10:$A$398,0)+1,S$4)</f>
        <v>2.73918154298268</v>
      </c>
      <c r="T30" s="330"/>
      <c r="U30" s="250">
        <f>VLOOKUP(Table245[[#This Row],[Compound Name]],'Table S6 Recommended Values'!$A$10:$BD$398,RAVs!U$4,FALSE)</f>
        <v>-11.9859414181636</v>
      </c>
      <c r="V30" s="249" cm="1">
        <f t="array" ref="V30">INDEX('Table S6 Recommended Values'!$A$10:$BD$398,MATCH(RAVs!$D30,'Table S6 Recommended Values'!$A$10:$A$398,0)+1,V$4)</f>
        <v>2.9541547278872402</v>
      </c>
      <c r="W30" s="330"/>
      <c r="X30" s="343">
        <f>VLOOKUP(Table245[[#This Row],[Compound Name]],'Table S6 Recommended Values'!$A$10:$BF$398,RAVs!X$4,FALSE)</f>
        <v>9.50764772157601</v>
      </c>
      <c r="Y30" s="249" cm="1">
        <f t="array" ref="Y30">INDEX('Table S6 Recommended Values'!$A$10:$BF$398,MATCH(RAVs!$D30,'Table S6 Recommended Values'!$A$10:$A$398,0)+1,Y$4)</f>
        <v>0.164638973550014</v>
      </c>
      <c r="Z30" s="330"/>
      <c r="AA30" s="343">
        <f>VLOOKUP(Table245[[#This Row],[Compound Name]],'Table S6 Recommended Values'!$A$10:$BF$398,RAVs!AA$4,FALSE)</f>
        <v>5.9950463068700302</v>
      </c>
      <c r="AB30" s="249" cm="1">
        <f t="array" ref="AB30">INDEX('Table S6 Recommended Values'!$A$10:$BF$398,MATCH(RAVs!$D30,'Table S6 Recommended Values'!$A$10:$A$398,0)+1,AB$4)</f>
        <v>0.24327520736609501</v>
      </c>
      <c r="AC30" s="330"/>
      <c r="AD30" s="343">
        <f>VLOOKUP(Table245[[#This Row],[Compound Name]],'Table S6 Recommended Values'!$A$10:$BF$398,RAVs!AD$4,FALSE)</f>
        <v>-3.4507783580666702</v>
      </c>
      <c r="AE30" s="249" cm="1">
        <f t="array" ref="AE30">INDEX('Table S6 Recommended Values'!$A$10:$BF$398,MATCH(RAVs!$D30,'Table S6 Recommended Values'!$A$10:$A$398,0)+1,AE$4)</f>
        <v>0.247838252707616</v>
      </c>
      <c r="AF30" s="330"/>
      <c r="AG30" s="343">
        <f>VLOOKUP(Table245[[#This Row],[Compound Name]],'Table S6 Recommended Values'!$A$10:$BF$398,RAVs!AG$4,FALSE)</f>
        <v>-2.8890473755584876</v>
      </c>
      <c r="AH30" s="249" cm="1">
        <f t="array" ref="AH30">INDEX('Table S6 Recommended Values'!$A$10:$BF$398,MATCH(RAVs!$D30,'Table S6 Recommended Values'!$A$10:$A$398,0)+1,AH$4)</f>
        <v>0.17514031271061101</v>
      </c>
      <c r="AI30" s="330"/>
      <c r="AJ30" s="343">
        <f>VLOOKUP(Table245[[#This Row],[Compound Name]],'Table S6 Recommended Values'!$A$10:$BF$398,RAVs!AJ$4,FALSE)</f>
        <v>-2.8199504744138602</v>
      </c>
      <c r="AK30" s="249" cm="1">
        <f t="array" ref="AK30">INDEX('Table S6 Recommended Values'!$A$10:$BF$398,MATCH(RAVs!$D30,'Table S6 Recommended Values'!$A$10:$A$398,0)+1,AK$4)</f>
        <v>0.25074487956853803</v>
      </c>
      <c r="AL30" s="330"/>
      <c r="AM30" s="343">
        <f>VLOOKUP(Table245[[#This Row],[Compound Name]],'Table S6 Recommended Values'!$A$10:$BF$398,RAVs!AM$4,FALSE)</f>
        <v>3.1985646682901399</v>
      </c>
      <c r="AN30" s="249" cm="1">
        <f t="array" ref="AN30">INDEX('Table S6 Recommended Values'!$A$10:$BF$398,MATCH(RAVs!$D30,'Table S6 Recommended Values'!$A$10:$A$398,0)+1,AN$4)</f>
        <v>0.229145834058156</v>
      </c>
      <c r="AO30" s="330"/>
      <c r="AP30" s="343">
        <f>VLOOKUP(Table245[[#This Row],[Compound Name]],'Table S6 Recommended Values'!$A$10:$BF$398,RAVs!AP$4,FALSE)</f>
        <v>71.225632154001929</v>
      </c>
      <c r="AQ30" s="249" cm="1">
        <f t="array" ref="AQ30">INDEX('Table S6 Recommended Values'!$A$10:$BF$398,MATCH(RAVs!$D30,'Table S6 Recommended Values'!$A$10:$A$398,0)+1,AQ$4)</f>
        <v>4.7361176093360013</v>
      </c>
      <c r="AR30" s="330"/>
      <c r="AS30" s="343">
        <f>VLOOKUP(Table245[[#This Row],[Compound Name]],'Table S6 Recommended Values'!$A$10:$BF$398,RAVs!AS$4,FALSE)</f>
        <v>74.825000000000003</v>
      </c>
      <c r="AT30" s="249" cm="1">
        <f t="array" ref="AT30">INDEX('Table S6 Recommended Values'!$A$10:$BF$398,MATCH(RAVs!$D30,'Table S6 Recommended Values'!$A$10:$A$398,0)+1,AT$4)</f>
        <v>0.77513439694890829</v>
      </c>
      <c r="AU30" s="330"/>
    </row>
    <row r="31" spans="2:47">
      <c r="B31" s="247" t="str">
        <f>'Table S2 Compound Identifiers'!C33</f>
        <v>OCP</v>
      </c>
      <c r="C31" s="247">
        <f>COUNTIF($D$6:D31,"&lt;&gt;"&amp;"")</f>
        <v>26</v>
      </c>
      <c r="D31" s="247" t="str">
        <f>'Table S2 Compound Identifiers'!B33</f>
        <v>aldrin</v>
      </c>
      <c r="E31" s="247" t="str">
        <f>VLOOKUP(RAVs!$D31,'Table S3 Literature Values'!$A$10:$AV$551,E$4,FALSE)</f>
        <v>309-00-2</v>
      </c>
      <c r="F31" s="248">
        <f>VLOOKUP(Table245[[#This Row],[Compound Name]],'Table S6 Recommended Values'!$A$10:$BD$398,RAVs!F$4,FALSE)</f>
        <v>81.201862703831509</v>
      </c>
      <c r="G31" s="249" cm="1">
        <f t="array" ref="G31">INDEX('Table S6 Recommended Values'!$A$10:$BD$398,MATCH(RAVs!$D31,'Table S6 Recommended Values'!$A$10:$A$398,0)+1,G$4)</f>
        <v>6.1877232759238403</v>
      </c>
      <c r="H31" s="330"/>
      <c r="I31" s="328">
        <f>VLOOKUP(Table245[[#This Row],[Compound Name]],'Table S6 Recommended Values'!$A$10:$BD$398,RAVs!I$4,FALSE)</f>
        <v>26.0508121394661</v>
      </c>
      <c r="J31" s="249" cm="1">
        <f t="array" ref="J31">INDEX('Table S6 Recommended Values'!$A$10:$BD$398,MATCH(RAVs!$D31,'Table S6 Recommended Values'!$A$10:$A$398,0)+1,J$4)</f>
        <v>5.6748254806022196</v>
      </c>
      <c r="K31" s="330"/>
      <c r="L31" s="250">
        <f>VLOOKUP(Table245[[#This Row],[Compound Name]],'Table S6 Recommended Values'!$A$10:$BD$398,RAVs!L$4,FALSE)</f>
        <v>6.2280603189689057</v>
      </c>
      <c r="M31" s="249" cm="1">
        <f t="array" ref="M31">INDEX('Table S6 Recommended Values'!$A$10:$BD$398,MATCH(RAVs!$D31,'Table S6 Recommended Values'!$A$10:$A$398,0)+1,M$4)</f>
        <v>8.2429778271462233</v>
      </c>
      <c r="N31" s="330"/>
      <c r="O31" s="250">
        <f>VLOOKUP(Table245[[#This Row],[Compound Name]],'Table S6 Recommended Values'!$A$10:$BD$398,RAVs!O$4,FALSE)</f>
        <v>-72.582802384862603</v>
      </c>
      <c r="P31" s="249" cm="1">
        <f t="array" ref="P31">INDEX('Table S6 Recommended Values'!$A$10:$BD$398,MATCH(RAVs!$D31,'Table S6 Recommended Values'!$A$10:$A$398,0)+1,P$4)</f>
        <v>5.4459860557491897</v>
      </c>
      <c r="Q31" s="330"/>
      <c r="R31" s="250">
        <f>VLOOKUP(Table245[[#This Row],[Compound Name]],'Table S6 Recommended Values'!$A$10:$BD$398,RAVs!R$4,FALSE)</f>
        <v>52.764250259192302</v>
      </c>
      <c r="S31" s="249" cm="1">
        <f t="array" ref="S31">INDEX('Table S6 Recommended Values'!$A$10:$BD$398,MATCH(RAVs!$D31,'Table S6 Recommended Values'!$A$10:$A$398,0)+1,S$4)</f>
        <v>6.8323478374794799</v>
      </c>
      <c r="T31" s="330"/>
      <c r="U31" s="250">
        <f>VLOOKUP(Table245[[#This Row],[Compound Name]],'Table S6 Recommended Values'!$A$10:$BD$398,RAVs!U$4,FALSE)</f>
        <v>-19.817197355489402</v>
      </c>
      <c r="V31" s="249" cm="1">
        <f t="array" ref="V31">INDEX('Table S6 Recommended Values'!$A$10:$BD$398,MATCH(RAVs!$D31,'Table S6 Recommended Values'!$A$10:$A$398,0)+1,V$4)</f>
        <v>7.5622793751927802</v>
      </c>
      <c r="W31" s="330"/>
      <c r="X31" s="343">
        <f>VLOOKUP(Table245[[#This Row],[Compound Name]],'Table S6 Recommended Values'!$A$10:$BF$398,RAVs!X$4,FALSE)</f>
        <v>8.3006436831342594</v>
      </c>
      <c r="Y31" s="249" cm="1">
        <f t="array" ref="Y31">INDEX('Table S6 Recommended Values'!$A$10:$BF$398,MATCH(RAVs!$D31,'Table S6 Recommended Values'!$A$10:$A$398,0)+1,Y$4)</f>
        <v>0.144437001778639</v>
      </c>
      <c r="Z31" s="330"/>
      <c r="AA31" s="343">
        <f>VLOOKUP(Table245[[#This Row],[Compound Name]],'Table S6 Recommended Values'!$A$10:$BF$398,RAVs!AA$4,FALSE)</f>
        <v>5.92087034966569</v>
      </c>
      <c r="AB31" s="249" cm="1">
        <f t="array" ref="AB31">INDEX('Table S6 Recommended Values'!$A$10:$BF$398,MATCH(RAVs!$D31,'Table S6 Recommended Values'!$A$10:$A$398,0)+1,AB$4)</f>
        <v>0.25588246028810302</v>
      </c>
      <c r="AC31" s="330"/>
      <c r="AD31" s="343">
        <f>VLOOKUP(Table245[[#This Row],[Compound Name]],'Table S6 Recommended Values'!$A$10:$BF$398,RAVs!AD$4,FALSE)</f>
        <v>-2.4977196091854399</v>
      </c>
      <c r="AE31" s="249" cm="1">
        <f t="array" ref="AE31">INDEX('Table S6 Recommended Values'!$A$10:$BF$398,MATCH(RAVs!$D31,'Table S6 Recommended Values'!$A$10:$A$398,0)+1,AE$4)</f>
        <v>0.17965962814337599</v>
      </c>
      <c r="AF31" s="330"/>
      <c r="AG31" s="343">
        <f>VLOOKUP(Table245[[#This Row],[Compound Name]],'Table S6 Recommended Values'!$A$10:$BF$398,RAVs!AG$4,FALSE)</f>
        <v>-1.5659664078608366</v>
      </c>
      <c r="AH31" s="249" cm="1">
        <f t="array" ref="AH31">INDEX('Table S6 Recommended Values'!$A$10:$BF$398,MATCH(RAVs!$D31,'Table S6 Recommended Values'!$A$10:$A$398,0)+1,AH$4)</f>
        <v>0.172197387523432</v>
      </c>
      <c r="AI31" s="330"/>
      <c r="AJ31" s="343">
        <f>VLOOKUP(Table245[[#This Row],[Compound Name]],'Table S6 Recommended Values'!$A$10:$BF$398,RAVs!AJ$4,FALSE)</f>
        <v>-2.5132457494987199</v>
      </c>
      <c r="AK31" s="249" cm="1">
        <f t="array" ref="AK31">INDEX('Table S6 Recommended Values'!$A$10:$BF$398,MATCH(RAVs!$D31,'Table S6 Recommended Values'!$A$10:$A$398,0)+1,AK$4)</f>
        <v>0.183165741650267</v>
      </c>
      <c r="AL31" s="330"/>
      <c r="AM31" s="343">
        <f>VLOOKUP(Table245[[#This Row],[Compound Name]],'Table S6 Recommended Values'!$A$10:$BF$398,RAVs!AM$4,FALSE)</f>
        <v>3.3728296953827499</v>
      </c>
      <c r="AN31" s="249" cm="1">
        <f t="array" ref="AN31">INDEX('Table S6 Recommended Values'!$A$10:$BF$398,MATCH(RAVs!$D31,'Table S6 Recommended Values'!$A$10:$A$398,0)+1,AN$4)</f>
        <v>0.233159422773034</v>
      </c>
      <c r="AO31" s="330"/>
      <c r="AP31" s="343">
        <f>VLOOKUP(Table245[[#This Row],[Compound Name]],'Table S6 Recommended Values'!$A$10:$BF$398,RAVs!AP$4,FALSE)</f>
        <v>54.267815648747543</v>
      </c>
      <c r="AQ31" s="249" cm="1">
        <f t="array" ref="AQ31">INDEX('Table S6 Recommended Values'!$A$10:$BF$398,MATCH(RAVs!$D31,'Table S6 Recommended Values'!$A$10:$A$398,0)+1,AQ$4)</f>
        <v>2.9667593418172813</v>
      </c>
      <c r="AR31" s="330"/>
      <c r="AS31" s="343">
        <f>VLOOKUP(Table245[[#This Row],[Compound Name]],'Table S6 Recommended Values'!$A$10:$BF$398,RAVs!AS$4,FALSE)</f>
        <v>103.37</v>
      </c>
      <c r="AT31" s="249" cm="1">
        <f t="array" ref="AT31">INDEX('Table S6 Recommended Values'!$A$10:$BF$398,MATCH(RAVs!$D31,'Table S6 Recommended Values'!$A$10:$A$398,0)+1,AT$4)</f>
        <v>1.050357082139215</v>
      </c>
      <c r="AU31" s="330"/>
    </row>
    <row r="32" spans="2:47">
      <c r="B32" s="247" t="str">
        <f>'Table S2 Compound Identifiers'!C34</f>
        <v>OCP</v>
      </c>
      <c r="C32" s="247">
        <f>COUNTIF($D$6:D32,"&lt;&gt;"&amp;"")</f>
        <v>27</v>
      </c>
      <c r="D32" s="247" t="str">
        <f>'Table S2 Compound Identifiers'!B34</f>
        <v>TN</v>
      </c>
      <c r="E32" s="247" t="str">
        <f>VLOOKUP(RAVs!$D32,'Table S3 Literature Values'!$A$10:$AV$551,E$4,FALSE)</f>
        <v>39765-80-5</v>
      </c>
      <c r="F32" s="248">
        <f>VLOOKUP(Table245[[#This Row],[Compound Name]],'Table S6 Recommended Values'!$A$10:$BD$398,RAVs!F$4,FALSE)</f>
        <v>79.643849802935009</v>
      </c>
      <c r="G32" s="249" cm="1">
        <f t="array" ref="G32">INDEX('Table S6 Recommended Values'!$A$10:$BD$398,MATCH(RAVs!$D32,'Table S6 Recommended Values'!$A$10:$A$398,0)+1,G$4)</f>
        <v>6.5114530029774302</v>
      </c>
      <c r="H32" s="330"/>
      <c r="I32" s="328">
        <f>VLOOKUP(Table245[[#This Row],[Compound Name]],'Table S6 Recommended Values'!$A$10:$BD$398,RAVs!I$4,FALSE)</f>
        <v>5.0012032057218798</v>
      </c>
      <c r="J32" s="249" cm="1">
        <f t="array" ref="J32">INDEX('Table S6 Recommended Values'!$A$10:$BD$398,MATCH(RAVs!$D32,'Table S6 Recommended Values'!$A$10:$A$398,0)+1,J$4)</f>
        <v>10.259862845713799</v>
      </c>
      <c r="K32" s="330"/>
      <c r="L32" s="250">
        <f>VLOOKUP(Table245[[#This Row],[Compound Name]],'Table S6 Recommended Values'!$A$10:$BD$398,RAVs!L$4,FALSE)</f>
        <v>-0.15647049825899195</v>
      </c>
      <c r="M32" s="249" cm="1">
        <f t="array" ref="M32">INDEX('Table S6 Recommended Values'!$A$10:$BD$398,MATCH(RAVs!$D32,'Table S6 Recommended Values'!$A$10:$A$398,0)+1,M$4)</f>
        <v>9.6179355521450525</v>
      </c>
      <c r="N32" s="330"/>
      <c r="O32" s="250">
        <f>VLOOKUP(Table245[[#This Row],[Compound Name]],'Table S6 Recommended Values'!$A$10:$BD$398,RAVs!O$4,FALSE)</f>
        <v>-77.409320301194001</v>
      </c>
      <c r="P32" s="249" cm="1">
        <f t="array" ref="P32">INDEX('Table S6 Recommended Values'!$A$10:$BD$398,MATCH(RAVs!$D32,'Table S6 Recommended Values'!$A$10:$A$398,0)+1,P$4)</f>
        <v>7.07853544705626</v>
      </c>
      <c r="Q32" s="330"/>
      <c r="R32" s="250">
        <f>VLOOKUP(Table245[[#This Row],[Compound Name]],'Table S6 Recommended Values'!$A$10:$BD$398,RAVs!R$4,FALSE)</f>
        <v>72.251600094759993</v>
      </c>
      <c r="S32" s="249" cm="1">
        <f t="array" ref="S32">INDEX('Table S6 Recommended Values'!$A$10:$BD$398,MATCH(RAVs!$D32,'Table S6 Recommended Values'!$A$10:$A$398,0)+1,S$4)</f>
        <v>9.8129412285562392</v>
      </c>
      <c r="T32" s="330"/>
      <c r="U32" s="250">
        <f>VLOOKUP(Table245[[#This Row],[Compound Name]],'Table S6 Recommended Values'!$A$10:$BD$398,RAVs!U$4,FALSE)</f>
        <v>-5.1593042314563098</v>
      </c>
      <c r="V32" s="249" cm="1">
        <f t="array" ref="V32">INDEX('Table S6 Recommended Values'!$A$10:$BD$398,MATCH(RAVs!$D32,'Table S6 Recommended Values'!$A$10:$A$398,0)+1,V$4)</f>
        <v>10.3272868985158</v>
      </c>
      <c r="W32" s="330"/>
      <c r="X32" s="343">
        <f>VLOOKUP(Table245[[#This Row],[Compound Name]],'Table S6 Recommended Values'!$A$10:$BF$398,RAVs!X$4,FALSE)</f>
        <v>9.1962699882041399</v>
      </c>
      <c r="Y32" s="249" cm="1">
        <f t="array" ref="Y32">INDEX('Table S6 Recommended Values'!$A$10:$BF$398,MATCH(RAVs!$D32,'Table S6 Recommended Values'!$A$10:$A$398,0)+1,Y$4)</f>
        <v>0.51537114920664595</v>
      </c>
      <c r="Z32" s="330"/>
      <c r="AA32" s="343">
        <f>VLOOKUP(Table245[[#This Row],[Compound Name]],'Table S6 Recommended Values'!$A$10:$BF$398,RAVs!AA$4,FALSE)</f>
        <v>6.51030470922628</v>
      </c>
      <c r="AB32" s="249" cm="1">
        <f t="array" ref="AB32">INDEX('Table S6 Recommended Values'!$A$10:$BF$398,MATCH(RAVs!$D32,'Table S6 Recommended Values'!$A$10:$A$398,0)+1,AB$4)</f>
        <v>0.90639072015817801</v>
      </c>
      <c r="AC32" s="330"/>
      <c r="AD32" s="343">
        <f>VLOOKUP(Table245[[#This Row],[Compound Name]],'Table S6 Recommended Values'!$A$10:$BF$398,RAVs!AD$4,FALSE)</f>
        <v>-2.6926122273998101</v>
      </c>
      <c r="AE32" s="249" cm="1">
        <f t="array" ref="AE32">INDEX('Table S6 Recommended Values'!$A$10:$BF$398,MATCH(RAVs!$D32,'Table S6 Recommended Values'!$A$10:$A$398,0)+1,AE$4)</f>
        <v>0.97042198140262104</v>
      </c>
      <c r="AF32" s="330"/>
      <c r="AG32" s="343">
        <f>VLOOKUP(Table245[[#This Row],[Compound Name]],'Table S6 Recommended Values'!$A$10:$BF$398,RAVs!AG$4,FALSE)</f>
        <v>-2.3108903535987171</v>
      </c>
      <c r="AH32" s="249" cm="1">
        <f t="array" ref="AH32">INDEX('Table S6 Recommended Values'!$A$10:$BF$398,MATCH(RAVs!$D32,'Table S6 Recommended Values'!$A$10:$A$398,0)+1,AH$4)</f>
        <v>0.35927907095476103</v>
      </c>
      <c r="AI32" s="330"/>
      <c r="AJ32" s="343">
        <f>VLOOKUP(Table245[[#This Row],[Compound Name]],'Table S6 Recommended Values'!$A$10:$BF$398,RAVs!AJ$4,FALSE)</f>
        <v>-3.0122800135814898</v>
      </c>
      <c r="AK32" s="249" cm="1">
        <f t="array" ref="AK32">INDEX('Table S6 Recommended Values'!$A$10:$BF$398,MATCH(RAVs!$D32,'Table S6 Recommended Values'!$A$10:$A$398,0)+1,AK$4)</f>
        <v>1.0040493462743101</v>
      </c>
      <c r="AL32" s="330"/>
      <c r="AM32" s="343">
        <f>VLOOKUP(Table245[[#This Row],[Compound Name]],'Table S6 Recommended Values'!$A$10:$BF$398,RAVs!AM$4,FALSE)</f>
        <v>3.4939549243389001</v>
      </c>
      <c r="AN32" s="249" cm="1">
        <f t="array" ref="AN32">INDEX('Table S6 Recommended Values'!$A$10:$BF$398,MATCH(RAVs!$D32,'Table S6 Recommended Values'!$A$10:$A$398,0)+1,AN$4)</f>
        <v>0.61373404519322605</v>
      </c>
      <c r="AO32" s="330"/>
      <c r="AP32" s="343" t="str">
        <f>VLOOKUP(Table245[[#This Row],[Compound Name]],'Table S6 Recommended Values'!$A$10:$BF$398,RAVs!AP$4,FALSE)</f>
        <v>-</v>
      </c>
      <c r="AQ32" s="249" t="str" cm="1">
        <f t="array" ref="AQ32">INDEX('Table S6 Recommended Values'!$A$10:$BF$398,MATCH(RAVs!$D32,'Table S6 Recommended Values'!$A$10:$A$398,0)+1,AQ$4)</f>
        <v>-</v>
      </c>
      <c r="AR32" s="330"/>
      <c r="AS32" s="343">
        <f>VLOOKUP(Table245[[#This Row],[Compound Name]],'Table S6 Recommended Values'!$A$10:$BF$398,RAVs!AS$4,FALSE)</f>
        <v>126.90000000000002</v>
      </c>
      <c r="AT32" s="249" cm="1">
        <f t="array" ref="AT32">INDEX('Table S6 Recommended Values'!$A$10:$BF$398,MATCH(RAVs!$D32,'Table S6 Recommended Values'!$A$10:$A$398,0)+1,AT$4)</f>
        <v>0.49244289008983061</v>
      </c>
      <c r="AU32" s="330"/>
    </row>
    <row r="33" spans="2:47">
      <c r="B33" s="247" t="str">
        <f>'Table S2 Compound Identifiers'!C35</f>
        <v>OPE</v>
      </c>
      <c r="C33" s="247">
        <f>COUNTIF($D$6:D33,"&lt;&gt;"&amp;"")</f>
        <v>28</v>
      </c>
      <c r="D33" s="247" t="str">
        <f>'Table S2 Compound Identifiers'!B35</f>
        <v>TCEP</v>
      </c>
      <c r="E33" s="247" t="str">
        <f>VLOOKUP(RAVs!$D33,'Table S3 Literature Values'!$A$10:$AV$551,E$4,FALSE)</f>
        <v>115-96-8</v>
      </c>
      <c r="F33" s="248">
        <f>VLOOKUP(Table245[[#This Row],[Compound Name]],'Table S6 Recommended Values'!$A$10:$BD$398,RAVs!F$4,FALSE)</f>
        <v>81.906459941883412</v>
      </c>
      <c r="G33" s="249" cm="1">
        <f t="array" ref="G33">INDEX('Table S6 Recommended Values'!$A$10:$BD$398,MATCH(RAVs!$D33,'Table S6 Recommended Values'!$A$10:$A$398,0)+1,G$4)</f>
        <v>2.8764929972881301</v>
      </c>
      <c r="H33" s="330"/>
      <c r="I33" s="328">
        <f>VLOOKUP(Table245[[#This Row],[Compound Name]],'Table S6 Recommended Values'!$A$10:$BD$398,RAVs!I$4,FALSE)</f>
        <v>-2.5333031616347799</v>
      </c>
      <c r="J33" s="249" cm="1">
        <f t="array" ref="J33">INDEX('Table S6 Recommended Values'!$A$10:$BD$398,MATCH(RAVs!$D33,'Table S6 Recommended Values'!$A$10:$A$398,0)+1,J$4)</f>
        <v>8.9112082031756206</v>
      </c>
      <c r="K33" s="330"/>
      <c r="L33" s="250">
        <f>VLOOKUP(Table245[[#This Row],[Compound Name]],'Table S6 Recommended Values'!$A$10:$BD$398,RAVs!L$4,FALSE)</f>
        <v>9.6212517958941159</v>
      </c>
      <c r="M33" s="249" cm="1">
        <f t="array" ref="M33">INDEX('Table S6 Recommended Values'!$A$10:$BD$398,MATCH(RAVs!$D33,'Table S6 Recommended Values'!$A$10:$A$398,0)+1,M$4)</f>
        <v>10.86970476287587</v>
      </c>
      <c r="N33" s="330"/>
      <c r="O33" s="250">
        <f>VLOOKUP(Table245[[#This Row],[Compound Name]],'Table S6 Recommended Values'!$A$10:$BD$398,RAVs!O$4,FALSE)</f>
        <v>-69.894208145989296</v>
      </c>
      <c r="P33" s="249" cm="1">
        <f t="array" ref="P33">INDEX('Table S6 Recommended Values'!$A$10:$BD$398,MATCH(RAVs!$D33,'Table S6 Recommended Values'!$A$10:$A$398,0)+1,P$4)</f>
        <v>10.482188209941601</v>
      </c>
      <c r="Q33" s="330"/>
      <c r="R33" s="250">
        <f>VLOOKUP(Table245[[#This Row],[Compound Name]],'Table S6 Recommended Values'!$A$10:$BD$398,RAVs!R$4,FALSE)</f>
        <v>82.051606241554396</v>
      </c>
      <c r="S33" s="249" cm="1">
        <f t="array" ref="S33">INDEX('Table S6 Recommended Values'!$A$10:$BD$398,MATCH(RAVs!$D33,'Table S6 Recommended Values'!$A$10:$A$398,0)+1,S$4)</f>
        <v>8.9457367208537395</v>
      </c>
      <c r="T33" s="330"/>
      <c r="U33" s="250">
        <f>VLOOKUP(Table245[[#This Row],[Compound Name]],'Table S6 Recommended Values'!$A$10:$BD$398,RAVs!U$4,FALSE)</f>
        <v>12.1597829185863</v>
      </c>
      <c r="V33" s="249" cm="1">
        <f t="array" ref="V33">INDEX('Table S6 Recommended Values'!$A$10:$BD$398,MATCH(RAVs!$D33,'Table S6 Recommended Values'!$A$10:$A$398,0)+1,V$4)</f>
        <v>10.034321722088199</v>
      </c>
      <c r="W33" s="330"/>
      <c r="X33" s="343">
        <f>VLOOKUP(Table245[[#This Row],[Compound Name]],'Table S6 Recommended Values'!$A$10:$BF$398,RAVs!X$4,FALSE)</f>
        <v>7.8828285614971598</v>
      </c>
      <c r="Y33" s="249" cm="1">
        <f t="array" ref="Y33">INDEX('Table S6 Recommended Values'!$A$10:$BF$398,MATCH(RAVs!$D33,'Table S6 Recommended Values'!$A$10:$A$398,0)+1,Y$4)</f>
        <v>0.100994612041733</v>
      </c>
      <c r="Z33" s="330"/>
      <c r="AA33" s="343">
        <f>VLOOKUP(Table245[[#This Row],[Compound Name]],'Table S6 Recommended Values'!$A$10:$BF$398,RAVs!AA$4,FALSE)</f>
        <v>1.5629056996641399</v>
      </c>
      <c r="AB33" s="249" cm="1">
        <f t="array" ref="AB33">INDEX('Table S6 Recommended Values'!$A$10:$BF$398,MATCH(RAVs!$D33,'Table S6 Recommended Values'!$A$10:$A$398,0)+1,AB$4)</f>
        <v>0.15415370666419201</v>
      </c>
      <c r="AC33" s="330"/>
      <c r="AD33" s="343">
        <f>VLOOKUP(Table245[[#This Row],[Compound Name]],'Table S6 Recommended Values'!$A$10:$BF$398,RAVs!AD$4,FALSE)</f>
        <v>-6.2877127546218397</v>
      </c>
      <c r="AE33" s="249" cm="1">
        <f t="array" ref="AE33">INDEX('Table S6 Recommended Values'!$A$10:$BF$398,MATCH(RAVs!$D33,'Table S6 Recommended Values'!$A$10:$A$398,0)+1,AE$4)</f>
        <v>0.18570470122850899</v>
      </c>
      <c r="AF33" s="330"/>
      <c r="AG33" s="343">
        <f>VLOOKUP(Table245[[#This Row],[Compound Name]],'Table S6 Recommended Values'!$A$10:$BF$398,RAVs!AG$4,FALSE)</f>
        <v>-1.4706300599080064</v>
      </c>
      <c r="AH33" s="249" cm="1">
        <f t="array" ref="AH33">INDEX('Table S6 Recommended Values'!$A$10:$BF$398,MATCH(RAVs!$D33,'Table S6 Recommended Values'!$A$10:$A$398,0)+1,AH$4)</f>
        <v>0.147749289582637</v>
      </c>
      <c r="AI33" s="330"/>
      <c r="AJ33" s="343">
        <f>VLOOKUP(Table245[[#This Row],[Compound Name]],'Table S6 Recommended Values'!$A$10:$BF$398,RAVs!AJ$4,FALSE)</f>
        <v>1.4234138291974701</v>
      </c>
      <c r="AK33" s="249" cm="1">
        <f t="array" ref="AK33">INDEX('Table S6 Recommended Values'!$A$10:$BF$398,MATCH(RAVs!$D33,'Table S6 Recommended Values'!$A$10:$A$398,0)+1,AK$4)</f>
        <v>0.101538434364516</v>
      </c>
      <c r="AL33" s="330"/>
      <c r="AM33" s="343">
        <f>VLOOKUP(Table245[[#This Row],[Compound Name]],'Table S6 Recommended Values'!$A$10:$BF$398,RAVs!AM$4,FALSE)</f>
        <v>2.9932896816620098</v>
      </c>
      <c r="AN33" s="249" cm="1">
        <f t="array" ref="AN33">INDEX('Table S6 Recommended Values'!$A$10:$BF$398,MATCH(RAVs!$D33,'Table S6 Recommended Values'!$A$10:$A$398,0)+1,AN$4)</f>
        <v>0.16081638764863099</v>
      </c>
      <c r="AO33" s="330"/>
      <c r="AP33" s="343" t="str">
        <f>VLOOKUP(Table245[[#This Row],[Compound Name]],'Table S6 Recommended Values'!$A$10:$BF$398,RAVs!AP$4,FALSE)</f>
        <v>-</v>
      </c>
      <c r="AQ33" s="249" t="str" cm="1">
        <f t="array" ref="AQ33">INDEX('Table S6 Recommended Values'!$A$10:$BF$398,MATCH(RAVs!$D33,'Table S6 Recommended Values'!$A$10:$A$398,0)+1,AQ$4)</f>
        <v>-</v>
      </c>
      <c r="AR33" s="330"/>
      <c r="AS33" s="343">
        <f>VLOOKUP(Table245[[#This Row],[Compound Name]],'Table S6 Recommended Values'!$A$10:$BF$398,RAVs!AS$4,FALSE)</f>
        <v>-45</v>
      </c>
      <c r="AT33" s="249" cm="1">
        <f t="array" ref="AT33">INDEX('Table S6 Recommended Values'!$A$10:$BF$398,MATCH(RAVs!$D33,'Table S6 Recommended Values'!$A$10:$A$398,0)+1,AT$4)</f>
        <v>14.142135623730951</v>
      </c>
      <c r="AU33" s="330"/>
    </row>
    <row r="34" spans="2:47">
      <c r="B34" s="247" t="str">
        <f>'Table S2 Compound Identifiers'!C36</f>
        <v>OPE</v>
      </c>
      <c r="C34" s="247">
        <f>COUNTIF($D$6:D34,"&lt;&gt;"&amp;"")</f>
        <v>29</v>
      </c>
      <c r="D34" s="247" t="str">
        <f>'Table S2 Compound Identifiers'!B36</f>
        <v>TCiPP</v>
      </c>
      <c r="E34" s="247" t="str">
        <f>VLOOKUP(RAVs!$D34,'Table S3 Literature Values'!$A$10:$AV$551,E$4,FALSE)</f>
        <v>13674-84-5</v>
      </c>
      <c r="F34" s="248">
        <f>VLOOKUP(Table245[[#This Row],[Compound Name]],'Table S6 Recommended Values'!$A$10:$BD$398,RAVs!F$4,FALSE)</f>
        <v>94.206958076038703</v>
      </c>
      <c r="G34" s="249" cm="1">
        <f t="array" ref="G34">INDEX('Table S6 Recommended Values'!$A$10:$BD$398,MATCH(RAVs!$D34,'Table S6 Recommended Values'!$A$10:$A$398,0)+1,G$4)</f>
        <v>8.6182408562904804</v>
      </c>
      <c r="H34" s="330"/>
      <c r="I34" s="328">
        <f>VLOOKUP(Table245[[#This Row],[Compound Name]],'Table S6 Recommended Values'!$A$10:$BD$398,RAVs!I$4,FALSE)</f>
        <v>-10.8551700954475</v>
      </c>
      <c r="J34" s="249" cm="1">
        <f t="array" ref="J34">INDEX('Table S6 Recommended Values'!$A$10:$BD$398,MATCH(RAVs!$D34,'Table S6 Recommended Values'!$A$10:$A$398,0)+1,J$4)</f>
        <v>11.810041955870201</v>
      </c>
      <c r="K34" s="330"/>
      <c r="L34" s="250">
        <f>VLOOKUP(Table245[[#This Row],[Compound Name]],'Table S6 Recommended Values'!$A$10:$BD$398,RAVs!L$4,FALSE)</f>
        <v>6.4145661294114031</v>
      </c>
      <c r="M34" s="249" cm="1">
        <f t="array" ref="M34">INDEX('Table S6 Recommended Values'!$A$10:$BD$398,MATCH(RAVs!$D34,'Table S6 Recommended Values'!$A$10:$A$398,0)+1,M$4)</f>
        <v>15.327637164100107</v>
      </c>
      <c r="N34" s="330"/>
      <c r="O34" s="250">
        <f>VLOOKUP(Table245[[#This Row],[Compound Name]],'Table S6 Recommended Values'!$A$10:$BD$398,RAVs!O$4,FALSE)</f>
        <v>-85.401391946627299</v>
      </c>
      <c r="P34" s="249" cm="1">
        <f t="array" ref="P34">INDEX('Table S6 Recommended Values'!$A$10:$BD$398,MATCH(RAVs!$D34,'Table S6 Recommended Values'!$A$10:$A$398,0)+1,P$4)</f>
        <v>12.675266686633</v>
      </c>
      <c r="Q34" s="330"/>
      <c r="R34" s="250">
        <f>VLOOKUP(Table245[[#This Row],[Compound Name]],'Table S6 Recommended Values'!$A$10:$BD$398,RAVs!R$4,FALSE)</f>
        <v>102.671860825812</v>
      </c>
      <c r="S34" s="249" cm="1">
        <f t="array" ref="S34">INDEX('Table S6 Recommended Values'!$A$10:$BD$398,MATCH(RAVs!$D34,'Table S6 Recommended Values'!$A$10:$A$398,0)+1,S$4)</f>
        <v>11.670176361176599</v>
      </c>
      <c r="T34" s="330"/>
      <c r="U34" s="250">
        <f>VLOOKUP(Table245[[#This Row],[Compound Name]],'Table S6 Recommended Values'!$A$10:$BD$398,RAVs!U$4,FALSE)</f>
        <v>17.270098432302099</v>
      </c>
      <c r="V34" s="249" cm="1">
        <f t="array" ref="V34">INDEX('Table S6 Recommended Values'!$A$10:$BD$398,MATCH(RAVs!$D34,'Table S6 Recommended Values'!$A$10:$A$398,0)+1,V$4)</f>
        <v>12.6804022859667</v>
      </c>
      <c r="W34" s="330"/>
      <c r="X34" s="343">
        <f>VLOOKUP(Table245[[#This Row],[Compound Name]],'Table S6 Recommended Values'!$A$10:$BF$398,RAVs!X$4,FALSE)</f>
        <v>8.5166623210247199</v>
      </c>
      <c r="Y34" s="249" cm="1">
        <f t="array" ref="Y34">INDEX('Table S6 Recommended Values'!$A$10:$BF$398,MATCH(RAVs!$D34,'Table S6 Recommended Values'!$A$10:$A$398,0)+1,Y$4)</f>
        <v>0.59464319309579405</v>
      </c>
      <c r="Z34" s="330"/>
      <c r="AA34" s="343">
        <f>VLOOKUP(Table245[[#This Row],[Compound Name]],'Table S6 Recommended Values'!$A$10:$BF$398,RAVs!AA$4,FALSE)</f>
        <v>2.5154776628758202</v>
      </c>
      <c r="AB34" s="249" cm="1">
        <f t="array" ref="AB34">INDEX('Table S6 Recommended Values'!$A$10:$BF$398,MATCH(RAVs!$D34,'Table S6 Recommended Values'!$A$10:$A$398,0)+1,AB$4)</f>
        <v>7.0539902662865597E-2</v>
      </c>
      <c r="AC34" s="330"/>
      <c r="AD34" s="343">
        <f>VLOOKUP(Table245[[#This Row],[Compound Name]],'Table S6 Recommended Values'!$A$10:$BF$398,RAVs!AD$4,FALSE)</f>
        <v>-6.0035631249827199</v>
      </c>
      <c r="AE34" s="249" cm="1">
        <f t="array" ref="AE34">INDEX('Table S6 Recommended Values'!$A$10:$BF$398,MATCH(RAVs!$D34,'Table S6 Recommended Values'!$A$10:$A$398,0)+1,AE$4)</f>
        <v>0.59600780360151795</v>
      </c>
      <c r="AF34" s="330"/>
      <c r="AG34" s="343">
        <f>VLOOKUP(Table245[[#This Row],[Compound Name]],'Table S6 Recommended Values'!$A$10:$BF$398,RAVs!AG$4,FALSE)</f>
        <v>-2.0472517940716259</v>
      </c>
      <c r="AH34" s="249" cm="1">
        <f t="array" ref="AH34">INDEX('Table S6 Recommended Values'!$A$10:$BF$398,MATCH(RAVs!$D34,'Table S6 Recommended Values'!$A$10:$A$398,0)+1,AH$4)</f>
        <v>0.58898231330236905</v>
      </c>
      <c r="AI34" s="330"/>
      <c r="AJ34" s="343">
        <f>VLOOKUP(Table245[[#This Row],[Compound Name]],'Table S6 Recommended Values'!$A$10:$BF$398,RAVs!AJ$4,FALSE)</f>
        <v>0.56310428731375195</v>
      </c>
      <c r="AK34" s="249" cm="1">
        <f t="array" ref="AK34">INDEX('Table S6 Recommended Values'!$A$10:$BF$398,MATCH(RAVs!$D34,'Table S6 Recommended Values'!$A$10:$A$398,0)+1,AK$4)</f>
        <v>8.3791721419677806E-2</v>
      </c>
      <c r="AL34" s="330"/>
      <c r="AM34" s="343">
        <f>VLOOKUP(Table245[[#This Row],[Compound Name]],'Table S6 Recommended Values'!$A$10:$BF$398,RAVs!AM$4,FALSE)</f>
        <v>3.0744586709506501</v>
      </c>
      <c r="AN34" s="249" cm="1">
        <f t="array" ref="AN34">INDEX('Table S6 Recommended Values'!$A$10:$BF$398,MATCH(RAVs!$D34,'Table S6 Recommended Values'!$A$10:$A$398,0)+1,AN$4)</f>
        <v>0.13981634291290801</v>
      </c>
      <c r="AO34" s="330"/>
      <c r="AP34" s="343" t="str">
        <f>VLOOKUP(Table245[[#This Row],[Compound Name]],'Table S6 Recommended Values'!$A$10:$BF$398,RAVs!AP$4,FALSE)</f>
        <v>-</v>
      </c>
      <c r="AQ34" s="249" t="str" cm="1">
        <f t="array" ref="AQ34">INDEX('Table S6 Recommended Values'!$A$10:$BF$398,MATCH(RAVs!$D34,'Table S6 Recommended Values'!$A$10:$A$398,0)+1,AQ$4)</f>
        <v>-</v>
      </c>
      <c r="AR34" s="330"/>
      <c r="AS34" s="343">
        <f>VLOOKUP(Table245[[#This Row],[Compound Name]],'Table S6 Recommended Values'!$A$10:$BF$398,RAVs!AS$4,FALSE)</f>
        <v>-45.5</v>
      </c>
      <c r="AT34" s="249" cm="1">
        <f t="array" ref="AT34">INDEX('Table S6 Recommended Values'!$A$10:$BF$398,MATCH(RAVs!$D34,'Table S6 Recommended Values'!$A$10:$A$398,0)+1,AT$4)</f>
        <v>7.7781745930520225</v>
      </c>
      <c r="AU34" s="330"/>
    </row>
    <row r="35" spans="2:47">
      <c r="B35" s="247" t="str">
        <f>'Table S2 Compound Identifiers'!C37</f>
        <v>OPE</v>
      </c>
      <c r="C35" s="247">
        <f>COUNTIF($D$6:D35,"&lt;&gt;"&amp;"")</f>
        <v>30</v>
      </c>
      <c r="D35" s="247" t="str">
        <f>'Table S2 Compound Identifiers'!B37</f>
        <v>TDCiPP</v>
      </c>
      <c r="E35" s="247" t="str">
        <f>VLOOKUP(RAVs!$D35,'Table S3 Literature Values'!$A$10:$AV$551,E$4,FALSE)</f>
        <v>13674-87-8</v>
      </c>
      <c r="F35" s="248">
        <f>VLOOKUP(Table245[[#This Row],[Compound Name]],'Table S6 Recommended Values'!$A$10:$BD$398,RAVs!F$4,FALSE)</f>
        <v>98.05383136971021</v>
      </c>
      <c r="G35" s="249" cm="1">
        <f t="array" ref="G35">INDEX('Table S6 Recommended Values'!$A$10:$BD$398,MATCH(RAVs!$D35,'Table S6 Recommended Values'!$A$10:$A$398,0)+1,G$4)</f>
        <v>4.9433224729994603</v>
      </c>
      <c r="H35" s="330"/>
      <c r="I35" s="328">
        <f>VLOOKUP(Table245[[#This Row],[Compound Name]],'Table S6 Recommended Values'!$A$10:$BD$398,RAVs!I$4,FALSE)</f>
        <v>-10.0827731178771</v>
      </c>
      <c r="J35" s="249" cm="1">
        <f t="array" ref="J35">INDEX('Table S6 Recommended Values'!$A$10:$BD$398,MATCH(RAVs!$D35,'Table S6 Recommended Values'!$A$10:$A$398,0)+1,J$4)</f>
        <v>12.756081411192</v>
      </c>
      <c r="K35" s="330"/>
      <c r="L35" s="250">
        <f>VLOOKUP(Table245[[#This Row],[Compound Name]],'Table S6 Recommended Values'!$A$10:$BD$398,RAVs!L$4,FALSE)</f>
        <v>3.1700684796476164</v>
      </c>
      <c r="M35" s="249" cm="1">
        <f t="array" ref="M35">INDEX('Table S6 Recommended Values'!$A$10:$BD$398,MATCH(RAVs!$D35,'Table S6 Recommended Values'!$A$10:$A$398,0)+1,M$4)</f>
        <v>7.5142573751701063</v>
      </c>
      <c r="N35" s="330"/>
      <c r="O35" s="250">
        <f>VLOOKUP(Table245[[#This Row],[Compound Name]],'Table S6 Recommended Values'!$A$10:$BD$398,RAVs!O$4,FALSE)</f>
        <v>-92.492762890062593</v>
      </c>
      <c r="P35" s="249" cm="1">
        <f t="array" ref="P35">INDEX('Table S6 Recommended Values'!$A$10:$BD$398,MATCH(RAVs!$D35,'Table S6 Recommended Values'!$A$10:$A$398,0)+1,P$4)</f>
        <v>5.6592956123741098</v>
      </c>
      <c r="Q35" s="330"/>
      <c r="R35" s="250">
        <f>VLOOKUP(Table245[[#This Row],[Compound Name]],'Table S6 Recommended Values'!$A$10:$BD$398,RAVs!R$4,FALSE)</f>
        <v>105.747859031112</v>
      </c>
      <c r="S35" s="249" cm="1">
        <f t="array" ref="S35">INDEX('Table S6 Recommended Values'!$A$10:$BD$398,MATCH(RAVs!$D35,'Table S6 Recommended Values'!$A$10:$A$398,0)+1,S$4)</f>
        <v>12.487874798736501</v>
      </c>
      <c r="T35" s="330"/>
      <c r="U35" s="250">
        <f>VLOOKUP(Table245[[#This Row],[Compound Name]],'Table S6 Recommended Values'!$A$10:$BD$398,RAVs!U$4,FALSE)</f>
        <v>13.2554933966452</v>
      </c>
      <c r="V35" s="249" cm="1">
        <f t="array" ref="V35">INDEX('Table S6 Recommended Values'!$A$10:$BD$398,MATCH(RAVs!$D35,'Table S6 Recommended Values'!$A$10:$A$398,0)+1,V$4)</f>
        <v>12.8926114152219</v>
      </c>
      <c r="W35" s="330"/>
      <c r="X35" s="343">
        <f>VLOOKUP(Table245[[#This Row],[Compound Name]],'Table S6 Recommended Values'!$A$10:$BF$398,RAVs!X$4,FALSE)</f>
        <v>10.093967322444</v>
      </c>
      <c r="Y35" s="249" cm="1">
        <f t="array" ref="Y35">INDEX('Table S6 Recommended Values'!$A$10:$BF$398,MATCH(RAVs!$D35,'Table S6 Recommended Values'!$A$10:$A$398,0)+1,Y$4)</f>
        <v>0.32391951151009102</v>
      </c>
      <c r="Z35" s="330"/>
      <c r="AA35" s="343">
        <f>VLOOKUP(Table245[[#This Row],[Compound Name]],'Table S6 Recommended Values'!$A$10:$BF$398,RAVs!AA$4,FALSE)</f>
        <v>3.6262531685994901</v>
      </c>
      <c r="AB35" s="249" cm="1">
        <f t="array" ref="AB35">INDEX('Table S6 Recommended Values'!$A$10:$BF$398,MATCH(RAVs!$D35,'Table S6 Recommended Values'!$A$10:$A$398,0)+1,AB$4)</f>
        <v>7.8833235083997005E-2</v>
      </c>
      <c r="AC35" s="330"/>
      <c r="AD35" s="343">
        <f>VLOOKUP(Table245[[#This Row],[Compound Name]],'Table S6 Recommended Values'!$A$10:$BF$398,RAVs!AD$4,FALSE)</f>
        <v>-6.4494122441656696</v>
      </c>
      <c r="AE35" s="249" cm="1">
        <f t="array" ref="AE35">INDEX('Table S6 Recommended Values'!$A$10:$BF$398,MATCH(RAVs!$D35,'Table S6 Recommended Values'!$A$10:$A$398,0)+1,AE$4)</f>
        <v>0.36023153323002099</v>
      </c>
      <c r="AF35" s="330"/>
      <c r="AG35" s="343">
        <f>VLOOKUP(Table245[[#This Row],[Compound Name]],'Table S6 Recommended Values'!$A$10:$BF$398,RAVs!AG$4,FALSE)</f>
        <v>-4.4996287462221263</v>
      </c>
      <c r="AH35" s="249" cm="1">
        <f t="array" ref="AH35">INDEX('Table S6 Recommended Values'!$A$10:$BF$398,MATCH(RAVs!$D35,'Table S6 Recommended Values'!$A$10:$A$398,0)+1,AH$4)</f>
        <v>0.38632749996993898</v>
      </c>
      <c r="AI35" s="330"/>
      <c r="AJ35" s="343">
        <f>VLOOKUP(Table245[[#This Row],[Compound Name]],'Table S6 Recommended Values'!$A$10:$BF$398,RAVs!AJ$4,FALSE)</f>
        <v>-1.44481486238205</v>
      </c>
      <c r="AK35" s="249" cm="1">
        <f t="array" ref="AK35">INDEX('Table S6 Recommended Values'!$A$10:$BF$398,MATCH(RAVs!$D35,'Table S6 Recommended Values'!$A$10:$A$398,0)+1,AK$4)</f>
        <v>0.22314661357790699</v>
      </c>
      <c r="AL35" s="330"/>
      <c r="AM35" s="343">
        <f>VLOOKUP(Table245[[#This Row],[Compound Name]],'Table S6 Recommended Values'!$A$10:$BF$398,RAVs!AM$4,FALSE)</f>
        <v>2.1924729514346102</v>
      </c>
      <c r="AN35" s="249" cm="1">
        <f t="array" ref="AN35">INDEX('Table S6 Recommended Values'!$A$10:$BF$398,MATCH(RAVs!$D35,'Table S6 Recommended Values'!$A$10:$A$398,0)+1,AN$4)</f>
        <v>0.24578664157781499</v>
      </c>
      <c r="AO35" s="330"/>
      <c r="AP35" s="343" t="str">
        <f>VLOOKUP(Table245[[#This Row],[Compound Name]],'Table S6 Recommended Values'!$A$10:$BF$398,RAVs!AP$4,FALSE)</f>
        <v>-</v>
      </c>
      <c r="AQ35" s="249" t="str" cm="1">
        <f t="array" ref="AQ35">INDEX('Table S6 Recommended Values'!$A$10:$BF$398,MATCH(RAVs!$D35,'Table S6 Recommended Values'!$A$10:$A$398,0)+1,AQ$4)</f>
        <v>-</v>
      </c>
      <c r="AR35" s="330"/>
      <c r="AS35" s="343">
        <f>VLOOKUP(Table245[[#This Row],[Compound Name]],'Table S6 Recommended Values'!$A$10:$BF$398,RAVs!AS$4,FALSE)</f>
        <v>27</v>
      </c>
      <c r="AT35" s="249" cm="1">
        <f t="array" ref="AT35">INDEX('Table S6 Recommended Values'!$A$10:$BF$398,MATCH(RAVs!$D35,'Table S6 Recommended Values'!$A$10:$A$398,0)+1,AT$4)</f>
        <v>8.1</v>
      </c>
      <c r="AU35" s="330"/>
    </row>
    <row r="36" spans="2:47">
      <c r="B36" s="247" t="str">
        <f>'Table S2 Compound Identifiers'!C38</f>
        <v>OPE</v>
      </c>
      <c r="C36" s="247">
        <f>COUNTIF($D$6:D36,"&lt;&gt;"&amp;"")</f>
        <v>31</v>
      </c>
      <c r="D36" s="247" t="str">
        <f>'Table S2 Compound Identifiers'!B38</f>
        <v>TPhP</v>
      </c>
      <c r="E36" s="247" t="str">
        <f>VLOOKUP(RAVs!$D36,'Table S3 Literature Values'!$A$10:$AV$551,E$4,FALSE)</f>
        <v>115-86-6</v>
      </c>
      <c r="F36" s="248">
        <f>VLOOKUP(Table245[[#This Row],[Compound Name]],'Table S6 Recommended Values'!$A$10:$BD$398,RAVs!F$4,FALSE)</f>
        <v>96.525351286496502</v>
      </c>
      <c r="G36" s="249" cm="1">
        <f t="array" ref="G36">INDEX('Table S6 Recommended Values'!$A$10:$BD$398,MATCH(RAVs!$D36,'Table S6 Recommended Values'!$A$10:$A$398,0)+1,G$4)</f>
        <v>8.2494574387005706</v>
      </c>
      <c r="H36" s="330"/>
      <c r="I36" s="328">
        <f>VLOOKUP(Table245[[#This Row],[Compound Name]],'Table S6 Recommended Values'!$A$10:$BD$398,RAVs!I$4,FALSE)</f>
        <v>-0.47710166337975801</v>
      </c>
      <c r="J36" s="249" cm="1">
        <f t="array" ref="J36">INDEX('Table S6 Recommended Values'!$A$10:$BD$398,MATCH(RAVs!$D36,'Table S6 Recommended Values'!$A$10:$A$398,0)+1,J$4)</f>
        <v>14.627294627861801</v>
      </c>
      <c r="K36" s="330"/>
      <c r="L36" s="250">
        <f>VLOOKUP(Table245[[#This Row],[Compound Name]],'Table S6 Recommended Values'!$A$10:$BD$398,RAVs!L$4,FALSE)</f>
        <v>-0.94612756979999268</v>
      </c>
      <c r="M36" s="249" cm="1">
        <f t="array" ref="M36">INDEX('Table S6 Recommended Values'!$A$10:$BD$398,MATCH(RAVs!$D36,'Table S6 Recommended Values'!$A$10:$A$398,0)+1,M$4)</f>
        <v>10.038425921166825</v>
      </c>
      <c r="N36" s="330"/>
      <c r="O36" s="250">
        <f>VLOOKUP(Table245[[#This Row],[Compound Name]],'Table S6 Recommended Values'!$A$10:$BD$398,RAVs!O$4,FALSE)</f>
        <v>-95.080478856296494</v>
      </c>
      <c r="P36" s="249" cm="1">
        <f t="array" ref="P36">INDEX('Table S6 Recommended Values'!$A$10:$BD$398,MATCH(RAVs!$D36,'Table S6 Recommended Values'!$A$10:$A$398,0)+1,P$4)</f>
        <v>5.7198292755834803</v>
      </c>
      <c r="Q36" s="330"/>
      <c r="R36" s="250">
        <f>VLOOKUP(Table245[[#This Row],[Compound Name]],'Table S6 Recommended Values'!$A$10:$BD$398,RAVs!R$4,FALSE)</f>
        <v>94.612586759706105</v>
      </c>
      <c r="S36" s="249" cm="1">
        <f t="array" ref="S36">INDEX('Table S6 Recommended Values'!$A$10:$BD$398,MATCH(RAVs!$D36,'Table S6 Recommended Values'!$A$10:$A$398,0)+1,S$4)</f>
        <v>13.7807111557246</v>
      </c>
      <c r="T36" s="330"/>
      <c r="U36" s="250">
        <f>VLOOKUP(Table245[[#This Row],[Compound Name]],'Table S6 Recommended Values'!$A$10:$BD$398,RAVs!U$4,FALSE)</f>
        <v>-0.46738765859546899</v>
      </c>
      <c r="V36" s="249" cm="1">
        <f t="array" ref="V36">INDEX('Table S6 Recommended Values'!$A$10:$BD$398,MATCH(RAVs!$D36,'Table S6 Recommended Values'!$A$10:$A$398,0)+1,V$4)</f>
        <v>14.094738015638301</v>
      </c>
      <c r="W36" s="330"/>
      <c r="X36" s="343">
        <f>VLOOKUP(Table245[[#This Row],[Compound Name]],'Table S6 Recommended Values'!$A$10:$BF$398,RAVs!X$4,FALSE)</f>
        <v>10.1437089723089</v>
      </c>
      <c r="Y36" s="249" cm="1">
        <f t="array" ref="Y36">INDEX('Table S6 Recommended Values'!$A$10:$BF$398,MATCH(RAVs!$D36,'Table S6 Recommended Values'!$A$10:$A$398,0)+1,Y$4)</f>
        <v>0.18419213198604101</v>
      </c>
      <c r="Z36" s="330"/>
      <c r="AA36" s="343">
        <f>VLOOKUP(Table245[[#This Row],[Compound Name]],'Table S6 Recommended Values'!$A$10:$BF$398,RAVs!AA$4,FALSE)</f>
        <v>5.08948304776355</v>
      </c>
      <c r="AB36" s="249" cm="1">
        <f t="array" ref="AB36">INDEX('Table S6 Recommended Values'!$A$10:$BF$398,MATCH(RAVs!$D36,'Table S6 Recommended Values'!$A$10:$A$398,0)+1,AB$4)</f>
        <v>0.40475077460296499</v>
      </c>
      <c r="AC36" s="330"/>
      <c r="AD36" s="343">
        <f>VLOOKUP(Table245[[#This Row],[Compound Name]],'Table S6 Recommended Values'!$A$10:$BF$398,RAVs!AD$4,FALSE)</f>
        <v>-5.0352096385645098</v>
      </c>
      <c r="AE36" s="249" cm="1">
        <f t="array" ref="AE36">INDEX('Table S6 Recommended Values'!$A$10:$BF$398,MATCH(RAVs!$D36,'Table S6 Recommended Values'!$A$10:$A$398,0)+1,AE$4)</f>
        <v>0.39367003026625702</v>
      </c>
      <c r="AF36" s="330"/>
      <c r="AG36" s="343">
        <f>VLOOKUP(Table245[[#This Row],[Compound Name]],'Table S6 Recommended Values'!$A$10:$BF$398,RAVs!AG$4,FALSE)</f>
        <v>-3.972668896105477</v>
      </c>
      <c r="AH36" s="249" cm="1">
        <f t="array" ref="AH36">INDEX('Table S6 Recommended Values'!$A$10:$BF$398,MATCH(RAVs!$D36,'Table S6 Recommended Values'!$A$10:$A$398,0)+1,AH$4)</f>
        <v>0.35152626488980399</v>
      </c>
      <c r="AI36" s="330"/>
      <c r="AJ36" s="343">
        <f>VLOOKUP(Table245[[#This Row],[Compound Name]],'Table S6 Recommended Values'!$A$10:$BF$398,RAVs!AJ$4,FALSE)</f>
        <v>-2.3347669369443702</v>
      </c>
      <c r="AK36" s="249" cm="1">
        <f t="array" ref="AK36">INDEX('Table S6 Recommended Values'!$A$10:$BF$398,MATCH(RAVs!$D36,'Table S6 Recommended Values'!$A$10:$A$398,0)+1,AK$4)</f>
        <v>0.18478192595480999</v>
      </c>
      <c r="AL36" s="330"/>
      <c r="AM36" s="343">
        <f>VLOOKUP(Table245[[#This Row],[Compound Name]],'Table S6 Recommended Values'!$A$10:$BF$398,RAVs!AM$4,FALSE)</f>
        <v>2.7620150476966598</v>
      </c>
      <c r="AN36" s="249" cm="1">
        <f t="array" ref="AN36">INDEX('Table S6 Recommended Values'!$A$10:$BF$398,MATCH(RAVs!$D36,'Table S6 Recommended Values'!$A$10:$A$398,0)+1,AN$4)</f>
        <v>0.37090964440107899</v>
      </c>
      <c r="AO36" s="330"/>
      <c r="AP36" s="343">
        <f>VLOOKUP(Table245[[#This Row],[Compound Name]],'Table S6 Recommended Values'!$A$10:$BF$398,RAVs!AP$4,FALSE)</f>
        <v>91.84</v>
      </c>
      <c r="AQ36" s="249" cm="1">
        <f t="array" ref="AQ36">INDEX('Table S6 Recommended Values'!$A$10:$BF$398,MATCH(RAVs!$D36,'Table S6 Recommended Values'!$A$10:$A$398,0)+1,AQ$4)</f>
        <v>7.2387944533560509</v>
      </c>
      <c r="AR36" s="330"/>
      <c r="AS36" s="343">
        <f>VLOOKUP(Table245[[#This Row],[Compound Name]],'Table S6 Recommended Values'!$A$10:$BF$398,RAVs!AS$4,FALSE)</f>
        <v>49.708333333333336</v>
      </c>
      <c r="AT36" s="249" cm="1">
        <f t="array" ref="AT36">INDEX('Table S6 Recommended Values'!$A$10:$BF$398,MATCH(RAVs!$D36,'Table S6 Recommended Values'!$A$10:$A$398,0)+1,AT$4)</f>
        <v>0.6003471218109292</v>
      </c>
      <c r="AU36" s="330"/>
    </row>
    <row r="37" spans="2:47">
      <c r="B37" s="247" t="str">
        <f>'Table S2 Compound Identifiers'!C39</f>
        <v>OPE</v>
      </c>
      <c r="C37" s="247">
        <f>COUNTIF($D$6:D37,"&lt;&gt;"&amp;"")</f>
        <v>32</v>
      </c>
      <c r="D37" s="247" t="str">
        <f>'Table S2 Compound Identifiers'!B39</f>
        <v>TmCP</v>
      </c>
      <c r="E37" s="247" t="str">
        <f>VLOOKUP(RAVs!$D37,'Table S3 Literature Values'!$A$10:$AV$551,E$4,FALSE)</f>
        <v>563-04-2</v>
      </c>
      <c r="F37" s="248">
        <f>VLOOKUP(Table245[[#This Row],[Compound Name]],'Table S6 Recommended Values'!$A$10:$BD$398,RAVs!F$4,FALSE)</f>
        <v>110.91192280221</v>
      </c>
      <c r="G37" s="249" cm="1">
        <f t="array" ref="G37">INDEX('Table S6 Recommended Values'!$A$10:$BD$398,MATCH(RAVs!$D37,'Table S6 Recommended Values'!$A$10:$A$398,0)+1,G$4)</f>
        <v>7.7571973582389901</v>
      </c>
      <c r="H37" s="330"/>
      <c r="I37" s="328">
        <f>VLOOKUP(Table245[[#This Row],[Compound Name]],'Table S6 Recommended Values'!$A$10:$BD$398,RAVs!I$4,FALSE)</f>
        <v>-4.8854562078283701</v>
      </c>
      <c r="J37" s="249" cm="1">
        <f t="array" ref="J37">INDEX('Table S6 Recommended Values'!$A$10:$BD$398,MATCH(RAVs!$D37,'Table S6 Recommended Values'!$A$10:$A$398,0)+1,J$4)</f>
        <v>16.9796939662887</v>
      </c>
      <c r="K37" s="330"/>
      <c r="L37" s="250">
        <f>VLOOKUP(Table245[[#This Row],[Compound Name]],'Table S6 Recommended Values'!$A$10:$BD$398,RAVs!L$4,FALSE)</f>
        <v>4.976981565049007</v>
      </c>
      <c r="M37" s="249" cm="1">
        <f t="array" ref="M37">INDEX('Table S6 Recommended Values'!$A$10:$BD$398,MATCH(RAVs!$D37,'Table S6 Recommended Values'!$A$10:$A$398,0)+1,M$4)</f>
        <v>14.878703959425877</v>
      </c>
      <c r="N37" s="330"/>
      <c r="O37" s="250">
        <f>VLOOKUP(Table245[[#This Row],[Compound Name]],'Table S6 Recommended Values'!$A$10:$BD$398,RAVs!O$4,FALSE)</f>
        <v>-103.54394123716099</v>
      </c>
      <c r="P37" s="249" cm="1">
        <f t="array" ref="P37">INDEX('Table S6 Recommended Values'!$A$10:$BD$398,MATCH(RAVs!$D37,'Table S6 Recommended Values'!$A$10:$A$398,0)+1,P$4)</f>
        <v>12.696523959634201</v>
      </c>
      <c r="Q37" s="330"/>
      <c r="R37" s="250">
        <f>VLOOKUP(Table245[[#This Row],[Compound Name]],'Table S6 Recommended Values'!$A$10:$BD$398,RAVs!R$4,FALSE)</f>
        <v>113.408727079337</v>
      </c>
      <c r="S37" s="249" cm="1">
        <f t="array" ref="S37">INDEX('Table S6 Recommended Values'!$A$10:$BD$398,MATCH(RAVs!$D37,'Table S6 Recommended Values'!$A$10:$A$398,0)+1,S$4)</f>
        <v>16.504886501108601</v>
      </c>
      <c r="T37" s="330"/>
      <c r="U37" s="250">
        <f>VLOOKUP(Table245[[#This Row],[Compound Name]],'Table S6 Recommended Values'!$A$10:$BD$398,RAVs!U$4,FALSE)</f>
        <v>9.8639646336734792</v>
      </c>
      <c r="V37" s="249" cm="1">
        <f t="array" ref="V37">INDEX('Table S6 Recommended Values'!$A$10:$BD$398,MATCH(RAVs!$D37,'Table S6 Recommended Values'!$A$10:$A$398,0)+1,V$4)</f>
        <v>17.9312702962273</v>
      </c>
      <c r="W37" s="330"/>
      <c r="X37" s="343">
        <f>VLOOKUP(Table245[[#This Row],[Compound Name]],'Table S6 Recommended Values'!$A$10:$BF$398,RAVs!X$4,FALSE)</f>
        <v>10.9922228421326</v>
      </c>
      <c r="Y37" s="249" cm="1">
        <f t="array" ref="Y37">INDEX('Table S6 Recommended Values'!$A$10:$BF$398,MATCH(RAVs!$D37,'Table S6 Recommended Values'!$A$10:$A$398,0)+1,Y$4)</f>
        <v>0.26598278387722901</v>
      </c>
      <c r="Z37" s="330"/>
      <c r="AA37" s="343">
        <f>VLOOKUP(Table245[[#This Row],[Compound Name]],'Table S6 Recommended Values'!$A$10:$BF$398,RAVs!AA$4,FALSE)</f>
        <v>5.3814708812584104</v>
      </c>
      <c r="AB37" s="249" cm="1">
        <f t="array" ref="AB37">INDEX('Table S6 Recommended Values'!$A$10:$BF$398,MATCH(RAVs!$D37,'Table S6 Recommended Values'!$A$10:$A$398,0)+1,AB$4)</f>
        <v>1.2945070898078099</v>
      </c>
      <c r="AC37" s="330"/>
      <c r="AD37" s="343">
        <f>VLOOKUP(Table245[[#This Row],[Compound Name]],'Table S6 Recommended Values'!$A$10:$BF$398,RAVs!AD$4,FALSE)</f>
        <v>-5.6043064580003499</v>
      </c>
      <c r="AE37" s="249" cm="1">
        <f t="array" ref="AE37">INDEX('Table S6 Recommended Values'!$A$10:$BF$398,MATCH(RAVs!$D37,'Table S6 Recommended Values'!$A$10:$A$398,0)+1,AE$4)</f>
        <v>1.2793774377442999</v>
      </c>
      <c r="AF37" s="330"/>
      <c r="AG37" s="343">
        <f>VLOOKUP(Table245[[#This Row],[Compound Name]],'Table S6 Recommended Values'!$A$10:$BF$398,RAVs!AG$4,FALSE)</f>
        <v>-5.372274206395887</v>
      </c>
      <c r="AH37" s="249" cm="1">
        <f t="array" ref="AH37">INDEX('Table S6 Recommended Values'!$A$10:$BF$398,MATCH(RAVs!$D37,'Table S6 Recommended Values'!$A$10:$A$398,0)+1,AH$4)</f>
        <v>0.40069570587471998</v>
      </c>
      <c r="AI37" s="330"/>
      <c r="AJ37" s="343">
        <f>VLOOKUP(Table245[[#This Row],[Compound Name]],'Table S6 Recommended Values'!$A$10:$BF$398,RAVs!AJ$4,FALSE)</f>
        <v>-3.16330382764369</v>
      </c>
      <c r="AK37" s="249" cm="1">
        <f t="array" ref="AK37">INDEX('Table S6 Recommended Values'!$A$10:$BF$398,MATCH(RAVs!$D37,'Table S6 Recommended Values'!$A$10:$A$398,0)+1,AK$4)</f>
        <v>1.3112082217593699</v>
      </c>
      <c r="AL37" s="330"/>
      <c r="AM37" s="343">
        <f>VLOOKUP(Table245[[#This Row],[Compound Name]],'Table S6 Recommended Values'!$A$10:$BF$398,RAVs!AM$4,FALSE)</f>
        <v>2.21802878925513</v>
      </c>
      <c r="AN37" s="249" cm="1">
        <f t="array" ref="AN37">INDEX('Table S6 Recommended Values'!$A$10:$BF$398,MATCH(RAVs!$D37,'Table S6 Recommended Values'!$A$10:$A$398,0)+1,AN$4)</f>
        <v>0.356604357930287</v>
      </c>
      <c r="AO37" s="330"/>
      <c r="AP37" s="343" t="str">
        <f>VLOOKUP(Table245[[#This Row],[Compound Name]],'Table S6 Recommended Values'!$A$10:$BF$398,RAVs!AP$4,FALSE)</f>
        <v>-</v>
      </c>
      <c r="AQ37" s="249" t="str" cm="1">
        <f t="array" ref="AQ37">INDEX('Table S6 Recommended Values'!$A$10:$BF$398,MATCH(RAVs!$D37,'Table S6 Recommended Values'!$A$10:$A$398,0)+1,AQ$4)</f>
        <v>-</v>
      </c>
      <c r="AR37" s="330"/>
      <c r="AS37" s="343">
        <f>VLOOKUP(Table245[[#This Row],[Compound Name]],'Table S6 Recommended Values'!$A$10:$BF$398,RAVs!AS$4,FALSE)</f>
        <v>25.5</v>
      </c>
      <c r="AT37" s="249" cm="1">
        <f t="array" ref="AT37">INDEX('Table S6 Recommended Values'!$A$10:$BF$398,MATCH(RAVs!$D37,'Table S6 Recommended Values'!$A$10:$A$398,0)+1,AT$4)</f>
        <v>1.1772257883074695</v>
      </c>
      <c r="AU37" s="330"/>
    </row>
    <row r="38" spans="2:47">
      <c r="B38" s="247" t="str">
        <f>'Table S2 Compound Identifiers'!C40</f>
        <v>OPE</v>
      </c>
      <c r="C38" s="247">
        <f>COUNTIF($D$6:D38,"&lt;&gt;"&amp;"")</f>
        <v>33</v>
      </c>
      <c r="D38" s="247" t="str">
        <f>'Table S2 Compound Identifiers'!B40</f>
        <v>ToCP</v>
      </c>
      <c r="E38" s="247" t="str">
        <f>VLOOKUP(RAVs!$D38,'Table S3 Literature Values'!$A$10:$AV$551,E$4,FALSE)</f>
        <v>78-30-8</v>
      </c>
      <c r="F38" s="248">
        <f>VLOOKUP(Table245[[#This Row],[Compound Name]],'Table S6 Recommended Values'!$A$10:$BD$398,RAVs!F$4,FALSE)</f>
        <v>97.092321709317105</v>
      </c>
      <c r="G38" s="249" cm="1">
        <f t="array" ref="G38">INDEX('Table S6 Recommended Values'!$A$10:$BD$398,MATCH(RAVs!$D38,'Table S6 Recommended Values'!$A$10:$A$398,0)+1,G$4)</f>
        <v>7.1839535752281503</v>
      </c>
      <c r="H38" s="330"/>
      <c r="I38" s="328">
        <f>VLOOKUP(Table245[[#This Row],[Compound Name]],'Table S6 Recommended Values'!$A$10:$BD$398,RAVs!I$4,FALSE)</f>
        <v>-12.190104357339299</v>
      </c>
      <c r="J38" s="249" cm="1">
        <f t="array" ref="J38">INDEX('Table S6 Recommended Values'!$A$10:$BD$398,MATCH(RAVs!$D38,'Table S6 Recommended Values'!$A$10:$A$398,0)+1,J$4)</f>
        <v>22.442395118278998</v>
      </c>
      <c r="K38" s="330"/>
      <c r="L38" s="250">
        <f>VLOOKUP(Table245[[#This Row],[Compound Name]],'Table S6 Recommended Values'!$A$10:$BD$398,RAVs!L$4,FALSE)</f>
        <v>-4.5003100722873004</v>
      </c>
      <c r="M38" s="249" cm="1">
        <f t="array" ref="M38">INDEX('Table S6 Recommended Values'!$A$10:$BD$398,MATCH(RAVs!$D38,'Table S6 Recommended Values'!$A$10:$A$398,0)+1,M$4)</f>
        <v>18.203681764679228</v>
      </c>
      <c r="N38" s="330"/>
      <c r="O38" s="250">
        <f>VLOOKUP(Table245[[#This Row],[Compound Name]],'Table S6 Recommended Values'!$A$10:$BD$398,RAVs!O$4,FALSE)</f>
        <v>-99.201631781604405</v>
      </c>
      <c r="P38" s="249" cm="1">
        <f t="array" ref="P38">INDEX('Table S6 Recommended Values'!$A$10:$BD$398,MATCH(RAVs!$D38,'Table S6 Recommended Values'!$A$10:$A$398,0)+1,P$4)</f>
        <v>16.726172330174101</v>
      </c>
      <c r="Q38" s="330"/>
      <c r="R38" s="250">
        <f>VLOOKUP(Table245[[#This Row],[Compound Name]],'Table S6 Recommended Values'!$A$10:$BD$398,RAVs!R$4,FALSE)</f>
        <v>106.892627592979</v>
      </c>
      <c r="S38" s="249" cm="1">
        <f t="array" ref="S38">INDEX('Table S6 Recommended Values'!$A$10:$BD$398,MATCH(RAVs!$D38,'Table S6 Recommended Values'!$A$10:$A$398,0)+1,S$4)</f>
        <v>22.045282925919398</v>
      </c>
      <c r="T38" s="330"/>
      <c r="U38" s="250">
        <f>VLOOKUP(Table245[[#This Row],[Compound Name]],'Table S6 Recommended Values'!$A$10:$BD$398,RAVs!U$4,FALSE)</f>
        <v>7.6908419429430204</v>
      </c>
      <c r="V38" s="249" cm="1">
        <f t="array" ref="V38">INDEX('Table S6 Recommended Values'!$A$10:$BD$398,MATCH(RAVs!$D38,'Table S6 Recommended Values'!$A$10:$A$398,0)+1,V$4)</f>
        <v>23.967538005111699</v>
      </c>
      <c r="W38" s="330"/>
      <c r="X38" s="343">
        <f>VLOOKUP(Table245[[#This Row],[Compound Name]],'Table S6 Recommended Values'!$A$10:$BF$398,RAVs!X$4,FALSE)</f>
        <v>10.510470503697899</v>
      </c>
      <c r="Y38" s="249" cm="1">
        <f t="array" ref="Y38">INDEX('Table S6 Recommended Values'!$A$10:$BF$398,MATCH(RAVs!$D38,'Table S6 Recommended Values'!$A$10:$A$398,0)+1,Y$4)</f>
        <v>0.37059506359593902</v>
      </c>
      <c r="Z38" s="330"/>
      <c r="AA38" s="343">
        <f>VLOOKUP(Table245[[#This Row],[Compound Name]],'Table S6 Recommended Values'!$A$10:$BF$398,RAVs!AA$4,FALSE)</f>
        <v>5.0341736306121199</v>
      </c>
      <c r="AB38" s="249" cm="1">
        <f t="array" ref="AB38">INDEX('Table S6 Recommended Values'!$A$10:$BF$398,MATCH(RAVs!$D38,'Table S6 Recommended Values'!$A$10:$A$398,0)+1,AB$4)</f>
        <v>0.725407939300305</v>
      </c>
      <c r="AC38" s="330"/>
      <c r="AD38" s="343">
        <f>VLOOKUP(Table245[[#This Row],[Compound Name]],'Table S6 Recommended Values'!$A$10:$BF$398,RAVs!AD$4,FALSE)</f>
        <v>-5.4659037743424204</v>
      </c>
      <c r="AE38" s="249" cm="1">
        <f t="array" ref="AE38">INDEX('Table S6 Recommended Values'!$A$10:$BF$398,MATCH(RAVs!$D38,'Table S6 Recommended Values'!$A$10:$A$398,0)+1,AE$4)</f>
        <v>0.64856094233464001</v>
      </c>
      <c r="AF38" s="330"/>
      <c r="AG38" s="343">
        <f>VLOOKUP(Table245[[#This Row],[Compound Name]],'Table S6 Recommended Values'!$A$10:$BF$398,RAVs!AG$4,FALSE)</f>
        <v>-4.1799675354444572</v>
      </c>
      <c r="AH38" s="249" cm="1">
        <f t="array" ref="AH38">INDEX('Table S6 Recommended Values'!$A$10:$BF$398,MATCH(RAVs!$D38,'Table S6 Recommended Values'!$A$10:$A$398,0)+1,AH$4)</f>
        <v>0.30727489819487702</v>
      </c>
      <c r="AI38" s="330"/>
      <c r="AJ38" s="343">
        <f>VLOOKUP(Table245[[#This Row],[Compound Name]],'Table S6 Recommended Values'!$A$10:$BF$398,RAVs!AJ$4,FALSE)</f>
        <v>-2.1090519189126802</v>
      </c>
      <c r="AK38" s="249" cm="1">
        <f t="array" ref="AK38">INDEX('Table S6 Recommended Values'!$A$10:$BF$398,MATCH(RAVs!$D38,'Table S6 Recommended Values'!$A$10:$A$398,0)+1,AK$4)</f>
        <v>0.58951029438394797</v>
      </c>
      <c r="AL38" s="330"/>
      <c r="AM38" s="343">
        <f>VLOOKUP(Table245[[#This Row],[Compound Name]],'Table S6 Recommended Values'!$A$10:$BF$398,RAVs!AM$4,FALSE)</f>
        <v>2.9247099282012798</v>
      </c>
      <c r="AN38" s="249" cm="1">
        <f t="array" ref="AN38">INDEX('Table S6 Recommended Values'!$A$10:$BF$398,MATCH(RAVs!$D38,'Table S6 Recommended Values'!$A$10:$A$398,0)+1,AN$4)</f>
        <v>0.442429807026333</v>
      </c>
      <c r="AO38" s="330"/>
      <c r="AP38" s="343" t="str">
        <f>VLOOKUP(Table245[[#This Row],[Compound Name]],'Table S6 Recommended Values'!$A$10:$BF$398,RAVs!AP$4,FALSE)</f>
        <v>-</v>
      </c>
      <c r="AQ38" s="249" t="str" cm="1">
        <f t="array" ref="AQ38">INDEX('Table S6 Recommended Values'!$A$10:$BF$398,MATCH(RAVs!$D38,'Table S6 Recommended Values'!$A$10:$A$398,0)+1,AQ$4)</f>
        <v>-</v>
      </c>
      <c r="AR38" s="330"/>
      <c r="AS38" s="343">
        <f>VLOOKUP(Table245[[#This Row],[Compound Name]],'Table S6 Recommended Values'!$A$10:$BF$398,RAVs!AS$4,FALSE)</f>
        <v>-10.95</v>
      </c>
      <c r="AT38" s="249" cm="1">
        <f t="array" ref="AT38">INDEX('Table S6 Recommended Values'!$A$10:$BF$398,MATCH(RAVs!$D38,'Table S6 Recommended Values'!$A$10:$A$398,0)+1,AT$4)</f>
        <v>0.50551460321438391</v>
      </c>
      <c r="AU38" s="330"/>
    </row>
    <row r="39" spans="2:47">
      <c r="B39" s="247" t="str">
        <f>'Table S2 Compound Identifiers'!C41</f>
        <v>OPE</v>
      </c>
      <c r="C39" s="247">
        <f>COUNTIF($D$6:D39,"&lt;&gt;"&amp;"")</f>
        <v>34</v>
      </c>
      <c r="D39" s="247" t="str">
        <f>'Table S2 Compound Identifiers'!B41</f>
        <v>TpCP</v>
      </c>
      <c r="E39" s="247" t="str">
        <f>VLOOKUP(RAVs!$D39,'Table S3 Literature Values'!$A$10:$AV$551,E$4,FALSE)</f>
        <v>78-32-0</v>
      </c>
      <c r="F39" s="248">
        <f>VLOOKUP(Table245[[#This Row],[Compound Name]],'Table S6 Recommended Values'!$A$10:$BD$398,RAVs!F$4,FALSE)</f>
        <v>107.64307648671401</v>
      </c>
      <c r="G39" s="249" cm="1">
        <f t="array" ref="G39">INDEX('Table S6 Recommended Values'!$A$10:$BD$398,MATCH(RAVs!$D39,'Table S6 Recommended Values'!$A$10:$A$398,0)+1,G$4)</f>
        <v>4.0607392332593903</v>
      </c>
      <c r="H39" s="330"/>
      <c r="I39" s="328">
        <f>VLOOKUP(Table245[[#This Row],[Compound Name]],'Table S6 Recommended Values'!$A$10:$BD$398,RAVs!I$4,FALSE)</f>
        <v>-7.8054514424625898</v>
      </c>
      <c r="J39" s="249" cm="1">
        <f t="array" ref="J39">INDEX('Table S6 Recommended Values'!$A$10:$BD$398,MATCH(RAVs!$D39,'Table S6 Recommended Values'!$A$10:$A$398,0)+1,J$4)</f>
        <v>17.276016725628399</v>
      </c>
      <c r="K39" s="330"/>
      <c r="L39" s="250">
        <f>VLOOKUP(Table245[[#This Row],[Compound Name]],'Table S6 Recommended Values'!$A$10:$BD$398,RAVs!L$4,FALSE)</f>
        <v>-5.2851275388997365E-2</v>
      </c>
      <c r="M39" s="249" cm="1">
        <f t="array" ref="M39">INDEX('Table S6 Recommended Values'!$A$10:$BD$398,MATCH(RAVs!$D39,'Table S6 Recommended Values'!$A$10:$A$398,0)+1,M$4)</f>
        <v>13.811791033021484</v>
      </c>
      <c r="N39" s="330"/>
      <c r="O39" s="250">
        <f>VLOOKUP(Table245[[#This Row],[Compound Name]],'Table S6 Recommended Values'!$A$10:$BD$398,RAVs!O$4,FALSE)</f>
        <v>-105.30492776210301</v>
      </c>
      <c r="P39" s="249" cm="1">
        <f t="array" ref="P39">INDEX('Table S6 Recommended Values'!$A$10:$BD$398,MATCH(RAVs!$D39,'Table S6 Recommended Values'!$A$10:$A$398,0)+1,P$4)</f>
        <v>13.201362369820799</v>
      </c>
      <c r="Q39" s="330"/>
      <c r="R39" s="250">
        <f>VLOOKUP(Table245[[#This Row],[Compound Name]],'Table S6 Recommended Values'!$A$10:$BD$398,RAVs!R$4,FALSE)</f>
        <v>113.057867691854</v>
      </c>
      <c r="S39" s="249" cm="1">
        <f t="array" ref="S39">INDEX('Table S6 Recommended Values'!$A$10:$BD$398,MATCH(RAVs!$D39,'Table S6 Recommended Values'!$A$10:$A$398,0)+1,S$4)</f>
        <v>17.145896078044998</v>
      </c>
      <c r="T39" s="330"/>
      <c r="U39" s="250">
        <f>VLOOKUP(Table245[[#This Row],[Compound Name]],'Table S6 Recommended Values'!$A$10:$BD$398,RAVs!U$4,FALSE)</f>
        <v>7.7533495524253704</v>
      </c>
      <c r="V39" s="249" cm="1">
        <f t="array" ref="V39">INDEX('Table S6 Recommended Values'!$A$10:$BD$398,MATCH(RAVs!$D39,'Table S6 Recommended Values'!$A$10:$A$398,0)+1,V$4)</f>
        <v>18.705119260798899</v>
      </c>
      <c r="W39" s="330"/>
      <c r="X39" s="343">
        <f>VLOOKUP(Table245[[#This Row],[Compound Name]],'Table S6 Recommended Values'!$A$10:$BF$398,RAVs!X$4,FALSE)</f>
        <v>11.1704965678588</v>
      </c>
      <c r="Y39" s="249" cm="1">
        <f t="array" ref="Y39">INDEX('Table S6 Recommended Values'!$A$10:$BF$398,MATCH(RAVs!$D39,'Table S6 Recommended Values'!$A$10:$A$398,0)+1,Y$4)</f>
        <v>0.33383528484358199</v>
      </c>
      <c r="Z39" s="330"/>
      <c r="AA39" s="343">
        <f>VLOOKUP(Table245[[#This Row],[Compound Name]],'Table S6 Recommended Values'!$A$10:$BF$398,RAVs!AA$4,FALSE)</f>
        <v>5.9746348845728203</v>
      </c>
      <c r="AB39" s="249" cm="1">
        <f t="array" ref="AB39">INDEX('Table S6 Recommended Values'!$A$10:$BF$398,MATCH(RAVs!$D39,'Table S6 Recommended Values'!$A$10:$A$398,0)+1,AB$4)</f>
        <v>0.95599155862081797</v>
      </c>
      <c r="AC39" s="330"/>
      <c r="AD39" s="343">
        <f>VLOOKUP(Table245[[#This Row],[Compound Name]],'Table S6 Recommended Values'!$A$10:$BF$398,RAVs!AD$4,FALSE)</f>
        <v>-5.1883703659471498</v>
      </c>
      <c r="AE39" s="249" cm="1">
        <f t="array" ref="AE39">INDEX('Table S6 Recommended Values'!$A$10:$BF$398,MATCH(RAVs!$D39,'Table S6 Recommended Values'!$A$10:$A$398,0)+1,AE$4)</f>
        <v>0.921804954070086</v>
      </c>
      <c r="AF39" s="330"/>
      <c r="AG39" s="343">
        <f>VLOOKUP(Table245[[#This Row],[Compound Name]],'Table S6 Recommended Values'!$A$10:$BF$398,RAVs!AG$4,FALSE)</f>
        <v>-5.2057728627350066</v>
      </c>
      <c r="AH39" s="249" cm="1">
        <f t="array" ref="AH39">INDEX('Table S6 Recommended Values'!$A$10:$BF$398,MATCH(RAVs!$D39,'Table S6 Recommended Values'!$A$10:$A$398,0)+1,AH$4)</f>
        <v>0.426474336845723</v>
      </c>
      <c r="AI39" s="330"/>
      <c r="AJ39" s="343">
        <f>VLOOKUP(Table245[[#This Row],[Compound Name]],'Table S6 Recommended Values'!$A$10:$BF$398,RAVs!AJ$4,FALSE)</f>
        <v>-3.4137933893553201</v>
      </c>
      <c r="AK39" s="249" cm="1">
        <f t="array" ref="AK39">INDEX('Table S6 Recommended Values'!$A$10:$BF$398,MATCH(RAVs!$D39,'Table S6 Recommended Values'!$A$10:$A$398,0)+1,AK$4)</f>
        <v>0.89268628033278596</v>
      </c>
      <c r="AL39" s="330"/>
      <c r="AM39" s="343">
        <f>VLOOKUP(Table245[[#This Row],[Compound Name]],'Table S6 Recommended Values'!$A$10:$BF$398,RAVs!AM$4,FALSE)</f>
        <v>2.5618336911401798</v>
      </c>
      <c r="AN39" s="249" cm="1">
        <f t="array" ref="AN39">INDEX('Table S6 Recommended Values'!$A$10:$BF$398,MATCH(RAVs!$D39,'Table S6 Recommended Values'!$A$10:$A$398,0)+1,AN$4)</f>
        <v>0.47073837714737399</v>
      </c>
      <c r="AO39" s="330"/>
      <c r="AP39" s="343" t="str">
        <f>VLOOKUP(Table245[[#This Row],[Compound Name]],'Table S6 Recommended Values'!$A$10:$BF$398,RAVs!AP$4,FALSE)</f>
        <v>-</v>
      </c>
      <c r="AQ39" s="249" t="str" cm="1">
        <f t="array" ref="AQ39">INDEX('Table S6 Recommended Values'!$A$10:$BF$398,MATCH(RAVs!$D39,'Table S6 Recommended Values'!$A$10:$A$398,0)+1,AQ$4)</f>
        <v>-</v>
      </c>
      <c r="AR39" s="330"/>
      <c r="AS39" s="343">
        <f>VLOOKUP(Table245[[#This Row],[Compound Name]],'Table S6 Recommended Values'!$A$10:$BF$398,RAVs!AS$4,FALSE)</f>
        <v>76.875</v>
      </c>
      <c r="AT39" s="249" cm="1">
        <f t="array" ref="AT39">INDEX('Table S6 Recommended Values'!$A$10:$BF$398,MATCH(RAVs!$D39,'Table S6 Recommended Values'!$A$10:$A$398,0)+1,AT$4)</f>
        <v>0.62915286960589578</v>
      </c>
      <c r="AU39" s="330"/>
    </row>
    <row r="40" spans="2:47">
      <c r="B40" s="247" t="str">
        <f>'Table S2 Compound Identifiers'!C42</f>
        <v>OPE</v>
      </c>
      <c r="C40" s="247">
        <f>COUNTIF($D$6:D40,"&lt;&gt;"&amp;"")</f>
        <v>35</v>
      </c>
      <c r="D40" s="247" t="str">
        <f>'Table S2 Compound Identifiers'!B42</f>
        <v>TBOEP</v>
      </c>
      <c r="E40" s="247" t="str">
        <f>VLOOKUP(RAVs!$D40,'Table S3 Literature Values'!$A$10:$AV$551,E$4,FALSE)</f>
        <v>78-51-3</v>
      </c>
      <c r="F40" s="248">
        <f>VLOOKUP(Table245[[#This Row],[Compound Name]],'Table S6 Recommended Values'!$A$10:$BD$398,RAVs!F$4,FALSE)</f>
        <v>106.59011494369601</v>
      </c>
      <c r="G40" s="249" cm="1">
        <f t="array" ref="G40">INDEX('Table S6 Recommended Values'!$A$10:$BD$398,MATCH(RAVs!$D40,'Table S6 Recommended Values'!$A$10:$A$398,0)+1,G$4)</f>
        <v>3.9670191136742501</v>
      </c>
      <c r="H40" s="330"/>
      <c r="I40" s="328">
        <f>VLOOKUP(Table245[[#This Row],[Compound Name]],'Table S6 Recommended Values'!$A$10:$BD$398,RAVs!I$4,FALSE)</f>
        <v>-36.8834297139908</v>
      </c>
      <c r="J40" s="249" cm="1">
        <f t="array" ref="J40">INDEX('Table S6 Recommended Values'!$A$10:$BD$398,MATCH(RAVs!$D40,'Table S6 Recommended Values'!$A$10:$A$398,0)+1,J$4)</f>
        <v>16.687331780978599</v>
      </c>
      <c r="K40" s="330"/>
      <c r="L40" s="250">
        <f>VLOOKUP(Table245[[#This Row],[Compound Name]],'Table S6 Recommended Values'!$A$10:$BD$398,RAVs!L$4,FALSE)</f>
        <v>-4.518508762599005E-2</v>
      </c>
      <c r="M40" s="249" cm="1">
        <f t="array" ref="M40">INDEX('Table S6 Recommended Values'!$A$10:$BD$398,MATCH(RAVs!$D40,'Table S6 Recommended Values'!$A$10:$A$398,0)+1,M$4)</f>
        <v>8.3347383562734851</v>
      </c>
      <c r="N40" s="330"/>
      <c r="O40" s="250">
        <f>VLOOKUP(Table245[[#This Row],[Compound Name]],'Table S6 Recommended Values'!$A$10:$BD$398,RAVs!O$4,FALSE)</f>
        <v>-104.244300031322</v>
      </c>
      <c r="P40" s="249" cm="1">
        <f t="array" ref="P40">INDEX('Table S6 Recommended Values'!$A$10:$BD$398,MATCH(RAVs!$D40,'Table S6 Recommended Values'!$A$10:$A$398,0)+1,P$4)</f>
        <v>7.33011751742628</v>
      </c>
      <c r="Q40" s="330"/>
      <c r="R40" s="250">
        <f>VLOOKUP(Table245[[#This Row],[Compound Name]],'Table S6 Recommended Values'!$A$10:$BD$398,RAVs!R$4,FALSE)</f>
        <v>141.08284426786199</v>
      </c>
      <c r="S40" s="249" cm="1">
        <f t="array" ref="S40">INDEX('Table S6 Recommended Values'!$A$10:$BD$398,MATCH(RAVs!$D40,'Table S6 Recommended Values'!$A$10:$A$398,0)+1,S$4)</f>
        <v>16.4416062067551</v>
      </c>
      <c r="T40" s="330"/>
      <c r="U40" s="250">
        <f>VLOOKUP(Table245[[#This Row],[Compound Name]],'Table S6 Recommended Values'!$A$10:$BD$398,RAVs!U$4,FALSE)</f>
        <v>36.836780390613903</v>
      </c>
      <c r="V40" s="249" cm="1">
        <f t="array" ref="V40">INDEX('Table S6 Recommended Values'!$A$10:$BD$398,MATCH(RAVs!$D40,'Table S6 Recommended Values'!$A$10:$A$398,0)+1,V$4)</f>
        <v>16.420896595875401</v>
      </c>
      <c r="W40" s="330"/>
      <c r="X40" s="343">
        <f>VLOOKUP(Table245[[#This Row],[Compound Name]],'Table S6 Recommended Values'!$A$10:$BF$398,RAVs!X$4,FALSE)</f>
        <v>11.34473230111</v>
      </c>
      <c r="Y40" s="249" cm="1">
        <f t="array" ref="Y40">INDEX('Table S6 Recommended Values'!$A$10:$BF$398,MATCH(RAVs!$D40,'Table S6 Recommended Values'!$A$10:$A$398,0)+1,Y$4)</f>
        <v>0.36239246559122001</v>
      </c>
      <c r="Z40" s="330"/>
      <c r="AA40" s="343">
        <f>VLOOKUP(Table245[[#This Row],[Compound Name]],'Table S6 Recommended Values'!$A$10:$BF$398,RAVs!AA$4,FALSE)</f>
        <v>3.3588455809579898</v>
      </c>
      <c r="AB40" s="249" cm="1">
        <f t="array" ref="AB40">INDEX('Table S6 Recommended Values'!$A$10:$BF$398,MATCH(RAVs!$D40,'Table S6 Recommended Values'!$A$10:$A$398,0)+1,AB$4)</f>
        <v>0.37059414815657499</v>
      </c>
      <c r="AC40" s="330"/>
      <c r="AD40" s="343">
        <f>VLOOKUP(Table245[[#This Row],[Compound Name]],'Table S6 Recommended Values'!$A$10:$BF$398,RAVs!AD$4,FALSE)</f>
        <v>-8.0147843022765404</v>
      </c>
      <c r="AE40" s="249" cm="1">
        <f t="array" ref="AE40">INDEX('Table S6 Recommended Values'!$A$10:$BF$398,MATCH(RAVs!$D40,'Table S6 Recommended Values'!$A$10:$A$398,0)+1,AE$4)</f>
        <v>0.31146176920521601</v>
      </c>
      <c r="AF40" s="330"/>
      <c r="AG40" s="343">
        <f>VLOOKUP(Table245[[#This Row],[Compound Name]],'Table S6 Recommended Values'!$A$10:$BF$398,RAVs!AG$4,FALSE)</f>
        <v>-4.4485994688171475</v>
      </c>
      <c r="AH40" s="249" cm="1">
        <f t="array" ref="AH40">INDEX('Table S6 Recommended Values'!$A$10:$BF$398,MATCH(RAVs!$D40,'Table S6 Recommended Values'!$A$10:$A$398,0)+1,AH$4)</f>
        <v>0.24647375543402</v>
      </c>
      <c r="AI40" s="330"/>
      <c r="AJ40" s="343">
        <f>VLOOKUP(Table245[[#This Row],[Compound Name]],'Table S6 Recommended Values'!$A$10:$BF$398,RAVs!AJ$4,FALSE)</f>
        <v>0.170117145424658</v>
      </c>
      <c r="AK40" s="249" cm="1">
        <f t="array" ref="AK40">INDEX('Table S6 Recommended Values'!$A$10:$BF$398,MATCH(RAVs!$D40,'Table S6 Recommended Values'!$A$10:$A$398,0)+1,AK$4)</f>
        <v>0.18851461584253401</v>
      </c>
      <c r="AL40" s="330"/>
      <c r="AM40" s="343">
        <f>VLOOKUP(Table245[[#This Row],[Compound Name]],'Table S6 Recommended Values'!$A$10:$BF$398,RAVs!AM$4,FALSE)</f>
        <v>3.5143051661131799</v>
      </c>
      <c r="AN40" s="249" cm="1">
        <f t="array" ref="AN40">INDEX('Table S6 Recommended Values'!$A$10:$BF$398,MATCH(RAVs!$D40,'Table S6 Recommended Values'!$A$10:$A$398,0)+1,AN$4)</f>
        <v>0.36154235056268202</v>
      </c>
      <c r="AO40" s="330"/>
      <c r="AP40" s="343" t="str">
        <f>VLOOKUP(Table245[[#This Row],[Compound Name]],'Table S6 Recommended Values'!$A$10:$BF$398,RAVs!AP$4,FALSE)</f>
        <v>-</v>
      </c>
      <c r="AQ40" s="249" t="str" cm="1">
        <f t="array" ref="AQ40">INDEX('Table S6 Recommended Values'!$A$10:$BF$398,MATCH(RAVs!$D40,'Table S6 Recommended Values'!$A$10:$A$398,0)+1,AQ$4)</f>
        <v>-</v>
      </c>
      <c r="AR40" s="330"/>
      <c r="AS40" s="343">
        <f>VLOOKUP(Table245[[#This Row],[Compound Name]],'Table S6 Recommended Values'!$A$10:$BF$398,RAVs!AS$4,FALSE)</f>
        <v>-70</v>
      </c>
      <c r="AT40" s="249" cm="1">
        <f t="array" ref="AT40">INDEX('Table S6 Recommended Values'!$A$10:$BF$398,MATCH(RAVs!$D40,'Table S6 Recommended Values'!$A$10:$A$398,0)+1,AT$4)</f>
        <v>3.2316002031969751</v>
      </c>
      <c r="AU40" s="330"/>
    </row>
    <row r="41" spans="2:47">
      <c r="B41" s="247" t="str">
        <f>'Table S2 Compound Identifiers'!C43</f>
        <v>OPE</v>
      </c>
      <c r="C41" s="247">
        <f>COUNTIF($D$6:D41,"&lt;&gt;"&amp;"")</f>
        <v>36</v>
      </c>
      <c r="D41" s="247" t="str">
        <f>'Table S2 Compound Identifiers'!B43</f>
        <v>TEHP</v>
      </c>
      <c r="E41" s="247" t="str">
        <f>VLOOKUP(RAVs!$D41,'Table S3 Literature Values'!$A$10:$AV$551,E$4,FALSE)</f>
        <v>78-42-2</v>
      </c>
      <c r="F41" s="248">
        <f>VLOOKUP(Table245[[#This Row],[Compound Name]],'Table S6 Recommended Values'!$A$10:$BD$398,RAVs!F$4,FALSE)</f>
        <v>108.94020205764801</v>
      </c>
      <c r="G41" s="249" cm="1">
        <f t="array" ref="G41">INDEX('Table S6 Recommended Values'!$A$10:$BD$398,MATCH(RAVs!$D41,'Table S6 Recommended Values'!$A$10:$A$398,0)+1,G$4)</f>
        <v>3.0116323968521801</v>
      </c>
      <c r="H41" s="330"/>
      <c r="I41" s="328">
        <f>VLOOKUP(Table245[[#This Row],[Compound Name]],'Table S6 Recommended Values'!$A$10:$BD$398,RAVs!I$4,FALSE)</f>
        <v>-18.990522119774798</v>
      </c>
      <c r="J41" s="249" cm="1">
        <f t="array" ref="J41">INDEX('Table S6 Recommended Values'!$A$10:$BD$398,MATCH(RAVs!$D41,'Table S6 Recommended Values'!$A$10:$A$398,0)+1,J$4)</f>
        <v>17.544004299744799</v>
      </c>
      <c r="K41" s="330"/>
      <c r="L41" s="250">
        <f>VLOOKUP(Table245[[#This Row],[Compound Name]],'Table S6 Recommended Values'!$A$10:$BD$398,RAVs!L$4,FALSE)</f>
        <v>0.63811741136500721</v>
      </c>
      <c r="M41" s="249" cm="1">
        <f t="array" ref="M41">INDEX('Table S6 Recommended Values'!$A$10:$BD$398,MATCH(RAVs!$D41,'Table S6 Recommended Values'!$A$10:$A$398,0)+1,M$4)</f>
        <v>6.2969464796139576</v>
      </c>
      <c r="N41" s="330"/>
      <c r="O41" s="250">
        <f>VLOOKUP(Table245[[#This Row],[Compound Name]],'Table S6 Recommended Values'!$A$10:$BD$398,RAVs!O$4,FALSE)</f>
        <v>-105.911084646283</v>
      </c>
      <c r="P41" s="249" cm="1">
        <f t="array" ref="P41">INDEX('Table S6 Recommended Values'!$A$10:$BD$398,MATCH(RAVs!$D41,'Table S6 Recommended Values'!$A$10:$A$398,0)+1,P$4)</f>
        <v>5.5300637675666096</v>
      </c>
      <c r="Q41" s="330"/>
      <c r="R41" s="250">
        <f>VLOOKUP(Table245[[#This Row],[Compound Name]],'Table S6 Recommended Values'!$A$10:$BD$398,RAVs!R$4,FALSE)</f>
        <v>125.539875471727</v>
      </c>
      <c r="S41" s="249" cm="1">
        <f t="array" ref="S41">INDEX('Table S6 Recommended Values'!$A$10:$BD$398,MATCH(RAVs!$D41,'Table S6 Recommended Values'!$A$10:$A$398,0)+1,S$4)</f>
        <v>17.5066161429435</v>
      </c>
      <c r="T41" s="330"/>
      <c r="U41" s="250">
        <f>VLOOKUP(Table245[[#This Row],[Compound Name]],'Table S6 Recommended Values'!$A$10:$BD$398,RAVs!U$4,FALSE)</f>
        <v>19.6285432584794</v>
      </c>
      <c r="V41" s="249" cm="1">
        <f t="array" ref="V41">INDEX('Table S6 Recommended Values'!$A$10:$BD$398,MATCH(RAVs!$D41,'Table S6 Recommended Values'!$A$10:$A$398,0)+1,V$4)</f>
        <v>17.770898815119299</v>
      </c>
      <c r="W41" s="330"/>
      <c r="X41" s="343">
        <f>VLOOKUP(Table245[[#This Row],[Compound Name]],'Table S6 Recommended Values'!$A$10:$BF$398,RAVs!X$4,FALSE)</f>
        <v>11.0590439410028</v>
      </c>
      <c r="Y41" s="249" cm="1">
        <f t="array" ref="Y41">INDEX('Table S6 Recommended Values'!$A$10:$BF$398,MATCH(RAVs!$D41,'Table S6 Recommended Values'!$A$10:$A$398,0)+1,Y$4)</f>
        <v>0.55019933226354401</v>
      </c>
      <c r="Z41" s="330"/>
      <c r="AA41" s="343">
        <f>VLOOKUP(Table245[[#This Row],[Compound Name]],'Table S6 Recommended Values'!$A$10:$BF$398,RAVs!AA$4,FALSE)</f>
        <v>4.7952697283301902</v>
      </c>
      <c r="AB41" s="249" cm="1">
        <f t="array" ref="AB41">INDEX('Table S6 Recommended Values'!$A$10:$BF$398,MATCH(RAVs!$D41,'Table S6 Recommended Values'!$A$10:$A$398,0)+1,AB$4)</f>
        <v>0.65912645492498301</v>
      </c>
      <c r="AC41" s="330"/>
      <c r="AD41" s="343">
        <f>VLOOKUP(Table245[[#This Row],[Compound Name]],'Table S6 Recommended Values'!$A$10:$BF$398,RAVs!AD$4,FALSE)</f>
        <v>-6.2493075093043799</v>
      </c>
      <c r="AE41" s="249" cm="1">
        <f t="array" ref="AE41">INDEX('Table S6 Recommended Values'!$A$10:$BF$398,MATCH(RAVs!$D41,'Table S6 Recommended Values'!$A$10:$A$398,0)+1,AE$4)</f>
        <v>0.83904501249982699</v>
      </c>
      <c r="AF41" s="330"/>
      <c r="AG41" s="343">
        <f>VLOOKUP(Table245[[#This Row],[Compound Name]],'Table S6 Recommended Values'!$A$10:$BF$398,RAVs!AG$4,FALSE)</f>
        <v>-4.6753114229205481</v>
      </c>
      <c r="AH41" s="249" cm="1">
        <f t="array" ref="AH41">INDEX('Table S6 Recommended Values'!$A$10:$BF$398,MATCH(RAVs!$D41,'Table S6 Recommended Values'!$A$10:$A$398,0)+1,AH$4)</f>
        <v>0.272679987726759</v>
      </c>
      <c r="AI41" s="330"/>
      <c r="AJ41" s="343">
        <f>VLOOKUP(Table245[[#This Row],[Compound Name]],'Table S6 Recommended Values'!$A$10:$BF$398,RAVs!AJ$4,FALSE)</f>
        <v>-1.8183989381308201</v>
      </c>
      <c r="AK41" s="249" cm="1">
        <f t="array" ref="AK41">INDEX('Table S6 Recommended Values'!$A$10:$BF$398,MATCH(RAVs!$D41,'Table S6 Recommended Values'!$A$10:$A$398,0)+1,AK$4)</f>
        <v>0.86867806109357204</v>
      </c>
      <c r="AL41" s="330"/>
      <c r="AM41" s="343">
        <f>VLOOKUP(Table245[[#This Row],[Compound Name]],'Table S6 Recommended Values'!$A$10:$BF$398,RAVs!AM$4,FALSE)</f>
        <v>2.9836964584948098</v>
      </c>
      <c r="AN41" s="249" cm="1">
        <f t="array" ref="AN41">INDEX('Table S6 Recommended Values'!$A$10:$BF$398,MATCH(RAVs!$D41,'Table S6 Recommended Values'!$A$10:$A$398,0)+1,AN$4)</f>
        <v>0.61313949865947304</v>
      </c>
      <c r="AO41" s="330"/>
      <c r="AP41" s="343" t="str">
        <f>VLOOKUP(Table245[[#This Row],[Compound Name]],'Table S6 Recommended Values'!$A$10:$BF$398,RAVs!AP$4,FALSE)</f>
        <v>-</v>
      </c>
      <c r="AQ41" s="249" t="str" cm="1">
        <f t="array" ref="AQ41">INDEX('Table S6 Recommended Values'!$A$10:$BF$398,MATCH(RAVs!$D41,'Table S6 Recommended Values'!$A$10:$A$398,0)+1,AQ$4)</f>
        <v>-</v>
      </c>
      <c r="AR41" s="330"/>
      <c r="AS41" s="343">
        <f>VLOOKUP(Table245[[#This Row],[Compound Name]],'Table S6 Recommended Values'!$A$10:$BF$398,RAVs!AS$4,FALSE)</f>
        <v>-72</v>
      </c>
      <c r="AT41" s="249" cm="1">
        <f t="array" ref="AT41">INDEX('Table S6 Recommended Values'!$A$10:$BF$398,MATCH(RAVs!$D41,'Table S6 Recommended Values'!$A$10:$A$398,0)+1,AT$4)</f>
        <v>2.8284271247461903</v>
      </c>
      <c r="AU41" s="330"/>
    </row>
    <row r="42" spans="2:47">
      <c r="B42" s="247" t="str">
        <f>'Table S2 Compound Identifiers'!C44</f>
        <v>OPE</v>
      </c>
      <c r="C42" s="247">
        <f>COUNTIF($D$6:D42,"&lt;&gt;"&amp;"")</f>
        <v>37</v>
      </c>
      <c r="D42" s="247" t="str">
        <f>'Table S2 Compound Identifiers'!B44</f>
        <v>TTBPP</v>
      </c>
      <c r="E42" s="247" t="str">
        <f>VLOOKUP(RAVs!$D42,'Table S3 Literature Values'!$A$10:$AV$551,E$4,FALSE)</f>
        <v>78-33-1</v>
      </c>
      <c r="F42" s="248">
        <f>VLOOKUP(Table245[[#This Row],[Compound Name]],'Table S6 Recommended Values'!$A$10:$BD$398,RAVs!F$4,FALSE)</f>
        <v>140.00434609701898</v>
      </c>
      <c r="G42" s="249" cm="1">
        <f t="array" ref="G42">INDEX('Table S6 Recommended Values'!$A$10:$BD$398,MATCH(RAVs!$D42,'Table S6 Recommended Values'!$A$10:$A$398,0)+1,G$4)</f>
        <v>14.7009975627518</v>
      </c>
      <c r="H42" s="330"/>
      <c r="I42" s="328">
        <f>VLOOKUP(Table245[[#This Row],[Compound Name]],'Table S6 Recommended Values'!$A$10:$BD$398,RAVs!I$4,FALSE)</f>
        <v>-8.4847140862309693</v>
      </c>
      <c r="J42" s="249" cm="1">
        <f t="array" ref="J42">INDEX('Table S6 Recommended Values'!$A$10:$BD$398,MATCH(RAVs!$D42,'Table S6 Recommended Values'!$A$10:$A$398,0)+1,J$4)</f>
        <v>21.907950993609902</v>
      </c>
      <c r="K42" s="330"/>
      <c r="L42" s="250">
        <f>VLOOKUP(Table245[[#This Row],[Compound Name]],'Table S6 Recommended Values'!$A$10:$BD$398,RAVs!L$4,FALSE)</f>
        <v>-3.9322011012700191</v>
      </c>
      <c r="M42" s="249" cm="1">
        <f t="array" ref="M42">INDEX('Table S6 Recommended Values'!$A$10:$BD$398,MATCH(RAVs!$D42,'Table S6 Recommended Values'!$A$10:$A$398,0)+1,M$4)</f>
        <v>28.522583087117631</v>
      </c>
      <c r="N42" s="330"/>
      <c r="O42" s="250">
        <f>VLOOKUP(Table245[[#This Row],[Compound Name]],'Table S6 Recommended Values'!$A$10:$BD$398,RAVs!O$4,FALSE)</f>
        <v>-141.545547198289</v>
      </c>
      <c r="P42" s="249" cm="1">
        <f t="array" ref="P42">INDEX('Table S6 Recommended Values'!$A$10:$BD$398,MATCH(RAVs!$D42,'Table S6 Recommended Values'!$A$10:$A$398,0)+1,P$4)</f>
        <v>24.442144272168399</v>
      </c>
      <c r="Q42" s="330"/>
      <c r="R42" s="250">
        <f>VLOOKUP(Table245[[#This Row],[Compound Name]],'Table S6 Recommended Values'!$A$10:$BD$398,RAVs!R$4,FALSE)</f>
        <v>146.098112447809</v>
      </c>
      <c r="S42" s="249" cm="1">
        <f t="array" ref="S42">INDEX('Table S6 Recommended Values'!$A$10:$BD$398,MATCH(RAVs!$D42,'Table S6 Recommended Values'!$A$10:$A$398,0)+1,S$4)</f>
        <v>20.7941084075091</v>
      </c>
      <c r="T42" s="330"/>
      <c r="U42" s="250">
        <f>VLOOKUP(Table245[[#This Row],[Compound Name]],'Table S6 Recommended Values'!$A$10:$BD$398,RAVs!U$4,FALSE)</f>
        <v>4.55344945150134</v>
      </c>
      <c r="V42" s="249" cm="1">
        <f t="array" ref="V42">INDEX('Table S6 Recommended Values'!$A$10:$BD$398,MATCH(RAVs!$D42,'Table S6 Recommended Values'!$A$10:$A$398,0)+1,V$4)</f>
        <v>24.551806712611299</v>
      </c>
      <c r="W42" s="330"/>
      <c r="X42" s="343">
        <f>VLOOKUP(Table245[[#This Row],[Compound Name]],'Table S6 Recommended Values'!$A$10:$BF$398,RAVs!X$4,FALSE)</f>
        <v>12.045189367444999</v>
      </c>
      <c r="Y42" s="249" cm="1">
        <f t="array" ref="Y42">INDEX('Table S6 Recommended Values'!$A$10:$BF$398,MATCH(RAVs!$D42,'Table S6 Recommended Values'!$A$10:$A$398,0)+1,Y$4)</f>
        <v>0.82640918581060396</v>
      </c>
      <c r="Z42" s="330"/>
      <c r="AA42" s="343">
        <f>VLOOKUP(Table245[[#This Row],[Compound Name]],'Table S6 Recommended Values'!$A$10:$BF$398,RAVs!AA$4,FALSE)</f>
        <v>7.6749350028019903</v>
      </c>
      <c r="AB42" s="249" cm="1">
        <f t="array" ref="AB42">INDEX('Table S6 Recommended Values'!$A$10:$BF$398,MATCH(RAVs!$D42,'Table S6 Recommended Values'!$A$10:$A$398,0)+1,AB$4)</f>
        <v>1.4369452021323501</v>
      </c>
      <c r="AC42" s="330"/>
      <c r="AD42" s="343">
        <f>VLOOKUP(Table245[[#This Row],[Compound Name]],'Table S6 Recommended Values'!$A$10:$BF$398,RAVs!AD$4,FALSE)</f>
        <v>-4.3754473851992399</v>
      </c>
      <c r="AE42" s="249" cm="1">
        <f t="array" ref="AE42">INDEX('Table S6 Recommended Values'!$A$10:$BF$398,MATCH(RAVs!$D42,'Table S6 Recommended Values'!$A$10:$A$398,0)+1,AE$4)</f>
        <v>1.21324491839174</v>
      </c>
      <c r="AF42" s="330"/>
      <c r="AG42" s="343">
        <f>VLOOKUP(Table245[[#This Row],[Compound Name]],'Table S6 Recommended Values'!$A$10:$BF$398,RAVs!AG$4,FALSE)</f>
        <v>-5.7286611582631366</v>
      </c>
      <c r="AH42" s="249" cm="1">
        <f t="array" ref="AH42">INDEX('Table S6 Recommended Values'!$A$10:$BF$398,MATCH(RAVs!$D42,'Table S6 Recommended Values'!$A$10:$A$398,0)+1,AH$4)</f>
        <v>0.78282850327659503</v>
      </c>
      <c r="AI42" s="330"/>
      <c r="AJ42" s="343">
        <f>VLOOKUP(Table245[[#This Row],[Compound Name]],'Table S6 Recommended Values'!$A$10:$BF$398,RAVs!AJ$4,FALSE)</f>
        <v>-4.7483866571779902</v>
      </c>
      <c r="AK42" s="249" cm="1">
        <f t="array" ref="AK42">INDEX('Table S6 Recommended Values'!$A$10:$BF$398,MATCH(RAVs!$D42,'Table S6 Recommended Values'!$A$10:$A$398,0)+1,AK$4)</f>
        <v>1.4026242289864499</v>
      </c>
      <c r="AL42" s="330"/>
      <c r="AM42" s="343">
        <f>VLOOKUP(Table245[[#This Row],[Compound Name]],'Table S6 Recommended Values'!$A$10:$BF$398,RAVs!AM$4,FALSE)</f>
        <v>2.92558193157004</v>
      </c>
      <c r="AN42" s="249" cm="1">
        <f t="array" ref="AN42">INDEX('Table S6 Recommended Values'!$A$10:$BF$398,MATCH(RAVs!$D42,'Table S6 Recommended Values'!$A$10:$A$398,0)+1,AN$4)</f>
        <v>0.83576235309468405</v>
      </c>
      <c r="AO42" s="330"/>
      <c r="AP42" s="343" t="str">
        <f>VLOOKUP(Table245[[#This Row],[Compound Name]],'Table S6 Recommended Values'!$A$10:$BF$398,RAVs!AP$4,FALSE)</f>
        <v>-</v>
      </c>
      <c r="AQ42" s="249" t="str" cm="1">
        <f t="array" ref="AQ42">INDEX('Table S6 Recommended Values'!$A$10:$BF$398,MATCH(RAVs!$D42,'Table S6 Recommended Values'!$A$10:$A$398,0)+1,AQ$4)</f>
        <v>-</v>
      </c>
      <c r="AR42" s="330"/>
      <c r="AS42" s="343">
        <f>VLOOKUP(Table245[[#This Row],[Compound Name]],'Table S6 Recommended Values'!$A$10:$BF$398,RAVs!AS$4,FALSE)</f>
        <v>99.75</v>
      </c>
      <c r="AT42" s="249" cm="1">
        <f t="array" ref="AT42">INDEX('Table S6 Recommended Values'!$A$10:$BF$398,MATCH(RAVs!$D42,'Table S6 Recommended Values'!$A$10:$A$398,0)+1,AT$4)</f>
        <v>0.35355339059327379</v>
      </c>
      <c r="AU42" s="330"/>
    </row>
    <row r="43" spans="2:47">
      <c r="B43" s="247" t="str">
        <f>'Table S2 Compound Identifiers'!C45</f>
        <v>OPE</v>
      </c>
      <c r="C43" s="247">
        <f>COUNTIF($D$6:D43,"&lt;&gt;"&amp;"")</f>
        <v>38</v>
      </c>
      <c r="D43" s="247" t="str">
        <f>'Table S2 Compound Identifiers'!B45</f>
        <v>T2iPPP</v>
      </c>
      <c r="E43" s="247" t="str">
        <f>VLOOKUP(RAVs!$D43,'Table S3 Literature Values'!$A$10:$AV$551,E$4,FALSE)</f>
        <v>64532-95-2</v>
      </c>
      <c r="F43" s="248">
        <f>VLOOKUP(Table245[[#This Row],[Compound Name]],'Table S6 Recommended Values'!$A$10:$BD$398,RAVs!F$4,FALSE)</f>
        <v>112.14740594012501</v>
      </c>
      <c r="G43" s="249" cm="1">
        <f t="array" ref="G43">INDEX('Table S6 Recommended Values'!$A$10:$BD$398,MATCH(RAVs!$D43,'Table S6 Recommended Values'!$A$10:$A$398,0)+1,G$4)</f>
        <v>6.9269372525307604</v>
      </c>
      <c r="H43" s="330"/>
      <c r="I43" s="328">
        <f>VLOOKUP(Table245[[#This Row],[Compound Name]],'Table S6 Recommended Values'!$A$10:$BD$398,RAVs!I$4,FALSE)</f>
        <v>-11.6985128943824</v>
      </c>
      <c r="J43" s="249" cm="1">
        <f t="array" ref="J43">INDEX('Table S6 Recommended Values'!$A$10:$BD$398,MATCH(RAVs!$D43,'Table S6 Recommended Values'!$A$10:$A$398,0)+1,J$4)</f>
        <v>25.0327593071015</v>
      </c>
      <c r="K43" s="330"/>
      <c r="L43" s="250">
        <f>VLOOKUP(Table245[[#This Row],[Compound Name]],'Table S6 Recommended Values'!$A$10:$BD$398,RAVs!L$4,FALSE)</f>
        <v>2.2266928570430107</v>
      </c>
      <c r="M43" s="249" cm="1">
        <f t="array" ref="M43">INDEX('Table S6 Recommended Values'!$A$10:$BD$398,MATCH(RAVs!$D43,'Table S6 Recommended Values'!$A$10:$A$398,0)+1,M$4)</f>
        <v>12.483433349412628</v>
      </c>
      <c r="N43" s="330"/>
      <c r="O43" s="250">
        <f>VLOOKUP(Table245[[#This Row],[Compound Name]],'Table S6 Recommended Values'!$A$10:$BD$398,RAVs!O$4,FALSE)</f>
        <v>-107.529713083082</v>
      </c>
      <c r="P43" s="249" cm="1">
        <f t="array" ref="P43">INDEX('Table S6 Recommended Values'!$A$10:$BD$398,MATCH(RAVs!$D43,'Table S6 Recommended Values'!$A$10:$A$398,0)+1,P$4)</f>
        <v>10.3852611179849</v>
      </c>
      <c r="Q43" s="330"/>
      <c r="R43" s="250">
        <f>VLOOKUP(Table245[[#This Row],[Compound Name]],'Table S6 Recommended Values'!$A$10:$BD$398,RAVs!R$4,FALSE)</f>
        <v>121.454916791234</v>
      </c>
      <c r="S43" s="249" cm="1">
        <f t="array" ref="S43">INDEX('Table S6 Recommended Values'!$A$10:$BD$398,MATCH(RAVs!$D43,'Table S6 Recommended Values'!$A$10:$A$398,0)+1,S$4)</f>
        <v>24.807694232409101</v>
      </c>
      <c r="T43" s="330"/>
      <c r="U43" s="250">
        <f>VLOOKUP(Table245[[#This Row],[Compound Name]],'Table S6 Recommended Values'!$A$10:$BD$398,RAVs!U$4,FALSE)</f>
        <v>13.9245827238245</v>
      </c>
      <c r="V43" s="249" cm="1">
        <f t="array" ref="V43">INDEX('Table S6 Recommended Values'!$A$10:$BD$398,MATCH(RAVs!$D43,'Table S6 Recommended Values'!$A$10:$A$398,0)+1,V$4)</f>
        <v>25.475974167464301</v>
      </c>
      <c r="W43" s="330"/>
      <c r="X43" s="343">
        <f>VLOOKUP(Table245[[#This Row],[Compound Name]],'Table S6 Recommended Values'!$A$10:$BF$398,RAVs!X$4,FALSE)</f>
        <v>11.5942567542637</v>
      </c>
      <c r="Y43" s="249" cm="1">
        <f t="array" ref="Y43">INDEX('Table S6 Recommended Values'!$A$10:$BF$398,MATCH(RAVs!$D43,'Table S6 Recommended Values'!$A$10:$A$398,0)+1,Y$4)</f>
        <v>0.232701551779462</v>
      </c>
      <c r="Z43" s="330"/>
      <c r="AA43" s="343">
        <f>VLOOKUP(Table245[[#This Row],[Compound Name]],'Table S6 Recommended Values'!$A$10:$BF$398,RAVs!AA$4,FALSE)</f>
        <v>6.7569826384909302</v>
      </c>
      <c r="AB43" s="249" cm="1">
        <f t="array" ref="AB43">INDEX('Table S6 Recommended Values'!$A$10:$BF$398,MATCH(RAVs!$D43,'Table S6 Recommended Values'!$A$10:$A$398,0)+1,AB$4)</f>
        <v>1.2796943022160401</v>
      </c>
      <c r="AC43" s="330"/>
      <c r="AD43" s="343">
        <f>VLOOKUP(Table245[[#This Row],[Compound Name]],'Table S6 Recommended Values'!$A$10:$BF$398,RAVs!AD$4,FALSE)</f>
        <v>-4.8357669141547799</v>
      </c>
      <c r="AE43" s="249" cm="1">
        <f t="array" ref="AE43">INDEX('Table S6 Recommended Values'!$A$10:$BF$398,MATCH(RAVs!$D43,'Table S6 Recommended Values'!$A$10:$A$398,0)+1,AE$4)</f>
        <v>1.2576302759518301</v>
      </c>
      <c r="AF43" s="330"/>
      <c r="AG43" s="343">
        <f>VLOOKUP(Table245[[#This Row],[Compound Name]],'Table S6 Recommended Values'!$A$10:$BF$398,RAVs!AG$4,FALSE)</f>
        <v>-5.2804714849656467</v>
      </c>
      <c r="AH43" s="249" cm="1">
        <f t="array" ref="AH43">INDEX('Table S6 Recommended Values'!$A$10:$BF$398,MATCH(RAVs!$D43,'Table S6 Recommended Values'!$A$10:$A$398,0)+1,AH$4)</f>
        <v>0.17884207752138501</v>
      </c>
      <c r="AI43" s="330"/>
      <c r="AJ43" s="343">
        <f>VLOOKUP(Table245[[#This Row],[Compound Name]],'Table S6 Recommended Values'!$A$10:$BF$398,RAVs!AJ$4,FALSE)</f>
        <v>-3.83970578073715</v>
      </c>
      <c r="AK43" s="249" cm="1">
        <f t="array" ref="AK43">INDEX('Table S6 Recommended Values'!$A$10:$BF$398,MATCH(RAVs!$D43,'Table S6 Recommended Values'!$A$10:$A$398,0)+1,AK$4)</f>
        <v>1.2701703579653301</v>
      </c>
      <c r="AL43" s="330"/>
      <c r="AM43" s="343">
        <f>VLOOKUP(Table245[[#This Row],[Compound Name]],'Table S6 Recommended Values'!$A$10:$BF$398,RAVs!AM$4,FALSE)</f>
        <v>2.9169843967476199</v>
      </c>
      <c r="AN43" s="249" cm="1">
        <f t="array" ref="AN43">INDEX('Table S6 Recommended Values'!$A$10:$BF$398,MATCH(RAVs!$D43,'Table S6 Recommended Values'!$A$10:$A$398,0)+1,AN$4)</f>
        <v>0.29859655046005401</v>
      </c>
      <c r="AO43" s="330"/>
      <c r="AP43" s="343" t="str">
        <f>VLOOKUP(Table245[[#This Row],[Compound Name]],'Table S6 Recommended Values'!$A$10:$BF$398,RAVs!AP$4,FALSE)</f>
        <v>-</v>
      </c>
      <c r="AQ43" s="249" t="str" cm="1">
        <f t="array" ref="AQ43">INDEX('Table S6 Recommended Values'!$A$10:$BF$398,MATCH(RAVs!$D43,'Table S6 Recommended Values'!$A$10:$A$398,0)+1,AQ$4)</f>
        <v>-</v>
      </c>
      <c r="AR43" s="330"/>
      <c r="AS43" s="343" t="str">
        <f>VLOOKUP(Table245[[#This Row],[Compound Name]],'Table S6 Recommended Values'!$A$10:$BF$398,RAVs!AS$4,FALSE)</f>
        <v>-</v>
      </c>
      <c r="AT43" s="249" t="str" cm="1">
        <f t="array" ref="AT43">INDEX('Table S6 Recommended Values'!$A$10:$BF$398,MATCH(RAVs!$D43,'Table S6 Recommended Values'!$A$10:$A$398,0)+1,AT$4)</f>
        <v>-</v>
      </c>
      <c r="AU43" s="330"/>
    </row>
    <row r="44" spans="2:47">
      <c r="B44" s="247" t="str">
        <f>'Table S2 Compound Identifiers'!C46</f>
        <v>OPE</v>
      </c>
      <c r="C44" s="247">
        <f>COUNTIF($D$6:D44,"&lt;&gt;"&amp;"")</f>
        <v>39</v>
      </c>
      <c r="D44" s="247" t="str">
        <f>'Table S2 Compound Identifiers'!B46</f>
        <v>EHDPP</v>
      </c>
      <c r="E44" s="247" t="str">
        <f>VLOOKUP(RAVs!$D44,'Table S3 Literature Values'!$A$10:$AV$551,E$4,FALSE)</f>
        <v>1241-94-7</v>
      </c>
      <c r="F44" s="248">
        <f>VLOOKUP(Table245[[#This Row],[Compound Name]],'Table S6 Recommended Values'!$A$10:$BD$398,RAVs!F$4,FALSE)</f>
        <v>101.09917995795681</v>
      </c>
      <c r="G44" s="249" cm="1">
        <f t="array" ref="G44">INDEX('Table S6 Recommended Values'!$A$10:$BD$398,MATCH(RAVs!$D44,'Table S6 Recommended Values'!$A$10:$A$398,0)+1,G$4)</f>
        <v>11.011637512480601</v>
      </c>
      <c r="H44" s="330"/>
      <c r="I44" s="328">
        <f>VLOOKUP(Table245[[#This Row],[Compound Name]],'Table S6 Recommended Values'!$A$10:$BD$398,RAVs!I$4,FALSE)</f>
        <v>-11.088972618884799</v>
      </c>
      <c r="J44" s="249" cm="1">
        <f t="array" ref="J44">INDEX('Table S6 Recommended Values'!$A$10:$BD$398,MATCH(RAVs!$D44,'Table S6 Recommended Values'!$A$10:$A$398,0)+1,J$4)</f>
        <v>21.100743869147799</v>
      </c>
      <c r="K44" s="330"/>
      <c r="L44" s="250">
        <f>VLOOKUP(Table245[[#This Row],[Compound Name]],'Table S6 Recommended Values'!$A$10:$BD$398,RAVs!L$4,FALSE)</f>
        <v>-1.1612803694072884</v>
      </c>
      <c r="M44" s="249" cm="1">
        <f t="array" ref="M44">INDEX('Table S6 Recommended Values'!$A$10:$BD$398,MATCH(RAVs!$D44,'Table S6 Recommended Values'!$A$10:$A$398,0)+1,M$4)</f>
        <v>13.772313825074649</v>
      </c>
      <c r="N44" s="330"/>
      <c r="O44" s="250">
        <f>VLOOKUP(Table245[[#This Row],[Compound Name]],'Table S6 Recommended Values'!$A$10:$BD$398,RAVs!O$4,FALSE)</f>
        <v>-99.869460327364095</v>
      </c>
      <c r="P44" s="249" cm="1">
        <f t="array" ref="P44">INDEX('Table S6 Recommended Values'!$A$10:$BD$398,MATCH(RAVs!$D44,'Table S6 Recommended Values'!$A$10:$A$398,0)+1,P$4)</f>
        <v>8.2716665424854003</v>
      </c>
      <c r="Q44" s="330"/>
      <c r="R44" s="250">
        <f>VLOOKUP(Table245[[#This Row],[Compound Name]],'Table S6 Recommended Values'!$A$10:$BD$398,RAVs!R$4,FALSE)</f>
        <v>109.79831267151999</v>
      </c>
      <c r="S44" s="249" cm="1">
        <f t="array" ref="S44">INDEX('Table S6 Recommended Values'!$A$10:$BD$398,MATCH(RAVs!$D44,'Table S6 Recommended Values'!$A$10:$A$398,0)+1,S$4)</f>
        <v>20.097519383971299</v>
      </c>
      <c r="T44" s="330"/>
      <c r="U44" s="250">
        <f>VLOOKUP(Table245[[#This Row],[Compound Name]],'Table S6 Recommended Values'!$A$10:$BD$398,RAVs!U$4,FALSE)</f>
        <v>9.9296335520808601</v>
      </c>
      <c r="V44" s="249" cm="1">
        <f t="array" ref="V44">INDEX('Table S6 Recommended Values'!$A$10:$BD$398,MATCH(RAVs!$D44,'Table S6 Recommended Values'!$A$10:$A$398,0)+1,V$4)</f>
        <v>20.610921469758601</v>
      </c>
      <c r="W44" s="330"/>
      <c r="X44" s="343">
        <f>VLOOKUP(Table245[[#This Row],[Compound Name]],'Table S6 Recommended Values'!$A$10:$BF$398,RAVs!X$4,FALSE)</f>
        <v>10.675287912546301</v>
      </c>
      <c r="Y44" s="249" cm="1">
        <f t="array" ref="Y44">INDEX('Table S6 Recommended Values'!$A$10:$BF$398,MATCH(RAVs!$D44,'Table S6 Recommended Values'!$A$10:$A$398,0)+1,Y$4)</f>
        <v>0.33398383073736798</v>
      </c>
      <c r="Z44" s="330"/>
      <c r="AA44" s="343">
        <f>VLOOKUP(Table245[[#This Row],[Compound Name]],'Table S6 Recommended Values'!$A$10:$BF$398,RAVs!AA$4,FALSE)</f>
        <v>5.7949632675087601</v>
      </c>
      <c r="AB44" s="249" cm="1">
        <f t="array" ref="AB44">INDEX('Table S6 Recommended Values'!$A$10:$BF$398,MATCH(RAVs!$D44,'Table S6 Recommended Values'!$A$10:$A$398,0)+1,AB$4)</f>
        <v>0.50968656807235801</v>
      </c>
      <c r="AC44" s="330"/>
      <c r="AD44" s="343">
        <f>VLOOKUP(Table245[[#This Row],[Compound Name]],'Table S6 Recommended Values'!$A$10:$BF$398,RAVs!AD$4,FALSE)</f>
        <v>-4.8752904527172101</v>
      </c>
      <c r="AE44" s="249" cm="1">
        <f t="array" ref="AE44">INDEX('Table S6 Recommended Values'!$A$10:$BF$398,MATCH(RAVs!$D44,'Table S6 Recommended Values'!$A$10:$A$398,0)+1,AE$4)</f>
        <v>0.55497817625254997</v>
      </c>
      <c r="AF44" s="330"/>
      <c r="AG44" s="343">
        <f>VLOOKUP(Table245[[#This Row],[Compound Name]],'Table S6 Recommended Values'!$A$10:$BF$398,RAVs!AG$4,FALSE)</f>
        <v>-4.2828260702145764</v>
      </c>
      <c r="AH44" s="249" cm="1">
        <f t="array" ref="AH44">INDEX('Table S6 Recommended Values'!$A$10:$BF$398,MATCH(RAVs!$D44,'Table S6 Recommended Values'!$A$10:$A$398,0)+1,AH$4)</f>
        <v>0.20418370655222601</v>
      </c>
      <c r="AI44" s="330"/>
      <c r="AJ44" s="343">
        <f>VLOOKUP(Table245[[#This Row],[Compound Name]],'Table S6 Recommended Values'!$A$10:$BF$398,RAVs!AJ$4,FALSE)</f>
        <v>-2.80358001679536</v>
      </c>
      <c r="AK44" s="249" cm="1">
        <f t="array" ref="AK44">INDEX('Table S6 Recommended Values'!$A$10:$BF$398,MATCH(RAVs!$D44,'Table S6 Recommended Values'!$A$10:$A$398,0)+1,AK$4)</f>
        <v>0.53853196545760296</v>
      </c>
      <c r="AL44" s="330"/>
      <c r="AM44" s="343">
        <f>VLOOKUP(Table245[[#This Row],[Compound Name]],'Table S6 Recommended Values'!$A$10:$BF$398,RAVs!AM$4,FALSE)</f>
        <v>2.9898267036797299</v>
      </c>
      <c r="AN44" s="249" cm="1">
        <f t="array" ref="AN44">INDEX('Table S6 Recommended Values'!$A$10:$BF$398,MATCH(RAVs!$D44,'Table S6 Recommended Values'!$A$10:$A$398,0)+1,AN$4)</f>
        <v>0.33486562510448598</v>
      </c>
      <c r="AO44" s="330"/>
      <c r="AP44" s="343" t="str">
        <f>VLOOKUP(Table245[[#This Row],[Compound Name]],'Table S6 Recommended Values'!$A$10:$BF$398,RAVs!AP$4,FALSE)</f>
        <v>-</v>
      </c>
      <c r="AQ44" s="249" t="str" cm="1">
        <f t="array" ref="AQ44">INDEX('Table S6 Recommended Values'!$A$10:$BF$398,MATCH(RAVs!$D44,'Table S6 Recommended Values'!$A$10:$A$398,0)+1,AQ$4)</f>
        <v>-</v>
      </c>
      <c r="AR44" s="330"/>
      <c r="AS44" s="343">
        <f>VLOOKUP(Table245[[#This Row],[Compound Name]],'Table S6 Recommended Values'!$A$10:$BF$398,RAVs!AS$4,FALSE)</f>
        <v>-67</v>
      </c>
      <c r="AT44" s="249" cm="1">
        <f t="array" ref="AT44">INDEX('Table S6 Recommended Values'!$A$10:$BF$398,MATCH(RAVs!$D44,'Table S6 Recommended Values'!$A$10:$A$398,0)+1,AT$4)</f>
        <v>18.384776310850235</v>
      </c>
      <c r="AU44" s="330"/>
    </row>
    <row r="45" spans="2:47">
      <c r="B45" s="247" t="str">
        <f>'Table S2 Compound Identifiers'!C47</f>
        <v>OPE</v>
      </c>
      <c r="C45" s="247">
        <f>COUNTIF($D$6:D45,"&lt;&gt;"&amp;"")</f>
        <v>40</v>
      </c>
      <c r="D45" s="247" t="str">
        <f>'Table S2 Compound Identifiers'!B47</f>
        <v>TDBPP</v>
      </c>
      <c r="E45" s="247" t="str">
        <f>VLOOKUP(RAVs!$D45,'Table S3 Literature Values'!$A$10:$AV$551,E$4,FALSE)</f>
        <v>126-72-7</v>
      </c>
      <c r="F45" s="248">
        <f>VLOOKUP(Table245[[#This Row],[Compound Name]],'Table S6 Recommended Values'!$A$10:$BD$398,RAVs!F$4,FALSE)</f>
        <v>86.783866177396305</v>
      </c>
      <c r="G45" s="249" cm="1">
        <f t="array" ref="G45">INDEX('Table S6 Recommended Values'!$A$10:$BD$398,MATCH(RAVs!$D45,'Table S6 Recommended Values'!$A$10:$A$398,0)+1,G$4)</f>
        <v>22.492597513250701</v>
      </c>
      <c r="H45" s="330"/>
      <c r="I45" s="328">
        <f>VLOOKUP(Table245[[#This Row],[Compound Name]],'Table S6 Recommended Values'!$A$10:$BD$398,RAVs!I$4,FALSE)</f>
        <v>-29.7448969420232</v>
      </c>
      <c r="J45" s="249" cm="1">
        <f t="array" ref="J45">INDEX('Table S6 Recommended Values'!$A$10:$BD$398,MATCH(RAVs!$D45,'Table S6 Recommended Values'!$A$10:$A$398,0)+1,J$4)</f>
        <v>33.541195480794897</v>
      </c>
      <c r="K45" s="330"/>
      <c r="L45" s="250">
        <f>VLOOKUP(Table245[[#This Row],[Compound Name]],'Table S6 Recommended Values'!$A$10:$BD$398,RAVs!L$4,FALSE)</f>
        <v>-30.813498639546687</v>
      </c>
      <c r="M45" s="249" cm="1">
        <f t="array" ref="M45">INDEX('Table S6 Recommended Values'!$A$10:$BD$398,MATCH(RAVs!$D45,'Table S6 Recommended Values'!$A$10:$A$398,0)+1,M$4)</f>
        <v>44.383692197118904</v>
      </c>
      <c r="N45" s="330"/>
      <c r="O45" s="250">
        <f>VLOOKUP(Table245[[#This Row],[Compound Name]],'Table S6 Recommended Values'!$A$10:$BD$398,RAVs!O$4,FALSE)</f>
        <v>-115.20636481694299</v>
      </c>
      <c r="P45" s="249" cm="1">
        <f t="array" ref="P45">INDEX('Table S6 Recommended Values'!$A$10:$BD$398,MATCH(RAVs!$D45,'Table S6 Recommended Values'!$A$10:$A$398,0)+1,P$4)</f>
        <v>38.262190085716497</v>
      </c>
      <c r="Q45" s="330"/>
      <c r="R45" s="250">
        <f>VLOOKUP(Table245[[#This Row],[Compound Name]],'Table S6 Recommended Values'!$A$10:$BD$398,RAVs!R$4,FALSE)</f>
        <v>114.138102837451</v>
      </c>
      <c r="S45" s="249" cm="1">
        <f t="array" ref="S45">INDEX('Table S6 Recommended Values'!$A$10:$BD$398,MATCH(RAVs!$D45,'Table S6 Recommended Values'!$A$10:$A$398,0)+1,S$4)</f>
        <v>32.021030486461697</v>
      </c>
      <c r="T45" s="330"/>
      <c r="U45" s="250">
        <f>VLOOKUP(Table245[[#This Row],[Compound Name]],'Table S6 Recommended Values'!$A$10:$BD$398,RAVs!U$4,FALSE)</f>
        <v>-1.0687283041955999</v>
      </c>
      <c r="V45" s="249" cm="1">
        <f t="array" ref="V45">INDEX('Table S6 Recommended Values'!$A$10:$BD$398,MATCH(RAVs!$D45,'Table S6 Recommended Values'!$A$10:$A$398,0)+1,V$4)</f>
        <v>37.835572605247997</v>
      </c>
      <c r="W45" s="330"/>
      <c r="X45" s="343">
        <f>VLOOKUP(Table245[[#This Row],[Compound Name]],'Table S6 Recommended Values'!$A$10:$BF$398,RAVs!X$4,FALSE)</f>
        <v>11.3091414212968</v>
      </c>
      <c r="Y45" s="249" cm="1">
        <f t="array" ref="Y45">INDEX('Table S6 Recommended Values'!$A$10:$BF$398,MATCH(RAVs!$D45,'Table S6 Recommended Values'!$A$10:$A$398,0)+1,Y$4)</f>
        <v>1.3782945112654601</v>
      </c>
      <c r="Z45" s="330"/>
      <c r="AA45" s="343">
        <f>VLOOKUP(Table245[[#This Row],[Compound Name]],'Table S6 Recommended Values'!$A$10:$BF$398,RAVs!AA$4,FALSE)</f>
        <v>4.7197792024764098</v>
      </c>
      <c r="AB45" s="249" cm="1">
        <f t="array" ref="AB45">INDEX('Table S6 Recommended Values'!$A$10:$BF$398,MATCH(RAVs!$D45,'Table S6 Recommended Values'!$A$10:$A$398,0)+1,AB$4)</f>
        <v>0.69057665760228404</v>
      </c>
      <c r="AC45" s="330"/>
      <c r="AD45" s="343">
        <f>VLOOKUP(Table245[[#This Row],[Compound Name]],'Table S6 Recommended Values'!$A$10:$BF$398,RAVs!AD$4,FALSE)</f>
        <v>-6.5926844852259698</v>
      </c>
      <c r="AE45" s="249" cm="1">
        <f t="array" ref="AE45">INDEX('Table S6 Recommended Values'!$A$10:$BF$398,MATCH(RAVs!$D45,'Table S6 Recommended Values'!$A$10:$A$398,0)+1,AE$4)</f>
        <v>1.2840936411518999</v>
      </c>
      <c r="AF45" s="330"/>
      <c r="AG45" s="343">
        <f>VLOOKUP(Table245[[#This Row],[Compound Name]],'Table S6 Recommended Values'!$A$10:$BF$398,RAVs!AG$4,FALSE)</f>
        <v>-5.3085909890578575</v>
      </c>
      <c r="AH45" s="249" cm="1">
        <f t="array" ref="AH45">INDEX('Table S6 Recommended Values'!$A$10:$BF$398,MATCH(RAVs!$D45,'Table S6 Recommended Values'!$A$10:$A$398,0)+1,AH$4)</f>
        <v>1.2175092937138801</v>
      </c>
      <c r="AI45" s="330"/>
      <c r="AJ45" s="343">
        <f>VLOOKUP(Table245[[#This Row],[Compound Name]],'Table S6 Recommended Values'!$A$10:$BF$398,RAVs!AJ$4,FALSE)</f>
        <v>-2.1131324434926499</v>
      </c>
      <c r="AK45" s="249" cm="1">
        <f t="array" ref="AK45">INDEX('Table S6 Recommended Values'!$A$10:$BF$398,MATCH(RAVs!$D45,'Table S6 Recommended Values'!$A$10:$A$398,0)+1,AK$4)</f>
        <v>0.68439043918535103</v>
      </c>
      <c r="AL45" s="330"/>
      <c r="AM45" s="343">
        <f>VLOOKUP(Table245[[#This Row],[Compound Name]],'Table S6 Recommended Values'!$A$10:$BF$398,RAVs!AM$4,FALSE)</f>
        <v>2.60622503223119</v>
      </c>
      <c r="AN45" s="249" cm="1">
        <f t="array" ref="AN45">INDEX('Table S6 Recommended Values'!$A$10:$BF$398,MATCH(RAVs!$D45,'Table S6 Recommended Values'!$A$10:$A$398,0)+1,AN$4)</f>
        <v>0.92895326664342004</v>
      </c>
      <c r="AO45" s="330"/>
      <c r="AP45" s="343" t="str">
        <f>VLOOKUP(Table245[[#This Row],[Compound Name]],'Table S6 Recommended Values'!$A$10:$BF$398,RAVs!AP$4,FALSE)</f>
        <v>-</v>
      </c>
      <c r="AQ45" s="249" t="str" cm="1">
        <f t="array" ref="AQ45">INDEX('Table S6 Recommended Values'!$A$10:$BF$398,MATCH(RAVs!$D45,'Table S6 Recommended Values'!$A$10:$A$398,0)+1,AQ$4)</f>
        <v>-</v>
      </c>
      <c r="AR45" s="330"/>
      <c r="AS45" s="343">
        <f>VLOOKUP(Table245[[#This Row],[Compound Name]],'Table S6 Recommended Values'!$A$10:$BF$398,RAVs!AS$4,FALSE)</f>
        <v>119.5</v>
      </c>
      <c r="AT45" s="249" cm="1">
        <f t="array" ref="AT45">INDEX('Table S6 Recommended Values'!$A$10:$BF$398,MATCH(RAVs!$D45,'Table S6 Recommended Values'!$A$10:$A$398,0)+1,AT$4)</f>
        <v>5.5168032040291219</v>
      </c>
      <c r="AU45" s="330"/>
    </row>
    <row r="46" spans="2:47">
      <c r="B46" s="247" t="str">
        <f>'Table S2 Compound Identifiers'!C48</f>
        <v>PAH</v>
      </c>
      <c r="C46" s="247">
        <f>COUNTIF($D$6:D46,"&lt;&gt;"&amp;"")</f>
        <v>41</v>
      </c>
      <c r="D46" s="247" t="str">
        <f>'Table S2 Compound Identifiers'!B48</f>
        <v>benzo[a]pyrene</v>
      </c>
      <c r="E46" s="247" t="str">
        <f>VLOOKUP(RAVs!$D46,'Table S3 Literature Values'!$A$10:$AV$551,E$4,FALSE)</f>
        <v>50-32-8</v>
      </c>
      <c r="F46" s="248">
        <f>VLOOKUP(Table245[[#This Row],[Compound Name]],'Table S6 Recommended Values'!$A$10:$BD$398,RAVs!F$4,FALSE)</f>
        <v>104.250788885164</v>
      </c>
      <c r="G46" s="249" cm="1">
        <f t="array" ref="G46">INDEX('Table S6 Recommended Values'!$A$10:$BD$398,MATCH(RAVs!$D46,'Table S6 Recommended Values'!$A$10:$A$398,0)+1,G$4)</f>
        <v>6.5563958959388398</v>
      </c>
      <c r="H46" s="330"/>
      <c r="I46" s="328">
        <f>VLOOKUP(Table245[[#This Row],[Compound Name]],'Table S6 Recommended Values'!$A$10:$BD$398,RAVs!I$4,FALSE)</f>
        <v>26.877748609542099</v>
      </c>
      <c r="J46" s="249" cm="1">
        <f t="array" ref="J46">INDEX('Table S6 Recommended Values'!$A$10:$BD$398,MATCH(RAVs!$D46,'Table S6 Recommended Values'!$A$10:$A$398,0)+1,J$4)</f>
        <v>6.7109045693102596</v>
      </c>
      <c r="K46" s="330"/>
      <c r="L46" s="250">
        <f>VLOOKUP(Table245[[#This Row],[Compound Name]],'Table S6 Recommended Values'!$A$10:$BD$398,RAVs!L$4,FALSE)</f>
        <v>0.76159969105800052</v>
      </c>
      <c r="M46" s="249" cm="1">
        <f t="array" ref="M46">INDEX('Table S6 Recommended Values'!$A$10:$BD$398,MATCH(RAVs!$D46,'Table S6 Recommended Values'!$A$10:$A$398,0)+1,M$4)</f>
        <v>7.0308141380497959</v>
      </c>
      <c r="N46" s="330"/>
      <c r="O46" s="250">
        <f>VLOOKUP(Table245[[#This Row],[Compound Name]],'Table S6 Recommended Values'!$A$10:$BD$398,RAVs!O$4,FALSE)</f>
        <v>-101.098189194106</v>
      </c>
      <c r="P46" s="249" cm="1">
        <f t="array" ref="P46">INDEX('Table S6 Recommended Values'!$A$10:$BD$398,MATCH(RAVs!$D46,'Table S6 Recommended Values'!$A$10:$A$398,0)+1,P$4)</f>
        <v>2.5389013961785198</v>
      </c>
      <c r="Q46" s="330"/>
      <c r="R46" s="250">
        <f>VLOOKUP(Table245[[#This Row],[Compound Name]],'Table S6 Recommended Values'!$A$10:$BD$398,RAVs!R$4,FALSE)</f>
        <v>74.984016674398902</v>
      </c>
      <c r="S46" s="249" cm="1">
        <f t="array" ref="S46">INDEX('Table S6 Recommended Values'!$A$10:$BD$398,MATCH(RAVs!$D46,'Table S6 Recommended Values'!$A$10:$A$398,0)+1,S$4)</f>
        <v>4.8955351021134801</v>
      </c>
      <c r="T46" s="330"/>
      <c r="U46" s="250">
        <f>VLOOKUP(Table245[[#This Row],[Compound Name]],'Table S6 Recommended Values'!$A$10:$BD$398,RAVs!U$4,FALSE)</f>
        <v>-26.111697558132299</v>
      </c>
      <c r="V46" s="249" cm="1">
        <f t="array" ref="V46">INDEX('Table S6 Recommended Values'!$A$10:$BD$398,MATCH(RAVs!$D46,'Table S6 Recommended Values'!$A$10:$A$398,0)+1,V$4)</f>
        <v>4.4865214458933798</v>
      </c>
      <c r="W46" s="330"/>
      <c r="X46" s="343">
        <f>VLOOKUP(Table245[[#This Row],[Compound Name]],'Table S6 Recommended Values'!$A$10:$BF$398,RAVs!X$4,FALSE)</f>
        <v>10.9824770608836</v>
      </c>
      <c r="Y46" s="249" cm="1">
        <f t="array" ref="Y46">INDEX('Table S6 Recommended Values'!$A$10:$BF$398,MATCH(RAVs!$D46,'Table S6 Recommended Values'!$A$10:$A$398,0)+1,Y$4)</f>
        <v>0.36287344491380302</v>
      </c>
      <c r="Z46" s="330"/>
      <c r="AA46" s="343">
        <f>VLOOKUP(Table245[[#This Row],[Compound Name]],'Table S6 Recommended Values'!$A$10:$BF$398,RAVs!AA$4,FALSE)</f>
        <v>6.6743140127291696</v>
      </c>
      <c r="AB46" s="249" cm="1">
        <f t="array" ref="AB46">INDEX('Table S6 Recommended Values'!$A$10:$BF$398,MATCH(RAVs!$D46,'Table S6 Recommended Values'!$A$10:$A$398,0)+1,AB$4)</f>
        <v>0.28491792191347098</v>
      </c>
      <c r="AC46" s="330"/>
      <c r="AD46" s="343">
        <f>VLOOKUP(Table245[[#This Row],[Compound Name]],'Table S6 Recommended Values'!$A$10:$BF$398,RAVs!AD$4,FALSE)</f>
        <v>-4.3017838779277504</v>
      </c>
      <c r="AE46" s="249" cm="1">
        <f t="array" ref="AE46">INDEX('Table S6 Recommended Values'!$A$10:$BF$398,MATCH(RAVs!$D46,'Table S6 Recommended Values'!$A$10:$A$398,0)+1,AE$4)</f>
        <v>0.39698118997182102</v>
      </c>
      <c r="AF46" s="330"/>
      <c r="AG46" s="343">
        <f>VLOOKUP(Table245[[#This Row],[Compound Name]],'Table S6 Recommended Values'!$A$10:$BF$398,RAVs!AG$4,FALSE)</f>
        <v>-5.0868342769749857</v>
      </c>
      <c r="AH46" s="249" cm="1">
        <f t="array" ref="AH46">INDEX('Table S6 Recommended Values'!$A$10:$BF$398,MATCH(RAVs!$D46,'Table S6 Recommended Values'!$A$10:$A$398,0)+1,AH$4)</f>
        <v>0.37381597885757401</v>
      </c>
      <c r="AI46" s="330"/>
      <c r="AJ46" s="343">
        <f>VLOOKUP(Table245[[#This Row],[Compound Name]],'Table S6 Recommended Values'!$A$10:$BF$398,RAVs!AJ$4,FALSE)</f>
        <v>-4.1817975274846999</v>
      </c>
      <c r="AK46" s="249" cm="1">
        <f t="array" ref="AK46">INDEX('Table S6 Recommended Values'!$A$10:$BF$398,MATCH(RAVs!$D46,'Table S6 Recommended Values'!$A$10:$A$398,0)+1,AK$4)</f>
        <v>0.24371064012994101</v>
      </c>
      <c r="AL46" s="330"/>
      <c r="AM46" s="343">
        <f>VLOOKUP(Table245[[#This Row],[Compound Name]],'Table S6 Recommended Values'!$A$10:$BF$398,RAVs!AM$4,FALSE)</f>
        <v>2.49093603240537</v>
      </c>
      <c r="AN46" s="249" cm="1">
        <f t="array" ref="AN46">INDEX('Table S6 Recommended Values'!$A$10:$BF$398,MATCH(RAVs!$D46,'Table S6 Recommended Values'!$A$10:$A$398,0)+1,AN$4)</f>
        <v>0.293382445371906</v>
      </c>
      <c r="AO46" s="330"/>
      <c r="AP46" s="343">
        <f>VLOOKUP(Table245[[#This Row],[Compound Name]],'Table S6 Recommended Values'!$A$10:$BF$398,RAVs!AP$4,FALSE)</f>
        <v>36.703691924967444</v>
      </c>
      <c r="AQ46" s="249" cm="1">
        <f t="array" ref="AQ46">INDEX('Table S6 Recommended Values'!$A$10:$BF$398,MATCH(RAVs!$D46,'Table S6 Recommended Values'!$A$10:$A$398,0)+1,AQ$4)</f>
        <v>2.8061861822140384</v>
      </c>
      <c r="AR46" s="330"/>
      <c r="AS46" s="343">
        <f>VLOOKUP(Table245[[#This Row],[Compound Name]],'Table S6 Recommended Values'!$A$10:$BF$398,RAVs!AS$4,FALSE)</f>
        <v>177.33333333333334</v>
      </c>
      <c r="AT46" s="249" cm="1">
        <f t="array" ref="AT46">INDEX('Table S6 Recommended Values'!$A$10:$BF$398,MATCH(RAVs!$D46,'Table S6 Recommended Values'!$A$10:$A$398,0)+1,AT$4)</f>
        <v>1.5275252316519465</v>
      </c>
      <c r="AU46" s="330"/>
    </row>
    <row r="47" spans="2:47">
      <c r="B47" s="247" t="str">
        <f>'Table S2 Compound Identifiers'!C49</f>
        <v>PAH</v>
      </c>
      <c r="C47" s="247">
        <f>COUNTIF($D$6:D47,"&lt;&gt;"&amp;"")</f>
        <v>42</v>
      </c>
      <c r="D47" s="247" t="str">
        <f>'Table S2 Compound Identifiers'!B49</f>
        <v>benzo[k]fluoranthene</v>
      </c>
      <c r="E47" s="247" t="str">
        <f>VLOOKUP(RAVs!$D47,'Table S3 Literature Values'!$A$10:$AV$551,E$4,FALSE)</f>
        <v>207-08-09</v>
      </c>
      <c r="F47" s="248">
        <f>VLOOKUP(Table245[[#This Row],[Compound Name]],'Table S6 Recommended Values'!$A$10:$BD$398,RAVs!F$4,FALSE)</f>
        <v>104.94405364692001</v>
      </c>
      <c r="G47" s="249" cm="1">
        <f t="array" ref="G47">INDEX('Table S6 Recommended Values'!$A$10:$BD$398,MATCH(RAVs!$D47,'Table S6 Recommended Values'!$A$10:$A$398,0)+1,G$4)</f>
        <v>7.3665420491969096</v>
      </c>
      <c r="H47" s="330"/>
      <c r="I47" s="328">
        <f>VLOOKUP(Table245[[#This Row],[Compound Name]],'Table S6 Recommended Values'!$A$10:$BD$398,RAVs!I$4,FALSE)</f>
        <v>35.032936595267302</v>
      </c>
      <c r="J47" s="249" cm="1">
        <f t="array" ref="J47">INDEX('Table S6 Recommended Values'!$A$10:$BD$398,MATCH(RAVs!$D47,'Table S6 Recommended Values'!$A$10:$A$398,0)+1,J$4)</f>
        <v>11.567129425850901</v>
      </c>
      <c r="K47" s="330"/>
      <c r="L47" s="250">
        <f>VLOOKUP(Table245[[#This Row],[Compound Name]],'Table S6 Recommended Values'!$A$10:$BD$398,RAVs!L$4,FALSE)</f>
        <v>2.436340687660012</v>
      </c>
      <c r="M47" s="249" cm="1">
        <f t="array" ref="M47">INDEX('Table S6 Recommended Values'!$A$10:$BD$398,MATCH(RAVs!$D47,'Table S6 Recommended Values'!$A$10:$A$398,0)+1,M$4)</f>
        <v>7.6413445124962891</v>
      </c>
      <c r="N47" s="330"/>
      <c r="O47" s="250">
        <f>VLOOKUP(Table245[[#This Row],[Compound Name]],'Table S6 Recommended Values'!$A$10:$BD$398,RAVs!O$4,FALSE)</f>
        <v>-100.11671295926</v>
      </c>
      <c r="P47" s="249" cm="1">
        <f t="array" ref="P47">INDEX('Table S6 Recommended Values'!$A$10:$BD$398,MATCH(RAVs!$D47,'Table S6 Recommended Values'!$A$10:$A$398,0)+1,P$4)</f>
        <v>2.0308136783247601</v>
      </c>
      <c r="Q47" s="330"/>
      <c r="R47" s="250">
        <f>VLOOKUP(Table245[[#This Row],[Compound Name]],'Table S6 Recommended Values'!$A$10:$BD$398,RAVs!R$4,FALSE)</f>
        <v>67.520022226747201</v>
      </c>
      <c r="S47" s="249" cm="1">
        <f t="array" ref="S47">INDEX('Table S6 Recommended Values'!$A$10:$BD$398,MATCH(RAVs!$D47,'Table S6 Recommended Values'!$A$10:$A$398,0)+1,S$4)</f>
        <v>9.3491287021255793</v>
      </c>
      <c r="T47" s="330"/>
      <c r="U47" s="250">
        <f>VLOOKUP(Table245[[#This Row],[Compound Name]],'Table S6 Recommended Values'!$A$10:$BD$398,RAVs!U$4,FALSE)</f>
        <v>-32.596646863804303</v>
      </c>
      <c r="V47" s="249" cm="1">
        <f t="array" ref="V47">INDEX('Table S6 Recommended Values'!$A$10:$BD$398,MATCH(RAVs!$D47,'Table S6 Recommended Values'!$A$10:$A$398,0)+1,V$4)</f>
        <v>9.3872179341645801</v>
      </c>
      <c r="W47" s="330"/>
      <c r="X47" s="343">
        <f>VLOOKUP(Table245[[#This Row],[Compound Name]],'Table S6 Recommended Values'!$A$10:$BF$398,RAVs!X$4,FALSE)</f>
        <v>10.835670012389301</v>
      </c>
      <c r="Y47" s="249" cm="1">
        <f t="array" ref="Y47">INDEX('Table S6 Recommended Values'!$A$10:$BF$398,MATCH(RAVs!$D47,'Table S6 Recommended Values'!$A$10:$A$398,0)+1,Y$4)</f>
        <v>0.33574980159168899</v>
      </c>
      <c r="Z47" s="330"/>
      <c r="AA47" s="343">
        <f>VLOOKUP(Table245[[#This Row],[Compound Name]],'Table S6 Recommended Values'!$A$10:$BF$398,RAVs!AA$4,FALSE)</f>
        <v>6.10560523192059</v>
      </c>
      <c r="AB47" s="249" cm="1">
        <f t="array" ref="AB47">INDEX('Table S6 Recommended Values'!$A$10:$BF$398,MATCH(RAVs!$D47,'Table S6 Recommended Values'!$A$10:$A$398,0)+1,AB$4)</f>
        <v>0.34676340724890697</v>
      </c>
      <c r="AC47" s="330"/>
      <c r="AD47" s="343">
        <f>VLOOKUP(Table245[[#This Row],[Compound Name]],'Table S6 Recommended Values'!$A$10:$BF$398,RAVs!AD$4,FALSE)</f>
        <v>-4.7151877639543098</v>
      </c>
      <c r="AE47" s="249" cm="1">
        <f t="array" ref="AE47">INDEX('Table S6 Recommended Values'!$A$10:$BF$398,MATCH(RAVs!$D47,'Table S6 Recommended Values'!$A$10:$A$398,0)+1,AE$4)</f>
        <v>0.36252810686910802</v>
      </c>
      <c r="AF47" s="330"/>
      <c r="AG47" s="343">
        <f>VLOOKUP(Table245[[#This Row],[Compound Name]],'Table S6 Recommended Values'!$A$10:$BF$398,RAVs!AG$4,FALSE)</f>
        <v>-4.8420250143402761</v>
      </c>
      <c r="AH47" s="249" cm="1">
        <f t="array" ref="AH47">INDEX('Table S6 Recommended Values'!$A$10:$BF$398,MATCH(RAVs!$D47,'Table S6 Recommended Values'!$A$10:$A$398,0)+1,AH$4)</f>
        <v>0.30450023799958498</v>
      </c>
      <c r="AI47" s="330"/>
      <c r="AJ47" s="343">
        <f>VLOOKUP(Table245[[#This Row],[Compound Name]],'Table S6 Recommended Values'!$A$10:$BF$398,RAVs!AJ$4,FALSE)</f>
        <v>-3.51965660059737</v>
      </c>
      <c r="AK47" s="249" cm="1">
        <f t="array" ref="AK47">INDEX('Table S6 Recommended Values'!$A$10:$BF$398,MATCH(RAVs!$D47,'Table S6 Recommended Values'!$A$10:$A$398,0)+1,AK$4)</f>
        <v>0.23904509674744301</v>
      </c>
      <c r="AL47" s="330"/>
      <c r="AM47" s="343">
        <f>VLOOKUP(Table245[[#This Row],[Compound Name]],'Table S6 Recommended Values'!$A$10:$BF$398,RAVs!AM$4,FALSE)</f>
        <v>2.58664475936608</v>
      </c>
      <c r="AN47" s="249" cm="1">
        <f t="array" ref="AN47">INDEX('Table S6 Recommended Values'!$A$10:$BF$398,MATCH(RAVs!$D47,'Table S6 Recommended Values'!$A$10:$A$398,0)+1,AN$4)</f>
        <v>0.343564765494899</v>
      </c>
      <c r="AO47" s="330"/>
      <c r="AP47" s="343" t="str">
        <f>VLOOKUP(Table245[[#This Row],[Compound Name]],'Table S6 Recommended Values'!$A$10:$BF$398,RAVs!AP$4,FALSE)</f>
        <v>-</v>
      </c>
      <c r="AQ47" s="249" t="str" cm="1">
        <f t="array" ref="AQ47">INDEX('Table S6 Recommended Values'!$A$10:$BF$398,MATCH(RAVs!$D47,'Table S6 Recommended Values'!$A$10:$A$398,0)+1,AQ$4)</f>
        <v>-</v>
      </c>
      <c r="AR47" s="330"/>
      <c r="AS47" s="343">
        <f>VLOOKUP(Table245[[#This Row],[Compound Name]],'Table S6 Recommended Values'!$A$10:$BF$398,RAVs!AS$4,FALSE)</f>
        <v>216.61666666666667</v>
      </c>
      <c r="AT47" s="249" cm="1">
        <f t="array" ref="AT47">INDEX('Table S6 Recommended Values'!$A$10:$BF$398,MATCH(RAVs!$D47,'Table S6 Recommended Values'!$A$10:$A$398,0)+1,AT$4)</f>
        <v>0.53928965624545278</v>
      </c>
      <c r="AU47" s="330"/>
    </row>
    <row r="48" spans="2:47">
      <c r="B48" s="247" t="str">
        <f>'Table S2 Compound Identifiers'!C50</f>
        <v>PBDE</v>
      </c>
      <c r="C48" s="247">
        <f>COUNTIF($D$6:D48,"&lt;&gt;"&amp;"")</f>
        <v>43</v>
      </c>
      <c r="D48" s="247" t="str">
        <f>'Table S2 Compound Identifiers'!B50</f>
        <v>BDE-47</v>
      </c>
      <c r="E48" s="247" t="str">
        <f>VLOOKUP(RAVs!$D48,'Table S3 Literature Values'!$A$10:$AV$551,E$4,FALSE)</f>
        <v>5436-43-1</v>
      </c>
      <c r="F48" s="248">
        <f>VLOOKUP(Table245[[#This Row],[Compound Name]],'Table S6 Recommended Values'!$A$10:$BD$398,RAVs!F$4,FALSE)</f>
        <v>92.360236522455608</v>
      </c>
      <c r="G48" s="249" cm="1">
        <f t="array" ref="G48">INDEX('Table S6 Recommended Values'!$A$10:$BD$398,MATCH(RAVs!$D48,'Table S6 Recommended Values'!$A$10:$A$398,0)+1,G$4)</f>
        <v>3.67673939734664</v>
      </c>
      <c r="H48" s="330"/>
      <c r="I48" s="328">
        <f>VLOOKUP(Table245[[#This Row],[Compound Name]],'Table S6 Recommended Values'!$A$10:$BD$398,RAVs!I$4,FALSE)</f>
        <v>15.619608492136701</v>
      </c>
      <c r="J48" s="249" cm="1">
        <f t="array" ref="J48">INDEX('Table S6 Recommended Values'!$A$10:$BD$398,MATCH(RAVs!$D48,'Table S6 Recommended Values'!$A$10:$A$398,0)+1,J$4)</f>
        <v>2.74758723470931</v>
      </c>
      <c r="K48" s="330"/>
      <c r="L48" s="250">
        <f>VLOOKUP(Table245[[#This Row],[Compound Name]],'Table S6 Recommended Values'!$A$10:$BD$398,RAVs!L$4,FALSE)</f>
        <v>-4.8496968521183934</v>
      </c>
      <c r="M48" s="249" cm="1">
        <f t="array" ref="M48">INDEX('Table S6 Recommended Values'!$A$10:$BD$398,MATCH(RAVs!$D48,'Table S6 Recommended Values'!$A$10:$A$398,0)+1,M$4)</f>
        <v>5.2814884427228579</v>
      </c>
      <c r="N48" s="330"/>
      <c r="O48" s="250">
        <f>VLOOKUP(Table245[[#This Row],[Compound Name]],'Table S6 Recommended Values'!$A$10:$BD$398,RAVs!O$4,FALSE)</f>
        <v>-94.818933374574002</v>
      </c>
      <c r="P48" s="249" cm="1">
        <f t="array" ref="P48">INDEX('Table S6 Recommended Values'!$A$10:$BD$398,MATCH(RAVs!$D48,'Table S6 Recommended Values'!$A$10:$A$398,0)+1,P$4)</f>
        <v>3.7915310330543499</v>
      </c>
      <c r="Q48" s="330"/>
      <c r="R48" s="250">
        <f>VLOOKUP(Table245[[#This Row],[Compound Name]],'Table S6 Recommended Values'!$A$10:$BD$398,RAVs!R$4,FALSE)</f>
        <v>74.346348184471694</v>
      </c>
      <c r="S48" s="249" cm="1">
        <f t="array" ref="S48">INDEX('Table S6 Recommended Values'!$A$10:$BD$398,MATCH(RAVs!$D48,'Table S6 Recommended Values'!$A$10:$A$398,0)+1,S$4)</f>
        <v>3.8901406219524302</v>
      </c>
      <c r="T48" s="330"/>
      <c r="U48" s="250">
        <f>VLOOKUP(Table245[[#This Row],[Compound Name]],'Table S6 Recommended Values'!$A$10:$BD$398,RAVs!U$4,FALSE)</f>
        <v>-20.474121631690299</v>
      </c>
      <c r="V48" s="249" cm="1">
        <f t="array" ref="V48">INDEX('Table S6 Recommended Values'!$A$10:$BD$398,MATCH(RAVs!$D48,'Table S6 Recommended Values'!$A$10:$A$398,0)+1,V$4)</f>
        <v>3.6520748843737199</v>
      </c>
      <c r="W48" s="330"/>
      <c r="X48" s="343">
        <f>VLOOKUP(Table245[[#This Row],[Compound Name]],'Table S6 Recommended Values'!$A$10:$BF$398,RAVs!X$4,FALSE)</f>
        <v>10.404622585676201</v>
      </c>
      <c r="Y48" s="249" cm="1">
        <f t="array" ref="Y48">INDEX('Table S6 Recommended Values'!$A$10:$BF$398,MATCH(RAVs!$D48,'Table S6 Recommended Values'!$A$10:$A$398,0)+1,Y$4)</f>
        <v>0.12838268579723899</v>
      </c>
      <c r="Z48" s="330"/>
      <c r="AA48" s="343">
        <f>VLOOKUP(Table245[[#This Row],[Compound Name]],'Table S6 Recommended Values'!$A$10:$BF$398,RAVs!AA$4,FALSE)</f>
        <v>7.2518563764238504</v>
      </c>
      <c r="AB48" s="249" cm="1">
        <f t="array" ref="AB48">INDEX('Table S6 Recommended Values'!$A$10:$BF$398,MATCH(RAVs!$D48,'Table S6 Recommended Values'!$A$10:$A$398,0)+1,AB$4)</f>
        <v>0.22569556822123699</v>
      </c>
      <c r="AC48" s="330"/>
      <c r="AD48" s="343">
        <f>VLOOKUP(Table245[[#This Row],[Compound Name]],'Table S6 Recommended Values'!$A$10:$BF$398,RAVs!AD$4,FALSE)</f>
        <v>-3.1498811592713101</v>
      </c>
      <c r="AE48" s="249" cm="1">
        <f t="array" ref="AE48">INDEX('Table S6 Recommended Values'!$A$10:$BF$398,MATCH(RAVs!$D48,'Table S6 Recommended Values'!$A$10:$A$398,0)+1,AE$4)</f>
        <v>0.190801957762436</v>
      </c>
      <c r="AF48" s="330"/>
      <c r="AG48" s="343">
        <f>VLOOKUP(Table245[[#This Row],[Compound Name]],'Table S6 Recommended Values'!$A$10:$BF$398,RAVs!AG$4,FALSE)</f>
        <v>-3.8135232127191978</v>
      </c>
      <c r="AH48" s="249" cm="1">
        <f t="array" ref="AH48">INDEX('Table S6 Recommended Values'!$A$10:$BF$398,MATCH(RAVs!$D48,'Table S6 Recommended Values'!$A$10:$A$398,0)+1,AH$4)</f>
        <v>0.166364924731812</v>
      </c>
      <c r="AI48" s="330"/>
      <c r="AJ48" s="343">
        <f>VLOOKUP(Table245[[#This Row],[Compound Name]],'Table S6 Recommended Values'!$A$10:$BF$398,RAVs!AJ$4,FALSE)</f>
        <v>-4.0666884680466699</v>
      </c>
      <c r="AK48" s="249" cm="1">
        <f t="array" ref="AK48">INDEX('Table S6 Recommended Values'!$A$10:$BF$398,MATCH(RAVs!$D48,'Table S6 Recommended Values'!$A$10:$A$398,0)+1,AK$4)</f>
        <v>7.0158086195568403E-2</v>
      </c>
      <c r="AL48" s="330"/>
      <c r="AM48" s="343">
        <f>VLOOKUP(Table245[[#This Row],[Compound Name]],'Table S6 Recommended Values'!$A$10:$BF$398,RAVs!AM$4,FALSE)</f>
        <v>3.18163894326426</v>
      </c>
      <c r="AN48" s="249" cm="1">
        <f t="array" ref="AN48">INDEX('Table S6 Recommended Values'!$A$10:$BF$398,MATCH(RAVs!$D48,'Table S6 Recommended Values'!$A$10:$A$398,0)+1,AN$4)</f>
        <v>0.20577552701323701</v>
      </c>
      <c r="AO48" s="330"/>
      <c r="AP48" s="343">
        <f>VLOOKUP(Table245[[#This Row],[Compound Name]],'Table S6 Recommended Values'!$A$10:$BF$398,RAVs!AP$4,FALSE)</f>
        <v>48.472961613897454</v>
      </c>
      <c r="AQ48" s="249" cm="1">
        <f t="array" ref="AQ48">INDEX('Table S6 Recommended Values'!$A$10:$BF$398,MATCH(RAVs!$D48,'Table S6 Recommended Values'!$A$10:$A$398,0)+1,AQ$4)</f>
        <v>3.820620706319922</v>
      </c>
      <c r="AR48" s="330"/>
      <c r="AS48" s="343">
        <f>VLOOKUP(Table245[[#This Row],[Compound Name]],'Table S6 Recommended Values'!$A$10:$BF$398,RAVs!AS$4,FALSE)</f>
        <v>83.875</v>
      </c>
      <c r="AT48" s="249" cm="1">
        <f t="array" ref="AT48">INDEX('Table S6 Recommended Values'!$A$10:$BF$398,MATCH(RAVs!$D48,'Table S6 Recommended Values'!$A$10:$A$398,0)+1,AT$4)</f>
        <v>0.17677669529663689</v>
      </c>
      <c r="AU48" s="330"/>
    </row>
    <row r="49" spans="2:47">
      <c r="B49" s="247" t="str">
        <f>'Table S2 Compound Identifiers'!C51</f>
        <v>PBDE</v>
      </c>
      <c r="C49" s="247">
        <f>COUNTIF($D$6:D49,"&lt;&gt;"&amp;"")</f>
        <v>44</v>
      </c>
      <c r="D49" s="247" t="str">
        <f>'Table S2 Compound Identifiers'!B51</f>
        <v>BDE-66</v>
      </c>
      <c r="E49" s="247" t="str">
        <f>VLOOKUP(RAVs!$D49,'Table S3 Literature Values'!$A$10:$AV$551,E$4,FALSE)</f>
        <v>189084-61-5</v>
      </c>
      <c r="F49" s="248">
        <f>VLOOKUP(Table245[[#This Row],[Compound Name]],'Table S6 Recommended Values'!$A$10:$BD$398,RAVs!F$4,FALSE)</f>
        <v>96.745084242733</v>
      </c>
      <c r="G49" s="249" cm="1">
        <f t="array" ref="G49">INDEX('Table S6 Recommended Values'!$A$10:$BD$398,MATCH(RAVs!$D49,'Table S6 Recommended Values'!$A$10:$A$398,0)+1,G$4)</f>
        <v>2.9732634091474002</v>
      </c>
      <c r="H49" s="330"/>
      <c r="I49" s="328">
        <f>VLOOKUP(Table245[[#This Row],[Compound Name]],'Table S6 Recommended Values'!$A$10:$BD$398,RAVs!I$4,FALSE)</f>
        <v>24.285834906936699</v>
      </c>
      <c r="J49" s="249" cm="1">
        <f t="array" ref="J49">INDEX('Table S6 Recommended Values'!$A$10:$BD$398,MATCH(RAVs!$D49,'Table S6 Recommended Values'!$A$10:$A$398,0)+1,J$4)</f>
        <v>9.2176720334822306</v>
      </c>
      <c r="K49" s="330"/>
      <c r="L49" s="250">
        <f>VLOOKUP(Table245[[#This Row],[Compound Name]],'Table S6 Recommended Values'!$A$10:$BD$398,RAVs!L$4,FALSE)</f>
        <v>-8.4784341685059932</v>
      </c>
      <c r="M49" s="249" cm="1">
        <f t="array" ref="M49">INDEX('Table S6 Recommended Values'!$A$10:$BD$398,MATCH(RAVs!$D49,'Table S6 Recommended Values'!$A$10:$A$398,0)+1,M$4)</f>
        <v>6.7855581856298421</v>
      </c>
      <c r="N49" s="330"/>
      <c r="O49" s="250">
        <f>VLOOKUP(Table245[[#This Row],[Compound Name]],'Table S6 Recommended Values'!$A$10:$BD$398,RAVs!O$4,FALSE)</f>
        <v>-102.83251841123899</v>
      </c>
      <c r="P49" s="249" cm="1">
        <f t="array" ref="P49">INDEX('Table S6 Recommended Values'!$A$10:$BD$398,MATCH(RAVs!$D49,'Table S6 Recommended Values'!$A$10:$A$398,0)+1,P$4)</f>
        <v>6.0994675661399604</v>
      </c>
      <c r="Q49" s="330"/>
      <c r="R49" s="250">
        <f>VLOOKUP(Table245[[#This Row],[Compound Name]],'Table S6 Recommended Values'!$A$10:$BD$398,RAVs!R$4,FALSE)</f>
        <v>70.068137611450993</v>
      </c>
      <c r="S49" s="249" cm="1">
        <f t="array" ref="S49">INDEX('Table S6 Recommended Values'!$A$10:$BD$398,MATCH(RAVs!$D49,'Table S6 Recommended Values'!$A$10:$A$398,0)+1,S$4)</f>
        <v>8.8408910362531206</v>
      </c>
      <c r="T49" s="330"/>
      <c r="U49" s="250">
        <f>VLOOKUP(Table245[[#This Row],[Compound Name]],'Table S6 Recommended Values'!$A$10:$BD$398,RAVs!U$4,FALSE)</f>
        <v>-32.762607161096298</v>
      </c>
      <c r="V49" s="249" cm="1">
        <f t="array" ref="V49">INDEX('Table S6 Recommended Values'!$A$10:$BD$398,MATCH(RAVs!$D49,'Table S6 Recommended Values'!$A$10:$A$398,0)+1,V$4)</f>
        <v>9.2101498423274304</v>
      </c>
      <c r="W49" s="330"/>
      <c r="X49" s="343">
        <f>VLOOKUP(Table245[[#This Row],[Compound Name]],'Table S6 Recommended Values'!$A$10:$BF$398,RAVs!X$4,FALSE)</f>
        <v>10.653612349543501</v>
      </c>
      <c r="Y49" s="249" cm="1">
        <f t="array" ref="Y49">INDEX('Table S6 Recommended Values'!$A$10:$BF$398,MATCH(RAVs!$D49,'Table S6 Recommended Values'!$A$10:$A$398,0)+1,Y$4)</f>
        <v>0.33859672366201898</v>
      </c>
      <c r="Z49" s="330"/>
      <c r="AA49" s="343">
        <f>VLOOKUP(Table245[[#This Row],[Compound Name]],'Table S6 Recommended Values'!$A$10:$BF$398,RAVs!AA$4,FALSE)</f>
        <v>7.29692395552423</v>
      </c>
      <c r="AB49" s="249" cm="1">
        <f t="array" ref="AB49">INDEX('Table S6 Recommended Values'!$A$10:$BF$398,MATCH(RAVs!$D49,'Table S6 Recommended Values'!$A$10:$A$398,0)+1,AB$4)</f>
        <v>0.66132421926086304</v>
      </c>
      <c r="AC49" s="330"/>
      <c r="AD49" s="343">
        <f>VLOOKUP(Table245[[#This Row],[Compound Name]],'Table S6 Recommended Values'!$A$10:$BF$398,RAVs!AD$4,FALSE)</f>
        <v>-3.3608055451909502</v>
      </c>
      <c r="AE49" s="249" cm="1">
        <f t="array" ref="AE49">INDEX('Table S6 Recommended Values'!$A$10:$BF$398,MATCH(RAVs!$D49,'Table S6 Recommended Values'!$A$10:$A$398,0)+1,AE$4)</f>
        <v>0.60712758115786403</v>
      </c>
      <c r="AF49" s="330"/>
      <c r="AG49" s="343">
        <f>VLOOKUP(Table245[[#This Row],[Compound Name]],'Table S6 Recommended Values'!$A$10:$BF$398,RAVs!AG$4,FALSE)</f>
        <v>-3.8072279488306875</v>
      </c>
      <c r="AH49" s="249" cm="1">
        <f t="array" ref="AH49">INDEX('Table S6 Recommended Values'!$A$10:$BF$398,MATCH(RAVs!$D49,'Table S6 Recommended Values'!$A$10:$A$398,0)+1,AH$4)</f>
        <v>0.22594716665657999</v>
      </c>
      <c r="AI49" s="330"/>
      <c r="AJ49" s="343">
        <f>VLOOKUP(Table245[[#This Row],[Compound Name]],'Table S6 Recommended Values'!$A$10:$BF$398,RAVs!AJ$4,FALSE)</f>
        <v>-3.84104913227339</v>
      </c>
      <c r="AK49" s="249" cm="1">
        <f t="array" ref="AK49">INDEX('Table S6 Recommended Values'!$A$10:$BF$398,MATCH(RAVs!$D49,'Table S6 Recommended Values'!$A$10:$A$398,0)+1,AK$4)</f>
        <v>0.58346377606204103</v>
      </c>
      <c r="AL49" s="330"/>
      <c r="AM49" s="343">
        <f>VLOOKUP(Table245[[#This Row],[Compound Name]],'Table S6 Recommended Values'!$A$10:$BF$398,RAVs!AM$4,FALSE)</f>
        <v>3.4519481148068598</v>
      </c>
      <c r="AN49" s="249" cm="1">
        <f t="array" ref="AN49">INDEX('Table S6 Recommended Values'!$A$10:$BF$398,MATCH(RAVs!$D49,'Table S6 Recommended Values'!$A$10:$A$398,0)+1,AN$4)</f>
        <v>0.40337796269479897</v>
      </c>
      <c r="AO49" s="330"/>
      <c r="AP49" s="343" t="str">
        <f>VLOOKUP(Table245[[#This Row],[Compound Name]],'Table S6 Recommended Values'!$A$10:$BF$398,RAVs!AP$4,FALSE)</f>
        <v>-</v>
      </c>
      <c r="AQ49" s="249" t="str" cm="1">
        <f t="array" ref="AQ49">INDEX('Table S6 Recommended Values'!$A$10:$BF$398,MATCH(RAVs!$D49,'Table S6 Recommended Values'!$A$10:$A$398,0)+1,AQ$4)</f>
        <v>-</v>
      </c>
      <c r="AR49" s="330"/>
      <c r="AS49" s="343">
        <f>VLOOKUP(Table245[[#This Row],[Compound Name]],'Table S6 Recommended Values'!$A$10:$BF$398,RAVs!AS$4,FALSE)</f>
        <v>106</v>
      </c>
      <c r="AT49" s="249" cm="1">
        <f t="array" ref="AT49">INDEX('Table S6 Recommended Values'!$A$10:$BF$398,MATCH(RAVs!$D49,'Table S6 Recommended Values'!$A$10:$A$398,0)+1,AT$4)</f>
        <v>4.8935660219839905</v>
      </c>
      <c r="AU49" s="330"/>
    </row>
    <row r="50" spans="2:47">
      <c r="B50" s="247" t="str">
        <f>'Table S2 Compound Identifiers'!C52</f>
        <v>PBDE</v>
      </c>
      <c r="C50" s="247">
        <f>COUNTIF($D$6:D50,"&lt;&gt;"&amp;"")</f>
        <v>45</v>
      </c>
      <c r="D50" s="247" t="str">
        <f>'Table S2 Compound Identifiers'!B52</f>
        <v>BDE-71</v>
      </c>
      <c r="E50" s="247" t="str">
        <f>VLOOKUP(RAVs!$D50,'Table S3 Literature Values'!$A$10:$AV$551,E$4,FALSE)</f>
        <v>189084-62-6</v>
      </c>
      <c r="F50" s="248">
        <f>VLOOKUP(Table245[[#This Row],[Compound Name]],'Table S6 Recommended Values'!$A$10:$BD$398,RAVs!F$4,FALSE)</f>
        <v>98.83777546109711</v>
      </c>
      <c r="G50" s="249" cm="1">
        <f t="array" ref="G50">INDEX('Table S6 Recommended Values'!$A$10:$BD$398,MATCH(RAVs!$D50,'Table S6 Recommended Values'!$A$10:$A$398,0)+1,G$4)</f>
        <v>6.8552921831304401</v>
      </c>
      <c r="H50" s="330"/>
      <c r="I50" s="328">
        <f>VLOOKUP(Table245[[#This Row],[Compound Name]],'Table S6 Recommended Values'!$A$10:$BD$398,RAVs!I$4,FALSE)</f>
        <v>27.125841366049801</v>
      </c>
      <c r="J50" s="249" cm="1">
        <f t="array" ref="J50">INDEX('Table S6 Recommended Values'!$A$10:$BD$398,MATCH(RAVs!$D50,'Table S6 Recommended Values'!$A$10:$A$398,0)+1,J$4)</f>
        <v>10.3792080648631</v>
      </c>
      <c r="K50" s="330"/>
      <c r="L50" s="250">
        <f>VLOOKUP(Table245[[#This Row],[Compound Name]],'Table S6 Recommended Values'!$A$10:$BD$398,RAVs!L$4,FALSE)</f>
        <v>-2.6181324915558921</v>
      </c>
      <c r="M50" s="249" cm="1">
        <f t="array" ref="M50">INDEX('Table S6 Recommended Values'!$A$10:$BD$398,MATCH(RAVs!$D50,'Table S6 Recommended Values'!$A$10:$A$398,0)+1,M$4)</f>
        <v>9.0232483534580936</v>
      </c>
      <c r="N50" s="330"/>
      <c r="O50" s="250">
        <f>VLOOKUP(Table245[[#This Row],[Compound Name]],'Table S6 Recommended Values'!$A$10:$BD$398,RAVs!O$4,FALSE)</f>
        <v>-99.064907952653002</v>
      </c>
      <c r="P50" s="249" cm="1">
        <f t="array" ref="P50">INDEX('Table S6 Recommended Values'!$A$10:$BD$398,MATCH(RAVs!$D50,'Table S6 Recommended Values'!$A$10:$A$398,0)+1,P$4)</f>
        <v>5.86719523555292</v>
      </c>
      <c r="Q50" s="330"/>
      <c r="R50" s="250">
        <f>VLOOKUP(Table245[[#This Row],[Compound Name]],'Table S6 Recommended Values'!$A$10:$BD$398,RAVs!R$4,FALSE)</f>
        <v>69.320649487011394</v>
      </c>
      <c r="S50" s="249" cm="1">
        <f t="array" ref="S50">INDEX('Table S6 Recommended Values'!$A$10:$BD$398,MATCH(RAVs!$D50,'Table S6 Recommended Values'!$A$10:$A$398,0)+1,S$4)</f>
        <v>8.9396419599335406</v>
      </c>
      <c r="T50" s="330"/>
      <c r="U50" s="250">
        <f>VLOOKUP(Table245[[#This Row],[Compound Name]],'Table S6 Recommended Values'!$A$10:$BD$398,RAVs!U$4,FALSE)</f>
        <v>-29.745401180199</v>
      </c>
      <c r="V50" s="249" cm="1">
        <f t="array" ref="V50">INDEX('Table S6 Recommended Values'!$A$10:$BD$398,MATCH(RAVs!$D50,'Table S6 Recommended Values'!$A$10:$A$398,0)+1,V$4)</f>
        <v>9.3147501534936996</v>
      </c>
      <c r="W50" s="330"/>
      <c r="X50" s="343">
        <f>VLOOKUP(Table245[[#This Row],[Compound Name]],'Table S6 Recommended Values'!$A$10:$BF$398,RAVs!X$4,FALSE)</f>
        <v>10.4166123903406</v>
      </c>
      <c r="Y50" s="249" cm="1">
        <f t="array" ref="Y50">INDEX('Table S6 Recommended Values'!$A$10:$BF$398,MATCH(RAVs!$D50,'Table S6 Recommended Values'!$A$10:$A$398,0)+1,Y$4)</f>
        <v>0.73479135100987503</v>
      </c>
      <c r="Z50" s="330"/>
      <c r="AA50" s="343">
        <f>VLOOKUP(Table245[[#This Row],[Compound Name]],'Table S6 Recommended Values'!$A$10:$BF$398,RAVs!AA$4,FALSE)</f>
        <v>7.1848115619030999</v>
      </c>
      <c r="AB50" s="249" cm="1">
        <f t="array" ref="AB50">INDEX('Table S6 Recommended Values'!$A$10:$BF$398,MATCH(RAVs!$D50,'Table S6 Recommended Values'!$A$10:$A$398,0)+1,AB$4)</f>
        <v>1.09157270546381</v>
      </c>
      <c r="AC50" s="330"/>
      <c r="AD50" s="343">
        <f>VLOOKUP(Table245[[#This Row],[Compound Name]],'Table S6 Recommended Values'!$A$10:$BF$398,RAVs!AD$4,FALSE)</f>
        <v>-3.23753123813708</v>
      </c>
      <c r="AE50" s="249" cm="1">
        <f t="array" ref="AE50">INDEX('Table S6 Recommended Values'!$A$10:$BF$398,MATCH(RAVs!$D50,'Table S6 Recommended Values'!$A$10:$A$398,0)+1,AE$4)</f>
        <v>1.0468016611302899</v>
      </c>
      <c r="AF50" s="330"/>
      <c r="AG50" s="343">
        <f>VLOOKUP(Table245[[#This Row],[Compound Name]],'Table S6 Recommended Values'!$A$10:$BF$398,RAVs!AG$4,FALSE)</f>
        <v>-3.7778540968785665</v>
      </c>
      <c r="AH50" s="249" cm="1">
        <f t="array" ref="AH50">INDEX('Table S6 Recommended Values'!$A$10:$BF$398,MATCH(RAVs!$D50,'Table S6 Recommended Values'!$A$10:$A$398,0)+1,AH$4)</f>
        <v>0.72709930404293899</v>
      </c>
      <c r="AI50" s="330"/>
      <c r="AJ50" s="343">
        <f>VLOOKUP(Table245[[#This Row],[Compound Name]],'Table S6 Recommended Values'!$A$10:$BF$398,RAVs!AJ$4,FALSE)</f>
        <v>-3.9361683873742699</v>
      </c>
      <c r="AK50" s="249" cm="1">
        <f t="array" ref="AK50">INDEX('Table S6 Recommended Values'!$A$10:$BF$398,MATCH(RAVs!$D50,'Table S6 Recommended Values'!$A$10:$A$398,0)+1,AK$4)</f>
        <v>1.08523963314698</v>
      </c>
      <c r="AL50" s="330"/>
      <c r="AM50" s="343">
        <f>VLOOKUP(Table245[[#This Row],[Compound Name]],'Table S6 Recommended Values'!$A$10:$BF$398,RAVs!AM$4,FALSE)</f>
        <v>3.2453470852557702</v>
      </c>
      <c r="AN50" s="249" cm="1">
        <f t="array" ref="AN50">INDEX('Table S6 Recommended Values'!$A$10:$BF$398,MATCH(RAVs!$D50,'Table S6 Recommended Values'!$A$10:$A$398,0)+1,AN$4)</f>
        <v>0.90316967786757096</v>
      </c>
      <c r="AO50" s="330"/>
      <c r="AP50" s="343" t="str">
        <f>VLOOKUP(Table245[[#This Row],[Compound Name]],'Table S6 Recommended Values'!$A$10:$BF$398,RAVs!AP$4,FALSE)</f>
        <v>-</v>
      </c>
      <c r="AQ50" s="249" t="str" cm="1">
        <f t="array" ref="AQ50">INDEX('Table S6 Recommended Values'!$A$10:$BF$398,MATCH(RAVs!$D50,'Table S6 Recommended Values'!$A$10:$A$398,0)+1,AQ$4)</f>
        <v>-</v>
      </c>
      <c r="AR50" s="330"/>
      <c r="AS50" s="343" t="str">
        <f>VLOOKUP(Table245[[#This Row],[Compound Name]],'Table S6 Recommended Values'!$A$10:$BF$398,RAVs!AS$4,FALSE)</f>
        <v>-</v>
      </c>
      <c r="AT50" s="249" t="str" cm="1">
        <f t="array" ref="AT50">INDEX('Table S6 Recommended Values'!$A$10:$BF$398,MATCH(RAVs!$D50,'Table S6 Recommended Values'!$A$10:$A$398,0)+1,AT$4)</f>
        <v>-</v>
      </c>
      <c r="AU50" s="330"/>
    </row>
    <row r="51" spans="2:47">
      <c r="B51" s="247" t="str">
        <f>'Table S2 Compound Identifiers'!C53</f>
        <v>PBDE</v>
      </c>
      <c r="C51" s="247">
        <f>COUNTIF($D$6:D51,"&lt;&gt;"&amp;"")</f>
        <v>46</v>
      </c>
      <c r="D51" s="247" t="str">
        <f>'Table S2 Compound Identifiers'!B53</f>
        <v>BDE-100</v>
      </c>
      <c r="E51" s="247" t="str">
        <f>VLOOKUP(RAVs!$D51,'Table S3 Literature Values'!$A$10:$AV$551,E$4,FALSE)</f>
        <v>189084-64-8</v>
      </c>
      <c r="F51" s="248">
        <f>VLOOKUP(Table245[[#This Row],[Compound Name]],'Table S6 Recommended Values'!$A$10:$BD$398,RAVs!F$4,FALSE)</f>
        <v>110.265561231776</v>
      </c>
      <c r="G51" s="249" cm="1">
        <f t="array" ref="G51">INDEX('Table S6 Recommended Values'!$A$10:$BD$398,MATCH(RAVs!$D51,'Table S6 Recommended Values'!$A$10:$A$398,0)+1,G$4)</f>
        <v>13.1677880977422</v>
      </c>
      <c r="H51" s="330"/>
      <c r="I51" s="328">
        <f>VLOOKUP(Table245[[#This Row],[Compound Name]],'Table S6 Recommended Values'!$A$10:$BD$398,RAVs!I$4,FALSE)</f>
        <v>20.670053204734501</v>
      </c>
      <c r="J51" s="249" cm="1">
        <f t="array" ref="J51">INDEX('Table S6 Recommended Values'!$A$10:$BD$398,MATCH(RAVs!$D51,'Table S6 Recommended Values'!$A$10:$A$398,0)+1,J$4)</f>
        <v>14.232262349526</v>
      </c>
      <c r="K51" s="330"/>
      <c r="L51" s="250">
        <f>VLOOKUP(Table245[[#This Row],[Compound Name]],'Table S6 Recommended Values'!$A$10:$BD$398,RAVs!L$4,FALSE)</f>
        <v>-12.192588175664989</v>
      </c>
      <c r="M51" s="249" cm="1">
        <f t="array" ref="M51">INDEX('Table S6 Recommended Values'!$A$10:$BD$398,MATCH(RAVs!$D51,'Table S6 Recommended Values'!$A$10:$A$398,0)+1,M$4)</f>
        <v>14.947578484841124</v>
      </c>
      <c r="N51" s="330"/>
      <c r="O51" s="250">
        <f>VLOOKUP(Table245[[#This Row],[Compound Name]],'Table S6 Recommended Values'!$A$10:$BD$398,RAVs!O$4,FALSE)</f>
        <v>-120.06714940744099</v>
      </c>
      <c r="P51" s="249" cm="1">
        <f t="array" ref="P51">INDEX('Table S6 Recommended Values'!$A$10:$BD$398,MATCH(RAVs!$D51,'Table S6 Recommended Values'!$A$10:$A$398,0)+1,P$4)</f>
        <v>7.0738574465028696</v>
      </c>
      <c r="Q51" s="330"/>
      <c r="R51" s="250">
        <f>VLOOKUP(Table245[[#This Row],[Compound Name]],'Table S6 Recommended Values'!$A$10:$BD$398,RAVs!R$4,FALSE)</f>
        <v>87.202469604169195</v>
      </c>
      <c r="S51" s="249" cm="1">
        <f t="array" ref="S51">INDEX('Table S6 Recommended Values'!$A$10:$BD$398,MATCH(RAVs!$D51,'Table S6 Recommended Values'!$A$10:$A$398,0)+1,S$4)</f>
        <v>9.4522492650654399</v>
      </c>
      <c r="T51" s="330"/>
      <c r="U51" s="250">
        <f>VLOOKUP(Table245[[#This Row],[Compound Name]],'Table S6 Recommended Values'!$A$10:$BD$398,RAVs!U$4,FALSE)</f>
        <v>-32.862614187262601</v>
      </c>
      <c r="V51" s="249" cm="1">
        <f t="array" ref="V51">INDEX('Table S6 Recommended Values'!$A$10:$BD$398,MATCH(RAVs!$D51,'Table S6 Recommended Values'!$A$10:$A$398,0)+1,V$4)</f>
        <v>9.2134856976225095</v>
      </c>
      <c r="W51" s="330"/>
      <c r="X51" s="343">
        <f>VLOOKUP(Table245[[#This Row],[Compound Name]],'Table S6 Recommended Values'!$A$10:$BF$398,RAVs!X$4,FALSE)</f>
        <v>11.371978377222</v>
      </c>
      <c r="Y51" s="249" cm="1">
        <f t="array" ref="Y51">INDEX('Table S6 Recommended Values'!$A$10:$BF$398,MATCH(RAVs!$D51,'Table S6 Recommended Values'!$A$10:$A$398,0)+1,Y$4)</f>
        <v>0.28448299652870201</v>
      </c>
      <c r="Z51" s="330"/>
      <c r="AA51" s="343">
        <f>VLOOKUP(Table245[[#This Row],[Compound Name]],'Table S6 Recommended Values'!$A$10:$BF$398,RAVs!AA$4,FALSE)</f>
        <v>7.54704028976027</v>
      </c>
      <c r="AB51" s="249" cm="1">
        <f t="array" ref="AB51">INDEX('Table S6 Recommended Values'!$A$10:$BF$398,MATCH(RAVs!$D51,'Table S6 Recommended Values'!$A$10:$A$398,0)+1,AB$4)</f>
        <v>0.31857920585134603</v>
      </c>
      <c r="AC51" s="330"/>
      <c r="AD51" s="343">
        <f>VLOOKUP(Table245[[#This Row],[Compound Name]],'Table S6 Recommended Values'!$A$10:$BF$398,RAVs!AD$4,FALSE)</f>
        <v>-3.83462569484987</v>
      </c>
      <c r="AE51" s="249" cm="1">
        <f t="array" ref="AE51">INDEX('Table S6 Recommended Values'!$A$10:$BF$398,MATCH(RAVs!$D51,'Table S6 Recommended Values'!$A$10:$A$398,0)+1,AE$4)</f>
        <v>0.248212274400232</v>
      </c>
      <c r="AF51" s="330"/>
      <c r="AG51" s="343">
        <f>VLOOKUP(Table245[[#This Row],[Compound Name]],'Table S6 Recommended Values'!$A$10:$BF$398,RAVs!AG$4,FALSE)</f>
        <v>-4.422310371647777</v>
      </c>
      <c r="AH51" s="249" cm="1">
        <f t="array" ref="AH51">INDEX('Table S6 Recommended Values'!$A$10:$BF$398,MATCH(RAVs!$D51,'Table S6 Recommended Values'!$A$10:$A$398,0)+1,AH$4)</f>
        <v>0.139920148871859</v>
      </c>
      <c r="AI51" s="330"/>
      <c r="AJ51" s="343">
        <f>VLOOKUP(Table245[[#This Row],[Compound Name]],'Table S6 Recommended Values'!$A$10:$BF$398,RAVs!AJ$4,FALSE)</f>
        <v>-3.9808534739077102</v>
      </c>
      <c r="AK51" s="249" cm="1">
        <f t="array" ref="AK51">INDEX('Table S6 Recommended Values'!$A$10:$BF$398,MATCH(RAVs!$D51,'Table S6 Recommended Values'!$A$10:$A$398,0)+1,AK$4)</f>
        <v>0.200155036259486</v>
      </c>
      <c r="AL51" s="330"/>
      <c r="AM51" s="343">
        <f>VLOOKUP(Table245[[#This Row],[Compound Name]],'Table S6 Recommended Values'!$A$10:$BF$398,RAVs!AM$4,FALSE)</f>
        <v>3.55510381627239</v>
      </c>
      <c r="AN51" s="249" cm="1">
        <f t="array" ref="AN51">INDEX('Table S6 Recommended Values'!$A$10:$BF$398,MATCH(RAVs!$D51,'Table S6 Recommended Values'!$A$10:$A$398,0)+1,AN$4)</f>
        <v>0.29695818284262698</v>
      </c>
      <c r="AO51" s="330"/>
      <c r="AP51" s="343" t="str">
        <f>VLOOKUP(Table245[[#This Row],[Compound Name]],'Table S6 Recommended Values'!$A$10:$BF$398,RAVs!AP$4,FALSE)</f>
        <v>-</v>
      </c>
      <c r="AQ51" s="249" t="str" cm="1">
        <f t="array" ref="AQ51">INDEX('Table S6 Recommended Values'!$A$10:$BF$398,MATCH(RAVs!$D51,'Table S6 Recommended Values'!$A$10:$A$398,0)+1,AQ$4)</f>
        <v>-</v>
      </c>
      <c r="AR51" s="330"/>
      <c r="AS51" s="343">
        <f>VLOOKUP(Table245[[#This Row],[Compound Name]],'Table S6 Recommended Values'!$A$10:$BF$398,RAVs!AS$4,FALSE)</f>
        <v>99</v>
      </c>
      <c r="AT51" s="249" cm="1">
        <f t="array" ref="AT51">INDEX('Table S6 Recommended Values'!$A$10:$BF$398,MATCH(RAVs!$D51,'Table S6 Recommended Values'!$A$10:$A$398,0)+1,AT$4)</f>
        <v>2.1213203435596424</v>
      </c>
      <c r="AU51" s="330"/>
    </row>
    <row r="52" spans="2:47">
      <c r="B52" s="247" t="str">
        <f>'Table S2 Compound Identifiers'!C54</f>
        <v>PBDE</v>
      </c>
      <c r="C52" s="247">
        <f>COUNTIF($D$6:D52,"&lt;&gt;"&amp;"")</f>
        <v>47</v>
      </c>
      <c r="D52" s="247" t="str">
        <f>'Table S2 Compound Identifiers'!B54</f>
        <v>BDE-99</v>
      </c>
      <c r="E52" s="247" t="str">
        <f>VLOOKUP(RAVs!$D52,'Table S3 Literature Values'!$A$10:$AV$551,E$4,FALSE)</f>
        <v>60348-60-9</v>
      </c>
      <c r="F52" s="248">
        <f>VLOOKUP(Table245[[#This Row],[Compound Name]],'Table S6 Recommended Values'!$A$10:$BD$398,RAVs!F$4,FALSE)</f>
        <v>95.078806714233011</v>
      </c>
      <c r="G52" s="249" cm="1">
        <f t="array" ref="G52">INDEX('Table S6 Recommended Values'!$A$10:$BD$398,MATCH(RAVs!$D52,'Table S6 Recommended Values'!$A$10:$A$398,0)+1,G$4)</f>
        <v>7.7200235353773801</v>
      </c>
      <c r="H52" s="330"/>
      <c r="I52" s="328">
        <f>VLOOKUP(Table245[[#This Row],[Compound Name]],'Table S6 Recommended Values'!$A$10:$BD$398,RAVs!I$4,FALSE)</f>
        <v>5.3302024442912197</v>
      </c>
      <c r="J52" s="249" cm="1">
        <f t="array" ref="J52">INDEX('Table S6 Recommended Values'!$A$10:$BD$398,MATCH(RAVs!$D52,'Table S6 Recommended Values'!$A$10:$A$398,0)+1,J$4)</f>
        <v>5.4919223822076102</v>
      </c>
      <c r="K52" s="330"/>
      <c r="L52" s="250">
        <f>VLOOKUP(Table245[[#This Row],[Compound Name]],'Table S6 Recommended Values'!$A$10:$BD$398,RAVs!L$4,FALSE)</f>
        <v>-19.906828325493983</v>
      </c>
      <c r="M52" s="249" cm="1">
        <f t="array" ref="M52">INDEX('Table S6 Recommended Values'!$A$10:$BD$398,MATCH(RAVs!$D52,'Table S6 Recommended Values'!$A$10:$A$398,0)+1,M$4)</f>
        <v>15.275740615765221</v>
      </c>
      <c r="N52" s="330"/>
      <c r="O52" s="250">
        <f>VLOOKUP(Table245[[#This Row],[Compound Name]],'Table S6 Recommended Values'!$A$10:$BD$398,RAVs!O$4,FALSE)</f>
        <v>-112.594635039727</v>
      </c>
      <c r="P52" s="249" cm="1">
        <f t="array" ref="P52">INDEX('Table S6 Recommended Values'!$A$10:$BD$398,MATCH(RAVs!$D52,'Table S6 Recommended Values'!$A$10:$A$398,0)+1,P$4)</f>
        <v>13.181406904172199</v>
      </c>
      <c r="Q52" s="330"/>
      <c r="R52" s="250">
        <f>VLOOKUP(Table245[[#This Row],[Compound Name]],'Table S6 Recommended Values'!$A$10:$BD$398,RAVs!R$4,FALSE)</f>
        <v>87.354438621510397</v>
      </c>
      <c r="S52" s="249" cm="1">
        <f t="array" ref="S52">INDEX('Table S6 Recommended Values'!$A$10:$BD$398,MATCH(RAVs!$D52,'Table S6 Recommended Values'!$A$10:$A$398,0)+1,S$4)</f>
        <v>8.3994961738209994</v>
      </c>
      <c r="T52" s="330"/>
      <c r="U52" s="250">
        <f>VLOOKUP(Table245[[#This Row],[Compound Name]],'Table S6 Recommended Values'!$A$10:$BD$398,RAVs!U$4,FALSE)</f>
        <v>-25.2408735210076</v>
      </c>
      <c r="V52" s="249" cm="1">
        <f t="array" ref="V52">INDEX('Table S6 Recommended Values'!$A$10:$BD$398,MATCH(RAVs!$D52,'Table S6 Recommended Values'!$A$10:$A$398,0)+1,V$4)</f>
        <v>11.0913925474383</v>
      </c>
      <c r="W52" s="330"/>
      <c r="X52" s="343">
        <f>VLOOKUP(Table245[[#This Row],[Compound Name]],'Table S6 Recommended Values'!$A$10:$BF$398,RAVs!X$4,FALSE)</f>
        <v>11.210520199134301</v>
      </c>
      <c r="Y52" s="249" cm="1">
        <f t="array" ref="Y52">INDEX('Table S6 Recommended Values'!$A$10:$BF$398,MATCH(RAVs!$D52,'Table S6 Recommended Values'!$A$10:$A$398,0)+1,Y$4)</f>
        <v>0.15870641472172201</v>
      </c>
      <c r="Z52" s="330"/>
      <c r="AA52" s="343">
        <f>VLOOKUP(Table245[[#This Row],[Compound Name]],'Table S6 Recommended Values'!$A$10:$BF$398,RAVs!AA$4,FALSE)</f>
        <v>7.7000566676636497</v>
      </c>
      <c r="AB52" s="249" cm="1">
        <f t="array" ref="AB52">INDEX('Table S6 Recommended Values'!$A$10:$BF$398,MATCH(RAVs!$D52,'Table S6 Recommended Values'!$A$10:$A$398,0)+1,AB$4)</f>
        <v>0.317120714066288</v>
      </c>
      <c r="AC52" s="330"/>
      <c r="AD52" s="343">
        <f>VLOOKUP(Table245[[#This Row],[Compound Name]],'Table S6 Recommended Values'!$A$10:$BF$398,RAVs!AD$4,FALSE)</f>
        <v>-3.5319776614984302</v>
      </c>
      <c r="AE52" s="249" cm="1">
        <f t="array" ref="AE52">INDEX('Table S6 Recommended Values'!$A$10:$BF$398,MATCH(RAVs!$D52,'Table S6 Recommended Values'!$A$10:$A$398,0)+1,AE$4)</f>
        <v>0.31356666210254502</v>
      </c>
      <c r="AF52" s="330"/>
      <c r="AG52" s="343">
        <f>VLOOKUP(Table245[[#This Row],[Compound Name]],'Table S6 Recommended Values'!$A$10:$BF$398,RAVs!AG$4,FALSE)</f>
        <v>-4.4764912138579671</v>
      </c>
      <c r="AH52" s="249" cm="1">
        <f t="array" ref="AH52">INDEX('Table S6 Recommended Values'!$A$10:$BF$398,MATCH(RAVs!$D52,'Table S6 Recommended Values'!$A$10:$A$398,0)+1,AH$4)</f>
        <v>0.24307055527278701</v>
      </c>
      <c r="AI52" s="330"/>
      <c r="AJ52" s="343">
        <f>VLOOKUP(Table245[[#This Row],[Compound Name]],'Table S6 Recommended Values'!$A$10:$BF$398,RAVs!AJ$4,FALSE)</f>
        <v>-4.3432215353298904</v>
      </c>
      <c r="AK52" s="249" cm="1">
        <f t="array" ref="AK52">INDEX('Table S6 Recommended Values'!$A$10:$BF$398,MATCH(RAVs!$D52,'Table S6 Recommended Values'!$A$10:$A$398,0)+1,AK$4)</f>
        <v>0.25835071847219798</v>
      </c>
      <c r="AL52" s="330"/>
      <c r="AM52" s="343">
        <f>VLOOKUP(Table245[[#This Row],[Compound Name]],'Table S6 Recommended Values'!$A$10:$BF$398,RAVs!AM$4,FALSE)</f>
        <v>3.3428501823262202</v>
      </c>
      <c r="AN52" s="249" cm="1">
        <f t="array" ref="AN52">INDEX('Table S6 Recommended Values'!$A$10:$BF$398,MATCH(RAVs!$D52,'Table S6 Recommended Values'!$A$10:$A$398,0)+1,AN$4)</f>
        <v>0.27569716125232602</v>
      </c>
      <c r="AO52" s="330"/>
      <c r="AP52" s="343">
        <f>VLOOKUP(Table245[[#This Row],[Compound Name]],'Table S6 Recommended Values'!$A$10:$BF$398,RAVs!AP$4,FALSE)</f>
        <v>77.464788732394354</v>
      </c>
      <c r="AQ52" s="249" cm="1">
        <f t="array" ref="AQ52">INDEX('Table S6 Recommended Values'!$A$10:$BF$398,MATCH(RAVs!$D52,'Table S6 Recommended Values'!$A$10:$A$398,0)+1,AQ$4)</f>
        <v>6.1057456773350891</v>
      </c>
      <c r="AR52" s="330"/>
      <c r="AS52" s="343">
        <f>VLOOKUP(Table245[[#This Row],[Compound Name]],'Table S6 Recommended Values'!$A$10:$BF$398,RAVs!AS$4,FALSE)</f>
        <v>86.283333333333346</v>
      </c>
      <c r="AT52" s="249" cm="1">
        <f t="array" ref="AT52">INDEX('Table S6 Recommended Values'!$A$10:$BF$398,MATCH(RAVs!$D52,'Table S6 Recommended Values'!$A$10:$A$398,0)+1,AT$4)</f>
        <v>7.5306872196367154</v>
      </c>
      <c r="AU52" s="330"/>
    </row>
    <row r="53" spans="2:47">
      <c r="B53" s="247" t="str">
        <f>'Table S2 Compound Identifiers'!C55</f>
        <v>PCB</v>
      </c>
      <c r="C53" s="247">
        <f>COUNTIF($D$6:D53,"&lt;&gt;"&amp;"")</f>
        <v>48</v>
      </c>
      <c r="D53" s="247" t="str">
        <f>'Table S2 Compound Identifiers'!B55</f>
        <v>PCB-19</v>
      </c>
      <c r="E53" s="247" t="str">
        <f>VLOOKUP(RAVs!$D53,'Table S3 Literature Values'!$A$10:$AV$551,E$4,FALSE)</f>
        <v>38444-73-4</v>
      </c>
      <c r="F53" s="248">
        <f>VLOOKUP(Table245[[#This Row],[Compound Name]],'Table S6 Recommended Values'!$A$10:$BD$398,RAVs!F$4,FALSE)</f>
        <v>74.54227018723391</v>
      </c>
      <c r="G53" s="249" cm="1">
        <f t="array" ref="G53">INDEX('Table S6 Recommended Values'!$A$10:$BD$398,MATCH(RAVs!$D53,'Table S6 Recommended Values'!$A$10:$A$398,0)+1,G$4)</f>
        <v>3.16183298586615</v>
      </c>
      <c r="H53" s="330"/>
      <c r="I53" s="328">
        <f>VLOOKUP(Table245[[#This Row],[Compound Name]],'Table S6 Recommended Values'!$A$10:$BD$398,RAVs!I$4,FALSE)</f>
        <v>33.2977330774061</v>
      </c>
      <c r="J53" s="249" cm="1">
        <f t="array" ref="J53">INDEX('Table S6 Recommended Values'!$A$10:$BD$398,MATCH(RAVs!$D53,'Table S6 Recommended Values'!$A$10:$A$398,0)+1,J$4)</f>
        <v>6.3924393364521901</v>
      </c>
      <c r="K53" s="330"/>
      <c r="L53" s="250">
        <f>VLOOKUP(Table245[[#This Row],[Compound Name]],'Table S6 Recommended Values'!$A$10:$BD$398,RAVs!L$4,FALSE)</f>
        <v>12.617957460749613</v>
      </c>
      <c r="M53" s="249" cm="1">
        <f t="array" ref="M53">INDEX('Table S6 Recommended Values'!$A$10:$BD$398,MATCH(RAVs!$D53,'Table S6 Recommended Values'!$A$10:$A$398,0)+1,M$4)</f>
        <v>6.8101963461447799</v>
      </c>
      <c r="N53" s="330"/>
      <c r="O53" s="250">
        <f>VLOOKUP(Table245[[#This Row],[Compound Name]],'Table S6 Recommended Values'!$A$10:$BD$398,RAVs!O$4,FALSE)</f>
        <v>-59.533312726484297</v>
      </c>
      <c r="P53" s="249" cm="1">
        <f t="array" ref="P53">INDEX('Table S6 Recommended Values'!$A$10:$BD$398,MATCH(RAVs!$D53,'Table S6 Recommended Values'!$A$10:$A$398,0)+1,P$4)</f>
        <v>6.0317150498454799</v>
      </c>
      <c r="Q53" s="330"/>
      <c r="R53" s="250">
        <f>VLOOKUP(Table245[[#This Row],[Compound Name]],'Table S6 Recommended Values'!$A$10:$BD$398,RAVs!R$4,FALSE)</f>
        <v>38.857509926811701</v>
      </c>
      <c r="S53" s="249" cm="1">
        <f t="array" ref="S53">INDEX('Table S6 Recommended Values'!$A$10:$BD$398,MATCH(RAVs!$D53,'Table S6 Recommended Values'!$A$10:$A$398,0)+1,S$4)</f>
        <v>6.5933104179773601</v>
      </c>
      <c r="T53" s="330"/>
      <c r="U53" s="250">
        <f>VLOOKUP(Table245[[#This Row],[Compound Name]],'Table S6 Recommended Values'!$A$10:$BD$398,RAVs!U$4,FALSE)</f>
        <v>-20.675881652071201</v>
      </c>
      <c r="V53" s="249" cm="1">
        <f t="array" ref="V53">INDEX('Table S6 Recommended Values'!$A$10:$BD$398,MATCH(RAVs!$D53,'Table S6 Recommended Values'!$A$10:$A$398,0)+1,V$4)</f>
        <v>7.8662392802909897</v>
      </c>
      <c r="W53" s="330"/>
      <c r="X53" s="343">
        <f>VLOOKUP(Table245[[#This Row],[Compound Name]],'Table S6 Recommended Values'!$A$10:$BF$398,RAVs!X$4,FALSE)</f>
        <v>7.5282375807369197</v>
      </c>
      <c r="Y53" s="249" cm="1">
        <f t="array" ref="Y53">INDEX('Table S6 Recommended Values'!$A$10:$BF$398,MATCH(RAVs!$D53,'Table S6 Recommended Values'!$A$10:$A$398,0)+1,Y$4)</f>
        <v>0.16986643240225099</v>
      </c>
      <c r="Z53" s="330"/>
      <c r="AA53" s="343">
        <f>VLOOKUP(Table245[[#This Row],[Compound Name]],'Table S6 Recommended Values'!$A$10:$BF$398,RAVs!AA$4,FALSE)</f>
        <v>5.5546974422833797</v>
      </c>
      <c r="AB53" s="249" cm="1">
        <f t="array" ref="AB53">INDEX('Table S6 Recommended Values'!$A$10:$BF$398,MATCH(RAVs!$D53,'Table S6 Recommended Values'!$A$10:$A$398,0)+1,AB$4)</f>
        <v>0.22645594757467599</v>
      </c>
      <c r="AC53" s="330"/>
      <c r="AD53" s="343">
        <f>VLOOKUP(Table245[[#This Row],[Compound Name]],'Table S6 Recommended Values'!$A$10:$BF$398,RAVs!AD$4,FALSE)</f>
        <v>-1.95613136733332</v>
      </c>
      <c r="AE53" s="249" cm="1">
        <f t="array" ref="AE53">INDEX('Table S6 Recommended Values'!$A$10:$BF$398,MATCH(RAVs!$D53,'Table S6 Recommended Values'!$A$10:$A$398,0)+1,AE$4)</f>
        <v>0.14117341542529999</v>
      </c>
      <c r="AF53" s="330"/>
      <c r="AG53" s="343">
        <f>VLOOKUP(Table245[[#This Row],[Compound Name]],'Table S6 Recommended Values'!$A$10:$BF$398,RAVs!AG$4,FALSE)</f>
        <v>-1.1540233135026061</v>
      </c>
      <c r="AH53" s="249" cm="1">
        <f t="array" ref="AH53">INDEX('Table S6 Recommended Values'!$A$10:$BF$398,MATCH(RAVs!$D53,'Table S6 Recommended Values'!$A$10:$A$398,0)+1,AH$4)</f>
        <v>0.12579204715749501</v>
      </c>
      <c r="AI53" s="330"/>
      <c r="AJ53" s="343">
        <f>VLOOKUP(Table245[[#This Row],[Compound Name]],'Table S6 Recommended Values'!$A$10:$BF$398,RAVs!AJ$4,FALSE)</f>
        <v>-2.57792999767367</v>
      </c>
      <c r="AK53" s="249" cm="1">
        <f t="array" ref="AK53">INDEX('Table S6 Recommended Values'!$A$10:$BF$398,MATCH(RAVs!$D53,'Table S6 Recommended Values'!$A$10:$A$398,0)+1,AK$4)</f>
        <v>0.170756190715766</v>
      </c>
      <c r="AL53" s="330"/>
      <c r="AM53" s="343">
        <f>VLOOKUP(Table245[[#This Row],[Compound Name]],'Table S6 Recommended Values'!$A$10:$BF$398,RAVs!AM$4,FALSE)</f>
        <v>2.9777101582362402</v>
      </c>
      <c r="AN53" s="249" cm="1">
        <f t="array" ref="AN53">INDEX('Table S6 Recommended Values'!$A$10:$BF$398,MATCH(RAVs!$D53,'Table S6 Recommended Values'!$A$10:$A$398,0)+1,AN$4)</f>
        <v>0.209523626788719</v>
      </c>
      <c r="AO53" s="330"/>
      <c r="AP53" s="343" t="str">
        <f>VLOOKUP(Table245[[#This Row],[Compound Name]],'Table S6 Recommended Values'!$A$10:$BF$398,RAVs!AP$4,FALSE)</f>
        <v>-</v>
      </c>
      <c r="AQ53" s="249" t="str" cm="1">
        <f t="array" ref="AQ53">INDEX('Table S6 Recommended Values'!$A$10:$BF$398,MATCH(RAVs!$D53,'Table S6 Recommended Values'!$A$10:$A$398,0)+1,AQ$4)</f>
        <v>-</v>
      </c>
      <c r="AR53" s="330"/>
      <c r="AS53" s="343">
        <f>VLOOKUP(Table245[[#This Row],[Compound Name]],'Table S6 Recommended Values'!$A$10:$BF$398,RAVs!AS$4,FALSE)</f>
        <v>91</v>
      </c>
      <c r="AT53" s="249" cm="1">
        <f t="array" ref="AT53">INDEX('Table S6 Recommended Values'!$A$10:$BF$398,MATCH(RAVs!$D53,'Table S6 Recommended Values'!$A$10:$A$398,0)+1,AT$4)</f>
        <v>4.2010802641560678</v>
      </c>
      <c r="AU53" s="330"/>
    </row>
    <row r="54" spans="2:47">
      <c r="B54" s="247" t="str">
        <f>'Table S2 Compound Identifiers'!C56</f>
        <v>PCB</v>
      </c>
      <c r="C54" s="247">
        <f>COUNTIF($D$6:D54,"&lt;&gt;"&amp;"")</f>
        <v>49</v>
      </c>
      <c r="D54" s="247" t="str">
        <f>'Table S2 Compound Identifiers'!B56</f>
        <v>PCB-34</v>
      </c>
      <c r="E54" s="247" t="str">
        <f>VLOOKUP(RAVs!$D54,'Table S3 Literature Values'!$A$10:$AV$551,E$4,FALSE)</f>
        <v>37680-68-5</v>
      </c>
      <c r="F54" s="248">
        <f>VLOOKUP(Table245[[#This Row],[Compound Name]],'Table S6 Recommended Values'!$A$10:$BD$398,RAVs!F$4,FALSE)</f>
        <v>79.658064885208802</v>
      </c>
      <c r="G54" s="249" cm="1">
        <f t="array" ref="G54">INDEX('Table S6 Recommended Values'!$A$10:$BD$398,MATCH(RAVs!$D54,'Table S6 Recommended Values'!$A$10:$A$398,0)+1,G$4)</f>
        <v>3.0854644487462801</v>
      </c>
      <c r="H54" s="330"/>
      <c r="I54" s="328">
        <f>VLOOKUP(Table245[[#This Row],[Compound Name]],'Table S6 Recommended Values'!$A$10:$BD$398,RAVs!I$4,FALSE)</f>
        <v>21.9018567135825</v>
      </c>
      <c r="J54" s="249" cm="1">
        <f t="array" ref="J54">INDEX('Table S6 Recommended Values'!$A$10:$BD$398,MATCH(RAVs!$D54,'Table S6 Recommended Values'!$A$10:$A$398,0)+1,J$4)</f>
        <v>6.2886405151248397</v>
      </c>
      <c r="K54" s="330"/>
      <c r="L54" s="250">
        <f>VLOOKUP(Table245[[#This Row],[Compound Name]],'Table S6 Recommended Values'!$A$10:$BD$398,RAVs!L$4,FALSE)</f>
        <v>6.2869760246508033</v>
      </c>
      <c r="M54" s="249" cm="1">
        <f t="array" ref="M54">INDEX('Table S6 Recommended Values'!$A$10:$BD$398,MATCH(RAVs!$D54,'Table S6 Recommended Values'!$A$10:$A$398,0)+1,M$4)</f>
        <v>5.1752168805071799</v>
      </c>
      <c r="N54" s="330"/>
      <c r="O54" s="250">
        <f>VLOOKUP(Table245[[#This Row],[Compound Name]],'Table S6 Recommended Values'!$A$10:$BD$398,RAVs!O$4,FALSE)</f>
        <v>-70.980088860557998</v>
      </c>
      <c r="P54" s="249" cm="1">
        <f t="array" ref="P54">INDEX('Table S6 Recommended Values'!$A$10:$BD$398,MATCH(RAVs!$D54,'Table S6 Recommended Values'!$A$10:$A$398,0)+1,P$4)</f>
        <v>4.1548500449245198</v>
      </c>
      <c r="Q54" s="330"/>
      <c r="R54" s="250">
        <f>VLOOKUP(Table245[[#This Row],[Compound Name]],'Table S6 Recommended Values'!$A$10:$BD$398,RAVs!R$4,FALSE)</f>
        <v>55.361724550472097</v>
      </c>
      <c r="S54" s="249" cm="1">
        <f t="array" ref="S54">INDEX('Table S6 Recommended Values'!$A$10:$BD$398,MATCH(RAVs!$D54,'Table S6 Recommended Values'!$A$10:$A$398,0)+1,S$4)</f>
        <v>6.1033796707143999</v>
      </c>
      <c r="T54" s="330"/>
      <c r="U54" s="250">
        <f>VLOOKUP(Table245[[#This Row],[Compound Name]],'Table S6 Recommended Values'!$A$10:$BD$398,RAVs!U$4,FALSE)</f>
        <v>-15.6220472126061</v>
      </c>
      <c r="V54" s="249" cm="1">
        <f t="array" ref="V54">INDEX('Table S6 Recommended Values'!$A$10:$BD$398,MATCH(RAVs!$D54,'Table S6 Recommended Values'!$A$10:$A$398,0)+1,V$4)</f>
        <v>5.9606949474203503</v>
      </c>
      <c r="W54" s="330"/>
      <c r="X54" s="343">
        <f>VLOOKUP(Table245[[#This Row],[Compound Name]],'Table S6 Recommended Values'!$A$10:$BF$398,RAVs!X$4,FALSE)</f>
        <v>7.9699114338175496</v>
      </c>
      <c r="Y54" s="249" cm="1">
        <f t="array" ref="Y54">INDEX('Table S6 Recommended Values'!$A$10:$BF$398,MATCH(RAVs!$D54,'Table S6 Recommended Values'!$A$10:$A$398,0)+1,Y$4)</f>
        <v>0.19234963557721901</v>
      </c>
      <c r="Z54" s="330"/>
      <c r="AA54" s="343">
        <f>VLOOKUP(Table245[[#This Row],[Compound Name]],'Table S6 Recommended Values'!$A$10:$BF$398,RAVs!AA$4,FALSE)</f>
        <v>6.0089549297799696</v>
      </c>
      <c r="AB54" s="249" cm="1">
        <f t="array" ref="AB54">INDEX('Table S6 Recommended Values'!$A$10:$BF$398,MATCH(RAVs!$D54,'Table S6 Recommended Values'!$A$10:$A$398,0)+1,AB$4)</f>
        <v>0.357572951576202</v>
      </c>
      <c r="AC54" s="330"/>
      <c r="AD54" s="343">
        <f>VLOOKUP(Table245[[#This Row],[Compound Name]],'Table S6 Recommended Values'!$A$10:$BF$398,RAVs!AD$4,FALSE)</f>
        <v>-1.9617011906930399</v>
      </c>
      <c r="AE54" s="249" cm="1">
        <f t="array" ref="AE54">INDEX('Table S6 Recommended Values'!$A$10:$BF$398,MATCH(RAVs!$D54,'Table S6 Recommended Values'!$A$10:$A$398,0)+1,AE$4)</f>
        <v>0.28691236068189302</v>
      </c>
      <c r="AF54" s="330"/>
      <c r="AG54" s="343">
        <f>VLOOKUP(Table245[[#This Row],[Compound Name]],'Table S6 Recommended Values'!$A$10:$BF$398,RAVs!AG$4,FALSE)</f>
        <v>-1.461039607966967</v>
      </c>
      <c r="AH54" s="249" cm="1">
        <f t="array" ref="AH54">INDEX('Table S6 Recommended Values'!$A$10:$BF$398,MATCH(RAVs!$D54,'Table S6 Recommended Values'!$A$10:$A$398,0)+1,AH$4)</f>
        <v>0.122511410493835</v>
      </c>
      <c r="AI54" s="330"/>
      <c r="AJ54" s="343">
        <f>VLOOKUP(Table245[[#This Row],[Compound Name]],'Table S6 Recommended Values'!$A$10:$BF$398,RAVs!AJ$4,FALSE)</f>
        <v>-2.89969323457909</v>
      </c>
      <c r="AK54" s="249" cm="1">
        <f t="array" ref="AK54">INDEX('Table S6 Recommended Values'!$A$10:$BF$398,MATCH(RAVs!$D54,'Table S6 Recommended Values'!$A$10:$A$398,0)+1,AK$4)</f>
        <v>0.28067728273391601</v>
      </c>
      <c r="AL54" s="330"/>
      <c r="AM54" s="343">
        <f>VLOOKUP(Table245[[#This Row],[Compound Name]],'Table S6 Recommended Values'!$A$10:$BF$398,RAVs!AM$4,FALSE)</f>
        <v>3.1091265826987802</v>
      </c>
      <c r="AN54" s="249" cm="1">
        <f t="array" ref="AN54">INDEX('Table S6 Recommended Values'!$A$10:$BF$398,MATCH(RAVs!$D54,'Table S6 Recommended Values'!$A$10:$A$398,0)+1,AN$4)</f>
        <v>0.232009329095544</v>
      </c>
      <c r="AO54" s="330"/>
      <c r="AP54" s="343" t="str">
        <f>VLOOKUP(Table245[[#This Row],[Compound Name]],'Table S6 Recommended Values'!$A$10:$BF$398,RAVs!AP$4,FALSE)</f>
        <v>-</v>
      </c>
      <c r="AQ54" s="249" t="str" cm="1">
        <f t="array" ref="AQ54">INDEX('Table S6 Recommended Values'!$A$10:$BF$398,MATCH(RAVs!$D54,'Table S6 Recommended Values'!$A$10:$A$398,0)+1,AQ$4)</f>
        <v>-</v>
      </c>
      <c r="AR54" s="330"/>
      <c r="AS54" s="343">
        <f>VLOOKUP(Table245[[#This Row],[Compound Name]],'Table S6 Recommended Values'!$A$10:$BF$398,RAVs!AS$4,FALSE)</f>
        <v>57.75</v>
      </c>
      <c r="AT54" s="249" cm="1">
        <f t="array" ref="AT54">INDEX('Table S6 Recommended Values'!$A$10:$BF$398,MATCH(RAVs!$D54,'Table S6 Recommended Values'!$A$10:$A$398,0)+1,AT$4)</f>
        <v>0.35355339059327379</v>
      </c>
      <c r="AU54" s="330"/>
    </row>
    <row r="55" spans="2:47">
      <c r="B55" s="247" t="str">
        <f>'Table S2 Compound Identifiers'!C57</f>
        <v>PCB</v>
      </c>
      <c r="C55" s="247">
        <f>COUNTIF($D$6:D55,"&lt;&gt;"&amp;"")</f>
        <v>50</v>
      </c>
      <c r="D55" s="247" t="str">
        <f>'Table S2 Compound Identifiers'!B57</f>
        <v>PCB-119</v>
      </c>
      <c r="E55" s="247" t="str">
        <f>VLOOKUP(RAVs!$D55,'Table S3 Literature Values'!$A$10:$AV$551,E$4,FALSE)</f>
        <v>56558-17-9</v>
      </c>
      <c r="F55" s="248">
        <f>VLOOKUP(Table245[[#This Row],[Compound Name]],'Table S6 Recommended Values'!$A$10:$BD$398,RAVs!F$4,FALSE)</f>
        <v>79.397861201378802</v>
      </c>
      <c r="G55" s="249" cm="1">
        <f t="array" ref="G55">INDEX('Table S6 Recommended Values'!$A$10:$BD$398,MATCH(RAVs!$D55,'Table S6 Recommended Values'!$A$10:$A$398,0)+1,G$4)</f>
        <v>4.8968461362981701</v>
      </c>
      <c r="H55" s="330"/>
      <c r="I55" s="328">
        <f>VLOOKUP(Table245[[#This Row],[Compound Name]],'Table S6 Recommended Values'!$A$10:$BD$398,RAVs!I$4,FALSE)</f>
        <v>28.711165554719202</v>
      </c>
      <c r="J55" s="249" cm="1">
        <f t="array" ref="J55">INDEX('Table S6 Recommended Values'!$A$10:$BD$398,MATCH(RAVs!$D55,'Table S6 Recommended Values'!$A$10:$A$398,0)+1,J$4)</f>
        <v>5.4343836749733603</v>
      </c>
      <c r="K55" s="330"/>
      <c r="L55" s="250">
        <f>VLOOKUP(Table245[[#This Row],[Compound Name]],'Table S6 Recommended Values'!$A$10:$BD$398,RAVs!L$4,FALSE)</f>
        <v>1.9984045998797964</v>
      </c>
      <c r="M55" s="249" cm="1">
        <f t="array" ref="M55">INDEX('Table S6 Recommended Values'!$A$10:$BD$398,MATCH(RAVs!$D55,'Table S6 Recommended Values'!$A$10:$A$398,0)+1,M$4)</f>
        <v>6.6209719693303848</v>
      </c>
      <c r="N55" s="330"/>
      <c r="O55" s="250">
        <f>VLOOKUP(Table245[[#This Row],[Compound Name]],'Table S6 Recommended Values'!$A$10:$BD$398,RAVs!O$4,FALSE)</f>
        <v>-75.008456601499006</v>
      </c>
      <c r="P55" s="249" cm="1">
        <f t="array" ref="P55">INDEX('Table S6 Recommended Values'!$A$10:$BD$398,MATCH(RAVs!$D55,'Table S6 Recommended Values'!$A$10:$A$398,0)+1,P$4)</f>
        <v>4.4562504121829098</v>
      </c>
      <c r="Q55" s="330"/>
      <c r="R55" s="250">
        <f>VLOOKUP(Table245[[#This Row],[Compound Name]],'Table S6 Recommended Values'!$A$10:$BD$398,RAVs!R$4,FALSE)</f>
        <v>48.298530719676897</v>
      </c>
      <c r="S55" s="249" cm="1">
        <f t="array" ref="S55">INDEX('Table S6 Recommended Values'!$A$10:$BD$398,MATCH(RAVs!$D55,'Table S6 Recommended Values'!$A$10:$A$398,0)+1,S$4)</f>
        <v>6.1162838065573997</v>
      </c>
      <c r="T55" s="330"/>
      <c r="U55" s="250">
        <f>VLOOKUP(Table245[[#This Row],[Compound Name]],'Table S6 Recommended Values'!$A$10:$BD$398,RAVs!U$4,FALSE)</f>
        <v>-26.708648668801299</v>
      </c>
      <c r="V55" s="249" cm="1">
        <f t="array" ref="V55">INDEX('Table S6 Recommended Values'!$A$10:$BD$398,MATCH(RAVs!$D55,'Table S6 Recommended Values'!$A$10:$A$398,0)+1,V$4)</f>
        <v>6.4476065905724296</v>
      </c>
      <c r="W55" s="330"/>
      <c r="X55" s="343">
        <f>VLOOKUP(Table245[[#This Row],[Compound Name]],'Table S6 Recommended Values'!$A$10:$BF$398,RAVs!X$4,FALSE)</f>
        <v>8.9782320146915993</v>
      </c>
      <c r="Y55" s="249" cm="1">
        <f t="array" ref="Y55">INDEX('Table S6 Recommended Values'!$A$10:$BF$398,MATCH(RAVs!$D55,'Table S6 Recommended Values'!$A$10:$A$398,0)+1,Y$4)</f>
        <v>0.321848731422749</v>
      </c>
      <c r="Z55" s="330"/>
      <c r="AA55" s="343">
        <f>VLOOKUP(Table245[[#This Row],[Compound Name]],'Table S6 Recommended Values'!$A$10:$BF$398,RAVs!AA$4,FALSE)</f>
        <v>6.9505622048125399</v>
      </c>
      <c r="AB55" s="249" cm="1">
        <f t="array" ref="AB55">INDEX('Table S6 Recommended Values'!$A$10:$BF$398,MATCH(RAVs!$D55,'Table S6 Recommended Values'!$A$10:$A$398,0)+1,AB$4)</f>
        <v>0.49060130224853299</v>
      </c>
      <c r="AC55" s="330"/>
      <c r="AD55" s="343">
        <f>VLOOKUP(Table245[[#This Row],[Compound Name]],'Table S6 Recommended Values'!$A$10:$BF$398,RAVs!AD$4,FALSE)</f>
        <v>-2.0413914073686898</v>
      </c>
      <c r="AE55" s="249" cm="1">
        <f t="array" ref="AE55">INDEX('Table S6 Recommended Values'!$A$10:$BF$398,MATCH(RAVs!$D55,'Table S6 Recommended Values'!$A$10:$A$398,0)+1,AE$4)</f>
        <v>0.37213475700024801</v>
      </c>
      <c r="AF55" s="330"/>
      <c r="AG55" s="343">
        <f>VLOOKUP(Table245[[#This Row],[Compound Name]],'Table S6 Recommended Values'!$A$10:$BF$398,RAVs!AG$4,FALSE)</f>
        <v>-2.511707071016986</v>
      </c>
      <c r="AH55" s="249" cm="1">
        <f t="array" ref="AH55">INDEX('Table S6 Recommended Values'!$A$10:$BF$398,MATCH(RAVs!$D55,'Table S6 Recommended Values'!$A$10:$A$398,0)+1,AH$4)</f>
        <v>0.14933180699270801</v>
      </c>
      <c r="AI55" s="330"/>
      <c r="AJ55" s="343">
        <f>VLOOKUP(Table245[[#This Row],[Compound Name]],'Table S6 Recommended Values'!$A$10:$BF$398,RAVs!AJ$4,FALSE)</f>
        <v>-3.8816139665295699</v>
      </c>
      <c r="AK55" s="249" cm="1">
        <f t="array" ref="AK55">INDEX('Table S6 Recommended Values'!$A$10:$BF$398,MATCH(RAVs!$D55,'Table S6 Recommended Values'!$A$10:$A$398,0)+1,AK$4)</f>
        <v>0.37464836077470598</v>
      </c>
      <c r="AL55" s="330"/>
      <c r="AM55" s="343">
        <f>VLOOKUP(Table245[[#This Row],[Compound Name]],'Table S6 Recommended Values'!$A$10:$BF$398,RAVs!AM$4,FALSE)</f>
        <v>3.0683625724352099</v>
      </c>
      <c r="AN55" s="249" cm="1">
        <f t="array" ref="AN55">INDEX('Table S6 Recommended Values'!$A$10:$BF$398,MATCH(RAVs!$D55,'Table S6 Recommended Values'!$A$10:$A$398,0)+1,AN$4)</f>
        <v>0.34840664258557602</v>
      </c>
      <c r="AO55" s="330"/>
      <c r="AP55" s="343" t="str">
        <f>VLOOKUP(Table245[[#This Row],[Compound Name]],'Table S6 Recommended Values'!$A$10:$BF$398,RAVs!AP$4,FALSE)</f>
        <v>-</v>
      </c>
      <c r="AQ55" s="249" t="str" cm="1">
        <f t="array" ref="AQ55">INDEX('Table S6 Recommended Values'!$A$10:$BF$398,MATCH(RAVs!$D55,'Table S6 Recommended Values'!$A$10:$A$398,0)+1,AQ$4)</f>
        <v>-</v>
      </c>
      <c r="AR55" s="330"/>
      <c r="AS55" s="343">
        <f>VLOOKUP(Table245[[#This Row],[Compound Name]],'Table S6 Recommended Values'!$A$10:$BF$398,RAVs!AS$4,FALSE)</f>
        <v>76</v>
      </c>
      <c r="AT55" s="249" cm="1">
        <f t="array" ref="AT55">INDEX('Table S6 Recommended Values'!$A$10:$BF$398,MATCH(RAVs!$D55,'Table S6 Recommended Values'!$A$10:$A$398,0)+1,AT$4)</f>
        <v>3.5085945063281443</v>
      </c>
      <c r="AU55" s="330"/>
    </row>
    <row r="56" spans="2:47">
      <c r="B56" s="247" t="str">
        <f>'Table S2 Compound Identifiers'!C58</f>
        <v>PCB</v>
      </c>
      <c r="C56" s="247">
        <f>COUNTIF($D$6:D56,"&lt;&gt;"&amp;"")</f>
        <v>51</v>
      </c>
      <c r="D56" s="247" t="str">
        <f>'Table S2 Compound Identifiers'!B58</f>
        <v>PCB-11</v>
      </c>
      <c r="E56" s="247" t="str">
        <f>VLOOKUP(RAVs!$D56,'Table S3 Literature Values'!$A$10:$AV$551,E$4,FALSE)</f>
        <v>2050-67-1</v>
      </c>
      <c r="F56" s="248">
        <f>VLOOKUP(Table245[[#This Row],[Compound Name]],'Table S6 Recommended Values'!$A$10:$BD$398,RAVs!F$4,FALSE)</f>
        <v>77.306608299240509</v>
      </c>
      <c r="G56" s="249" cm="1">
        <f t="array" ref="G56">INDEX('Table S6 Recommended Values'!$A$10:$BD$398,MATCH(RAVs!$D56,'Table S6 Recommended Values'!$A$10:$A$398,0)+1,G$4)</f>
        <v>3.0069395580040199</v>
      </c>
      <c r="H56" s="330"/>
      <c r="I56" s="328">
        <f>VLOOKUP(Table245[[#This Row],[Compound Name]],'Table S6 Recommended Values'!$A$10:$BD$398,RAVs!I$4,FALSE)</f>
        <v>25.576170998887701</v>
      </c>
      <c r="J56" s="249" cm="1">
        <f t="array" ref="J56">INDEX('Table S6 Recommended Values'!$A$10:$BD$398,MATCH(RAVs!$D56,'Table S6 Recommended Values'!$A$10:$A$398,0)+1,J$4)</f>
        <v>11.016013505560499</v>
      </c>
      <c r="K56" s="330"/>
      <c r="L56" s="250">
        <f>VLOOKUP(Table245[[#This Row],[Compound Name]],'Table S6 Recommended Values'!$A$10:$BD$398,RAVs!L$4,FALSE)</f>
        <v>7.3876492407463044</v>
      </c>
      <c r="M56" s="249" cm="1">
        <f t="array" ref="M56">INDEX('Table S6 Recommended Values'!$A$10:$BD$398,MATCH(RAVs!$D56,'Table S6 Recommended Values'!$A$10:$A$398,0)+1,M$4)</f>
        <v>8.9366854009310757</v>
      </c>
      <c r="N56" s="330"/>
      <c r="O56" s="250">
        <f>VLOOKUP(Table245[[#This Row],[Compound Name]],'Table S6 Recommended Values'!$A$10:$BD$398,RAVs!O$4,FALSE)</f>
        <v>-67.527959058494204</v>
      </c>
      <c r="P56" s="249" cm="1">
        <f t="array" ref="P56">INDEX('Table S6 Recommended Values'!$A$10:$BD$398,MATCH(RAVs!$D56,'Table S6 Recommended Values'!$A$10:$A$398,0)+1,P$4)</f>
        <v>8.4156200276465203</v>
      </c>
      <c r="Q56" s="330"/>
      <c r="R56" s="250">
        <f>VLOOKUP(Table245[[#This Row],[Compound Name]],'Table S6 Recommended Values'!$A$10:$BD$398,RAVs!R$4,FALSE)</f>
        <v>49.339216760547899</v>
      </c>
      <c r="S56" s="249" cm="1">
        <f t="array" ref="S56">INDEX('Table S6 Recommended Values'!$A$10:$BD$398,MATCH(RAVs!$D56,'Table S6 Recommended Values'!$A$10:$A$398,0)+1,S$4)</f>
        <v>10.9008285168309</v>
      </c>
      <c r="T56" s="330"/>
      <c r="U56" s="250">
        <f>VLOOKUP(Table245[[#This Row],[Compound Name]],'Table S6 Recommended Values'!$A$10:$BD$398,RAVs!U$4,FALSE)</f>
        <v>-18.191383817460402</v>
      </c>
      <c r="V56" s="249" cm="1">
        <f t="array" ref="V56">INDEX('Table S6 Recommended Values'!$A$10:$BD$398,MATCH(RAVs!$D56,'Table S6 Recommended Values'!$A$10:$A$398,0)+1,V$4)</f>
        <v>11.873446246563001</v>
      </c>
      <c r="W56" s="330"/>
      <c r="X56" s="343">
        <f>VLOOKUP(Table245[[#This Row],[Compound Name]],'Table S6 Recommended Values'!$A$10:$BF$398,RAVs!X$4,FALSE)</f>
        <v>7.6089359228609901</v>
      </c>
      <c r="Y56" s="249" cm="1">
        <f t="array" ref="Y56">INDEX('Table S6 Recommended Values'!$A$10:$BF$398,MATCH(RAVs!$D56,'Table S6 Recommended Values'!$A$10:$A$398,0)+1,Y$4)</f>
        <v>0.177489087163298</v>
      </c>
      <c r="Z56" s="330"/>
      <c r="AA56" s="343">
        <f>VLOOKUP(Table245[[#This Row],[Compound Name]],'Table S6 Recommended Values'!$A$10:$BF$398,RAVs!AA$4,FALSE)</f>
        <v>5.6339152750325399</v>
      </c>
      <c r="AB56" s="249" cm="1">
        <f t="array" ref="AB56">INDEX('Table S6 Recommended Values'!$A$10:$BF$398,MATCH(RAVs!$D56,'Table S6 Recommended Values'!$A$10:$A$398,0)+1,AB$4)</f>
        <v>0.17978172927611499</v>
      </c>
      <c r="AC56" s="330"/>
      <c r="AD56" s="343">
        <f>VLOOKUP(Table245[[#This Row],[Compound Name]],'Table S6 Recommended Values'!$A$10:$BF$398,RAVs!AD$4,FALSE)</f>
        <v>-1.94597017326981</v>
      </c>
      <c r="AE56" s="249" cm="1">
        <f t="array" ref="AE56">INDEX('Table S6 Recommended Values'!$A$10:$BF$398,MATCH(RAVs!$D56,'Table S6 Recommended Values'!$A$10:$A$398,0)+1,AE$4)</f>
        <v>0.25997199871347199</v>
      </c>
      <c r="AF56" s="330"/>
      <c r="AG56" s="343">
        <f>VLOOKUP(Table245[[#This Row],[Compound Name]],'Table S6 Recommended Values'!$A$10:$BF$398,RAVs!AG$4,FALSE)</f>
        <v>-1.2679197684375161</v>
      </c>
      <c r="AH56" s="249" cm="1">
        <f t="array" ref="AH56">INDEX('Table S6 Recommended Values'!$A$10:$BF$398,MATCH(RAVs!$D56,'Table S6 Recommended Values'!$A$10:$A$398,0)+1,AH$4)</f>
        <v>0.178772518916367</v>
      </c>
      <c r="AI56" s="330"/>
      <c r="AJ56" s="343">
        <f>VLOOKUP(Table245[[#This Row],[Compound Name]],'Table S6 Recommended Values'!$A$10:$BF$398,RAVs!AJ$4,FALSE)</f>
        <v>-2.7235984886812101</v>
      </c>
      <c r="AK56" s="249" cm="1">
        <f t="array" ref="AK56">INDEX('Table S6 Recommended Values'!$A$10:$BF$398,MATCH(RAVs!$D56,'Table S6 Recommended Values'!$A$10:$A$398,0)+1,AK$4)</f>
        <v>0.26406587330765802</v>
      </c>
      <c r="AL56" s="330"/>
      <c r="AM56" s="343">
        <f>VLOOKUP(Table245[[#This Row],[Compound Name]],'Table S6 Recommended Values'!$A$10:$BF$398,RAVs!AM$4,FALSE)</f>
        <v>2.9286314518708201</v>
      </c>
      <c r="AN56" s="249" cm="1">
        <f t="array" ref="AN56">INDEX('Table S6 Recommended Values'!$A$10:$BF$398,MATCH(RAVs!$D56,'Table S6 Recommended Values'!$A$10:$A$398,0)+1,AN$4)</f>
        <v>0.236531822103871</v>
      </c>
      <c r="AO56" s="330"/>
      <c r="AP56" s="343" t="str">
        <f>VLOOKUP(Table245[[#This Row],[Compound Name]],'Table S6 Recommended Values'!$A$10:$BF$398,RAVs!AP$4,FALSE)</f>
        <v>-</v>
      </c>
      <c r="AQ56" s="249" t="str" cm="1">
        <f t="array" ref="AQ56">INDEX('Table S6 Recommended Values'!$A$10:$BF$398,MATCH(RAVs!$D56,'Table S6 Recommended Values'!$A$10:$A$398,0)+1,AQ$4)</f>
        <v>-</v>
      </c>
      <c r="AR56" s="330"/>
      <c r="AS56" s="343">
        <f>VLOOKUP(Table245[[#This Row],[Compound Name]],'Table S6 Recommended Values'!$A$10:$BF$398,RAVs!AS$4,FALSE)</f>
        <v>29.083333333333332</v>
      </c>
      <c r="AT56" s="249" cm="1">
        <f t="array" ref="AT56">INDEX('Table S6 Recommended Values'!$A$10:$BF$398,MATCH(RAVs!$D56,'Table S6 Recommended Values'!$A$10:$A$398,0)+1,AT$4)</f>
        <v>0.38188130791298669</v>
      </c>
      <c r="AU56" s="330"/>
    </row>
    <row r="57" spans="2:47">
      <c r="B57" s="247" t="str">
        <f>'Table S2 Compound Identifiers'!C59</f>
        <v>PCB</v>
      </c>
      <c r="C57" s="247">
        <f>COUNTIF($D$6:D57,"&lt;&gt;"&amp;"")</f>
        <v>52</v>
      </c>
      <c r="D57" s="247" t="str">
        <f>'Table S2 Compound Identifiers'!B59</f>
        <v>PCB-131</v>
      </c>
      <c r="E57" s="247" t="str">
        <f>VLOOKUP(RAVs!$D57,'Table S3 Literature Values'!$A$10:$AV$551,E$4,FALSE)</f>
        <v>61798-70-7</v>
      </c>
      <c r="F57" s="248">
        <f>VLOOKUP(Table245[[#This Row],[Compound Name]],'Table S6 Recommended Values'!$A$10:$BD$398,RAVs!F$4,FALSE)</f>
        <v>85.072838962864907</v>
      </c>
      <c r="G57" s="249" cm="1">
        <f t="array" ref="G57">INDEX('Table S6 Recommended Values'!$A$10:$BD$398,MATCH(RAVs!$D57,'Table S6 Recommended Values'!$A$10:$A$398,0)+1,G$4)</f>
        <v>1.96527101000579</v>
      </c>
      <c r="H57" s="330"/>
      <c r="I57" s="328">
        <f>VLOOKUP(Table245[[#This Row],[Compound Name]],'Table S6 Recommended Values'!$A$10:$BD$398,RAVs!I$4,FALSE)</f>
        <v>17.298462326776299</v>
      </c>
      <c r="J57" s="249" cm="1">
        <f t="array" ref="J57">INDEX('Table S6 Recommended Values'!$A$10:$BD$398,MATCH(RAVs!$D57,'Table S6 Recommended Values'!$A$10:$A$398,0)+1,J$4)</f>
        <v>6.0888557545849302</v>
      </c>
      <c r="K57" s="330"/>
      <c r="L57" s="250">
        <f>VLOOKUP(Table245[[#This Row],[Compound Name]],'Table S6 Recommended Values'!$A$10:$BD$398,RAVs!L$4,FALSE)</f>
        <v>-1.5831584223381956</v>
      </c>
      <c r="M57" s="249" cm="1">
        <f t="array" ref="M57">INDEX('Table S6 Recommended Values'!$A$10:$BD$398,MATCH(RAVs!$D57,'Table S6 Recommended Values'!$A$10:$A$398,0)+1,M$4)</f>
        <v>5.1564998328423037</v>
      </c>
      <c r="N57" s="330"/>
      <c r="O57" s="250">
        <f>VLOOKUP(Table245[[#This Row],[Compound Name]],'Table S6 Recommended Values'!$A$10:$BD$398,RAVs!O$4,FALSE)</f>
        <v>-84.264997385203102</v>
      </c>
      <c r="P57" s="249" cm="1">
        <f t="array" ref="P57">INDEX('Table S6 Recommended Values'!$A$10:$BD$398,MATCH(RAVs!$D57,'Table S6 Recommended Values'!$A$10:$A$398,0)+1,P$4)</f>
        <v>4.7673053587255696</v>
      </c>
      <c r="Q57" s="330"/>
      <c r="R57" s="250">
        <f>VLOOKUP(Table245[[#This Row],[Compound Name]],'Table S6 Recommended Values'!$A$10:$BD$398,RAVs!R$4,FALSE)</f>
        <v>65.380502203186495</v>
      </c>
      <c r="S57" s="249" cm="1">
        <f t="array" ref="S57">INDEX('Table S6 Recommended Values'!$A$10:$BD$398,MATCH(RAVs!$D57,'Table S6 Recommended Values'!$A$10:$A$398,0)+1,S$4)</f>
        <v>6.0850278101046502</v>
      </c>
      <c r="T57" s="330"/>
      <c r="U57" s="250">
        <f>VLOOKUP(Table245[[#This Row],[Compound Name]],'Table S6 Recommended Values'!$A$10:$BD$398,RAVs!U$4,FALSE)</f>
        <v>-18.886632228454001</v>
      </c>
      <c r="V57" s="249" cm="1">
        <f t="array" ref="V57">INDEX('Table S6 Recommended Values'!$A$10:$BD$398,MATCH(RAVs!$D57,'Table S6 Recommended Values'!$A$10:$A$398,0)+1,V$4)</f>
        <v>6.5200477369370997</v>
      </c>
      <c r="W57" s="330"/>
      <c r="X57" s="343">
        <f>VLOOKUP(Table245[[#This Row],[Compound Name]],'Table S6 Recommended Values'!$A$10:$BF$398,RAVs!X$4,FALSE)</f>
        <v>9.5809186891679907</v>
      </c>
      <c r="Y57" s="249" cm="1">
        <f t="array" ref="Y57">INDEX('Table S6 Recommended Values'!$A$10:$BF$398,MATCH(RAVs!$D57,'Table S6 Recommended Values'!$A$10:$A$398,0)+1,Y$4)</f>
        <v>0.166015197085951</v>
      </c>
      <c r="Z57" s="330"/>
      <c r="AA57" s="343">
        <f>VLOOKUP(Table245[[#This Row],[Compound Name]],'Table S6 Recommended Values'!$A$10:$BF$398,RAVs!AA$4,FALSE)</f>
        <v>7.3366435087086099</v>
      </c>
      <c r="AB57" s="249" cm="1">
        <f t="array" ref="AB57">INDEX('Table S6 Recommended Values'!$A$10:$BF$398,MATCH(RAVs!$D57,'Table S6 Recommended Values'!$A$10:$A$398,0)+1,AB$4)</f>
        <v>0.187440545804479</v>
      </c>
      <c r="AC57" s="330"/>
      <c r="AD57" s="343">
        <f>VLOOKUP(Table245[[#This Row],[Compound Name]],'Table S6 Recommended Values'!$A$10:$BF$398,RAVs!AD$4,FALSE)</f>
        <v>-2.3005795931069102</v>
      </c>
      <c r="AE57" s="249" cm="1">
        <f t="array" ref="AE57">INDEX('Table S6 Recommended Values'!$A$10:$BF$398,MATCH(RAVs!$D57,'Table S6 Recommended Values'!$A$10:$A$398,0)+1,AE$4)</f>
        <v>0.210511776383764</v>
      </c>
      <c r="AF57" s="330"/>
      <c r="AG57" s="343">
        <f>VLOOKUP(Table245[[#This Row],[Compound Name]],'Table S6 Recommended Values'!$A$10:$BF$398,RAVs!AG$4,FALSE)</f>
        <v>-3.1630404307093074</v>
      </c>
      <c r="AH57" s="249" cm="1">
        <f t="array" ref="AH57">INDEX('Table S6 Recommended Values'!$A$10:$BF$398,MATCH(RAVs!$D57,'Table S6 Recommended Values'!$A$10:$A$398,0)+1,AH$4)</f>
        <v>0.219979452441523</v>
      </c>
      <c r="AI57" s="330"/>
      <c r="AJ57" s="343">
        <f>VLOOKUP(Table245[[#This Row],[Compound Name]],'Table S6 Recommended Values'!$A$10:$BF$398,RAVs!AJ$4,FALSE)</f>
        <v>-4.2872849139899802</v>
      </c>
      <c r="AK57" s="249" cm="1">
        <f t="array" ref="AK57">INDEX('Table S6 Recommended Values'!$A$10:$BF$398,MATCH(RAVs!$D57,'Table S6 Recommended Values'!$A$10:$A$398,0)+1,AK$4)</f>
        <v>0.28067715307793301</v>
      </c>
      <c r="AL57" s="330"/>
      <c r="AM57" s="343">
        <f>VLOOKUP(Table245[[#This Row],[Compound Name]],'Table S6 Recommended Values'!$A$10:$BF$398,RAVs!AM$4,FALSE)</f>
        <v>3.0351424388069099</v>
      </c>
      <c r="AN57" s="249" cm="1">
        <f t="array" ref="AN57">INDEX('Table S6 Recommended Values'!$A$10:$BF$398,MATCH(RAVs!$D57,'Table S6 Recommended Values'!$A$10:$A$398,0)+1,AN$4)</f>
        <v>0.26663864815996402</v>
      </c>
      <c r="AO57" s="330"/>
      <c r="AP57" s="343" t="str">
        <f>VLOOKUP(Table245[[#This Row],[Compound Name]],'Table S6 Recommended Values'!$A$10:$BF$398,RAVs!AP$4,FALSE)</f>
        <v>-</v>
      </c>
      <c r="AQ57" s="249" t="str" cm="1">
        <f t="array" ref="AQ57">INDEX('Table S6 Recommended Values'!$A$10:$BF$398,MATCH(RAVs!$D57,'Table S6 Recommended Values'!$A$10:$A$398,0)+1,AQ$4)</f>
        <v>-</v>
      </c>
      <c r="AR57" s="330"/>
      <c r="AS57" s="343">
        <f>VLOOKUP(Table245[[#This Row],[Compound Name]],'Table S6 Recommended Values'!$A$10:$BF$398,RAVs!AS$4,FALSE)</f>
        <v>136</v>
      </c>
      <c r="AT57" s="249" cm="1">
        <f t="array" ref="AT57">INDEX('Table S6 Recommended Values'!$A$10:$BF$398,MATCH(RAVs!$D57,'Table S6 Recommended Values'!$A$10:$A$398,0)+1,AT$4)</f>
        <v>6.2785375376398376</v>
      </c>
      <c r="AU57" s="330"/>
    </row>
    <row r="58" spans="2:47">
      <c r="B58" s="247" t="str">
        <f>'Table S2 Compound Identifiers'!C60</f>
        <v>PCB</v>
      </c>
      <c r="C58" s="247">
        <f>COUNTIF($D$6:D58,"&lt;&gt;"&amp;"")</f>
        <v>53</v>
      </c>
      <c r="D58" s="247" t="str">
        <f>'Table S2 Compound Identifiers'!B60</f>
        <v>PCB-47</v>
      </c>
      <c r="E58" s="247" t="str">
        <f>VLOOKUP(RAVs!$D58,'Table S3 Literature Values'!$A$10:$AV$551,E$4,FALSE)</f>
        <v>2437-79-8</v>
      </c>
      <c r="F58" s="248">
        <f>VLOOKUP(Table245[[#This Row],[Compound Name]],'Table S6 Recommended Values'!$A$10:$BD$398,RAVs!F$4,FALSE)</f>
        <v>86.7703987562832</v>
      </c>
      <c r="G58" s="249" cm="1">
        <f t="array" ref="G58">INDEX('Table S6 Recommended Values'!$A$10:$BD$398,MATCH(RAVs!$D58,'Table S6 Recommended Values'!$A$10:$A$398,0)+1,G$4)</f>
        <v>5.1175602104848297</v>
      </c>
      <c r="H58" s="330"/>
      <c r="I58" s="328">
        <f>VLOOKUP(Table245[[#This Row],[Compound Name]],'Table S6 Recommended Values'!$A$10:$BD$398,RAVs!I$4,FALSE)</f>
        <v>30.0964691322554</v>
      </c>
      <c r="J58" s="249" cm="1">
        <f t="array" ref="J58">INDEX('Table S6 Recommended Values'!$A$10:$BD$398,MATCH(RAVs!$D58,'Table S6 Recommended Values'!$A$10:$A$398,0)+1,J$4)</f>
        <v>5.3382513075904097</v>
      </c>
      <c r="K58" s="330"/>
      <c r="L58" s="250">
        <f>VLOOKUP(Table245[[#This Row],[Compound Name]],'Table S6 Recommended Values'!$A$10:$BD$398,RAVs!L$4,FALSE)</f>
        <v>8.4688815248218017</v>
      </c>
      <c r="M58" s="249" cm="1">
        <f t="array" ref="M58">INDEX('Table S6 Recommended Values'!$A$10:$BD$398,MATCH(RAVs!$D58,'Table S6 Recommended Values'!$A$10:$A$398,0)+1,M$4)</f>
        <v>6.7683748456978723</v>
      </c>
      <c r="N58" s="330"/>
      <c r="O58" s="250">
        <f>VLOOKUP(Table245[[#This Row],[Compound Name]],'Table S6 Recommended Values'!$A$10:$BD$398,RAVs!O$4,FALSE)</f>
        <v>-75.910517231461398</v>
      </c>
      <c r="P58" s="249" cm="1">
        <f t="array" ref="P58">INDEX('Table S6 Recommended Values'!$A$10:$BD$398,MATCH(RAVs!$D58,'Table S6 Recommended Values'!$A$10:$A$398,0)+1,P$4)</f>
        <v>4.4296134756813901</v>
      </c>
      <c r="Q58" s="330"/>
      <c r="R58" s="250">
        <f>VLOOKUP(Table245[[#This Row],[Compound Name]],'Table S6 Recommended Values'!$A$10:$BD$398,RAVs!R$4,FALSE)</f>
        <v>54.285758124111098</v>
      </c>
      <c r="S58" s="249" cm="1">
        <f t="array" ref="S58">INDEX('Table S6 Recommended Values'!$A$10:$BD$398,MATCH(RAVs!$D58,'Table S6 Recommended Values'!$A$10:$A$398,0)+1,S$4)</f>
        <v>5.8739881872610002</v>
      </c>
      <c r="T58" s="330"/>
      <c r="U58" s="250">
        <f>VLOOKUP(Table245[[#This Row],[Compound Name]],'Table S6 Recommended Values'!$A$10:$BD$398,RAVs!U$4,FALSE)</f>
        <v>-21.622507041588399</v>
      </c>
      <c r="V58" s="249" cm="1">
        <f t="array" ref="V58">INDEX('Table S6 Recommended Values'!$A$10:$BD$398,MATCH(RAVs!$D58,'Table S6 Recommended Values'!$A$10:$A$398,0)+1,V$4)</f>
        <v>5.9123837589242303</v>
      </c>
      <c r="W58" s="330"/>
      <c r="X58" s="343">
        <f>VLOOKUP(Table245[[#This Row],[Compound Name]],'Table S6 Recommended Values'!$A$10:$BF$398,RAVs!X$4,FALSE)</f>
        <v>8.3632439840253792</v>
      </c>
      <c r="Y58" s="249" cm="1">
        <f t="array" ref="Y58">INDEX('Table S6 Recommended Values'!$A$10:$BF$398,MATCH(RAVs!$D58,'Table S6 Recommended Values'!$A$10:$A$398,0)+1,Y$4)</f>
        <v>0.102958490758915</v>
      </c>
      <c r="Z58" s="330"/>
      <c r="AA58" s="343">
        <f>VLOOKUP(Table245[[#This Row],[Compound Name]],'Table S6 Recommended Values'!$A$10:$BF$398,RAVs!AA$4,FALSE)</f>
        <v>6.6002415500002902</v>
      </c>
      <c r="AB58" s="249" cm="1">
        <f t="array" ref="AB58">INDEX('Table S6 Recommended Values'!$A$10:$BF$398,MATCH(RAVs!$D58,'Table S6 Recommended Values'!$A$10:$A$398,0)+1,AB$4)</f>
        <v>0.246988759644899</v>
      </c>
      <c r="AC58" s="330"/>
      <c r="AD58" s="343">
        <f>VLOOKUP(Table245[[#This Row],[Compound Name]],'Table S6 Recommended Values'!$A$10:$BF$398,RAVs!AD$4,FALSE)</f>
        <v>-1.7612915907056199</v>
      </c>
      <c r="AE58" s="249" cm="1">
        <f t="array" ref="AE58">INDEX('Table S6 Recommended Values'!$A$10:$BF$398,MATCH(RAVs!$D58,'Table S6 Recommended Values'!$A$10:$A$398,0)+1,AE$4)</f>
        <v>0.23303446857850199</v>
      </c>
      <c r="AF58" s="330"/>
      <c r="AG58" s="343">
        <f>VLOOKUP(Table245[[#This Row],[Compound Name]],'Table S6 Recommended Values'!$A$10:$BF$398,RAVs!AG$4,FALSE)</f>
        <v>-1.8593996671483171</v>
      </c>
      <c r="AH58" s="249" cm="1">
        <f t="array" ref="AH58">INDEX('Table S6 Recommended Values'!$A$10:$BF$398,MATCH(RAVs!$D58,'Table S6 Recommended Values'!$A$10:$A$398,0)+1,AH$4)</f>
        <v>7.1369848731009905E-2</v>
      </c>
      <c r="AI58" s="330"/>
      <c r="AJ58" s="343">
        <f>VLOOKUP(Table245[[#This Row],[Compound Name]],'Table S6 Recommended Values'!$A$10:$BF$398,RAVs!AJ$4,FALSE)</f>
        <v>-3.5099981552036001</v>
      </c>
      <c r="AK58" s="249" cm="1">
        <f t="array" ref="AK58">INDEX('Table S6 Recommended Values'!$A$10:$BF$398,MATCH(RAVs!$D58,'Table S6 Recommended Values'!$A$10:$A$398,0)+1,AK$4)</f>
        <v>0.22392064350653601</v>
      </c>
      <c r="AL58" s="330"/>
      <c r="AM58" s="343">
        <f>VLOOKUP(Table245[[#This Row],[Compound Name]],'Table S6 Recommended Values'!$A$10:$BF$398,RAVs!AM$4,FALSE)</f>
        <v>3.0967912423679902</v>
      </c>
      <c r="AN58" s="249" cm="1">
        <f t="array" ref="AN58">INDEX('Table S6 Recommended Values'!$A$10:$BF$398,MATCH(RAVs!$D58,'Table S6 Recommended Values'!$A$10:$A$398,0)+1,AN$4)</f>
        <v>0.14815491427003399</v>
      </c>
      <c r="AO58" s="330"/>
      <c r="AP58" s="343">
        <f>VLOOKUP(Table245[[#This Row],[Compound Name]],'Table S6 Recommended Values'!$A$10:$BF$398,RAVs!AP$4,FALSE)</f>
        <v>60</v>
      </c>
      <c r="AQ58" s="249" cm="1">
        <f t="array" ref="AQ58">INDEX('Table S6 Recommended Values'!$A$10:$BF$398,MATCH(RAVs!$D58,'Table S6 Recommended Values'!$A$10:$A$398,0)+1,AQ$4)</f>
        <v>4.7291775609904514</v>
      </c>
      <c r="AR58" s="330"/>
      <c r="AS58" s="343">
        <f>VLOOKUP(Table245[[#This Row],[Compound Name]],'Table S6 Recommended Values'!$A$10:$BF$398,RAVs!AS$4,FALSE)</f>
        <v>42.916666666666664</v>
      </c>
      <c r="AT58" s="249" cm="1">
        <f t="array" ref="AT58">INDEX('Table S6 Recommended Values'!$A$10:$BF$398,MATCH(RAVs!$D58,'Table S6 Recommended Values'!$A$10:$A$398,0)+1,AT$4)</f>
        <v>2.4537386440559095</v>
      </c>
      <c r="AU58" s="330"/>
    </row>
    <row r="59" spans="2:47">
      <c r="B59" s="247" t="str">
        <f>'Table S2 Compound Identifiers'!C61</f>
        <v>PCB</v>
      </c>
      <c r="C59" s="247">
        <f>COUNTIF($D$6:D59,"&lt;&gt;"&amp;"")</f>
        <v>54</v>
      </c>
      <c r="D59" s="247" t="str">
        <f>'Table S2 Compound Identifiers'!B61</f>
        <v>PCB-173</v>
      </c>
      <c r="E59" s="247" t="str">
        <f>VLOOKUP(RAVs!$D59,'Table S3 Literature Values'!$A$10:$AV$551,E$4,FALSE)</f>
        <v>68194-16-1</v>
      </c>
      <c r="F59" s="248">
        <f>VLOOKUP(Table245[[#This Row],[Compound Name]],'Table S6 Recommended Values'!$A$10:$BD$398,RAVs!F$4,FALSE)</f>
        <v>90.450908865043104</v>
      </c>
      <c r="G59" s="249" cm="1">
        <f t="array" ref="G59">INDEX('Table S6 Recommended Values'!$A$10:$BD$398,MATCH(RAVs!$D59,'Table S6 Recommended Values'!$A$10:$A$398,0)+1,G$4)</f>
        <v>6.1386938458276603</v>
      </c>
      <c r="H59" s="330"/>
      <c r="I59" s="328">
        <f>VLOOKUP(Table245[[#This Row],[Compound Name]],'Table S6 Recommended Values'!$A$10:$BD$398,RAVs!I$4,FALSE)</f>
        <v>22.9848908959715</v>
      </c>
      <c r="J59" s="249" cm="1">
        <f t="array" ref="J59">INDEX('Table S6 Recommended Values'!$A$10:$BD$398,MATCH(RAVs!$D59,'Table S6 Recommended Values'!$A$10:$A$398,0)+1,J$4)</f>
        <v>8.8078889223685799</v>
      </c>
      <c r="K59" s="330"/>
      <c r="L59" s="250">
        <f>VLOOKUP(Table245[[#This Row],[Compound Name]],'Table S6 Recommended Values'!$A$10:$BD$398,RAVs!L$4,FALSE)</f>
        <v>3.6879472832748998</v>
      </c>
      <c r="M59" s="249" cm="1">
        <f t="array" ref="M59">INDEX('Table S6 Recommended Values'!$A$10:$BD$398,MATCH(RAVs!$D59,'Table S6 Recommended Values'!$A$10:$A$398,0)+1,M$4)</f>
        <v>8.3147545273819414</v>
      </c>
      <c r="N59" s="330"/>
      <c r="O59" s="250">
        <f>VLOOKUP(Table245[[#This Row],[Compound Name]],'Table S6 Recommended Values'!$A$10:$BD$398,RAVs!O$4,FALSE)</f>
        <v>-84.371961581768204</v>
      </c>
      <c r="P59" s="249" cm="1">
        <f t="array" ref="P59">INDEX('Table S6 Recommended Values'!$A$10:$BD$398,MATCH(RAVs!$D59,'Table S6 Recommended Values'!$A$10:$A$398,0)+1,P$4)</f>
        <v>5.6081708887850503</v>
      </c>
      <c r="Q59" s="330"/>
      <c r="R59" s="250">
        <f>VLOOKUP(Table245[[#This Row],[Compound Name]],'Table S6 Recommended Values'!$A$10:$BD$398,RAVs!R$4,FALSE)</f>
        <v>65.071831123871604</v>
      </c>
      <c r="S59" s="249" cm="1">
        <f t="array" ref="S59">INDEX('Table S6 Recommended Values'!$A$10:$BD$398,MATCH(RAVs!$D59,'Table S6 Recommended Values'!$A$10:$A$398,0)+1,S$4)</f>
        <v>8.4769464968771402</v>
      </c>
      <c r="T59" s="330"/>
      <c r="U59" s="250">
        <f>VLOOKUP(Table245[[#This Row],[Compound Name]],'Table S6 Recommended Values'!$A$10:$BD$398,RAVs!U$4,FALSE)</f>
        <v>-19.302492695466</v>
      </c>
      <c r="V59" s="249" cm="1">
        <f t="array" ref="V59">INDEX('Table S6 Recommended Values'!$A$10:$BD$398,MATCH(RAVs!$D59,'Table S6 Recommended Values'!$A$10:$A$398,0)+1,V$4)</f>
        <v>8.6494769266784104</v>
      </c>
      <c r="W59" s="330"/>
      <c r="X59" s="343">
        <f>VLOOKUP(Table245[[#This Row],[Compound Name]],'Table S6 Recommended Values'!$A$10:$BF$398,RAVs!X$4,FALSE)</f>
        <v>10.3230887293465</v>
      </c>
      <c r="Y59" s="249" cm="1">
        <f t="array" ref="Y59">INDEX('Table S6 Recommended Values'!$A$10:$BF$398,MATCH(RAVs!$D59,'Table S6 Recommended Values'!$A$10:$A$398,0)+1,Y$4)</f>
        <v>0.218220681401429</v>
      </c>
      <c r="Z59" s="330"/>
      <c r="AA59" s="343">
        <f>VLOOKUP(Table245[[#This Row],[Compound Name]],'Table S6 Recommended Values'!$A$10:$BF$398,RAVs!AA$4,FALSE)</f>
        <v>7.8904821303027699</v>
      </c>
      <c r="AB59" s="249" cm="1">
        <f t="array" ref="AB59">INDEX('Table S6 Recommended Values'!$A$10:$BF$398,MATCH(RAVs!$D59,'Table S6 Recommended Values'!$A$10:$A$398,0)+1,AB$4)</f>
        <v>0.46995641092282697</v>
      </c>
      <c r="AC59" s="330"/>
      <c r="AD59" s="343">
        <f>VLOOKUP(Table245[[#This Row],[Compound Name]],'Table S6 Recommended Values'!$A$10:$BF$398,RAVs!AD$4,FALSE)</f>
        <v>-2.4725293092890999</v>
      </c>
      <c r="AE59" s="249" cm="1">
        <f t="array" ref="AE59">INDEX('Table S6 Recommended Values'!$A$10:$BF$398,MATCH(RAVs!$D59,'Table S6 Recommended Values'!$A$10:$A$398,0)+1,AE$4)</f>
        <v>0.44430710706788501</v>
      </c>
      <c r="AF59" s="330"/>
      <c r="AG59" s="343">
        <f>VLOOKUP(Table245[[#This Row],[Compound Name]],'Table S6 Recommended Values'!$A$10:$BF$398,RAVs!AG$4,FALSE)</f>
        <v>-3.8263702596999165</v>
      </c>
      <c r="AH59" s="249" cm="1">
        <f t="array" ref="AH59">INDEX('Table S6 Recommended Values'!$A$10:$BF$398,MATCH(RAVs!$D59,'Table S6 Recommended Values'!$A$10:$A$398,0)+1,AH$4)</f>
        <v>0.41724072536297802</v>
      </c>
      <c r="AI59" s="330"/>
      <c r="AJ59" s="343">
        <f>VLOOKUP(Table245[[#This Row],[Compound Name]],'Table S6 Recommended Values'!$A$10:$BF$398,RAVs!AJ$4,FALSE)</f>
        <v>-4.7649526787497596</v>
      </c>
      <c r="AK59" s="249" cm="1">
        <f t="array" ref="AK59">INDEX('Table S6 Recommended Values'!$A$10:$BF$398,MATCH(RAVs!$D59,'Table S6 Recommended Values'!$A$10:$A$398,0)+1,AK$4)</f>
        <v>0.46485529073918103</v>
      </c>
      <c r="AL59" s="330"/>
      <c r="AM59" s="343">
        <f>VLOOKUP(Table245[[#This Row],[Compound Name]],'Table S6 Recommended Values'!$A$10:$BF$398,RAVs!AM$4,FALSE)</f>
        <v>3.1124184238922399</v>
      </c>
      <c r="AN59" s="249" cm="1">
        <f t="array" ref="AN59">INDEX('Table S6 Recommended Values'!$A$10:$BF$398,MATCH(RAVs!$D59,'Table S6 Recommended Values'!$A$10:$A$398,0)+1,AN$4)</f>
        <v>0.44380893671246302</v>
      </c>
      <c r="AO59" s="330"/>
      <c r="AP59" s="343" t="str">
        <f>VLOOKUP(Table245[[#This Row],[Compound Name]],'Table S6 Recommended Values'!$A$10:$BF$398,RAVs!AP$4,FALSE)</f>
        <v>-</v>
      </c>
      <c r="AQ59" s="249" t="str" cm="1">
        <f t="array" ref="AQ59">INDEX('Table S6 Recommended Values'!$A$10:$BF$398,MATCH(RAVs!$D59,'Table S6 Recommended Values'!$A$10:$A$398,0)+1,AQ$4)</f>
        <v>-</v>
      </c>
      <c r="AR59" s="330"/>
      <c r="AS59" s="343">
        <f>VLOOKUP(Table245[[#This Row],[Compound Name]],'Table S6 Recommended Values'!$A$10:$BF$398,RAVs!AS$4,FALSE)</f>
        <v>204.5</v>
      </c>
      <c r="AT59" s="249" cm="1">
        <f t="array" ref="AT59">INDEX('Table S6 Recommended Values'!$A$10:$BF$398,MATCH(RAVs!$D59,'Table S6 Recommended Values'!$A$10:$A$398,0)+1,AT$4)</f>
        <v>9.4408891650540205</v>
      </c>
      <c r="AU59" s="330"/>
    </row>
    <row r="60" spans="2:47">
      <c r="B60" s="247" t="str">
        <f>'Table S2 Compound Identifiers'!C62</f>
        <v>PCB</v>
      </c>
      <c r="C60" s="247">
        <f>COUNTIF($D$6:D60,"&lt;&gt;"&amp;"")</f>
        <v>55</v>
      </c>
      <c r="D60" s="247" t="str">
        <f>'Table S2 Compound Identifiers'!B62</f>
        <v>PCB-176</v>
      </c>
      <c r="E60" s="247" t="str">
        <f>VLOOKUP(RAVs!$D60,'Table S3 Literature Values'!$A$10:$AV$551,E$4,FALSE)</f>
        <v>52663-65-7</v>
      </c>
      <c r="F60" s="248">
        <f>VLOOKUP(Table245[[#This Row],[Compound Name]],'Table S6 Recommended Values'!$A$10:$BD$398,RAVs!F$4,FALSE)</f>
        <v>87.889230061775109</v>
      </c>
      <c r="G60" s="249" cm="1">
        <f t="array" ref="G60">INDEX('Table S6 Recommended Values'!$A$10:$BD$398,MATCH(RAVs!$D60,'Table S6 Recommended Values'!$A$10:$A$398,0)+1,G$4)</f>
        <v>2.3351023277977698</v>
      </c>
      <c r="H60" s="330"/>
      <c r="I60" s="328">
        <f>VLOOKUP(Table245[[#This Row],[Compound Name]],'Table S6 Recommended Values'!$A$10:$BD$398,RAVs!I$4,FALSE)</f>
        <v>17.226705376347901</v>
      </c>
      <c r="J60" s="249" cm="1">
        <f t="array" ref="J60">INDEX('Table S6 Recommended Values'!$A$10:$BD$398,MATCH(RAVs!$D60,'Table S6 Recommended Values'!$A$10:$A$398,0)+1,J$4)</f>
        <v>6.7635136146242498</v>
      </c>
      <c r="K60" s="330"/>
      <c r="L60" s="250">
        <f>VLOOKUP(Table245[[#This Row],[Compound Name]],'Table S6 Recommended Values'!$A$10:$BD$398,RAVs!L$4,FALSE)</f>
        <v>-3.109695192919796</v>
      </c>
      <c r="M60" s="249" cm="1">
        <f t="array" ref="M60">INDEX('Table S6 Recommended Values'!$A$10:$BD$398,MATCH(RAVs!$D60,'Table S6 Recommended Values'!$A$10:$A$398,0)+1,M$4)</f>
        <v>5.6550910162103039</v>
      </c>
      <c r="N60" s="330"/>
      <c r="O60" s="250">
        <f>VLOOKUP(Table245[[#This Row],[Compound Name]],'Table S6 Recommended Values'!$A$10:$BD$398,RAVs!O$4,FALSE)</f>
        <v>-88.607925254694905</v>
      </c>
      <c r="P60" s="249" cm="1">
        <f t="array" ref="P60">INDEX('Table S6 Recommended Values'!$A$10:$BD$398,MATCH(RAVs!$D60,'Table S6 Recommended Values'!$A$10:$A$398,0)+1,P$4)</f>
        <v>5.1504709998538898</v>
      </c>
      <c r="Q60" s="330"/>
      <c r="R60" s="250">
        <f>VLOOKUP(Table245[[#This Row],[Compound Name]],'Table S6 Recommended Values'!$A$10:$BD$398,RAVs!R$4,FALSE)</f>
        <v>68.269706488647401</v>
      </c>
      <c r="S60" s="249" cm="1">
        <f t="array" ref="S60">INDEX('Table S6 Recommended Values'!$A$10:$BD$398,MATCH(RAVs!$D60,'Table S6 Recommended Values'!$A$10:$A$398,0)+1,S$4)</f>
        <v>6.7648600772139904</v>
      </c>
      <c r="T60" s="330"/>
      <c r="U60" s="250">
        <f>VLOOKUP(Table245[[#This Row],[Compound Name]],'Table S6 Recommended Values'!$A$10:$BD$398,RAVs!U$4,FALSE)</f>
        <v>-20.341405881645802</v>
      </c>
      <c r="V60" s="249" cm="1">
        <f t="array" ref="V60">INDEX('Table S6 Recommended Values'!$A$10:$BD$398,MATCH(RAVs!$D60,'Table S6 Recommended Values'!$A$10:$A$398,0)+1,V$4)</f>
        <v>7.1022567498584896</v>
      </c>
      <c r="W60" s="330"/>
      <c r="X60" s="343">
        <f>VLOOKUP(Table245[[#This Row],[Compound Name]],'Table S6 Recommended Values'!$A$10:$BF$398,RAVs!X$4,FALSE)</f>
        <v>9.7859204710754799</v>
      </c>
      <c r="Y60" s="249" cm="1">
        <f t="array" ref="Y60">INDEX('Table S6 Recommended Values'!$A$10:$BF$398,MATCH(RAVs!$D60,'Table S6 Recommended Values'!$A$10:$A$398,0)+1,Y$4)</f>
        <v>6.3483597609158296E-2</v>
      </c>
      <c r="Z60" s="330"/>
      <c r="AA60" s="343">
        <f>VLOOKUP(Table245[[#This Row],[Compound Name]],'Table S6 Recommended Values'!$A$10:$BF$398,RAVs!AA$4,FALSE)</f>
        <v>7.5205455037994096</v>
      </c>
      <c r="AB60" s="249" cm="1">
        <f t="array" ref="AB60">INDEX('Table S6 Recommended Values'!$A$10:$BF$398,MATCH(RAVs!$D60,'Table S6 Recommended Values'!$A$10:$A$398,0)+1,AB$4)</f>
        <v>0.15832653813422701</v>
      </c>
      <c r="AC60" s="330"/>
      <c r="AD60" s="343">
        <f>VLOOKUP(Table245[[#This Row],[Compound Name]],'Table S6 Recommended Values'!$A$10:$BF$398,RAVs!AD$4,FALSE)</f>
        <v>-2.2050027855910899</v>
      </c>
      <c r="AE60" s="249" cm="1">
        <f t="array" ref="AE60">INDEX('Table S6 Recommended Values'!$A$10:$BF$398,MATCH(RAVs!$D60,'Table S6 Recommended Values'!$A$10:$A$398,0)+1,AE$4)</f>
        <v>0.18236171370433599</v>
      </c>
      <c r="AF60" s="330"/>
      <c r="AG60" s="343">
        <f>VLOOKUP(Table245[[#This Row],[Compound Name]],'Table S6 Recommended Values'!$A$10:$BF$398,RAVs!AG$4,FALSE)</f>
        <v>-3.250098221250457</v>
      </c>
      <c r="AH60" s="249" cm="1">
        <f t="array" ref="AH60">INDEX('Table S6 Recommended Values'!$A$10:$BF$398,MATCH(RAVs!$D60,'Table S6 Recommended Values'!$A$10:$A$398,0)+1,AH$4)</f>
        <v>7.8996552511387902E-2</v>
      </c>
      <c r="AI60" s="330"/>
      <c r="AJ60" s="343">
        <f>VLOOKUP(Table245[[#This Row],[Compound Name]],'Table S6 Recommended Values'!$A$10:$BF$398,RAVs!AJ$4,FALSE)</f>
        <v>-4.4417891303432899</v>
      </c>
      <c r="AK60" s="249" cm="1">
        <f t="array" ref="AK60">INDEX('Table S6 Recommended Values'!$A$10:$BF$398,MATCH(RAVs!$D60,'Table S6 Recommended Values'!$A$10:$A$398,0)+1,AK$4)</f>
        <v>0.16550034259010901</v>
      </c>
      <c r="AL60" s="330"/>
      <c r="AM60" s="343">
        <f>VLOOKUP(Table245[[#This Row],[Compound Name]],'Table S6 Recommended Values'!$A$10:$BF$398,RAVs!AM$4,FALSE)</f>
        <v>3.1046162340041401</v>
      </c>
      <c r="AN60" s="249" cm="1">
        <f t="array" ref="AN60">INDEX('Table S6 Recommended Values'!$A$10:$BF$398,MATCH(RAVs!$D60,'Table S6 Recommended Values'!$A$10:$A$398,0)+1,AN$4)</f>
        <v>0.126250274018638</v>
      </c>
      <c r="AO60" s="330"/>
      <c r="AP60" s="343" t="str">
        <f>VLOOKUP(Table245[[#This Row],[Compound Name]],'Table S6 Recommended Values'!$A$10:$BF$398,RAVs!AP$4,FALSE)</f>
        <v>-</v>
      </c>
      <c r="AQ60" s="249" t="str" cm="1">
        <f t="array" ref="AQ60">INDEX('Table S6 Recommended Values'!$A$10:$BF$398,MATCH(RAVs!$D60,'Table S6 Recommended Values'!$A$10:$A$398,0)+1,AQ$4)</f>
        <v>-</v>
      </c>
      <c r="AR60" s="330"/>
      <c r="AS60" s="343">
        <f>VLOOKUP(Table245[[#This Row],[Compound Name]],'Table S6 Recommended Values'!$A$10:$BF$398,RAVs!AS$4,FALSE)</f>
        <v>102.5</v>
      </c>
      <c r="AT60" s="249" cm="1">
        <f t="array" ref="AT60">INDEX('Table S6 Recommended Values'!$A$10:$BF$398,MATCH(RAVs!$D60,'Table S6 Recommended Values'!$A$10:$A$398,0)+1,AT$4)</f>
        <v>4.7319860118241417</v>
      </c>
      <c r="AU60" s="330"/>
    </row>
    <row r="61" spans="2:47">
      <c r="B61" s="247" t="str">
        <f>'Table S2 Compound Identifiers'!C63</f>
        <v>PCB</v>
      </c>
      <c r="C61" s="247">
        <f>COUNTIF($D$6:D61,"&lt;&gt;"&amp;"")</f>
        <v>56</v>
      </c>
      <c r="D61" s="247" t="str">
        <f>'Table S2 Compound Identifiers'!B63</f>
        <v>PCB-209</v>
      </c>
      <c r="E61" s="247" t="str">
        <f>VLOOKUP(RAVs!$D61,'Table S3 Literature Values'!$A$10:$AV$551,E$4,FALSE)</f>
        <v>2051-24-3</v>
      </c>
      <c r="F61" s="248">
        <f>VLOOKUP(Table245[[#This Row],[Compound Name]],'Table S6 Recommended Values'!$A$10:$BD$398,RAVs!F$4,FALSE)</f>
        <v>104.35194859130601</v>
      </c>
      <c r="G61" s="249" cm="1">
        <f t="array" ref="G61">INDEX('Table S6 Recommended Values'!$A$10:$BD$398,MATCH(RAVs!$D61,'Table S6 Recommended Values'!$A$10:$A$398,0)+1,G$4)</f>
        <v>1.5829749301037701</v>
      </c>
      <c r="H61" s="330"/>
      <c r="I61" s="328">
        <f>VLOOKUP(Table245[[#This Row],[Compound Name]],'Table S6 Recommended Values'!$A$10:$BD$398,RAVs!I$4,FALSE)</f>
        <v>30.904759201741701</v>
      </c>
      <c r="J61" s="249" cm="1">
        <f t="array" ref="J61">INDEX('Table S6 Recommended Values'!$A$10:$BD$398,MATCH(RAVs!$D61,'Table S6 Recommended Values'!$A$10:$A$398,0)+1,J$4)</f>
        <v>5.3826113083040497</v>
      </c>
      <c r="K61" s="330"/>
      <c r="L61" s="250">
        <f>VLOOKUP(Table245[[#This Row],[Compound Name]],'Table S6 Recommended Values'!$A$10:$BD$398,RAVs!L$4,FALSE)</f>
        <v>3.8930251277952177</v>
      </c>
      <c r="M61" s="249" cm="1">
        <f t="array" ref="M61">INDEX('Table S6 Recommended Values'!$A$10:$BD$398,MATCH(RAVs!$D61,'Table S6 Recommended Values'!$A$10:$A$398,0)+1,M$4)</f>
        <v>5.4622685802346576</v>
      </c>
      <c r="N61" s="330"/>
      <c r="O61" s="250">
        <f>VLOOKUP(Table245[[#This Row],[Compound Name]],'Table S6 Recommended Values'!$A$10:$BD$398,RAVs!O$4,FALSE)</f>
        <v>-98.067923463510795</v>
      </c>
      <c r="P61" s="249" cm="1">
        <f t="array" ref="P61">INDEX('Table S6 Recommended Values'!$A$10:$BD$398,MATCH(RAVs!$D61,'Table S6 Recommended Values'!$A$10:$A$398,0)+1,P$4)</f>
        <v>5.2278646131361999</v>
      </c>
      <c r="Q61" s="330"/>
      <c r="R61" s="250">
        <f>VLOOKUP(Table245[[#This Row],[Compound Name]],'Table S6 Recommended Values'!$A$10:$BD$398,RAVs!R$4,FALSE)</f>
        <v>71.063071803450796</v>
      </c>
      <c r="S61" s="249" cm="1">
        <f t="array" ref="S61">INDEX('Table S6 Recommended Values'!$A$10:$BD$398,MATCH(RAVs!$D61,'Table S6 Recommended Values'!$A$10:$A$398,0)+1,S$4)</f>
        <v>5.3857251777649804</v>
      </c>
      <c r="T61" s="330"/>
      <c r="U61" s="250">
        <f>VLOOKUP(Table245[[#This Row],[Compound Name]],'Table S6 Recommended Values'!$A$10:$BD$398,RAVs!U$4,FALSE)</f>
        <v>-26.999151874097699</v>
      </c>
      <c r="V61" s="249" cm="1">
        <f t="array" ref="V61">INDEX('Table S6 Recommended Values'!$A$10:$BD$398,MATCH(RAVs!$D61,'Table S6 Recommended Values'!$A$10:$A$398,0)+1,V$4)</f>
        <v>4.3065409442713003</v>
      </c>
      <c r="W61" s="330"/>
      <c r="X61" s="343">
        <f>VLOOKUP(Table245[[#This Row],[Compound Name]],'Table S6 Recommended Values'!$A$10:$BF$398,RAVs!X$4,FALSE)</f>
        <v>11.4874451448574</v>
      </c>
      <c r="Y61" s="249" cm="1">
        <f t="array" ref="Y61">INDEX('Table S6 Recommended Values'!$A$10:$BF$398,MATCH(RAVs!$D61,'Table S6 Recommended Values'!$A$10:$A$398,0)+1,Y$4)</f>
        <v>0.286472353816769</v>
      </c>
      <c r="Z61" s="330"/>
      <c r="AA61" s="343">
        <f>VLOOKUP(Table245[[#This Row],[Compound Name]],'Table S6 Recommended Values'!$A$10:$BF$398,RAVs!AA$4,FALSE)</f>
        <v>9.0660052906848794</v>
      </c>
      <c r="AB61" s="249" cm="1">
        <f t="array" ref="AB61">INDEX('Table S6 Recommended Values'!$A$10:$BF$398,MATCH(RAVs!$D61,'Table S6 Recommended Values'!$A$10:$A$398,0)+1,AB$4)</f>
        <v>0.28330827513554901</v>
      </c>
      <c r="AC61" s="330"/>
      <c r="AD61" s="343">
        <f>VLOOKUP(Table245[[#This Row],[Compound Name]],'Table S6 Recommended Values'!$A$10:$BF$398,RAVs!AD$4,FALSE)</f>
        <v>-2.4469397838585198</v>
      </c>
      <c r="AE61" s="249" cm="1">
        <f t="array" ref="AE61">INDEX('Table S6 Recommended Values'!$A$10:$BF$398,MATCH(RAVs!$D61,'Table S6 Recommended Values'!$A$10:$A$398,0)+1,AE$4)</f>
        <v>0.35440849797155599</v>
      </c>
      <c r="AF61" s="330"/>
      <c r="AG61" s="343">
        <f>VLOOKUP(Table245[[#This Row],[Compound Name]],'Table S6 Recommended Values'!$A$10:$BF$398,RAVs!AG$4,FALSE)</f>
        <v>-5.0569619174495966</v>
      </c>
      <c r="AH61" s="249" cm="1">
        <f t="array" ref="AH61">INDEX('Table S6 Recommended Values'!$A$10:$BF$398,MATCH(RAVs!$D61,'Table S6 Recommended Values'!$A$10:$A$398,0)+1,AH$4)</f>
        <v>0.33139337975063199</v>
      </c>
      <c r="AI61" s="330"/>
      <c r="AJ61" s="343">
        <f>VLOOKUP(Table245[[#This Row],[Compound Name]],'Table S6 Recommended Values'!$A$10:$BF$398,RAVs!AJ$4,FALSE)</f>
        <v>-6.00568086313364</v>
      </c>
      <c r="AK61" s="249" cm="1">
        <f t="array" ref="AK61">INDEX('Table S6 Recommended Values'!$A$10:$BF$398,MATCH(RAVs!$D61,'Table S6 Recommended Values'!$A$10:$A$398,0)+1,AK$4)</f>
        <v>0.20980752909672901</v>
      </c>
      <c r="AL61" s="330"/>
      <c r="AM61" s="343">
        <f>VLOOKUP(Table245[[#This Row],[Compound Name]],'Table S6 Recommended Values'!$A$10:$BF$398,RAVs!AM$4,FALSE)</f>
        <v>3.0333195837152598</v>
      </c>
      <c r="AN61" s="249" cm="1">
        <f t="array" ref="AN61">INDEX('Table S6 Recommended Values'!$A$10:$BF$398,MATCH(RAVs!$D61,'Table S6 Recommended Values'!$A$10:$A$398,0)+1,AN$4)</f>
        <v>0.30544812883790501</v>
      </c>
      <c r="AO61" s="330"/>
      <c r="AP61" s="343">
        <f>VLOOKUP(Table245[[#This Row],[Compound Name]],'Table S6 Recommended Values'!$A$10:$BF$398,RAVs!AP$4,FALSE)</f>
        <v>55.188213787105745</v>
      </c>
      <c r="AQ61" s="249" cm="1">
        <f t="array" ref="AQ61">INDEX('Table S6 Recommended Values'!$A$10:$BF$398,MATCH(RAVs!$D61,'Table S6 Recommended Values'!$A$10:$A$398,0)+1,AQ$4)</f>
        <v>9.8727770120457699</v>
      </c>
      <c r="AR61" s="330"/>
      <c r="AS61" s="343">
        <f>VLOOKUP(Table245[[#This Row],[Compound Name]],'Table S6 Recommended Values'!$A$10:$BF$398,RAVs!AS$4,FALSE)</f>
        <v>308.39285714285717</v>
      </c>
      <c r="AT61" s="249" cm="1">
        <f t="array" ref="AT61">INDEX('Table S6 Recommended Values'!$A$10:$BF$398,MATCH(RAVs!$D61,'Table S6 Recommended Values'!$A$10:$A$398,0)+1,AT$4)</f>
        <v>5.139425111448797</v>
      </c>
      <c r="AU61" s="330"/>
    </row>
    <row r="62" spans="2:47">
      <c r="B62" s="247" t="str">
        <f>'Table S2 Compound Identifiers'!C64</f>
        <v>Phthalate</v>
      </c>
      <c r="C62" s="247">
        <f>COUNTIF($D$6:D62,"&lt;&gt;"&amp;"")</f>
        <v>57</v>
      </c>
      <c r="D62" s="432" t="str">
        <f>'Table S2 Compound Identifiers'!B64</f>
        <v>DmP</v>
      </c>
      <c r="E62" s="247">
        <f>VLOOKUP(RAVs!$D62,'Table S3 Literature Values'!$A$10:$AV$551,E$4,FALSE)</f>
        <v>194.18</v>
      </c>
      <c r="F62" s="248">
        <f>VLOOKUP(Table245[[#This Row],[Compound Name]],'Table S6 Recommended Values'!$A$10:$BD$398,RAVs!F$4,FALSE)</f>
        <v>0.96209054198154198</v>
      </c>
      <c r="G62" s="249" cm="1">
        <f t="array" ref="G62">INDEX('Table S6 Recommended Values'!$A$10:$BD$398,MATCH(RAVs!$D62,'Table S6 Recommended Values'!$A$10:$A$398,0)+1,G$4)</f>
        <v>0</v>
      </c>
      <c r="H62" s="330"/>
      <c r="I62" s="328">
        <f>VLOOKUP(Table245[[#This Row],[Compound Name]],'Table S6 Recommended Values'!$A$10:$BD$398,RAVs!I$4,FALSE)</f>
        <v>5.0619367557730097</v>
      </c>
      <c r="J62" s="249" cm="1">
        <f t="array" ref="J62">INDEX('Table S6 Recommended Values'!$A$10:$BD$398,MATCH(RAVs!$D62,'Table S6 Recommended Values'!$A$10:$A$398,0)+1,J$4)</f>
        <v>0</v>
      </c>
      <c r="K62" s="330"/>
      <c r="L62" s="250">
        <f>VLOOKUP(Table245[[#This Row],[Compound Name]],'Table S6 Recommended Values'!$A$10:$BD$398,RAVs!L$4,FALSE)</f>
        <v>3.4302245076246511</v>
      </c>
      <c r="M62" s="249" cm="1">
        <f t="array" ref="M62">INDEX('Table S6 Recommended Values'!$A$10:$BD$398,MATCH(RAVs!$D62,'Table S6 Recommended Values'!$A$10:$A$398,0)+1,M$4)</f>
        <v>0</v>
      </c>
      <c r="N62" s="330"/>
      <c r="O62" s="250">
        <f>VLOOKUP(Table245[[#This Row],[Compound Name]],'Table S6 Recommended Values'!$A$10:$BD$398,RAVs!O$4,FALSE)</f>
        <v>3.2925403508140101</v>
      </c>
      <c r="P62" s="249" cm="1">
        <f t="array" ref="P62">INDEX('Table S6 Recommended Values'!$A$10:$BD$398,MATCH(RAVs!$D62,'Table S6 Recommended Values'!$A$10:$A$398,0)+1,P$4)</f>
        <v>0</v>
      </c>
      <c r="Q62" s="330"/>
      <c r="R62" s="250">
        <f>VLOOKUP(Table245[[#This Row],[Compound Name]],'Table S6 Recommended Values'!$A$10:$BD$398,RAVs!R$4,FALSE)</f>
        <v>5.0568377081331102</v>
      </c>
      <c r="S62" s="249" cm="1">
        <f t="array" ref="S62">INDEX('Table S6 Recommended Values'!$A$10:$BD$398,MATCH(RAVs!$D62,'Table S6 Recommended Values'!$A$10:$A$398,0)+1,S$4)</f>
        <v>0</v>
      </c>
      <c r="T62" s="330"/>
      <c r="U62" s="250">
        <f>VLOOKUP(Table245[[#This Row],[Compound Name]],'Table S6 Recommended Values'!$A$10:$BD$398,RAVs!U$4,FALSE)</f>
        <v>5.1328925804347998</v>
      </c>
      <c r="V62" s="249" cm="1">
        <f t="array" ref="V62">INDEX('Table S6 Recommended Values'!$A$10:$BD$398,MATCH(RAVs!$D62,'Table S6 Recommended Values'!$A$10:$A$398,0)+1,V$4)</f>
        <v>0</v>
      </c>
      <c r="W62" s="330"/>
      <c r="X62" s="343">
        <f>VLOOKUP(Table245[[#This Row],[Compound Name]],'Table S6 Recommended Values'!$A$10:$BF$398,RAVs!X$4,FALSE)</f>
        <v>0.13496173365939401</v>
      </c>
      <c r="Y62" s="249" cm="1">
        <f t="array" ref="Y62">INDEX('Table S6 Recommended Values'!$A$10:$BF$398,MATCH(RAVs!$D62,'Table S6 Recommended Values'!$A$10:$A$398,0)+1,Y$4)</f>
        <v>0</v>
      </c>
      <c r="Z62" s="330"/>
      <c r="AA62" s="343">
        <f>VLOOKUP(Table245[[#This Row],[Compound Name]],'Table S6 Recommended Values'!$A$10:$BF$398,RAVs!AA$4,FALSE)</f>
        <v>9.7678886595933101E-2</v>
      </c>
      <c r="AB62" s="249" cm="1">
        <f t="array" ref="AB62">INDEX('Table S6 Recommended Values'!$A$10:$BF$398,MATCH(RAVs!$D62,'Table S6 Recommended Values'!$A$10:$A$398,0)+1,AB$4)</f>
        <v>0</v>
      </c>
      <c r="AC62" s="330"/>
      <c r="AD62" s="343">
        <f>VLOOKUP(Table245[[#This Row],[Compound Name]],'Table S6 Recommended Values'!$A$10:$BF$398,RAVs!AD$4,FALSE)</f>
        <v>0.14489308475686499</v>
      </c>
      <c r="AE62" s="249" cm="1">
        <f t="array" ref="AE62">INDEX('Table S6 Recommended Values'!$A$10:$BF$398,MATCH(RAVs!$D62,'Table S6 Recommended Values'!$A$10:$A$398,0)+1,AE$4)</f>
        <v>0</v>
      </c>
      <c r="AF62" s="330"/>
      <c r="AG62" s="343">
        <f>VLOOKUP(Table245[[#This Row],[Compound Name]],'Table S6 Recommended Values'!$A$10:$BF$398,RAVs!AG$4,FALSE)</f>
        <v>8.8887717118221604E-2</v>
      </c>
      <c r="AH62" s="249" cm="1">
        <f t="array" ref="AH62">INDEX('Table S6 Recommended Values'!$A$10:$BF$398,MATCH(RAVs!$D62,'Table S6 Recommended Values'!$A$10:$A$398,0)+1,AH$4)</f>
        <v>0</v>
      </c>
      <c r="AI62" s="330"/>
      <c r="AJ62" s="343">
        <f>VLOOKUP(Table245[[#This Row],[Compound Name]],'Table S6 Recommended Values'!$A$10:$BF$398,RAVs!AJ$4,FALSE)</f>
        <v>7.4919100924324203E-2</v>
      </c>
      <c r="AK62" s="249" cm="1">
        <f t="array" ref="AK62">INDEX('Table S6 Recommended Values'!$A$10:$BF$398,MATCH(RAVs!$D62,'Table S6 Recommended Values'!$A$10:$A$398,0)+1,AK$4)</f>
        <v>0</v>
      </c>
      <c r="AL62" s="330"/>
      <c r="AM62" s="343">
        <f>VLOOKUP(Table245[[#This Row],[Compound Name]],'Table S6 Recommended Values'!$A$10:$BF$398,RAVs!AM$4,FALSE)</f>
        <v>0.127081628157104</v>
      </c>
      <c r="AN62" s="249" cm="1">
        <f t="array" ref="AN62">INDEX('Table S6 Recommended Values'!$A$10:$BF$398,MATCH(RAVs!$D62,'Table S6 Recommended Values'!$A$10:$A$398,0)+1,AN$4)</f>
        <v>0</v>
      </c>
      <c r="AO62" s="330"/>
      <c r="AP62" s="343">
        <f>VLOOKUP(Table245[[#This Row],[Compound Name]],'Table S6 Recommended Values'!$A$10:$BF$398,RAVs!AP$4,FALSE)</f>
        <v>4.8710528878201647</v>
      </c>
      <c r="AQ62" s="249" cm="1">
        <f t="array" ref="AQ62">INDEX('Table S6 Recommended Values'!$A$10:$BF$398,MATCH(RAVs!$D62,'Table S6 Recommended Values'!$A$10:$A$398,0)+1,AQ$4)</f>
        <v>0</v>
      </c>
      <c r="AR62" s="330"/>
      <c r="AS62" s="343">
        <f>VLOOKUP(Table245[[#This Row],[Compound Name]],'Table S6 Recommended Values'!$A$10:$BF$398,RAVs!AS$4,FALSE)</f>
        <v>0.23177575369309009</v>
      </c>
      <c r="AT62" s="249" cm="1">
        <f t="array" ref="AT62">INDEX('Table S6 Recommended Values'!$A$10:$BF$398,MATCH(RAVs!$D62,'Table S6 Recommended Values'!$A$10:$A$398,0)+1,AT$4)</f>
        <v>0</v>
      </c>
      <c r="AU62" s="330"/>
    </row>
    <row r="63" spans="2:47">
      <c r="B63" s="247" t="str">
        <f>'Table S2 Compound Identifiers'!C65</f>
        <v>Phthalate</v>
      </c>
      <c r="C63" s="247">
        <f>COUNTIF($D$6:D63,"&lt;&gt;"&amp;"")</f>
        <v>58</v>
      </c>
      <c r="D63" s="432" t="str">
        <f>'Table S2 Compound Identifiers'!B65</f>
        <v>DEP</v>
      </c>
      <c r="E63" s="247">
        <f>VLOOKUP(RAVs!$D63,'Table S3 Literature Values'!$A$10:$AV$551,E$4,FALSE)</f>
        <v>222.24</v>
      </c>
      <c r="F63" s="248">
        <f>VLOOKUP(Table245[[#This Row],[Compound Name]],'Table S6 Recommended Values'!$A$10:$BD$398,RAVs!F$4,FALSE)</f>
        <v>1.972148798446</v>
      </c>
      <c r="G63" s="249" cm="1">
        <f t="array" ref="G63">INDEX('Table S6 Recommended Values'!$A$10:$BD$398,MATCH(RAVs!$D63,'Table S6 Recommended Values'!$A$10:$A$398,0)+1,G$4)</f>
        <v>0</v>
      </c>
      <c r="H63" s="330"/>
      <c r="I63" s="328">
        <f>VLOOKUP(Table245[[#This Row],[Compound Name]],'Table S6 Recommended Values'!$A$10:$BD$398,RAVs!I$4,FALSE)</f>
        <v>6.9490226032151199</v>
      </c>
      <c r="J63" s="249" cm="1">
        <f t="array" ref="J63">INDEX('Table S6 Recommended Values'!$A$10:$BD$398,MATCH(RAVs!$D63,'Table S6 Recommended Values'!$A$10:$A$398,0)+1,J$4)</f>
        <v>0</v>
      </c>
      <c r="K63" s="330"/>
      <c r="L63" s="250">
        <f>VLOOKUP(Table245[[#This Row],[Compound Name]],'Table S6 Recommended Values'!$A$10:$BD$398,RAVs!L$4,FALSE)</f>
        <v>5.1685914807794457</v>
      </c>
      <c r="M63" s="249" cm="1">
        <f t="array" ref="M63">INDEX('Table S6 Recommended Values'!$A$10:$BD$398,MATCH(RAVs!$D63,'Table S6 Recommended Values'!$A$10:$A$398,0)+1,M$4)</f>
        <v>0</v>
      </c>
      <c r="N63" s="330"/>
      <c r="O63" s="250">
        <f>VLOOKUP(Table245[[#This Row],[Compound Name]],'Table S6 Recommended Values'!$A$10:$BD$398,RAVs!O$4,FALSE)</f>
        <v>4.7775482218365797</v>
      </c>
      <c r="P63" s="249" cm="1">
        <f t="array" ref="P63">INDEX('Table S6 Recommended Values'!$A$10:$BD$398,MATCH(RAVs!$D63,'Table S6 Recommended Values'!$A$10:$A$398,0)+1,P$4)</f>
        <v>0</v>
      </c>
      <c r="Q63" s="330"/>
      <c r="R63" s="250">
        <f>VLOOKUP(Table245[[#This Row],[Compound Name]],'Table S6 Recommended Values'!$A$10:$BD$398,RAVs!R$4,FALSE)</f>
        <v>6.9092283536314101</v>
      </c>
      <c r="S63" s="249" cm="1">
        <f t="array" ref="S63">INDEX('Table S6 Recommended Values'!$A$10:$BD$398,MATCH(RAVs!$D63,'Table S6 Recommended Values'!$A$10:$A$398,0)+1,S$4)</f>
        <v>0</v>
      </c>
      <c r="T63" s="330"/>
      <c r="U63" s="250">
        <f>VLOOKUP(Table245[[#This Row],[Compound Name]],'Table S6 Recommended Values'!$A$10:$BD$398,RAVs!U$4,FALSE)</f>
        <v>7.1213288802683596</v>
      </c>
      <c r="V63" s="249" cm="1">
        <f t="array" ref="V63">INDEX('Table S6 Recommended Values'!$A$10:$BD$398,MATCH(RAVs!$D63,'Table S6 Recommended Values'!$A$10:$A$398,0)+1,V$4)</f>
        <v>0</v>
      </c>
      <c r="W63" s="330"/>
      <c r="X63" s="343">
        <f>VLOOKUP(Table245[[#This Row],[Compound Name]],'Table S6 Recommended Values'!$A$10:$BF$398,RAVs!X$4,FALSE)</f>
        <v>0.17458065868283701</v>
      </c>
      <c r="Y63" s="249" cm="1">
        <f t="array" ref="Y63">INDEX('Table S6 Recommended Values'!$A$10:$BF$398,MATCH(RAVs!$D63,'Table S6 Recommended Values'!$A$10:$A$398,0)+1,Y$4)</f>
        <v>0</v>
      </c>
      <c r="Z63" s="330"/>
      <c r="AA63" s="343">
        <f>VLOOKUP(Table245[[#This Row],[Compound Name]],'Table S6 Recommended Values'!$A$10:$BF$398,RAVs!AA$4,FALSE)</f>
        <v>0.23534060587392799</v>
      </c>
      <c r="AB63" s="249" cm="1">
        <f t="array" ref="AB63">INDEX('Table S6 Recommended Values'!$A$10:$BF$398,MATCH(RAVs!$D63,'Table S6 Recommended Values'!$A$10:$A$398,0)+1,AB$4)</f>
        <v>0</v>
      </c>
      <c r="AC63" s="330"/>
      <c r="AD63" s="343">
        <f>VLOOKUP(Table245[[#This Row],[Compound Name]],'Table S6 Recommended Values'!$A$10:$BF$398,RAVs!AD$4,FALSE)</f>
        <v>0.21860369131931101</v>
      </c>
      <c r="AE63" s="249" cm="1">
        <f t="array" ref="AE63">INDEX('Table S6 Recommended Values'!$A$10:$BF$398,MATCH(RAVs!$D63,'Table S6 Recommended Values'!$A$10:$A$398,0)+1,AE$4)</f>
        <v>0</v>
      </c>
      <c r="AF63" s="330"/>
      <c r="AG63" s="343">
        <f>VLOOKUP(Table245[[#This Row],[Compound Name]],'Table S6 Recommended Values'!$A$10:$BF$398,RAVs!AG$4,FALSE)</f>
        <v>0.19400399327231799</v>
      </c>
      <c r="AH63" s="249" cm="1">
        <f t="array" ref="AH63">INDEX('Table S6 Recommended Values'!$A$10:$BF$398,MATCH(RAVs!$D63,'Table S6 Recommended Values'!$A$10:$A$398,0)+1,AH$4)</f>
        <v>0</v>
      </c>
      <c r="AI63" s="330"/>
      <c r="AJ63" s="343">
        <f>VLOOKUP(Table245[[#This Row],[Compound Name]],'Table S6 Recommended Values'!$A$10:$BF$398,RAVs!AJ$4,FALSE)</f>
        <v>4.9253167920606002E-2</v>
      </c>
      <c r="AK63" s="249" cm="1">
        <f t="array" ref="AK63">INDEX('Table S6 Recommended Values'!$A$10:$BF$398,MATCH(RAVs!$D63,'Table S6 Recommended Values'!$A$10:$A$398,0)+1,AK$4)</f>
        <v>0</v>
      </c>
      <c r="AL63" s="330"/>
      <c r="AM63" s="343">
        <f>VLOOKUP(Table245[[#This Row],[Compound Name]],'Table S6 Recommended Values'!$A$10:$BF$398,RAVs!AM$4,FALSE)</f>
        <v>0.225162354911599</v>
      </c>
      <c r="AN63" s="249" cm="1">
        <f t="array" ref="AN63">INDEX('Table S6 Recommended Values'!$A$10:$BF$398,MATCH(RAVs!$D63,'Table S6 Recommended Values'!$A$10:$A$398,0)+1,AN$4)</f>
        <v>0</v>
      </c>
      <c r="AO63" s="330"/>
      <c r="AP63" s="343">
        <f>VLOOKUP(Table245[[#This Row],[Compound Name]],'Table S6 Recommended Values'!$A$10:$BF$398,RAVs!AP$4,FALSE)</f>
        <v>5.2525398777400616</v>
      </c>
      <c r="AQ63" s="249" cm="1">
        <f t="array" ref="AQ63">INDEX('Table S6 Recommended Values'!$A$10:$BF$398,MATCH(RAVs!$D63,'Table S6 Recommended Values'!$A$10:$A$398,0)+1,AQ$4)</f>
        <v>0</v>
      </c>
      <c r="AR63" s="330"/>
      <c r="AS63" s="343">
        <f>VLOOKUP(Table245[[#This Row],[Compound Name]],'Table S6 Recommended Values'!$A$10:$BF$398,RAVs!AS$4,FALSE)</f>
        <v>10.907871775312827</v>
      </c>
      <c r="AT63" s="249" cm="1">
        <f t="array" ref="AT63">INDEX('Table S6 Recommended Values'!$A$10:$BF$398,MATCH(RAVs!$D63,'Table S6 Recommended Values'!$A$10:$A$398,0)+1,AT$4)</f>
        <v>0</v>
      </c>
      <c r="AU63" s="330"/>
    </row>
    <row r="64" spans="2:47">
      <c r="B64" s="247" t="str">
        <f>'Table S2 Compound Identifiers'!C66</f>
        <v>Phthalate</v>
      </c>
      <c r="C64" s="247">
        <f>COUNTIF($D$6:D64,"&lt;&gt;"&amp;"")</f>
        <v>59</v>
      </c>
      <c r="D64" s="432" t="str">
        <f>'Table S2 Compound Identifiers'!B66</f>
        <v>DPP</v>
      </c>
      <c r="E64" s="247">
        <f>VLOOKUP(RAVs!$D64,'Table S3 Literature Values'!$A$10:$AV$551,E$4,FALSE)</f>
        <v>250.29</v>
      </c>
      <c r="F64" s="248">
        <f>VLOOKUP(Table245[[#This Row],[Compound Name]],'Table S6 Recommended Values'!$A$10:$BD$398,RAVs!F$4,FALSE)</f>
        <v>5.7853339933094903</v>
      </c>
      <c r="G64" s="249" cm="1">
        <f t="array" ref="G64">INDEX('Table S6 Recommended Values'!$A$10:$BD$398,MATCH(RAVs!$D64,'Table S6 Recommended Values'!$A$10:$A$398,0)+1,G$4)</f>
        <v>0</v>
      </c>
      <c r="H64" s="330"/>
      <c r="I64" s="328">
        <f>VLOOKUP(Table245[[#This Row],[Compound Name]],'Table S6 Recommended Values'!$A$10:$BD$398,RAVs!I$4,FALSE)</f>
        <v>6.7323581378408104</v>
      </c>
      <c r="J64" s="249" cm="1">
        <f t="array" ref="J64">INDEX('Table S6 Recommended Values'!$A$10:$BD$398,MATCH(RAVs!$D64,'Table S6 Recommended Values'!$A$10:$A$398,0)+1,J$4)</f>
        <v>0</v>
      </c>
      <c r="K64" s="330"/>
      <c r="L64" s="250">
        <f>VLOOKUP(Table245[[#This Row],[Compound Name]],'Table S6 Recommended Values'!$A$10:$BD$398,RAVs!L$4,FALSE)</f>
        <v>10.455354243048552</v>
      </c>
      <c r="M64" s="249" cm="1">
        <f t="array" ref="M64">INDEX('Table S6 Recommended Values'!$A$10:$BD$398,MATCH(RAVs!$D64,'Table S6 Recommended Values'!$A$10:$A$398,0)+1,M$4)</f>
        <v>0</v>
      </c>
      <c r="N64" s="330"/>
      <c r="O64" s="250">
        <f>VLOOKUP(Table245[[#This Row],[Compound Name]],'Table S6 Recommended Values'!$A$10:$BD$398,RAVs!O$4,FALSE)</f>
        <v>8.7088657661885591</v>
      </c>
      <c r="P64" s="249" cm="1">
        <f t="array" ref="P64">INDEX('Table S6 Recommended Values'!$A$10:$BD$398,MATCH(RAVs!$D64,'Table S6 Recommended Values'!$A$10:$A$398,0)+1,P$4)</f>
        <v>0</v>
      </c>
      <c r="Q64" s="330"/>
      <c r="R64" s="250">
        <f>VLOOKUP(Table245[[#This Row],[Compound Name]],'Table S6 Recommended Values'!$A$10:$BD$398,RAVs!R$4,FALSE)</f>
        <v>7.6534016214508904</v>
      </c>
      <c r="S64" s="249" cm="1">
        <f t="array" ref="S64">INDEX('Table S6 Recommended Values'!$A$10:$BD$398,MATCH(RAVs!$D64,'Table S6 Recommended Values'!$A$10:$A$398,0)+1,S$4)</f>
        <v>0</v>
      </c>
      <c r="T64" s="330"/>
      <c r="U64" s="250">
        <f>VLOOKUP(Table245[[#This Row],[Compound Name]],'Table S6 Recommended Values'!$A$10:$BD$398,RAVs!U$4,FALSE)</f>
        <v>6.0852368363866898</v>
      </c>
      <c r="V64" s="249" cm="1">
        <f t="array" ref="V64">INDEX('Table S6 Recommended Values'!$A$10:$BD$398,MATCH(RAVs!$D64,'Table S6 Recommended Values'!$A$10:$A$398,0)+1,V$4)</f>
        <v>0</v>
      </c>
      <c r="W64" s="330"/>
      <c r="X64" s="343">
        <f>VLOOKUP(Table245[[#This Row],[Compound Name]],'Table S6 Recommended Values'!$A$10:$BF$398,RAVs!X$4,FALSE)</f>
        <v>0.35349880708082698</v>
      </c>
      <c r="Y64" s="249" cm="1">
        <f t="array" ref="Y64">INDEX('Table S6 Recommended Values'!$A$10:$BF$398,MATCH(RAVs!$D64,'Table S6 Recommended Values'!$A$10:$A$398,0)+1,Y$4)</f>
        <v>0</v>
      </c>
      <c r="Z64" s="330"/>
      <c r="AA64" s="343">
        <f>VLOOKUP(Table245[[#This Row],[Compound Name]],'Table S6 Recommended Values'!$A$10:$BF$398,RAVs!AA$4,FALSE)</f>
        <v>0.32403011543594501</v>
      </c>
      <c r="AB64" s="249" cm="1">
        <f t="array" ref="AB64">INDEX('Table S6 Recommended Values'!$A$10:$BF$398,MATCH(RAVs!$D64,'Table S6 Recommended Values'!$A$10:$A$398,0)+1,AB$4)</f>
        <v>0</v>
      </c>
      <c r="AC64" s="330"/>
      <c r="AD64" s="343">
        <f>VLOOKUP(Table245[[#This Row],[Compound Name]],'Table S6 Recommended Values'!$A$10:$BF$398,RAVs!AD$4,FALSE)</f>
        <v>0.287940606178331</v>
      </c>
      <c r="AE64" s="249" cm="1">
        <f t="array" ref="AE64">INDEX('Table S6 Recommended Values'!$A$10:$BF$398,MATCH(RAVs!$D64,'Table S6 Recommended Values'!$A$10:$A$398,0)+1,AE$4)</f>
        <v>0</v>
      </c>
      <c r="AF64" s="330"/>
      <c r="AG64" s="343">
        <f>VLOOKUP(Table245[[#This Row],[Compound Name]],'Table S6 Recommended Values'!$A$10:$BF$398,RAVs!AG$4,FALSE)</f>
        <v>0.250839992971504</v>
      </c>
      <c r="AH64" s="249" cm="1">
        <f t="array" ref="AH64">INDEX('Table S6 Recommended Values'!$A$10:$BF$398,MATCH(RAVs!$D64,'Table S6 Recommended Values'!$A$10:$A$398,0)+1,AH$4)</f>
        <v>0</v>
      </c>
      <c r="AI64" s="330"/>
      <c r="AJ64" s="343">
        <f>VLOOKUP(Table245[[#This Row],[Compound Name]],'Table S6 Recommended Values'!$A$10:$BF$398,RAVs!AJ$4,FALSE)</f>
        <v>0.12776156706786801</v>
      </c>
      <c r="AK64" s="249" cm="1">
        <f t="array" ref="AK64">INDEX('Table S6 Recommended Values'!$A$10:$BF$398,MATCH(RAVs!$D64,'Table S6 Recommended Values'!$A$10:$A$398,0)+1,AK$4)</f>
        <v>0</v>
      </c>
      <c r="AL64" s="330"/>
      <c r="AM64" s="343">
        <f>VLOOKUP(Table245[[#This Row],[Compound Name]],'Table S6 Recommended Values'!$A$10:$BF$398,RAVs!AM$4,FALSE)</f>
        <v>0.31831428173609499</v>
      </c>
      <c r="AN64" s="249" cm="1">
        <f t="array" ref="AN64">INDEX('Table S6 Recommended Values'!$A$10:$BF$398,MATCH(RAVs!$D64,'Table S6 Recommended Values'!$A$10:$A$398,0)+1,AN$4)</f>
        <v>0</v>
      </c>
      <c r="AO64" s="330"/>
      <c r="AP64" s="343" t="str">
        <f>VLOOKUP(Table245[[#This Row],[Compound Name]],'Table S6 Recommended Values'!$A$10:$BF$398,RAVs!AP$4,FALSE)</f>
        <v>-</v>
      </c>
      <c r="AQ64" s="249" cm="1">
        <f t="array" ref="AQ64">INDEX('Table S6 Recommended Values'!$A$10:$BF$398,MATCH(RAVs!$D64,'Table S6 Recommended Values'!$A$10:$A$398,0)+1,AQ$4)</f>
        <v>0</v>
      </c>
      <c r="AR64" s="330"/>
      <c r="AS64" s="343">
        <f>VLOOKUP(Table245[[#This Row],[Compound Name]],'Table S6 Recommended Values'!$A$10:$BF$398,RAVs!AS$4,FALSE)</f>
        <v>1.4311372328443748</v>
      </c>
      <c r="AT64" s="249" cm="1">
        <f t="array" ref="AT64">INDEX('Table S6 Recommended Values'!$A$10:$BF$398,MATCH(RAVs!$D64,'Table S6 Recommended Values'!$A$10:$A$398,0)+1,AT$4)</f>
        <v>0</v>
      </c>
      <c r="AU64" s="330"/>
    </row>
    <row r="65" spans="2:47">
      <c r="B65" s="247" t="str">
        <f>'Table S2 Compound Identifiers'!C67</f>
        <v>Phthalate</v>
      </c>
      <c r="C65" s="247">
        <f>COUNTIF($D$6:D65,"&lt;&gt;"&amp;"")</f>
        <v>60</v>
      </c>
      <c r="D65" s="432" t="str">
        <f>'Table S2 Compound Identifiers'!B67</f>
        <v>DiBP</v>
      </c>
      <c r="E65" s="247">
        <f>VLOOKUP(RAVs!$D65,'Table S3 Literature Values'!$A$10:$AV$551,E$4,FALSE)</f>
        <v>278.33999999999997</v>
      </c>
      <c r="F65" s="248">
        <f>VLOOKUP(Table245[[#This Row],[Compound Name]],'Table S6 Recommended Values'!$A$10:$BD$398,RAVs!F$4,FALSE)</f>
        <v>9.6373903816586601</v>
      </c>
      <c r="G65" s="249" cm="1">
        <f t="array" ref="G65">INDEX('Table S6 Recommended Values'!$A$10:$BD$398,MATCH(RAVs!$D65,'Table S6 Recommended Values'!$A$10:$A$398,0)+1,G$4)</f>
        <v>0</v>
      </c>
      <c r="H65" s="330"/>
      <c r="I65" s="328">
        <f>VLOOKUP(Table245[[#This Row],[Compound Name]],'Table S6 Recommended Values'!$A$10:$BD$398,RAVs!I$4,FALSE)</f>
        <v>8.4375205715082497</v>
      </c>
      <c r="J65" s="249" cm="1">
        <f t="array" ref="J65">INDEX('Table S6 Recommended Values'!$A$10:$BD$398,MATCH(RAVs!$D65,'Table S6 Recommended Values'!$A$10:$A$398,0)+1,J$4)</f>
        <v>0</v>
      </c>
      <c r="K65" s="330"/>
      <c r="L65" s="250">
        <f>VLOOKUP(Table245[[#This Row],[Compound Name]],'Table S6 Recommended Values'!$A$10:$BD$398,RAVs!L$4,FALSE)</f>
        <v>17.356085214694264</v>
      </c>
      <c r="M65" s="249" cm="1">
        <f t="array" ref="M65">INDEX('Table S6 Recommended Values'!$A$10:$BD$398,MATCH(RAVs!$D65,'Table S6 Recommended Values'!$A$10:$A$398,0)+1,M$4)</f>
        <v>0</v>
      </c>
      <c r="N65" s="330"/>
      <c r="O65" s="250">
        <f>VLOOKUP(Table245[[#This Row],[Compound Name]],'Table S6 Recommended Values'!$A$10:$BD$398,RAVs!O$4,FALSE)</f>
        <v>14.4344865032062</v>
      </c>
      <c r="P65" s="249" cm="1">
        <f t="array" ref="P65">INDEX('Table S6 Recommended Values'!$A$10:$BD$398,MATCH(RAVs!$D65,'Table S6 Recommended Values'!$A$10:$A$398,0)+1,P$4)</f>
        <v>0</v>
      </c>
      <c r="Q65" s="330"/>
      <c r="R65" s="250">
        <f>VLOOKUP(Table245[[#This Row],[Compound Name]],'Table S6 Recommended Values'!$A$10:$BD$398,RAVs!R$4,FALSE)</f>
        <v>10.710000524445199</v>
      </c>
      <c r="S65" s="249" cm="1">
        <f t="array" ref="S65">INDEX('Table S6 Recommended Values'!$A$10:$BD$398,MATCH(RAVs!$D65,'Table S6 Recommended Values'!$A$10:$A$398,0)+1,S$4)</f>
        <v>0</v>
      </c>
      <c r="T65" s="330"/>
      <c r="U65" s="250">
        <f>VLOOKUP(Table245[[#This Row],[Compound Name]],'Table S6 Recommended Values'!$A$10:$BD$398,RAVs!U$4,FALSE)</f>
        <v>14.539933823188999</v>
      </c>
      <c r="V65" s="249" cm="1">
        <f t="array" ref="V65">INDEX('Table S6 Recommended Values'!$A$10:$BD$398,MATCH(RAVs!$D65,'Table S6 Recommended Values'!$A$10:$A$398,0)+1,V$4)</f>
        <v>0</v>
      </c>
      <c r="W65" s="330"/>
      <c r="X65" s="343">
        <f>VLOOKUP(Table245[[#This Row],[Compound Name]],'Table S6 Recommended Values'!$A$10:$BF$398,RAVs!X$4,FALSE)</f>
        <v>0.33012622580217499</v>
      </c>
      <c r="Y65" s="249" cm="1">
        <f t="array" ref="Y65">INDEX('Table S6 Recommended Values'!$A$10:$BF$398,MATCH(RAVs!$D65,'Table S6 Recommended Values'!$A$10:$A$398,0)+1,Y$4)</f>
        <v>0</v>
      </c>
      <c r="Z65" s="330"/>
      <c r="AA65" s="343">
        <f>VLOOKUP(Table245[[#This Row],[Compound Name]],'Table S6 Recommended Values'!$A$10:$BF$398,RAVs!AA$4,FALSE)</f>
        <v>0.18631803243009801</v>
      </c>
      <c r="AB65" s="249" cm="1">
        <f t="array" ref="AB65">INDEX('Table S6 Recommended Values'!$A$10:$BF$398,MATCH(RAVs!$D65,'Table S6 Recommended Values'!$A$10:$A$398,0)+1,AB$4)</f>
        <v>0</v>
      </c>
      <c r="AC65" s="330"/>
      <c r="AD65" s="343">
        <f>VLOOKUP(Table245[[#This Row],[Compound Name]],'Table S6 Recommended Values'!$A$10:$BF$398,RAVs!AD$4,FALSE)</f>
        <v>0.315059219109876</v>
      </c>
      <c r="AE65" s="249" cm="1">
        <f t="array" ref="AE65">INDEX('Table S6 Recommended Values'!$A$10:$BF$398,MATCH(RAVs!$D65,'Table S6 Recommended Values'!$A$10:$A$398,0)+1,AE$4)</f>
        <v>0</v>
      </c>
      <c r="AF65" s="330"/>
      <c r="AG65" s="343">
        <f>VLOOKUP(Table245[[#This Row],[Compound Name]],'Table S6 Recommended Values'!$A$10:$BF$398,RAVs!AG$4,FALSE)</f>
        <v>0.27375422194576099</v>
      </c>
      <c r="AH65" s="249" cm="1">
        <f t="array" ref="AH65">INDEX('Table S6 Recommended Values'!$A$10:$BF$398,MATCH(RAVs!$D65,'Table S6 Recommended Values'!$A$10:$A$398,0)+1,AH$4)</f>
        <v>0</v>
      </c>
      <c r="AI65" s="330"/>
      <c r="AJ65" s="343">
        <f>VLOOKUP(Table245[[#This Row],[Compound Name]],'Table S6 Recommended Values'!$A$10:$BF$398,RAVs!AJ$4,FALSE)</f>
        <v>0.19016649308936201</v>
      </c>
      <c r="AK65" s="249" cm="1">
        <f t="array" ref="AK65">INDEX('Table S6 Recommended Values'!$A$10:$BF$398,MATCH(RAVs!$D65,'Table S6 Recommended Values'!$A$10:$A$398,0)+1,AK$4)</f>
        <v>0</v>
      </c>
      <c r="AL65" s="330"/>
      <c r="AM65" s="343">
        <f>VLOOKUP(Table245[[#This Row],[Compound Name]],'Table S6 Recommended Values'!$A$10:$BF$398,RAVs!AM$4,FALSE)</f>
        <v>0.25023751232208502</v>
      </c>
      <c r="AN65" s="249" cm="1">
        <f t="array" ref="AN65">INDEX('Table S6 Recommended Values'!$A$10:$BF$398,MATCH(RAVs!$D65,'Table S6 Recommended Values'!$A$10:$A$398,0)+1,AN$4)</f>
        <v>0</v>
      </c>
      <c r="AO65" s="330"/>
      <c r="AP65" s="343" t="str">
        <f>VLOOKUP(Table245[[#This Row],[Compound Name]],'Table S6 Recommended Values'!$A$10:$BF$398,RAVs!AP$4,FALSE)</f>
        <v>-</v>
      </c>
      <c r="AQ65" s="249" cm="1">
        <f t="array" ref="AQ65">INDEX('Table S6 Recommended Values'!$A$10:$BF$398,MATCH(RAVs!$D65,'Table S6 Recommended Values'!$A$10:$A$398,0)+1,AQ$4)</f>
        <v>0</v>
      </c>
      <c r="AR65" s="330"/>
      <c r="AS65" s="343">
        <f>VLOOKUP(Table245[[#This Row],[Compound Name]],'Table S6 Recommended Values'!$A$10:$BF$398,RAVs!AS$4,FALSE)</f>
        <v>11.3929802949009</v>
      </c>
      <c r="AT65" s="249" cm="1">
        <f t="array" ref="AT65">INDEX('Table S6 Recommended Values'!$A$10:$BF$398,MATCH(RAVs!$D65,'Table S6 Recommended Values'!$A$10:$A$398,0)+1,AT$4)</f>
        <v>0</v>
      </c>
      <c r="AU65" s="330"/>
    </row>
    <row r="66" spans="2:47">
      <c r="B66" s="247" t="str">
        <f>'Table S2 Compound Identifiers'!C68</f>
        <v>Phthalate</v>
      </c>
      <c r="C66" s="247">
        <f>COUNTIF($D$6:D66,"&lt;&gt;"&amp;"")</f>
        <v>61</v>
      </c>
      <c r="D66" s="432" t="str">
        <f>'Table S2 Compound Identifiers'!B68</f>
        <v>DnBP</v>
      </c>
      <c r="E66" s="247">
        <f>VLOOKUP(RAVs!$D66,'Table S3 Literature Values'!$A$10:$AV$551,E$4,FALSE)</f>
        <v>278.33999999999997</v>
      </c>
      <c r="F66" s="248">
        <f>VLOOKUP(Table245[[#This Row],[Compound Name]],'Table S6 Recommended Values'!$A$10:$BD$398,RAVs!F$4,FALSE)</f>
        <v>2.6741148992628401</v>
      </c>
      <c r="G66" s="249" cm="1">
        <f t="array" ref="G66">INDEX('Table S6 Recommended Values'!$A$10:$BD$398,MATCH(RAVs!$D66,'Table S6 Recommended Values'!$A$10:$A$398,0)+1,G$4)</f>
        <v>0</v>
      </c>
      <c r="H66" s="330"/>
      <c r="I66" s="328">
        <f>VLOOKUP(Table245[[#This Row],[Compound Name]],'Table S6 Recommended Values'!$A$10:$BD$398,RAVs!I$4,FALSE)</f>
        <v>6.2995482849042199</v>
      </c>
      <c r="J66" s="249" cm="1">
        <f t="array" ref="J66">INDEX('Table S6 Recommended Values'!$A$10:$BD$398,MATCH(RAVs!$D66,'Table S6 Recommended Values'!$A$10:$A$398,0)+1,J$4)</f>
        <v>0</v>
      </c>
      <c r="K66" s="330"/>
      <c r="L66" s="250">
        <f>VLOOKUP(Table245[[#This Row],[Compound Name]],'Table S6 Recommended Values'!$A$10:$BD$398,RAVs!L$4,FALSE)</f>
        <v>7.0605949417450127</v>
      </c>
      <c r="M66" s="249" cm="1">
        <f t="array" ref="M66">INDEX('Table S6 Recommended Values'!$A$10:$BD$398,MATCH(RAVs!$D66,'Table S6 Recommended Values'!$A$10:$A$398,0)+1,M$4)</f>
        <v>0</v>
      </c>
      <c r="N66" s="330"/>
      <c r="O66" s="250">
        <f>VLOOKUP(Table245[[#This Row],[Compound Name]],'Table S6 Recommended Values'!$A$10:$BD$398,RAVs!O$4,FALSE)</f>
        <v>6.5346086674670696</v>
      </c>
      <c r="P66" s="249" cm="1">
        <f t="array" ref="P66">INDEX('Table S6 Recommended Values'!$A$10:$BD$398,MATCH(RAVs!$D66,'Table S6 Recommended Values'!$A$10:$A$398,0)+1,P$4)</f>
        <v>0</v>
      </c>
      <c r="Q66" s="330"/>
      <c r="R66" s="250">
        <f>VLOOKUP(Table245[[#This Row],[Compound Name]],'Table S6 Recommended Values'!$A$10:$BD$398,RAVs!R$4,FALSE)</f>
        <v>6.5789180148843096</v>
      </c>
      <c r="S66" s="249" cm="1">
        <f t="array" ref="S66">INDEX('Table S6 Recommended Values'!$A$10:$BD$398,MATCH(RAVs!$D66,'Table S6 Recommended Values'!$A$10:$A$398,0)+1,S$4)</f>
        <v>0</v>
      </c>
      <c r="T66" s="330"/>
      <c r="U66" s="250">
        <f>VLOOKUP(Table245[[#This Row],[Compound Name]],'Table S6 Recommended Values'!$A$10:$BD$398,RAVs!U$4,FALSE)</f>
        <v>8.2999491274535995</v>
      </c>
      <c r="V66" s="249" cm="1">
        <f t="array" ref="V66">INDEX('Table S6 Recommended Values'!$A$10:$BD$398,MATCH(RAVs!$D66,'Table S6 Recommended Values'!$A$10:$A$398,0)+1,V$4)</f>
        <v>0</v>
      </c>
      <c r="W66" s="330"/>
      <c r="X66" s="343">
        <f>VLOOKUP(Table245[[#This Row],[Compound Name]],'Table S6 Recommended Values'!$A$10:$BF$398,RAVs!X$4,FALSE)</f>
        <v>0.19142273840311699</v>
      </c>
      <c r="Y66" s="249" cm="1">
        <f t="array" ref="Y66">INDEX('Table S6 Recommended Values'!$A$10:$BF$398,MATCH(RAVs!$D66,'Table S6 Recommended Values'!$A$10:$A$398,0)+1,Y$4)</f>
        <v>0</v>
      </c>
      <c r="Z66" s="330"/>
      <c r="AA66" s="343">
        <f>VLOOKUP(Table245[[#This Row],[Compound Name]],'Table S6 Recommended Values'!$A$10:$BF$398,RAVs!AA$4,FALSE)</f>
        <v>0.22460183958987301</v>
      </c>
      <c r="AB66" s="249" cm="1">
        <f t="array" ref="AB66">INDEX('Table S6 Recommended Values'!$A$10:$BF$398,MATCH(RAVs!$D66,'Table S6 Recommended Values'!$A$10:$A$398,0)+1,AB$4)</f>
        <v>0</v>
      </c>
      <c r="AC66" s="330"/>
      <c r="AD66" s="343">
        <f>VLOOKUP(Table245[[#This Row],[Compound Name]],'Table S6 Recommended Values'!$A$10:$BF$398,RAVs!AD$4,FALSE)</f>
        <v>0.167059907214439</v>
      </c>
      <c r="AE66" s="249" cm="1">
        <f t="array" ref="AE66">INDEX('Table S6 Recommended Values'!$A$10:$BF$398,MATCH(RAVs!$D66,'Table S6 Recommended Values'!$A$10:$A$398,0)+1,AE$4)</f>
        <v>0</v>
      </c>
      <c r="AF66" s="330"/>
      <c r="AG66" s="343">
        <f>VLOOKUP(Table245[[#This Row],[Compound Name]],'Table S6 Recommended Values'!$A$10:$BF$398,RAVs!AG$4,FALSE)</f>
        <v>0.12554101399235301</v>
      </c>
      <c r="AH66" s="249" cm="1">
        <f t="array" ref="AH66">INDEX('Table S6 Recommended Values'!$A$10:$BF$398,MATCH(RAVs!$D66,'Table S6 Recommended Values'!$A$10:$A$398,0)+1,AH$4)</f>
        <v>0</v>
      </c>
      <c r="AI66" s="330"/>
      <c r="AJ66" s="343">
        <f>VLOOKUP(Table245[[#This Row],[Compound Name]],'Table S6 Recommended Values'!$A$10:$BF$398,RAVs!AJ$4,FALSE)</f>
        <v>6.7645662783455504E-2</v>
      </c>
      <c r="AK66" s="249" cm="1">
        <f t="array" ref="AK66">INDEX('Table S6 Recommended Values'!$A$10:$BF$398,MATCH(RAVs!$D66,'Table S6 Recommended Values'!$A$10:$A$398,0)+1,AK$4)</f>
        <v>0</v>
      </c>
      <c r="AL66" s="330"/>
      <c r="AM66" s="343">
        <f>VLOOKUP(Table245[[#This Row],[Compound Name]],'Table S6 Recommended Values'!$A$10:$BF$398,RAVs!AM$4,FALSE)</f>
        <v>0.21312980404690099</v>
      </c>
      <c r="AN66" s="249" cm="1">
        <f t="array" ref="AN66">INDEX('Table S6 Recommended Values'!$A$10:$BF$398,MATCH(RAVs!$D66,'Table S6 Recommended Values'!$A$10:$A$398,0)+1,AN$4)</f>
        <v>0</v>
      </c>
      <c r="AO66" s="330"/>
      <c r="AP66" s="343" t="str">
        <f>VLOOKUP(Table245[[#This Row],[Compound Name]],'Table S6 Recommended Values'!$A$10:$BF$398,RAVs!AP$4,FALSE)</f>
        <v>-</v>
      </c>
      <c r="AQ66" s="249" cm="1">
        <f t="array" ref="AQ66">INDEX('Table S6 Recommended Values'!$A$10:$BF$398,MATCH(RAVs!$D66,'Table S6 Recommended Values'!$A$10:$A$398,0)+1,AQ$4)</f>
        <v>0</v>
      </c>
      <c r="AR66" s="330"/>
      <c r="AS66" s="343" t="str">
        <f>VLOOKUP(Table245[[#This Row],[Compound Name]],'Table S6 Recommended Values'!$A$10:$BF$398,RAVs!AS$4,FALSE)</f>
        <v>-</v>
      </c>
      <c r="AT66" s="249" cm="1">
        <f t="array" ref="AT66">INDEX('Table S6 Recommended Values'!$A$10:$BF$398,MATCH(RAVs!$D66,'Table S6 Recommended Values'!$A$10:$A$398,0)+1,AT$4)</f>
        <v>0</v>
      </c>
      <c r="AU66" s="330"/>
    </row>
    <row r="67" spans="2:47">
      <c r="B67" s="247" t="str">
        <f>'Table S2 Compound Identifiers'!C69</f>
        <v>Phthalate</v>
      </c>
      <c r="C67" s="247">
        <f>COUNTIF($D$6:D67,"&lt;&gt;"&amp;"")</f>
        <v>62</v>
      </c>
      <c r="D67" s="432" t="str">
        <f>'Table S2 Compound Identifiers'!B69</f>
        <v>BzBP</v>
      </c>
      <c r="E67" s="247">
        <f>VLOOKUP(RAVs!$D67,'Table S3 Literature Values'!$A$10:$AV$551,E$4,FALSE)</f>
        <v>312.39999999999998</v>
      </c>
      <c r="F67" s="248">
        <f>VLOOKUP(Table245[[#This Row],[Compound Name]],'Table S6 Recommended Values'!$A$10:$BD$398,RAVs!F$4,FALSE)</f>
        <v>11.052105721430801</v>
      </c>
      <c r="G67" s="249" cm="1">
        <f t="array" ref="G67">INDEX('Table S6 Recommended Values'!$A$10:$BD$398,MATCH(RAVs!$D67,'Table S6 Recommended Values'!$A$10:$A$398,0)+1,G$4)</f>
        <v>0</v>
      </c>
      <c r="H67" s="330"/>
      <c r="I67" s="328">
        <f>VLOOKUP(Table245[[#This Row],[Compound Name]],'Table S6 Recommended Values'!$A$10:$BD$398,RAVs!I$4,FALSE)</f>
        <v>14.659705784058801</v>
      </c>
      <c r="J67" s="249" cm="1">
        <f t="array" ref="J67">INDEX('Table S6 Recommended Values'!$A$10:$BD$398,MATCH(RAVs!$D67,'Table S6 Recommended Values'!$A$10:$A$398,0)+1,J$4)</f>
        <v>0</v>
      </c>
      <c r="K67" s="330"/>
      <c r="L67" s="250">
        <f>VLOOKUP(Table245[[#This Row],[Compound Name]],'Table S6 Recommended Values'!$A$10:$BD$398,RAVs!L$4,FALSE)</f>
        <v>14.800077186370871</v>
      </c>
      <c r="M67" s="249" cm="1">
        <f t="array" ref="M67">INDEX('Table S6 Recommended Values'!$A$10:$BD$398,MATCH(RAVs!$D67,'Table S6 Recommended Values'!$A$10:$A$398,0)+1,M$4)</f>
        <v>0</v>
      </c>
      <c r="N67" s="330"/>
      <c r="O67" s="250">
        <f>VLOOKUP(Table245[[#This Row],[Compound Name]],'Table S6 Recommended Values'!$A$10:$BD$398,RAVs!O$4,FALSE)</f>
        <v>9.8434365871301299</v>
      </c>
      <c r="P67" s="249" cm="1">
        <f t="array" ref="P67">INDEX('Table S6 Recommended Values'!$A$10:$BD$398,MATCH(RAVs!$D67,'Table S6 Recommended Values'!$A$10:$A$398,0)+1,P$4)</f>
        <v>0</v>
      </c>
      <c r="Q67" s="330"/>
      <c r="R67" s="250">
        <f>VLOOKUP(Table245[[#This Row],[Compound Name]],'Table S6 Recommended Values'!$A$10:$BD$398,RAVs!R$4,FALSE)</f>
        <v>13.3929909283546</v>
      </c>
      <c r="S67" s="249" cm="1">
        <f t="array" ref="S67">INDEX('Table S6 Recommended Values'!$A$10:$BD$398,MATCH(RAVs!$D67,'Table S6 Recommended Values'!$A$10:$A$398,0)+1,S$4)</f>
        <v>0</v>
      </c>
      <c r="T67" s="330"/>
      <c r="U67" s="250">
        <f>VLOOKUP(Table245[[#This Row],[Compound Name]],'Table S6 Recommended Values'!$A$10:$BD$398,RAVs!U$4,FALSE)</f>
        <v>14.486508577571399</v>
      </c>
      <c r="V67" s="249" cm="1">
        <f t="array" ref="V67">INDEX('Table S6 Recommended Values'!$A$10:$BD$398,MATCH(RAVs!$D67,'Table S6 Recommended Values'!$A$10:$A$398,0)+1,V$4)</f>
        <v>0</v>
      </c>
      <c r="W67" s="330"/>
      <c r="X67" s="343">
        <f>VLOOKUP(Table245[[#This Row],[Compound Name]],'Table S6 Recommended Values'!$A$10:$BF$398,RAVs!X$4,FALSE)</f>
        <v>0.31254623151265098</v>
      </c>
      <c r="Y67" s="249" cm="1">
        <f t="array" ref="Y67">INDEX('Table S6 Recommended Values'!$A$10:$BF$398,MATCH(RAVs!$D67,'Table S6 Recommended Values'!$A$10:$A$398,0)+1,Y$4)</f>
        <v>0</v>
      </c>
      <c r="Z67" s="330"/>
      <c r="AA67" s="343">
        <f>VLOOKUP(Table245[[#This Row],[Compound Name]],'Table S6 Recommended Values'!$A$10:$BF$398,RAVs!AA$4,FALSE)</f>
        <v>0.39290699933495199</v>
      </c>
      <c r="AB67" s="249" cm="1">
        <f t="array" ref="AB67">INDEX('Table S6 Recommended Values'!$A$10:$BF$398,MATCH(RAVs!$D67,'Table S6 Recommended Values'!$A$10:$A$398,0)+1,AB$4)</f>
        <v>0</v>
      </c>
      <c r="AC67" s="330"/>
      <c r="AD67" s="343">
        <f>VLOOKUP(Table245[[#This Row],[Compound Name]],'Table S6 Recommended Values'!$A$10:$BF$398,RAVs!AD$4,FALSE)</f>
        <v>0.42321327705843598</v>
      </c>
      <c r="AE67" s="249" cm="1">
        <f t="array" ref="AE67">INDEX('Table S6 Recommended Values'!$A$10:$BF$398,MATCH(RAVs!$D67,'Table S6 Recommended Values'!$A$10:$A$398,0)+1,AE$4)</f>
        <v>0</v>
      </c>
      <c r="AF67" s="330"/>
      <c r="AG67" s="343">
        <f>VLOOKUP(Table245[[#This Row],[Compound Name]],'Table S6 Recommended Values'!$A$10:$BF$398,RAVs!AG$4,FALSE)</f>
        <v>0.39004429704239002</v>
      </c>
      <c r="AH67" s="249" cm="1">
        <f t="array" ref="AH67">INDEX('Table S6 Recommended Values'!$A$10:$BF$398,MATCH(RAVs!$D67,'Table S6 Recommended Values'!$A$10:$A$398,0)+1,AH$4)</f>
        <v>0</v>
      </c>
      <c r="AI67" s="330"/>
      <c r="AJ67" s="343">
        <f>VLOOKUP(Table245[[#This Row],[Compound Name]],'Table S6 Recommended Values'!$A$10:$BF$398,RAVs!AJ$4,FALSE)</f>
        <v>0.27336267669073899</v>
      </c>
      <c r="AK67" s="249" cm="1">
        <f t="array" ref="AK67">INDEX('Table S6 Recommended Values'!$A$10:$BF$398,MATCH(RAVs!$D67,'Table S6 Recommended Values'!$A$10:$A$398,0)+1,AK$4)</f>
        <v>0</v>
      </c>
      <c r="AL67" s="330"/>
      <c r="AM67" s="343">
        <f>VLOOKUP(Table245[[#This Row],[Compound Name]],'Table S6 Recommended Values'!$A$10:$BF$398,RAVs!AM$4,FALSE)</f>
        <v>0.38282447837406203</v>
      </c>
      <c r="AN67" s="249" cm="1">
        <f t="array" ref="AN67">INDEX('Table S6 Recommended Values'!$A$10:$BF$398,MATCH(RAVs!$D67,'Table S6 Recommended Values'!$A$10:$A$398,0)+1,AN$4)</f>
        <v>0</v>
      </c>
      <c r="AO67" s="330"/>
      <c r="AP67" s="343" t="str">
        <f>VLOOKUP(Table245[[#This Row],[Compound Name]],'Table S6 Recommended Values'!$A$10:$BF$398,RAVs!AP$4,FALSE)</f>
        <v>-</v>
      </c>
      <c r="AQ67" s="249" cm="1">
        <f t="array" ref="AQ67">INDEX('Table S6 Recommended Values'!$A$10:$BF$398,MATCH(RAVs!$D67,'Table S6 Recommended Values'!$A$10:$A$398,0)+1,AQ$4)</f>
        <v>0</v>
      </c>
      <c r="AR67" s="330"/>
      <c r="AS67" s="343" t="str">
        <f>VLOOKUP(Table245[[#This Row],[Compound Name]],'Table S6 Recommended Values'!$A$10:$BF$398,RAVs!AS$4,FALSE)</f>
        <v>-</v>
      </c>
      <c r="AT67" s="249" cm="1">
        <f t="array" ref="AT67">INDEX('Table S6 Recommended Values'!$A$10:$BF$398,MATCH(RAVs!$D67,'Table S6 Recommended Values'!$A$10:$A$398,0)+1,AT$4)</f>
        <v>0</v>
      </c>
      <c r="AU67" s="330"/>
    </row>
    <row r="68" spans="2:47">
      <c r="B68" s="247" t="str">
        <f>'Table S2 Compound Identifiers'!C70</f>
        <v>Phthalate</v>
      </c>
      <c r="C68" s="247">
        <f>COUNTIF($D$6:D68,"&lt;&gt;"&amp;"")</f>
        <v>63</v>
      </c>
      <c r="D68" s="432" t="str">
        <f>'Table S2 Compound Identifiers'!B70</f>
        <v>TBPH</v>
      </c>
      <c r="E68" s="247">
        <f>VLOOKUP(RAVs!$D68,'Table S3 Literature Values'!$A$10:$AV$551,E$4,FALSE)</f>
        <v>706.1</v>
      </c>
      <c r="F68" s="248">
        <f>VLOOKUP(Table245[[#This Row],[Compound Name]],'Table S6 Recommended Values'!$A$10:$BD$398,RAVs!F$4,FALSE)</f>
        <v>12.965997834732001</v>
      </c>
      <c r="G68" s="249" cm="1">
        <f t="array" ref="G68">INDEX('Table S6 Recommended Values'!$A$10:$BD$398,MATCH(RAVs!$D68,'Table S6 Recommended Values'!$A$10:$A$398,0)+1,G$4)</f>
        <v>0</v>
      </c>
      <c r="H68" s="330"/>
      <c r="I68" s="328">
        <f>VLOOKUP(Table245[[#This Row],[Compound Name]],'Table S6 Recommended Values'!$A$10:$BD$398,RAVs!I$4,FALSE)</f>
        <v>14.5780515459047</v>
      </c>
      <c r="J68" s="249" cm="1">
        <f t="array" ref="J68">INDEX('Table S6 Recommended Values'!$A$10:$BD$398,MATCH(RAVs!$D68,'Table S6 Recommended Values'!$A$10:$A$398,0)+1,J$4)</f>
        <v>0</v>
      </c>
      <c r="K68" s="330"/>
      <c r="L68" s="250">
        <f>VLOOKUP(Table245[[#This Row],[Compound Name]],'Table S6 Recommended Values'!$A$10:$BD$398,RAVs!L$4,FALSE)</f>
        <v>20.490732375597503</v>
      </c>
      <c r="M68" s="249" cm="1">
        <f t="array" ref="M68">INDEX('Table S6 Recommended Values'!$A$10:$BD$398,MATCH(RAVs!$D68,'Table S6 Recommended Values'!$A$10:$A$398,0)+1,M$4)</f>
        <v>0</v>
      </c>
      <c r="N68" s="330"/>
      <c r="O68" s="250">
        <f>VLOOKUP(Table245[[#This Row],[Compound Name]],'Table S6 Recommended Values'!$A$10:$BD$398,RAVs!O$4,FALSE)</f>
        <v>15.866726613832</v>
      </c>
      <c r="P68" s="249" cm="1">
        <f t="array" ref="P68">INDEX('Table S6 Recommended Values'!$A$10:$BD$398,MATCH(RAVs!$D68,'Table S6 Recommended Values'!$A$10:$A$398,0)+1,P$4)</f>
        <v>0</v>
      </c>
      <c r="Q68" s="330"/>
      <c r="R68" s="250">
        <f>VLOOKUP(Table245[[#This Row],[Compound Name]],'Table S6 Recommended Values'!$A$10:$BD$398,RAVs!R$4,FALSE)</f>
        <v>14.318907894726699</v>
      </c>
      <c r="S68" s="249" cm="1">
        <f t="array" ref="S68">INDEX('Table S6 Recommended Values'!$A$10:$BD$398,MATCH(RAVs!$D68,'Table S6 Recommended Values'!$A$10:$A$398,0)+1,S$4)</f>
        <v>0</v>
      </c>
      <c r="T68" s="330"/>
      <c r="U68" s="250">
        <f>VLOOKUP(Table245[[#This Row],[Compound Name]],'Table S6 Recommended Values'!$A$10:$BD$398,RAVs!U$4,FALSE)</f>
        <v>10.5247135715636</v>
      </c>
      <c r="V68" s="249" cm="1">
        <f t="array" ref="V68">INDEX('Table S6 Recommended Values'!$A$10:$BD$398,MATCH(RAVs!$D68,'Table S6 Recommended Values'!$A$10:$A$398,0)+1,V$4)</f>
        <v>0</v>
      </c>
      <c r="W68" s="330"/>
      <c r="X68" s="343">
        <f>VLOOKUP(Table245[[#This Row],[Compound Name]],'Table S6 Recommended Values'!$A$10:$BF$398,RAVs!X$4,FALSE)</f>
        <v>1.09714460883711</v>
      </c>
      <c r="Y68" s="249" cm="1">
        <f t="array" ref="Y68">INDEX('Table S6 Recommended Values'!$A$10:$BF$398,MATCH(RAVs!$D68,'Table S6 Recommended Values'!$A$10:$A$398,0)+1,Y$4)</f>
        <v>0</v>
      </c>
      <c r="Z68" s="330"/>
      <c r="AA68" s="343">
        <f>VLOOKUP(Table245[[#This Row],[Compound Name]],'Table S6 Recommended Values'!$A$10:$BF$398,RAVs!AA$4,FALSE)</f>
        <v>0.82669558049874603</v>
      </c>
      <c r="AB68" s="249" cm="1">
        <f t="array" ref="AB68">INDEX('Table S6 Recommended Values'!$A$10:$BF$398,MATCH(RAVs!$D68,'Table S6 Recommended Values'!$A$10:$A$398,0)+1,AB$4)</f>
        <v>0</v>
      </c>
      <c r="AC68" s="330"/>
      <c r="AD68" s="343">
        <f>VLOOKUP(Table245[[#This Row],[Compound Name]],'Table S6 Recommended Values'!$A$10:$BF$398,RAVs!AD$4,FALSE)</f>
        <v>1.11834061759792</v>
      </c>
      <c r="AE68" s="249" cm="1">
        <f t="array" ref="AE68">INDEX('Table S6 Recommended Values'!$A$10:$BF$398,MATCH(RAVs!$D68,'Table S6 Recommended Values'!$A$10:$A$398,0)+1,AE$4)</f>
        <v>0</v>
      </c>
      <c r="AF68" s="330"/>
      <c r="AG68" s="343">
        <f>VLOOKUP(Table245[[#This Row],[Compound Name]],'Table S6 Recommended Values'!$A$10:$BF$398,RAVs!AG$4,FALSE)</f>
        <v>1.2060737720952099</v>
      </c>
      <c r="AH68" s="249" cm="1">
        <f t="array" ref="AH68">INDEX('Table S6 Recommended Values'!$A$10:$BF$398,MATCH(RAVs!$D68,'Table S6 Recommended Values'!$A$10:$A$398,0)+1,AH$4)</f>
        <v>0</v>
      </c>
      <c r="AI68" s="330"/>
      <c r="AJ68" s="343">
        <f>VLOOKUP(Table245[[#This Row],[Compound Name]],'Table S6 Recommended Values'!$A$10:$BF$398,RAVs!AJ$4,FALSE)</f>
        <v>1.23292530922736</v>
      </c>
      <c r="AK68" s="249" cm="1">
        <f t="array" ref="AK68">INDEX('Table S6 Recommended Values'!$A$10:$BF$398,MATCH(RAVs!$D68,'Table S6 Recommended Values'!$A$10:$A$398,0)+1,AK$4)</f>
        <v>0</v>
      </c>
      <c r="AL68" s="330"/>
      <c r="AM68" s="343">
        <f>VLOOKUP(Table245[[#This Row],[Compound Name]],'Table S6 Recommended Values'!$A$10:$BF$398,RAVs!AM$4,FALSE)</f>
        <v>1.17608640702849</v>
      </c>
      <c r="AN68" s="249" cm="1">
        <f t="array" ref="AN68">INDEX('Table S6 Recommended Values'!$A$10:$BF$398,MATCH(RAVs!$D68,'Table S6 Recommended Values'!$A$10:$A$398,0)+1,AN$4)</f>
        <v>0</v>
      </c>
      <c r="AO68" s="330"/>
      <c r="AP68" s="343" t="str">
        <f>VLOOKUP(Table245[[#This Row],[Compound Name]],'Table S6 Recommended Values'!$A$10:$BF$398,RAVs!AP$4,FALSE)</f>
        <v>-</v>
      </c>
      <c r="AQ68" s="249" cm="1">
        <f t="array" ref="AQ68">INDEX('Table S6 Recommended Values'!$A$10:$BF$398,MATCH(RAVs!$D68,'Table S6 Recommended Values'!$A$10:$A$398,0)+1,AQ$4)</f>
        <v>0</v>
      </c>
      <c r="AR68" s="330"/>
      <c r="AS68" s="343">
        <f>VLOOKUP(Table245[[#This Row],[Compound Name]],'Table S6 Recommended Values'!$A$10:$BF$398,RAVs!AS$4,FALSE)</f>
        <v>1.2464743640902618</v>
      </c>
      <c r="AT68" s="249" cm="1">
        <f t="array" ref="AT68">INDEX('Table S6 Recommended Values'!$A$10:$BF$398,MATCH(RAVs!$D68,'Table S6 Recommended Values'!$A$10:$A$398,0)+1,AT$4)</f>
        <v>0</v>
      </c>
      <c r="AU68" s="330"/>
    </row>
    <row r="69" spans="2:47">
      <c r="B69" s="247" t="str">
        <f>'Table S2 Compound Identifiers'!C71</f>
        <v>Phthalate</v>
      </c>
      <c r="C69" s="247">
        <f>COUNTIF($D$6:D69,"&lt;&gt;"&amp;"")</f>
        <v>64</v>
      </c>
      <c r="D69" s="432" t="str">
        <f>'Table S2 Compound Identifiers'!B71</f>
        <v>DEHP</v>
      </c>
      <c r="E69" s="247">
        <f>VLOOKUP(RAVs!$D69,'Table S3 Literature Values'!$A$10:$AV$551,E$4,FALSE)</f>
        <v>390.6</v>
      </c>
      <c r="F69" s="248">
        <f>VLOOKUP(Table245[[#This Row],[Compound Name]],'Table S6 Recommended Values'!$A$10:$BD$398,RAVs!F$4,FALSE)</f>
        <v>4.4165560732872402</v>
      </c>
      <c r="G69" s="249" cm="1">
        <f t="array" ref="G69">INDEX('Table S6 Recommended Values'!$A$10:$BD$398,MATCH(RAVs!$D69,'Table S6 Recommended Values'!$A$10:$A$398,0)+1,G$4)</f>
        <v>0</v>
      </c>
      <c r="H69" s="330"/>
      <c r="I69" s="328">
        <f>VLOOKUP(Table245[[#This Row],[Compound Name]],'Table S6 Recommended Values'!$A$10:$BD$398,RAVs!I$4,FALSE)</f>
        <v>16.436941092814099</v>
      </c>
      <c r="J69" s="249" cm="1">
        <f t="array" ref="J69">INDEX('Table S6 Recommended Values'!$A$10:$BD$398,MATCH(RAVs!$D69,'Table S6 Recommended Values'!$A$10:$A$398,0)+1,J$4)</f>
        <v>0</v>
      </c>
      <c r="K69" s="330"/>
      <c r="L69" s="250">
        <f>VLOOKUP(Table245[[#This Row],[Compound Name]],'Table S6 Recommended Values'!$A$10:$BD$398,RAVs!L$4,FALSE)</f>
        <v>13.439782726672499</v>
      </c>
      <c r="M69" s="249" cm="1">
        <f t="array" ref="M69">INDEX('Table S6 Recommended Values'!$A$10:$BD$398,MATCH(RAVs!$D69,'Table S6 Recommended Values'!$A$10:$A$398,0)+1,M$4)</f>
        <v>0</v>
      </c>
      <c r="N69" s="330"/>
      <c r="O69" s="250">
        <f>VLOOKUP(Table245[[#This Row],[Compound Name]],'Table S6 Recommended Values'!$A$10:$BD$398,RAVs!O$4,FALSE)</f>
        <v>12.6933759178429</v>
      </c>
      <c r="P69" s="249" cm="1">
        <f t="array" ref="P69">INDEX('Table S6 Recommended Values'!$A$10:$BD$398,MATCH(RAVs!$D69,'Table S6 Recommended Values'!$A$10:$A$398,0)+1,P$4)</f>
        <v>0</v>
      </c>
      <c r="Q69" s="330"/>
      <c r="R69" s="250">
        <f>VLOOKUP(Table245[[#This Row],[Compound Name]],'Table S6 Recommended Values'!$A$10:$BD$398,RAVs!R$4,FALSE)</f>
        <v>16.3076327295393</v>
      </c>
      <c r="S69" s="249" cm="1">
        <f t="array" ref="S69">INDEX('Table S6 Recommended Values'!$A$10:$BD$398,MATCH(RAVs!$D69,'Table S6 Recommended Values'!$A$10:$A$398,0)+1,S$4)</f>
        <v>0</v>
      </c>
      <c r="T69" s="330"/>
      <c r="U69" s="250">
        <f>VLOOKUP(Table245[[#This Row],[Compound Name]],'Table S6 Recommended Values'!$A$10:$BD$398,RAVs!U$4,FALSE)</f>
        <v>17.7778559786193</v>
      </c>
      <c r="V69" s="249" cm="1">
        <f t="array" ref="V69">INDEX('Table S6 Recommended Values'!$A$10:$BD$398,MATCH(RAVs!$D69,'Table S6 Recommended Values'!$A$10:$A$398,0)+1,V$4)</f>
        <v>0</v>
      </c>
      <c r="W69" s="330"/>
      <c r="X69" s="343">
        <f>VLOOKUP(Table245[[#This Row],[Compound Name]],'Table S6 Recommended Values'!$A$10:$BF$398,RAVs!X$4,FALSE)</f>
        <v>0.44134086106958098</v>
      </c>
      <c r="Y69" s="249" cm="1">
        <f t="array" ref="Y69">INDEX('Table S6 Recommended Values'!$A$10:$BF$398,MATCH(RAVs!$D69,'Table S6 Recommended Values'!$A$10:$A$398,0)+1,Y$4)</f>
        <v>0</v>
      </c>
      <c r="Z69" s="330"/>
      <c r="AA69" s="343">
        <f>VLOOKUP(Table245[[#This Row],[Compound Name]],'Table S6 Recommended Values'!$A$10:$BF$398,RAVs!AA$4,FALSE)</f>
        <v>0.40543274809833402</v>
      </c>
      <c r="AB69" s="249" cm="1">
        <f t="array" ref="AB69">INDEX('Table S6 Recommended Values'!$A$10:$BF$398,MATCH(RAVs!$D69,'Table S6 Recommended Values'!$A$10:$A$398,0)+1,AB$4)</f>
        <v>0</v>
      </c>
      <c r="AC69" s="330"/>
      <c r="AD69" s="343">
        <f>VLOOKUP(Table245[[#This Row],[Compound Name]],'Table S6 Recommended Values'!$A$10:$BF$398,RAVs!AD$4,FALSE)</f>
        <v>0.46649833995448098</v>
      </c>
      <c r="AE69" s="249" cm="1">
        <f t="array" ref="AE69">INDEX('Table S6 Recommended Values'!$A$10:$BF$398,MATCH(RAVs!$D69,'Table S6 Recommended Values'!$A$10:$A$398,0)+1,AE$4)</f>
        <v>0</v>
      </c>
      <c r="AF69" s="330"/>
      <c r="AG69" s="343">
        <f>VLOOKUP(Table245[[#This Row],[Compound Name]],'Table S6 Recommended Values'!$A$10:$BF$398,RAVs!AG$4,FALSE)</f>
        <v>0.35716169400831099</v>
      </c>
      <c r="AH69" s="249" cm="1">
        <f t="array" ref="AH69">INDEX('Table S6 Recommended Values'!$A$10:$BF$398,MATCH(RAVs!$D69,'Table S6 Recommended Values'!$A$10:$A$398,0)+1,AH$4)</f>
        <v>0</v>
      </c>
      <c r="AI69" s="330"/>
      <c r="AJ69" s="343">
        <f>VLOOKUP(Table245[[#This Row],[Compound Name]],'Table S6 Recommended Values'!$A$10:$BF$398,RAVs!AJ$4,FALSE)</f>
        <v>0.42292285994242201</v>
      </c>
      <c r="AK69" s="249" cm="1">
        <f t="array" ref="AK69">INDEX('Table S6 Recommended Values'!$A$10:$BF$398,MATCH(RAVs!$D69,'Table S6 Recommended Values'!$A$10:$A$398,0)+1,AK$4)</f>
        <v>0</v>
      </c>
      <c r="AL69" s="330"/>
      <c r="AM69" s="343">
        <f>VLOOKUP(Table245[[#This Row],[Compound Name]],'Table S6 Recommended Values'!$A$10:$BF$398,RAVs!AM$4,FALSE)</f>
        <v>0.46173778684304201</v>
      </c>
      <c r="AN69" s="249" cm="1">
        <f t="array" ref="AN69">INDEX('Table S6 Recommended Values'!$A$10:$BF$398,MATCH(RAVs!$D69,'Table S6 Recommended Values'!$A$10:$A$398,0)+1,AN$4)</f>
        <v>0</v>
      </c>
      <c r="AO69" s="330"/>
      <c r="AP69" s="343" t="str">
        <f>VLOOKUP(Table245[[#This Row],[Compound Name]],'Table S6 Recommended Values'!$A$10:$BF$398,RAVs!AP$4,FALSE)</f>
        <v>-</v>
      </c>
      <c r="AQ69" s="249" cm="1">
        <f t="array" ref="AQ69">INDEX('Table S6 Recommended Values'!$A$10:$BF$398,MATCH(RAVs!$D69,'Table S6 Recommended Values'!$A$10:$A$398,0)+1,AQ$4)</f>
        <v>0</v>
      </c>
      <c r="AR69" s="330"/>
      <c r="AS69" s="343">
        <f>VLOOKUP(Table245[[#This Row],[Compound Name]],'Table S6 Recommended Values'!$A$10:$BF$398,RAVs!AS$4,FALSE)</f>
        <v>2.7386127875258306</v>
      </c>
      <c r="AT69" s="249" cm="1">
        <f t="array" ref="AT69">INDEX('Table S6 Recommended Values'!$A$10:$BF$398,MATCH(RAVs!$D69,'Table S6 Recommended Values'!$A$10:$A$398,0)+1,AT$4)</f>
        <v>0</v>
      </c>
      <c r="AU69" s="330"/>
    </row>
    <row r="70" spans="2:47">
      <c r="B70" s="247" t="str">
        <f>'Table S2 Compound Identifiers'!C72</f>
        <v>Phthalate</v>
      </c>
      <c r="C70" s="247">
        <f>COUNTIF($D$6:D70,"&lt;&gt;"&amp;"")</f>
        <v>65</v>
      </c>
      <c r="D70" s="432" t="str">
        <f>'Table S2 Compound Identifiers'!B72</f>
        <v>DnOP</v>
      </c>
      <c r="E70" s="247">
        <f>VLOOKUP(RAVs!$D70,'Table S3 Literature Values'!$A$10:$AV$551,E$4,FALSE)</f>
        <v>390.6</v>
      </c>
      <c r="F70" s="248">
        <f>VLOOKUP(Table245[[#This Row],[Compound Name]],'Table S6 Recommended Values'!$A$10:$BD$398,RAVs!F$4,FALSE)</f>
        <v>8.4987287480070908</v>
      </c>
      <c r="G70" s="249" cm="1">
        <f t="array" ref="G70">INDEX('Table S6 Recommended Values'!$A$10:$BD$398,MATCH(RAVs!$D70,'Table S6 Recommended Values'!$A$10:$A$398,0)+1,G$4)</f>
        <v>0</v>
      </c>
      <c r="H70" s="330"/>
      <c r="I70" s="328">
        <f>VLOOKUP(Table245[[#This Row],[Compound Name]],'Table S6 Recommended Values'!$A$10:$BD$398,RAVs!I$4,FALSE)</f>
        <v>15.7619774305868</v>
      </c>
      <c r="J70" s="249" cm="1">
        <f t="array" ref="J70">INDEX('Table S6 Recommended Values'!$A$10:$BD$398,MATCH(RAVs!$D70,'Table S6 Recommended Values'!$A$10:$A$398,0)+1,J$4)</f>
        <v>0</v>
      </c>
      <c r="K70" s="330"/>
      <c r="L70" s="250">
        <f>VLOOKUP(Table245[[#This Row],[Compound Name]],'Table S6 Recommended Values'!$A$10:$BD$398,RAVs!L$4,FALSE)</f>
        <v>14.218099060766679</v>
      </c>
      <c r="M70" s="249" cm="1">
        <f t="array" ref="M70">INDEX('Table S6 Recommended Values'!$A$10:$BD$398,MATCH(RAVs!$D70,'Table S6 Recommended Values'!$A$10:$A$398,0)+1,M$4)</f>
        <v>0</v>
      </c>
      <c r="N70" s="330"/>
      <c r="O70" s="250">
        <f>VLOOKUP(Table245[[#This Row],[Compound Name]],'Table S6 Recommended Values'!$A$10:$BD$398,RAVs!O$4,FALSE)</f>
        <v>11.398506506098601</v>
      </c>
      <c r="P70" s="249" cm="1">
        <f t="array" ref="P70">INDEX('Table S6 Recommended Values'!$A$10:$BD$398,MATCH(RAVs!$D70,'Table S6 Recommended Values'!$A$10:$A$398,0)+1,P$4)</f>
        <v>0</v>
      </c>
      <c r="Q70" s="330"/>
      <c r="R70" s="250">
        <f>VLOOKUP(Table245[[#This Row],[Compound Name]],'Table S6 Recommended Values'!$A$10:$BD$398,RAVs!R$4,FALSE)</f>
        <v>15.138924047686</v>
      </c>
      <c r="S70" s="249" cm="1">
        <f t="array" ref="S70">INDEX('Table S6 Recommended Values'!$A$10:$BD$398,MATCH(RAVs!$D70,'Table S6 Recommended Values'!$A$10:$A$398,0)+1,S$4)</f>
        <v>0</v>
      </c>
      <c r="T70" s="330"/>
      <c r="U70" s="250">
        <f>VLOOKUP(Table245[[#This Row],[Compound Name]],'Table S6 Recommended Values'!$A$10:$BD$398,RAVs!U$4,FALSE)</f>
        <v>16.3541905414138</v>
      </c>
      <c r="V70" s="249" cm="1">
        <f t="array" ref="V70">INDEX('Table S6 Recommended Values'!$A$10:$BD$398,MATCH(RAVs!$D70,'Table S6 Recommended Values'!$A$10:$A$398,0)+1,V$4)</f>
        <v>0</v>
      </c>
      <c r="W70" s="330"/>
      <c r="X70" s="343">
        <f>VLOOKUP(Table245[[#This Row],[Compound Name]],'Table S6 Recommended Values'!$A$10:$BF$398,RAVs!X$4,FALSE)</f>
        <v>0.397526065808888</v>
      </c>
      <c r="Y70" s="249" cm="1">
        <f t="array" ref="Y70">INDEX('Table S6 Recommended Values'!$A$10:$BF$398,MATCH(RAVs!$D70,'Table S6 Recommended Values'!$A$10:$A$398,0)+1,Y$4)</f>
        <v>0</v>
      </c>
      <c r="Z70" s="330"/>
      <c r="AA70" s="343">
        <f>VLOOKUP(Table245[[#This Row],[Compound Name]],'Table S6 Recommended Values'!$A$10:$BF$398,RAVs!AA$4,FALSE)</f>
        <v>0.130512762922848</v>
      </c>
      <c r="AB70" s="249" cm="1">
        <f t="array" ref="AB70">INDEX('Table S6 Recommended Values'!$A$10:$BF$398,MATCH(RAVs!$D70,'Table S6 Recommended Values'!$A$10:$A$398,0)+1,AB$4)</f>
        <v>0</v>
      </c>
      <c r="AC70" s="330"/>
      <c r="AD70" s="343">
        <f>VLOOKUP(Table245[[#This Row],[Compound Name]],'Table S6 Recommended Values'!$A$10:$BF$398,RAVs!AD$4,FALSE)</f>
        <v>0.41824488614579702</v>
      </c>
      <c r="AE70" s="249" cm="1">
        <f t="array" ref="AE70">INDEX('Table S6 Recommended Values'!$A$10:$BF$398,MATCH(RAVs!$D70,'Table S6 Recommended Values'!$A$10:$A$398,0)+1,AE$4)</f>
        <v>0</v>
      </c>
      <c r="AF70" s="330"/>
      <c r="AG70" s="343">
        <f>VLOOKUP(Table245[[#This Row],[Compound Name]],'Table S6 Recommended Values'!$A$10:$BF$398,RAVs!AG$4,FALSE)</f>
        <v>0.21020643829886901</v>
      </c>
      <c r="AH70" s="249" cm="1">
        <f t="array" ref="AH70">INDEX('Table S6 Recommended Values'!$A$10:$BF$398,MATCH(RAVs!$D70,'Table S6 Recommended Values'!$A$10:$A$398,0)+1,AH$4)</f>
        <v>0</v>
      </c>
      <c r="AI70" s="330"/>
      <c r="AJ70" s="343">
        <f>VLOOKUP(Table245[[#This Row],[Compound Name]],'Table S6 Recommended Values'!$A$10:$BF$398,RAVs!AJ$4,FALSE)</f>
        <v>0.42615359225385901</v>
      </c>
      <c r="AK70" s="249" cm="1">
        <f t="array" ref="AK70">INDEX('Table S6 Recommended Values'!$A$10:$BF$398,MATCH(RAVs!$D70,'Table S6 Recommended Values'!$A$10:$A$398,0)+1,AK$4)</f>
        <v>0</v>
      </c>
      <c r="AL70" s="330"/>
      <c r="AM70" s="343">
        <f>VLOOKUP(Table245[[#This Row],[Compound Name]],'Table S6 Recommended Values'!$A$10:$BF$398,RAVs!AM$4,FALSE)</f>
        <v>0.417163100747661</v>
      </c>
      <c r="AN70" s="249" cm="1">
        <f t="array" ref="AN70">INDEX('Table S6 Recommended Values'!$A$10:$BF$398,MATCH(RAVs!$D70,'Table S6 Recommended Values'!$A$10:$A$398,0)+1,AN$4)</f>
        <v>0</v>
      </c>
      <c r="AO70" s="330"/>
      <c r="AP70" s="343" t="str">
        <f>VLOOKUP(Table245[[#This Row],[Compound Name]],'Table S6 Recommended Values'!$A$10:$BF$398,RAVs!AP$4,FALSE)</f>
        <v>-</v>
      </c>
      <c r="AQ70" s="249" cm="1">
        <f t="array" ref="AQ70">INDEX('Table S6 Recommended Values'!$A$10:$BF$398,MATCH(RAVs!$D70,'Table S6 Recommended Values'!$A$10:$A$398,0)+1,AQ$4)</f>
        <v>0</v>
      </c>
      <c r="AR70" s="330"/>
      <c r="AS70" s="343" t="str">
        <f>VLOOKUP(Table245[[#This Row],[Compound Name]],'Table S6 Recommended Values'!$A$10:$BF$398,RAVs!AS$4,FALSE)</f>
        <v>-</v>
      </c>
      <c r="AT70" s="249" cm="1">
        <f t="array" ref="AT70">INDEX('Table S6 Recommended Values'!$A$10:$BF$398,MATCH(RAVs!$D70,'Table S6 Recommended Values'!$A$10:$A$398,0)+1,AT$4)</f>
        <v>0</v>
      </c>
      <c r="AU70" s="330"/>
    </row>
    <row r="71" spans="2:47">
      <c r="B71" s="247" t="str">
        <f>'Table S2 Compound Identifiers'!C73</f>
        <v>Phthalate</v>
      </c>
      <c r="C71" s="247">
        <f>COUNTIF($D$6:D71,"&lt;&gt;"&amp;"")</f>
        <v>66</v>
      </c>
      <c r="D71" s="432" t="str">
        <f>'Table S2 Compound Identifiers'!B73</f>
        <v>DiNP</v>
      </c>
      <c r="E71" s="247">
        <f>VLOOKUP(RAVs!$D71,'Table S3 Literature Values'!$A$10:$AV$551,E$4,FALSE)</f>
        <v>418.6</v>
      </c>
      <c r="F71" s="248">
        <f>VLOOKUP(Table245[[#This Row],[Compound Name]],'Table S6 Recommended Values'!$A$10:$BD$398,RAVs!F$4,FALSE)</f>
        <v>11.322009499025301</v>
      </c>
      <c r="G71" s="249" cm="1">
        <f t="array" ref="G71">INDEX('Table S6 Recommended Values'!$A$10:$BD$398,MATCH(RAVs!$D71,'Table S6 Recommended Values'!$A$10:$A$398,0)+1,G$4)</f>
        <v>0</v>
      </c>
      <c r="H71" s="330"/>
      <c r="I71" s="328">
        <f>VLOOKUP(Table245[[#This Row],[Compound Name]],'Table S6 Recommended Values'!$A$10:$BD$398,RAVs!I$4,FALSE)</f>
        <v>8.9711602817226002</v>
      </c>
      <c r="J71" s="249" cm="1">
        <f t="array" ref="J71">INDEX('Table S6 Recommended Values'!$A$10:$BD$398,MATCH(RAVs!$D71,'Table S6 Recommended Values'!$A$10:$A$398,0)+1,J$4)</f>
        <v>0</v>
      </c>
      <c r="K71" s="330"/>
      <c r="L71" s="250">
        <f>VLOOKUP(Table245[[#This Row],[Compound Name]],'Table S6 Recommended Values'!$A$10:$BD$398,RAVs!L$4,FALSE)</f>
        <v>17.838695350921661</v>
      </c>
      <c r="M71" s="249" cm="1">
        <f t="array" ref="M71">INDEX('Table S6 Recommended Values'!$A$10:$BD$398,MATCH(RAVs!$D71,'Table S6 Recommended Values'!$A$10:$A$398,0)+1,M$4)</f>
        <v>0</v>
      </c>
      <c r="N71" s="330"/>
      <c r="O71" s="250">
        <f>VLOOKUP(Table245[[#This Row],[Compound Name]],'Table S6 Recommended Values'!$A$10:$BD$398,RAVs!O$4,FALSE)</f>
        <v>13.785178733951</v>
      </c>
      <c r="P71" s="249" cm="1">
        <f t="array" ref="P71">INDEX('Table S6 Recommended Values'!$A$10:$BD$398,MATCH(RAVs!$D71,'Table S6 Recommended Values'!$A$10:$A$398,0)+1,P$4)</f>
        <v>0</v>
      </c>
      <c r="Q71" s="330"/>
      <c r="R71" s="250">
        <f>VLOOKUP(Table245[[#This Row],[Compound Name]],'Table S6 Recommended Values'!$A$10:$BD$398,RAVs!R$4,FALSE)</f>
        <v>12.2377833263113</v>
      </c>
      <c r="S71" s="249" cm="1">
        <f t="array" ref="S71">INDEX('Table S6 Recommended Values'!$A$10:$BD$398,MATCH(RAVs!$D71,'Table S6 Recommended Values'!$A$10:$A$398,0)+1,S$4)</f>
        <v>0</v>
      </c>
      <c r="T71" s="330"/>
      <c r="U71" s="250">
        <f>VLOOKUP(Table245[[#This Row],[Compound Name]],'Table S6 Recommended Values'!$A$10:$BD$398,RAVs!U$4,FALSE)</f>
        <v>9.1696112882606897</v>
      </c>
      <c r="V71" s="249" cm="1">
        <f t="array" ref="V71">INDEX('Table S6 Recommended Values'!$A$10:$BD$398,MATCH(RAVs!$D71,'Table S6 Recommended Values'!$A$10:$A$398,0)+1,V$4)</f>
        <v>0</v>
      </c>
      <c r="W71" s="330"/>
      <c r="X71" s="343">
        <f>VLOOKUP(Table245[[#This Row],[Compound Name]],'Table S6 Recommended Values'!$A$10:$BF$398,RAVs!X$4,FALSE)</f>
        <v>0.88880207404161504</v>
      </c>
      <c r="Y71" s="249" cm="1">
        <f t="array" ref="Y71">INDEX('Table S6 Recommended Values'!$A$10:$BF$398,MATCH(RAVs!$D71,'Table S6 Recommended Values'!$A$10:$A$398,0)+1,Y$4)</f>
        <v>0</v>
      </c>
      <c r="Z71" s="330"/>
      <c r="AA71" s="343">
        <f>VLOOKUP(Table245[[#This Row],[Compound Name]],'Table S6 Recommended Values'!$A$10:$BF$398,RAVs!AA$4,FALSE)</f>
        <v>0.90171973361720104</v>
      </c>
      <c r="AB71" s="249" cm="1">
        <f t="array" ref="AB71">INDEX('Table S6 Recommended Values'!$A$10:$BF$398,MATCH(RAVs!$D71,'Table S6 Recommended Values'!$A$10:$A$398,0)+1,AB$4)</f>
        <v>0</v>
      </c>
      <c r="AC71" s="330"/>
      <c r="AD71" s="343">
        <f>VLOOKUP(Table245[[#This Row],[Compound Name]],'Table S6 Recommended Values'!$A$10:$BF$398,RAVs!AD$4,FALSE)</f>
        <v>0.28781755351903199</v>
      </c>
      <c r="AE71" s="249" cm="1">
        <f t="array" ref="AE71">INDEX('Table S6 Recommended Values'!$A$10:$BF$398,MATCH(RAVs!$D71,'Table S6 Recommended Values'!$A$10:$A$398,0)+1,AE$4)</f>
        <v>0</v>
      </c>
      <c r="AF71" s="330"/>
      <c r="AG71" s="343">
        <f>VLOOKUP(Table245[[#This Row],[Compound Name]],'Table S6 Recommended Values'!$A$10:$BF$398,RAVs!AG$4,FALSE)</f>
        <v>0.14203132410209901</v>
      </c>
      <c r="AH71" s="249" cm="1">
        <f t="array" ref="AH71">INDEX('Table S6 Recommended Values'!$A$10:$BF$398,MATCH(RAVs!$D71,'Table S6 Recommended Values'!$A$10:$A$398,0)+1,AH$4)</f>
        <v>0</v>
      </c>
      <c r="AI71" s="330"/>
      <c r="AJ71" s="343">
        <f>VLOOKUP(Table245[[#This Row],[Compound Name]],'Table S6 Recommended Values'!$A$10:$BF$398,RAVs!AJ$4,FALSE)</f>
        <v>0.23522297348763699</v>
      </c>
      <c r="AK71" s="249" cm="1">
        <f t="array" ref="AK71">INDEX('Table S6 Recommended Values'!$A$10:$BF$398,MATCH(RAVs!$D71,'Table S6 Recommended Values'!$A$10:$A$398,0)+1,AK$4)</f>
        <v>0</v>
      </c>
      <c r="AL71" s="330"/>
      <c r="AM71" s="343">
        <f>VLOOKUP(Table245[[#This Row],[Compound Name]],'Table S6 Recommended Values'!$A$10:$BF$398,RAVs!AM$4,FALSE)</f>
        <v>0.88474443611733999</v>
      </c>
      <c r="AN71" s="249" cm="1">
        <f t="array" ref="AN71">INDEX('Table S6 Recommended Values'!$A$10:$BF$398,MATCH(RAVs!$D71,'Table S6 Recommended Values'!$A$10:$A$398,0)+1,AN$4)</f>
        <v>0</v>
      </c>
      <c r="AO71" s="330"/>
      <c r="AP71" s="343" t="str">
        <f>VLOOKUP(Table245[[#This Row],[Compound Name]],'Table S6 Recommended Values'!$A$10:$BF$398,RAVs!AP$4,FALSE)</f>
        <v>-</v>
      </c>
      <c r="AQ71" s="249" cm="1">
        <f t="array" ref="AQ71">INDEX('Table S6 Recommended Values'!$A$10:$BF$398,MATCH(RAVs!$D71,'Table S6 Recommended Values'!$A$10:$A$398,0)+1,AQ$4)</f>
        <v>0</v>
      </c>
      <c r="AR71" s="330"/>
      <c r="AS71" s="343">
        <f>VLOOKUP(Table245[[#This Row],[Compound Name]],'Table S6 Recommended Values'!$A$10:$BF$398,RAVs!AS$4,FALSE)</f>
        <v>3.5355339059327378</v>
      </c>
      <c r="AT71" s="249" cm="1">
        <f t="array" ref="AT71">INDEX('Table S6 Recommended Values'!$A$10:$BF$398,MATCH(RAVs!$D71,'Table S6 Recommended Values'!$A$10:$A$398,0)+1,AT$4)</f>
        <v>0</v>
      </c>
      <c r="AU71" s="330"/>
    </row>
    <row r="72" spans="2:47">
      <c r="B72" s="247" t="str">
        <f>'Table S2 Compound Identifiers'!C74</f>
        <v>UV Filter</v>
      </c>
      <c r="C72" s="247">
        <f>COUNTIF($D$6:D72,"&lt;&gt;"&amp;"")</f>
        <v>67</v>
      </c>
      <c r="D72" s="247" t="str">
        <f>'Table S2 Compound Identifiers'!B74</f>
        <v>benzophenone-D10</v>
      </c>
      <c r="E72" s="247" t="str">
        <f>VLOOKUP(RAVs!$D72,'Table S3 Literature Values'!$A$10:$AV$551,E$4,FALSE)</f>
        <v>22583-75-1</v>
      </c>
      <c r="F72" s="248">
        <f>VLOOKUP(Table245[[#This Row],[Compound Name]],'Table S6 Recommended Values'!$A$10:$BD$398,RAVs!F$4,FALSE)</f>
        <v>75.924462974071403</v>
      </c>
      <c r="G72" s="249" cm="1">
        <f t="array" ref="G72">INDEX('Table S6 Recommended Values'!$A$10:$BD$398,MATCH(RAVs!$D72,'Table S6 Recommended Values'!$A$10:$A$398,0)+1,G$4)</f>
        <v>4.9408670675602799</v>
      </c>
      <c r="H72" s="330"/>
      <c r="I72" s="328">
        <f>VLOOKUP(Table245[[#This Row],[Compound Name]],'Table S6 Recommended Values'!$A$10:$BD$398,RAVs!I$4,FALSE)</f>
        <v>11.430154001489701</v>
      </c>
      <c r="J72" s="249" cm="1">
        <f t="array" ref="J72">INDEX('Table S6 Recommended Values'!$A$10:$BD$398,MATCH(RAVs!$D72,'Table S6 Recommended Values'!$A$10:$A$398,0)+1,J$4)</f>
        <v>5.9294371336499498</v>
      </c>
      <c r="K72" s="330"/>
      <c r="L72" s="250">
        <f>VLOOKUP(Table245[[#This Row],[Compound Name]],'Table S6 Recommended Values'!$A$10:$BD$398,RAVs!L$4,FALSE)</f>
        <v>7.0644090263207087</v>
      </c>
      <c r="M72" s="249" cm="1">
        <f t="array" ref="M72">INDEX('Table S6 Recommended Values'!$A$10:$BD$398,MATCH(RAVs!$D72,'Table S6 Recommended Values'!$A$10:$A$398,0)+1,M$4)</f>
        <v>6.1872718601836691</v>
      </c>
      <c r="N72" s="330"/>
      <c r="O72" s="250">
        <f>VLOOKUP(Table245[[#This Row],[Compound Name]],'Table S6 Recommended Values'!$A$10:$BD$398,RAVs!O$4,FALSE)</f>
        <v>-66.469053947750695</v>
      </c>
      <c r="P72" s="249" cm="1">
        <f t="array" ref="P72">INDEX('Table S6 Recommended Values'!$A$10:$BD$398,MATCH(RAVs!$D72,'Table S6 Recommended Values'!$A$10:$A$398,0)+1,P$4)</f>
        <v>3.72426713495675</v>
      </c>
      <c r="Q72" s="330"/>
      <c r="R72" s="250">
        <f>VLOOKUP(Table245[[#This Row],[Compound Name]],'Table S6 Recommended Values'!$A$10:$BD$398,RAVs!R$4,FALSE)</f>
        <v>62.100402759243501</v>
      </c>
      <c r="S72" s="249" cm="1">
        <f t="array" ref="S72">INDEX('Table S6 Recommended Values'!$A$10:$BD$398,MATCH(RAVs!$D72,'Table S6 Recommended Values'!$A$10:$A$398,0)+1,S$4)</f>
        <v>4.3596792131839601</v>
      </c>
      <c r="T72" s="330"/>
      <c r="U72" s="250">
        <f>VLOOKUP(Table245[[#This Row],[Compound Name]],'Table S6 Recommended Values'!$A$10:$BD$398,RAVs!U$4,FALSE)</f>
        <v>-4.3715645945279897</v>
      </c>
      <c r="V72" s="249" cm="1">
        <f t="array" ref="V72">INDEX('Table S6 Recommended Values'!$A$10:$BD$398,MATCH(RAVs!$D72,'Table S6 Recommended Values'!$A$10:$A$398,0)+1,V$4)</f>
        <v>2.81047460126935</v>
      </c>
      <c r="W72" s="330"/>
      <c r="X72" s="343">
        <f>VLOOKUP(Table245[[#This Row],[Compound Name]],'Table S6 Recommended Values'!$A$10:$BF$398,RAVs!X$4,FALSE)</f>
        <v>7.3672002086785504</v>
      </c>
      <c r="Y72" s="249" cm="1">
        <f t="array" ref="Y72">INDEX('Table S6 Recommended Values'!$A$10:$BF$398,MATCH(RAVs!$D72,'Table S6 Recommended Values'!$A$10:$A$398,0)+1,Y$4)</f>
        <v>0.26353010987275399</v>
      </c>
      <c r="Z72" s="330"/>
      <c r="AA72" s="343">
        <f>VLOOKUP(Table245[[#This Row],[Compound Name]],'Table S6 Recommended Values'!$A$10:$BF$398,RAVs!AA$4,FALSE)</f>
        <v>2.9113156529629398</v>
      </c>
      <c r="AB72" s="249" cm="1">
        <f t="array" ref="AB72">INDEX('Table S6 Recommended Values'!$A$10:$BF$398,MATCH(RAVs!$D72,'Table S6 Recommended Values'!$A$10:$A$398,0)+1,AB$4)</f>
        <v>0.42643856915232797</v>
      </c>
      <c r="AC72" s="330"/>
      <c r="AD72" s="343">
        <f>VLOOKUP(Table245[[#This Row],[Compound Name]],'Table S6 Recommended Values'!$A$10:$BF$398,RAVs!AD$4,FALSE)</f>
        <v>-4.4518464608157604</v>
      </c>
      <c r="AE72" s="249" cm="1">
        <f t="array" ref="AE72">INDEX('Table S6 Recommended Values'!$A$10:$BF$398,MATCH(RAVs!$D72,'Table S6 Recommended Values'!$A$10:$A$398,0)+1,AE$4)</f>
        <v>0.43548950422350002</v>
      </c>
      <c r="AF72" s="330"/>
      <c r="AG72" s="343">
        <f>VLOOKUP(Table245[[#This Row],[Compound Name]],'Table S6 Recommended Values'!$A$10:$BF$398,RAVs!AG$4,FALSE)</f>
        <v>-0.95933557576702644</v>
      </c>
      <c r="AH72" s="249" cm="1">
        <f t="array" ref="AH72">INDEX('Table S6 Recommended Values'!$A$10:$BF$398,MATCH(RAVs!$D72,'Table S6 Recommended Values'!$A$10:$A$398,0)+1,AH$4)</f>
        <v>0.26368055960338499</v>
      </c>
      <c r="AI72" s="330"/>
      <c r="AJ72" s="343">
        <f>VLOOKUP(Table245[[#This Row],[Compound Name]],'Table S6 Recommended Values'!$A$10:$BF$398,RAVs!AJ$4,FALSE)</f>
        <v>9.6386597134665297E-2</v>
      </c>
      <c r="AK72" s="249" cm="1">
        <f t="array" ref="AK72">INDEX('Table S6 Recommended Values'!$A$10:$BF$398,MATCH(RAVs!$D72,'Table S6 Recommended Values'!$A$10:$A$398,0)+1,AK$4)</f>
        <v>0.42405071351103002</v>
      </c>
      <c r="AL72" s="330"/>
      <c r="AM72" s="343">
        <f>VLOOKUP(Table245[[#This Row],[Compound Name]],'Table S6 Recommended Values'!$A$10:$BF$398,RAVs!AM$4,FALSE)</f>
        <v>3.00288504102314</v>
      </c>
      <c r="AN72" s="249" cm="1">
        <f t="array" ref="AN72">INDEX('Table S6 Recommended Values'!$A$10:$BF$398,MATCH(RAVs!$D72,'Table S6 Recommended Values'!$A$10:$A$398,0)+1,AN$4)</f>
        <v>0.32445446834705899</v>
      </c>
      <c r="AO72" s="330"/>
      <c r="AP72" s="343" t="str">
        <f>VLOOKUP(Table245[[#This Row],[Compound Name]],'Table S6 Recommended Values'!$A$10:$BF$398,RAVs!AP$4,FALSE)</f>
        <v>-</v>
      </c>
      <c r="AQ72" s="249" t="str" cm="1">
        <f t="array" ref="AQ72">INDEX('Table S6 Recommended Values'!$A$10:$BF$398,MATCH(RAVs!$D72,'Table S6 Recommended Values'!$A$10:$A$398,0)+1,AQ$4)</f>
        <v>-</v>
      </c>
      <c r="AR72" s="330"/>
      <c r="AS72" s="343">
        <f>VLOOKUP(Table245[[#This Row],[Compound Name]],'Table S6 Recommended Values'!$A$10:$BF$398,RAVs!AS$4,FALSE)</f>
        <v>51.5</v>
      </c>
      <c r="AT72" s="249" cm="1">
        <f t="array" ref="AT72">INDEX('Table S6 Recommended Values'!$A$10:$BF$398,MATCH(RAVs!$D72,'Table S6 Recommended Values'!$A$10:$A$398,0)+1,AT$4)</f>
        <v>2.1213203435596424</v>
      </c>
      <c r="AU72" s="330"/>
    </row>
    <row r="73" spans="2:47">
      <c r="B73" s="247" t="str">
        <f>'Table S2 Compound Identifiers'!C75</f>
        <v>UV Filter</v>
      </c>
      <c r="C73" s="247">
        <f>COUNTIF($D$6:D73,"&lt;&gt;"&amp;"")</f>
        <v>68</v>
      </c>
      <c r="D73" s="247" t="str">
        <f>'Table S2 Compound Identifiers'!B75</f>
        <v>Oxybenzone</v>
      </c>
      <c r="E73" s="247" t="str">
        <f>VLOOKUP(RAVs!$D73,'Table S3 Literature Values'!$A$10:$AV$551,E$4,FALSE)</f>
        <v>131-57-7</v>
      </c>
      <c r="F73" s="248">
        <f>VLOOKUP(Table245[[#This Row],[Compound Name]],'Table S6 Recommended Values'!$A$10:$BD$398,RAVs!F$4,FALSE)</f>
        <v>79.986230842452812</v>
      </c>
      <c r="G73" s="249" cm="1">
        <f t="array" ref="G73">INDEX('Table S6 Recommended Values'!$A$10:$BD$398,MATCH(RAVs!$D73,'Table S6 Recommended Values'!$A$10:$A$398,0)+1,G$4)</f>
        <v>7.1086214067359101</v>
      </c>
      <c r="H73" s="330"/>
      <c r="I73" s="328">
        <f>VLOOKUP(Table245[[#This Row],[Compound Name]],'Table S6 Recommended Values'!$A$10:$BD$398,RAVs!I$4,FALSE)</f>
        <v>12.656603583231099</v>
      </c>
      <c r="J73" s="249" cm="1">
        <f t="array" ref="J73">INDEX('Table S6 Recommended Values'!$A$10:$BD$398,MATCH(RAVs!$D73,'Table S6 Recommended Values'!$A$10:$A$398,0)+1,J$4)</f>
        <v>8.5063508766419709</v>
      </c>
      <c r="K73" s="330"/>
      <c r="L73" s="250">
        <f>VLOOKUP(Table245[[#This Row],[Compound Name]],'Table S6 Recommended Values'!$A$10:$BD$398,RAVs!L$4,FALSE)</f>
        <v>1.5606121868703067</v>
      </c>
      <c r="M73" s="249" cm="1">
        <f t="array" ref="M73">INDEX('Table S6 Recommended Values'!$A$10:$BD$398,MATCH(RAVs!$D73,'Table S6 Recommended Values'!$A$10:$A$398,0)+1,M$4)</f>
        <v>8.3935812602662043</v>
      </c>
      <c r="N73" s="330"/>
      <c r="O73" s="250">
        <f>VLOOKUP(Table245[[#This Row],[Compound Name]],'Table S6 Recommended Values'!$A$10:$BD$398,RAVs!O$4,FALSE)</f>
        <v>-76.034618655582506</v>
      </c>
      <c r="P73" s="249" cm="1">
        <f t="array" ref="P73">INDEX('Table S6 Recommended Values'!$A$10:$BD$398,MATCH(RAVs!$D73,'Table S6 Recommended Values'!$A$10:$A$398,0)+1,P$4)</f>
        <v>4.4631500163436097</v>
      </c>
      <c r="Q73" s="330"/>
      <c r="R73" s="250">
        <f>VLOOKUP(Table245[[#This Row],[Compound Name]],'Table S6 Recommended Values'!$A$10:$BD$398,RAVs!R$4,FALSE)</f>
        <v>64.939291934927098</v>
      </c>
      <c r="S73" s="249" cm="1">
        <f t="array" ref="S73">INDEX('Table S6 Recommended Values'!$A$10:$BD$398,MATCH(RAVs!$D73,'Table S6 Recommended Values'!$A$10:$A$398,0)+1,S$4)</f>
        <v>5.7859472534474596</v>
      </c>
      <c r="T73" s="330"/>
      <c r="U73" s="250">
        <f>VLOOKUP(Table245[[#This Row],[Compound Name]],'Table S6 Recommended Values'!$A$10:$BD$398,RAVs!U$4,FALSE)</f>
        <v>-11.0973725020053</v>
      </c>
      <c r="V73" s="249" cm="1">
        <f t="array" ref="V73">INDEX('Table S6 Recommended Values'!$A$10:$BD$398,MATCH(RAVs!$D73,'Table S6 Recommended Values'!$A$10:$A$398,0)+1,V$4)</f>
        <v>4.48040338060013</v>
      </c>
      <c r="W73" s="330"/>
      <c r="X73" s="343">
        <f>VLOOKUP(Table245[[#This Row],[Compound Name]],'Table S6 Recommended Values'!$A$10:$BF$398,RAVs!X$4,FALSE)</f>
        <v>8.7214370287490208</v>
      </c>
      <c r="Y73" s="249" cm="1">
        <f t="array" ref="Y73">INDEX('Table S6 Recommended Values'!$A$10:$BF$398,MATCH(RAVs!$D73,'Table S6 Recommended Values'!$A$10:$A$398,0)+1,Y$4)</f>
        <v>0.18297885460810201</v>
      </c>
      <c r="Z73" s="330"/>
      <c r="AA73" s="343">
        <f>VLOOKUP(Table245[[#This Row],[Compound Name]],'Table S6 Recommended Values'!$A$10:$BF$398,RAVs!AA$4,FALSE)</f>
        <v>3.4223833492784399</v>
      </c>
      <c r="AB73" s="249" cm="1">
        <f t="array" ref="AB73">INDEX('Table S6 Recommended Values'!$A$10:$BF$398,MATCH(RAVs!$D73,'Table S6 Recommended Values'!$A$10:$A$398,0)+1,AB$4)</f>
        <v>0.119134203428636</v>
      </c>
      <c r="AC73" s="330"/>
      <c r="AD73" s="343">
        <f>VLOOKUP(Table245[[#This Row],[Compound Name]],'Table S6 Recommended Values'!$A$10:$BF$398,RAVs!AD$4,FALSE)</f>
        <v>-5.1849214790095504</v>
      </c>
      <c r="AE73" s="249" cm="1">
        <f t="array" ref="AE73">INDEX('Table S6 Recommended Values'!$A$10:$BF$398,MATCH(RAVs!$D73,'Table S6 Recommended Values'!$A$10:$A$398,0)+1,AE$4)</f>
        <v>0.21267976487416901</v>
      </c>
      <c r="AF73" s="330"/>
      <c r="AG73" s="343">
        <f>VLOOKUP(Table245[[#This Row],[Compound Name]],'Table S6 Recommended Values'!$A$10:$BF$398,RAVs!AG$4,FALSE)</f>
        <v>-2.6261981538469059</v>
      </c>
      <c r="AH73" s="249" cm="1">
        <f t="array" ref="AH73">INDEX('Table S6 Recommended Values'!$A$10:$BF$398,MATCH(RAVs!$D73,'Table S6 Recommended Values'!$A$10:$A$398,0)+1,AH$4)</f>
        <v>0.142951667331635</v>
      </c>
      <c r="AI73" s="330"/>
      <c r="AJ73" s="343">
        <f>VLOOKUP(Table245[[#This Row],[Compound Name]],'Table S6 Recommended Values'!$A$10:$BF$398,RAVs!AJ$4,FALSE)</f>
        <v>-0.83027155523413898</v>
      </c>
      <c r="AK73" s="249" cm="1">
        <f t="array" ref="AK73">INDEX('Table S6 Recommended Values'!$A$10:$BF$398,MATCH(RAVs!$D73,'Table S6 Recommended Values'!$A$10:$A$398,0)+1,AK$4)</f>
        <v>0.15868514522918101</v>
      </c>
      <c r="AL73" s="330"/>
      <c r="AM73" s="343">
        <f>VLOOKUP(Table245[[#This Row],[Compound Name]],'Table S6 Recommended Values'!$A$10:$BF$398,RAVs!AM$4,FALSE)</f>
        <v>2.6419268638165301</v>
      </c>
      <c r="AN73" s="249" cm="1">
        <f t="array" ref="AN73">INDEX('Table S6 Recommended Values'!$A$10:$BF$398,MATCH(RAVs!$D73,'Table S6 Recommended Values'!$A$10:$A$398,0)+1,AN$4)</f>
        <v>0.177758526023854</v>
      </c>
      <c r="AO73" s="330"/>
      <c r="AP73" s="343">
        <f>VLOOKUP(Table245[[#This Row],[Compound Name]],'Table S6 Recommended Values'!$A$10:$BF$398,RAVs!AP$4,FALSE)</f>
        <v>64.656964656964661</v>
      </c>
      <c r="AQ73" s="249" cm="1">
        <f t="array" ref="AQ73">INDEX('Table S6 Recommended Values'!$A$10:$BF$398,MATCH(RAVs!$D73,'Table S6 Recommended Values'!$A$10:$A$398,0)+1,AQ$4)</f>
        <v>5.096237773624499</v>
      </c>
      <c r="AR73" s="330"/>
      <c r="AS73" s="343">
        <f>VLOOKUP(Table245[[#This Row],[Compound Name]],'Table S6 Recommended Values'!$A$10:$BF$398,RAVs!AS$4,FALSE)</f>
        <v>63.741666666666667</v>
      </c>
      <c r="AT73" s="249" cm="1">
        <f t="array" ref="AT73">INDEX('Table S6 Recommended Values'!$A$10:$BF$398,MATCH(RAVs!$D73,'Table S6 Recommended Values'!$A$10:$A$398,0)+1,AT$4)</f>
        <v>0.94995613933837286</v>
      </c>
      <c r="AU73" s="330"/>
    </row>
    <row r="74" spans="2:47">
      <c r="B74" s="247" t="str">
        <f>'Table S2 Compound Identifiers'!C76</f>
        <v>UV Filter</v>
      </c>
      <c r="C74" s="247">
        <f>COUNTIF($D$6:D74,"&lt;&gt;"&amp;"")</f>
        <v>69</v>
      </c>
      <c r="D74" s="247" t="str">
        <f>'Table S2 Compound Identifiers'!B76</f>
        <v>3-(4-methylbenzilidine) camphor</v>
      </c>
      <c r="E74" s="247" t="str">
        <f>VLOOKUP(RAVs!$D74,'Table S3 Literature Values'!$A$10:$AV$551,E$4,FALSE)</f>
        <v>36861-47-9</v>
      </c>
      <c r="F74" s="248">
        <f>VLOOKUP(Table245[[#This Row],[Compound Name]],'Table S6 Recommended Values'!$A$10:$BD$398,RAVs!F$4,FALSE)</f>
        <v>66.204938889463207</v>
      </c>
      <c r="G74" s="249" cm="1">
        <f t="array" ref="G74">INDEX('Table S6 Recommended Values'!$A$10:$BD$398,MATCH(RAVs!$D74,'Table S6 Recommended Values'!$A$10:$A$398,0)+1,G$4)</f>
        <v>7.0652703611147603</v>
      </c>
      <c r="H74" s="330"/>
      <c r="I74" s="328">
        <f>VLOOKUP(Table245[[#This Row],[Compound Name]],'Table S6 Recommended Values'!$A$10:$BD$398,RAVs!I$4,FALSE)</f>
        <v>-5.3213380988440599</v>
      </c>
      <c r="J74" s="249" cm="1">
        <f t="array" ref="J74">INDEX('Table S6 Recommended Values'!$A$10:$BD$398,MATCH(RAVs!$D74,'Table S6 Recommended Values'!$A$10:$A$398,0)+1,J$4)</f>
        <v>10.3062209148882</v>
      </c>
      <c r="K74" s="330"/>
      <c r="L74" s="250">
        <f>VLOOKUP(Table245[[#This Row],[Compound Name]],'Table S6 Recommended Values'!$A$10:$BD$398,RAVs!L$4,FALSE)</f>
        <v>-3.505818927453797</v>
      </c>
      <c r="M74" s="249" cm="1">
        <f t="array" ref="M74">INDEX('Table S6 Recommended Values'!$A$10:$BD$398,MATCH(RAVs!$D74,'Table S6 Recommended Values'!$A$10:$A$398,0)+1,M$4)</f>
        <v>10.034387803566508</v>
      </c>
      <c r="N74" s="330"/>
      <c r="O74" s="250">
        <f>VLOOKUP(Table245[[#This Row],[Compound Name]],'Table S6 Recommended Values'!$A$10:$BD$398,RAVs!O$4,FALSE)</f>
        <v>-67.319757816917004</v>
      </c>
      <c r="P74" s="249" cm="1">
        <f t="array" ref="P74">INDEX('Table S6 Recommended Values'!$A$10:$BD$398,MATCH(RAVs!$D74,'Table S6 Recommended Values'!$A$10:$A$398,0)+1,P$4)</f>
        <v>7.1253696968450404</v>
      </c>
      <c r="Q74" s="330"/>
      <c r="R74" s="250">
        <f>VLOOKUP(Table245[[#This Row],[Compound Name]],'Table S6 Recommended Values'!$A$10:$BD$398,RAVs!R$4,FALSE)</f>
        <v>69.136164526930003</v>
      </c>
      <c r="S74" s="249" cm="1">
        <f t="array" ref="S74">INDEX('Table S6 Recommended Values'!$A$10:$BD$398,MATCH(RAVs!$D74,'Table S6 Recommended Values'!$A$10:$A$398,0)+1,S$4)</f>
        <v>9.4859919356342104</v>
      </c>
      <c r="T74" s="330"/>
      <c r="U74" s="250">
        <f>VLOOKUP(Table245[[#This Row],[Compound Name]],'Table S6 Recommended Values'!$A$10:$BD$398,RAVs!U$4,FALSE)</f>
        <v>1.8156660305962</v>
      </c>
      <c r="V74" s="249" cm="1">
        <f t="array" ref="V74">INDEX('Table S6 Recommended Values'!$A$10:$BD$398,MATCH(RAVs!$D74,'Table S6 Recommended Values'!$A$10:$A$398,0)+1,V$4)</f>
        <v>10.189407916193201</v>
      </c>
      <c r="W74" s="330"/>
      <c r="X74" s="343">
        <f>VLOOKUP(Table245[[#This Row],[Compound Name]],'Table S6 Recommended Values'!$A$10:$BF$398,RAVs!X$4,FALSE)</f>
        <v>8.5417237580832204</v>
      </c>
      <c r="Y74" s="249" cm="1">
        <f t="array" ref="Y74">INDEX('Table S6 Recommended Values'!$A$10:$BF$398,MATCH(RAVs!$D74,'Table S6 Recommended Values'!$A$10:$A$398,0)+1,Y$4)</f>
        <v>0.21106187279540001</v>
      </c>
      <c r="Z74" s="330"/>
      <c r="AA74" s="343">
        <f>VLOOKUP(Table245[[#This Row],[Compound Name]],'Table S6 Recommended Values'!$A$10:$BF$398,RAVs!AA$4,FALSE)</f>
        <v>5.1646077099986201</v>
      </c>
      <c r="AB74" s="249" cm="1">
        <f t="array" ref="AB74">INDEX('Table S6 Recommended Values'!$A$10:$BF$398,MATCH(RAVs!$D74,'Table S6 Recommended Values'!$A$10:$A$398,0)+1,AB$4)</f>
        <v>0.41685808832945798</v>
      </c>
      <c r="AC74" s="330"/>
      <c r="AD74" s="343">
        <f>VLOOKUP(Table245[[#This Row],[Compound Name]],'Table S6 Recommended Values'!$A$10:$BF$398,RAVs!AD$4,FALSE)</f>
        <v>-3.3750313580450499</v>
      </c>
      <c r="AE74" s="249" cm="1">
        <f t="array" ref="AE74">INDEX('Table S6 Recommended Values'!$A$10:$BF$398,MATCH(RAVs!$D74,'Table S6 Recommended Values'!$A$10:$A$398,0)+1,AE$4)</f>
        <v>0.393103418421066</v>
      </c>
      <c r="AF74" s="330"/>
      <c r="AG74" s="343">
        <f>VLOOKUP(Table245[[#This Row],[Compound Name]],'Table S6 Recommended Values'!$A$10:$BF$398,RAVs!AG$4,FALSE)</f>
        <v>-1.9493353307002568</v>
      </c>
      <c r="AH74" s="249" cm="1">
        <f t="array" ref="AH74">INDEX('Table S6 Recommended Values'!$A$10:$BF$398,MATCH(RAVs!$D74,'Table S6 Recommended Values'!$A$10:$A$398,0)+1,AH$4)</f>
        <v>0.36344693770130698</v>
      </c>
      <c r="AI74" s="330"/>
      <c r="AJ74" s="343">
        <f>VLOOKUP(Table245[[#This Row],[Compound Name]],'Table S6 Recommended Values'!$A$10:$BF$398,RAVs!AJ$4,FALSE)</f>
        <v>-1.9641062145828501</v>
      </c>
      <c r="AK74" s="249" cm="1">
        <f t="array" ref="AK74">INDEX('Table S6 Recommended Values'!$A$10:$BF$398,MATCH(RAVs!$D74,'Table S6 Recommended Values'!$A$10:$A$398,0)+1,AK$4)</f>
        <v>0.229832768951448</v>
      </c>
      <c r="AL74" s="330"/>
      <c r="AM74" s="343">
        <f>VLOOKUP(Table245[[#This Row],[Compound Name]],'Table S6 Recommended Values'!$A$10:$BF$398,RAVs!AM$4,FALSE)</f>
        <v>3.1997713009726101</v>
      </c>
      <c r="AN74" s="249" cm="1">
        <f t="array" ref="AN74">INDEX('Table S6 Recommended Values'!$A$10:$BF$398,MATCH(RAVs!$D74,'Table S6 Recommended Values'!$A$10:$A$398,0)+1,AN$4)</f>
        <v>0.37822730370660401</v>
      </c>
      <c r="AO74" s="330"/>
      <c r="AP74" s="343" t="str">
        <f>VLOOKUP(Table245[[#This Row],[Compound Name]],'Table S6 Recommended Values'!$A$10:$BF$398,RAVs!AP$4,FALSE)</f>
        <v>-</v>
      </c>
      <c r="AQ74" s="249" t="str" cm="1">
        <f t="array" ref="AQ74">INDEX('Table S6 Recommended Values'!$A$10:$BF$398,MATCH(RAVs!$D74,'Table S6 Recommended Values'!$A$10:$A$398,0)+1,AQ$4)</f>
        <v>-</v>
      </c>
      <c r="AR74" s="330"/>
      <c r="AS74" s="343">
        <f>VLOOKUP(Table245[[#This Row],[Compound Name]],'Table S6 Recommended Values'!$A$10:$BF$398,RAVs!AS$4,FALSE)</f>
        <v>70.400000000000006</v>
      </c>
      <c r="AT74" s="249" cm="1">
        <f t="array" ref="AT74">INDEX('Table S6 Recommended Values'!$A$10:$BF$398,MATCH(RAVs!$D74,'Table S6 Recommended Values'!$A$10:$A$398,0)+1,AT$4)</f>
        <v>3.2500664900723866</v>
      </c>
      <c r="AU74" s="330"/>
    </row>
    <row r="75" spans="2:47">
      <c r="B75" s="247" t="str">
        <f>'Table S2 Compound Identifiers'!C77</f>
        <v>UV Filter</v>
      </c>
      <c r="C75" s="247">
        <f>COUNTIF($D$6:D75,"&lt;&gt;"&amp;"")</f>
        <v>70</v>
      </c>
      <c r="D75" s="247" t="str">
        <f>'Table S2 Compound Identifiers'!B77</f>
        <v>Homosolate</v>
      </c>
      <c r="E75" s="247" t="str">
        <f>VLOOKUP(RAVs!$D75,'Table S3 Literature Values'!$A$10:$AV$551,E$4,FALSE)</f>
        <v>‎118-56-9</v>
      </c>
      <c r="F75" s="248">
        <f>VLOOKUP(Table245[[#This Row],[Compound Name]],'Table S6 Recommended Values'!$A$10:$BD$398,RAVs!F$4,FALSE)</f>
        <v>94.304052523116098</v>
      </c>
      <c r="G75" s="249" cm="1">
        <f t="array" ref="G75">INDEX('Table S6 Recommended Values'!$A$10:$BD$398,MATCH(RAVs!$D75,'Table S6 Recommended Values'!$A$10:$A$398,0)+1,G$4)</f>
        <v>6.3299673305482704</v>
      </c>
      <c r="H75" s="330"/>
      <c r="I75" s="328">
        <f>VLOOKUP(Table245[[#This Row],[Compound Name]],'Table S6 Recommended Values'!$A$10:$BD$398,RAVs!I$4,FALSE)</f>
        <v>17.553291518526699</v>
      </c>
      <c r="J75" s="249" cm="1">
        <f t="array" ref="J75">INDEX('Table S6 Recommended Values'!$A$10:$BD$398,MATCH(RAVs!$D75,'Table S6 Recommended Values'!$A$10:$A$398,0)+1,J$4)</f>
        <v>8.4969107459737305</v>
      </c>
      <c r="K75" s="330"/>
      <c r="L75" s="250">
        <f>VLOOKUP(Table245[[#This Row],[Compound Name]],'Table S6 Recommended Values'!$A$10:$BD$398,RAVs!L$4,FALSE)</f>
        <v>7.710587587332304</v>
      </c>
      <c r="M75" s="249" cm="1">
        <f t="array" ref="M75">INDEX('Table S6 Recommended Values'!$A$10:$BD$398,MATCH(RAVs!$D75,'Table S6 Recommended Values'!$A$10:$A$398,0)+1,M$4)</f>
        <v>7.9916604864251077</v>
      </c>
      <c r="N75" s="330"/>
      <c r="O75" s="250">
        <f>VLOOKUP(Table245[[#This Row],[Compound Name]],'Table S6 Recommended Values'!$A$10:$BD$398,RAVs!O$4,FALSE)</f>
        <v>-84.202464935783794</v>
      </c>
      <c r="P75" s="249" cm="1">
        <f t="array" ref="P75">INDEX('Table S6 Recommended Values'!$A$10:$BD$398,MATCH(RAVs!$D75,'Table S6 Recommended Values'!$A$10:$A$398,0)+1,P$4)</f>
        <v>4.8783348516148397</v>
      </c>
      <c r="Q75" s="330"/>
      <c r="R75" s="250">
        <f>VLOOKUP(Table245[[#This Row],[Compound Name]],'Table S6 Recommended Values'!$A$10:$BD$398,RAVs!R$4,FALSE)</f>
        <v>74.358252215447806</v>
      </c>
      <c r="S75" s="249" cm="1">
        <f t="array" ref="S75">INDEX('Table S6 Recommended Values'!$A$10:$BD$398,MATCH(RAVs!$D75,'Table S6 Recommended Values'!$A$10:$A$398,0)+1,S$4)</f>
        <v>6.7116480110071404</v>
      </c>
      <c r="T75" s="330"/>
      <c r="U75" s="250">
        <f>VLOOKUP(Table245[[#This Row],[Compound Name]],'Table S6 Recommended Values'!$A$10:$BD$398,RAVs!U$4,FALSE)</f>
        <v>-9.8470704832358393</v>
      </c>
      <c r="V75" s="249" cm="1">
        <f t="array" ref="V75">INDEX('Table S6 Recommended Values'!$A$10:$BD$398,MATCH(RAVs!$D75,'Table S6 Recommended Values'!$A$10:$A$398,0)+1,V$4)</f>
        <v>5.6732436235599399</v>
      </c>
      <c r="W75" s="330"/>
      <c r="X75" s="343">
        <f>VLOOKUP(Table245[[#This Row],[Compound Name]],'Table S6 Recommended Values'!$A$10:$BF$398,RAVs!X$4,FALSE)</f>
        <v>8.5494727478415093</v>
      </c>
      <c r="Y75" s="249" cm="1">
        <f t="array" ref="Y75">INDEX('Table S6 Recommended Values'!$A$10:$BF$398,MATCH(RAVs!$D75,'Table S6 Recommended Values'!$A$10:$A$398,0)+1,Y$4)</f>
        <v>0.205919701079748</v>
      </c>
      <c r="Z75" s="330"/>
      <c r="AA75" s="343">
        <f>VLOOKUP(Table245[[#This Row],[Compound Name]],'Table S6 Recommended Values'!$A$10:$BF$398,RAVs!AA$4,FALSE)</f>
        <v>6.0421193858489097</v>
      </c>
      <c r="AB75" s="249" cm="1">
        <f t="array" ref="AB75">INDEX('Table S6 Recommended Values'!$A$10:$BF$398,MATCH(RAVs!$D75,'Table S6 Recommended Values'!$A$10:$A$398,0)+1,AB$4)</f>
        <v>0.38301650941242299</v>
      </c>
      <c r="AC75" s="330"/>
      <c r="AD75" s="343">
        <f>VLOOKUP(Table245[[#This Row],[Compound Name]],'Table S6 Recommended Values'!$A$10:$BF$398,RAVs!AD$4,FALSE)</f>
        <v>-2.5295223984648398</v>
      </c>
      <c r="AE75" s="249" cm="1">
        <f t="array" ref="AE75">INDEX('Table S6 Recommended Values'!$A$10:$BF$398,MATCH(RAVs!$D75,'Table S6 Recommended Values'!$A$10:$A$398,0)+1,AE$4)</f>
        <v>0.31080544829502399</v>
      </c>
      <c r="AF75" s="330"/>
      <c r="AG75" s="343">
        <f>VLOOKUP(Table245[[#This Row],[Compound Name]],'Table S6 Recommended Values'!$A$10:$BF$398,RAVs!AG$4,FALSE)</f>
        <v>-1.8871286439304462</v>
      </c>
      <c r="AH75" s="249" cm="1">
        <f t="array" ref="AH75">INDEX('Table S6 Recommended Values'!$A$10:$BF$398,MATCH(RAVs!$D75,'Table S6 Recommended Values'!$A$10:$A$398,0)+1,AH$4)</f>
        <v>0.10200383870858699</v>
      </c>
      <c r="AI75" s="330"/>
      <c r="AJ75" s="343">
        <f>VLOOKUP(Table245[[#This Row],[Compound Name]],'Table S6 Recommended Values'!$A$10:$BF$398,RAVs!AJ$4,FALSE)</f>
        <v>-2.7594688261371698</v>
      </c>
      <c r="AK75" s="249" cm="1">
        <f t="array" ref="AK75">INDEX('Table S6 Recommended Values'!$A$10:$BF$398,MATCH(RAVs!$D75,'Table S6 Recommended Values'!$A$10:$A$398,0)+1,AK$4)</f>
        <v>0.29627673115398401</v>
      </c>
      <c r="AL75" s="330"/>
      <c r="AM75" s="343">
        <f>VLOOKUP(Table245[[#This Row],[Compound Name]],'Table S6 Recommended Values'!$A$10:$BF$398,RAVs!AM$4,FALSE)</f>
        <v>3.2791958854402199</v>
      </c>
      <c r="AN75" s="249" cm="1">
        <f t="array" ref="AN75">INDEX('Table S6 Recommended Values'!$A$10:$BF$398,MATCH(RAVs!$D75,'Table S6 Recommended Values'!$A$10:$A$398,0)+1,AN$4)</f>
        <v>0.23965417860352001</v>
      </c>
      <c r="AO75" s="330"/>
      <c r="AP75" s="343" t="str">
        <f>VLOOKUP(Table245[[#This Row],[Compound Name]],'Table S6 Recommended Values'!$A$10:$BF$398,RAVs!AP$4,FALSE)</f>
        <v>-</v>
      </c>
      <c r="AQ75" s="249" t="str" cm="1">
        <f t="array" ref="AQ75">INDEX('Table S6 Recommended Values'!$A$10:$BF$398,MATCH(RAVs!$D75,'Table S6 Recommended Values'!$A$10:$A$398,0)+1,AQ$4)</f>
        <v>-</v>
      </c>
      <c r="AR75" s="330"/>
      <c r="AS75" s="343">
        <f>VLOOKUP(Table245[[#This Row],[Compound Name]],'Table S6 Recommended Values'!$A$10:$BF$398,RAVs!AS$4,FALSE)</f>
        <v>-20</v>
      </c>
      <c r="AT75" s="249" cm="1">
        <f t="array" ref="AT75">INDEX('Table S6 Recommended Values'!$A$10:$BF$398,MATCH(RAVs!$D75,'Table S6 Recommended Values'!$A$10:$A$398,0)+1,AT$4)</f>
        <v>6</v>
      </c>
      <c r="AU75" s="330"/>
    </row>
    <row r="76" spans="2:47">
      <c r="B76" s="247" t="str">
        <f>'Table S2 Compound Identifiers'!C78</f>
        <v>UV Filter</v>
      </c>
      <c r="C76" s="247">
        <f>COUNTIF($D$6:D76,"&lt;&gt;"&amp;"")</f>
        <v>71</v>
      </c>
      <c r="D76" s="247" t="str">
        <f>'Table S2 Compound Identifiers'!B78</f>
        <v>Octocrylene</v>
      </c>
      <c r="E76" s="247" t="str">
        <f>VLOOKUP(RAVs!$D76,'Table S3 Literature Values'!$A$10:$AV$551,E$4,FALSE)</f>
        <v>6197-30-4</v>
      </c>
      <c r="F76" s="248">
        <f>VLOOKUP(Table245[[#This Row],[Compound Name]],'Table S6 Recommended Values'!$A$10:$BD$398,RAVs!F$4,FALSE)</f>
        <v>98.921178953946409</v>
      </c>
      <c r="G76" s="249" cm="1">
        <f t="array" ref="G76">INDEX('Table S6 Recommended Values'!$A$10:$BD$398,MATCH(RAVs!$D76,'Table S6 Recommended Values'!$A$10:$A$398,0)+1,G$4)</f>
        <v>10.899186935052899</v>
      </c>
      <c r="H76" s="330"/>
      <c r="I76" s="328">
        <f>VLOOKUP(Table245[[#This Row],[Compound Name]],'Table S6 Recommended Values'!$A$10:$BD$398,RAVs!I$4,FALSE)</f>
        <v>-2.09961606849423</v>
      </c>
      <c r="J76" s="249" cm="1">
        <f t="array" ref="J76">INDEX('Table S6 Recommended Values'!$A$10:$BD$398,MATCH(RAVs!$D76,'Table S6 Recommended Values'!$A$10:$A$398,0)+1,J$4)</f>
        <v>15.997117398362199</v>
      </c>
      <c r="K76" s="330"/>
      <c r="L76" s="250">
        <f>VLOOKUP(Table245[[#This Row],[Compound Name]],'Table S6 Recommended Values'!$A$10:$BD$398,RAVs!L$4,FALSE)</f>
        <v>-11.241182938478596</v>
      </c>
      <c r="M76" s="249" cm="1">
        <f t="array" ref="M76">INDEX('Table S6 Recommended Values'!$A$10:$BD$398,MATCH(RAVs!$D76,'Table S6 Recommended Values'!$A$10:$A$398,0)+1,M$4)</f>
        <v>21.513559703343827</v>
      </c>
      <c r="N76" s="330"/>
      <c r="O76" s="250">
        <f>VLOOKUP(Table245[[#This Row],[Compound Name]],'Table S6 Recommended Values'!$A$10:$BD$398,RAVs!O$4,FALSE)</f>
        <v>-107.77136189242501</v>
      </c>
      <c r="P76" s="249" cm="1">
        <f t="array" ref="P76">INDEX('Table S6 Recommended Values'!$A$10:$BD$398,MATCH(RAVs!$D76,'Table S6 Recommended Values'!$A$10:$A$398,0)+1,P$4)</f>
        <v>18.548341577189898</v>
      </c>
      <c r="Q76" s="330"/>
      <c r="R76" s="250">
        <f>VLOOKUP(Table245[[#This Row],[Compound Name]],'Table S6 Recommended Values'!$A$10:$BD$398,RAVs!R$4,FALSE)</f>
        <v>98.631101145024999</v>
      </c>
      <c r="S76" s="249" cm="1">
        <f t="array" ref="S76">INDEX('Table S6 Recommended Values'!$A$10:$BD$398,MATCH(RAVs!$D76,'Table S6 Recommended Values'!$A$10:$A$398,0)+1,S$4)</f>
        <v>15.252650314840601</v>
      </c>
      <c r="T76" s="330"/>
      <c r="U76" s="250">
        <f>VLOOKUP(Table245[[#This Row],[Compound Name]],'Table S6 Recommended Values'!$A$10:$BD$398,RAVs!U$4,FALSE)</f>
        <v>-9.1389682835004695</v>
      </c>
      <c r="V76" s="249" cm="1">
        <f t="array" ref="V76">INDEX('Table S6 Recommended Values'!$A$10:$BD$398,MATCH(RAVs!$D76,'Table S6 Recommended Values'!$A$10:$A$398,0)+1,V$4)</f>
        <v>18.5472543258517</v>
      </c>
      <c r="W76" s="330"/>
      <c r="X76" s="343">
        <f>VLOOKUP(Table245[[#This Row],[Compound Name]],'Table S6 Recommended Values'!$A$10:$BF$398,RAVs!X$4,FALSE)</f>
        <v>14.0053911284633</v>
      </c>
      <c r="Y76" s="249" cm="1">
        <f t="array" ref="Y76">INDEX('Table S6 Recommended Values'!$A$10:$BF$398,MATCH(RAVs!$D76,'Table S6 Recommended Values'!$A$10:$A$398,0)+1,Y$4)</f>
        <v>1.4560905759806799</v>
      </c>
      <c r="Z76" s="330"/>
      <c r="AA76" s="343">
        <f>VLOOKUP(Table245[[#This Row],[Compound Name]],'Table S6 Recommended Values'!$A$10:$BF$398,RAVs!AA$4,FALSE)</f>
        <v>6.40866399478357</v>
      </c>
      <c r="AB76" s="249" cm="1">
        <f t="array" ref="AB76">INDEX('Table S6 Recommended Values'!$A$10:$BF$398,MATCH(RAVs!$D76,'Table S6 Recommended Values'!$A$10:$A$398,0)+1,AB$4)</f>
        <v>1.23539570314719</v>
      </c>
      <c r="AC76" s="330"/>
      <c r="AD76" s="343">
        <f>VLOOKUP(Table245[[#This Row],[Compound Name]],'Table S6 Recommended Values'!$A$10:$BF$398,RAVs!AD$4,FALSE)</f>
        <v>-7.5966229047555398</v>
      </c>
      <c r="AE76" s="249" cm="1">
        <f t="array" ref="AE76">INDEX('Table S6 Recommended Values'!$A$10:$BF$398,MATCH(RAVs!$D76,'Table S6 Recommended Values'!$A$10:$A$398,0)+1,AE$4)</f>
        <v>1.2212173312325201</v>
      </c>
      <c r="AF76" s="330"/>
      <c r="AG76" s="343">
        <f>VLOOKUP(Table245[[#This Row],[Compound Name]],'Table S6 Recommended Values'!$A$10:$BF$398,RAVs!AG$4,FALSE)</f>
        <v>-8.4645384524700482</v>
      </c>
      <c r="AH76" s="249" cm="1">
        <f t="array" ref="AH76">INDEX('Table S6 Recommended Values'!$A$10:$BF$398,MATCH(RAVs!$D76,'Table S6 Recommended Values'!$A$10:$A$398,0)+1,AH$4)</f>
        <v>1.18091866444066</v>
      </c>
      <c r="AI76" s="330"/>
      <c r="AJ76" s="343">
        <f>VLOOKUP(Table245[[#This Row],[Compound Name]],'Table S6 Recommended Values'!$A$10:$BF$398,RAVs!AJ$4,FALSE)</f>
        <v>-4.2596126649767099</v>
      </c>
      <c r="AK76" s="249" cm="1">
        <f t="array" ref="AK76">INDEX('Table S6 Recommended Values'!$A$10:$BF$398,MATCH(RAVs!$D76,'Table S6 Recommended Values'!$A$10:$A$398,0)+1,AK$4)</f>
        <v>0.56877555557839798</v>
      </c>
      <c r="AL76" s="330"/>
      <c r="AM76" s="343">
        <f>VLOOKUP(Table245[[#This Row],[Compound Name]],'Table S6 Recommended Values'!$A$10:$BF$398,RAVs!AM$4,FALSE)</f>
        <v>2.14846308688759</v>
      </c>
      <c r="AN76" s="249" cm="1">
        <f t="array" ref="AN76">INDEX('Table S6 Recommended Values'!$A$10:$BF$398,MATCH(RAVs!$D76,'Table S6 Recommended Values'!$A$10:$A$398,0)+1,AN$4)</f>
        <v>1.25612151606158</v>
      </c>
      <c r="AO76" s="330"/>
      <c r="AP76" s="343" t="str">
        <f>VLOOKUP(Table245[[#This Row],[Compound Name]],'Table S6 Recommended Values'!$A$10:$BF$398,RAVs!AP$4,FALSE)</f>
        <v>-</v>
      </c>
      <c r="AQ76" s="249" t="str" cm="1">
        <f t="array" ref="AQ76">INDEX('Table S6 Recommended Values'!$A$10:$BF$398,MATCH(RAVs!$D76,'Table S6 Recommended Values'!$A$10:$A$398,0)+1,AQ$4)</f>
        <v>-</v>
      </c>
      <c r="AR76" s="330"/>
      <c r="AS76" s="343">
        <f>VLOOKUP(Table245[[#This Row],[Compound Name]],'Table S6 Recommended Values'!$A$10:$BF$398,RAVs!AS$4,FALSE)</f>
        <v>-9.9</v>
      </c>
      <c r="AT76" s="249" cm="1">
        <f t="array" ref="AT76">INDEX('Table S6 Recommended Values'!$A$10:$BF$398,MATCH(RAVs!$D76,'Table S6 Recommended Values'!$A$10:$A$398,0)+1,AT$4)</f>
        <v>2.97</v>
      </c>
      <c r="AU76" s="330"/>
    </row>
    <row r="77" spans="2:47">
      <c r="B77" s="247" t="str">
        <f>'Table S2 Compound Identifiers'!C79</f>
        <v>UV Filter</v>
      </c>
      <c r="C77" s="247">
        <f>COUNTIF($D$6:D77,"&lt;&gt;"&amp;"")</f>
        <v>72</v>
      </c>
      <c r="D77" s="247" t="str">
        <f>'Table S2 Compound Identifiers'!B79</f>
        <v>2-ethylhexyl salicylate</v>
      </c>
      <c r="E77" s="247" t="str">
        <f>VLOOKUP(RAVs!$D77,'Table S3 Literature Values'!$A$10:$AV$551,E$4,FALSE)</f>
        <v>118-60-5</v>
      </c>
      <c r="F77" s="248">
        <f>VLOOKUP(Table245[[#This Row],[Compound Name]],'Table S6 Recommended Values'!$A$10:$BD$398,RAVs!F$4,FALSE)</f>
        <v>94.686894199392398</v>
      </c>
      <c r="G77" s="249" cm="1">
        <f t="array" ref="G77">INDEX('Table S6 Recommended Values'!$A$10:$BD$398,MATCH(RAVs!$D77,'Table S6 Recommended Values'!$A$10:$A$398,0)+1,G$4)</f>
        <v>6.5709226350022902</v>
      </c>
      <c r="H77" s="330"/>
      <c r="I77" s="328">
        <f>VLOOKUP(Table245[[#This Row],[Compound Name]],'Table S6 Recommended Values'!$A$10:$BD$398,RAVs!I$4,FALSE)</f>
        <v>18.224425811501799</v>
      </c>
      <c r="J77" s="249" cm="1">
        <f t="array" ref="J77">INDEX('Table S6 Recommended Values'!$A$10:$BD$398,MATCH(RAVs!$D77,'Table S6 Recommended Values'!$A$10:$A$398,0)+1,J$4)</f>
        <v>10.484866377285901</v>
      </c>
      <c r="K77" s="330"/>
      <c r="L77" s="250">
        <f>VLOOKUP(Table245[[#This Row],[Compound Name]],'Table S6 Recommended Values'!$A$10:$BD$398,RAVs!L$4,FALSE)</f>
        <v>9.1451027246403012</v>
      </c>
      <c r="M77" s="249" cm="1">
        <f t="array" ref="M77">INDEX('Table S6 Recommended Values'!$A$10:$BD$398,MATCH(RAVs!$D77,'Table S6 Recommended Values'!$A$10:$A$398,0)+1,M$4)</f>
        <v>11.530851498750641</v>
      </c>
      <c r="N77" s="330"/>
      <c r="O77" s="250">
        <f>VLOOKUP(Table245[[#This Row],[Compound Name]],'Table S6 Recommended Values'!$A$10:$BD$398,RAVs!O$4,FALSE)</f>
        <v>-83.150791474752097</v>
      </c>
      <c r="P77" s="249" cm="1">
        <f t="array" ref="P77">INDEX('Table S6 Recommended Values'!$A$10:$BD$398,MATCH(RAVs!$D77,'Table S6 Recommended Values'!$A$10:$A$398,0)+1,P$4)</f>
        <v>9.4754161919703801</v>
      </c>
      <c r="Q77" s="330"/>
      <c r="R77" s="250">
        <f>VLOOKUP(Table245[[#This Row],[Compound Name]],'Table S6 Recommended Values'!$A$10:$BD$398,RAVs!R$4,FALSE)</f>
        <v>74.072021024962197</v>
      </c>
      <c r="S77" s="249" cm="1">
        <f t="array" ref="S77">INDEX('Table S6 Recommended Values'!$A$10:$BD$398,MATCH(RAVs!$D77,'Table S6 Recommended Values'!$A$10:$A$398,0)+1,S$4)</f>
        <v>9.2308543817726694</v>
      </c>
      <c r="T77" s="330"/>
      <c r="U77" s="250">
        <f>VLOOKUP(Table245[[#This Row],[Compound Name]],'Table S6 Recommended Values'!$A$10:$BD$398,RAVs!U$4,FALSE)</f>
        <v>-9.0813409371996006</v>
      </c>
      <c r="V77" s="249" cm="1">
        <f t="array" ref="V77">INDEX('Table S6 Recommended Values'!$A$10:$BD$398,MATCH(RAVs!$D77,'Table S6 Recommended Values'!$A$10:$A$398,0)+1,V$4)</f>
        <v>6.8460203974056002</v>
      </c>
      <c r="W77" s="330"/>
      <c r="X77" s="343">
        <f>VLOOKUP(Table245[[#This Row],[Compound Name]],'Table S6 Recommended Values'!$A$10:$BF$398,RAVs!X$4,FALSE)</f>
        <v>8.3856877892797197</v>
      </c>
      <c r="Y77" s="249" cm="1">
        <f t="array" ref="Y77">INDEX('Table S6 Recommended Values'!$A$10:$BF$398,MATCH(RAVs!$D77,'Table S6 Recommended Values'!$A$10:$A$398,0)+1,Y$4)</f>
        <v>0.48605204146793102</v>
      </c>
      <c r="Z77" s="330"/>
      <c r="AA77" s="343">
        <f>VLOOKUP(Table245[[#This Row],[Compound Name]],'Table S6 Recommended Values'!$A$10:$BF$398,RAVs!AA$4,FALSE)</f>
        <v>6.2046795003217499</v>
      </c>
      <c r="AB77" s="249" cm="1">
        <f t="array" ref="AB77">INDEX('Table S6 Recommended Values'!$A$10:$BF$398,MATCH(RAVs!$D77,'Table S6 Recommended Values'!$A$10:$A$398,0)+1,AB$4)</f>
        <v>0.55166690780781402</v>
      </c>
      <c r="AC77" s="330"/>
      <c r="AD77" s="343">
        <f>VLOOKUP(Table245[[#This Row],[Compound Name]],'Table S6 Recommended Values'!$A$10:$BF$398,RAVs!AD$4,FALSE)</f>
        <v>-2.1958580298107702</v>
      </c>
      <c r="AE77" s="249" cm="1">
        <f t="array" ref="AE77">INDEX('Table S6 Recommended Values'!$A$10:$BF$398,MATCH(RAVs!$D77,'Table S6 Recommended Values'!$A$10:$A$398,0)+1,AE$4)</f>
        <v>0.32145225127257698</v>
      </c>
      <c r="AF77" s="330"/>
      <c r="AG77" s="343">
        <f>VLOOKUP(Table245[[#This Row],[Compound Name]],'Table S6 Recommended Values'!$A$10:$BF$398,RAVs!AG$4,FALSE)</f>
        <v>-1.3304671831633368</v>
      </c>
      <c r="AH77" s="249" cm="1">
        <f t="array" ref="AH77">INDEX('Table S6 Recommended Values'!$A$10:$BF$398,MATCH(RAVs!$D77,'Table S6 Recommended Values'!$A$10:$A$398,0)+1,AH$4)</f>
        <v>0.21209983093600901</v>
      </c>
      <c r="AI77" s="330"/>
      <c r="AJ77" s="343">
        <f>VLOOKUP(Table245[[#This Row],[Compound Name]],'Table S6 Recommended Values'!$A$10:$BF$398,RAVs!AJ$4,FALSE)</f>
        <v>-2.5399802564330098</v>
      </c>
      <c r="AK77" s="249" cm="1">
        <f t="array" ref="AK77">INDEX('Table S6 Recommended Values'!$A$10:$BF$398,MATCH(RAVs!$D77,'Table S6 Recommended Values'!$A$10:$A$398,0)+1,AK$4)</f>
        <v>0.28635735307737997</v>
      </c>
      <c r="AL77" s="330"/>
      <c r="AM77" s="343">
        <f>VLOOKUP(Table245[[#This Row],[Compound Name]],'Table S6 Recommended Values'!$A$10:$BF$398,RAVs!AM$4,FALSE)</f>
        <v>3.66345437017192</v>
      </c>
      <c r="AN77" s="249" cm="1">
        <f t="array" ref="AN77">INDEX('Table S6 Recommended Values'!$A$10:$BF$398,MATCH(RAVs!$D77,'Table S6 Recommended Values'!$A$10:$A$398,0)+1,AN$4)</f>
        <v>0.48315251971162698</v>
      </c>
      <c r="AO77" s="330"/>
      <c r="AP77" s="343" t="str">
        <f>VLOOKUP(Table245[[#This Row],[Compound Name]],'Table S6 Recommended Values'!$A$10:$BF$398,RAVs!AP$4,FALSE)</f>
        <v>-</v>
      </c>
      <c r="AQ77" s="249" t="str" cm="1">
        <f t="array" ref="AQ77">INDEX('Table S6 Recommended Values'!$A$10:$BF$398,MATCH(RAVs!$D77,'Table S6 Recommended Values'!$A$10:$A$398,0)+1,AQ$4)</f>
        <v>-</v>
      </c>
      <c r="AR77" s="330"/>
      <c r="AS77" s="343">
        <f>VLOOKUP(Table245[[#This Row],[Compound Name]],'Table S6 Recommended Values'!$A$10:$BF$398,RAVs!AS$4,FALSE)</f>
        <v>-20</v>
      </c>
      <c r="AT77" s="249" cm="1">
        <f t="array" ref="AT77">INDEX('Table S6 Recommended Values'!$A$10:$BF$398,MATCH(RAVs!$D77,'Table S6 Recommended Values'!$A$10:$A$398,0)+1,AT$4)</f>
        <v>6</v>
      </c>
      <c r="AU77" s="330"/>
    </row>
    <row r="78" spans="2:47">
      <c r="B78" s="247" t="str">
        <f>'Table S2 Compound Identifiers'!C80</f>
        <v>UV Filter</v>
      </c>
      <c r="C78" s="247">
        <f>COUNTIF($D$6:D78,"&lt;&gt;"&amp;"")</f>
        <v>73</v>
      </c>
      <c r="D78" s="247" t="str">
        <f>'Table S2 Compound Identifiers'!B80</f>
        <v>Avobenzone</v>
      </c>
      <c r="E78" s="247" t="str">
        <f>VLOOKUP(RAVs!$D78,'Table S3 Literature Values'!$A$10:$AV$551,E$4,FALSE)</f>
        <v>70356-09-1</v>
      </c>
      <c r="F78" s="248">
        <f>VLOOKUP(Table245[[#This Row],[Compound Name]],'Table S6 Recommended Values'!$A$10:$BD$398,RAVs!F$4,FALSE)</f>
        <v>111.51686710632501</v>
      </c>
      <c r="G78" s="249" cm="1">
        <f t="array" ref="G78">INDEX('Table S6 Recommended Values'!$A$10:$BD$398,MATCH(RAVs!$D78,'Table S6 Recommended Values'!$A$10:$A$398,0)+1,G$4)</f>
        <v>11.604788348602501</v>
      </c>
      <c r="H78" s="330"/>
      <c r="I78" s="328">
        <f>VLOOKUP(Table245[[#This Row],[Compound Name]],'Table S6 Recommended Values'!$A$10:$BD$398,RAVs!I$4,FALSE)</f>
        <v>3.6779921852220001</v>
      </c>
      <c r="J78" s="249" cm="1">
        <f t="array" ref="J78">INDEX('Table S6 Recommended Values'!$A$10:$BD$398,MATCH(RAVs!$D78,'Table S6 Recommended Values'!$A$10:$A$398,0)+1,J$4)</f>
        <v>5.6707803185176102</v>
      </c>
      <c r="K78" s="330"/>
      <c r="L78" s="250">
        <f>VLOOKUP(Table245[[#This Row],[Compound Name]],'Table S6 Recommended Values'!$A$10:$BD$398,RAVs!L$4,FALSE)</f>
        <v>7.1069503950240058</v>
      </c>
      <c r="M78" s="249" cm="1">
        <f t="array" ref="M78">INDEX('Table S6 Recommended Values'!$A$10:$BD$398,MATCH(RAVs!$D78,'Table S6 Recommended Values'!$A$10:$A$398,0)+1,M$4)</f>
        <v>16.226183884704167</v>
      </c>
      <c r="N78" s="330"/>
      <c r="O78" s="251">
        <f>VLOOKUP(Table245[[#This Row],[Compound Name]],'Table S6 Recommended Values'!$A$10:$BD$398,RAVs!O$4,FALSE)</f>
        <v>-102.018916711301</v>
      </c>
      <c r="P78" s="252" cm="1">
        <f t="array" ref="P78">INDEX('Table S6 Recommended Values'!$A$10:$BD$398,MATCH(RAVs!$D78,'Table S6 Recommended Values'!$A$10:$A$398,0)+1,P$4)</f>
        <v>11.340984562390201</v>
      </c>
      <c r="Q78" s="330"/>
      <c r="R78" s="251">
        <f>VLOOKUP(Table245[[#This Row],[Compound Name]],'Table S6 Recommended Values'!$A$10:$BD$398,RAVs!R$4,FALSE)</f>
        <v>105.448602837785</v>
      </c>
      <c r="S78" s="252" cm="1">
        <f t="array" ref="S78">INDEX('Table S6 Recommended Values'!$A$10:$BD$398,MATCH(RAVs!$D78,'Table S6 Recommended Values'!$A$10:$A$398,0)+1,S$4)</f>
        <v>11.1614642917094</v>
      </c>
      <c r="T78" s="330"/>
      <c r="U78" s="251">
        <f>VLOOKUP(Table245[[#This Row],[Compound Name]],'Table S6 Recommended Values'!$A$10:$BD$398,RAVs!U$4,FALSE)</f>
        <v>3.4290829589706</v>
      </c>
      <c r="V78" s="252" cm="1">
        <f t="array" ref="V78">INDEX('Table S6 Recommended Values'!$A$10:$BD$398,MATCH(RAVs!$D78,'Table S6 Recommended Values'!$A$10:$A$398,0)+1,V$4)</f>
        <v>5.6538806838124103</v>
      </c>
      <c r="W78" s="330"/>
      <c r="X78" s="343">
        <f>VLOOKUP(Table245[[#This Row],[Compound Name]],'Table S6 Recommended Values'!$A$10:$BF$398,RAVs!X$4,FALSE)</f>
        <v>10.958816729985999</v>
      </c>
      <c r="Y78" s="249" cm="1">
        <f t="array" ref="Y78">INDEX('Table S6 Recommended Values'!$A$10:$BF$398,MATCH(RAVs!$D78,'Table S6 Recommended Values'!$A$10:$A$398,0)+1,Y$4)</f>
        <v>1.16662316583126</v>
      </c>
      <c r="Z78" s="330"/>
      <c r="AA78" s="343">
        <f>VLOOKUP(Table245[[#This Row],[Compound Name]],'Table S6 Recommended Values'!$A$10:$BF$398,RAVs!AA$4,FALSE)</f>
        <v>5.4403884274187897</v>
      </c>
      <c r="AB78" s="249" cm="1">
        <f t="array" ref="AB78">INDEX('Table S6 Recommended Values'!$A$10:$BF$398,MATCH(RAVs!$D78,'Table S6 Recommended Values'!$A$10:$A$398,0)+1,AB$4)</f>
        <v>1.1889174825195099</v>
      </c>
      <c r="AC78" s="330"/>
      <c r="AD78" s="343">
        <f>VLOOKUP(Table245[[#This Row],[Compound Name]],'Table S6 Recommended Values'!$A$10:$BF$398,RAVs!AD$4,FALSE)</f>
        <v>-5.5203400845584998</v>
      </c>
      <c r="AE78" s="249" cm="1">
        <f t="array" ref="AE78">INDEX('Table S6 Recommended Values'!$A$10:$BF$398,MATCH(RAVs!$D78,'Table S6 Recommended Values'!$A$10:$A$398,0)+1,AE$4)</f>
        <v>1.17651571823964</v>
      </c>
      <c r="AF78" s="330"/>
      <c r="AG78" s="343">
        <f>VLOOKUP(Table245[[#This Row],[Compound Name]],'Table S6 Recommended Values'!$A$10:$BF$398,RAVs!AG$4,FALSE)</f>
        <v>-5.5292734326775284</v>
      </c>
      <c r="AH78" s="249" cm="1">
        <f t="array" ref="AH78">INDEX('Table S6 Recommended Values'!$A$10:$BF$398,MATCH(RAVs!$D78,'Table S6 Recommended Values'!$A$10:$A$398,0)+1,AH$4)</f>
        <v>0.91925445510707504</v>
      </c>
      <c r="AI78" s="330"/>
      <c r="AJ78" s="343">
        <f>VLOOKUP(Table245[[#This Row],[Compound Name]],'Table S6 Recommended Values'!$A$10:$BF$398,RAVs!AJ$4,FALSE)</f>
        <v>-3.40737370662668</v>
      </c>
      <c r="AK78" s="249" cm="1">
        <f t="array" ref="AK78">INDEX('Table S6 Recommended Values'!$A$10:$BF$398,MATCH(RAVs!$D78,'Table S6 Recommended Values'!$A$10:$A$398,0)+1,AK$4)</f>
        <v>0.93412129268558697</v>
      </c>
      <c r="AL78" s="330"/>
      <c r="AM78" s="343">
        <f>VLOOKUP(Table245[[#This Row],[Compound Name]],'Table S6 Recommended Values'!$A$10:$BF$398,RAVs!AM$4,FALSE)</f>
        <v>2.0339710010667602</v>
      </c>
      <c r="AN78" s="249" cm="1">
        <f t="array" ref="AN78">INDEX('Table S6 Recommended Values'!$A$10:$BF$398,MATCH(RAVs!$D78,'Table S6 Recommended Values'!$A$10:$A$398,0)+1,AN$4)</f>
        <v>0.92231405961486101</v>
      </c>
      <c r="AO78" s="330"/>
      <c r="AP78" s="343" t="str">
        <f>VLOOKUP(Table245[[#This Row],[Compound Name]],'Table S6 Recommended Values'!$A$10:$BF$398,RAVs!AP$4,FALSE)</f>
        <v>-</v>
      </c>
      <c r="AQ78" s="249" t="str" cm="1">
        <f t="array" ref="AQ78">INDEX('Table S6 Recommended Values'!$A$10:$BF$398,MATCH(RAVs!$D78,'Table S6 Recommended Values'!$A$10:$A$398,0)+1,AQ$4)</f>
        <v>-</v>
      </c>
      <c r="AR78" s="330"/>
      <c r="AS78" s="343">
        <f>VLOOKUP(Table245[[#This Row],[Compound Name]],'Table S6 Recommended Values'!$A$10:$BF$398,RAVs!AS$4,FALSE)</f>
        <v>39.783333333333331</v>
      </c>
      <c r="AT78" s="249" cm="1">
        <f t="array" ref="AT78">INDEX('Table S6 Recommended Values'!$A$10:$BF$398,MATCH(RAVs!$D78,'Table S6 Recommended Values'!$A$10:$A$398,0)+1,AT$4)</f>
        <v>68.339020088575069</v>
      </c>
      <c r="AU78" s="330"/>
    </row>
    <row r="79" spans="2:47">
      <c r="B79" s="247" t="str">
        <f>'Table S2 Compound Identifiers'!C81</f>
        <v>UV Filter</v>
      </c>
      <c r="C79" s="253">
        <f>COUNTIF($D$6:D79,"&lt;&gt;"&amp;"")</f>
        <v>74</v>
      </c>
      <c r="D79" s="253" t="str">
        <f>'Table S2 Compound Identifiers'!B81</f>
        <v>Octinoxate</v>
      </c>
      <c r="E79" s="253" t="str">
        <f>VLOOKUP(RAVs!$D79,'Table S3 Literature Values'!$A$10:$AV$551,E$4,FALSE)</f>
        <v>5466-77-3</v>
      </c>
      <c r="F79" s="254">
        <f>VLOOKUP(Table245[[#This Row],[Compound Name]],'Table S6 Recommended Values'!$A$10:$BD$398,RAVs!F$4,FALSE)</f>
        <v>110.01124850868401</v>
      </c>
      <c r="G79" s="252" cm="1">
        <f t="array" ref="G79">INDEX('Table S6 Recommended Values'!$A$10:$BD$398,MATCH(RAVs!$D79,'Table S6 Recommended Values'!$A$10:$A$398,0)+1,G$4)</f>
        <v>8.50507531002728</v>
      </c>
      <c r="H79" s="330"/>
      <c r="I79" s="333">
        <f>VLOOKUP(Table245[[#This Row],[Compound Name]],'Table S6 Recommended Values'!$A$10:$BD$398,RAVs!I$4,FALSE)</f>
        <v>6.6402957346011204</v>
      </c>
      <c r="J79" s="252" cm="1">
        <f t="array" ref="J79">INDEX('Table S6 Recommended Values'!$A$10:$BD$398,MATCH(RAVs!$D79,'Table S6 Recommended Values'!$A$10:$A$398,0)+1,J$4)</f>
        <v>7.5627456736471403</v>
      </c>
      <c r="K79" s="330"/>
      <c r="L79" s="251">
        <f>VLOOKUP(Table245[[#This Row],[Compound Name]],'Table S6 Recommended Values'!$A$10:$BD$398,RAVs!L$4,FALSE)</f>
        <v>8.5462404113228043</v>
      </c>
      <c r="M79" s="252" cm="1">
        <f t="array" ref="M79">INDEX('Table S6 Recommended Values'!$A$10:$BD$398,MATCH(RAVs!$D79,'Table S6 Recommended Values'!$A$10:$A$398,0)+1,M$4)</f>
        <v>13.288747594908275</v>
      </c>
      <c r="N79" s="330"/>
      <c r="O79" s="251">
        <f>VLOOKUP(Table245[[#This Row],[Compound Name]],'Table S6 Recommended Values'!$A$10:$BD$398,RAVs!O$4,FALSE)</f>
        <v>-99.074008097361201</v>
      </c>
      <c r="P79" s="252" cm="1">
        <f t="array" ref="P79">INDEX('Table S6 Recommended Values'!$A$10:$BD$398,MATCH(RAVs!$D79,'Table S6 Recommended Values'!$A$10:$A$398,0)+1,P$4)</f>
        <v>10.210509615682501</v>
      </c>
      <c r="Q79" s="330"/>
      <c r="R79" s="251">
        <f>VLOOKUP(Table245[[#This Row],[Compound Name]],'Table S6 Recommended Values'!$A$10:$BD$398,RAVs!R$4,FALSE)</f>
        <v>100.978929780344</v>
      </c>
      <c r="S79" s="252" cm="1">
        <f t="array" ref="S79">INDEX('Table S6 Recommended Values'!$A$10:$BD$398,MATCH(RAVs!$D79,'Table S6 Recommended Values'!$A$10:$A$398,0)+1,S$4)</f>
        <v>9.4614785991422394</v>
      </c>
      <c r="T79" s="330"/>
      <c r="U79" s="251">
        <f>VLOOKUP(Table245[[#This Row],[Compound Name]],'Table S6 Recommended Values'!$A$10:$BD$398,RAVs!U$4,FALSE)</f>
        <v>1.90512252740347</v>
      </c>
      <c r="V79" s="252" cm="1">
        <f t="array" ref="V79">INDEX('Table S6 Recommended Values'!$A$10:$BD$398,MATCH(RAVs!$D79,'Table S6 Recommended Values'!$A$10:$A$398,0)+1,V$4)</f>
        <v>5.1026634692511204</v>
      </c>
      <c r="W79" s="330"/>
      <c r="X79" s="343">
        <f>VLOOKUP(Table245[[#This Row],[Compound Name]],'Table S6 Recommended Values'!$A$10:$BF$398,RAVs!X$4,FALSE)</f>
        <v>10.5540813721713</v>
      </c>
      <c r="Y79" s="249" cm="1">
        <f t="array" ref="Y79">INDEX('Table S6 Recommended Values'!$A$10:$BF$398,MATCH(RAVs!$D79,'Table S6 Recommended Values'!$A$10:$A$398,0)+1,Y$4)</f>
        <v>0.740868221569282</v>
      </c>
      <c r="Z79" s="330"/>
      <c r="AA79" s="343">
        <f>VLOOKUP(Table245[[#This Row],[Compound Name]],'Table S6 Recommended Values'!$A$10:$BF$398,RAVs!AA$4,FALSE)</f>
        <v>6.7864012105711398</v>
      </c>
      <c r="AB79" s="249" cm="1">
        <f t="array" ref="AB79">INDEX('Table S6 Recommended Values'!$A$10:$BF$398,MATCH(RAVs!$D79,'Table S6 Recommended Values'!$A$10:$A$398,0)+1,AB$4)</f>
        <v>0.72838088225249398</v>
      </c>
      <c r="AC79" s="330"/>
      <c r="AD79" s="343">
        <f>VLOOKUP(Table245[[#This Row],[Compound Name]],'Table S6 Recommended Values'!$A$10:$BF$398,RAVs!AD$4,FALSE)</f>
        <v>-3.7663472580760602</v>
      </c>
      <c r="AE79" s="249" cm="1">
        <f t="array" ref="AE79">INDEX('Table S6 Recommended Values'!$A$10:$BF$398,MATCH(RAVs!$D79,'Table S6 Recommended Values'!$A$10:$A$398,0)+1,AE$4)</f>
        <v>0.61556305585451299</v>
      </c>
      <c r="AF79" s="330"/>
      <c r="AG79" s="343">
        <f>VLOOKUP(Table245[[#This Row],[Compound Name]],'Table S6 Recommended Values'!$A$10:$BF$398,RAVs!AG$4,FALSE)</f>
        <v>-3.746959580047466</v>
      </c>
      <c r="AH79" s="249" cm="1">
        <f t="array" ref="AH79">INDEX('Table S6 Recommended Values'!$A$10:$BF$398,MATCH(RAVs!$D79,'Table S6 Recommended Values'!$A$10:$A$398,0)+1,AH$4)</f>
        <v>0.64615953734508302</v>
      </c>
      <c r="AI79" s="330"/>
      <c r="AJ79" s="343">
        <f>VLOOKUP(Table245[[#This Row],[Compound Name]],'Table S6 Recommended Values'!$A$10:$BF$398,RAVs!AJ$4,FALSE)</f>
        <v>-3.3733591581933902</v>
      </c>
      <c r="AK79" s="249" cm="1">
        <f t="array" ref="AK79">INDEX('Table S6 Recommended Values'!$A$10:$BF$398,MATCH(RAVs!$D79,'Table S6 Recommended Values'!$A$10:$A$398,0)+1,AK$4)</f>
        <v>0.60024149307383501</v>
      </c>
      <c r="AL79" s="330"/>
      <c r="AM79" s="343">
        <f>VLOOKUP(Table245[[#This Row],[Compound Name]],'Table S6 Recommended Values'!$A$10:$BF$398,RAVs!AM$4,FALSE)</f>
        <v>3.4141040376454899</v>
      </c>
      <c r="AN79" s="249" cm="1">
        <f t="array" ref="AN79">INDEX('Table S6 Recommended Values'!$A$10:$BF$398,MATCH(RAVs!$D79,'Table S6 Recommended Values'!$A$10:$A$398,0)+1,AN$4)</f>
        <v>0.56122893731835199</v>
      </c>
      <c r="AO79" s="330"/>
      <c r="AP79" s="343" t="str">
        <f>VLOOKUP(Table245[[#This Row],[Compound Name]],'Table S6 Recommended Values'!$A$10:$BF$398,RAVs!AP$4,FALSE)</f>
        <v>-</v>
      </c>
      <c r="AQ79" s="249" t="str" cm="1">
        <f t="array" ref="AQ79">INDEX('Table S6 Recommended Values'!$A$10:$BF$398,MATCH(RAVs!$D79,'Table S6 Recommended Values'!$A$10:$A$398,0)+1,AQ$4)</f>
        <v>-</v>
      </c>
      <c r="AR79" s="330"/>
      <c r="AS79" s="343">
        <f>VLOOKUP(Table245[[#This Row],[Compound Name]],'Table S6 Recommended Values'!$A$10:$BF$398,RAVs!AS$4,FALSE)</f>
        <v>-68.3</v>
      </c>
      <c r="AT79" s="249" cm="1">
        <f t="array" ref="AT79">INDEX('Table S6 Recommended Values'!$A$10:$BF$398,MATCH(RAVs!$D79,'Table S6 Recommended Values'!$A$10:$A$398,0)+1,AT$4)</f>
        <v>3.1531184839764772</v>
      </c>
      <c r="AU79" s="330"/>
    </row>
    <row r="80" spans="2:47">
      <c r="B80" s="247">
        <f>'Table S2 Compound Identifiers'!C82</f>
        <v>0</v>
      </c>
      <c r="C80" s="247">
        <f>COUNTIF($D$6:D80,"&lt;&gt;"&amp;"")</f>
        <v>75</v>
      </c>
      <c r="D80" s="247">
        <f>'Table S2 Compound Identifiers'!B82</f>
        <v>0</v>
      </c>
      <c r="E80" s="247"/>
      <c r="F80" s="248"/>
      <c r="G80" s="250"/>
      <c r="H80" s="330"/>
      <c r="I80" s="343"/>
      <c r="J80" s="249"/>
      <c r="K80" s="327"/>
      <c r="L80" s="343"/>
      <c r="M80" s="249"/>
      <c r="N80" s="327"/>
      <c r="O80" s="343"/>
      <c r="P80" s="249"/>
      <c r="Q80" s="327"/>
      <c r="R80" s="343"/>
      <c r="S80" s="249"/>
      <c r="T80" s="327"/>
      <c r="U80" s="343"/>
      <c r="V80" s="249"/>
      <c r="W80" s="327"/>
      <c r="X80" s="343"/>
      <c r="Y80" s="249"/>
      <c r="Z80" s="327"/>
      <c r="AA80" s="343"/>
      <c r="AB80" s="249"/>
      <c r="AC80" s="343"/>
      <c r="AD80" s="343"/>
      <c r="AE80" s="249"/>
      <c r="AF80" s="249"/>
      <c r="AG80" s="343"/>
      <c r="AH80" s="249"/>
      <c r="AI80" s="343"/>
      <c r="AJ80" s="343"/>
      <c r="AK80" s="249"/>
      <c r="AL80" s="249"/>
      <c r="AM80" s="343"/>
      <c r="AN80" s="249"/>
      <c r="AO80" s="343"/>
      <c r="AP80" s="343"/>
      <c r="AQ80" s="249"/>
      <c r="AR80" s="249"/>
      <c r="AS80" s="343"/>
      <c r="AT80" s="249"/>
      <c r="AU80" s="343"/>
    </row>
    <row r="81" spans="2:47">
      <c r="B81" s="247">
        <f>'Table S2 Compound Identifiers'!C83</f>
        <v>0</v>
      </c>
      <c r="C81" s="247">
        <f>COUNTIF($D$6:D81,"&lt;&gt;"&amp;"")</f>
        <v>76</v>
      </c>
      <c r="D81" s="247">
        <f>'Table S2 Compound Identifiers'!B83</f>
        <v>0</v>
      </c>
      <c r="E81" s="247"/>
      <c r="F81" s="248"/>
      <c r="G81" s="249"/>
      <c r="H81" s="330"/>
      <c r="I81" s="332"/>
      <c r="J81" s="330"/>
      <c r="K81" s="330"/>
      <c r="L81" s="330"/>
      <c r="M81" s="330"/>
      <c r="N81" s="330"/>
      <c r="O81" s="330"/>
      <c r="P81" s="330"/>
      <c r="Q81" s="330"/>
      <c r="R81" s="330"/>
      <c r="S81" s="330"/>
      <c r="T81" s="330"/>
      <c r="U81" s="330"/>
      <c r="V81" s="330"/>
      <c r="W81" s="330"/>
      <c r="X81" s="343"/>
      <c r="Y81" s="249"/>
      <c r="Z81" s="330"/>
      <c r="AA81" s="343"/>
      <c r="AB81" s="249"/>
      <c r="AC81" s="330"/>
      <c r="AD81" s="343"/>
      <c r="AE81" s="249"/>
      <c r="AF81" s="330"/>
      <c r="AG81" s="343"/>
      <c r="AH81" s="249"/>
      <c r="AI81" s="330"/>
      <c r="AJ81" s="343"/>
      <c r="AK81" s="249"/>
      <c r="AL81" s="330"/>
      <c r="AM81" s="343"/>
      <c r="AN81" s="249"/>
      <c r="AO81" s="330"/>
      <c r="AP81" s="343"/>
      <c r="AQ81" s="249"/>
      <c r="AR81" s="330"/>
      <c r="AS81" s="343"/>
      <c r="AT81" s="249"/>
      <c r="AU81" s="330"/>
    </row>
    <row r="82" spans="2:47">
      <c r="B82" s="247">
        <f>'Table S2 Compound Identifiers'!C84</f>
        <v>0</v>
      </c>
      <c r="C82" s="247">
        <f>COUNTIF($D$6:D82,"&lt;&gt;"&amp;"")</f>
        <v>77</v>
      </c>
      <c r="D82" s="247">
        <f>'Table S2 Compound Identifiers'!B84</f>
        <v>0</v>
      </c>
      <c r="E82" s="247"/>
      <c r="F82" s="248"/>
      <c r="G82" s="249"/>
      <c r="H82" s="330"/>
      <c r="I82" s="332"/>
      <c r="J82" s="330"/>
      <c r="K82" s="330"/>
      <c r="L82" s="330"/>
      <c r="M82" s="330"/>
      <c r="N82" s="330"/>
      <c r="O82" s="330"/>
      <c r="P82" s="330"/>
      <c r="Q82" s="330"/>
      <c r="R82" s="330"/>
      <c r="S82" s="330"/>
      <c r="T82" s="330"/>
      <c r="U82" s="330"/>
      <c r="V82" s="330"/>
      <c r="W82" s="330"/>
      <c r="X82" s="343"/>
      <c r="Y82" s="249"/>
      <c r="Z82" s="330"/>
      <c r="AA82" s="343"/>
      <c r="AB82" s="249"/>
      <c r="AC82" s="330"/>
      <c r="AD82" s="343"/>
      <c r="AE82" s="249"/>
      <c r="AF82" s="330"/>
      <c r="AG82" s="343"/>
      <c r="AH82" s="249"/>
      <c r="AI82" s="330"/>
      <c r="AJ82" s="343"/>
      <c r="AK82" s="249"/>
      <c r="AL82" s="330"/>
      <c r="AM82" s="343"/>
      <c r="AN82" s="249"/>
      <c r="AO82" s="330"/>
      <c r="AP82" s="343"/>
      <c r="AQ82" s="249"/>
      <c r="AR82" s="330"/>
      <c r="AS82" s="343"/>
      <c r="AT82" s="249"/>
      <c r="AU82" s="330"/>
    </row>
    <row r="83" spans="2:47">
      <c r="B83" s="247">
        <f>'Table S2 Compound Identifiers'!C85</f>
        <v>0</v>
      </c>
      <c r="C83" s="247">
        <f>COUNTIF($D$6:D83,"&lt;&gt;"&amp;"")</f>
        <v>78</v>
      </c>
      <c r="D83" s="247">
        <f>'Table S2 Compound Identifiers'!B85</f>
        <v>0</v>
      </c>
      <c r="E83" s="247"/>
      <c r="F83" s="248"/>
      <c r="G83" s="249"/>
      <c r="H83" s="330"/>
      <c r="I83" s="332"/>
      <c r="J83" s="330"/>
      <c r="K83" s="330"/>
      <c r="L83" s="330"/>
      <c r="M83" s="330"/>
      <c r="N83" s="330"/>
      <c r="O83" s="330"/>
      <c r="P83" s="330"/>
      <c r="Q83" s="330"/>
      <c r="R83" s="330"/>
      <c r="S83" s="330"/>
      <c r="T83" s="330"/>
      <c r="U83" s="330"/>
      <c r="V83" s="330"/>
      <c r="W83" s="330"/>
      <c r="X83" s="343"/>
      <c r="Y83" s="249"/>
      <c r="Z83" s="330"/>
      <c r="AA83" s="343"/>
      <c r="AB83" s="249"/>
      <c r="AC83" s="330"/>
      <c r="AD83" s="343"/>
      <c r="AE83" s="249"/>
      <c r="AF83" s="330"/>
      <c r="AG83" s="343"/>
      <c r="AH83" s="249"/>
      <c r="AI83" s="330"/>
      <c r="AJ83" s="343"/>
      <c r="AK83" s="249"/>
      <c r="AL83" s="330"/>
      <c r="AM83" s="343"/>
      <c r="AN83" s="249"/>
      <c r="AO83" s="330"/>
      <c r="AP83" s="343"/>
      <c r="AQ83" s="249"/>
      <c r="AR83" s="330"/>
      <c r="AS83" s="343"/>
      <c r="AT83" s="249"/>
      <c r="AU83" s="330"/>
    </row>
    <row r="84" spans="2:47">
      <c r="B84" s="247">
        <f>'Table S2 Compound Identifiers'!C86</f>
        <v>0</v>
      </c>
      <c r="C84" s="247">
        <f>COUNTIF($D$6:D84,"&lt;&gt;"&amp;"")</f>
        <v>79</v>
      </c>
      <c r="D84" s="247">
        <f>'Table S2 Compound Identifiers'!B86</f>
        <v>0</v>
      </c>
      <c r="E84" s="247"/>
      <c r="F84" s="248"/>
      <c r="G84" s="249"/>
      <c r="H84" s="330"/>
      <c r="I84" s="328"/>
      <c r="J84" s="249"/>
      <c r="K84" s="330"/>
      <c r="L84" s="250"/>
      <c r="M84" s="249"/>
      <c r="N84" s="330"/>
      <c r="O84" s="250"/>
      <c r="P84" s="249"/>
      <c r="Q84" s="330"/>
      <c r="R84" s="250"/>
      <c r="S84" s="249"/>
      <c r="T84" s="330"/>
      <c r="U84" s="250"/>
      <c r="V84" s="249"/>
      <c r="W84" s="330"/>
      <c r="X84" s="343"/>
      <c r="Y84" s="249"/>
      <c r="Z84" s="330"/>
      <c r="AA84" s="343"/>
      <c r="AB84" s="249"/>
      <c r="AC84" s="330"/>
      <c r="AD84" s="343"/>
      <c r="AE84" s="249"/>
      <c r="AF84" s="330"/>
      <c r="AG84" s="343"/>
      <c r="AH84" s="249"/>
      <c r="AI84" s="330"/>
      <c r="AJ84" s="343"/>
      <c r="AK84" s="249"/>
      <c r="AL84" s="330"/>
      <c r="AM84" s="343"/>
      <c r="AN84" s="249"/>
      <c r="AO84" s="330"/>
      <c r="AP84" s="343"/>
      <c r="AQ84" s="249"/>
      <c r="AR84" s="330"/>
      <c r="AS84" s="343"/>
      <c r="AT84" s="249"/>
      <c r="AU84" s="330"/>
    </row>
    <row r="85" spans="2:47">
      <c r="B85" s="247">
        <f>'Table S2 Compound Identifiers'!C87</f>
        <v>0</v>
      </c>
      <c r="C85" s="247">
        <f>COUNTIF($D$6:D85,"&lt;&gt;"&amp;"")</f>
        <v>80</v>
      </c>
      <c r="D85" s="247">
        <f>'Table S2 Compound Identifiers'!B87</f>
        <v>0</v>
      </c>
      <c r="E85" s="247"/>
      <c r="F85" s="248"/>
      <c r="G85" s="249"/>
      <c r="H85" s="330"/>
      <c r="I85" s="328"/>
      <c r="J85" s="249"/>
      <c r="K85" s="330"/>
      <c r="L85" s="250"/>
      <c r="M85" s="249"/>
      <c r="N85" s="330"/>
      <c r="O85" s="250"/>
      <c r="P85" s="249"/>
      <c r="Q85" s="330"/>
      <c r="R85" s="250"/>
      <c r="S85" s="249"/>
      <c r="T85" s="330"/>
      <c r="U85" s="250"/>
      <c r="V85" s="249"/>
      <c r="W85" s="330"/>
      <c r="X85" s="343"/>
      <c r="Y85" s="249"/>
      <c r="Z85" s="330"/>
      <c r="AA85" s="343"/>
      <c r="AB85" s="249"/>
      <c r="AC85" s="330"/>
      <c r="AD85" s="343"/>
      <c r="AE85" s="249"/>
      <c r="AF85" s="330"/>
      <c r="AG85" s="343"/>
      <c r="AH85" s="249"/>
      <c r="AI85" s="330"/>
      <c r="AJ85" s="343"/>
      <c r="AK85" s="249"/>
      <c r="AL85" s="330"/>
      <c r="AM85" s="343"/>
      <c r="AN85" s="249"/>
      <c r="AO85" s="330"/>
      <c r="AP85" s="343"/>
      <c r="AQ85" s="249"/>
      <c r="AR85" s="330"/>
      <c r="AS85" s="343"/>
      <c r="AT85" s="249"/>
      <c r="AU85" s="330"/>
    </row>
    <row r="86" spans="2:47">
      <c r="B86" s="247">
        <f>'Table S2 Compound Identifiers'!C88</f>
        <v>0</v>
      </c>
      <c r="C86" s="247">
        <f>COUNTIF($D$6:D86,"&lt;&gt;"&amp;"")</f>
        <v>81</v>
      </c>
      <c r="D86" s="247">
        <f>'Table S2 Compound Identifiers'!B88</f>
        <v>0</v>
      </c>
      <c r="E86" s="247"/>
      <c r="F86" s="248"/>
      <c r="G86" s="249"/>
      <c r="H86" s="330"/>
      <c r="I86" s="328"/>
      <c r="J86" s="249"/>
      <c r="K86" s="330"/>
      <c r="L86" s="250"/>
      <c r="M86" s="249"/>
      <c r="N86" s="330"/>
      <c r="O86" s="250"/>
      <c r="P86" s="249"/>
      <c r="Q86" s="330"/>
      <c r="R86" s="250"/>
      <c r="S86" s="249"/>
      <c r="T86" s="330"/>
      <c r="U86" s="250"/>
      <c r="V86" s="249"/>
      <c r="W86" s="330"/>
      <c r="X86" s="343"/>
      <c r="Y86" s="249"/>
      <c r="Z86" s="330"/>
      <c r="AA86" s="343"/>
      <c r="AB86" s="249"/>
      <c r="AC86" s="330"/>
      <c r="AD86" s="343"/>
      <c r="AE86" s="249"/>
      <c r="AF86" s="330"/>
      <c r="AG86" s="343"/>
      <c r="AH86" s="249"/>
      <c r="AI86" s="330"/>
      <c r="AJ86" s="343"/>
      <c r="AK86" s="249"/>
      <c r="AL86" s="330"/>
      <c r="AM86" s="343"/>
      <c r="AN86" s="249"/>
      <c r="AO86" s="330"/>
      <c r="AP86" s="343"/>
      <c r="AQ86" s="249"/>
      <c r="AR86" s="330"/>
      <c r="AS86" s="343"/>
      <c r="AT86" s="249"/>
      <c r="AU86" s="330"/>
    </row>
    <row r="87" spans="2:47">
      <c r="B87" s="247">
        <f>'Table S2 Compound Identifiers'!C89</f>
        <v>0</v>
      </c>
      <c r="C87" s="247">
        <f>COUNTIF($D$6:D87,"&lt;&gt;"&amp;"")</f>
        <v>82</v>
      </c>
      <c r="D87" s="247">
        <f>'Table S2 Compound Identifiers'!B89</f>
        <v>0</v>
      </c>
      <c r="E87" s="247"/>
      <c r="F87" s="248"/>
      <c r="G87" s="249"/>
      <c r="H87" s="330"/>
      <c r="I87" s="328"/>
      <c r="J87" s="249"/>
      <c r="K87" s="330"/>
      <c r="L87" s="250"/>
      <c r="M87" s="249"/>
      <c r="N87" s="330"/>
      <c r="O87" s="250"/>
      <c r="P87" s="249"/>
      <c r="Q87" s="330"/>
      <c r="R87" s="250"/>
      <c r="S87" s="249"/>
      <c r="T87" s="330"/>
      <c r="U87" s="250"/>
      <c r="V87" s="249"/>
      <c r="W87" s="330"/>
      <c r="X87" s="343"/>
      <c r="Y87" s="249"/>
      <c r="Z87" s="330"/>
      <c r="AA87" s="343"/>
      <c r="AB87" s="249"/>
      <c r="AC87" s="330"/>
      <c r="AD87" s="343"/>
      <c r="AE87" s="249"/>
      <c r="AF87" s="330"/>
      <c r="AG87" s="343"/>
      <c r="AH87" s="249"/>
      <c r="AI87" s="330"/>
      <c r="AJ87" s="343"/>
      <c r="AK87" s="249"/>
      <c r="AL87" s="330"/>
      <c r="AM87" s="343"/>
      <c r="AN87" s="249"/>
      <c r="AO87" s="330"/>
      <c r="AP87" s="343"/>
      <c r="AQ87" s="249"/>
      <c r="AR87" s="330"/>
      <c r="AS87" s="343"/>
      <c r="AT87" s="249"/>
      <c r="AU87" s="330"/>
    </row>
    <row r="88" spans="2:47">
      <c r="B88" s="247">
        <f>'Table S2 Compound Identifiers'!C90</f>
        <v>0</v>
      </c>
      <c r="C88" s="247">
        <f>COUNTIF($D$6:D88,"&lt;&gt;"&amp;"")</f>
        <v>83</v>
      </c>
      <c r="D88" s="247">
        <f>'Table S2 Compound Identifiers'!B90</f>
        <v>0</v>
      </c>
      <c r="E88" s="247"/>
      <c r="F88" s="248"/>
      <c r="G88" s="249"/>
      <c r="H88" s="330"/>
      <c r="I88" s="328"/>
      <c r="J88" s="249"/>
      <c r="K88" s="330"/>
      <c r="L88" s="250"/>
      <c r="M88" s="249"/>
      <c r="N88" s="330"/>
      <c r="O88" s="250"/>
      <c r="P88" s="249"/>
      <c r="Q88" s="330"/>
      <c r="R88" s="250"/>
      <c r="S88" s="249"/>
      <c r="T88" s="330"/>
      <c r="U88" s="250"/>
      <c r="V88" s="249"/>
      <c r="W88" s="330"/>
      <c r="X88" s="343"/>
      <c r="Y88" s="249"/>
      <c r="Z88" s="330"/>
      <c r="AA88" s="343"/>
      <c r="AB88" s="249"/>
      <c r="AC88" s="330"/>
      <c r="AD88" s="343"/>
      <c r="AE88" s="249"/>
      <c r="AF88" s="330"/>
      <c r="AG88" s="343"/>
      <c r="AH88" s="249"/>
      <c r="AI88" s="330"/>
      <c r="AJ88" s="343"/>
      <c r="AK88" s="249"/>
      <c r="AL88" s="330"/>
      <c r="AM88" s="343"/>
      <c r="AN88" s="249"/>
      <c r="AO88" s="330"/>
      <c r="AP88" s="343"/>
      <c r="AQ88" s="249"/>
      <c r="AR88" s="330"/>
      <c r="AS88" s="343"/>
      <c r="AT88" s="249"/>
      <c r="AU88" s="330"/>
    </row>
    <row r="89" spans="2:47">
      <c r="B89" s="247">
        <f>'Table S2 Compound Identifiers'!C91</f>
        <v>0</v>
      </c>
      <c r="C89" s="247">
        <f>COUNTIF($D$6:D89,"&lt;&gt;"&amp;"")</f>
        <v>84</v>
      </c>
      <c r="D89" s="247">
        <f>'Table S2 Compound Identifiers'!B91</f>
        <v>0</v>
      </c>
      <c r="E89" s="247"/>
      <c r="F89" s="248"/>
      <c r="G89" s="249"/>
      <c r="H89" s="330"/>
      <c r="I89" s="328"/>
      <c r="J89" s="249"/>
      <c r="K89" s="330"/>
      <c r="L89" s="250"/>
      <c r="M89" s="249"/>
      <c r="N89" s="330"/>
      <c r="O89" s="250"/>
      <c r="P89" s="249"/>
      <c r="Q89" s="330"/>
      <c r="R89" s="250"/>
      <c r="S89" s="249"/>
      <c r="T89" s="330"/>
      <c r="U89" s="250"/>
      <c r="V89" s="249"/>
      <c r="W89" s="330"/>
      <c r="X89" s="343"/>
      <c r="Y89" s="249"/>
      <c r="Z89" s="330"/>
      <c r="AA89" s="343"/>
      <c r="AB89" s="249"/>
      <c r="AC89" s="330"/>
      <c r="AD89" s="343"/>
      <c r="AE89" s="249"/>
      <c r="AF89" s="330"/>
      <c r="AG89" s="343"/>
      <c r="AH89" s="249"/>
      <c r="AI89" s="330"/>
      <c r="AJ89" s="343"/>
      <c r="AK89" s="249"/>
      <c r="AL89" s="330"/>
      <c r="AM89" s="343"/>
      <c r="AN89" s="249"/>
      <c r="AO89" s="330"/>
      <c r="AP89" s="343"/>
      <c r="AQ89" s="249"/>
      <c r="AR89" s="330"/>
      <c r="AS89" s="343"/>
      <c r="AT89" s="249"/>
      <c r="AU89" s="330"/>
    </row>
    <row r="90" spans="2:47">
      <c r="B90" s="247">
        <f>'Table S2 Compound Identifiers'!C92</f>
        <v>0</v>
      </c>
      <c r="C90" s="247">
        <f>COUNTIF($D$6:D90,"&lt;&gt;"&amp;"")</f>
        <v>85</v>
      </c>
      <c r="D90" s="247">
        <f>'Table S2 Compound Identifiers'!B92</f>
        <v>0</v>
      </c>
      <c r="E90" s="247"/>
      <c r="F90" s="248"/>
      <c r="G90" s="249"/>
      <c r="H90" s="330"/>
      <c r="I90" s="328"/>
      <c r="J90" s="249"/>
      <c r="K90" s="330"/>
      <c r="L90" s="250"/>
      <c r="M90" s="249"/>
      <c r="N90" s="330"/>
      <c r="O90" s="250"/>
      <c r="P90" s="249"/>
      <c r="Q90" s="330"/>
      <c r="R90" s="250"/>
      <c r="S90" s="249"/>
      <c r="T90" s="330"/>
      <c r="U90" s="250"/>
      <c r="V90" s="249"/>
      <c r="W90" s="330"/>
      <c r="X90" s="343"/>
      <c r="Y90" s="249"/>
      <c r="Z90" s="330"/>
      <c r="AA90" s="343"/>
      <c r="AB90" s="249"/>
      <c r="AC90" s="330"/>
      <c r="AD90" s="343"/>
      <c r="AE90" s="249"/>
      <c r="AF90" s="330"/>
      <c r="AG90" s="343"/>
      <c r="AH90" s="249"/>
      <c r="AI90" s="330"/>
      <c r="AJ90" s="343"/>
      <c r="AK90" s="249"/>
      <c r="AL90" s="330"/>
      <c r="AM90" s="343"/>
      <c r="AN90" s="249"/>
      <c r="AO90" s="330"/>
      <c r="AP90" s="343"/>
      <c r="AQ90" s="249"/>
      <c r="AR90" s="330"/>
      <c r="AS90" s="343"/>
      <c r="AT90" s="249"/>
      <c r="AU90" s="330"/>
    </row>
    <row r="91" spans="2:47">
      <c r="B91" s="247">
        <f>'Table S2 Compound Identifiers'!C93</f>
        <v>0</v>
      </c>
      <c r="C91" s="247">
        <f>COUNTIF($D$6:D91,"&lt;&gt;"&amp;"")</f>
        <v>86</v>
      </c>
      <c r="D91" s="247">
        <f>'Table S2 Compound Identifiers'!B93</f>
        <v>0</v>
      </c>
      <c r="E91" s="247"/>
      <c r="F91" s="248"/>
      <c r="G91" s="249"/>
      <c r="H91" s="330"/>
      <c r="I91" s="328"/>
      <c r="J91" s="249"/>
      <c r="K91" s="330"/>
      <c r="L91" s="250"/>
      <c r="M91" s="249"/>
      <c r="N91" s="330"/>
      <c r="O91" s="250"/>
      <c r="P91" s="249"/>
      <c r="Q91" s="330"/>
      <c r="R91" s="250"/>
      <c r="S91" s="249"/>
      <c r="T91" s="330"/>
      <c r="U91" s="250"/>
      <c r="V91" s="249"/>
      <c r="W91" s="330"/>
      <c r="X91" s="343"/>
      <c r="Y91" s="249"/>
      <c r="Z91" s="330"/>
      <c r="AA91" s="343"/>
      <c r="AB91" s="249"/>
      <c r="AC91" s="330"/>
      <c r="AD91" s="343"/>
      <c r="AE91" s="249"/>
      <c r="AF91" s="330"/>
      <c r="AG91" s="343"/>
      <c r="AH91" s="249"/>
      <c r="AI91" s="330"/>
      <c r="AJ91" s="343"/>
      <c r="AK91" s="249"/>
      <c r="AL91" s="330"/>
      <c r="AM91" s="343"/>
      <c r="AN91" s="249"/>
      <c r="AO91" s="330"/>
      <c r="AP91" s="343"/>
      <c r="AQ91" s="249"/>
      <c r="AR91" s="330"/>
      <c r="AS91" s="343"/>
      <c r="AT91" s="249"/>
      <c r="AU91" s="330"/>
    </row>
    <row r="92" spans="2:47">
      <c r="B92" s="247">
        <f>'Table S2 Compound Identifiers'!C94</f>
        <v>0</v>
      </c>
      <c r="C92" s="247">
        <f>COUNTIF($D$6:D92,"&lt;&gt;"&amp;"")</f>
        <v>87</v>
      </c>
      <c r="D92" s="247">
        <f>'Table S2 Compound Identifiers'!B94</f>
        <v>0</v>
      </c>
      <c r="E92" s="247"/>
      <c r="F92" s="248"/>
      <c r="G92" s="249"/>
      <c r="H92" s="330"/>
      <c r="I92" s="328"/>
      <c r="J92" s="249"/>
      <c r="K92" s="330"/>
      <c r="L92" s="250"/>
      <c r="M92" s="249"/>
      <c r="N92" s="330"/>
      <c r="O92" s="250"/>
      <c r="P92" s="249"/>
      <c r="Q92" s="330"/>
      <c r="R92" s="250"/>
      <c r="S92" s="249"/>
      <c r="T92" s="330"/>
      <c r="U92" s="250"/>
      <c r="V92" s="249"/>
      <c r="W92" s="330"/>
      <c r="X92" s="343"/>
      <c r="Y92" s="249"/>
      <c r="Z92" s="330"/>
      <c r="AA92" s="343"/>
      <c r="AB92" s="249"/>
      <c r="AC92" s="330"/>
      <c r="AD92" s="343"/>
      <c r="AE92" s="249"/>
      <c r="AF92" s="330"/>
      <c r="AG92" s="343"/>
      <c r="AH92" s="249"/>
      <c r="AI92" s="330"/>
      <c r="AJ92" s="343"/>
      <c r="AK92" s="249"/>
      <c r="AL92" s="330"/>
      <c r="AM92" s="343"/>
      <c r="AN92" s="249"/>
      <c r="AO92" s="330"/>
      <c r="AP92" s="343"/>
      <c r="AQ92" s="249"/>
      <c r="AR92" s="330"/>
      <c r="AS92" s="343"/>
      <c r="AT92" s="249"/>
      <c r="AU92" s="330"/>
    </row>
    <row r="93" spans="2:47">
      <c r="B93" s="247">
        <f>'Table S2 Compound Identifiers'!C95</f>
        <v>0</v>
      </c>
      <c r="C93" s="247">
        <f>COUNTIF($D$6:D93,"&lt;&gt;"&amp;"")</f>
        <v>88</v>
      </c>
      <c r="D93" s="247">
        <f>'Table S2 Compound Identifiers'!B95</f>
        <v>0</v>
      </c>
      <c r="E93" s="247"/>
      <c r="F93" s="248"/>
      <c r="G93" s="249"/>
      <c r="H93" s="330"/>
      <c r="I93" s="328"/>
      <c r="J93" s="249"/>
      <c r="K93" s="330"/>
      <c r="L93" s="250"/>
      <c r="M93" s="249"/>
      <c r="N93" s="330"/>
      <c r="O93" s="250"/>
      <c r="P93" s="249"/>
      <c r="Q93" s="330"/>
      <c r="R93" s="250"/>
      <c r="S93" s="249"/>
      <c r="T93" s="330"/>
      <c r="U93" s="250"/>
      <c r="V93" s="249"/>
      <c r="W93" s="330"/>
      <c r="X93" s="343"/>
      <c r="Y93" s="249"/>
      <c r="Z93" s="330"/>
      <c r="AA93" s="343"/>
      <c r="AB93" s="249"/>
      <c r="AC93" s="330"/>
      <c r="AD93" s="343"/>
      <c r="AE93" s="249"/>
      <c r="AF93" s="330"/>
      <c r="AG93" s="343"/>
      <c r="AH93" s="249"/>
      <c r="AI93" s="330"/>
      <c r="AJ93" s="343"/>
      <c r="AK93" s="249"/>
      <c r="AL93" s="330"/>
      <c r="AM93" s="343"/>
      <c r="AN93" s="249"/>
      <c r="AO93" s="330"/>
      <c r="AP93" s="343"/>
      <c r="AQ93" s="249"/>
      <c r="AR93" s="330"/>
      <c r="AS93" s="343"/>
      <c r="AT93" s="249"/>
      <c r="AU93" s="330"/>
    </row>
    <row r="94" spans="2:47">
      <c r="B94" s="247">
        <f>'Table S2 Compound Identifiers'!C96</f>
        <v>0</v>
      </c>
      <c r="C94" s="247">
        <f>COUNTIF($D$6:D94,"&lt;&gt;"&amp;"")</f>
        <v>89</v>
      </c>
      <c r="D94" s="247">
        <f>'Table S2 Compound Identifiers'!B96</f>
        <v>0</v>
      </c>
      <c r="E94" s="247"/>
      <c r="F94" s="248"/>
      <c r="G94" s="249"/>
      <c r="H94" s="330"/>
      <c r="I94" s="328"/>
      <c r="J94" s="249"/>
      <c r="K94" s="330"/>
      <c r="L94" s="250"/>
      <c r="M94" s="249"/>
      <c r="N94" s="330"/>
      <c r="O94" s="250"/>
      <c r="P94" s="249"/>
      <c r="Q94" s="330"/>
      <c r="R94" s="250"/>
      <c r="S94" s="249"/>
      <c r="T94" s="330"/>
      <c r="U94" s="250"/>
      <c r="V94" s="249"/>
      <c r="W94" s="330"/>
      <c r="X94" s="343"/>
      <c r="Y94" s="249"/>
      <c r="Z94" s="330"/>
      <c r="AA94" s="343"/>
      <c r="AB94" s="249"/>
      <c r="AC94" s="330"/>
      <c r="AD94" s="343"/>
      <c r="AE94" s="249"/>
      <c r="AF94" s="330"/>
      <c r="AG94" s="343"/>
      <c r="AH94" s="249"/>
      <c r="AI94" s="330"/>
      <c r="AJ94" s="343"/>
      <c r="AK94" s="249"/>
      <c r="AL94" s="330"/>
      <c r="AM94" s="343"/>
      <c r="AN94" s="249"/>
      <c r="AO94" s="330"/>
      <c r="AP94" s="343"/>
      <c r="AQ94" s="249"/>
      <c r="AR94" s="330"/>
      <c r="AS94" s="343"/>
      <c r="AT94" s="249"/>
      <c r="AU94" s="330"/>
    </row>
    <row r="95" spans="2:47">
      <c r="B95" s="247">
        <f>'Table S2 Compound Identifiers'!C97</f>
        <v>0</v>
      </c>
      <c r="C95" s="247">
        <f>COUNTIF($D$6:D95,"&lt;&gt;"&amp;"")</f>
        <v>90</v>
      </c>
      <c r="D95" s="247">
        <f>'Table S2 Compound Identifiers'!B97</f>
        <v>0</v>
      </c>
      <c r="E95" s="247"/>
      <c r="F95" s="248"/>
      <c r="G95" s="249"/>
      <c r="H95" s="330"/>
      <c r="I95" s="328"/>
      <c r="J95" s="249"/>
      <c r="K95" s="330"/>
      <c r="L95" s="250"/>
      <c r="M95" s="249"/>
      <c r="N95" s="330"/>
      <c r="O95" s="250"/>
      <c r="P95" s="249"/>
      <c r="Q95" s="330"/>
      <c r="R95" s="250"/>
      <c r="S95" s="249"/>
      <c r="T95" s="330"/>
      <c r="U95" s="250"/>
      <c r="V95" s="249"/>
      <c r="W95" s="330"/>
      <c r="X95" s="343"/>
      <c r="Y95" s="249"/>
      <c r="Z95" s="330"/>
      <c r="AA95" s="343"/>
      <c r="AB95" s="249"/>
      <c r="AC95" s="330"/>
      <c r="AD95" s="343"/>
      <c r="AE95" s="249"/>
      <c r="AF95" s="330"/>
      <c r="AG95" s="343"/>
      <c r="AH95" s="249"/>
      <c r="AI95" s="330"/>
      <c r="AJ95" s="343"/>
      <c r="AK95" s="249"/>
      <c r="AL95" s="330"/>
      <c r="AM95" s="343"/>
      <c r="AN95" s="249"/>
      <c r="AO95" s="330"/>
      <c r="AP95" s="343"/>
      <c r="AQ95" s="249"/>
      <c r="AR95" s="330"/>
      <c r="AS95" s="343"/>
      <c r="AT95" s="249"/>
      <c r="AU95" s="330"/>
    </row>
    <row r="96" spans="2:47">
      <c r="B96" s="247">
        <f>'Table S2 Compound Identifiers'!C98</f>
        <v>0</v>
      </c>
      <c r="C96" s="247">
        <f>COUNTIF($D$6:D96,"&lt;&gt;"&amp;"")</f>
        <v>91</v>
      </c>
      <c r="D96" s="247">
        <f>'Table S2 Compound Identifiers'!B98</f>
        <v>0</v>
      </c>
      <c r="E96" s="247"/>
      <c r="F96" s="248"/>
      <c r="G96" s="249"/>
      <c r="H96" s="330"/>
      <c r="I96" s="328"/>
      <c r="J96" s="249"/>
      <c r="K96" s="330"/>
      <c r="L96" s="250"/>
      <c r="M96" s="249"/>
      <c r="N96" s="330"/>
      <c r="O96" s="250"/>
      <c r="P96" s="249"/>
      <c r="Q96" s="330"/>
      <c r="R96" s="250"/>
      <c r="S96" s="249"/>
      <c r="T96" s="330"/>
      <c r="U96" s="250"/>
      <c r="V96" s="249"/>
      <c r="W96" s="330"/>
      <c r="X96" s="343"/>
      <c r="Y96" s="249"/>
      <c r="Z96" s="330"/>
      <c r="AA96" s="343"/>
      <c r="AB96" s="249"/>
      <c r="AC96" s="330"/>
      <c r="AD96" s="343"/>
      <c r="AE96" s="249"/>
      <c r="AF96" s="330"/>
      <c r="AG96" s="343"/>
      <c r="AH96" s="249"/>
      <c r="AI96" s="330"/>
      <c r="AJ96" s="343"/>
      <c r="AK96" s="249"/>
      <c r="AL96" s="330"/>
      <c r="AM96" s="343"/>
      <c r="AN96" s="249"/>
      <c r="AO96" s="330"/>
      <c r="AP96" s="343"/>
      <c r="AQ96" s="249"/>
      <c r="AR96" s="330"/>
      <c r="AS96" s="343"/>
      <c r="AT96" s="249"/>
      <c r="AU96" s="330"/>
    </row>
    <row r="97" spans="2:47">
      <c r="B97" s="247">
        <f>'Table S2 Compound Identifiers'!C99</f>
        <v>0</v>
      </c>
      <c r="C97" s="247">
        <f>COUNTIF($D$6:D97,"&lt;&gt;"&amp;"")</f>
        <v>92</v>
      </c>
      <c r="D97" s="247">
        <f>'Table S2 Compound Identifiers'!B99</f>
        <v>0</v>
      </c>
      <c r="E97" s="247"/>
      <c r="F97" s="248"/>
      <c r="G97" s="249"/>
      <c r="H97" s="330"/>
      <c r="I97" s="328"/>
      <c r="J97" s="249"/>
      <c r="K97" s="330"/>
      <c r="L97" s="250"/>
      <c r="M97" s="249"/>
      <c r="N97" s="330"/>
      <c r="O97" s="250"/>
      <c r="P97" s="249"/>
      <c r="Q97" s="330"/>
      <c r="R97" s="250"/>
      <c r="S97" s="249"/>
      <c r="T97" s="330"/>
      <c r="U97" s="250"/>
      <c r="V97" s="249"/>
      <c r="W97" s="330"/>
      <c r="X97" s="343"/>
      <c r="Y97" s="249"/>
      <c r="Z97" s="330"/>
      <c r="AA97" s="343"/>
      <c r="AB97" s="249"/>
      <c r="AC97" s="330"/>
      <c r="AD97" s="343"/>
      <c r="AE97" s="249"/>
      <c r="AF97" s="330"/>
      <c r="AG97" s="343"/>
      <c r="AH97" s="249"/>
      <c r="AI97" s="330"/>
      <c r="AJ97" s="343"/>
      <c r="AK97" s="249"/>
      <c r="AL97" s="330"/>
      <c r="AM97" s="343"/>
      <c r="AN97" s="249"/>
      <c r="AO97" s="330"/>
      <c r="AP97" s="343"/>
      <c r="AQ97" s="249"/>
      <c r="AR97" s="330"/>
      <c r="AS97" s="343"/>
      <c r="AT97" s="249"/>
      <c r="AU97" s="330"/>
    </row>
    <row r="98" spans="2:47">
      <c r="B98" s="247">
        <f>'Table S2 Compound Identifiers'!C100</f>
        <v>0</v>
      </c>
      <c r="C98" s="247">
        <f>COUNTIF($D$6:D98,"&lt;&gt;"&amp;"")</f>
        <v>93</v>
      </c>
      <c r="D98" s="247">
        <f>'Table S2 Compound Identifiers'!B100</f>
        <v>0</v>
      </c>
      <c r="E98" s="247"/>
      <c r="F98" s="248"/>
      <c r="G98" s="249"/>
      <c r="H98" s="330"/>
      <c r="I98" s="328"/>
      <c r="J98" s="249"/>
      <c r="K98" s="330"/>
      <c r="L98" s="250"/>
      <c r="M98" s="249"/>
      <c r="N98" s="330"/>
      <c r="O98" s="250"/>
      <c r="P98" s="249"/>
      <c r="Q98" s="330"/>
      <c r="R98" s="250"/>
      <c r="S98" s="249"/>
      <c r="T98" s="330"/>
      <c r="U98" s="250"/>
      <c r="V98" s="249"/>
      <c r="W98" s="330"/>
      <c r="X98" s="343"/>
      <c r="Y98" s="249"/>
      <c r="Z98" s="330"/>
      <c r="AA98" s="343"/>
      <c r="AB98" s="249"/>
      <c r="AC98" s="330"/>
      <c r="AD98" s="343"/>
      <c r="AE98" s="249"/>
      <c r="AF98" s="330"/>
      <c r="AG98" s="343"/>
      <c r="AH98" s="249"/>
      <c r="AI98" s="330"/>
      <c r="AJ98" s="343"/>
      <c r="AK98" s="249"/>
      <c r="AL98" s="330"/>
      <c r="AM98" s="343"/>
      <c r="AN98" s="249"/>
      <c r="AO98" s="330"/>
      <c r="AP98" s="343"/>
      <c r="AQ98" s="249"/>
      <c r="AR98" s="330"/>
      <c r="AS98" s="343"/>
      <c r="AT98" s="249"/>
      <c r="AU98" s="330"/>
    </row>
    <row r="99" spans="2:47">
      <c r="B99" s="247">
        <f>'Table S2 Compound Identifiers'!C101</f>
        <v>0</v>
      </c>
      <c r="C99" s="247">
        <f>COUNTIF($D$6:D99,"&lt;&gt;"&amp;"")</f>
        <v>94</v>
      </c>
      <c r="D99" s="247">
        <f>'Table S2 Compound Identifiers'!B101</f>
        <v>0</v>
      </c>
      <c r="E99" s="247"/>
      <c r="F99" s="248"/>
      <c r="G99" s="249"/>
      <c r="H99" s="330"/>
      <c r="I99" s="328"/>
      <c r="J99" s="249"/>
      <c r="K99" s="330"/>
      <c r="L99" s="250"/>
      <c r="M99" s="249"/>
      <c r="N99" s="330"/>
      <c r="O99" s="250"/>
      <c r="P99" s="249"/>
      <c r="Q99" s="330"/>
      <c r="R99" s="250"/>
      <c r="S99" s="249"/>
      <c r="T99" s="330"/>
      <c r="U99" s="250"/>
      <c r="V99" s="249"/>
      <c r="W99" s="330"/>
      <c r="X99" s="343"/>
      <c r="Y99" s="249"/>
      <c r="Z99" s="330"/>
      <c r="AA99" s="343"/>
      <c r="AB99" s="249"/>
      <c r="AC99" s="330"/>
      <c r="AD99" s="343"/>
      <c r="AE99" s="249"/>
      <c r="AF99" s="330"/>
      <c r="AG99" s="343"/>
      <c r="AH99" s="249"/>
      <c r="AI99" s="330"/>
      <c r="AJ99" s="343"/>
      <c r="AK99" s="249"/>
      <c r="AL99" s="330"/>
      <c r="AM99" s="343"/>
      <c r="AN99" s="249"/>
      <c r="AO99" s="330"/>
      <c r="AP99" s="343"/>
      <c r="AQ99" s="249"/>
      <c r="AR99" s="330"/>
      <c r="AS99" s="343"/>
      <c r="AT99" s="249"/>
      <c r="AU99" s="330"/>
    </row>
    <row r="100" spans="2:47">
      <c r="B100" s="247">
        <f>'Table S2 Compound Identifiers'!C102</f>
        <v>0</v>
      </c>
      <c r="C100" s="247">
        <f>COUNTIF($D$6:D100,"&lt;&gt;"&amp;"")</f>
        <v>95</v>
      </c>
      <c r="D100" s="247">
        <f>'Table S2 Compound Identifiers'!B102</f>
        <v>0</v>
      </c>
      <c r="E100" s="247"/>
      <c r="F100" s="248"/>
      <c r="G100" s="249"/>
      <c r="H100" s="330"/>
      <c r="I100" s="328"/>
      <c r="J100" s="249"/>
      <c r="K100" s="330"/>
      <c r="L100" s="250"/>
      <c r="M100" s="249"/>
      <c r="N100" s="330"/>
      <c r="O100" s="250"/>
      <c r="P100" s="249"/>
      <c r="Q100" s="330"/>
      <c r="R100" s="250"/>
      <c r="S100" s="249"/>
      <c r="T100" s="330"/>
      <c r="U100" s="250"/>
      <c r="V100" s="249"/>
      <c r="W100" s="330"/>
      <c r="X100" s="343"/>
      <c r="Y100" s="249"/>
      <c r="Z100" s="330"/>
      <c r="AA100" s="343"/>
      <c r="AB100" s="249"/>
      <c r="AC100" s="330"/>
      <c r="AD100" s="343"/>
      <c r="AE100" s="249"/>
      <c r="AF100" s="330"/>
      <c r="AG100" s="343"/>
      <c r="AH100" s="249"/>
      <c r="AI100" s="330"/>
      <c r="AJ100" s="343"/>
      <c r="AK100" s="249"/>
      <c r="AL100" s="330"/>
      <c r="AM100" s="343"/>
      <c r="AN100" s="249"/>
      <c r="AO100" s="330"/>
      <c r="AP100" s="343"/>
      <c r="AQ100" s="249"/>
      <c r="AR100" s="330"/>
      <c r="AS100" s="343"/>
      <c r="AT100" s="249"/>
      <c r="AU100" s="330"/>
    </row>
    <row r="101" spans="2:47">
      <c r="B101" s="247">
        <f>'Table S2 Compound Identifiers'!C103</f>
        <v>0</v>
      </c>
      <c r="C101" s="247">
        <f>COUNTIF($D$6:D101,"&lt;&gt;"&amp;"")</f>
        <v>96</v>
      </c>
      <c r="D101" s="247">
        <f>'Table S2 Compound Identifiers'!B103</f>
        <v>0</v>
      </c>
      <c r="E101" s="247"/>
      <c r="F101" s="248"/>
      <c r="G101" s="249"/>
      <c r="H101" s="330"/>
      <c r="I101" s="328"/>
      <c r="J101" s="249"/>
      <c r="K101" s="330"/>
      <c r="L101" s="250"/>
      <c r="M101" s="249"/>
      <c r="N101" s="330"/>
      <c r="O101" s="250"/>
      <c r="P101" s="249"/>
      <c r="Q101" s="330"/>
      <c r="R101" s="250"/>
      <c r="S101" s="249"/>
      <c r="T101" s="330"/>
      <c r="U101" s="250"/>
      <c r="V101" s="249"/>
      <c r="W101" s="330"/>
      <c r="X101" s="343"/>
      <c r="Y101" s="249"/>
      <c r="Z101" s="330"/>
      <c r="AA101" s="343"/>
      <c r="AB101" s="249"/>
      <c r="AC101" s="330"/>
      <c r="AD101" s="343"/>
      <c r="AE101" s="249"/>
      <c r="AF101" s="330"/>
      <c r="AG101" s="343"/>
      <c r="AH101" s="249"/>
      <c r="AI101" s="330"/>
      <c r="AJ101" s="343"/>
      <c r="AK101" s="249"/>
      <c r="AL101" s="330"/>
      <c r="AM101" s="343"/>
      <c r="AN101" s="249"/>
      <c r="AO101" s="330"/>
      <c r="AP101" s="343"/>
      <c r="AQ101" s="249"/>
      <c r="AR101" s="330"/>
      <c r="AS101" s="343"/>
      <c r="AT101" s="249"/>
      <c r="AU101" s="330"/>
    </row>
    <row r="102" spans="2:47">
      <c r="B102" s="247">
        <f>'Table S2 Compound Identifiers'!C104</f>
        <v>0</v>
      </c>
      <c r="C102" s="247">
        <f>COUNTIF($D$6:D102,"&lt;&gt;"&amp;"")</f>
        <v>97</v>
      </c>
      <c r="D102" s="247">
        <f>'Table S2 Compound Identifiers'!B104</f>
        <v>0</v>
      </c>
      <c r="E102" s="247"/>
      <c r="F102" s="248"/>
      <c r="G102" s="249"/>
      <c r="H102" s="330"/>
      <c r="I102" s="328"/>
      <c r="J102" s="249"/>
      <c r="K102" s="330"/>
      <c r="L102" s="250"/>
      <c r="M102" s="249"/>
      <c r="N102" s="330"/>
      <c r="O102" s="250"/>
      <c r="P102" s="249"/>
      <c r="Q102" s="330"/>
      <c r="R102" s="250"/>
      <c r="S102" s="249"/>
      <c r="T102" s="330"/>
      <c r="U102" s="250"/>
      <c r="V102" s="249"/>
      <c r="W102" s="330"/>
      <c r="X102" s="343"/>
      <c r="Y102" s="249"/>
      <c r="Z102" s="330"/>
      <c r="AA102" s="343"/>
      <c r="AB102" s="249"/>
      <c r="AC102" s="330"/>
      <c r="AD102" s="343"/>
      <c r="AE102" s="249"/>
      <c r="AF102" s="330"/>
      <c r="AG102" s="343"/>
      <c r="AH102" s="249"/>
      <c r="AI102" s="330"/>
      <c r="AJ102" s="343"/>
      <c r="AK102" s="249"/>
      <c r="AL102" s="330"/>
      <c r="AM102" s="343"/>
      <c r="AN102" s="249"/>
      <c r="AO102" s="330"/>
      <c r="AP102" s="343"/>
      <c r="AQ102" s="249"/>
      <c r="AR102" s="330"/>
      <c r="AS102" s="343"/>
      <c r="AT102" s="249"/>
      <c r="AU102" s="330"/>
    </row>
    <row r="103" spans="2:47">
      <c r="B103" s="247">
        <f>'Table S2 Compound Identifiers'!C105</f>
        <v>0</v>
      </c>
      <c r="C103" s="247">
        <f>COUNTIF($D$6:D103,"&lt;&gt;"&amp;"")</f>
        <v>98</v>
      </c>
      <c r="D103" s="247">
        <f>'Table S2 Compound Identifiers'!B105</f>
        <v>0</v>
      </c>
      <c r="E103" s="247"/>
      <c r="F103" s="248"/>
      <c r="G103" s="249"/>
      <c r="H103" s="330"/>
      <c r="I103" s="328"/>
      <c r="J103" s="249"/>
      <c r="K103" s="330"/>
      <c r="L103" s="250"/>
      <c r="M103" s="249"/>
      <c r="N103" s="330"/>
      <c r="O103" s="250"/>
      <c r="P103" s="249"/>
      <c r="Q103" s="330"/>
      <c r="R103" s="250"/>
      <c r="S103" s="249"/>
      <c r="T103" s="330"/>
      <c r="U103" s="250"/>
      <c r="V103" s="249"/>
      <c r="W103" s="330"/>
      <c r="X103" s="343"/>
      <c r="Y103" s="249"/>
      <c r="Z103" s="330"/>
      <c r="AA103" s="343"/>
      <c r="AB103" s="249"/>
      <c r="AC103" s="330"/>
      <c r="AD103" s="343"/>
      <c r="AE103" s="249"/>
      <c r="AF103" s="330"/>
      <c r="AG103" s="343"/>
      <c r="AH103" s="249"/>
      <c r="AI103" s="330"/>
      <c r="AJ103" s="343"/>
      <c r="AK103" s="249"/>
      <c r="AL103" s="330"/>
      <c r="AM103" s="343"/>
      <c r="AN103" s="249"/>
      <c r="AO103" s="330"/>
      <c r="AP103" s="343"/>
      <c r="AQ103" s="249"/>
      <c r="AR103" s="330"/>
      <c r="AS103" s="343"/>
      <c r="AT103" s="249"/>
      <c r="AU103" s="330"/>
    </row>
    <row r="104" spans="2:47">
      <c r="B104" s="247">
        <f>'Table S2 Compound Identifiers'!C106</f>
        <v>0</v>
      </c>
      <c r="C104" s="247">
        <f>COUNTIF($D$6:D104,"&lt;&gt;"&amp;"")</f>
        <v>99</v>
      </c>
      <c r="D104" s="247">
        <f>'Table S2 Compound Identifiers'!B106</f>
        <v>0</v>
      </c>
      <c r="E104" s="247"/>
      <c r="F104" s="248"/>
      <c r="G104" s="249"/>
      <c r="H104" s="330"/>
      <c r="I104" s="328"/>
      <c r="J104" s="249"/>
      <c r="K104" s="330"/>
      <c r="L104" s="250"/>
      <c r="M104" s="249"/>
      <c r="N104" s="330"/>
      <c r="O104" s="250"/>
      <c r="P104" s="249"/>
      <c r="Q104" s="330"/>
      <c r="R104" s="250"/>
      <c r="S104" s="249"/>
      <c r="T104" s="330"/>
      <c r="U104" s="250"/>
      <c r="V104" s="249"/>
      <c r="W104" s="330"/>
      <c r="X104" s="343"/>
      <c r="Y104" s="249"/>
      <c r="Z104" s="330"/>
      <c r="AA104" s="343"/>
      <c r="AB104" s="249"/>
      <c r="AC104" s="330"/>
      <c r="AD104" s="343"/>
      <c r="AE104" s="249"/>
      <c r="AF104" s="330"/>
      <c r="AG104" s="343"/>
      <c r="AH104" s="249"/>
      <c r="AI104" s="330"/>
      <c r="AJ104" s="343"/>
      <c r="AK104" s="249"/>
      <c r="AL104" s="330"/>
      <c r="AM104" s="343"/>
      <c r="AN104" s="249"/>
      <c r="AO104" s="330"/>
      <c r="AP104" s="343"/>
      <c r="AQ104" s="249"/>
      <c r="AR104" s="330"/>
      <c r="AS104" s="343"/>
      <c r="AT104" s="249"/>
      <c r="AU104" s="330"/>
    </row>
    <row r="105" spans="2:47">
      <c r="B105" s="247">
        <f>'Table S2 Compound Identifiers'!C107</f>
        <v>0</v>
      </c>
      <c r="C105" s="247">
        <f>COUNTIF($D$6:D105,"&lt;&gt;"&amp;"")</f>
        <v>100</v>
      </c>
      <c r="D105" s="247">
        <f>'Table S2 Compound Identifiers'!B107</f>
        <v>0</v>
      </c>
      <c r="E105" s="247"/>
      <c r="F105" s="248"/>
      <c r="G105" s="249"/>
      <c r="H105" s="330"/>
      <c r="I105" s="328"/>
      <c r="J105" s="249"/>
      <c r="K105" s="330"/>
      <c r="L105" s="250"/>
      <c r="M105" s="249"/>
      <c r="N105" s="330"/>
      <c r="O105" s="250"/>
      <c r="P105" s="249"/>
      <c r="Q105" s="330"/>
      <c r="R105" s="250"/>
      <c r="S105" s="249"/>
      <c r="T105" s="330"/>
      <c r="U105" s="250"/>
      <c r="V105" s="249"/>
      <c r="W105" s="330"/>
      <c r="X105" s="343"/>
      <c r="Y105" s="249"/>
      <c r="Z105" s="330"/>
      <c r="AA105" s="343"/>
      <c r="AB105" s="249"/>
      <c r="AC105" s="330"/>
      <c r="AD105" s="343"/>
      <c r="AE105" s="249"/>
      <c r="AF105" s="330"/>
      <c r="AG105" s="343"/>
      <c r="AH105" s="249"/>
      <c r="AI105" s="330"/>
      <c r="AJ105" s="343"/>
      <c r="AK105" s="249"/>
      <c r="AL105" s="330"/>
      <c r="AM105" s="343"/>
      <c r="AN105" s="249"/>
      <c r="AO105" s="330"/>
      <c r="AP105" s="343"/>
      <c r="AQ105" s="249"/>
      <c r="AR105" s="330"/>
      <c r="AS105" s="343"/>
      <c r="AT105" s="249"/>
      <c r="AU105" s="330"/>
    </row>
    <row r="106" spans="2:47">
      <c r="B106" s="247">
        <f>'Table S2 Compound Identifiers'!C108</f>
        <v>0</v>
      </c>
      <c r="C106" s="247">
        <f>COUNTIF($D$6:D106,"&lt;&gt;"&amp;"")</f>
        <v>101</v>
      </c>
      <c r="D106" s="247">
        <f>'Table S2 Compound Identifiers'!B108</f>
        <v>0</v>
      </c>
      <c r="E106" s="247"/>
      <c r="F106" s="248"/>
      <c r="G106" s="249"/>
      <c r="H106" s="330"/>
      <c r="I106" s="328"/>
      <c r="J106" s="249"/>
      <c r="K106" s="330"/>
      <c r="L106" s="250"/>
      <c r="M106" s="249"/>
      <c r="N106" s="330"/>
      <c r="O106" s="250"/>
      <c r="P106" s="249"/>
      <c r="Q106" s="330"/>
      <c r="R106" s="250"/>
      <c r="S106" s="249"/>
      <c r="T106" s="330"/>
      <c r="U106" s="250"/>
      <c r="V106" s="249"/>
      <c r="W106" s="330"/>
      <c r="X106" s="343"/>
      <c r="Y106" s="249"/>
      <c r="Z106" s="330"/>
      <c r="AA106" s="343"/>
      <c r="AB106" s="249"/>
      <c r="AC106" s="330"/>
      <c r="AD106" s="343"/>
      <c r="AE106" s="249"/>
      <c r="AF106" s="330"/>
      <c r="AG106" s="343"/>
      <c r="AH106" s="249"/>
      <c r="AI106" s="330"/>
      <c r="AJ106" s="343"/>
      <c r="AK106" s="249"/>
      <c r="AL106" s="330"/>
      <c r="AM106" s="343"/>
      <c r="AN106" s="249"/>
      <c r="AO106" s="330"/>
      <c r="AP106" s="343"/>
      <c r="AQ106" s="249"/>
      <c r="AR106" s="330"/>
      <c r="AS106" s="343"/>
      <c r="AT106" s="249"/>
      <c r="AU106" s="330"/>
    </row>
    <row r="107" spans="2:47">
      <c r="B107" s="247">
        <f>'Table S2 Compound Identifiers'!C109</f>
        <v>0</v>
      </c>
      <c r="C107" s="247">
        <f>COUNTIF($D$6:D107,"&lt;&gt;"&amp;"")</f>
        <v>102</v>
      </c>
      <c r="D107" s="247">
        <f>'Table S2 Compound Identifiers'!B109</f>
        <v>0</v>
      </c>
      <c r="E107" s="247"/>
      <c r="F107" s="248"/>
      <c r="G107" s="249"/>
      <c r="H107" s="330"/>
      <c r="I107" s="328"/>
      <c r="J107" s="249"/>
      <c r="K107" s="330"/>
      <c r="L107" s="250"/>
      <c r="M107" s="249"/>
      <c r="N107" s="330"/>
      <c r="O107" s="250"/>
      <c r="P107" s="249"/>
      <c r="Q107" s="330"/>
      <c r="R107" s="250"/>
      <c r="S107" s="249"/>
      <c r="T107" s="330"/>
      <c r="U107" s="250"/>
      <c r="V107" s="249"/>
      <c r="W107" s="330"/>
      <c r="X107" s="343"/>
      <c r="Y107" s="249"/>
      <c r="Z107" s="330"/>
      <c r="AA107" s="343"/>
      <c r="AB107" s="249"/>
      <c r="AC107" s="330"/>
      <c r="AD107" s="343"/>
      <c r="AE107" s="249"/>
      <c r="AF107" s="330"/>
      <c r="AG107" s="343"/>
      <c r="AH107" s="249"/>
      <c r="AI107" s="330"/>
      <c r="AJ107" s="343"/>
      <c r="AK107" s="249"/>
      <c r="AL107" s="330"/>
      <c r="AM107" s="343"/>
      <c r="AN107" s="249"/>
      <c r="AO107" s="330"/>
      <c r="AP107" s="343"/>
      <c r="AQ107" s="249"/>
      <c r="AR107" s="330"/>
      <c r="AS107" s="343"/>
      <c r="AT107" s="249"/>
      <c r="AU107" s="330"/>
    </row>
    <row r="108" spans="2:47">
      <c r="B108" s="247">
        <f>'Table S2 Compound Identifiers'!C110</f>
        <v>0</v>
      </c>
      <c r="C108" s="247">
        <f>COUNTIF($D$6:D108,"&lt;&gt;"&amp;"")</f>
        <v>103</v>
      </c>
      <c r="D108" s="247">
        <f>'Table S2 Compound Identifiers'!B110</f>
        <v>0</v>
      </c>
      <c r="E108" s="247"/>
      <c r="F108" s="248"/>
      <c r="G108" s="249"/>
      <c r="H108" s="330"/>
      <c r="I108" s="328"/>
      <c r="J108" s="249"/>
      <c r="K108" s="330"/>
      <c r="L108" s="250"/>
      <c r="M108" s="249"/>
      <c r="N108" s="330"/>
      <c r="O108" s="250"/>
      <c r="P108" s="249"/>
      <c r="Q108" s="330"/>
      <c r="R108" s="250"/>
      <c r="S108" s="249"/>
      <c r="T108" s="330"/>
      <c r="U108" s="250"/>
      <c r="V108" s="249"/>
      <c r="W108" s="330"/>
      <c r="X108" s="343"/>
      <c r="Y108" s="249"/>
      <c r="Z108" s="330"/>
      <c r="AA108" s="343"/>
      <c r="AB108" s="249"/>
      <c r="AC108" s="330"/>
      <c r="AD108" s="343"/>
      <c r="AE108" s="249"/>
      <c r="AF108" s="330"/>
      <c r="AG108" s="343"/>
      <c r="AH108" s="249"/>
      <c r="AI108" s="330"/>
      <c r="AJ108" s="343"/>
      <c r="AK108" s="249"/>
      <c r="AL108" s="330"/>
      <c r="AM108" s="343"/>
      <c r="AN108" s="249"/>
      <c r="AO108" s="330"/>
      <c r="AP108" s="343"/>
      <c r="AQ108" s="249"/>
      <c r="AR108" s="330"/>
      <c r="AS108" s="343"/>
      <c r="AT108" s="249"/>
      <c r="AU108" s="330"/>
    </row>
    <row r="109" spans="2:47">
      <c r="B109" s="247">
        <f>'Table S2 Compound Identifiers'!C111</f>
        <v>0</v>
      </c>
      <c r="C109" s="247">
        <f>COUNTIF($D$6:D109,"&lt;&gt;"&amp;"")</f>
        <v>104</v>
      </c>
      <c r="D109" s="247">
        <f>'Table S2 Compound Identifiers'!B111</f>
        <v>0</v>
      </c>
      <c r="E109" s="247"/>
      <c r="F109" s="248"/>
      <c r="G109" s="249"/>
      <c r="H109" s="330"/>
      <c r="I109" s="328"/>
      <c r="J109" s="249"/>
      <c r="K109" s="330"/>
      <c r="L109" s="250"/>
      <c r="M109" s="249"/>
      <c r="N109" s="330"/>
      <c r="O109" s="250"/>
      <c r="P109" s="249"/>
      <c r="Q109" s="330"/>
      <c r="R109" s="250"/>
      <c r="S109" s="249"/>
      <c r="T109" s="330"/>
      <c r="U109" s="250"/>
      <c r="V109" s="249"/>
      <c r="W109" s="330"/>
      <c r="X109" s="343"/>
      <c r="Y109" s="249"/>
      <c r="Z109" s="330"/>
      <c r="AA109" s="343"/>
      <c r="AB109" s="249"/>
      <c r="AC109" s="330"/>
      <c r="AD109" s="343"/>
      <c r="AE109" s="249"/>
      <c r="AF109" s="330"/>
      <c r="AG109" s="343"/>
      <c r="AH109" s="249"/>
      <c r="AI109" s="330"/>
      <c r="AJ109" s="343"/>
      <c r="AK109" s="249"/>
      <c r="AL109" s="330"/>
      <c r="AM109" s="343"/>
      <c r="AN109" s="249"/>
      <c r="AO109" s="330"/>
      <c r="AP109" s="343"/>
      <c r="AQ109" s="249"/>
      <c r="AR109" s="330"/>
      <c r="AS109" s="343"/>
      <c r="AT109" s="249"/>
      <c r="AU109" s="330"/>
    </row>
    <row r="110" spans="2:47">
      <c r="B110" s="247">
        <f>'Table S2 Compound Identifiers'!C112</f>
        <v>0</v>
      </c>
      <c r="C110" s="247">
        <f>COUNTIF($D$6:D110,"&lt;&gt;"&amp;"")</f>
        <v>105</v>
      </c>
      <c r="D110" s="247">
        <f>'Table S2 Compound Identifiers'!B112</f>
        <v>0</v>
      </c>
      <c r="E110" s="247"/>
      <c r="F110" s="248"/>
      <c r="G110" s="249"/>
      <c r="H110" s="330"/>
      <c r="I110" s="328"/>
      <c r="J110" s="249"/>
      <c r="K110" s="330"/>
      <c r="L110" s="250"/>
      <c r="M110" s="249"/>
      <c r="N110" s="330"/>
      <c r="O110" s="250"/>
      <c r="P110" s="249"/>
      <c r="Q110" s="330"/>
      <c r="R110" s="250"/>
      <c r="S110" s="249"/>
      <c r="T110" s="330"/>
      <c r="U110" s="250"/>
      <c r="V110" s="249"/>
      <c r="W110" s="330"/>
      <c r="X110" s="343"/>
      <c r="Y110" s="249"/>
      <c r="Z110" s="330"/>
      <c r="AA110" s="343"/>
      <c r="AB110" s="249"/>
      <c r="AC110" s="330"/>
      <c r="AD110" s="343"/>
      <c r="AE110" s="249"/>
      <c r="AF110" s="330"/>
      <c r="AG110" s="343"/>
      <c r="AH110" s="249"/>
      <c r="AI110" s="330"/>
      <c r="AJ110" s="343"/>
      <c r="AK110" s="249"/>
      <c r="AL110" s="330"/>
      <c r="AM110" s="343"/>
      <c r="AN110" s="249"/>
      <c r="AO110" s="330"/>
      <c r="AP110" s="343"/>
      <c r="AQ110" s="249"/>
      <c r="AR110" s="330"/>
      <c r="AS110" s="343"/>
      <c r="AT110" s="249"/>
      <c r="AU110" s="330"/>
    </row>
    <row r="111" spans="2:47">
      <c r="B111" s="247">
        <f>'Table S2 Compound Identifiers'!C113</f>
        <v>0</v>
      </c>
      <c r="C111" s="247">
        <f>COUNTIF($D$6:D111,"&lt;&gt;"&amp;"")</f>
        <v>106</v>
      </c>
      <c r="D111" s="247">
        <f>'Table S2 Compound Identifiers'!B113</f>
        <v>0</v>
      </c>
      <c r="E111" s="247"/>
      <c r="F111" s="248"/>
      <c r="G111" s="249"/>
      <c r="H111" s="330"/>
      <c r="I111" s="328"/>
      <c r="J111" s="249"/>
      <c r="K111" s="330"/>
      <c r="L111" s="250"/>
      <c r="M111" s="249"/>
      <c r="N111" s="330"/>
      <c r="O111" s="250"/>
      <c r="P111" s="249"/>
      <c r="Q111" s="330"/>
      <c r="R111" s="250"/>
      <c r="S111" s="249"/>
      <c r="T111" s="330"/>
      <c r="U111" s="250"/>
      <c r="V111" s="249"/>
      <c r="W111" s="330"/>
      <c r="X111" s="343"/>
      <c r="Y111" s="249"/>
      <c r="Z111" s="330"/>
      <c r="AA111" s="343"/>
      <c r="AB111" s="249"/>
      <c r="AC111" s="330"/>
      <c r="AD111" s="343"/>
      <c r="AE111" s="249"/>
      <c r="AF111" s="330"/>
      <c r="AG111" s="343"/>
      <c r="AH111" s="249"/>
      <c r="AI111" s="330"/>
      <c r="AJ111" s="343"/>
      <c r="AK111" s="249"/>
      <c r="AL111" s="330"/>
      <c r="AM111" s="343"/>
      <c r="AN111" s="249"/>
      <c r="AO111" s="330"/>
      <c r="AP111" s="343"/>
      <c r="AQ111" s="249"/>
      <c r="AR111" s="330"/>
      <c r="AS111" s="343"/>
      <c r="AT111" s="249"/>
      <c r="AU111" s="330"/>
    </row>
    <row r="112" spans="2:47">
      <c r="B112" s="247">
        <f>'Table S2 Compound Identifiers'!C114</f>
        <v>0</v>
      </c>
      <c r="C112" s="247">
        <f>COUNTIF($D$6:D112,"&lt;&gt;"&amp;"")</f>
        <v>107</v>
      </c>
      <c r="D112" s="247">
        <f>'Table S2 Compound Identifiers'!B114</f>
        <v>0</v>
      </c>
      <c r="E112" s="247"/>
      <c r="F112" s="248"/>
      <c r="G112" s="249"/>
      <c r="H112" s="330"/>
      <c r="I112" s="328"/>
      <c r="J112" s="249"/>
      <c r="K112" s="330"/>
      <c r="L112" s="250"/>
      <c r="M112" s="249"/>
      <c r="N112" s="330"/>
      <c r="O112" s="250"/>
      <c r="P112" s="249"/>
      <c r="Q112" s="330"/>
      <c r="R112" s="250"/>
      <c r="S112" s="249"/>
      <c r="T112" s="330"/>
      <c r="U112" s="250"/>
      <c r="V112" s="249"/>
      <c r="W112" s="330"/>
      <c r="X112" s="343"/>
      <c r="Y112" s="249"/>
      <c r="Z112" s="330"/>
      <c r="AA112" s="343"/>
      <c r="AB112" s="249"/>
      <c r="AC112" s="330"/>
      <c r="AD112" s="343"/>
      <c r="AE112" s="249"/>
      <c r="AF112" s="330"/>
      <c r="AG112" s="343"/>
      <c r="AH112" s="249"/>
      <c r="AI112" s="330"/>
      <c r="AJ112" s="343"/>
      <c r="AK112" s="249"/>
      <c r="AL112" s="330"/>
      <c r="AM112" s="343"/>
      <c r="AN112" s="249"/>
      <c r="AO112" s="330"/>
      <c r="AP112" s="343"/>
      <c r="AQ112" s="249"/>
      <c r="AR112" s="330"/>
      <c r="AS112" s="343"/>
      <c r="AT112" s="249"/>
      <c r="AU112" s="330"/>
    </row>
    <row r="113" spans="2:47">
      <c r="B113" s="247">
        <f>'Table S2 Compound Identifiers'!C115</f>
        <v>0</v>
      </c>
      <c r="C113" s="247">
        <f>COUNTIF($D$6:D113,"&lt;&gt;"&amp;"")</f>
        <v>108</v>
      </c>
      <c r="D113" s="247">
        <f>'Table S2 Compound Identifiers'!B115</f>
        <v>0</v>
      </c>
      <c r="E113" s="247"/>
      <c r="F113" s="248"/>
      <c r="G113" s="249"/>
      <c r="H113" s="330"/>
      <c r="I113" s="328"/>
      <c r="J113" s="249"/>
      <c r="K113" s="330"/>
      <c r="L113" s="250"/>
      <c r="M113" s="249"/>
      <c r="N113" s="330"/>
      <c r="O113" s="250"/>
      <c r="P113" s="249"/>
      <c r="Q113" s="330"/>
      <c r="R113" s="250"/>
      <c r="S113" s="249"/>
      <c r="T113" s="330"/>
      <c r="U113" s="250"/>
      <c r="V113" s="249"/>
      <c r="W113" s="330"/>
      <c r="X113" s="343"/>
      <c r="Y113" s="249"/>
      <c r="Z113" s="330"/>
      <c r="AA113" s="343"/>
      <c r="AB113" s="249"/>
      <c r="AC113" s="330"/>
      <c r="AD113" s="343"/>
      <c r="AE113" s="249"/>
      <c r="AF113" s="330"/>
      <c r="AG113" s="343"/>
      <c r="AH113" s="249"/>
      <c r="AI113" s="330"/>
      <c r="AJ113" s="343"/>
      <c r="AK113" s="249"/>
      <c r="AL113" s="330"/>
      <c r="AM113" s="343"/>
      <c r="AN113" s="249"/>
      <c r="AO113" s="330"/>
      <c r="AP113" s="343"/>
      <c r="AQ113" s="249"/>
      <c r="AR113" s="330"/>
      <c r="AS113" s="343"/>
      <c r="AT113" s="249"/>
      <c r="AU113" s="330"/>
    </row>
    <row r="114" spans="2:47">
      <c r="B114" s="247">
        <f>'Table S2 Compound Identifiers'!C116</f>
        <v>0</v>
      </c>
      <c r="C114" s="247">
        <f>COUNTIF($D$6:D114,"&lt;&gt;"&amp;"")</f>
        <v>109</v>
      </c>
      <c r="D114" s="247">
        <f>'Table S2 Compound Identifiers'!B116</f>
        <v>0</v>
      </c>
      <c r="E114" s="247"/>
      <c r="F114" s="248"/>
      <c r="G114" s="249"/>
      <c r="H114" s="330"/>
      <c r="I114" s="328"/>
      <c r="J114" s="249"/>
      <c r="K114" s="330"/>
      <c r="L114" s="250"/>
      <c r="M114" s="249"/>
      <c r="N114" s="330"/>
      <c r="O114" s="250"/>
      <c r="P114" s="249"/>
      <c r="Q114" s="330"/>
      <c r="R114" s="250"/>
      <c r="S114" s="249"/>
      <c r="T114" s="330"/>
      <c r="U114" s="250"/>
      <c r="V114" s="249"/>
      <c r="W114" s="330"/>
      <c r="X114" s="343"/>
      <c r="Y114" s="249"/>
      <c r="Z114" s="330"/>
      <c r="AA114" s="343"/>
      <c r="AB114" s="249"/>
      <c r="AC114" s="330"/>
      <c r="AD114" s="343"/>
      <c r="AE114" s="249"/>
      <c r="AF114" s="330"/>
      <c r="AG114" s="343"/>
      <c r="AH114" s="249"/>
      <c r="AI114" s="330"/>
      <c r="AJ114" s="343"/>
      <c r="AK114" s="249"/>
      <c r="AL114" s="330"/>
      <c r="AM114" s="343"/>
      <c r="AN114" s="249"/>
      <c r="AO114" s="330"/>
      <c r="AP114" s="343"/>
      <c r="AQ114" s="249"/>
      <c r="AR114" s="330"/>
      <c r="AS114" s="343"/>
      <c r="AT114" s="249"/>
      <c r="AU114" s="330"/>
    </row>
    <row r="115" spans="2:47">
      <c r="B115" s="247">
        <f>'Table S2 Compound Identifiers'!C117</f>
        <v>0</v>
      </c>
      <c r="C115" s="247">
        <f>COUNTIF($D$6:D115,"&lt;&gt;"&amp;"")</f>
        <v>110</v>
      </c>
      <c r="D115" s="247">
        <f>'Table S2 Compound Identifiers'!B117</f>
        <v>0</v>
      </c>
      <c r="E115" s="247"/>
      <c r="F115" s="248"/>
      <c r="G115" s="249"/>
      <c r="H115" s="330"/>
      <c r="I115" s="328"/>
      <c r="J115" s="249"/>
      <c r="K115" s="330"/>
      <c r="L115" s="250"/>
      <c r="M115" s="249"/>
      <c r="N115" s="330"/>
      <c r="O115" s="250"/>
      <c r="P115" s="249"/>
      <c r="Q115" s="330"/>
      <c r="R115" s="250"/>
      <c r="S115" s="249"/>
      <c r="T115" s="330"/>
      <c r="U115" s="250"/>
      <c r="V115" s="249"/>
      <c r="W115" s="330"/>
      <c r="X115" s="343"/>
      <c r="Y115" s="249"/>
      <c r="Z115" s="330"/>
      <c r="AA115" s="343"/>
      <c r="AB115" s="249"/>
      <c r="AC115" s="330"/>
      <c r="AD115" s="343"/>
      <c r="AE115" s="249"/>
      <c r="AF115" s="330"/>
      <c r="AG115" s="343"/>
      <c r="AH115" s="249"/>
      <c r="AI115" s="330"/>
      <c r="AJ115" s="343"/>
      <c r="AK115" s="249"/>
      <c r="AL115" s="330"/>
      <c r="AM115" s="343"/>
      <c r="AN115" s="249"/>
      <c r="AO115" s="330"/>
      <c r="AP115" s="343"/>
      <c r="AQ115" s="249"/>
      <c r="AR115" s="330"/>
      <c r="AS115" s="343"/>
      <c r="AT115" s="249"/>
      <c r="AU115" s="330"/>
    </row>
    <row r="116" spans="2:47">
      <c r="B116" s="247">
        <f>'Table S2 Compound Identifiers'!C118</f>
        <v>0</v>
      </c>
      <c r="C116" s="247">
        <f>COUNTIF($D$6:D116,"&lt;&gt;"&amp;"")</f>
        <v>111</v>
      </c>
      <c r="D116" s="247">
        <f>'Table S2 Compound Identifiers'!B118</f>
        <v>0</v>
      </c>
      <c r="E116" s="247"/>
      <c r="F116" s="248"/>
      <c r="G116" s="249"/>
      <c r="H116" s="330"/>
      <c r="I116" s="328"/>
      <c r="J116" s="249"/>
      <c r="K116" s="330"/>
      <c r="L116" s="250"/>
      <c r="M116" s="249"/>
      <c r="N116" s="330"/>
      <c r="O116" s="250"/>
      <c r="P116" s="249"/>
      <c r="Q116" s="330"/>
      <c r="R116" s="250"/>
      <c r="S116" s="249"/>
      <c r="T116" s="330"/>
      <c r="U116" s="250"/>
      <c r="V116" s="249"/>
      <c r="W116" s="330"/>
      <c r="X116" s="343"/>
      <c r="Y116" s="249"/>
      <c r="Z116" s="330"/>
      <c r="AA116" s="343"/>
      <c r="AB116" s="249"/>
      <c r="AC116" s="330"/>
      <c r="AD116" s="343"/>
      <c r="AE116" s="249"/>
      <c r="AF116" s="330"/>
      <c r="AG116" s="343"/>
      <c r="AH116" s="249"/>
      <c r="AI116" s="330"/>
      <c r="AJ116" s="343"/>
      <c r="AK116" s="249"/>
      <c r="AL116" s="330"/>
      <c r="AM116" s="343"/>
      <c r="AN116" s="249"/>
      <c r="AO116" s="330"/>
      <c r="AP116" s="343"/>
      <c r="AQ116" s="249"/>
      <c r="AR116" s="330"/>
      <c r="AS116" s="343"/>
      <c r="AT116" s="249"/>
      <c r="AU116" s="330"/>
    </row>
    <row r="117" spans="2:47">
      <c r="B117" s="247">
        <f>'Table S2 Compound Identifiers'!C119</f>
        <v>0</v>
      </c>
      <c r="C117" s="247">
        <f>COUNTIF($D$6:D117,"&lt;&gt;"&amp;"")</f>
        <v>112</v>
      </c>
      <c r="D117" s="247">
        <f>'Table S2 Compound Identifiers'!B119</f>
        <v>0</v>
      </c>
      <c r="E117" s="247"/>
      <c r="F117" s="248"/>
      <c r="G117" s="249"/>
      <c r="H117" s="330"/>
      <c r="I117" s="328"/>
      <c r="J117" s="249"/>
      <c r="K117" s="330"/>
      <c r="L117" s="250"/>
      <c r="M117" s="249"/>
      <c r="N117" s="330"/>
      <c r="O117" s="250"/>
      <c r="P117" s="249"/>
      <c r="Q117" s="330"/>
      <c r="R117" s="250"/>
      <c r="S117" s="249"/>
      <c r="T117" s="330"/>
      <c r="U117" s="250"/>
      <c r="V117" s="249"/>
      <c r="W117" s="330"/>
      <c r="X117" s="343"/>
      <c r="Y117" s="249"/>
      <c r="Z117" s="330"/>
      <c r="AA117" s="343"/>
      <c r="AB117" s="249"/>
      <c r="AC117" s="330"/>
      <c r="AD117" s="343"/>
      <c r="AE117" s="249"/>
      <c r="AF117" s="330"/>
      <c r="AG117" s="343"/>
      <c r="AH117" s="249"/>
      <c r="AI117" s="330"/>
      <c r="AJ117" s="343"/>
      <c r="AK117" s="249"/>
      <c r="AL117" s="330"/>
      <c r="AM117" s="343"/>
      <c r="AN117" s="249"/>
      <c r="AO117" s="330"/>
      <c r="AP117" s="343"/>
      <c r="AQ117" s="249"/>
      <c r="AR117" s="330"/>
      <c r="AS117" s="343"/>
      <c r="AT117" s="249"/>
      <c r="AU117" s="330"/>
    </row>
    <row r="118" spans="2:47">
      <c r="B118" s="247">
        <f>'Table S2 Compound Identifiers'!C120</f>
        <v>0</v>
      </c>
      <c r="C118" s="247">
        <f>COUNTIF($D$6:D118,"&lt;&gt;"&amp;"")</f>
        <v>113</v>
      </c>
      <c r="D118" s="247">
        <f>'Table S2 Compound Identifiers'!B120</f>
        <v>0</v>
      </c>
      <c r="E118" s="247"/>
      <c r="F118" s="248"/>
      <c r="G118" s="249"/>
      <c r="H118" s="330"/>
      <c r="I118" s="328"/>
      <c r="J118" s="249"/>
      <c r="K118" s="330"/>
      <c r="L118" s="250"/>
      <c r="M118" s="249"/>
      <c r="N118" s="330"/>
      <c r="O118" s="250"/>
      <c r="P118" s="249"/>
      <c r="Q118" s="330"/>
      <c r="R118" s="250"/>
      <c r="S118" s="249"/>
      <c r="T118" s="330"/>
      <c r="U118" s="250"/>
      <c r="V118" s="249"/>
      <c r="W118" s="330"/>
      <c r="X118" s="343"/>
      <c r="Y118" s="249"/>
      <c r="Z118" s="330"/>
      <c r="AA118" s="343"/>
      <c r="AB118" s="249"/>
      <c r="AC118" s="330"/>
      <c r="AD118" s="343"/>
      <c r="AE118" s="249"/>
      <c r="AF118" s="330"/>
      <c r="AG118" s="343"/>
      <c r="AH118" s="249"/>
      <c r="AI118" s="330"/>
      <c r="AJ118" s="343"/>
      <c r="AK118" s="249"/>
      <c r="AL118" s="330"/>
      <c r="AM118" s="343"/>
      <c r="AN118" s="249"/>
      <c r="AO118" s="330"/>
      <c r="AP118" s="343"/>
      <c r="AQ118" s="249"/>
      <c r="AR118" s="330"/>
      <c r="AS118" s="343"/>
      <c r="AT118" s="249"/>
      <c r="AU118" s="330"/>
    </row>
    <row r="119" spans="2:47">
      <c r="B119" s="247">
        <f>'Table S2 Compound Identifiers'!C121</f>
        <v>0</v>
      </c>
      <c r="C119" s="247">
        <f>COUNTIF($D$6:D119,"&lt;&gt;"&amp;"")</f>
        <v>114</v>
      </c>
      <c r="D119" s="247">
        <f>'Table S2 Compound Identifiers'!B121</f>
        <v>0</v>
      </c>
      <c r="E119" s="247"/>
      <c r="F119" s="248"/>
      <c r="G119" s="249"/>
      <c r="H119" s="330"/>
      <c r="I119" s="328"/>
      <c r="J119" s="249"/>
      <c r="K119" s="330"/>
      <c r="L119" s="250"/>
      <c r="M119" s="249"/>
      <c r="N119" s="330"/>
      <c r="O119" s="250"/>
      <c r="P119" s="249"/>
      <c r="Q119" s="330"/>
      <c r="R119" s="250"/>
      <c r="S119" s="249"/>
      <c r="T119" s="330"/>
      <c r="U119" s="250"/>
      <c r="V119" s="249"/>
      <c r="W119" s="330"/>
      <c r="X119" s="343"/>
      <c r="Y119" s="249"/>
      <c r="Z119" s="330"/>
      <c r="AA119" s="343"/>
      <c r="AB119" s="249"/>
      <c r="AC119" s="330"/>
      <c r="AD119" s="343"/>
      <c r="AE119" s="249"/>
      <c r="AF119" s="330"/>
      <c r="AG119" s="343"/>
      <c r="AH119" s="249"/>
      <c r="AI119" s="330"/>
      <c r="AJ119" s="343"/>
      <c r="AK119" s="249"/>
      <c r="AL119" s="330"/>
      <c r="AM119" s="343"/>
      <c r="AN119" s="249"/>
      <c r="AO119" s="330"/>
      <c r="AP119" s="343"/>
      <c r="AQ119" s="249"/>
      <c r="AR119" s="330"/>
      <c r="AS119" s="343"/>
      <c r="AT119" s="249"/>
      <c r="AU119" s="330"/>
    </row>
    <row r="120" spans="2:47">
      <c r="B120" s="247">
        <f>'Table S2 Compound Identifiers'!C122</f>
        <v>0</v>
      </c>
      <c r="C120" s="247">
        <f>COUNTIF($D$6:D120,"&lt;&gt;"&amp;"")</f>
        <v>115</v>
      </c>
      <c r="D120" s="247">
        <f>'Table S2 Compound Identifiers'!B122</f>
        <v>0</v>
      </c>
      <c r="E120" s="247"/>
      <c r="F120" s="248"/>
      <c r="G120" s="249"/>
      <c r="H120" s="330"/>
      <c r="I120" s="328"/>
      <c r="J120" s="249"/>
      <c r="K120" s="330"/>
      <c r="L120" s="250"/>
      <c r="M120" s="249"/>
      <c r="N120" s="330"/>
      <c r="O120" s="250"/>
      <c r="P120" s="249"/>
      <c r="Q120" s="330"/>
      <c r="R120" s="250"/>
      <c r="S120" s="249"/>
      <c r="T120" s="330"/>
      <c r="U120" s="250"/>
      <c r="V120" s="249"/>
      <c r="W120" s="330"/>
      <c r="X120" s="343"/>
      <c r="Y120" s="249"/>
      <c r="Z120" s="330"/>
      <c r="AA120" s="343"/>
      <c r="AB120" s="249"/>
      <c r="AC120" s="330"/>
      <c r="AD120" s="343"/>
      <c r="AE120" s="249"/>
      <c r="AF120" s="330"/>
      <c r="AG120" s="343"/>
      <c r="AH120" s="249"/>
      <c r="AI120" s="330"/>
      <c r="AJ120" s="343"/>
      <c r="AK120" s="249"/>
      <c r="AL120" s="330"/>
      <c r="AM120" s="343"/>
      <c r="AN120" s="249"/>
      <c r="AO120" s="330"/>
      <c r="AP120" s="343"/>
      <c r="AQ120" s="249"/>
      <c r="AR120" s="330"/>
      <c r="AS120" s="343"/>
      <c r="AT120" s="249"/>
      <c r="AU120" s="330"/>
    </row>
    <row r="121" spans="2:47">
      <c r="B121" s="247">
        <f>'Table S2 Compound Identifiers'!C123</f>
        <v>0</v>
      </c>
      <c r="C121" s="247">
        <f>COUNTIF($D$6:D121,"&lt;&gt;"&amp;"")</f>
        <v>116</v>
      </c>
      <c r="D121" s="247">
        <f>'Table S2 Compound Identifiers'!B123</f>
        <v>0</v>
      </c>
      <c r="E121" s="247"/>
      <c r="F121" s="248"/>
      <c r="G121" s="249"/>
      <c r="H121" s="330"/>
      <c r="I121" s="328"/>
      <c r="J121" s="249"/>
      <c r="K121" s="330"/>
      <c r="L121" s="250"/>
      <c r="M121" s="249"/>
      <c r="N121" s="330"/>
      <c r="O121" s="250"/>
      <c r="P121" s="249"/>
      <c r="Q121" s="330"/>
      <c r="R121" s="250"/>
      <c r="S121" s="249"/>
      <c r="T121" s="330"/>
      <c r="U121" s="250"/>
      <c r="V121" s="249"/>
      <c r="W121" s="330"/>
      <c r="X121" s="343"/>
      <c r="Y121" s="249"/>
      <c r="Z121" s="330"/>
      <c r="AA121" s="343"/>
      <c r="AB121" s="249"/>
      <c r="AC121" s="330"/>
      <c r="AD121" s="343"/>
      <c r="AE121" s="249"/>
      <c r="AF121" s="330"/>
      <c r="AG121" s="343"/>
      <c r="AH121" s="249"/>
      <c r="AI121" s="330"/>
      <c r="AJ121" s="343"/>
      <c r="AK121" s="249"/>
      <c r="AL121" s="330"/>
      <c r="AM121" s="343"/>
      <c r="AN121" s="249"/>
      <c r="AO121" s="330"/>
      <c r="AP121" s="343"/>
      <c r="AQ121" s="249"/>
      <c r="AR121" s="330"/>
      <c r="AS121" s="343"/>
      <c r="AT121" s="249"/>
      <c r="AU121" s="330"/>
    </row>
    <row r="122" spans="2:47">
      <c r="B122" s="247">
        <f>'Table S2 Compound Identifiers'!C124</f>
        <v>0</v>
      </c>
      <c r="C122" s="247">
        <f>COUNTIF($D$6:D122,"&lt;&gt;"&amp;"")</f>
        <v>117</v>
      </c>
      <c r="D122" s="247">
        <f>'Table S2 Compound Identifiers'!B124</f>
        <v>0</v>
      </c>
      <c r="E122" s="247"/>
      <c r="F122" s="248"/>
      <c r="G122" s="249"/>
      <c r="H122" s="330"/>
      <c r="I122" s="328"/>
      <c r="J122" s="249"/>
      <c r="K122" s="330"/>
      <c r="L122" s="250"/>
      <c r="M122" s="249"/>
      <c r="N122" s="330"/>
      <c r="O122" s="250"/>
      <c r="P122" s="249"/>
      <c r="Q122" s="330"/>
      <c r="R122" s="250"/>
      <c r="S122" s="249"/>
      <c r="T122" s="330"/>
      <c r="U122" s="250"/>
      <c r="V122" s="249"/>
      <c r="W122" s="330"/>
      <c r="X122" s="343"/>
      <c r="Y122" s="249"/>
      <c r="Z122" s="330"/>
      <c r="AA122" s="343"/>
      <c r="AB122" s="249"/>
      <c r="AC122" s="330"/>
      <c r="AD122" s="343"/>
      <c r="AE122" s="249"/>
      <c r="AF122" s="330"/>
      <c r="AG122" s="343"/>
      <c r="AH122" s="249"/>
      <c r="AI122" s="330"/>
      <c r="AJ122" s="343"/>
      <c r="AK122" s="249"/>
      <c r="AL122" s="330"/>
      <c r="AM122" s="343"/>
      <c r="AN122" s="249"/>
      <c r="AO122" s="330"/>
      <c r="AP122" s="343"/>
      <c r="AQ122" s="249"/>
      <c r="AR122" s="330"/>
      <c r="AS122" s="343"/>
      <c r="AT122" s="249"/>
      <c r="AU122" s="330"/>
    </row>
    <row r="123" spans="2:47">
      <c r="B123" s="247">
        <f>'Table S2 Compound Identifiers'!C125</f>
        <v>0</v>
      </c>
      <c r="C123" s="247">
        <f>COUNTIF($D$6:D123,"&lt;&gt;"&amp;"")</f>
        <v>118</v>
      </c>
      <c r="D123" s="247">
        <f>'Table S2 Compound Identifiers'!B125</f>
        <v>0</v>
      </c>
      <c r="E123" s="247"/>
      <c r="F123" s="248"/>
      <c r="G123" s="249"/>
      <c r="H123" s="330"/>
      <c r="I123" s="328"/>
      <c r="J123" s="249"/>
      <c r="K123" s="330"/>
      <c r="L123" s="250"/>
      <c r="M123" s="249"/>
      <c r="N123" s="330"/>
      <c r="O123" s="250"/>
      <c r="P123" s="249"/>
      <c r="Q123" s="330"/>
      <c r="R123" s="250"/>
      <c r="S123" s="249"/>
      <c r="T123" s="330"/>
      <c r="U123" s="250"/>
      <c r="V123" s="249"/>
      <c r="W123" s="330"/>
      <c r="X123" s="343"/>
      <c r="Y123" s="249"/>
      <c r="Z123" s="330"/>
      <c r="AA123" s="343"/>
      <c r="AB123" s="249"/>
      <c r="AC123" s="330"/>
      <c r="AD123" s="343"/>
      <c r="AE123" s="249"/>
      <c r="AF123" s="330"/>
      <c r="AG123" s="343"/>
      <c r="AH123" s="249"/>
      <c r="AI123" s="330"/>
      <c r="AJ123" s="343"/>
      <c r="AK123" s="249"/>
      <c r="AL123" s="330"/>
      <c r="AM123" s="343"/>
      <c r="AN123" s="249"/>
      <c r="AO123" s="330"/>
      <c r="AP123" s="343"/>
      <c r="AQ123" s="249"/>
      <c r="AR123" s="330"/>
      <c r="AS123" s="343"/>
      <c r="AT123" s="249"/>
      <c r="AU123" s="330"/>
    </row>
    <row r="124" spans="2:47">
      <c r="B124" s="247">
        <f>'Table S2 Compound Identifiers'!C126</f>
        <v>0</v>
      </c>
      <c r="C124" s="247">
        <f>COUNTIF($D$6:D124,"&lt;&gt;"&amp;"")</f>
        <v>119</v>
      </c>
      <c r="D124" s="247">
        <f>'Table S2 Compound Identifiers'!B126</f>
        <v>0</v>
      </c>
      <c r="E124" s="247"/>
      <c r="F124" s="248"/>
      <c r="G124" s="249"/>
      <c r="H124" s="330"/>
      <c r="I124" s="328"/>
      <c r="J124" s="249"/>
      <c r="K124" s="330"/>
      <c r="L124" s="250"/>
      <c r="M124" s="249"/>
      <c r="N124" s="330"/>
      <c r="O124" s="250"/>
      <c r="P124" s="249"/>
      <c r="Q124" s="330"/>
      <c r="R124" s="250"/>
      <c r="S124" s="249"/>
      <c r="T124" s="330"/>
      <c r="U124" s="250"/>
      <c r="V124" s="249"/>
      <c r="W124" s="330"/>
      <c r="X124" s="343"/>
      <c r="Y124" s="249"/>
      <c r="Z124" s="330"/>
      <c r="AA124" s="343"/>
      <c r="AB124" s="249"/>
      <c r="AC124" s="330"/>
      <c r="AD124" s="343"/>
      <c r="AE124" s="249"/>
      <c r="AF124" s="330"/>
      <c r="AG124" s="343"/>
      <c r="AH124" s="249"/>
      <c r="AI124" s="330"/>
      <c r="AJ124" s="343"/>
      <c r="AK124" s="249"/>
      <c r="AL124" s="330"/>
      <c r="AM124" s="343"/>
      <c r="AN124" s="249"/>
      <c r="AO124" s="330"/>
      <c r="AP124" s="343"/>
      <c r="AQ124" s="249"/>
      <c r="AR124" s="330"/>
      <c r="AS124" s="343"/>
      <c r="AT124" s="249"/>
      <c r="AU124" s="330"/>
    </row>
    <row r="125" spans="2:47">
      <c r="B125" s="247">
        <f>'Table S2 Compound Identifiers'!C127</f>
        <v>0</v>
      </c>
      <c r="C125" s="247">
        <f>COUNTIF($D$6:D125,"&lt;&gt;"&amp;"")</f>
        <v>120</v>
      </c>
      <c r="D125" s="247">
        <f>'Table S2 Compound Identifiers'!B127</f>
        <v>0</v>
      </c>
      <c r="E125" s="247"/>
      <c r="F125" s="248"/>
      <c r="G125" s="249"/>
      <c r="H125" s="330"/>
      <c r="I125" s="328"/>
      <c r="J125" s="249"/>
      <c r="K125" s="330"/>
      <c r="L125" s="250"/>
      <c r="M125" s="249"/>
      <c r="N125" s="330"/>
      <c r="O125" s="250"/>
      <c r="P125" s="249"/>
      <c r="Q125" s="330"/>
      <c r="R125" s="250"/>
      <c r="S125" s="249"/>
      <c r="T125" s="330"/>
      <c r="U125" s="250"/>
      <c r="V125" s="249"/>
      <c r="W125" s="330"/>
      <c r="X125" s="343"/>
      <c r="Y125" s="249"/>
      <c r="Z125" s="330"/>
      <c r="AA125" s="343"/>
      <c r="AB125" s="249"/>
      <c r="AC125" s="330"/>
      <c r="AD125" s="343"/>
      <c r="AE125" s="249"/>
      <c r="AF125" s="330"/>
      <c r="AG125" s="343"/>
      <c r="AH125" s="249"/>
      <c r="AI125" s="330"/>
      <c r="AJ125" s="343"/>
      <c r="AK125" s="249"/>
      <c r="AL125" s="330"/>
      <c r="AM125" s="343"/>
      <c r="AN125" s="249"/>
      <c r="AO125" s="330"/>
      <c r="AP125" s="343"/>
      <c r="AQ125" s="249"/>
      <c r="AR125" s="330"/>
      <c r="AS125" s="343"/>
      <c r="AT125" s="249"/>
      <c r="AU125" s="330"/>
    </row>
    <row r="126" spans="2:47">
      <c r="B126" s="247">
        <f>'Table S2 Compound Identifiers'!C128</f>
        <v>0</v>
      </c>
      <c r="C126" s="247">
        <f>COUNTIF($D$6:D126,"&lt;&gt;"&amp;"")</f>
        <v>121</v>
      </c>
      <c r="D126" s="247">
        <f>'Table S2 Compound Identifiers'!B128</f>
        <v>0</v>
      </c>
      <c r="E126" s="247"/>
      <c r="F126" s="248"/>
      <c r="G126" s="249"/>
      <c r="H126" s="330"/>
      <c r="I126" s="328"/>
      <c r="J126" s="249"/>
      <c r="K126" s="330"/>
      <c r="L126" s="250"/>
      <c r="M126" s="249"/>
      <c r="N126" s="330"/>
      <c r="O126" s="250"/>
      <c r="P126" s="249"/>
      <c r="Q126" s="330"/>
      <c r="R126" s="250"/>
      <c r="S126" s="249"/>
      <c r="T126" s="330"/>
      <c r="U126" s="250"/>
      <c r="V126" s="249"/>
      <c r="W126" s="330"/>
      <c r="X126" s="343"/>
      <c r="Y126" s="249"/>
      <c r="Z126" s="330"/>
      <c r="AA126" s="343"/>
      <c r="AB126" s="249"/>
      <c r="AC126" s="330"/>
      <c r="AD126" s="343"/>
      <c r="AE126" s="249"/>
      <c r="AF126" s="330"/>
      <c r="AG126" s="343"/>
      <c r="AH126" s="249"/>
      <c r="AI126" s="330"/>
      <c r="AJ126" s="343"/>
      <c r="AK126" s="249"/>
      <c r="AL126" s="330"/>
      <c r="AM126" s="343"/>
      <c r="AN126" s="249"/>
      <c r="AO126" s="330"/>
      <c r="AP126" s="343"/>
      <c r="AQ126" s="249"/>
      <c r="AR126" s="330"/>
      <c r="AS126" s="343"/>
      <c r="AT126" s="249"/>
      <c r="AU126" s="330"/>
    </row>
    <row r="127" spans="2:47">
      <c r="B127" s="247">
        <f>'Table S2 Compound Identifiers'!C129</f>
        <v>0</v>
      </c>
      <c r="C127" s="247">
        <f>COUNTIF($D$6:D127,"&lt;&gt;"&amp;"")</f>
        <v>122</v>
      </c>
      <c r="D127" s="247">
        <f>'Table S2 Compound Identifiers'!B129</f>
        <v>0</v>
      </c>
      <c r="E127" s="247"/>
      <c r="F127" s="248"/>
      <c r="G127" s="249"/>
      <c r="H127" s="330"/>
      <c r="I127" s="328"/>
      <c r="J127" s="249"/>
      <c r="K127" s="330"/>
      <c r="L127" s="250"/>
      <c r="M127" s="249"/>
      <c r="N127" s="330"/>
      <c r="O127" s="250"/>
      <c r="P127" s="249"/>
      <c r="Q127" s="330"/>
      <c r="R127" s="250"/>
      <c r="S127" s="249"/>
      <c r="T127" s="330"/>
      <c r="U127" s="250"/>
      <c r="V127" s="249"/>
      <c r="W127" s="330"/>
      <c r="X127" s="343"/>
      <c r="Y127" s="249"/>
      <c r="Z127" s="330"/>
      <c r="AA127" s="343"/>
      <c r="AB127" s="249"/>
      <c r="AC127" s="330"/>
      <c r="AD127" s="343"/>
      <c r="AE127" s="249"/>
      <c r="AF127" s="330"/>
      <c r="AG127" s="343"/>
      <c r="AH127" s="249"/>
      <c r="AI127" s="330"/>
      <c r="AJ127" s="343"/>
      <c r="AK127" s="249"/>
      <c r="AL127" s="330"/>
      <c r="AM127" s="343"/>
      <c r="AN127" s="249"/>
      <c r="AO127" s="330"/>
      <c r="AP127" s="343"/>
      <c r="AQ127" s="249"/>
      <c r="AR127" s="330"/>
      <c r="AS127" s="343"/>
      <c r="AT127" s="249"/>
      <c r="AU127" s="330"/>
    </row>
    <row r="128" spans="2:47">
      <c r="B128" s="247">
        <f>'Table S2 Compound Identifiers'!C130</f>
        <v>0</v>
      </c>
      <c r="C128" s="247">
        <f>COUNTIF($D$6:D128,"&lt;&gt;"&amp;"")</f>
        <v>123</v>
      </c>
      <c r="D128" s="247">
        <f>'Table S2 Compound Identifiers'!B130</f>
        <v>0</v>
      </c>
      <c r="E128" s="247"/>
      <c r="F128" s="248"/>
      <c r="G128" s="249"/>
      <c r="H128" s="330"/>
      <c r="I128" s="328"/>
      <c r="J128" s="249"/>
      <c r="K128" s="330"/>
      <c r="L128" s="250"/>
      <c r="M128" s="249"/>
      <c r="N128" s="330"/>
      <c r="O128" s="250"/>
      <c r="P128" s="249"/>
      <c r="Q128" s="330"/>
      <c r="R128" s="250"/>
      <c r="S128" s="249"/>
      <c r="T128" s="330"/>
      <c r="U128" s="250"/>
      <c r="V128" s="249"/>
      <c r="W128" s="330"/>
      <c r="X128" s="343"/>
      <c r="Y128" s="249"/>
      <c r="Z128" s="330"/>
      <c r="AA128" s="343"/>
      <c r="AB128" s="249"/>
      <c r="AC128" s="330"/>
      <c r="AD128" s="343"/>
      <c r="AE128" s="249"/>
      <c r="AF128" s="330"/>
      <c r="AG128" s="343"/>
      <c r="AH128" s="249"/>
      <c r="AI128" s="330"/>
      <c r="AJ128" s="343"/>
      <c r="AK128" s="249"/>
      <c r="AL128" s="330"/>
      <c r="AM128" s="343"/>
      <c r="AN128" s="249"/>
      <c r="AO128" s="330"/>
      <c r="AP128" s="343"/>
      <c r="AQ128" s="249"/>
      <c r="AR128" s="330"/>
      <c r="AS128" s="343"/>
      <c r="AT128" s="249"/>
      <c r="AU128" s="330"/>
    </row>
    <row r="129" spans="2:47">
      <c r="B129" s="247">
        <f>'Table S2 Compound Identifiers'!C131</f>
        <v>0</v>
      </c>
      <c r="C129" s="247">
        <f>COUNTIF($D$6:D129,"&lt;&gt;"&amp;"")</f>
        <v>124</v>
      </c>
      <c r="D129" s="247">
        <f>'Table S2 Compound Identifiers'!B131</f>
        <v>0</v>
      </c>
      <c r="E129" s="247"/>
      <c r="F129" s="248"/>
      <c r="G129" s="249"/>
      <c r="H129" s="330"/>
      <c r="I129" s="328"/>
      <c r="J129" s="249"/>
      <c r="K129" s="330"/>
      <c r="L129" s="250"/>
      <c r="M129" s="249"/>
      <c r="N129" s="330"/>
      <c r="O129" s="250"/>
      <c r="P129" s="249"/>
      <c r="Q129" s="330"/>
      <c r="R129" s="250"/>
      <c r="S129" s="249"/>
      <c r="T129" s="330"/>
      <c r="U129" s="250"/>
      <c r="V129" s="249"/>
      <c r="W129" s="330"/>
      <c r="X129" s="343"/>
      <c r="Y129" s="249"/>
      <c r="Z129" s="330"/>
      <c r="AA129" s="343"/>
      <c r="AB129" s="249"/>
      <c r="AC129" s="330"/>
      <c r="AD129" s="343"/>
      <c r="AE129" s="249"/>
      <c r="AF129" s="330"/>
      <c r="AG129" s="343"/>
      <c r="AH129" s="249"/>
      <c r="AI129" s="330"/>
      <c r="AJ129" s="343"/>
      <c r="AK129" s="249"/>
      <c r="AL129" s="330"/>
      <c r="AM129" s="343"/>
      <c r="AN129" s="249"/>
      <c r="AO129" s="330"/>
      <c r="AP129" s="343"/>
      <c r="AQ129" s="249"/>
      <c r="AR129" s="330"/>
      <c r="AS129" s="343"/>
      <c r="AT129" s="249"/>
      <c r="AU129" s="330"/>
    </row>
    <row r="130" spans="2:47">
      <c r="B130" s="247">
        <f>'Table S2 Compound Identifiers'!C132</f>
        <v>0</v>
      </c>
      <c r="C130" s="247">
        <f>COUNTIF($D$6:D130,"&lt;&gt;"&amp;"")</f>
        <v>125</v>
      </c>
      <c r="D130" s="247">
        <f>'Table S2 Compound Identifiers'!B132</f>
        <v>0</v>
      </c>
      <c r="E130" s="247"/>
      <c r="F130" s="248"/>
      <c r="G130" s="249"/>
      <c r="H130" s="330"/>
      <c r="I130" s="328"/>
      <c r="J130" s="249"/>
      <c r="K130" s="330"/>
      <c r="L130" s="250"/>
      <c r="M130" s="249"/>
      <c r="N130" s="330"/>
      <c r="O130" s="250"/>
      <c r="P130" s="249"/>
      <c r="Q130" s="330"/>
      <c r="R130" s="250"/>
      <c r="S130" s="249"/>
      <c r="T130" s="330"/>
      <c r="U130" s="250"/>
      <c r="V130" s="249"/>
      <c r="W130" s="330"/>
      <c r="X130" s="343"/>
      <c r="Y130" s="249"/>
      <c r="Z130" s="330"/>
      <c r="AA130" s="343"/>
      <c r="AB130" s="249"/>
      <c r="AC130" s="330"/>
      <c r="AD130" s="343"/>
      <c r="AE130" s="249"/>
      <c r="AF130" s="330"/>
      <c r="AG130" s="343"/>
      <c r="AH130" s="249"/>
      <c r="AI130" s="330"/>
      <c r="AJ130" s="343"/>
      <c r="AK130" s="249"/>
      <c r="AL130" s="330"/>
      <c r="AM130" s="343"/>
      <c r="AN130" s="249"/>
      <c r="AO130" s="330"/>
      <c r="AP130" s="343"/>
      <c r="AQ130" s="249"/>
      <c r="AR130" s="330"/>
      <c r="AS130" s="343"/>
      <c r="AT130" s="249"/>
      <c r="AU130" s="330"/>
    </row>
    <row r="131" spans="2:47">
      <c r="B131" s="247">
        <f>'Table S2 Compound Identifiers'!C133</f>
        <v>0</v>
      </c>
      <c r="C131" s="247">
        <f>COUNTIF($D$6:D131,"&lt;&gt;"&amp;"")</f>
        <v>126</v>
      </c>
      <c r="D131" s="247">
        <f>'Table S2 Compound Identifiers'!B133</f>
        <v>0</v>
      </c>
      <c r="E131" s="247"/>
      <c r="F131" s="248"/>
      <c r="G131" s="249"/>
      <c r="H131" s="330"/>
      <c r="I131" s="328"/>
      <c r="J131" s="249"/>
      <c r="K131" s="330"/>
      <c r="L131" s="250"/>
      <c r="M131" s="249"/>
      <c r="N131" s="330"/>
      <c r="O131" s="250"/>
      <c r="P131" s="249"/>
      <c r="Q131" s="330"/>
      <c r="R131" s="250"/>
      <c r="S131" s="249"/>
      <c r="T131" s="330"/>
      <c r="U131" s="250"/>
      <c r="V131" s="249"/>
      <c r="W131" s="330"/>
      <c r="X131" s="343"/>
      <c r="Y131" s="249"/>
      <c r="Z131" s="330"/>
      <c r="AA131" s="343"/>
      <c r="AB131" s="249"/>
      <c r="AC131" s="330"/>
      <c r="AD131" s="343"/>
      <c r="AE131" s="249"/>
      <c r="AF131" s="330"/>
      <c r="AG131" s="343"/>
      <c r="AH131" s="249"/>
      <c r="AI131" s="330"/>
      <c r="AJ131" s="343"/>
      <c r="AK131" s="249"/>
      <c r="AL131" s="330"/>
      <c r="AM131" s="343"/>
      <c r="AN131" s="249"/>
      <c r="AO131" s="330"/>
      <c r="AP131" s="343"/>
      <c r="AQ131" s="249"/>
      <c r="AR131" s="330"/>
      <c r="AS131" s="343"/>
      <c r="AT131" s="249"/>
      <c r="AU131" s="330"/>
    </row>
    <row r="132" spans="2:47">
      <c r="B132" s="247">
        <f>'Table S2 Compound Identifiers'!C134</f>
        <v>0</v>
      </c>
      <c r="C132" s="247">
        <f>COUNTIF($D$6:D132,"&lt;&gt;"&amp;"")</f>
        <v>127</v>
      </c>
      <c r="D132" s="247">
        <f>'Table S2 Compound Identifiers'!B134</f>
        <v>0</v>
      </c>
      <c r="E132" s="247"/>
      <c r="F132" s="248"/>
      <c r="G132" s="249"/>
      <c r="H132" s="330"/>
      <c r="I132" s="328"/>
      <c r="J132" s="249"/>
      <c r="K132" s="330"/>
      <c r="L132" s="250"/>
      <c r="M132" s="249"/>
      <c r="N132" s="330"/>
      <c r="O132" s="250"/>
      <c r="P132" s="249"/>
      <c r="Q132" s="330"/>
      <c r="R132" s="250"/>
      <c r="S132" s="249"/>
      <c r="T132" s="330"/>
      <c r="U132" s="250"/>
      <c r="V132" s="249"/>
      <c r="W132" s="330"/>
      <c r="X132" s="343"/>
      <c r="Y132" s="249"/>
      <c r="Z132" s="330"/>
      <c r="AA132" s="343"/>
      <c r="AB132" s="249"/>
      <c r="AC132" s="330"/>
      <c r="AD132" s="343"/>
      <c r="AE132" s="249"/>
      <c r="AF132" s="330"/>
      <c r="AG132" s="343"/>
      <c r="AH132" s="249"/>
      <c r="AI132" s="330"/>
      <c r="AJ132" s="343"/>
      <c r="AK132" s="249"/>
      <c r="AL132" s="330"/>
      <c r="AM132" s="343"/>
      <c r="AN132" s="249"/>
      <c r="AO132" s="330"/>
      <c r="AP132" s="343"/>
      <c r="AQ132" s="249"/>
      <c r="AR132" s="330"/>
      <c r="AS132" s="343"/>
      <c r="AT132" s="249"/>
      <c r="AU132" s="330"/>
    </row>
    <row r="133" spans="2:47">
      <c r="B133" s="247">
        <f>'Table S2 Compound Identifiers'!C135</f>
        <v>0</v>
      </c>
      <c r="C133" s="247">
        <f>COUNTIF($D$6:D133,"&lt;&gt;"&amp;"")</f>
        <v>128</v>
      </c>
      <c r="D133" s="247">
        <f>'Table S2 Compound Identifiers'!B135</f>
        <v>0</v>
      </c>
      <c r="E133" s="247"/>
      <c r="F133" s="248"/>
      <c r="G133" s="249"/>
      <c r="H133" s="330"/>
      <c r="I133" s="328"/>
      <c r="J133" s="249"/>
      <c r="K133" s="330"/>
      <c r="L133" s="250"/>
      <c r="M133" s="249"/>
      <c r="N133" s="330"/>
      <c r="O133" s="250"/>
      <c r="P133" s="249"/>
      <c r="Q133" s="330"/>
      <c r="R133" s="250"/>
      <c r="S133" s="249"/>
      <c r="T133" s="330"/>
      <c r="U133" s="250"/>
      <c r="V133" s="249"/>
      <c r="W133" s="330"/>
      <c r="X133" s="343"/>
      <c r="Y133" s="249"/>
      <c r="Z133" s="330"/>
      <c r="AA133" s="343"/>
      <c r="AB133" s="249"/>
      <c r="AC133" s="330"/>
      <c r="AD133" s="343"/>
      <c r="AE133" s="249"/>
      <c r="AF133" s="330"/>
      <c r="AG133" s="343"/>
      <c r="AH133" s="249"/>
      <c r="AI133" s="330"/>
      <c r="AJ133" s="343"/>
      <c r="AK133" s="249"/>
      <c r="AL133" s="330"/>
      <c r="AM133" s="343"/>
      <c r="AN133" s="249"/>
      <c r="AO133" s="330"/>
      <c r="AP133" s="343"/>
      <c r="AQ133" s="249"/>
      <c r="AR133" s="330"/>
      <c r="AS133" s="343"/>
      <c r="AT133" s="249"/>
      <c r="AU133" s="330"/>
    </row>
    <row r="134" spans="2:47">
      <c r="B134" s="247">
        <f>'Table S2 Compound Identifiers'!C136</f>
        <v>0</v>
      </c>
      <c r="C134" s="247">
        <f>COUNTIF($D$6:D134,"&lt;&gt;"&amp;"")</f>
        <v>129</v>
      </c>
      <c r="D134" s="247">
        <f>'Table S2 Compound Identifiers'!B136</f>
        <v>0</v>
      </c>
      <c r="E134" s="247"/>
      <c r="F134" s="248"/>
      <c r="G134" s="249"/>
      <c r="H134" s="330"/>
      <c r="I134" s="328"/>
      <c r="J134" s="249"/>
      <c r="K134" s="330"/>
      <c r="L134" s="250"/>
      <c r="M134" s="249"/>
      <c r="N134" s="330"/>
      <c r="O134" s="250"/>
      <c r="P134" s="249"/>
      <c r="Q134" s="330"/>
      <c r="R134" s="250"/>
      <c r="S134" s="249"/>
      <c r="T134" s="330"/>
      <c r="U134" s="250"/>
      <c r="V134" s="249"/>
      <c r="W134" s="330"/>
      <c r="X134" s="343"/>
      <c r="Y134" s="249"/>
      <c r="Z134" s="330"/>
      <c r="AA134" s="343"/>
      <c r="AB134" s="249"/>
      <c r="AC134" s="330"/>
      <c r="AD134" s="343"/>
      <c r="AE134" s="249"/>
      <c r="AF134" s="330"/>
      <c r="AG134" s="343"/>
      <c r="AH134" s="249"/>
      <c r="AI134" s="330"/>
      <c r="AJ134" s="343"/>
      <c r="AK134" s="249"/>
      <c r="AL134" s="330"/>
      <c r="AM134" s="343"/>
      <c r="AN134" s="249"/>
      <c r="AO134" s="330"/>
      <c r="AP134" s="343"/>
      <c r="AQ134" s="249"/>
      <c r="AR134" s="330"/>
      <c r="AS134" s="343"/>
      <c r="AT134" s="249"/>
      <c r="AU134" s="330"/>
    </row>
    <row r="135" spans="2:47">
      <c r="B135" s="247">
        <f>'Table S2 Compound Identifiers'!C137</f>
        <v>0</v>
      </c>
      <c r="C135" s="247">
        <f>COUNTIF($D$6:D135,"&lt;&gt;"&amp;"")</f>
        <v>130</v>
      </c>
      <c r="D135" s="247">
        <f>'Table S2 Compound Identifiers'!B137</f>
        <v>0</v>
      </c>
      <c r="E135" s="247"/>
      <c r="F135" s="248"/>
      <c r="G135" s="249"/>
      <c r="H135" s="330"/>
      <c r="I135" s="328"/>
      <c r="J135" s="249"/>
      <c r="K135" s="330"/>
      <c r="L135" s="250"/>
      <c r="M135" s="249"/>
      <c r="N135" s="330"/>
      <c r="O135" s="250"/>
      <c r="P135" s="249"/>
      <c r="Q135" s="330"/>
      <c r="R135" s="250"/>
      <c r="S135" s="249"/>
      <c r="T135" s="330"/>
      <c r="U135" s="250"/>
      <c r="V135" s="249"/>
      <c r="W135" s="330"/>
      <c r="X135" s="343"/>
      <c r="Y135" s="249"/>
      <c r="Z135" s="330"/>
      <c r="AA135" s="343"/>
      <c r="AB135" s="249"/>
      <c r="AC135" s="330"/>
      <c r="AD135" s="343"/>
      <c r="AE135" s="249"/>
      <c r="AF135" s="330"/>
      <c r="AG135" s="343"/>
      <c r="AH135" s="249"/>
      <c r="AI135" s="330"/>
      <c r="AJ135" s="343"/>
      <c r="AK135" s="249"/>
      <c r="AL135" s="330"/>
      <c r="AM135" s="343"/>
      <c r="AN135" s="249"/>
      <c r="AO135" s="330"/>
      <c r="AP135" s="343"/>
      <c r="AQ135" s="249"/>
      <c r="AR135" s="330"/>
      <c r="AS135" s="343"/>
      <c r="AT135" s="249"/>
      <c r="AU135" s="330"/>
    </row>
    <row r="136" spans="2:47">
      <c r="B136" s="247">
        <f>'Table S2 Compound Identifiers'!C138</f>
        <v>0</v>
      </c>
      <c r="C136" s="247">
        <f>COUNTIF($D$6:D136,"&lt;&gt;"&amp;"")</f>
        <v>131</v>
      </c>
      <c r="D136" s="432">
        <f>'Table S2 Compound Identifiers'!B138</f>
        <v>0</v>
      </c>
      <c r="E136" s="247"/>
      <c r="F136" s="248"/>
      <c r="G136" s="249"/>
      <c r="H136" s="330"/>
      <c r="I136" s="328"/>
      <c r="J136" s="249"/>
      <c r="K136" s="330"/>
      <c r="L136" s="250"/>
      <c r="M136" s="249"/>
      <c r="N136" s="330"/>
      <c r="O136" s="250"/>
      <c r="P136" s="249"/>
      <c r="Q136" s="330"/>
      <c r="R136" s="250"/>
      <c r="S136" s="249"/>
      <c r="T136" s="330"/>
      <c r="U136" s="250"/>
      <c r="V136" s="249"/>
      <c r="W136" s="330"/>
      <c r="X136" s="343"/>
      <c r="Y136" s="249"/>
      <c r="Z136" s="330"/>
      <c r="AA136" s="343"/>
      <c r="AB136" s="249"/>
      <c r="AC136" s="330"/>
      <c r="AD136" s="343"/>
      <c r="AE136" s="249"/>
      <c r="AF136" s="330"/>
      <c r="AG136" s="343"/>
      <c r="AH136" s="249"/>
      <c r="AI136" s="330"/>
      <c r="AJ136" s="343"/>
      <c r="AK136" s="249"/>
      <c r="AL136" s="330"/>
      <c r="AM136" s="343"/>
      <c r="AN136" s="249"/>
      <c r="AO136" s="330"/>
      <c r="AP136" s="343"/>
      <c r="AQ136" s="249"/>
      <c r="AR136" s="330"/>
      <c r="AS136" s="343"/>
      <c r="AT136" s="249"/>
      <c r="AU136" s="330"/>
    </row>
    <row r="137" spans="2:47">
      <c r="B137" s="247">
        <f>'Table S2 Compound Identifiers'!C139</f>
        <v>0</v>
      </c>
      <c r="C137" s="247">
        <f>COUNTIF($D$6:D137,"&lt;&gt;"&amp;"")</f>
        <v>132</v>
      </c>
      <c r="D137" s="432">
        <f>'Table S2 Compound Identifiers'!B139</f>
        <v>0</v>
      </c>
      <c r="E137" s="247"/>
      <c r="F137" s="248"/>
      <c r="G137" s="249"/>
      <c r="H137" s="330"/>
      <c r="I137" s="328"/>
      <c r="J137" s="249"/>
      <c r="K137" s="330"/>
      <c r="L137" s="250"/>
      <c r="M137" s="249"/>
      <c r="N137" s="330"/>
      <c r="O137" s="250"/>
      <c r="P137" s="249"/>
      <c r="Q137" s="330"/>
      <c r="R137" s="250"/>
      <c r="S137" s="249"/>
      <c r="T137" s="330"/>
      <c r="U137" s="250"/>
      <c r="V137" s="249"/>
      <c r="W137" s="330"/>
      <c r="X137" s="343"/>
      <c r="Y137" s="249"/>
      <c r="Z137" s="330"/>
      <c r="AA137" s="343"/>
      <c r="AB137" s="249"/>
      <c r="AC137" s="330"/>
      <c r="AD137" s="343"/>
      <c r="AE137" s="249"/>
      <c r="AF137" s="330"/>
      <c r="AG137" s="343"/>
      <c r="AH137" s="249"/>
      <c r="AI137" s="330"/>
      <c r="AJ137" s="343"/>
      <c r="AK137" s="249"/>
      <c r="AL137" s="330"/>
      <c r="AM137" s="343"/>
      <c r="AN137" s="249"/>
      <c r="AO137" s="330"/>
      <c r="AP137" s="343"/>
      <c r="AQ137" s="249"/>
      <c r="AR137" s="330"/>
      <c r="AS137" s="343"/>
      <c r="AT137" s="249"/>
      <c r="AU137" s="330"/>
    </row>
    <row r="138" spans="2:47">
      <c r="B138" s="247">
        <f>'Table S2 Compound Identifiers'!C140</f>
        <v>0</v>
      </c>
      <c r="C138" s="247">
        <f>COUNTIF($D$6:D138,"&lt;&gt;"&amp;"")</f>
        <v>133</v>
      </c>
      <c r="D138" s="432">
        <f>'Table S2 Compound Identifiers'!B140</f>
        <v>0</v>
      </c>
      <c r="E138" s="247"/>
      <c r="F138" s="248"/>
      <c r="G138" s="249"/>
      <c r="H138" s="330"/>
      <c r="I138" s="328"/>
      <c r="J138" s="249"/>
      <c r="K138" s="330"/>
      <c r="L138" s="250"/>
      <c r="M138" s="249"/>
      <c r="N138" s="330"/>
      <c r="O138" s="250"/>
      <c r="P138" s="249"/>
      <c r="Q138" s="330"/>
      <c r="R138" s="250"/>
      <c r="S138" s="249"/>
      <c r="T138" s="330"/>
      <c r="U138" s="250"/>
      <c r="V138" s="249"/>
      <c r="W138" s="330"/>
      <c r="X138" s="343"/>
      <c r="Y138" s="249"/>
      <c r="Z138" s="330"/>
      <c r="AA138" s="343"/>
      <c r="AB138" s="249"/>
      <c r="AC138" s="330"/>
      <c r="AD138" s="343"/>
      <c r="AE138" s="249"/>
      <c r="AF138" s="330"/>
      <c r="AG138" s="343"/>
      <c r="AH138" s="249"/>
      <c r="AI138" s="330"/>
      <c r="AJ138" s="343"/>
      <c r="AK138" s="249"/>
      <c r="AL138" s="330"/>
      <c r="AM138" s="343"/>
      <c r="AN138" s="249"/>
      <c r="AO138" s="330"/>
      <c r="AP138" s="343"/>
      <c r="AQ138" s="249"/>
      <c r="AR138" s="330"/>
      <c r="AS138" s="343"/>
      <c r="AT138" s="249"/>
      <c r="AU138" s="330"/>
    </row>
    <row r="139" spans="2:47">
      <c r="B139" s="247">
        <f>'Table S2 Compound Identifiers'!C141</f>
        <v>0</v>
      </c>
      <c r="C139" s="247">
        <f>COUNTIF($D$6:D139,"&lt;&gt;"&amp;"")</f>
        <v>134</v>
      </c>
      <c r="D139" s="432">
        <f>'Table S2 Compound Identifiers'!B141</f>
        <v>0</v>
      </c>
      <c r="E139" s="247"/>
      <c r="F139" s="248"/>
      <c r="G139" s="249"/>
      <c r="H139" s="330"/>
      <c r="I139" s="328"/>
      <c r="J139" s="249"/>
      <c r="K139" s="330"/>
      <c r="L139" s="250"/>
      <c r="M139" s="249"/>
      <c r="N139" s="330"/>
      <c r="O139" s="250"/>
      <c r="P139" s="249"/>
      <c r="Q139" s="330"/>
      <c r="R139" s="250"/>
      <c r="S139" s="249"/>
      <c r="T139" s="330"/>
      <c r="U139" s="250"/>
      <c r="V139" s="249"/>
      <c r="W139" s="330"/>
      <c r="X139" s="343"/>
      <c r="Y139" s="249"/>
      <c r="Z139" s="330"/>
      <c r="AA139" s="343"/>
      <c r="AB139" s="249"/>
      <c r="AC139" s="330"/>
      <c r="AD139" s="343"/>
      <c r="AE139" s="249"/>
      <c r="AF139" s="330"/>
      <c r="AG139" s="343"/>
      <c r="AH139" s="249"/>
      <c r="AI139" s="330"/>
      <c r="AJ139" s="343"/>
      <c r="AK139" s="249"/>
      <c r="AL139" s="330"/>
      <c r="AM139" s="343"/>
      <c r="AN139" s="249"/>
      <c r="AO139" s="330"/>
      <c r="AP139" s="343"/>
      <c r="AQ139" s="249"/>
      <c r="AR139" s="330"/>
      <c r="AS139" s="343"/>
      <c r="AT139" s="249"/>
      <c r="AU139" s="330"/>
    </row>
    <row r="140" spans="2:47">
      <c r="B140" s="247">
        <f>'Table S2 Compound Identifiers'!C142</f>
        <v>0</v>
      </c>
      <c r="C140" s="247">
        <f>COUNTIF($D$6:D140,"&lt;&gt;"&amp;"")</f>
        <v>135</v>
      </c>
      <c r="D140" s="432">
        <f>'Table S2 Compound Identifiers'!B142</f>
        <v>0</v>
      </c>
      <c r="E140" s="247"/>
      <c r="F140" s="248"/>
      <c r="G140" s="249"/>
      <c r="H140" s="330"/>
      <c r="I140" s="328"/>
      <c r="J140" s="249"/>
      <c r="K140" s="330"/>
      <c r="L140" s="250"/>
      <c r="M140" s="249"/>
      <c r="N140" s="330"/>
      <c r="O140" s="250"/>
      <c r="P140" s="249"/>
      <c r="Q140" s="330"/>
      <c r="R140" s="250"/>
      <c r="S140" s="249"/>
      <c r="T140" s="330"/>
      <c r="U140" s="250"/>
      <c r="V140" s="249"/>
      <c r="W140" s="330"/>
      <c r="X140" s="343"/>
      <c r="Y140" s="249"/>
      <c r="Z140" s="330"/>
      <c r="AA140" s="343"/>
      <c r="AB140" s="249"/>
      <c r="AC140" s="330"/>
      <c r="AD140" s="343"/>
      <c r="AE140" s="249"/>
      <c r="AF140" s="330"/>
      <c r="AG140" s="343"/>
      <c r="AH140" s="249"/>
      <c r="AI140" s="330"/>
      <c r="AJ140" s="343"/>
      <c r="AK140" s="249"/>
      <c r="AL140" s="330"/>
      <c r="AM140" s="343"/>
      <c r="AN140" s="249"/>
      <c r="AO140" s="330"/>
      <c r="AP140" s="343"/>
      <c r="AQ140" s="249"/>
      <c r="AR140" s="330"/>
      <c r="AS140" s="343"/>
      <c r="AT140" s="249"/>
      <c r="AU140" s="330"/>
    </row>
    <row r="141" spans="2:47">
      <c r="B141" s="247">
        <f>'Table S2 Compound Identifiers'!C143</f>
        <v>0</v>
      </c>
      <c r="C141" s="247">
        <f>COUNTIF($D$6:D141,"&lt;&gt;"&amp;"")</f>
        <v>136</v>
      </c>
      <c r="D141" s="432">
        <f>'Table S2 Compound Identifiers'!B143</f>
        <v>0</v>
      </c>
      <c r="E141" s="247"/>
      <c r="F141" s="248"/>
      <c r="G141" s="249"/>
      <c r="H141" s="330"/>
      <c r="I141" s="328"/>
      <c r="J141" s="249"/>
      <c r="K141" s="330"/>
      <c r="L141" s="250"/>
      <c r="M141" s="249"/>
      <c r="N141" s="330"/>
      <c r="O141" s="250"/>
      <c r="P141" s="249"/>
      <c r="Q141" s="330"/>
      <c r="R141" s="250"/>
      <c r="S141" s="249"/>
      <c r="T141" s="330"/>
      <c r="U141" s="250"/>
      <c r="V141" s="249"/>
      <c r="W141" s="330"/>
      <c r="X141" s="343"/>
      <c r="Y141" s="249"/>
      <c r="Z141" s="330"/>
      <c r="AA141" s="343"/>
      <c r="AB141" s="249"/>
      <c r="AC141" s="330"/>
      <c r="AD141" s="343"/>
      <c r="AE141" s="249"/>
      <c r="AF141" s="330"/>
      <c r="AG141" s="343"/>
      <c r="AH141" s="249"/>
      <c r="AI141" s="330"/>
      <c r="AJ141" s="343"/>
      <c r="AK141" s="249"/>
      <c r="AL141" s="330"/>
      <c r="AM141" s="343"/>
      <c r="AN141" s="249"/>
      <c r="AO141" s="330"/>
      <c r="AP141" s="343"/>
      <c r="AQ141" s="249"/>
      <c r="AR141" s="330"/>
      <c r="AS141" s="343"/>
      <c r="AT141" s="249"/>
      <c r="AU141" s="330"/>
    </row>
    <row r="142" spans="2:47">
      <c r="B142" s="247">
        <f>'Table S2 Compound Identifiers'!C144</f>
        <v>0</v>
      </c>
      <c r="C142" s="247">
        <f>COUNTIF($D$6:D142,"&lt;&gt;"&amp;"")</f>
        <v>137</v>
      </c>
      <c r="D142" s="432">
        <f>'Table S2 Compound Identifiers'!B144</f>
        <v>0</v>
      </c>
      <c r="E142" s="247"/>
      <c r="F142" s="248"/>
      <c r="G142" s="249"/>
      <c r="H142" s="330"/>
      <c r="I142" s="328"/>
      <c r="J142" s="249"/>
      <c r="K142" s="330"/>
      <c r="L142" s="250"/>
      <c r="M142" s="249"/>
      <c r="N142" s="330"/>
      <c r="O142" s="250"/>
      <c r="P142" s="249"/>
      <c r="Q142" s="330"/>
      <c r="R142" s="250"/>
      <c r="S142" s="249"/>
      <c r="T142" s="330"/>
      <c r="U142" s="250"/>
      <c r="V142" s="249"/>
      <c r="W142" s="330"/>
      <c r="X142" s="343"/>
      <c r="Y142" s="249"/>
      <c r="Z142" s="330"/>
      <c r="AA142" s="343"/>
      <c r="AB142" s="249"/>
      <c r="AC142" s="330"/>
      <c r="AD142" s="343"/>
      <c r="AE142" s="249"/>
      <c r="AF142" s="330"/>
      <c r="AG142" s="343"/>
      <c r="AH142" s="249"/>
      <c r="AI142" s="330"/>
      <c r="AJ142" s="343"/>
      <c r="AK142" s="249"/>
      <c r="AL142" s="330"/>
      <c r="AM142" s="343"/>
      <c r="AN142" s="249"/>
      <c r="AO142" s="330"/>
      <c r="AP142" s="343"/>
      <c r="AQ142" s="249"/>
      <c r="AR142" s="330"/>
      <c r="AS142" s="343"/>
      <c r="AT142" s="249"/>
      <c r="AU142" s="330"/>
    </row>
    <row r="143" spans="2:47">
      <c r="B143" s="247">
        <f>'Table S2 Compound Identifiers'!C145</f>
        <v>0</v>
      </c>
      <c r="C143" s="247">
        <f>COUNTIF($D$6:D143,"&lt;&gt;"&amp;"")</f>
        <v>138</v>
      </c>
      <c r="D143" s="432">
        <f>'Table S2 Compound Identifiers'!B145</f>
        <v>0</v>
      </c>
      <c r="E143" s="247"/>
      <c r="F143" s="248"/>
      <c r="G143" s="249"/>
      <c r="H143" s="330"/>
      <c r="I143" s="328"/>
      <c r="J143" s="249"/>
      <c r="K143" s="330"/>
      <c r="L143" s="250"/>
      <c r="M143" s="249"/>
      <c r="N143" s="330"/>
      <c r="O143" s="250"/>
      <c r="P143" s="249"/>
      <c r="Q143" s="330"/>
      <c r="R143" s="250"/>
      <c r="S143" s="249"/>
      <c r="T143" s="330"/>
      <c r="U143" s="250"/>
      <c r="V143" s="249"/>
      <c r="W143" s="330"/>
      <c r="X143" s="343"/>
      <c r="Y143" s="249"/>
      <c r="Z143" s="330"/>
      <c r="AA143" s="343"/>
      <c r="AB143" s="249"/>
      <c r="AC143" s="330"/>
      <c r="AD143" s="343"/>
      <c r="AE143" s="249"/>
      <c r="AF143" s="330"/>
      <c r="AG143" s="343"/>
      <c r="AH143" s="249"/>
      <c r="AI143" s="330"/>
      <c r="AJ143" s="343"/>
      <c r="AK143" s="249"/>
      <c r="AL143" s="330"/>
      <c r="AM143" s="343"/>
      <c r="AN143" s="249"/>
      <c r="AO143" s="330"/>
      <c r="AP143" s="343"/>
      <c r="AQ143" s="249"/>
      <c r="AR143" s="330"/>
      <c r="AS143" s="343"/>
      <c r="AT143" s="249"/>
      <c r="AU143" s="330"/>
    </row>
    <row r="144" spans="2:47">
      <c r="B144" s="247">
        <f>'Table S2 Compound Identifiers'!C146</f>
        <v>0</v>
      </c>
      <c r="C144" s="247">
        <f>COUNTIF($D$6:D144,"&lt;&gt;"&amp;"")</f>
        <v>139</v>
      </c>
      <c r="D144" s="432">
        <f>'Table S2 Compound Identifiers'!B146</f>
        <v>0</v>
      </c>
      <c r="E144" s="247"/>
      <c r="F144" s="248"/>
      <c r="G144" s="249"/>
      <c r="H144" s="330"/>
      <c r="I144" s="328"/>
      <c r="J144" s="249"/>
      <c r="K144" s="330"/>
      <c r="L144" s="250"/>
      <c r="M144" s="249"/>
      <c r="N144" s="330"/>
      <c r="O144" s="250"/>
      <c r="P144" s="249"/>
      <c r="Q144" s="330"/>
      <c r="R144" s="250"/>
      <c r="S144" s="249"/>
      <c r="T144" s="330"/>
      <c r="U144" s="250"/>
      <c r="V144" s="249"/>
      <c r="W144" s="330"/>
      <c r="X144" s="343"/>
      <c r="Y144" s="249"/>
      <c r="Z144" s="330"/>
      <c r="AA144" s="343"/>
      <c r="AB144" s="249"/>
      <c r="AC144" s="330"/>
      <c r="AD144" s="343"/>
      <c r="AE144" s="249"/>
      <c r="AF144" s="330"/>
      <c r="AG144" s="343"/>
      <c r="AH144" s="249"/>
      <c r="AI144" s="330"/>
      <c r="AJ144" s="343"/>
      <c r="AK144" s="249"/>
      <c r="AL144" s="330"/>
      <c r="AM144" s="343"/>
      <c r="AN144" s="249"/>
      <c r="AO144" s="330"/>
      <c r="AP144" s="343"/>
      <c r="AQ144" s="249"/>
      <c r="AR144" s="330"/>
      <c r="AS144" s="343"/>
      <c r="AT144" s="249"/>
      <c r="AU144" s="330"/>
    </row>
    <row r="145" spans="2:47">
      <c r="B145" s="247">
        <f>'Table S2 Compound Identifiers'!C147</f>
        <v>0</v>
      </c>
      <c r="C145" s="247">
        <f>COUNTIF($D$6:D145,"&lt;&gt;"&amp;"")</f>
        <v>140</v>
      </c>
      <c r="D145" s="432">
        <f>'Table S2 Compound Identifiers'!B147</f>
        <v>0</v>
      </c>
      <c r="E145" s="247"/>
      <c r="F145" s="248"/>
      <c r="G145" s="249"/>
      <c r="H145" s="330"/>
      <c r="I145" s="328"/>
      <c r="J145" s="249"/>
      <c r="K145" s="330"/>
      <c r="L145" s="250"/>
      <c r="M145" s="249"/>
      <c r="N145" s="330"/>
      <c r="O145" s="250"/>
      <c r="P145" s="249"/>
      <c r="Q145" s="330"/>
      <c r="R145" s="250"/>
      <c r="S145" s="249"/>
      <c r="T145" s="330"/>
      <c r="U145" s="250"/>
      <c r="V145" s="249"/>
      <c r="W145" s="330"/>
      <c r="X145" s="343"/>
      <c r="Y145" s="249"/>
      <c r="Z145" s="330"/>
      <c r="AA145" s="343"/>
      <c r="AB145" s="249"/>
      <c r="AC145" s="330"/>
      <c r="AD145" s="343"/>
      <c r="AE145" s="249"/>
      <c r="AF145" s="330"/>
      <c r="AG145" s="343"/>
      <c r="AH145" s="249"/>
      <c r="AI145" s="330"/>
      <c r="AJ145" s="343"/>
      <c r="AK145" s="249"/>
      <c r="AL145" s="330"/>
      <c r="AM145" s="343"/>
      <c r="AN145" s="249"/>
      <c r="AO145" s="330"/>
      <c r="AP145" s="343"/>
      <c r="AQ145" s="249"/>
      <c r="AR145" s="330"/>
      <c r="AS145" s="343"/>
      <c r="AT145" s="249"/>
      <c r="AU145" s="330"/>
    </row>
    <row r="146" spans="2:47">
      <c r="B146" s="247">
        <f>'Table S2 Compound Identifiers'!C148</f>
        <v>0</v>
      </c>
      <c r="C146" s="247">
        <f>COUNTIF($D$6:D146,"&lt;&gt;"&amp;"")</f>
        <v>141</v>
      </c>
      <c r="D146" s="247">
        <f>'Table S2 Compound Identifiers'!B148</f>
        <v>0</v>
      </c>
      <c r="E146" s="247"/>
      <c r="F146" s="248"/>
      <c r="G146" s="249"/>
      <c r="H146" s="330"/>
      <c r="I146" s="328"/>
      <c r="J146" s="249"/>
      <c r="K146" s="330"/>
      <c r="L146" s="250"/>
      <c r="M146" s="249"/>
      <c r="N146" s="330"/>
      <c r="O146" s="250"/>
      <c r="P146" s="249"/>
      <c r="Q146" s="330"/>
      <c r="R146" s="250"/>
      <c r="S146" s="249"/>
      <c r="T146" s="330"/>
      <c r="U146" s="250"/>
      <c r="V146" s="249"/>
      <c r="W146" s="330"/>
      <c r="X146" s="343"/>
      <c r="Y146" s="249"/>
      <c r="Z146" s="330"/>
      <c r="AA146" s="343"/>
      <c r="AB146" s="249"/>
      <c r="AC146" s="330"/>
      <c r="AD146" s="343"/>
      <c r="AE146" s="249"/>
      <c r="AF146" s="330"/>
      <c r="AG146" s="343"/>
      <c r="AH146" s="249"/>
      <c r="AI146" s="330"/>
      <c r="AJ146" s="343"/>
      <c r="AK146" s="249"/>
      <c r="AL146" s="330"/>
      <c r="AM146" s="343"/>
      <c r="AN146" s="249"/>
      <c r="AO146" s="330"/>
      <c r="AP146" s="343"/>
      <c r="AQ146" s="249"/>
      <c r="AR146" s="330"/>
      <c r="AS146" s="343"/>
      <c r="AT146" s="249"/>
      <c r="AU146" s="330"/>
    </row>
    <row r="147" spans="2:47">
      <c r="B147" s="247">
        <f>'Table S2 Compound Identifiers'!C149</f>
        <v>0</v>
      </c>
      <c r="C147" s="247">
        <f>COUNTIF($D$6:D147,"&lt;&gt;"&amp;"")</f>
        <v>142</v>
      </c>
      <c r="D147" s="247">
        <f>'Table S2 Compound Identifiers'!B149</f>
        <v>0</v>
      </c>
      <c r="E147" s="247"/>
      <c r="F147" s="248"/>
      <c r="G147" s="249"/>
      <c r="H147" s="330"/>
      <c r="I147" s="328"/>
      <c r="J147" s="249"/>
      <c r="K147" s="330"/>
      <c r="L147" s="250"/>
      <c r="M147" s="249"/>
      <c r="N147" s="330"/>
      <c r="O147" s="250"/>
      <c r="P147" s="249"/>
      <c r="Q147" s="330"/>
      <c r="R147" s="250"/>
      <c r="S147" s="249"/>
      <c r="T147" s="330"/>
      <c r="U147" s="250"/>
      <c r="V147" s="249"/>
      <c r="W147" s="330"/>
      <c r="X147" s="343"/>
      <c r="Y147" s="249"/>
      <c r="Z147" s="330"/>
      <c r="AA147" s="343"/>
      <c r="AB147" s="249"/>
      <c r="AC147" s="330"/>
      <c r="AD147" s="343"/>
      <c r="AE147" s="249"/>
      <c r="AF147" s="330"/>
      <c r="AG147" s="343"/>
      <c r="AH147" s="249"/>
      <c r="AI147" s="330"/>
      <c r="AJ147" s="343"/>
      <c r="AK147" s="249"/>
      <c r="AL147" s="330"/>
      <c r="AM147" s="343"/>
      <c r="AN147" s="249"/>
      <c r="AO147" s="330"/>
      <c r="AP147" s="343"/>
      <c r="AQ147" s="249"/>
      <c r="AR147" s="330"/>
      <c r="AS147" s="343"/>
      <c r="AT147" s="249"/>
      <c r="AU147" s="330"/>
    </row>
    <row r="148" spans="2:47">
      <c r="B148" s="247">
        <f>'Table S2 Compound Identifiers'!C150</f>
        <v>0</v>
      </c>
      <c r="C148" s="247">
        <f>COUNTIF($D$6:D148,"&lt;&gt;"&amp;"")</f>
        <v>143</v>
      </c>
      <c r="D148" s="247">
        <f>'Table S2 Compound Identifiers'!B150</f>
        <v>0</v>
      </c>
      <c r="E148" s="247"/>
      <c r="F148" s="248"/>
      <c r="G148" s="249"/>
      <c r="H148" s="330"/>
      <c r="I148" s="328"/>
      <c r="J148" s="249"/>
      <c r="K148" s="330"/>
      <c r="L148" s="250"/>
      <c r="M148" s="249"/>
      <c r="N148" s="330"/>
      <c r="O148" s="250"/>
      <c r="P148" s="249"/>
      <c r="Q148" s="330"/>
      <c r="R148" s="250"/>
      <c r="S148" s="249"/>
      <c r="T148" s="330"/>
      <c r="U148" s="250"/>
      <c r="V148" s="249"/>
      <c r="W148" s="330"/>
      <c r="X148" s="343"/>
      <c r="Y148" s="249"/>
      <c r="Z148" s="330"/>
      <c r="AA148" s="343"/>
      <c r="AB148" s="249"/>
      <c r="AC148" s="330"/>
      <c r="AD148" s="343"/>
      <c r="AE148" s="249"/>
      <c r="AF148" s="330"/>
      <c r="AG148" s="343"/>
      <c r="AH148" s="249"/>
      <c r="AI148" s="330"/>
      <c r="AJ148" s="343"/>
      <c r="AK148" s="249"/>
      <c r="AL148" s="330"/>
      <c r="AM148" s="343"/>
      <c r="AN148" s="249"/>
      <c r="AO148" s="330"/>
      <c r="AP148" s="343"/>
      <c r="AQ148" s="249"/>
      <c r="AR148" s="330"/>
      <c r="AS148" s="343"/>
      <c r="AT148" s="249"/>
      <c r="AU148" s="330"/>
    </row>
    <row r="149" spans="2:47">
      <c r="B149" s="247">
        <f>'Table S2 Compound Identifiers'!C151</f>
        <v>0</v>
      </c>
      <c r="C149" s="247">
        <f>COUNTIF($D$6:D149,"&lt;&gt;"&amp;"")</f>
        <v>144</v>
      </c>
      <c r="D149" s="247">
        <f>'Table S2 Compound Identifiers'!B151</f>
        <v>0</v>
      </c>
      <c r="E149" s="247"/>
      <c r="F149" s="248"/>
      <c r="G149" s="249"/>
      <c r="H149" s="330"/>
      <c r="I149" s="328"/>
      <c r="J149" s="249"/>
      <c r="K149" s="330"/>
      <c r="L149" s="250"/>
      <c r="M149" s="249"/>
      <c r="N149" s="330"/>
      <c r="O149" s="250"/>
      <c r="P149" s="249"/>
      <c r="Q149" s="330"/>
      <c r="R149" s="250"/>
      <c r="S149" s="249"/>
      <c r="T149" s="330"/>
      <c r="U149" s="250"/>
      <c r="V149" s="249"/>
      <c r="W149" s="330"/>
      <c r="X149" s="343"/>
      <c r="Y149" s="249"/>
      <c r="Z149" s="330"/>
      <c r="AA149" s="343"/>
      <c r="AB149" s="249"/>
      <c r="AC149" s="330"/>
      <c r="AD149" s="343"/>
      <c r="AE149" s="249"/>
      <c r="AF149" s="330"/>
      <c r="AG149" s="343"/>
      <c r="AH149" s="249"/>
      <c r="AI149" s="330"/>
      <c r="AJ149" s="343"/>
      <c r="AK149" s="249"/>
      <c r="AL149" s="330"/>
      <c r="AM149" s="343"/>
      <c r="AN149" s="249"/>
      <c r="AO149" s="330"/>
      <c r="AP149" s="343"/>
      <c r="AQ149" s="249"/>
      <c r="AR149" s="330"/>
      <c r="AS149" s="343"/>
      <c r="AT149" s="249"/>
      <c r="AU149" s="330"/>
    </row>
    <row r="150" spans="2:47">
      <c r="B150" s="247">
        <f>'Table S2 Compound Identifiers'!C152</f>
        <v>0</v>
      </c>
      <c r="C150" s="247">
        <f>COUNTIF($D$6:D150,"&lt;&gt;"&amp;"")</f>
        <v>145</v>
      </c>
      <c r="D150" s="247">
        <f>'Table S2 Compound Identifiers'!B152</f>
        <v>0</v>
      </c>
      <c r="E150" s="247"/>
      <c r="F150" s="248"/>
      <c r="G150" s="249"/>
      <c r="H150" s="330"/>
      <c r="I150" s="328"/>
      <c r="J150" s="249"/>
      <c r="K150" s="330"/>
      <c r="L150" s="250"/>
      <c r="M150" s="249"/>
      <c r="N150" s="330"/>
      <c r="O150" s="250"/>
      <c r="P150" s="249"/>
      <c r="Q150" s="330"/>
      <c r="R150" s="250"/>
      <c r="S150" s="249"/>
      <c r="T150" s="330"/>
      <c r="U150" s="250"/>
      <c r="V150" s="249"/>
      <c r="W150" s="330"/>
      <c r="X150" s="343"/>
      <c r="Y150" s="249"/>
      <c r="Z150" s="330"/>
      <c r="AA150" s="343"/>
      <c r="AB150" s="249"/>
      <c r="AC150" s="330"/>
      <c r="AD150" s="343"/>
      <c r="AE150" s="249"/>
      <c r="AF150" s="330"/>
      <c r="AG150" s="343"/>
      <c r="AH150" s="249"/>
      <c r="AI150" s="330"/>
      <c r="AJ150" s="343"/>
      <c r="AK150" s="249"/>
      <c r="AL150" s="330"/>
      <c r="AM150" s="343"/>
      <c r="AN150" s="249"/>
      <c r="AO150" s="330"/>
      <c r="AP150" s="343"/>
      <c r="AQ150" s="249"/>
      <c r="AR150" s="330"/>
      <c r="AS150" s="343"/>
      <c r="AT150" s="249"/>
      <c r="AU150" s="330"/>
    </row>
    <row r="151" spans="2:47">
      <c r="B151" s="247">
        <f>'Table S2 Compound Identifiers'!C153</f>
        <v>0</v>
      </c>
      <c r="C151" s="247">
        <f>COUNTIF($D$6:D151,"&lt;&gt;"&amp;"")</f>
        <v>146</v>
      </c>
      <c r="D151" s="247">
        <f>'Table S2 Compound Identifiers'!B153</f>
        <v>0</v>
      </c>
      <c r="E151" s="247"/>
      <c r="F151" s="248"/>
      <c r="G151" s="249"/>
      <c r="H151" s="330"/>
      <c r="I151" s="328"/>
      <c r="J151" s="249"/>
      <c r="K151" s="330"/>
      <c r="L151" s="250"/>
      <c r="M151" s="249"/>
      <c r="N151" s="330"/>
      <c r="O151" s="250"/>
      <c r="P151" s="249"/>
      <c r="Q151" s="330"/>
      <c r="R151" s="250"/>
      <c r="S151" s="249"/>
      <c r="T151" s="330"/>
      <c r="U151" s="250"/>
      <c r="V151" s="249"/>
      <c r="W151" s="330"/>
      <c r="X151" s="343"/>
      <c r="Y151" s="249"/>
      <c r="Z151" s="330"/>
      <c r="AA151" s="343"/>
      <c r="AB151" s="249"/>
      <c r="AC151" s="330"/>
      <c r="AD151" s="343"/>
      <c r="AE151" s="249"/>
      <c r="AF151" s="330"/>
      <c r="AG151" s="343"/>
      <c r="AH151" s="249"/>
      <c r="AI151" s="330"/>
      <c r="AJ151" s="343"/>
      <c r="AK151" s="249"/>
      <c r="AL151" s="330"/>
      <c r="AM151" s="343"/>
      <c r="AN151" s="249"/>
      <c r="AO151" s="330"/>
      <c r="AP151" s="343"/>
      <c r="AQ151" s="249"/>
      <c r="AR151" s="330"/>
      <c r="AS151" s="343"/>
      <c r="AT151" s="249"/>
      <c r="AU151" s="330"/>
    </row>
    <row r="152" spans="2:47">
      <c r="B152" s="247">
        <f>'Table S2 Compound Identifiers'!C154</f>
        <v>0</v>
      </c>
      <c r="C152" s="247">
        <f>COUNTIF($D$6:D152,"&lt;&gt;"&amp;"")</f>
        <v>147</v>
      </c>
      <c r="D152" s="247">
        <f>'Table S2 Compound Identifiers'!B154</f>
        <v>0</v>
      </c>
      <c r="E152" s="247"/>
      <c r="F152" s="248"/>
      <c r="G152" s="249"/>
      <c r="H152" s="330"/>
      <c r="I152" s="328"/>
      <c r="J152" s="249"/>
      <c r="K152" s="330"/>
      <c r="L152" s="250"/>
      <c r="M152" s="249"/>
      <c r="N152" s="330"/>
      <c r="O152" s="251"/>
      <c r="P152" s="252"/>
      <c r="Q152" s="330"/>
      <c r="R152" s="251"/>
      <c r="S152" s="252"/>
      <c r="T152" s="330"/>
      <c r="U152" s="251"/>
      <c r="V152" s="252"/>
      <c r="W152" s="330"/>
      <c r="X152" s="343"/>
      <c r="Y152" s="249"/>
      <c r="Z152" s="330"/>
      <c r="AA152" s="343"/>
      <c r="AB152" s="249"/>
      <c r="AC152" s="330"/>
      <c r="AD152" s="343"/>
      <c r="AE152" s="249"/>
      <c r="AF152" s="330"/>
      <c r="AG152" s="343"/>
      <c r="AH152" s="249"/>
      <c r="AI152" s="330"/>
      <c r="AJ152" s="343"/>
      <c r="AK152" s="249"/>
      <c r="AL152" s="330"/>
      <c r="AM152" s="343"/>
      <c r="AN152" s="249"/>
      <c r="AO152" s="330"/>
      <c r="AP152" s="343"/>
      <c r="AQ152" s="249"/>
      <c r="AR152" s="330"/>
      <c r="AS152" s="343"/>
      <c r="AT152" s="249"/>
      <c r="AU152" s="330"/>
    </row>
    <row r="153" spans="2:47">
      <c r="B153" s="247">
        <f>'Table S2 Compound Identifiers'!C155</f>
        <v>0</v>
      </c>
      <c r="C153" s="253">
        <f>COUNTIF($D$6:D153,"&lt;&gt;"&amp;"")</f>
        <v>148</v>
      </c>
      <c r="D153" s="253">
        <f>'Table S2 Compound Identifiers'!B155</f>
        <v>0</v>
      </c>
      <c r="E153" s="253"/>
      <c r="F153" s="254"/>
      <c r="G153" s="252"/>
      <c r="H153" s="330"/>
      <c r="I153" s="333"/>
      <c r="J153" s="252"/>
      <c r="K153" s="330"/>
      <c r="L153" s="251"/>
      <c r="M153" s="252"/>
      <c r="N153" s="330"/>
      <c r="O153" s="251"/>
      <c r="P153" s="252"/>
      <c r="Q153" s="330"/>
      <c r="R153" s="251"/>
      <c r="S153" s="252"/>
      <c r="T153" s="330"/>
      <c r="U153" s="251"/>
      <c r="V153" s="252"/>
      <c r="W153" s="330"/>
      <c r="X153" s="343"/>
      <c r="Y153" s="249"/>
      <c r="Z153" s="330"/>
      <c r="AA153" s="343"/>
      <c r="AB153" s="249"/>
      <c r="AC153" s="330"/>
      <c r="AD153" s="343"/>
      <c r="AE153" s="249"/>
      <c r="AF153" s="330"/>
      <c r="AG153" s="343"/>
      <c r="AH153" s="249"/>
      <c r="AI153" s="330"/>
      <c r="AJ153" s="343"/>
      <c r="AK153" s="249"/>
      <c r="AL153" s="330"/>
      <c r="AM153" s="343"/>
      <c r="AN153" s="249"/>
      <c r="AO153" s="330"/>
      <c r="AP153" s="343"/>
      <c r="AQ153" s="249"/>
      <c r="AR153" s="330"/>
      <c r="AS153" s="343"/>
      <c r="AT153" s="249"/>
      <c r="AU153" s="330"/>
    </row>
    <row r="154" spans="2:47">
      <c r="B154" s="247">
        <f>'Table S2 Compound Identifiers'!C156</f>
        <v>0</v>
      </c>
      <c r="C154" s="247">
        <f>COUNTIF($D$6:D154,"&lt;&gt;"&amp;"")</f>
        <v>149</v>
      </c>
      <c r="D154" s="247">
        <f>'Table S2 Compound Identifiers'!B156</f>
        <v>0</v>
      </c>
      <c r="E154" s="247"/>
      <c r="F154" s="248"/>
      <c r="G154" s="250"/>
      <c r="H154" s="330"/>
      <c r="I154" s="343"/>
      <c r="J154" s="249"/>
      <c r="K154" s="327"/>
      <c r="L154" s="343"/>
      <c r="M154" s="249"/>
      <c r="N154" s="327"/>
      <c r="O154" s="343"/>
      <c r="P154" s="249"/>
      <c r="Q154" s="327"/>
      <c r="R154" s="343"/>
      <c r="S154" s="249"/>
      <c r="T154" s="327"/>
      <c r="U154" s="343"/>
      <c r="V154" s="249"/>
      <c r="W154" s="327"/>
      <c r="X154" s="343"/>
      <c r="Y154" s="249"/>
      <c r="Z154" s="327"/>
      <c r="AA154" s="343"/>
      <c r="AB154" s="249"/>
      <c r="AC154" s="343"/>
      <c r="AD154" s="343"/>
      <c r="AE154" s="249"/>
      <c r="AF154" s="249"/>
      <c r="AG154" s="343"/>
      <c r="AH154" s="249"/>
      <c r="AI154" s="343"/>
      <c r="AJ154" s="343"/>
      <c r="AK154" s="249"/>
      <c r="AL154" s="249"/>
      <c r="AM154" s="343"/>
      <c r="AN154" s="249"/>
      <c r="AO154" s="343"/>
      <c r="AP154" s="343"/>
      <c r="AQ154" s="249"/>
      <c r="AR154" s="249"/>
      <c r="AS154" s="343"/>
      <c r="AT154" s="249"/>
      <c r="AU154" s="343"/>
    </row>
    <row r="155" spans="2:47">
      <c r="B155" s="247">
        <f>'Table S2 Compound Identifiers'!C157</f>
        <v>0</v>
      </c>
      <c r="C155" s="247">
        <f>COUNTIF($D$6:D155,"&lt;&gt;"&amp;"")</f>
        <v>150</v>
      </c>
      <c r="D155" s="247">
        <f>'Table S2 Compound Identifiers'!B157</f>
        <v>0</v>
      </c>
      <c r="E155" s="247"/>
      <c r="F155" s="248"/>
      <c r="G155" s="249"/>
      <c r="H155" s="330"/>
      <c r="I155" s="332"/>
      <c r="J155" s="330"/>
      <c r="K155" s="330"/>
      <c r="L155" s="330"/>
      <c r="M155" s="330"/>
      <c r="N155" s="330"/>
      <c r="O155" s="330"/>
      <c r="P155" s="330"/>
      <c r="Q155" s="330"/>
      <c r="R155" s="330"/>
      <c r="S155" s="330"/>
      <c r="T155" s="330"/>
      <c r="U155" s="330"/>
      <c r="V155" s="330"/>
      <c r="W155" s="330"/>
      <c r="X155" s="343"/>
      <c r="Y155" s="249"/>
      <c r="Z155" s="330"/>
      <c r="AA155" s="343"/>
      <c r="AB155" s="249"/>
      <c r="AC155" s="330"/>
      <c r="AD155" s="343"/>
      <c r="AE155" s="249"/>
      <c r="AF155" s="330"/>
      <c r="AG155" s="343"/>
      <c r="AH155" s="249"/>
      <c r="AI155" s="330"/>
      <c r="AJ155" s="343"/>
      <c r="AK155" s="249"/>
      <c r="AL155" s="330"/>
      <c r="AM155" s="343"/>
      <c r="AN155" s="249"/>
      <c r="AO155" s="330"/>
      <c r="AP155" s="343"/>
      <c r="AQ155" s="249"/>
      <c r="AR155" s="330"/>
      <c r="AS155" s="343"/>
      <c r="AT155" s="249"/>
      <c r="AU155" s="330"/>
    </row>
    <row r="156" spans="2:47">
      <c r="B156" s="247">
        <f>'Table S2 Compound Identifiers'!C158</f>
        <v>0</v>
      </c>
      <c r="C156" s="247">
        <f>COUNTIF($D$6:D156,"&lt;&gt;"&amp;"")</f>
        <v>151</v>
      </c>
      <c r="D156" s="247">
        <f>'Table S2 Compound Identifiers'!B158</f>
        <v>0</v>
      </c>
      <c r="E156" s="247"/>
      <c r="F156" s="248"/>
      <c r="G156" s="249"/>
      <c r="H156" s="330"/>
      <c r="I156" s="332"/>
      <c r="J156" s="330"/>
      <c r="K156" s="330"/>
      <c r="L156" s="330"/>
      <c r="M156" s="330"/>
      <c r="N156" s="330"/>
      <c r="O156" s="330"/>
      <c r="P156" s="330"/>
      <c r="Q156" s="330"/>
      <c r="R156" s="330"/>
      <c r="S156" s="330"/>
      <c r="T156" s="330"/>
      <c r="U156" s="330"/>
      <c r="V156" s="330"/>
      <c r="W156" s="330"/>
      <c r="X156" s="343"/>
      <c r="Y156" s="249"/>
      <c r="Z156" s="330"/>
      <c r="AA156" s="343"/>
      <c r="AB156" s="249"/>
      <c r="AC156" s="330"/>
      <c r="AD156" s="343"/>
      <c r="AE156" s="249"/>
      <c r="AF156" s="330"/>
      <c r="AG156" s="343"/>
      <c r="AH156" s="249"/>
      <c r="AI156" s="330"/>
      <c r="AJ156" s="343"/>
      <c r="AK156" s="249"/>
      <c r="AL156" s="330"/>
      <c r="AM156" s="343"/>
      <c r="AN156" s="249"/>
      <c r="AO156" s="330"/>
      <c r="AP156" s="343"/>
      <c r="AQ156" s="249"/>
      <c r="AR156" s="330"/>
      <c r="AS156" s="343"/>
      <c r="AT156" s="249"/>
      <c r="AU156" s="330"/>
    </row>
    <row r="157" spans="2:47">
      <c r="B157" s="247">
        <f>'Table S2 Compound Identifiers'!C159</f>
        <v>0</v>
      </c>
      <c r="C157" s="247">
        <f>COUNTIF($D$6:D157,"&lt;&gt;"&amp;"")</f>
        <v>152</v>
      </c>
      <c r="D157" s="247">
        <f>'Table S2 Compound Identifiers'!B159</f>
        <v>0</v>
      </c>
      <c r="E157" s="247"/>
      <c r="F157" s="248"/>
      <c r="G157" s="249"/>
      <c r="H157" s="330"/>
      <c r="I157" s="332"/>
      <c r="J157" s="330"/>
      <c r="K157" s="330"/>
      <c r="L157" s="330"/>
      <c r="M157" s="330"/>
      <c r="N157" s="330"/>
      <c r="O157" s="330"/>
      <c r="P157" s="330"/>
      <c r="Q157" s="330"/>
      <c r="R157" s="330"/>
      <c r="S157" s="330"/>
      <c r="T157" s="330"/>
      <c r="U157" s="330"/>
      <c r="V157" s="330"/>
      <c r="W157" s="330"/>
      <c r="X157" s="343"/>
      <c r="Y157" s="249"/>
      <c r="Z157" s="330"/>
      <c r="AA157" s="343"/>
      <c r="AB157" s="249"/>
      <c r="AC157" s="330"/>
      <c r="AD157" s="343"/>
      <c r="AE157" s="249"/>
      <c r="AF157" s="330"/>
      <c r="AG157" s="343"/>
      <c r="AH157" s="249"/>
      <c r="AI157" s="330"/>
      <c r="AJ157" s="343"/>
      <c r="AK157" s="249"/>
      <c r="AL157" s="330"/>
      <c r="AM157" s="343"/>
      <c r="AN157" s="249"/>
      <c r="AO157" s="330"/>
      <c r="AP157" s="343"/>
      <c r="AQ157" s="249"/>
      <c r="AR157" s="330"/>
      <c r="AS157" s="343"/>
      <c r="AT157" s="249"/>
      <c r="AU157" s="330"/>
    </row>
    <row r="158" spans="2:47">
      <c r="B158" s="247">
        <f>'Table S2 Compound Identifiers'!C160</f>
        <v>0</v>
      </c>
      <c r="C158" s="247">
        <f>COUNTIF($D$6:D158,"&lt;&gt;"&amp;"")</f>
        <v>153</v>
      </c>
      <c r="D158" s="247">
        <f>'Table S2 Compound Identifiers'!B160</f>
        <v>0</v>
      </c>
      <c r="E158" s="247"/>
      <c r="F158" s="248"/>
      <c r="G158" s="249"/>
      <c r="H158" s="330"/>
      <c r="I158" s="328"/>
      <c r="J158" s="249"/>
      <c r="K158" s="330"/>
      <c r="L158" s="250"/>
      <c r="M158" s="249"/>
      <c r="N158" s="330"/>
      <c r="O158" s="250"/>
      <c r="P158" s="249"/>
      <c r="Q158" s="330"/>
      <c r="R158" s="250"/>
      <c r="S158" s="249"/>
      <c r="T158" s="330"/>
      <c r="U158" s="250"/>
      <c r="V158" s="249"/>
      <c r="W158" s="330"/>
      <c r="X158" s="343"/>
      <c r="Y158" s="249"/>
      <c r="Z158" s="330"/>
      <c r="AA158" s="343"/>
      <c r="AB158" s="249"/>
      <c r="AC158" s="330"/>
      <c r="AD158" s="343"/>
      <c r="AE158" s="249"/>
      <c r="AF158" s="330"/>
      <c r="AG158" s="343"/>
      <c r="AH158" s="249"/>
      <c r="AI158" s="330"/>
      <c r="AJ158" s="343"/>
      <c r="AK158" s="249"/>
      <c r="AL158" s="330"/>
      <c r="AM158" s="343"/>
      <c r="AN158" s="249"/>
      <c r="AO158" s="330"/>
      <c r="AP158" s="343"/>
      <c r="AQ158" s="249"/>
      <c r="AR158" s="330"/>
      <c r="AS158" s="343"/>
      <c r="AT158" s="249"/>
      <c r="AU158" s="330"/>
    </row>
    <row r="159" spans="2:47">
      <c r="B159" s="247">
        <f>'Table S2 Compound Identifiers'!C161</f>
        <v>0</v>
      </c>
      <c r="C159" s="247">
        <f>COUNTIF($D$6:D159,"&lt;&gt;"&amp;"")</f>
        <v>154</v>
      </c>
      <c r="D159" s="247">
        <f>'Table S2 Compound Identifiers'!B161</f>
        <v>0</v>
      </c>
      <c r="E159" s="247"/>
      <c r="F159" s="248"/>
      <c r="G159" s="249"/>
      <c r="H159" s="330"/>
      <c r="I159" s="328"/>
      <c r="J159" s="249"/>
      <c r="K159" s="330"/>
      <c r="L159" s="250"/>
      <c r="M159" s="249"/>
      <c r="N159" s="330"/>
      <c r="O159" s="250"/>
      <c r="P159" s="249"/>
      <c r="Q159" s="330"/>
      <c r="R159" s="250"/>
      <c r="S159" s="249"/>
      <c r="T159" s="330"/>
      <c r="U159" s="250"/>
      <c r="V159" s="249"/>
      <c r="W159" s="330"/>
      <c r="X159" s="343"/>
      <c r="Y159" s="249"/>
      <c r="Z159" s="330"/>
      <c r="AA159" s="343"/>
      <c r="AB159" s="249"/>
      <c r="AC159" s="330"/>
      <c r="AD159" s="343"/>
      <c r="AE159" s="249"/>
      <c r="AF159" s="330"/>
      <c r="AG159" s="343"/>
      <c r="AH159" s="249"/>
      <c r="AI159" s="330"/>
      <c r="AJ159" s="343"/>
      <c r="AK159" s="249"/>
      <c r="AL159" s="330"/>
      <c r="AM159" s="343"/>
      <c r="AN159" s="249"/>
      <c r="AO159" s="330"/>
      <c r="AP159" s="343"/>
      <c r="AQ159" s="249"/>
      <c r="AR159" s="330"/>
      <c r="AS159" s="343"/>
      <c r="AT159" s="249"/>
      <c r="AU159" s="330"/>
    </row>
    <row r="160" spans="2:47">
      <c r="B160" s="247">
        <f>'Table S2 Compound Identifiers'!C162</f>
        <v>0</v>
      </c>
      <c r="C160" s="247">
        <f>COUNTIF($D$6:D160,"&lt;&gt;"&amp;"")</f>
        <v>155</v>
      </c>
      <c r="D160" s="247">
        <f>'Table S2 Compound Identifiers'!B162</f>
        <v>0</v>
      </c>
      <c r="E160" s="247"/>
      <c r="F160" s="248"/>
      <c r="G160" s="249"/>
      <c r="H160" s="330"/>
      <c r="I160" s="328"/>
      <c r="J160" s="249"/>
      <c r="K160" s="330"/>
      <c r="L160" s="250"/>
      <c r="M160" s="249"/>
      <c r="N160" s="330"/>
      <c r="O160" s="250"/>
      <c r="P160" s="249"/>
      <c r="Q160" s="330"/>
      <c r="R160" s="250"/>
      <c r="S160" s="249"/>
      <c r="T160" s="330"/>
      <c r="U160" s="250"/>
      <c r="V160" s="249"/>
      <c r="W160" s="330"/>
      <c r="X160" s="343"/>
      <c r="Y160" s="249"/>
      <c r="Z160" s="330"/>
      <c r="AA160" s="343"/>
      <c r="AB160" s="249"/>
      <c r="AC160" s="330"/>
      <c r="AD160" s="343"/>
      <c r="AE160" s="249"/>
      <c r="AF160" s="330"/>
      <c r="AG160" s="343"/>
      <c r="AH160" s="249"/>
      <c r="AI160" s="330"/>
      <c r="AJ160" s="343"/>
      <c r="AK160" s="249"/>
      <c r="AL160" s="330"/>
      <c r="AM160" s="343"/>
      <c r="AN160" s="249"/>
      <c r="AO160" s="330"/>
      <c r="AP160" s="343"/>
      <c r="AQ160" s="249"/>
      <c r="AR160" s="330"/>
      <c r="AS160" s="343"/>
      <c r="AT160" s="249"/>
      <c r="AU160" s="330"/>
    </row>
    <row r="161" spans="2:47">
      <c r="B161" s="247">
        <f>'Table S2 Compound Identifiers'!C163</f>
        <v>0</v>
      </c>
      <c r="C161" s="247">
        <f>COUNTIF($D$6:D161,"&lt;&gt;"&amp;"")</f>
        <v>156</v>
      </c>
      <c r="D161" s="247">
        <f>'Table S2 Compound Identifiers'!B163</f>
        <v>0</v>
      </c>
      <c r="E161" s="247"/>
      <c r="F161" s="248"/>
      <c r="G161" s="249"/>
      <c r="H161" s="330"/>
      <c r="I161" s="328"/>
      <c r="J161" s="249"/>
      <c r="K161" s="330"/>
      <c r="L161" s="250"/>
      <c r="M161" s="249"/>
      <c r="N161" s="330"/>
      <c r="O161" s="250"/>
      <c r="P161" s="249"/>
      <c r="Q161" s="330"/>
      <c r="R161" s="250"/>
      <c r="S161" s="249"/>
      <c r="T161" s="330"/>
      <c r="U161" s="250"/>
      <c r="V161" s="249"/>
      <c r="W161" s="330"/>
      <c r="X161" s="343"/>
      <c r="Y161" s="249"/>
      <c r="Z161" s="330"/>
      <c r="AA161" s="343"/>
      <c r="AB161" s="249"/>
      <c r="AC161" s="330"/>
      <c r="AD161" s="343"/>
      <c r="AE161" s="249"/>
      <c r="AF161" s="330"/>
      <c r="AG161" s="343"/>
      <c r="AH161" s="249"/>
      <c r="AI161" s="330"/>
      <c r="AJ161" s="343"/>
      <c r="AK161" s="249"/>
      <c r="AL161" s="330"/>
      <c r="AM161" s="343"/>
      <c r="AN161" s="249"/>
      <c r="AO161" s="330"/>
      <c r="AP161" s="343"/>
      <c r="AQ161" s="249"/>
      <c r="AR161" s="330"/>
      <c r="AS161" s="343"/>
      <c r="AT161" s="249"/>
      <c r="AU161" s="330"/>
    </row>
    <row r="162" spans="2:47">
      <c r="B162" s="247">
        <f>'Table S2 Compound Identifiers'!C164</f>
        <v>0</v>
      </c>
      <c r="C162" s="247">
        <f>COUNTIF($D$6:D162,"&lt;&gt;"&amp;"")</f>
        <v>157</v>
      </c>
      <c r="D162" s="247">
        <f>'Table S2 Compound Identifiers'!B164</f>
        <v>0</v>
      </c>
      <c r="E162" s="247"/>
      <c r="F162" s="248"/>
      <c r="G162" s="249"/>
      <c r="H162" s="330"/>
      <c r="I162" s="328"/>
      <c r="J162" s="249"/>
      <c r="K162" s="330"/>
      <c r="L162" s="250"/>
      <c r="M162" s="249"/>
      <c r="N162" s="330"/>
      <c r="O162" s="250"/>
      <c r="P162" s="249"/>
      <c r="Q162" s="330"/>
      <c r="R162" s="250"/>
      <c r="S162" s="249"/>
      <c r="T162" s="330"/>
      <c r="U162" s="250"/>
      <c r="V162" s="249"/>
      <c r="W162" s="330"/>
      <c r="X162" s="343"/>
      <c r="Y162" s="249"/>
      <c r="Z162" s="330"/>
      <c r="AA162" s="343"/>
      <c r="AB162" s="249"/>
      <c r="AC162" s="330"/>
      <c r="AD162" s="343"/>
      <c r="AE162" s="249"/>
      <c r="AF162" s="330"/>
      <c r="AG162" s="343"/>
      <c r="AH162" s="249"/>
      <c r="AI162" s="330"/>
      <c r="AJ162" s="343"/>
      <c r="AK162" s="249"/>
      <c r="AL162" s="330"/>
      <c r="AM162" s="343"/>
      <c r="AN162" s="249"/>
      <c r="AO162" s="330"/>
      <c r="AP162" s="343"/>
      <c r="AQ162" s="249"/>
      <c r="AR162" s="330"/>
      <c r="AS162" s="343"/>
      <c r="AT162" s="249"/>
      <c r="AU162" s="330"/>
    </row>
    <row r="163" spans="2:47">
      <c r="B163" s="247">
        <f>'Table S2 Compound Identifiers'!C165</f>
        <v>0</v>
      </c>
      <c r="C163" s="247">
        <f>COUNTIF($D$6:D163,"&lt;&gt;"&amp;"")</f>
        <v>158</v>
      </c>
      <c r="D163" s="247">
        <f>'Table S2 Compound Identifiers'!B165</f>
        <v>0</v>
      </c>
      <c r="E163" s="247"/>
      <c r="F163" s="248"/>
      <c r="G163" s="249"/>
      <c r="H163" s="330"/>
      <c r="I163" s="328"/>
      <c r="J163" s="249"/>
      <c r="K163" s="330"/>
      <c r="L163" s="250"/>
      <c r="M163" s="249"/>
      <c r="N163" s="330"/>
      <c r="O163" s="250"/>
      <c r="P163" s="249"/>
      <c r="Q163" s="330"/>
      <c r="R163" s="250"/>
      <c r="S163" s="249"/>
      <c r="T163" s="330"/>
      <c r="U163" s="250"/>
      <c r="V163" s="249"/>
      <c r="W163" s="330"/>
      <c r="X163" s="343"/>
      <c r="Y163" s="249"/>
      <c r="Z163" s="330"/>
      <c r="AA163" s="343"/>
      <c r="AB163" s="249"/>
      <c r="AC163" s="330"/>
      <c r="AD163" s="343"/>
      <c r="AE163" s="249"/>
      <c r="AF163" s="330"/>
      <c r="AG163" s="343"/>
      <c r="AH163" s="249"/>
      <c r="AI163" s="330"/>
      <c r="AJ163" s="343"/>
      <c r="AK163" s="249"/>
      <c r="AL163" s="330"/>
      <c r="AM163" s="343"/>
      <c r="AN163" s="249"/>
      <c r="AO163" s="330"/>
      <c r="AP163" s="343"/>
      <c r="AQ163" s="249"/>
      <c r="AR163" s="330"/>
      <c r="AS163" s="343"/>
      <c r="AT163" s="249"/>
      <c r="AU163" s="330"/>
    </row>
    <row r="164" spans="2:47">
      <c r="B164" s="247">
        <f>'Table S2 Compound Identifiers'!C166</f>
        <v>0</v>
      </c>
      <c r="C164" s="247">
        <f>COUNTIF($D$6:D164,"&lt;&gt;"&amp;"")</f>
        <v>159</v>
      </c>
      <c r="D164" s="247">
        <f>'Table S2 Compound Identifiers'!B166</f>
        <v>0</v>
      </c>
      <c r="E164" s="247"/>
      <c r="F164" s="248"/>
      <c r="G164" s="249"/>
      <c r="H164" s="330"/>
      <c r="I164" s="328"/>
      <c r="J164" s="249"/>
      <c r="K164" s="330"/>
      <c r="L164" s="250"/>
      <c r="M164" s="249"/>
      <c r="N164" s="330"/>
      <c r="O164" s="250"/>
      <c r="P164" s="249"/>
      <c r="Q164" s="330"/>
      <c r="R164" s="250"/>
      <c r="S164" s="249"/>
      <c r="T164" s="330"/>
      <c r="U164" s="250"/>
      <c r="V164" s="249"/>
      <c r="W164" s="330"/>
      <c r="X164" s="343"/>
      <c r="Y164" s="249"/>
      <c r="Z164" s="330"/>
      <c r="AA164" s="343"/>
      <c r="AB164" s="249"/>
      <c r="AC164" s="330"/>
      <c r="AD164" s="343"/>
      <c r="AE164" s="249"/>
      <c r="AF164" s="330"/>
      <c r="AG164" s="343"/>
      <c r="AH164" s="249"/>
      <c r="AI164" s="330"/>
      <c r="AJ164" s="343"/>
      <c r="AK164" s="249"/>
      <c r="AL164" s="330"/>
      <c r="AM164" s="343"/>
      <c r="AN164" s="249"/>
      <c r="AO164" s="330"/>
      <c r="AP164" s="343"/>
      <c r="AQ164" s="249"/>
      <c r="AR164" s="330"/>
      <c r="AS164" s="343"/>
      <c r="AT164" s="249"/>
      <c r="AU164" s="330"/>
    </row>
    <row r="165" spans="2:47">
      <c r="B165" s="247">
        <f>'Table S2 Compound Identifiers'!C167</f>
        <v>0</v>
      </c>
      <c r="C165" s="247">
        <f>COUNTIF($D$6:D165,"&lt;&gt;"&amp;"")</f>
        <v>160</v>
      </c>
      <c r="D165" s="247">
        <f>'Table S2 Compound Identifiers'!B167</f>
        <v>0</v>
      </c>
      <c r="E165" s="247"/>
      <c r="F165" s="248"/>
      <c r="G165" s="249"/>
      <c r="H165" s="330"/>
      <c r="I165" s="328"/>
      <c r="J165" s="249"/>
      <c r="K165" s="330"/>
      <c r="L165" s="250"/>
      <c r="M165" s="249"/>
      <c r="N165" s="330"/>
      <c r="O165" s="250"/>
      <c r="P165" s="249"/>
      <c r="Q165" s="330"/>
      <c r="R165" s="250"/>
      <c r="S165" s="249"/>
      <c r="T165" s="330"/>
      <c r="U165" s="250"/>
      <c r="V165" s="249"/>
      <c r="W165" s="330"/>
      <c r="X165" s="343"/>
      <c r="Y165" s="249"/>
      <c r="Z165" s="330"/>
      <c r="AA165" s="343"/>
      <c r="AB165" s="249"/>
      <c r="AC165" s="330"/>
      <c r="AD165" s="343"/>
      <c r="AE165" s="249"/>
      <c r="AF165" s="330"/>
      <c r="AG165" s="343"/>
      <c r="AH165" s="249"/>
      <c r="AI165" s="330"/>
      <c r="AJ165" s="343"/>
      <c r="AK165" s="249"/>
      <c r="AL165" s="330"/>
      <c r="AM165" s="343"/>
      <c r="AN165" s="249"/>
      <c r="AO165" s="330"/>
      <c r="AP165" s="343"/>
      <c r="AQ165" s="249"/>
      <c r="AR165" s="330"/>
      <c r="AS165" s="343"/>
      <c r="AT165" s="249"/>
      <c r="AU165" s="330"/>
    </row>
    <row r="166" spans="2:47">
      <c r="B166" s="247">
        <f>'Table S2 Compound Identifiers'!C168</f>
        <v>0</v>
      </c>
      <c r="C166" s="247">
        <f>COUNTIF($D$6:D166,"&lt;&gt;"&amp;"")</f>
        <v>161</v>
      </c>
      <c r="D166" s="247">
        <f>'Table S2 Compound Identifiers'!B168</f>
        <v>0</v>
      </c>
      <c r="E166" s="247"/>
      <c r="F166" s="248"/>
      <c r="G166" s="249"/>
      <c r="H166" s="330"/>
      <c r="I166" s="328"/>
      <c r="J166" s="249"/>
      <c r="K166" s="330"/>
      <c r="L166" s="250"/>
      <c r="M166" s="249"/>
      <c r="N166" s="330"/>
      <c r="O166" s="250"/>
      <c r="P166" s="249"/>
      <c r="Q166" s="330"/>
      <c r="R166" s="250"/>
      <c r="S166" s="249"/>
      <c r="T166" s="330"/>
      <c r="U166" s="250"/>
      <c r="V166" s="249"/>
      <c r="W166" s="330"/>
      <c r="X166" s="343"/>
      <c r="Y166" s="249"/>
      <c r="Z166" s="330"/>
      <c r="AA166" s="343"/>
      <c r="AB166" s="249"/>
      <c r="AC166" s="330"/>
      <c r="AD166" s="343"/>
      <c r="AE166" s="249"/>
      <c r="AF166" s="330"/>
      <c r="AG166" s="343"/>
      <c r="AH166" s="249"/>
      <c r="AI166" s="330"/>
      <c r="AJ166" s="343"/>
      <c r="AK166" s="249"/>
      <c r="AL166" s="330"/>
      <c r="AM166" s="343"/>
      <c r="AN166" s="249"/>
      <c r="AO166" s="330"/>
      <c r="AP166" s="343"/>
      <c r="AQ166" s="249"/>
      <c r="AR166" s="330"/>
      <c r="AS166" s="343"/>
      <c r="AT166" s="249"/>
      <c r="AU166" s="330"/>
    </row>
    <row r="167" spans="2:47">
      <c r="B167" s="247">
        <f>'Table S2 Compound Identifiers'!C169</f>
        <v>0</v>
      </c>
      <c r="C167" s="247">
        <f>COUNTIF($D$6:D167,"&lt;&gt;"&amp;"")</f>
        <v>162</v>
      </c>
      <c r="D167" s="247">
        <f>'Table S2 Compound Identifiers'!B169</f>
        <v>0</v>
      </c>
      <c r="E167" s="247"/>
      <c r="F167" s="248"/>
      <c r="G167" s="249"/>
      <c r="H167" s="330"/>
      <c r="I167" s="328"/>
      <c r="J167" s="249"/>
      <c r="K167" s="330"/>
      <c r="L167" s="250"/>
      <c r="M167" s="249"/>
      <c r="N167" s="330"/>
      <c r="O167" s="250"/>
      <c r="P167" s="249"/>
      <c r="Q167" s="330"/>
      <c r="R167" s="250"/>
      <c r="S167" s="249"/>
      <c r="T167" s="330"/>
      <c r="U167" s="250"/>
      <c r="V167" s="249"/>
      <c r="W167" s="330"/>
      <c r="X167" s="343"/>
      <c r="Y167" s="249"/>
      <c r="Z167" s="330"/>
      <c r="AA167" s="343"/>
      <c r="AB167" s="249"/>
      <c r="AC167" s="330"/>
      <c r="AD167" s="343"/>
      <c r="AE167" s="249"/>
      <c r="AF167" s="330"/>
      <c r="AG167" s="343"/>
      <c r="AH167" s="249"/>
      <c r="AI167" s="330"/>
      <c r="AJ167" s="343"/>
      <c r="AK167" s="249"/>
      <c r="AL167" s="330"/>
      <c r="AM167" s="343"/>
      <c r="AN167" s="249"/>
      <c r="AO167" s="330"/>
      <c r="AP167" s="343"/>
      <c r="AQ167" s="249"/>
      <c r="AR167" s="330"/>
      <c r="AS167" s="343"/>
      <c r="AT167" s="249"/>
      <c r="AU167" s="330"/>
    </row>
    <row r="168" spans="2:47">
      <c r="B168" s="247">
        <f>'Table S2 Compound Identifiers'!C170</f>
        <v>0</v>
      </c>
      <c r="C168" s="247">
        <f>COUNTIF($D$6:D168,"&lt;&gt;"&amp;"")</f>
        <v>163</v>
      </c>
      <c r="D168" s="247">
        <f>'Table S2 Compound Identifiers'!B170</f>
        <v>0</v>
      </c>
      <c r="E168" s="247"/>
      <c r="F168" s="248"/>
      <c r="G168" s="249"/>
      <c r="H168" s="330"/>
      <c r="I168" s="328"/>
      <c r="J168" s="249"/>
      <c r="K168" s="330"/>
      <c r="L168" s="250"/>
      <c r="M168" s="249"/>
      <c r="N168" s="330"/>
      <c r="O168" s="250"/>
      <c r="P168" s="249"/>
      <c r="Q168" s="330"/>
      <c r="R168" s="250"/>
      <c r="S168" s="249"/>
      <c r="T168" s="330"/>
      <c r="U168" s="250"/>
      <c r="V168" s="249"/>
      <c r="W168" s="330"/>
      <c r="X168" s="343"/>
      <c r="Y168" s="249"/>
      <c r="Z168" s="330"/>
      <c r="AA168" s="343"/>
      <c r="AB168" s="249"/>
      <c r="AC168" s="330"/>
      <c r="AD168" s="343"/>
      <c r="AE168" s="249"/>
      <c r="AF168" s="330"/>
      <c r="AG168" s="343"/>
      <c r="AH168" s="249"/>
      <c r="AI168" s="330"/>
      <c r="AJ168" s="343"/>
      <c r="AK168" s="249"/>
      <c r="AL168" s="330"/>
      <c r="AM168" s="343"/>
      <c r="AN168" s="249"/>
      <c r="AO168" s="330"/>
      <c r="AP168" s="343"/>
      <c r="AQ168" s="249"/>
      <c r="AR168" s="330"/>
      <c r="AS168" s="343"/>
      <c r="AT168" s="249"/>
      <c r="AU168" s="330"/>
    </row>
    <row r="169" spans="2:47">
      <c r="B169" s="247">
        <f>'Table S2 Compound Identifiers'!C171</f>
        <v>0</v>
      </c>
      <c r="C169" s="247">
        <f>COUNTIF($D$6:D169,"&lt;&gt;"&amp;"")</f>
        <v>164</v>
      </c>
      <c r="D169" s="247">
        <f>'Table S2 Compound Identifiers'!B171</f>
        <v>0</v>
      </c>
      <c r="E169" s="247"/>
      <c r="F169" s="248"/>
      <c r="G169" s="249"/>
      <c r="H169" s="330"/>
      <c r="I169" s="328"/>
      <c r="J169" s="249"/>
      <c r="K169" s="330"/>
      <c r="L169" s="250"/>
      <c r="M169" s="249"/>
      <c r="N169" s="330"/>
      <c r="O169" s="250"/>
      <c r="P169" s="249"/>
      <c r="Q169" s="330"/>
      <c r="R169" s="250"/>
      <c r="S169" s="249"/>
      <c r="T169" s="330"/>
      <c r="U169" s="250"/>
      <c r="V169" s="249"/>
      <c r="W169" s="330"/>
      <c r="X169" s="343"/>
      <c r="Y169" s="249"/>
      <c r="Z169" s="330"/>
      <c r="AA169" s="343"/>
      <c r="AB169" s="249"/>
      <c r="AC169" s="330"/>
      <c r="AD169" s="343"/>
      <c r="AE169" s="249"/>
      <c r="AF169" s="330"/>
      <c r="AG169" s="343"/>
      <c r="AH169" s="249"/>
      <c r="AI169" s="330"/>
      <c r="AJ169" s="343"/>
      <c r="AK169" s="249"/>
      <c r="AL169" s="330"/>
      <c r="AM169" s="343"/>
      <c r="AN169" s="249"/>
      <c r="AO169" s="330"/>
      <c r="AP169" s="343"/>
      <c r="AQ169" s="249"/>
      <c r="AR169" s="330"/>
      <c r="AS169" s="343"/>
      <c r="AT169" s="249"/>
      <c r="AU169" s="330"/>
    </row>
    <row r="170" spans="2:47">
      <c r="B170" s="247">
        <f>'Table S2 Compound Identifiers'!C172</f>
        <v>0</v>
      </c>
      <c r="C170" s="247">
        <f>COUNTIF($D$6:D170,"&lt;&gt;"&amp;"")</f>
        <v>165</v>
      </c>
      <c r="D170" s="247">
        <f>'Table S2 Compound Identifiers'!B172</f>
        <v>0</v>
      </c>
      <c r="E170" s="247"/>
      <c r="F170" s="248"/>
      <c r="G170" s="249"/>
      <c r="H170" s="330"/>
      <c r="I170" s="328"/>
      <c r="J170" s="249"/>
      <c r="K170" s="330"/>
      <c r="L170" s="250"/>
      <c r="M170" s="249"/>
      <c r="N170" s="330"/>
      <c r="O170" s="250"/>
      <c r="P170" s="249"/>
      <c r="Q170" s="330"/>
      <c r="R170" s="250"/>
      <c r="S170" s="249"/>
      <c r="T170" s="330"/>
      <c r="U170" s="250"/>
      <c r="V170" s="249"/>
      <c r="W170" s="330"/>
      <c r="X170" s="343"/>
      <c r="Y170" s="249"/>
      <c r="Z170" s="330"/>
      <c r="AA170" s="343"/>
      <c r="AB170" s="249"/>
      <c r="AC170" s="330"/>
      <c r="AD170" s="343"/>
      <c r="AE170" s="249"/>
      <c r="AF170" s="330"/>
      <c r="AG170" s="343"/>
      <c r="AH170" s="249"/>
      <c r="AI170" s="330"/>
      <c r="AJ170" s="343"/>
      <c r="AK170" s="249"/>
      <c r="AL170" s="330"/>
      <c r="AM170" s="343"/>
      <c r="AN170" s="249"/>
      <c r="AO170" s="330"/>
      <c r="AP170" s="343"/>
      <c r="AQ170" s="249"/>
      <c r="AR170" s="330"/>
      <c r="AS170" s="343"/>
      <c r="AT170" s="249"/>
      <c r="AU170" s="330"/>
    </row>
    <row r="171" spans="2:47">
      <c r="B171" s="247">
        <f>'Table S2 Compound Identifiers'!C173</f>
        <v>0</v>
      </c>
      <c r="C171" s="247">
        <f>COUNTIF($D$6:D171,"&lt;&gt;"&amp;"")</f>
        <v>166</v>
      </c>
      <c r="D171" s="247">
        <f>'Table S2 Compound Identifiers'!B173</f>
        <v>0</v>
      </c>
      <c r="E171" s="247"/>
      <c r="F171" s="248"/>
      <c r="G171" s="249"/>
      <c r="H171" s="330"/>
      <c r="I171" s="328"/>
      <c r="J171" s="249"/>
      <c r="K171" s="330"/>
      <c r="L171" s="250"/>
      <c r="M171" s="249"/>
      <c r="N171" s="330"/>
      <c r="O171" s="250"/>
      <c r="P171" s="249"/>
      <c r="Q171" s="330"/>
      <c r="R171" s="250"/>
      <c r="S171" s="249"/>
      <c r="T171" s="330"/>
      <c r="U171" s="250"/>
      <c r="V171" s="249"/>
      <c r="W171" s="330"/>
      <c r="X171" s="343"/>
      <c r="Y171" s="249"/>
      <c r="Z171" s="330"/>
      <c r="AA171" s="343"/>
      <c r="AB171" s="249"/>
      <c r="AC171" s="330"/>
      <c r="AD171" s="343"/>
      <c r="AE171" s="249"/>
      <c r="AF171" s="330"/>
      <c r="AG171" s="343"/>
      <c r="AH171" s="249"/>
      <c r="AI171" s="330"/>
      <c r="AJ171" s="343"/>
      <c r="AK171" s="249"/>
      <c r="AL171" s="330"/>
      <c r="AM171" s="343"/>
      <c r="AN171" s="249"/>
      <c r="AO171" s="330"/>
      <c r="AP171" s="343"/>
      <c r="AQ171" s="249"/>
      <c r="AR171" s="330"/>
      <c r="AS171" s="343"/>
      <c r="AT171" s="249"/>
      <c r="AU171" s="330"/>
    </row>
    <row r="172" spans="2:47">
      <c r="B172" s="247">
        <f>'Table S2 Compound Identifiers'!C174</f>
        <v>0</v>
      </c>
      <c r="C172" s="247">
        <f>COUNTIF($D$6:D172,"&lt;&gt;"&amp;"")</f>
        <v>167</v>
      </c>
      <c r="D172" s="247">
        <f>'Table S2 Compound Identifiers'!B174</f>
        <v>0</v>
      </c>
      <c r="E172" s="247"/>
      <c r="F172" s="248"/>
      <c r="G172" s="249"/>
      <c r="H172" s="330"/>
      <c r="I172" s="328"/>
      <c r="J172" s="249"/>
      <c r="K172" s="330"/>
      <c r="L172" s="250"/>
      <c r="M172" s="249"/>
      <c r="N172" s="330"/>
      <c r="O172" s="250"/>
      <c r="P172" s="249"/>
      <c r="Q172" s="330"/>
      <c r="R172" s="250"/>
      <c r="S172" s="249"/>
      <c r="T172" s="330"/>
      <c r="U172" s="250"/>
      <c r="V172" s="249"/>
      <c r="W172" s="330"/>
      <c r="X172" s="343"/>
      <c r="Y172" s="249"/>
      <c r="Z172" s="330"/>
      <c r="AA172" s="343"/>
      <c r="AB172" s="249"/>
      <c r="AC172" s="330"/>
      <c r="AD172" s="343"/>
      <c r="AE172" s="249"/>
      <c r="AF172" s="330"/>
      <c r="AG172" s="343"/>
      <c r="AH172" s="249"/>
      <c r="AI172" s="330"/>
      <c r="AJ172" s="343"/>
      <c r="AK172" s="249"/>
      <c r="AL172" s="330"/>
      <c r="AM172" s="343"/>
      <c r="AN172" s="249"/>
      <c r="AO172" s="330"/>
      <c r="AP172" s="343"/>
      <c r="AQ172" s="249"/>
      <c r="AR172" s="330"/>
      <c r="AS172" s="343"/>
      <c r="AT172" s="249"/>
      <c r="AU172" s="330"/>
    </row>
    <row r="173" spans="2:47">
      <c r="B173" s="247">
        <f>'Table S2 Compound Identifiers'!C175</f>
        <v>0</v>
      </c>
      <c r="C173" s="247">
        <f>COUNTIF($D$6:D173,"&lt;&gt;"&amp;"")</f>
        <v>168</v>
      </c>
      <c r="D173" s="247">
        <f>'Table S2 Compound Identifiers'!B175</f>
        <v>0</v>
      </c>
      <c r="E173" s="247"/>
      <c r="F173" s="248"/>
      <c r="G173" s="249"/>
      <c r="H173" s="330"/>
      <c r="I173" s="328"/>
      <c r="J173" s="249"/>
      <c r="K173" s="330"/>
      <c r="L173" s="250"/>
      <c r="M173" s="249"/>
      <c r="N173" s="330"/>
      <c r="O173" s="250"/>
      <c r="P173" s="249"/>
      <c r="Q173" s="330"/>
      <c r="R173" s="250"/>
      <c r="S173" s="249"/>
      <c r="T173" s="330"/>
      <c r="U173" s="250"/>
      <c r="V173" s="249"/>
      <c r="W173" s="330"/>
      <c r="X173" s="343"/>
      <c r="Y173" s="249"/>
      <c r="Z173" s="330"/>
      <c r="AA173" s="343"/>
      <c r="AB173" s="249"/>
      <c r="AC173" s="330"/>
      <c r="AD173" s="343"/>
      <c r="AE173" s="249"/>
      <c r="AF173" s="330"/>
      <c r="AG173" s="343"/>
      <c r="AH173" s="249"/>
      <c r="AI173" s="330"/>
      <c r="AJ173" s="343"/>
      <c r="AK173" s="249"/>
      <c r="AL173" s="330"/>
      <c r="AM173" s="343"/>
      <c r="AN173" s="249"/>
      <c r="AO173" s="330"/>
      <c r="AP173" s="343"/>
      <c r="AQ173" s="249"/>
      <c r="AR173" s="330"/>
      <c r="AS173" s="343"/>
      <c r="AT173" s="249"/>
      <c r="AU173" s="330"/>
    </row>
    <row r="174" spans="2:47">
      <c r="B174" s="247">
        <f>'Table S2 Compound Identifiers'!C176</f>
        <v>0</v>
      </c>
      <c r="C174" s="247">
        <f>COUNTIF($D$6:D174,"&lt;&gt;"&amp;"")</f>
        <v>169</v>
      </c>
      <c r="D174" s="247">
        <f>'Table S2 Compound Identifiers'!B176</f>
        <v>0</v>
      </c>
      <c r="E174" s="247"/>
      <c r="F174" s="248"/>
      <c r="G174" s="249"/>
      <c r="H174" s="330"/>
      <c r="I174" s="328"/>
      <c r="J174" s="249"/>
      <c r="K174" s="330"/>
      <c r="L174" s="250"/>
      <c r="M174" s="249"/>
      <c r="N174" s="330"/>
      <c r="O174" s="250"/>
      <c r="P174" s="249"/>
      <c r="Q174" s="330"/>
      <c r="R174" s="250"/>
      <c r="S174" s="249"/>
      <c r="T174" s="330"/>
      <c r="U174" s="250"/>
      <c r="V174" s="249"/>
      <c r="W174" s="330"/>
      <c r="X174" s="343"/>
      <c r="Y174" s="249"/>
      <c r="Z174" s="330"/>
      <c r="AA174" s="343"/>
      <c r="AB174" s="249"/>
      <c r="AC174" s="330"/>
      <c r="AD174" s="343"/>
      <c r="AE174" s="249"/>
      <c r="AF174" s="330"/>
      <c r="AG174" s="343"/>
      <c r="AH174" s="249"/>
      <c r="AI174" s="330"/>
      <c r="AJ174" s="343"/>
      <c r="AK174" s="249"/>
      <c r="AL174" s="330"/>
      <c r="AM174" s="343"/>
      <c r="AN174" s="249"/>
      <c r="AO174" s="330"/>
      <c r="AP174" s="343"/>
      <c r="AQ174" s="249"/>
      <c r="AR174" s="330"/>
      <c r="AS174" s="343"/>
      <c r="AT174" s="249"/>
      <c r="AU174" s="330"/>
    </row>
    <row r="175" spans="2:47">
      <c r="B175" s="247">
        <f>'Table S2 Compound Identifiers'!C177</f>
        <v>0</v>
      </c>
      <c r="C175" s="247">
        <f>COUNTIF($D$6:D175,"&lt;&gt;"&amp;"")</f>
        <v>170</v>
      </c>
      <c r="D175" s="247">
        <f>'Table S2 Compound Identifiers'!B177</f>
        <v>0</v>
      </c>
      <c r="E175" s="247"/>
      <c r="F175" s="248"/>
      <c r="G175" s="249"/>
      <c r="H175" s="330"/>
      <c r="I175" s="328"/>
      <c r="J175" s="249"/>
      <c r="K175" s="330"/>
      <c r="L175" s="250"/>
      <c r="M175" s="249"/>
      <c r="N175" s="330"/>
      <c r="O175" s="250"/>
      <c r="P175" s="249"/>
      <c r="Q175" s="330"/>
      <c r="R175" s="250"/>
      <c r="S175" s="249"/>
      <c r="T175" s="330"/>
      <c r="U175" s="250"/>
      <c r="V175" s="249"/>
      <c r="W175" s="330"/>
      <c r="X175" s="343"/>
      <c r="Y175" s="249"/>
      <c r="Z175" s="330"/>
      <c r="AA175" s="343"/>
      <c r="AB175" s="249"/>
      <c r="AC175" s="330"/>
      <c r="AD175" s="343"/>
      <c r="AE175" s="249"/>
      <c r="AF175" s="330"/>
      <c r="AG175" s="343"/>
      <c r="AH175" s="249"/>
      <c r="AI175" s="330"/>
      <c r="AJ175" s="343"/>
      <c r="AK175" s="249"/>
      <c r="AL175" s="330"/>
      <c r="AM175" s="343"/>
      <c r="AN175" s="249"/>
      <c r="AO175" s="330"/>
      <c r="AP175" s="343"/>
      <c r="AQ175" s="249"/>
      <c r="AR175" s="330"/>
      <c r="AS175" s="343"/>
      <c r="AT175" s="249"/>
      <c r="AU175" s="330"/>
    </row>
    <row r="176" spans="2:47">
      <c r="B176" s="247">
        <f>'Table S2 Compound Identifiers'!C178</f>
        <v>0</v>
      </c>
      <c r="C176" s="247">
        <f>COUNTIF($D$6:D176,"&lt;&gt;"&amp;"")</f>
        <v>171</v>
      </c>
      <c r="D176" s="247">
        <f>'Table S2 Compound Identifiers'!B178</f>
        <v>0</v>
      </c>
      <c r="E176" s="247"/>
      <c r="F176" s="248"/>
      <c r="G176" s="249"/>
      <c r="H176" s="330"/>
      <c r="I176" s="328"/>
      <c r="J176" s="249"/>
      <c r="K176" s="330"/>
      <c r="L176" s="250"/>
      <c r="M176" s="249"/>
      <c r="N176" s="330"/>
      <c r="O176" s="250"/>
      <c r="P176" s="249"/>
      <c r="Q176" s="330"/>
      <c r="R176" s="250"/>
      <c r="S176" s="249"/>
      <c r="T176" s="330"/>
      <c r="U176" s="250"/>
      <c r="V176" s="249"/>
      <c r="W176" s="330"/>
      <c r="X176" s="343"/>
      <c r="Y176" s="249"/>
      <c r="Z176" s="330"/>
      <c r="AA176" s="343"/>
      <c r="AB176" s="249"/>
      <c r="AC176" s="330"/>
      <c r="AD176" s="343"/>
      <c r="AE176" s="249"/>
      <c r="AF176" s="330"/>
      <c r="AG176" s="343"/>
      <c r="AH176" s="249"/>
      <c r="AI176" s="330"/>
      <c r="AJ176" s="343"/>
      <c r="AK176" s="249"/>
      <c r="AL176" s="330"/>
      <c r="AM176" s="343"/>
      <c r="AN176" s="249"/>
      <c r="AO176" s="330"/>
      <c r="AP176" s="343"/>
      <c r="AQ176" s="249"/>
      <c r="AR176" s="330"/>
      <c r="AS176" s="343"/>
      <c r="AT176" s="249"/>
      <c r="AU176" s="330"/>
    </row>
    <row r="177" spans="2:47">
      <c r="B177" s="247">
        <f>'Table S2 Compound Identifiers'!C179</f>
        <v>0</v>
      </c>
      <c r="C177" s="247">
        <f>COUNTIF($D$6:D177,"&lt;&gt;"&amp;"")</f>
        <v>172</v>
      </c>
      <c r="D177" s="247">
        <f>'Table S2 Compound Identifiers'!B179</f>
        <v>0</v>
      </c>
      <c r="E177" s="247"/>
      <c r="F177" s="248"/>
      <c r="G177" s="249"/>
      <c r="H177" s="330"/>
      <c r="I177" s="328"/>
      <c r="J177" s="249"/>
      <c r="K177" s="330"/>
      <c r="L177" s="250"/>
      <c r="M177" s="249"/>
      <c r="N177" s="330"/>
      <c r="O177" s="250"/>
      <c r="P177" s="249"/>
      <c r="Q177" s="330"/>
      <c r="R177" s="250"/>
      <c r="S177" s="249"/>
      <c r="T177" s="330"/>
      <c r="U177" s="250"/>
      <c r="V177" s="249"/>
      <c r="W177" s="330"/>
      <c r="X177" s="343"/>
      <c r="Y177" s="249"/>
      <c r="Z177" s="330"/>
      <c r="AA177" s="343"/>
      <c r="AB177" s="249"/>
      <c r="AC177" s="330"/>
      <c r="AD177" s="343"/>
      <c r="AE177" s="249"/>
      <c r="AF177" s="330"/>
      <c r="AG177" s="343"/>
      <c r="AH177" s="249"/>
      <c r="AI177" s="330"/>
      <c r="AJ177" s="343"/>
      <c r="AK177" s="249"/>
      <c r="AL177" s="330"/>
      <c r="AM177" s="343"/>
      <c r="AN177" s="249"/>
      <c r="AO177" s="330"/>
      <c r="AP177" s="343"/>
      <c r="AQ177" s="249"/>
      <c r="AR177" s="330"/>
      <c r="AS177" s="343"/>
      <c r="AT177" s="249"/>
      <c r="AU177" s="330"/>
    </row>
    <row r="178" spans="2:47">
      <c r="B178" s="247">
        <f>'Table S2 Compound Identifiers'!C180</f>
        <v>0</v>
      </c>
      <c r="C178" s="247">
        <f>COUNTIF($D$6:D178,"&lt;&gt;"&amp;"")</f>
        <v>173</v>
      </c>
      <c r="D178" s="247">
        <f>'Table S2 Compound Identifiers'!B180</f>
        <v>0</v>
      </c>
      <c r="E178" s="247"/>
      <c r="F178" s="248"/>
      <c r="G178" s="249"/>
      <c r="H178" s="330"/>
      <c r="I178" s="328"/>
      <c r="J178" s="249"/>
      <c r="K178" s="330"/>
      <c r="L178" s="250"/>
      <c r="M178" s="249"/>
      <c r="N178" s="330"/>
      <c r="O178" s="250"/>
      <c r="P178" s="249"/>
      <c r="Q178" s="330"/>
      <c r="R178" s="250"/>
      <c r="S178" s="249"/>
      <c r="T178" s="330"/>
      <c r="U178" s="250"/>
      <c r="V178" s="249"/>
      <c r="W178" s="330"/>
      <c r="X178" s="343"/>
      <c r="Y178" s="249"/>
      <c r="Z178" s="330"/>
      <c r="AA178" s="343"/>
      <c r="AB178" s="249"/>
      <c r="AC178" s="330"/>
      <c r="AD178" s="343"/>
      <c r="AE178" s="249"/>
      <c r="AF178" s="330"/>
      <c r="AG178" s="343"/>
      <c r="AH178" s="249"/>
      <c r="AI178" s="330"/>
      <c r="AJ178" s="343"/>
      <c r="AK178" s="249"/>
      <c r="AL178" s="330"/>
      <c r="AM178" s="343"/>
      <c r="AN178" s="249"/>
      <c r="AO178" s="330"/>
      <c r="AP178" s="343"/>
      <c r="AQ178" s="249"/>
      <c r="AR178" s="330"/>
      <c r="AS178" s="343"/>
      <c r="AT178" s="249"/>
      <c r="AU178" s="330"/>
    </row>
    <row r="179" spans="2:47">
      <c r="B179" s="247">
        <f>'Table S2 Compound Identifiers'!C181</f>
        <v>0</v>
      </c>
      <c r="C179" s="247">
        <f>COUNTIF($D$6:D179,"&lt;&gt;"&amp;"")</f>
        <v>174</v>
      </c>
      <c r="D179" s="247">
        <f>'Table S2 Compound Identifiers'!B181</f>
        <v>0</v>
      </c>
      <c r="E179" s="247"/>
      <c r="F179" s="248"/>
      <c r="G179" s="249"/>
      <c r="H179" s="330"/>
      <c r="I179" s="328"/>
      <c r="J179" s="249"/>
      <c r="K179" s="330"/>
      <c r="L179" s="250"/>
      <c r="M179" s="249"/>
      <c r="N179" s="330"/>
      <c r="O179" s="250"/>
      <c r="P179" s="249"/>
      <c r="Q179" s="330"/>
      <c r="R179" s="250"/>
      <c r="S179" s="249"/>
      <c r="T179" s="330"/>
      <c r="U179" s="250"/>
      <c r="V179" s="249"/>
      <c r="W179" s="330"/>
      <c r="X179" s="343"/>
      <c r="Y179" s="249"/>
      <c r="Z179" s="330"/>
      <c r="AA179" s="343"/>
      <c r="AB179" s="249"/>
      <c r="AC179" s="330"/>
      <c r="AD179" s="343"/>
      <c r="AE179" s="249"/>
      <c r="AF179" s="330"/>
      <c r="AG179" s="343"/>
      <c r="AH179" s="249"/>
      <c r="AI179" s="330"/>
      <c r="AJ179" s="343"/>
      <c r="AK179" s="249"/>
      <c r="AL179" s="330"/>
      <c r="AM179" s="343"/>
      <c r="AN179" s="249"/>
      <c r="AO179" s="330"/>
      <c r="AP179" s="343"/>
      <c r="AQ179" s="249"/>
      <c r="AR179" s="330"/>
      <c r="AS179" s="343"/>
      <c r="AT179" s="249"/>
      <c r="AU179" s="330"/>
    </row>
    <row r="180" spans="2:47">
      <c r="B180" s="247">
        <f>'Table S2 Compound Identifiers'!C182</f>
        <v>0</v>
      </c>
      <c r="C180" s="247">
        <f>COUNTIF($D$6:D180,"&lt;&gt;"&amp;"")</f>
        <v>175</v>
      </c>
      <c r="D180" s="247">
        <f>'Table S2 Compound Identifiers'!B182</f>
        <v>0</v>
      </c>
      <c r="E180" s="247"/>
      <c r="F180" s="248"/>
      <c r="G180" s="249"/>
      <c r="H180" s="330"/>
      <c r="I180" s="328"/>
      <c r="J180" s="249"/>
      <c r="K180" s="330"/>
      <c r="L180" s="250"/>
      <c r="M180" s="249"/>
      <c r="N180" s="330"/>
      <c r="O180" s="250"/>
      <c r="P180" s="249"/>
      <c r="Q180" s="330"/>
      <c r="R180" s="250"/>
      <c r="S180" s="249"/>
      <c r="T180" s="330"/>
      <c r="U180" s="250"/>
      <c r="V180" s="249"/>
      <c r="W180" s="330"/>
      <c r="X180" s="343"/>
      <c r="Y180" s="249"/>
      <c r="Z180" s="330"/>
      <c r="AA180" s="343"/>
      <c r="AB180" s="249"/>
      <c r="AC180" s="330"/>
      <c r="AD180" s="343"/>
      <c r="AE180" s="249"/>
      <c r="AF180" s="330"/>
      <c r="AG180" s="343"/>
      <c r="AH180" s="249"/>
      <c r="AI180" s="330"/>
      <c r="AJ180" s="343"/>
      <c r="AK180" s="249"/>
      <c r="AL180" s="330"/>
      <c r="AM180" s="343"/>
      <c r="AN180" s="249"/>
      <c r="AO180" s="330"/>
      <c r="AP180" s="343"/>
      <c r="AQ180" s="249"/>
      <c r="AR180" s="330"/>
      <c r="AS180" s="343"/>
      <c r="AT180" s="249"/>
      <c r="AU180" s="330"/>
    </row>
    <row r="181" spans="2:47">
      <c r="B181" s="247">
        <f>'Table S2 Compound Identifiers'!C183</f>
        <v>0</v>
      </c>
      <c r="C181" s="247">
        <f>COUNTIF($D$6:D181,"&lt;&gt;"&amp;"")</f>
        <v>176</v>
      </c>
      <c r="D181" s="247">
        <f>'Table S2 Compound Identifiers'!B183</f>
        <v>0</v>
      </c>
      <c r="E181" s="247"/>
      <c r="F181" s="248"/>
      <c r="G181" s="249"/>
      <c r="H181" s="330"/>
      <c r="I181" s="328"/>
      <c r="J181" s="249"/>
      <c r="K181" s="330"/>
      <c r="L181" s="250"/>
      <c r="M181" s="249"/>
      <c r="N181" s="330"/>
      <c r="O181" s="250"/>
      <c r="P181" s="249"/>
      <c r="Q181" s="330"/>
      <c r="R181" s="250"/>
      <c r="S181" s="249"/>
      <c r="T181" s="330"/>
      <c r="U181" s="250"/>
      <c r="V181" s="249"/>
      <c r="W181" s="330"/>
      <c r="X181" s="343"/>
      <c r="Y181" s="249"/>
      <c r="Z181" s="330"/>
      <c r="AA181" s="343"/>
      <c r="AB181" s="249"/>
      <c r="AC181" s="330"/>
      <c r="AD181" s="343"/>
      <c r="AE181" s="249"/>
      <c r="AF181" s="330"/>
      <c r="AG181" s="343"/>
      <c r="AH181" s="249"/>
      <c r="AI181" s="330"/>
      <c r="AJ181" s="343"/>
      <c r="AK181" s="249"/>
      <c r="AL181" s="330"/>
      <c r="AM181" s="343"/>
      <c r="AN181" s="249"/>
      <c r="AO181" s="330"/>
      <c r="AP181" s="343"/>
      <c r="AQ181" s="249"/>
      <c r="AR181" s="330"/>
      <c r="AS181" s="343"/>
      <c r="AT181" s="249"/>
      <c r="AU181" s="330"/>
    </row>
    <row r="182" spans="2:47">
      <c r="B182" s="247">
        <f>'Table S2 Compound Identifiers'!C184</f>
        <v>0</v>
      </c>
      <c r="C182" s="247">
        <f>COUNTIF($D$6:D182,"&lt;&gt;"&amp;"")</f>
        <v>177</v>
      </c>
      <c r="D182" s="247">
        <f>'Table S2 Compound Identifiers'!B184</f>
        <v>0</v>
      </c>
      <c r="E182" s="247"/>
      <c r="F182" s="248"/>
      <c r="G182" s="249"/>
      <c r="H182" s="330"/>
      <c r="I182" s="328"/>
      <c r="J182" s="249"/>
      <c r="K182" s="330"/>
      <c r="L182" s="250"/>
      <c r="M182" s="249"/>
      <c r="N182" s="330"/>
      <c r="O182" s="250"/>
      <c r="P182" s="249"/>
      <c r="Q182" s="330"/>
      <c r="R182" s="250"/>
      <c r="S182" s="249"/>
      <c r="T182" s="330"/>
      <c r="U182" s="250"/>
      <c r="V182" s="249"/>
      <c r="W182" s="330"/>
      <c r="X182" s="343"/>
      <c r="Y182" s="249"/>
      <c r="Z182" s="330"/>
      <c r="AA182" s="343"/>
      <c r="AB182" s="249"/>
      <c r="AC182" s="330"/>
      <c r="AD182" s="343"/>
      <c r="AE182" s="249"/>
      <c r="AF182" s="330"/>
      <c r="AG182" s="343"/>
      <c r="AH182" s="249"/>
      <c r="AI182" s="330"/>
      <c r="AJ182" s="343"/>
      <c r="AK182" s="249"/>
      <c r="AL182" s="330"/>
      <c r="AM182" s="343"/>
      <c r="AN182" s="249"/>
      <c r="AO182" s="330"/>
      <c r="AP182" s="343"/>
      <c r="AQ182" s="249"/>
      <c r="AR182" s="330"/>
      <c r="AS182" s="343"/>
      <c r="AT182" s="249"/>
      <c r="AU182" s="330"/>
    </row>
    <row r="183" spans="2:47">
      <c r="B183" s="247">
        <f>'Table S2 Compound Identifiers'!C185</f>
        <v>0</v>
      </c>
      <c r="C183" s="247">
        <f>COUNTIF($D$6:D183,"&lt;&gt;"&amp;"")</f>
        <v>178</v>
      </c>
      <c r="D183" s="247">
        <f>'Table S2 Compound Identifiers'!B185</f>
        <v>0</v>
      </c>
      <c r="E183" s="247"/>
      <c r="F183" s="248"/>
      <c r="G183" s="249"/>
      <c r="H183" s="330"/>
      <c r="I183" s="328"/>
      <c r="J183" s="249"/>
      <c r="K183" s="330"/>
      <c r="L183" s="250"/>
      <c r="M183" s="249"/>
      <c r="N183" s="330"/>
      <c r="O183" s="250"/>
      <c r="P183" s="249"/>
      <c r="Q183" s="330"/>
      <c r="R183" s="250"/>
      <c r="S183" s="249"/>
      <c r="T183" s="330"/>
      <c r="U183" s="250"/>
      <c r="V183" s="249"/>
      <c r="W183" s="330"/>
      <c r="X183" s="343"/>
      <c r="Y183" s="249"/>
      <c r="Z183" s="330"/>
      <c r="AA183" s="343"/>
      <c r="AB183" s="249"/>
      <c r="AC183" s="330"/>
      <c r="AD183" s="343"/>
      <c r="AE183" s="249"/>
      <c r="AF183" s="330"/>
      <c r="AG183" s="343"/>
      <c r="AH183" s="249"/>
      <c r="AI183" s="330"/>
      <c r="AJ183" s="343"/>
      <c r="AK183" s="249"/>
      <c r="AL183" s="330"/>
      <c r="AM183" s="343"/>
      <c r="AN183" s="249"/>
      <c r="AO183" s="330"/>
      <c r="AP183" s="343"/>
      <c r="AQ183" s="249"/>
      <c r="AR183" s="330"/>
      <c r="AS183" s="343"/>
      <c r="AT183" s="249"/>
      <c r="AU183" s="330"/>
    </row>
    <row r="184" spans="2:47">
      <c r="B184" s="247">
        <f>'Table S2 Compound Identifiers'!C186</f>
        <v>0</v>
      </c>
      <c r="C184" s="247">
        <f>COUNTIF($D$6:D184,"&lt;&gt;"&amp;"")</f>
        <v>179</v>
      </c>
      <c r="D184" s="247">
        <f>'Table S2 Compound Identifiers'!B186</f>
        <v>0</v>
      </c>
      <c r="E184" s="247"/>
      <c r="F184" s="248"/>
      <c r="G184" s="249"/>
      <c r="H184" s="330"/>
      <c r="I184" s="328"/>
      <c r="J184" s="249"/>
      <c r="K184" s="330"/>
      <c r="L184" s="250"/>
      <c r="M184" s="249"/>
      <c r="N184" s="330"/>
      <c r="O184" s="250"/>
      <c r="P184" s="249"/>
      <c r="Q184" s="330"/>
      <c r="R184" s="250"/>
      <c r="S184" s="249"/>
      <c r="T184" s="330"/>
      <c r="U184" s="250"/>
      <c r="V184" s="249"/>
      <c r="W184" s="330"/>
      <c r="X184" s="343"/>
      <c r="Y184" s="249"/>
      <c r="Z184" s="330"/>
      <c r="AA184" s="343"/>
      <c r="AB184" s="249"/>
      <c r="AC184" s="330"/>
      <c r="AD184" s="343"/>
      <c r="AE184" s="249"/>
      <c r="AF184" s="330"/>
      <c r="AG184" s="343"/>
      <c r="AH184" s="249"/>
      <c r="AI184" s="330"/>
      <c r="AJ184" s="343"/>
      <c r="AK184" s="249"/>
      <c r="AL184" s="330"/>
      <c r="AM184" s="343"/>
      <c r="AN184" s="249"/>
      <c r="AO184" s="330"/>
      <c r="AP184" s="343"/>
      <c r="AQ184" s="249"/>
      <c r="AR184" s="330"/>
      <c r="AS184" s="343"/>
      <c r="AT184" s="249"/>
      <c r="AU184" s="330"/>
    </row>
    <row r="185" spans="2:47">
      <c r="B185" s="247">
        <f>'Table S2 Compound Identifiers'!C187</f>
        <v>0</v>
      </c>
      <c r="C185" s="247">
        <f>COUNTIF($D$6:D185,"&lt;&gt;"&amp;"")</f>
        <v>180</v>
      </c>
      <c r="D185" s="247">
        <f>'Table S2 Compound Identifiers'!B187</f>
        <v>0</v>
      </c>
      <c r="E185" s="247"/>
      <c r="F185" s="248"/>
      <c r="G185" s="249"/>
      <c r="H185" s="330"/>
      <c r="I185" s="328"/>
      <c r="J185" s="249"/>
      <c r="K185" s="330"/>
      <c r="L185" s="250"/>
      <c r="M185" s="249"/>
      <c r="N185" s="330"/>
      <c r="O185" s="250"/>
      <c r="P185" s="249"/>
      <c r="Q185" s="330"/>
      <c r="R185" s="250"/>
      <c r="S185" s="249"/>
      <c r="T185" s="330"/>
      <c r="U185" s="250"/>
      <c r="V185" s="249"/>
      <c r="W185" s="330"/>
      <c r="X185" s="343"/>
      <c r="Y185" s="249"/>
      <c r="Z185" s="330"/>
      <c r="AA185" s="343"/>
      <c r="AB185" s="249"/>
      <c r="AC185" s="330"/>
      <c r="AD185" s="343"/>
      <c r="AE185" s="249"/>
      <c r="AF185" s="330"/>
      <c r="AG185" s="343"/>
      <c r="AH185" s="249"/>
      <c r="AI185" s="330"/>
      <c r="AJ185" s="343"/>
      <c r="AK185" s="249"/>
      <c r="AL185" s="330"/>
      <c r="AM185" s="343"/>
      <c r="AN185" s="249"/>
      <c r="AO185" s="330"/>
      <c r="AP185" s="343"/>
      <c r="AQ185" s="249"/>
      <c r="AR185" s="330"/>
      <c r="AS185" s="343"/>
      <c r="AT185" s="249"/>
      <c r="AU185" s="330"/>
    </row>
    <row r="186" spans="2:47">
      <c r="B186" s="247">
        <f>'Table S2 Compound Identifiers'!C188</f>
        <v>0</v>
      </c>
      <c r="C186" s="247">
        <f>COUNTIF($D$6:D186,"&lt;&gt;"&amp;"")</f>
        <v>181</v>
      </c>
      <c r="D186" s="247">
        <f>'Table S2 Compound Identifiers'!B188</f>
        <v>0</v>
      </c>
      <c r="E186" s="247"/>
      <c r="F186" s="248"/>
      <c r="G186" s="249"/>
      <c r="H186" s="330"/>
      <c r="I186" s="328"/>
      <c r="J186" s="249"/>
      <c r="K186" s="330"/>
      <c r="L186" s="250"/>
      <c r="M186" s="249"/>
      <c r="N186" s="330"/>
      <c r="O186" s="250"/>
      <c r="P186" s="249"/>
      <c r="Q186" s="330"/>
      <c r="R186" s="250"/>
      <c r="S186" s="249"/>
      <c r="T186" s="330"/>
      <c r="U186" s="250"/>
      <c r="V186" s="249"/>
      <c r="W186" s="330"/>
      <c r="X186" s="343"/>
      <c r="Y186" s="249"/>
      <c r="Z186" s="330"/>
      <c r="AA186" s="343"/>
      <c r="AB186" s="249"/>
      <c r="AC186" s="330"/>
      <c r="AD186" s="343"/>
      <c r="AE186" s="249"/>
      <c r="AF186" s="330"/>
      <c r="AG186" s="343"/>
      <c r="AH186" s="249"/>
      <c r="AI186" s="330"/>
      <c r="AJ186" s="343"/>
      <c r="AK186" s="249"/>
      <c r="AL186" s="330"/>
      <c r="AM186" s="343"/>
      <c r="AN186" s="249"/>
      <c r="AO186" s="330"/>
      <c r="AP186" s="343"/>
      <c r="AQ186" s="249"/>
      <c r="AR186" s="330"/>
      <c r="AS186" s="343"/>
      <c r="AT186" s="249"/>
      <c r="AU186" s="330"/>
    </row>
    <row r="187" spans="2:47">
      <c r="B187" s="247">
        <f>'Table S2 Compound Identifiers'!C189</f>
        <v>0</v>
      </c>
      <c r="C187" s="247">
        <f>COUNTIF($D$6:D187,"&lt;&gt;"&amp;"")</f>
        <v>182</v>
      </c>
      <c r="D187" s="247">
        <f>'Table S2 Compound Identifiers'!B189</f>
        <v>0</v>
      </c>
      <c r="E187" s="247"/>
      <c r="F187" s="248"/>
      <c r="G187" s="249"/>
      <c r="H187" s="330"/>
      <c r="I187" s="328"/>
      <c r="J187" s="249"/>
      <c r="K187" s="330"/>
      <c r="L187" s="250"/>
      <c r="M187" s="249"/>
      <c r="N187" s="330"/>
      <c r="O187" s="250"/>
      <c r="P187" s="249"/>
      <c r="Q187" s="330"/>
      <c r="R187" s="250"/>
      <c r="S187" s="249"/>
      <c r="T187" s="330"/>
      <c r="U187" s="250"/>
      <c r="V187" s="249"/>
      <c r="W187" s="330"/>
      <c r="X187" s="343"/>
      <c r="Y187" s="249"/>
      <c r="Z187" s="330"/>
      <c r="AA187" s="343"/>
      <c r="AB187" s="249"/>
      <c r="AC187" s="330"/>
      <c r="AD187" s="343"/>
      <c r="AE187" s="249"/>
      <c r="AF187" s="330"/>
      <c r="AG187" s="343"/>
      <c r="AH187" s="249"/>
      <c r="AI187" s="330"/>
      <c r="AJ187" s="343"/>
      <c r="AK187" s="249"/>
      <c r="AL187" s="330"/>
      <c r="AM187" s="343"/>
      <c r="AN187" s="249"/>
      <c r="AO187" s="330"/>
      <c r="AP187" s="343"/>
      <c r="AQ187" s="249"/>
      <c r="AR187" s="330"/>
      <c r="AS187" s="343"/>
      <c r="AT187" s="249"/>
      <c r="AU187" s="330"/>
    </row>
    <row r="188" spans="2:47">
      <c r="B188" s="247">
        <f>'Table S2 Compound Identifiers'!C190</f>
        <v>0</v>
      </c>
      <c r="C188" s="247">
        <f>COUNTIF($D$6:D188,"&lt;&gt;"&amp;"")</f>
        <v>183</v>
      </c>
      <c r="D188" s="247">
        <f>'Table S2 Compound Identifiers'!B190</f>
        <v>0</v>
      </c>
      <c r="E188" s="247"/>
      <c r="F188" s="248"/>
      <c r="G188" s="249"/>
      <c r="H188" s="330"/>
      <c r="I188" s="328"/>
      <c r="J188" s="249"/>
      <c r="K188" s="330"/>
      <c r="L188" s="250"/>
      <c r="M188" s="249"/>
      <c r="N188" s="330"/>
      <c r="O188" s="250"/>
      <c r="P188" s="249"/>
      <c r="Q188" s="330"/>
      <c r="R188" s="250"/>
      <c r="S188" s="249"/>
      <c r="T188" s="330"/>
      <c r="U188" s="250"/>
      <c r="V188" s="249"/>
      <c r="W188" s="330"/>
      <c r="X188" s="343"/>
      <c r="Y188" s="249"/>
      <c r="Z188" s="330"/>
      <c r="AA188" s="343"/>
      <c r="AB188" s="249"/>
      <c r="AC188" s="330"/>
      <c r="AD188" s="343"/>
      <c r="AE188" s="249"/>
      <c r="AF188" s="330"/>
      <c r="AG188" s="343"/>
      <c r="AH188" s="249"/>
      <c r="AI188" s="330"/>
      <c r="AJ188" s="343"/>
      <c r="AK188" s="249"/>
      <c r="AL188" s="330"/>
      <c r="AM188" s="343"/>
      <c r="AN188" s="249"/>
      <c r="AO188" s="330"/>
      <c r="AP188" s="343"/>
      <c r="AQ188" s="249"/>
      <c r="AR188" s="330"/>
      <c r="AS188" s="343"/>
      <c r="AT188" s="249"/>
      <c r="AU188" s="330"/>
    </row>
    <row r="189" spans="2:47">
      <c r="B189" s="247">
        <f>'Table S2 Compound Identifiers'!C191</f>
        <v>0</v>
      </c>
      <c r="C189" s="247">
        <f>COUNTIF($D$6:D189,"&lt;&gt;"&amp;"")</f>
        <v>184</v>
      </c>
      <c r="D189" s="247">
        <f>'Table S2 Compound Identifiers'!B191</f>
        <v>0</v>
      </c>
      <c r="E189" s="247"/>
      <c r="F189" s="248"/>
      <c r="G189" s="249"/>
      <c r="H189" s="330"/>
      <c r="I189" s="328"/>
      <c r="J189" s="249"/>
      <c r="K189" s="330"/>
      <c r="L189" s="250"/>
      <c r="M189" s="249"/>
      <c r="N189" s="330"/>
      <c r="O189" s="250"/>
      <c r="P189" s="249"/>
      <c r="Q189" s="330"/>
      <c r="R189" s="250"/>
      <c r="S189" s="249"/>
      <c r="T189" s="330"/>
      <c r="U189" s="250"/>
      <c r="V189" s="249"/>
      <c r="W189" s="330"/>
      <c r="X189" s="343"/>
      <c r="Y189" s="249"/>
      <c r="Z189" s="330"/>
      <c r="AA189" s="343"/>
      <c r="AB189" s="249"/>
      <c r="AC189" s="330"/>
      <c r="AD189" s="343"/>
      <c r="AE189" s="249"/>
      <c r="AF189" s="330"/>
      <c r="AG189" s="343"/>
      <c r="AH189" s="249"/>
      <c r="AI189" s="330"/>
      <c r="AJ189" s="343"/>
      <c r="AK189" s="249"/>
      <c r="AL189" s="330"/>
      <c r="AM189" s="343"/>
      <c r="AN189" s="249"/>
      <c r="AO189" s="330"/>
      <c r="AP189" s="343"/>
      <c r="AQ189" s="249"/>
      <c r="AR189" s="330"/>
      <c r="AS189" s="343"/>
      <c r="AT189" s="249"/>
      <c r="AU189" s="330"/>
    </row>
    <row r="190" spans="2:47">
      <c r="B190" s="247">
        <f>'Table S2 Compound Identifiers'!C192</f>
        <v>0</v>
      </c>
      <c r="C190" s="247">
        <f>COUNTIF($D$6:D190,"&lt;&gt;"&amp;"")</f>
        <v>185</v>
      </c>
      <c r="D190" s="247">
        <f>'Table S2 Compound Identifiers'!B192</f>
        <v>0</v>
      </c>
      <c r="E190" s="247"/>
      <c r="F190" s="248"/>
      <c r="G190" s="249"/>
      <c r="H190" s="330"/>
      <c r="I190" s="328"/>
      <c r="J190" s="249"/>
      <c r="K190" s="330"/>
      <c r="L190" s="250"/>
      <c r="M190" s="249"/>
      <c r="N190" s="330"/>
      <c r="O190" s="250"/>
      <c r="P190" s="249"/>
      <c r="Q190" s="330"/>
      <c r="R190" s="250"/>
      <c r="S190" s="249"/>
      <c r="T190" s="330"/>
      <c r="U190" s="250"/>
      <c r="V190" s="249"/>
      <c r="W190" s="330"/>
      <c r="X190" s="343"/>
      <c r="Y190" s="249"/>
      <c r="Z190" s="330"/>
      <c r="AA190" s="343"/>
      <c r="AB190" s="249"/>
      <c r="AC190" s="330"/>
      <c r="AD190" s="343"/>
      <c r="AE190" s="249"/>
      <c r="AF190" s="330"/>
      <c r="AG190" s="343"/>
      <c r="AH190" s="249"/>
      <c r="AI190" s="330"/>
      <c r="AJ190" s="343"/>
      <c r="AK190" s="249"/>
      <c r="AL190" s="330"/>
      <c r="AM190" s="343"/>
      <c r="AN190" s="249"/>
      <c r="AO190" s="330"/>
      <c r="AP190" s="343"/>
      <c r="AQ190" s="249"/>
      <c r="AR190" s="330"/>
      <c r="AS190" s="343"/>
      <c r="AT190" s="249"/>
      <c r="AU190" s="330"/>
    </row>
    <row r="191" spans="2:47">
      <c r="B191" s="247">
        <f>'Table S2 Compound Identifiers'!C193</f>
        <v>0</v>
      </c>
      <c r="C191" s="247">
        <f>COUNTIF($D$6:D191,"&lt;&gt;"&amp;"")</f>
        <v>186</v>
      </c>
      <c r="D191" s="247">
        <f>'Table S2 Compound Identifiers'!B193</f>
        <v>0</v>
      </c>
      <c r="E191" s="247"/>
      <c r="F191" s="248"/>
      <c r="G191" s="249"/>
      <c r="H191" s="330"/>
      <c r="I191" s="328"/>
      <c r="J191" s="249"/>
      <c r="K191" s="330"/>
      <c r="L191" s="250"/>
      <c r="M191" s="249"/>
      <c r="N191" s="330"/>
      <c r="O191" s="250"/>
      <c r="P191" s="249"/>
      <c r="Q191" s="330"/>
      <c r="R191" s="250"/>
      <c r="S191" s="249"/>
      <c r="T191" s="330"/>
      <c r="U191" s="250"/>
      <c r="V191" s="249"/>
      <c r="W191" s="330"/>
      <c r="X191" s="343"/>
      <c r="Y191" s="249"/>
      <c r="Z191" s="330"/>
      <c r="AA191" s="343"/>
      <c r="AB191" s="249"/>
      <c r="AC191" s="330"/>
      <c r="AD191" s="343"/>
      <c r="AE191" s="249"/>
      <c r="AF191" s="330"/>
      <c r="AG191" s="343"/>
      <c r="AH191" s="249"/>
      <c r="AI191" s="330"/>
      <c r="AJ191" s="343"/>
      <c r="AK191" s="249"/>
      <c r="AL191" s="330"/>
      <c r="AM191" s="343"/>
      <c r="AN191" s="249"/>
      <c r="AO191" s="330"/>
      <c r="AP191" s="343"/>
      <c r="AQ191" s="249"/>
      <c r="AR191" s="330"/>
      <c r="AS191" s="343"/>
      <c r="AT191" s="249"/>
      <c r="AU191" s="330"/>
    </row>
    <row r="192" spans="2:47">
      <c r="B192" s="247">
        <f>'Table S2 Compound Identifiers'!C194</f>
        <v>0</v>
      </c>
      <c r="C192" s="247">
        <f>COUNTIF($D$6:D192,"&lt;&gt;"&amp;"")</f>
        <v>187</v>
      </c>
      <c r="D192" s="247">
        <f>'Table S2 Compound Identifiers'!B194</f>
        <v>0</v>
      </c>
      <c r="E192" s="247"/>
      <c r="F192" s="248"/>
      <c r="G192" s="249"/>
      <c r="H192" s="330"/>
      <c r="I192" s="328"/>
      <c r="J192" s="249"/>
      <c r="K192" s="330"/>
      <c r="L192" s="250"/>
      <c r="M192" s="249"/>
      <c r="N192" s="330"/>
      <c r="O192" s="250"/>
      <c r="P192" s="249"/>
      <c r="Q192" s="330"/>
      <c r="R192" s="250"/>
      <c r="S192" s="249"/>
      <c r="T192" s="330"/>
      <c r="U192" s="250"/>
      <c r="V192" s="249"/>
      <c r="W192" s="330"/>
      <c r="X192" s="343"/>
      <c r="Y192" s="249"/>
      <c r="Z192" s="330"/>
      <c r="AA192" s="343"/>
      <c r="AB192" s="249"/>
      <c r="AC192" s="330"/>
      <c r="AD192" s="343"/>
      <c r="AE192" s="249"/>
      <c r="AF192" s="330"/>
      <c r="AG192" s="343"/>
      <c r="AH192" s="249"/>
      <c r="AI192" s="330"/>
      <c r="AJ192" s="343"/>
      <c r="AK192" s="249"/>
      <c r="AL192" s="330"/>
      <c r="AM192" s="343"/>
      <c r="AN192" s="249"/>
      <c r="AO192" s="330"/>
      <c r="AP192" s="343"/>
      <c r="AQ192" s="249"/>
      <c r="AR192" s="330"/>
      <c r="AS192" s="343"/>
      <c r="AT192" s="249"/>
      <c r="AU192" s="330"/>
    </row>
    <row r="193" spans="2:47">
      <c r="B193" s="247">
        <f>'Table S2 Compound Identifiers'!C195</f>
        <v>0</v>
      </c>
      <c r="C193" s="247">
        <f>COUNTIF($D$6:D193,"&lt;&gt;"&amp;"")</f>
        <v>188</v>
      </c>
      <c r="D193" s="247">
        <f>'Table S2 Compound Identifiers'!B195</f>
        <v>0</v>
      </c>
      <c r="E193" s="247"/>
      <c r="F193" s="248"/>
      <c r="G193" s="249"/>
      <c r="H193" s="330"/>
      <c r="I193" s="328"/>
      <c r="J193" s="249"/>
      <c r="K193" s="330"/>
      <c r="L193" s="250"/>
      <c r="M193" s="249"/>
      <c r="N193" s="330"/>
      <c r="O193" s="250"/>
      <c r="P193" s="249"/>
      <c r="Q193" s="330"/>
      <c r="R193" s="250"/>
      <c r="S193" s="249"/>
      <c r="T193" s="330"/>
      <c r="U193" s="250"/>
      <c r="V193" s="249"/>
      <c r="W193" s="330"/>
      <c r="X193" s="343"/>
      <c r="Y193" s="249"/>
      <c r="Z193" s="330"/>
      <c r="AA193" s="343"/>
      <c r="AB193" s="249"/>
      <c r="AC193" s="330"/>
      <c r="AD193" s="343"/>
      <c r="AE193" s="249"/>
      <c r="AF193" s="330"/>
      <c r="AG193" s="343"/>
      <c r="AH193" s="249"/>
      <c r="AI193" s="330"/>
      <c r="AJ193" s="343"/>
      <c r="AK193" s="249"/>
      <c r="AL193" s="330"/>
      <c r="AM193" s="343"/>
      <c r="AN193" s="249"/>
      <c r="AO193" s="330"/>
      <c r="AP193" s="343"/>
      <c r="AQ193" s="249"/>
      <c r="AR193" s="330"/>
      <c r="AS193" s="343"/>
      <c r="AT193" s="249"/>
      <c r="AU193" s="330"/>
    </row>
    <row r="194" spans="2:47">
      <c r="B194" s="247">
        <f>'Table S2 Compound Identifiers'!C196</f>
        <v>0</v>
      </c>
      <c r="C194" s="247">
        <f>COUNTIF($D$6:D194,"&lt;&gt;"&amp;"")</f>
        <v>189</v>
      </c>
      <c r="D194" s="247">
        <f>'Table S2 Compound Identifiers'!B196</f>
        <v>0</v>
      </c>
      <c r="E194" s="247"/>
      <c r="F194" s="248"/>
      <c r="G194" s="249"/>
      <c r="H194" s="330"/>
      <c r="I194" s="328"/>
      <c r="J194" s="249"/>
      <c r="K194" s="330"/>
      <c r="L194" s="250"/>
      <c r="M194" s="249"/>
      <c r="N194" s="330"/>
      <c r="O194" s="250"/>
      <c r="P194" s="249"/>
      <c r="Q194" s="330"/>
      <c r="R194" s="250"/>
      <c r="S194" s="249"/>
      <c r="T194" s="330"/>
      <c r="U194" s="250"/>
      <c r="V194" s="249"/>
      <c r="W194" s="330"/>
      <c r="X194" s="343"/>
      <c r="Y194" s="249"/>
      <c r="Z194" s="330"/>
      <c r="AA194" s="343"/>
      <c r="AB194" s="249"/>
      <c r="AC194" s="330"/>
      <c r="AD194" s="343"/>
      <c r="AE194" s="249"/>
      <c r="AF194" s="330"/>
      <c r="AG194" s="343"/>
      <c r="AH194" s="249"/>
      <c r="AI194" s="330"/>
      <c r="AJ194" s="343"/>
      <c r="AK194" s="249"/>
      <c r="AL194" s="330"/>
      <c r="AM194" s="343"/>
      <c r="AN194" s="249"/>
      <c r="AO194" s="330"/>
      <c r="AP194" s="343"/>
      <c r="AQ194" s="249"/>
      <c r="AR194" s="330"/>
      <c r="AS194" s="343"/>
      <c r="AT194" s="249"/>
      <c r="AU194" s="330"/>
    </row>
    <row r="195" spans="2:47">
      <c r="B195" s="247">
        <f>'Table S2 Compound Identifiers'!C197</f>
        <v>0</v>
      </c>
      <c r="C195" s="247">
        <f>COUNTIF($D$6:D195,"&lt;&gt;"&amp;"")</f>
        <v>190</v>
      </c>
      <c r="D195" s="247">
        <f>'Table S2 Compound Identifiers'!B197</f>
        <v>0</v>
      </c>
      <c r="E195" s="247"/>
      <c r="F195" s="248"/>
      <c r="G195" s="249"/>
      <c r="H195" s="330"/>
      <c r="I195" s="328"/>
      <c r="J195" s="249"/>
      <c r="K195" s="330"/>
      <c r="L195" s="250"/>
      <c r="M195" s="249"/>
      <c r="N195" s="330"/>
      <c r="O195" s="250"/>
      <c r="P195" s="249"/>
      <c r="Q195" s="330"/>
      <c r="R195" s="250"/>
      <c r="S195" s="249"/>
      <c r="T195" s="330"/>
      <c r="U195" s="250"/>
      <c r="V195" s="249"/>
      <c r="W195" s="330"/>
      <c r="X195" s="343"/>
      <c r="Y195" s="249"/>
      <c r="Z195" s="330"/>
      <c r="AA195" s="343"/>
      <c r="AB195" s="249"/>
      <c r="AC195" s="330"/>
      <c r="AD195" s="343"/>
      <c r="AE195" s="249"/>
      <c r="AF195" s="330"/>
      <c r="AG195" s="343"/>
      <c r="AH195" s="249"/>
      <c r="AI195" s="330"/>
      <c r="AJ195" s="343"/>
      <c r="AK195" s="249"/>
      <c r="AL195" s="330"/>
      <c r="AM195" s="343"/>
      <c r="AN195" s="249"/>
      <c r="AO195" s="330"/>
      <c r="AP195" s="343"/>
      <c r="AQ195" s="249"/>
      <c r="AR195" s="330"/>
      <c r="AS195" s="343"/>
      <c r="AT195" s="249"/>
      <c r="AU195" s="330"/>
    </row>
    <row r="196" spans="2:47">
      <c r="B196" s="247">
        <f>'Table S2 Compound Identifiers'!C198</f>
        <v>0</v>
      </c>
      <c r="C196" s="247">
        <f>COUNTIF($D$6:D196,"&lt;&gt;"&amp;"")</f>
        <v>191</v>
      </c>
      <c r="D196" s="247">
        <f>'Table S2 Compound Identifiers'!B198</f>
        <v>0</v>
      </c>
      <c r="E196" s="247"/>
      <c r="F196" s="248"/>
      <c r="G196" s="249"/>
      <c r="H196" s="330"/>
      <c r="I196" s="328"/>
      <c r="J196" s="249"/>
      <c r="K196" s="330"/>
      <c r="L196" s="250"/>
      <c r="M196" s="249"/>
      <c r="N196" s="330"/>
      <c r="O196" s="250"/>
      <c r="P196" s="249"/>
      <c r="Q196" s="330"/>
      <c r="R196" s="250"/>
      <c r="S196" s="249"/>
      <c r="T196" s="330"/>
      <c r="U196" s="250"/>
      <c r="V196" s="249"/>
      <c r="W196" s="330"/>
      <c r="X196" s="343"/>
      <c r="Y196" s="249"/>
      <c r="Z196" s="330"/>
      <c r="AA196" s="343"/>
      <c r="AB196" s="249"/>
      <c r="AC196" s="330"/>
      <c r="AD196" s="343"/>
      <c r="AE196" s="249"/>
      <c r="AF196" s="330"/>
      <c r="AG196" s="343"/>
      <c r="AH196" s="249"/>
      <c r="AI196" s="330"/>
      <c r="AJ196" s="343"/>
      <c r="AK196" s="249"/>
      <c r="AL196" s="330"/>
      <c r="AM196" s="343"/>
      <c r="AN196" s="249"/>
      <c r="AO196" s="330"/>
      <c r="AP196" s="343"/>
      <c r="AQ196" s="249"/>
      <c r="AR196" s="330"/>
      <c r="AS196" s="343"/>
      <c r="AT196" s="249"/>
      <c r="AU196" s="330"/>
    </row>
    <row r="197" spans="2:47">
      <c r="B197" s="247">
        <f>'Table S2 Compound Identifiers'!C199</f>
        <v>0</v>
      </c>
      <c r="C197" s="247">
        <f>COUNTIF($D$6:D197,"&lt;&gt;"&amp;"")</f>
        <v>192</v>
      </c>
      <c r="D197" s="247">
        <f>'Table S2 Compound Identifiers'!B199</f>
        <v>0</v>
      </c>
      <c r="E197" s="247"/>
      <c r="F197" s="248"/>
      <c r="G197" s="249"/>
      <c r="H197" s="330"/>
      <c r="I197" s="328"/>
      <c r="J197" s="249"/>
      <c r="K197" s="330"/>
      <c r="L197" s="250"/>
      <c r="M197" s="249"/>
      <c r="N197" s="330"/>
      <c r="O197" s="250"/>
      <c r="P197" s="249"/>
      <c r="Q197" s="330"/>
      <c r="R197" s="250"/>
      <c r="S197" s="249"/>
      <c r="T197" s="330"/>
      <c r="U197" s="250"/>
      <c r="V197" s="249"/>
      <c r="W197" s="330"/>
      <c r="X197" s="343"/>
      <c r="Y197" s="249"/>
      <c r="Z197" s="330"/>
      <c r="AA197" s="343"/>
      <c r="AB197" s="249"/>
      <c r="AC197" s="330"/>
      <c r="AD197" s="343"/>
      <c r="AE197" s="249"/>
      <c r="AF197" s="330"/>
      <c r="AG197" s="343"/>
      <c r="AH197" s="249"/>
      <c r="AI197" s="330"/>
      <c r="AJ197" s="343"/>
      <c r="AK197" s="249"/>
      <c r="AL197" s="330"/>
      <c r="AM197" s="343"/>
      <c r="AN197" s="249"/>
      <c r="AO197" s="330"/>
      <c r="AP197" s="343"/>
      <c r="AQ197" s="249"/>
      <c r="AR197" s="330"/>
      <c r="AS197" s="343"/>
      <c r="AT197" s="249"/>
      <c r="AU197" s="330"/>
    </row>
    <row r="198" spans="2:47">
      <c r="B198" s="247">
        <f>'Table S2 Compound Identifiers'!C200</f>
        <v>0</v>
      </c>
      <c r="C198" s="247">
        <f>COUNTIF($D$6:D198,"&lt;&gt;"&amp;"")</f>
        <v>193</v>
      </c>
      <c r="D198" s="247">
        <f>'Table S2 Compound Identifiers'!B200</f>
        <v>0</v>
      </c>
      <c r="E198" s="247"/>
      <c r="F198" s="248"/>
      <c r="G198" s="249"/>
      <c r="H198" s="330"/>
      <c r="I198" s="328"/>
      <c r="J198" s="249"/>
      <c r="K198" s="330"/>
      <c r="L198" s="250"/>
      <c r="M198" s="249"/>
      <c r="N198" s="330"/>
      <c r="O198" s="250"/>
      <c r="P198" s="249"/>
      <c r="Q198" s="330"/>
      <c r="R198" s="250"/>
      <c r="S198" s="249"/>
      <c r="T198" s="330"/>
      <c r="U198" s="250"/>
      <c r="V198" s="249"/>
      <c r="W198" s="330"/>
      <c r="X198" s="343"/>
      <c r="Y198" s="249"/>
      <c r="Z198" s="330"/>
      <c r="AA198" s="343"/>
      <c r="AB198" s="249"/>
      <c r="AC198" s="330"/>
      <c r="AD198" s="343"/>
      <c r="AE198" s="249"/>
      <c r="AF198" s="330"/>
      <c r="AG198" s="343"/>
      <c r="AH198" s="249"/>
      <c r="AI198" s="330"/>
      <c r="AJ198" s="343"/>
      <c r="AK198" s="249"/>
      <c r="AL198" s="330"/>
      <c r="AM198" s="343"/>
      <c r="AN198" s="249"/>
      <c r="AO198" s="330"/>
      <c r="AP198" s="343"/>
      <c r="AQ198" s="249"/>
      <c r="AR198" s="330"/>
      <c r="AS198" s="343"/>
      <c r="AT198" s="249"/>
      <c r="AU198" s="330"/>
    </row>
    <row r="199" spans="2:47">
      <c r="B199" s="247">
        <f>'Table S2 Compound Identifiers'!C201</f>
        <v>0</v>
      </c>
      <c r="C199" s="247">
        <f>COUNTIF($D$6:D199,"&lt;&gt;"&amp;"")</f>
        <v>194</v>
      </c>
      <c r="D199" s="247">
        <f>'Table S2 Compound Identifiers'!B201</f>
        <v>0</v>
      </c>
      <c r="E199" s="247"/>
      <c r="F199" s="248"/>
      <c r="G199" s="249"/>
      <c r="H199" s="330"/>
      <c r="I199" s="328"/>
      <c r="J199" s="249"/>
      <c r="K199" s="330"/>
      <c r="L199" s="250"/>
      <c r="M199" s="249"/>
      <c r="N199" s="330"/>
      <c r="O199" s="250"/>
      <c r="P199" s="249"/>
      <c r="Q199" s="330"/>
      <c r="R199" s="250"/>
      <c r="S199" s="249"/>
      <c r="T199" s="330"/>
      <c r="U199" s="250"/>
      <c r="V199" s="249"/>
      <c r="W199" s="330"/>
      <c r="X199" s="343"/>
      <c r="Y199" s="249"/>
      <c r="Z199" s="330"/>
      <c r="AA199" s="343"/>
      <c r="AB199" s="249"/>
      <c r="AC199" s="330"/>
      <c r="AD199" s="343"/>
      <c r="AE199" s="249"/>
      <c r="AF199" s="330"/>
      <c r="AG199" s="343"/>
      <c r="AH199" s="249"/>
      <c r="AI199" s="330"/>
      <c r="AJ199" s="343"/>
      <c r="AK199" s="249"/>
      <c r="AL199" s="330"/>
      <c r="AM199" s="343"/>
      <c r="AN199" s="249"/>
      <c r="AO199" s="330"/>
      <c r="AP199" s="343"/>
      <c r="AQ199" s="249"/>
      <c r="AR199" s="330"/>
      <c r="AS199" s="343"/>
      <c r="AT199" s="249"/>
      <c r="AU199" s="330"/>
    </row>
    <row r="200" spans="2:47">
      <c r="B200" s="247">
        <f>'Table S2 Compound Identifiers'!C202</f>
        <v>0</v>
      </c>
      <c r="C200" s="247">
        <f>COUNTIF($D$6:D200,"&lt;&gt;"&amp;"")</f>
        <v>195</v>
      </c>
      <c r="D200" s="247">
        <f>'Table S2 Compound Identifiers'!B202</f>
        <v>0</v>
      </c>
      <c r="E200" s="247"/>
      <c r="F200" s="248"/>
      <c r="G200" s="249"/>
      <c r="H200" s="330"/>
      <c r="I200" s="328"/>
      <c r="J200" s="249"/>
      <c r="K200" s="330"/>
      <c r="L200" s="250"/>
      <c r="M200" s="249"/>
      <c r="N200" s="330"/>
      <c r="O200" s="250"/>
      <c r="P200" s="249"/>
      <c r="Q200" s="330"/>
      <c r="R200" s="250"/>
      <c r="S200" s="249"/>
      <c r="T200" s="330"/>
      <c r="U200" s="250"/>
      <c r="V200" s="249"/>
      <c r="W200" s="330"/>
      <c r="X200" s="343"/>
      <c r="Y200" s="249"/>
      <c r="Z200" s="330"/>
      <c r="AA200" s="343"/>
      <c r="AB200" s="249"/>
      <c r="AC200" s="330"/>
      <c r="AD200" s="343"/>
      <c r="AE200" s="249"/>
      <c r="AF200" s="330"/>
      <c r="AG200" s="343"/>
      <c r="AH200" s="249"/>
      <c r="AI200" s="330"/>
      <c r="AJ200" s="343"/>
      <c r="AK200" s="249"/>
      <c r="AL200" s="330"/>
      <c r="AM200" s="343"/>
      <c r="AN200" s="249"/>
      <c r="AO200" s="330"/>
      <c r="AP200" s="343"/>
      <c r="AQ200" s="249"/>
      <c r="AR200" s="330"/>
      <c r="AS200" s="343"/>
      <c r="AT200" s="249"/>
      <c r="AU200" s="330"/>
    </row>
    <row r="201" spans="2:47">
      <c r="B201" s="247">
        <f>'Table S2 Compound Identifiers'!C203</f>
        <v>0</v>
      </c>
      <c r="C201" s="247">
        <f>COUNTIF($D$6:D201,"&lt;&gt;"&amp;"")</f>
        <v>196</v>
      </c>
      <c r="D201" s="247">
        <f>'Table S2 Compound Identifiers'!B203</f>
        <v>0</v>
      </c>
      <c r="E201" s="247"/>
      <c r="F201" s="248"/>
      <c r="G201" s="249"/>
      <c r="H201" s="330"/>
      <c r="I201" s="328"/>
      <c r="J201" s="249"/>
      <c r="K201" s="330"/>
      <c r="L201" s="250"/>
      <c r="M201" s="249"/>
      <c r="N201" s="330"/>
      <c r="O201" s="250"/>
      <c r="P201" s="249"/>
      <c r="Q201" s="330"/>
      <c r="R201" s="250"/>
      <c r="S201" s="249"/>
      <c r="T201" s="330"/>
      <c r="U201" s="250"/>
      <c r="V201" s="249"/>
      <c r="W201" s="330"/>
      <c r="X201" s="343"/>
      <c r="Y201" s="249"/>
      <c r="Z201" s="330"/>
      <c r="AA201" s="343"/>
      <c r="AB201" s="249"/>
      <c r="AC201" s="330"/>
      <c r="AD201" s="343"/>
      <c r="AE201" s="249"/>
      <c r="AF201" s="330"/>
      <c r="AG201" s="343"/>
      <c r="AH201" s="249"/>
      <c r="AI201" s="330"/>
      <c r="AJ201" s="343"/>
      <c r="AK201" s="249"/>
      <c r="AL201" s="330"/>
      <c r="AM201" s="343"/>
      <c r="AN201" s="249"/>
      <c r="AO201" s="330"/>
      <c r="AP201" s="343"/>
      <c r="AQ201" s="249"/>
      <c r="AR201" s="330"/>
      <c r="AS201" s="343"/>
      <c r="AT201" s="249"/>
      <c r="AU201" s="330"/>
    </row>
    <row r="202" spans="2:47">
      <c r="B202" s="247">
        <f>'Table S2 Compound Identifiers'!C204</f>
        <v>0</v>
      </c>
      <c r="C202" s="247">
        <f>COUNTIF($D$6:D202,"&lt;&gt;"&amp;"")</f>
        <v>197</v>
      </c>
      <c r="D202" s="247">
        <f>'Table S2 Compound Identifiers'!B204</f>
        <v>0</v>
      </c>
      <c r="E202" s="247"/>
      <c r="F202" s="248"/>
      <c r="G202" s="249"/>
      <c r="H202" s="330"/>
      <c r="I202" s="328"/>
      <c r="J202" s="249"/>
      <c r="K202" s="330"/>
      <c r="L202" s="250"/>
      <c r="M202" s="249"/>
      <c r="N202" s="330"/>
      <c r="O202" s="250"/>
      <c r="P202" s="249"/>
      <c r="Q202" s="330"/>
      <c r="R202" s="250"/>
      <c r="S202" s="249"/>
      <c r="T202" s="330"/>
      <c r="U202" s="250"/>
      <c r="V202" s="249"/>
      <c r="W202" s="330"/>
      <c r="X202" s="343"/>
      <c r="Y202" s="249"/>
      <c r="Z202" s="330"/>
      <c r="AA202" s="343"/>
      <c r="AB202" s="249"/>
      <c r="AC202" s="330"/>
      <c r="AD202" s="343"/>
      <c r="AE202" s="249"/>
      <c r="AF202" s="330"/>
      <c r="AG202" s="343"/>
      <c r="AH202" s="249"/>
      <c r="AI202" s="330"/>
      <c r="AJ202" s="343"/>
      <c r="AK202" s="249"/>
      <c r="AL202" s="330"/>
      <c r="AM202" s="343"/>
      <c r="AN202" s="249"/>
      <c r="AO202" s="330"/>
      <c r="AP202" s="343"/>
      <c r="AQ202" s="249"/>
      <c r="AR202" s="330"/>
      <c r="AS202" s="343"/>
      <c r="AT202" s="249"/>
      <c r="AU202" s="330"/>
    </row>
    <row r="203" spans="2:47">
      <c r="B203" s="247">
        <f>'Table S2 Compound Identifiers'!C205</f>
        <v>0</v>
      </c>
      <c r="C203" s="247">
        <f>COUNTIF($D$6:D203,"&lt;&gt;"&amp;"")</f>
        <v>198</v>
      </c>
      <c r="D203" s="247">
        <f>'Table S2 Compound Identifiers'!B205</f>
        <v>0</v>
      </c>
      <c r="E203" s="247"/>
      <c r="F203" s="248"/>
      <c r="G203" s="249"/>
      <c r="H203" s="330"/>
      <c r="I203" s="328"/>
      <c r="J203" s="249"/>
      <c r="K203" s="330"/>
      <c r="L203" s="250"/>
      <c r="M203" s="249"/>
      <c r="N203" s="330"/>
      <c r="O203" s="250"/>
      <c r="P203" s="249"/>
      <c r="Q203" s="330"/>
      <c r="R203" s="250"/>
      <c r="S203" s="249"/>
      <c r="T203" s="330"/>
      <c r="U203" s="250"/>
      <c r="V203" s="249"/>
      <c r="W203" s="330"/>
      <c r="X203" s="343"/>
      <c r="Y203" s="249"/>
      <c r="Z203" s="330"/>
      <c r="AA203" s="343"/>
      <c r="AB203" s="249"/>
      <c r="AC203" s="330"/>
      <c r="AD203" s="343"/>
      <c r="AE203" s="249"/>
      <c r="AF203" s="330"/>
      <c r="AG203" s="343"/>
      <c r="AH203" s="249"/>
      <c r="AI203" s="330"/>
      <c r="AJ203" s="343"/>
      <c r="AK203" s="249"/>
      <c r="AL203" s="330"/>
      <c r="AM203" s="343"/>
      <c r="AN203" s="249"/>
      <c r="AO203" s="330"/>
      <c r="AP203" s="343"/>
      <c r="AQ203" s="249"/>
      <c r="AR203" s="330"/>
      <c r="AS203" s="343"/>
      <c r="AT203" s="249"/>
      <c r="AU203" s="330"/>
    </row>
    <row r="204" spans="2:47">
      <c r="B204" s="247">
        <f>'Table S2 Compound Identifiers'!C206</f>
        <v>0</v>
      </c>
      <c r="C204" s="247">
        <f>COUNTIF($D$6:D204,"&lt;&gt;"&amp;"")</f>
        <v>199</v>
      </c>
      <c r="D204" s="247">
        <f>'Table S2 Compound Identifiers'!B206</f>
        <v>0</v>
      </c>
      <c r="E204" s="247"/>
      <c r="F204" s="248"/>
      <c r="G204" s="249"/>
      <c r="H204" s="330"/>
      <c r="I204" s="328"/>
      <c r="J204" s="249"/>
      <c r="K204" s="330"/>
      <c r="L204" s="250"/>
      <c r="M204" s="249"/>
      <c r="N204" s="330"/>
      <c r="O204" s="250"/>
      <c r="P204" s="249"/>
      <c r="Q204" s="330"/>
      <c r="R204" s="250"/>
      <c r="S204" s="249"/>
      <c r="T204" s="330"/>
      <c r="U204" s="250"/>
      <c r="V204" s="249"/>
      <c r="W204" s="330"/>
      <c r="X204" s="343"/>
      <c r="Y204" s="249"/>
      <c r="Z204" s="330"/>
      <c r="AA204" s="343"/>
      <c r="AB204" s="249"/>
      <c r="AC204" s="330"/>
      <c r="AD204" s="343"/>
      <c r="AE204" s="249"/>
      <c r="AF204" s="330"/>
      <c r="AG204" s="343"/>
      <c r="AH204" s="249"/>
      <c r="AI204" s="330"/>
      <c r="AJ204" s="343"/>
      <c r="AK204" s="249"/>
      <c r="AL204" s="330"/>
      <c r="AM204" s="343"/>
      <c r="AN204" s="249"/>
      <c r="AO204" s="330"/>
      <c r="AP204" s="343"/>
      <c r="AQ204" s="249"/>
      <c r="AR204" s="330"/>
      <c r="AS204" s="343"/>
      <c r="AT204" s="249"/>
      <c r="AU204" s="330"/>
    </row>
    <row r="205" spans="2:47">
      <c r="B205" s="247">
        <f>'Table S2 Compound Identifiers'!C207</f>
        <v>0</v>
      </c>
      <c r="C205" s="247">
        <f>COUNTIF($D$6:D205,"&lt;&gt;"&amp;"")</f>
        <v>200</v>
      </c>
      <c r="D205" s="247">
        <f>'Table S2 Compound Identifiers'!B207</f>
        <v>0</v>
      </c>
      <c r="E205" s="247"/>
      <c r="F205" s="248"/>
      <c r="G205" s="249"/>
      <c r="H205" s="330"/>
      <c r="I205" s="328"/>
      <c r="J205" s="249"/>
      <c r="K205" s="330"/>
      <c r="L205" s="250"/>
      <c r="M205" s="249"/>
      <c r="N205" s="330"/>
      <c r="O205" s="250"/>
      <c r="P205" s="249"/>
      <c r="Q205" s="330"/>
      <c r="R205" s="250"/>
      <c r="S205" s="249"/>
      <c r="T205" s="330"/>
      <c r="U205" s="250"/>
      <c r="V205" s="249"/>
      <c r="W205" s="330"/>
      <c r="X205" s="343"/>
      <c r="Y205" s="249"/>
      <c r="Z205" s="330"/>
      <c r="AA205" s="343"/>
      <c r="AB205" s="249"/>
      <c r="AC205" s="330"/>
      <c r="AD205" s="343"/>
      <c r="AE205" s="249"/>
      <c r="AF205" s="330"/>
      <c r="AG205" s="343"/>
      <c r="AH205" s="249"/>
      <c r="AI205" s="330"/>
      <c r="AJ205" s="343"/>
      <c r="AK205" s="249"/>
      <c r="AL205" s="330"/>
      <c r="AM205" s="343"/>
      <c r="AN205" s="249"/>
      <c r="AO205" s="330"/>
      <c r="AP205" s="343"/>
      <c r="AQ205" s="249"/>
      <c r="AR205" s="330"/>
      <c r="AS205" s="343"/>
      <c r="AT205" s="249"/>
      <c r="AU205" s="330"/>
    </row>
    <row r="206" spans="2:47">
      <c r="B206" s="247">
        <f>'Table S2 Compound Identifiers'!C208</f>
        <v>0</v>
      </c>
      <c r="C206" s="247">
        <f>COUNTIF($D$6:D206,"&lt;&gt;"&amp;"")</f>
        <v>201</v>
      </c>
      <c r="D206" s="247">
        <f>'Table S2 Compound Identifiers'!B208</f>
        <v>0</v>
      </c>
      <c r="E206" s="247"/>
      <c r="F206" s="248"/>
      <c r="G206" s="249"/>
      <c r="H206" s="330"/>
      <c r="I206" s="328"/>
      <c r="J206" s="249"/>
      <c r="K206" s="330"/>
      <c r="L206" s="250"/>
      <c r="M206" s="249"/>
      <c r="N206" s="330"/>
      <c r="O206" s="250"/>
      <c r="P206" s="249"/>
      <c r="Q206" s="330"/>
      <c r="R206" s="250"/>
      <c r="S206" s="249"/>
      <c r="T206" s="330"/>
      <c r="U206" s="250"/>
      <c r="V206" s="249"/>
      <c r="W206" s="330"/>
      <c r="X206" s="343"/>
      <c r="Y206" s="249"/>
      <c r="Z206" s="330"/>
      <c r="AA206" s="343"/>
      <c r="AB206" s="249"/>
      <c r="AC206" s="330"/>
      <c r="AD206" s="343"/>
      <c r="AE206" s="249"/>
      <c r="AF206" s="330"/>
      <c r="AG206" s="343"/>
      <c r="AH206" s="249"/>
      <c r="AI206" s="330"/>
      <c r="AJ206" s="343"/>
      <c r="AK206" s="249"/>
      <c r="AL206" s="330"/>
      <c r="AM206" s="343"/>
      <c r="AN206" s="249"/>
      <c r="AO206" s="330"/>
      <c r="AP206" s="343"/>
      <c r="AQ206" s="249"/>
      <c r="AR206" s="330"/>
      <c r="AS206" s="343"/>
      <c r="AT206" s="249"/>
      <c r="AU206" s="330"/>
    </row>
    <row r="207" spans="2:47">
      <c r="B207" s="247">
        <f>'Table S2 Compound Identifiers'!C209</f>
        <v>0</v>
      </c>
      <c r="C207" s="247">
        <f>COUNTIF($D$6:D207,"&lt;&gt;"&amp;"")</f>
        <v>202</v>
      </c>
      <c r="D207" s="247">
        <f>'Table S2 Compound Identifiers'!B209</f>
        <v>0</v>
      </c>
      <c r="E207" s="247"/>
      <c r="F207" s="248"/>
      <c r="G207" s="249"/>
      <c r="H207" s="330"/>
      <c r="I207" s="328"/>
      <c r="J207" s="249"/>
      <c r="K207" s="330"/>
      <c r="L207" s="250"/>
      <c r="M207" s="249"/>
      <c r="N207" s="330"/>
      <c r="O207" s="250"/>
      <c r="P207" s="249"/>
      <c r="Q207" s="330"/>
      <c r="R207" s="250"/>
      <c r="S207" s="249"/>
      <c r="T207" s="330"/>
      <c r="U207" s="250"/>
      <c r="V207" s="249"/>
      <c r="W207" s="330"/>
      <c r="X207" s="343"/>
      <c r="Y207" s="249"/>
      <c r="Z207" s="330"/>
      <c r="AA207" s="343"/>
      <c r="AB207" s="249"/>
      <c r="AC207" s="330"/>
      <c r="AD207" s="343"/>
      <c r="AE207" s="249"/>
      <c r="AF207" s="330"/>
      <c r="AG207" s="343"/>
      <c r="AH207" s="249"/>
      <c r="AI207" s="330"/>
      <c r="AJ207" s="343"/>
      <c r="AK207" s="249"/>
      <c r="AL207" s="330"/>
      <c r="AM207" s="343"/>
      <c r="AN207" s="249"/>
      <c r="AO207" s="330"/>
      <c r="AP207" s="343"/>
      <c r="AQ207" s="249"/>
      <c r="AR207" s="330"/>
      <c r="AS207" s="343"/>
      <c r="AT207" s="249"/>
      <c r="AU207" s="330"/>
    </row>
    <row r="208" spans="2:47">
      <c r="B208" s="247">
        <f>'Table S2 Compound Identifiers'!C210</f>
        <v>0</v>
      </c>
      <c r="C208" s="247">
        <f>COUNTIF($D$6:D208,"&lt;&gt;"&amp;"")</f>
        <v>203</v>
      </c>
      <c r="D208" s="247">
        <f>'Table S2 Compound Identifiers'!B210</f>
        <v>0</v>
      </c>
      <c r="E208" s="247"/>
      <c r="F208" s="248"/>
      <c r="G208" s="249"/>
      <c r="H208" s="330"/>
      <c r="I208" s="328"/>
      <c r="J208" s="249"/>
      <c r="K208" s="330"/>
      <c r="L208" s="250"/>
      <c r="M208" s="249"/>
      <c r="N208" s="330"/>
      <c r="O208" s="250"/>
      <c r="P208" s="249"/>
      <c r="Q208" s="330"/>
      <c r="R208" s="250"/>
      <c r="S208" s="249"/>
      <c r="T208" s="330"/>
      <c r="U208" s="250"/>
      <c r="V208" s="249"/>
      <c r="W208" s="330"/>
      <c r="X208" s="343"/>
      <c r="Y208" s="249"/>
      <c r="Z208" s="330"/>
      <c r="AA208" s="343"/>
      <c r="AB208" s="249"/>
      <c r="AC208" s="330"/>
      <c r="AD208" s="343"/>
      <c r="AE208" s="249"/>
      <c r="AF208" s="330"/>
      <c r="AG208" s="343"/>
      <c r="AH208" s="249"/>
      <c r="AI208" s="330"/>
      <c r="AJ208" s="343"/>
      <c r="AK208" s="249"/>
      <c r="AL208" s="330"/>
      <c r="AM208" s="343"/>
      <c r="AN208" s="249"/>
      <c r="AO208" s="330"/>
      <c r="AP208" s="343"/>
      <c r="AQ208" s="249"/>
      <c r="AR208" s="330"/>
      <c r="AS208" s="343"/>
      <c r="AT208" s="249"/>
      <c r="AU208" s="330"/>
    </row>
    <row r="209" spans="2:47">
      <c r="B209" s="247">
        <f>'Table S2 Compound Identifiers'!C211</f>
        <v>0</v>
      </c>
      <c r="C209" s="247">
        <f>COUNTIF($D$6:D209,"&lt;&gt;"&amp;"")</f>
        <v>204</v>
      </c>
      <c r="D209" s="247">
        <f>'Table S2 Compound Identifiers'!B211</f>
        <v>0</v>
      </c>
      <c r="E209" s="247"/>
      <c r="F209" s="248"/>
      <c r="G209" s="249"/>
      <c r="H209" s="330"/>
      <c r="I209" s="328"/>
      <c r="J209" s="249"/>
      <c r="K209" s="330"/>
      <c r="L209" s="250"/>
      <c r="M209" s="249"/>
      <c r="N209" s="330"/>
      <c r="O209" s="250"/>
      <c r="P209" s="249"/>
      <c r="Q209" s="330"/>
      <c r="R209" s="250"/>
      <c r="S209" s="249"/>
      <c r="T209" s="330"/>
      <c r="U209" s="250"/>
      <c r="V209" s="249"/>
      <c r="W209" s="330"/>
      <c r="X209" s="343"/>
      <c r="Y209" s="249"/>
      <c r="Z209" s="330"/>
      <c r="AA209" s="343"/>
      <c r="AB209" s="249"/>
      <c r="AC209" s="330"/>
      <c r="AD209" s="343"/>
      <c r="AE209" s="249"/>
      <c r="AF209" s="330"/>
      <c r="AG209" s="343"/>
      <c r="AH209" s="249"/>
      <c r="AI209" s="330"/>
      <c r="AJ209" s="343"/>
      <c r="AK209" s="249"/>
      <c r="AL209" s="330"/>
      <c r="AM209" s="343"/>
      <c r="AN209" s="249"/>
      <c r="AO209" s="330"/>
      <c r="AP209" s="343"/>
      <c r="AQ209" s="249"/>
      <c r="AR209" s="330"/>
      <c r="AS209" s="343"/>
      <c r="AT209" s="249"/>
      <c r="AU209" s="330"/>
    </row>
    <row r="210" spans="2:47">
      <c r="B210" s="247">
        <f>'Table S2 Compound Identifiers'!C212</f>
        <v>0</v>
      </c>
      <c r="C210" s="247">
        <f>COUNTIF($D$6:D210,"&lt;&gt;"&amp;"")</f>
        <v>205</v>
      </c>
      <c r="D210" s="432">
        <f>'Table S2 Compound Identifiers'!B212</f>
        <v>0</v>
      </c>
      <c r="E210" s="247"/>
      <c r="F210" s="248"/>
      <c r="G210" s="249"/>
      <c r="H210" s="330"/>
      <c r="I210" s="328"/>
      <c r="J210" s="249"/>
      <c r="K210" s="330"/>
      <c r="L210" s="250"/>
      <c r="M210" s="249"/>
      <c r="N210" s="330"/>
      <c r="O210" s="250"/>
      <c r="P210" s="249"/>
      <c r="Q210" s="330"/>
      <c r="R210" s="250"/>
      <c r="S210" s="249"/>
      <c r="T210" s="330"/>
      <c r="U210" s="250"/>
      <c r="V210" s="249"/>
      <c r="W210" s="330"/>
      <c r="X210" s="343"/>
      <c r="Y210" s="249"/>
      <c r="Z210" s="330"/>
      <c r="AA210" s="343"/>
      <c r="AB210" s="249"/>
      <c r="AC210" s="330"/>
      <c r="AD210" s="343"/>
      <c r="AE210" s="249"/>
      <c r="AF210" s="330"/>
      <c r="AG210" s="343"/>
      <c r="AH210" s="249"/>
      <c r="AI210" s="330"/>
      <c r="AJ210" s="343"/>
      <c r="AK210" s="249"/>
      <c r="AL210" s="330"/>
      <c r="AM210" s="343"/>
      <c r="AN210" s="249"/>
      <c r="AO210" s="330"/>
      <c r="AP210" s="343"/>
      <c r="AQ210" s="249"/>
      <c r="AR210" s="330"/>
      <c r="AS210" s="343"/>
      <c r="AT210" s="249"/>
      <c r="AU210" s="330"/>
    </row>
    <row r="211" spans="2:47">
      <c r="B211" s="247">
        <f>'Table S2 Compound Identifiers'!C213</f>
        <v>0</v>
      </c>
      <c r="C211" s="247">
        <f>COUNTIF($D$6:D211,"&lt;&gt;"&amp;"")</f>
        <v>206</v>
      </c>
      <c r="D211" s="432">
        <f>'Table S2 Compound Identifiers'!B213</f>
        <v>0</v>
      </c>
      <c r="E211" s="247"/>
      <c r="F211" s="248"/>
      <c r="G211" s="249"/>
      <c r="H211" s="330"/>
      <c r="I211" s="328"/>
      <c r="J211" s="249"/>
      <c r="K211" s="330"/>
      <c r="L211" s="250"/>
      <c r="M211" s="249"/>
      <c r="N211" s="330"/>
      <c r="O211" s="250"/>
      <c r="P211" s="249"/>
      <c r="Q211" s="330"/>
      <c r="R211" s="250"/>
      <c r="S211" s="249"/>
      <c r="T211" s="330"/>
      <c r="U211" s="250"/>
      <c r="V211" s="249"/>
      <c r="W211" s="330"/>
      <c r="X211" s="343"/>
      <c r="Y211" s="249"/>
      <c r="Z211" s="330"/>
      <c r="AA211" s="343"/>
      <c r="AB211" s="249"/>
      <c r="AC211" s="330"/>
      <c r="AD211" s="343"/>
      <c r="AE211" s="249"/>
      <c r="AF211" s="330"/>
      <c r="AG211" s="343"/>
      <c r="AH211" s="249"/>
      <c r="AI211" s="330"/>
      <c r="AJ211" s="343"/>
      <c r="AK211" s="249"/>
      <c r="AL211" s="330"/>
      <c r="AM211" s="343"/>
      <c r="AN211" s="249"/>
      <c r="AO211" s="330"/>
      <c r="AP211" s="343"/>
      <c r="AQ211" s="249"/>
      <c r="AR211" s="330"/>
      <c r="AS211" s="343"/>
      <c r="AT211" s="249"/>
      <c r="AU211" s="330"/>
    </row>
    <row r="212" spans="2:47">
      <c r="B212" s="247">
        <f>'Table S2 Compound Identifiers'!C214</f>
        <v>0</v>
      </c>
      <c r="C212" s="247">
        <f>COUNTIF($D$6:D212,"&lt;&gt;"&amp;"")</f>
        <v>207</v>
      </c>
      <c r="D212" s="432">
        <f>'Table S2 Compound Identifiers'!B214</f>
        <v>0</v>
      </c>
      <c r="E212" s="247"/>
      <c r="F212" s="248"/>
      <c r="G212" s="249"/>
      <c r="H212" s="330"/>
      <c r="I212" s="328"/>
      <c r="J212" s="249"/>
      <c r="K212" s="330"/>
      <c r="L212" s="250"/>
      <c r="M212" s="249"/>
      <c r="N212" s="330"/>
      <c r="O212" s="250"/>
      <c r="P212" s="249"/>
      <c r="Q212" s="330"/>
      <c r="R212" s="250"/>
      <c r="S212" s="249"/>
      <c r="T212" s="330"/>
      <c r="U212" s="250"/>
      <c r="V212" s="249"/>
      <c r="W212" s="330"/>
      <c r="X212" s="343"/>
      <c r="Y212" s="249"/>
      <c r="Z212" s="330"/>
      <c r="AA212" s="343"/>
      <c r="AB212" s="249"/>
      <c r="AC212" s="330"/>
      <c r="AD212" s="343"/>
      <c r="AE212" s="249"/>
      <c r="AF212" s="330"/>
      <c r="AG212" s="343"/>
      <c r="AH212" s="249"/>
      <c r="AI212" s="330"/>
      <c r="AJ212" s="343"/>
      <c r="AK212" s="249"/>
      <c r="AL212" s="330"/>
      <c r="AM212" s="343"/>
      <c r="AN212" s="249"/>
      <c r="AO212" s="330"/>
      <c r="AP212" s="343"/>
      <c r="AQ212" s="249"/>
      <c r="AR212" s="330"/>
      <c r="AS212" s="343"/>
      <c r="AT212" s="249"/>
      <c r="AU212" s="330"/>
    </row>
    <row r="213" spans="2:47">
      <c r="B213" s="247">
        <f>'Table S2 Compound Identifiers'!C215</f>
        <v>0</v>
      </c>
      <c r="C213" s="247">
        <f>COUNTIF($D$6:D213,"&lt;&gt;"&amp;"")</f>
        <v>208</v>
      </c>
      <c r="D213" s="432">
        <f>'Table S2 Compound Identifiers'!B215</f>
        <v>0</v>
      </c>
      <c r="E213" s="247"/>
      <c r="F213" s="248"/>
      <c r="G213" s="249"/>
      <c r="H213" s="330"/>
      <c r="I213" s="328"/>
      <c r="J213" s="249"/>
      <c r="K213" s="330"/>
      <c r="L213" s="250"/>
      <c r="M213" s="249"/>
      <c r="N213" s="330"/>
      <c r="O213" s="250"/>
      <c r="P213" s="249"/>
      <c r="Q213" s="330"/>
      <c r="R213" s="250"/>
      <c r="S213" s="249"/>
      <c r="T213" s="330"/>
      <c r="U213" s="250"/>
      <c r="V213" s="249"/>
      <c r="W213" s="330"/>
      <c r="X213" s="343"/>
      <c r="Y213" s="249"/>
      <c r="Z213" s="330"/>
      <c r="AA213" s="343"/>
      <c r="AB213" s="249"/>
      <c r="AC213" s="330"/>
      <c r="AD213" s="343"/>
      <c r="AE213" s="249"/>
      <c r="AF213" s="330"/>
      <c r="AG213" s="343"/>
      <c r="AH213" s="249"/>
      <c r="AI213" s="330"/>
      <c r="AJ213" s="343"/>
      <c r="AK213" s="249"/>
      <c r="AL213" s="330"/>
      <c r="AM213" s="343"/>
      <c r="AN213" s="249"/>
      <c r="AO213" s="330"/>
      <c r="AP213" s="343"/>
      <c r="AQ213" s="249"/>
      <c r="AR213" s="330"/>
      <c r="AS213" s="343"/>
      <c r="AT213" s="249"/>
      <c r="AU213" s="330"/>
    </row>
    <row r="214" spans="2:47">
      <c r="B214" s="247">
        <f>'Table S2 Compound Identifiers'!C216</f>
        <v>0</v>
      </c>
      <c r="C214" s="247">
        <f>COUNTIF($D$6:D214,"&lt;&gt;"&amp;"")</f>
        <v>209</v>
      </c>
      <c r="D214" s="432">
        <f>'Table S2 Compound Identifiers'!B216</f>
        <v>0</v>
      </c>
      <c r="E214" s="247"/>
      <c r="F214" s="248"/>
      <c r="G214" s="249"/>
      <c r="H214" s="330"/>
      <c r="I214" s="328"/>
      <c r="J214" s="249"/>
      <c r="K214" s="330"/>
      <c r="L214" s="250"/>
      <c r="M214" s="249"/>
      <c r="N214" s="330"/>
      <c r="O214" s="250"/>
      <c r="P214" s="249"/>
      <c r="Q214" s="330"/>
      <c r="R214" s="250"/>
      <c r="S214" s="249"/>
      <c r="T214" s="330"/>
      <c r="U214" s="250"/>
      <c r="V214" s="249"/>
      <c r="W214" s="330"/>
      <c r="X214" s="343"/>
      <c r="Y214" s="249"/>
      <c r="Z214" s="330"/>
      <c r="AA214" s="343"/>
      <c r="AB214" s="249"/>
      <c r="AC214" s="330"/>
      <c r="AD214" s="343"/>
      <c r="AE214" s="249"/>
      <c r="AF214" s="330"/>
      <c r="AG214" s="343"/>
      <c r="AH214" s="249"/>
      <c r="AI214" s="330"/>
      <c r="AJ214" s="343"/>
      <c r="AK214" s="249"/>
      <c r="AL214" s="330"/>
      <c r="AM214" s="343"/>
      <c r="AN214" s="249"/>
      <c r="AO214" s="330"/>
      <c r="AP214" s="343"/>
      <c r="AQ214" s="249"/>
      <c r="AR214" s="330"/>
      <c r="AS214" s="343"/>
      <c r="AT214" s="249"/>
      <c r="AU214" s="330"/>
    </row>
    <row r="215" spans="2:47">
      <c r="B215" s="247">
        <f>'Table S2 Compound Identifiers'!C217</f>
        <v>0</v>
      </c>
      <c r="C215" s="247">
        <f>COUNTIF($D$6:D215,"&lt;&gt;"&amp;"")</f>
        <v>210</v>
      </c>
      <c r="D215" s="432">
        <f>'Table S2 Compound Identifiers'!B217</f>
        <v>0</v>
      </c>
      <c r="E215" s="247"/>
      <c r="F215" s="248"/>
      <c r="G215" s="249"/>
      <c r="H215" s="330"/>
      <c r="I215" s="328"/>
      <c r="J215" s="249"/>
      <c r="K215" s="330"/>
      <c r="L215" s="250"/>
      <c r="M215" s="249"/>
      <c r="N215" s="330"/>
      <c r="O215" s="250"/>
      <c r="P215" s="249"/>
      <c r="Q215" s="330"/>
      <c r="R215" s="250"/>
      <c r="S215" s="249"/>
      <c r="T215" s="330"/>
      <c r="U215" s="250"/>
      <c r="V215" s="249"/>
      <c r="W215" s="330"/>
      <c r="X215" s="343"/>
      <c r="Y215" s="249"/>
      <c r="Z215" s="330"/>
      <c r="AA215" s="343"/>
      <c r="AB215" s="249"/>
      <c r="AC215" s="330"/>
      <c r="AD215" s="343"/>
      <c r="AE215" s="249"/>
      <c r="AF215" s="330"/>
      <c r="AG215" s="343"/>
      <c r="AH215" s="249"/>
      <c r="AI215" s="330"/>
      <c r="AJ215" s="343"/>
      <c r="AK215" s="249"/>
      <c r="AL215" s="330"/>
      <c r="AM215" s="343"/>
      <c r="AN215" s="249"/>
      <c r="AO215" s="330"/>
      <c r="AP215" s="343"/>
      <c r="AQ215" s="249"/>
      <c r="AR215" s="330"/>
      <c r="AS215" s="343"/>
      <c r="AT215" s="249"/>
      <c r="AU215" s="330"/>
    </row>
    <row r="216" spans="2:47">
      <c r="B216" s="247">
        <f>'Table S2 Compound Identifiers'!C218</f>
        <v>0</v>
      </c>
      <c r="C216" s="247">
        <f>COUNTIF($D$6:D216,"&lt;&gt;"&amp;"")</f>
        <v>211</v>
      </c>
      <c r="D216" s="432">
        <f>'Table S2 Compound Identifiers'!B218</f>
        <v>0</v>
      </c>
      <c r="E216" s="247"/>
      <c r="F216" s="248"/>
      <c r="G216" s="249"/>
      <c r="H216" s="330"/>
      <c r="I216" s="328"/>
      <c r="J216" s="249"/>
      <c r="K216" s="330"/>
      <c r="L216" s="250"/>
      <c r="M216" s="249"/>
      <c r="N216" s="330"/>
      <c r="O216" s="250"/>
      <c r="P216" s="249"/>
      <c r="Q216" s="330"/>
      <c r="R216" s="250"/>
      <c r="S216" s="249"/>
      <c r="T216" s="330"/>
      <c r="U216" s="250"/>
      <c r="V216" s="249"/>
      <c r="W216" s="330"/>
      <c r="X216" s="343"/>
      <c r="Y216" s="249"/>
      <c r="Z216" s="330"/>
      <c r="AA216" s="343"/>
      <c r="AB216" s="249"/>
      <c r="AC216" s="330"/>
      <c r="AD216" s="343"/>
      <c r="AE216" s="249"/>
      <c r="AF216" s="330"/>
      <c r="AG216" s="343"/>
      <c r="AH216" s="249"/>
      <c r="AI216" s="330"/>
      <c r="AJ216" s="343"/>
      <c r="AK216" s="249"/>
      <c r="AL216" s="330"/>
      <c r="AM216" s="343"/>
      <c r="AN216" s="249"/>
      <c r="AO216" s="330"/>
      <c r="AP216" s="343"/>
      <c r="AQ216" s="249"/>
      <c r="AR216" s="330"/>
      <c r="AS216" s="343"/>
      <c r="AT216" s="249"/>
      <c r="AU216" s="330"/>
    </row>
    <row r="217" spans="2:47">
      <c r="B217" s="247">
        <f>'Table S2 Compound Identifiers'!C219</f>
        <v>0</v>
      </c>
      <c r="C217" s="247">
        <f>COUNTIF($D$6:D217,"&lt;&gt;"&amp;"")</f>
        <v>212</v>
      </c>
      <c r="D217" s="432">
        <f>'Table S2 Compound Identifiers'!B219</f>
        <v>0</v>
      </c>
      <c r="E217" s="247"/>
      <c r="F217" s="248"/>
      <c r="G217" s="249"/>
      <c r="H217" s="330"/>
      <c r="I217" s="328"/>
      <c r="J217" s="249"/>
      <c r="K217" s="330"/>
      <c r="L217" s="250"/>
      <c r="M217" s="249"/>
      <c r="N217" s="330"/>
      <c r="O217" s="250"/>
      <c r="P217" s="249"/>
      <c r="Q217" s="330"/>
      <c r="R217" s="250"/>
      <c r="S217" s="249"/>
      <c r="T217" s="330"/>
      <c r="U217" s="250"/>
      <c r="V217" s="249"/>
      <c r="W217" s="330"/>
      <c r="X217" s="343"/>
      <c r="Y217" s="249"/>
      <c r="Z217" s="330"/>
      <c r="AA217" s="343"/>
      <c r="AB217" s="249"/>
      <c r="AC217" s="330"/>
      <c r="AD217" s="343"/>
      <c r="AE217" s="249"/>
      <c r="AF217" s="330"/>
      <c r="AG217" s="343"/>
      <c r="AH217" s="249"/>
      <c r="AI217" s="330"/>
      <c r="AJ217" s="343"/>
      <c r="AK217" s="249"/>
      <c r="AL217" s="330"/>
      <c r="AM217" s="343"/>
      <c r="AN217" s="249"/>
      <c r="AO217" s="330"/>
      <c r="AP217" s="343"/>
      <c r="AQ217" s="249"/>
      <c r="AR217" s="330"/>
      <c r="AS217" s="343"/>
      <c r="AT217" s="249"/>
      <c r="AU217" s="330"/>
    </row>
    <row r="218" spans="2:47">
      <c r="B218" s="247">
        <f>'Table S2 Compound Identifiers'!C220</f>
        <v>0</v>
      </c>
      <c r="C218" s="247">
        <f>COUNTIF($D$6:D218,"&lt;&gt;"&amp;"")</f>
        <v>213</v>
      </c>
      <c r="D218" s="432">
        <f>'Table S2 Compound Identifiers'!B220</f>
        <v>0</v>
      </c>
      <c r="E218" s="247"/>
      <c r="F218" s="248"/>
      <c r="G218" s="249"/>
      <c r="H218" s="330"/>
      <c r="I218" s="328"/>
      <c r="J218" s="249"/>
      <c r="K218" s="330"/>
      <c r="L218" s="250"/>
      <c r="M218" s="249"/>
      <c r="N218" s="330"/>
      <c r="O218" s="250"/>
      <c r="P218" s="249"/>
      <c r="Q218" s="330"/>
      <c r="R218" s="250"/>
      <c r="S218" s="249"/>
      <c r="T218" s="330"/>
      <c r="U218" s="250"/>
      <c r="V218" s="249"/>
      <c r="W218" s="330"/>
      <c r="X218" s="343"/>
      <c r="Y218" s="249"/>
      <c r="Z218" s="330"/>
      <c r="AA218" s="343"/>
      <c r="AB218" s="249"/>
      <c r="AC218" s="330"/>
      <c r="AD218" s="343"/>
      <c r="AE218" s="249"/>
      <c r="AF218" s="330"/>
      <c r="AG218" s="343"/>
      <c r="AH218" s="249"/>
      <c r="AI218" s="330"/>
      <c r="AJ218" s="343"/>
      <c r="AK218" s="249"/>
      <c r="AL218" s="330"/>
      <c r="AM218" s="343"/>
      <c r="AN218" s="249"/>
      <c r="AO218" s="330"/>
      <c r="AP218" s="343"/>
      <c r="AQ218" s="249"/>
      <c r="AR218" s="330"/>
      <c r="AS218" s="343"/>
      <c r="AT218" s="249"/>
      <c r="AU218" s="330"/>
    </row>
    <row r="219" spans="2:47">
      <c r="B219" s="247">
        <f>'Table S2 Compound Identifiers'!C221</f>
        <v>0</v>
      </c>
      <c r="C219" s="247">
        <f>COUNTIF($D$6:D219,"&lt;&gt;"&amp;"")</f>
        <v>214</v>
      </c>
      <c r="D219" s="432">
        <f>'Table S2 Compound Identifiers'!B221</f>
        <v>0</v>
      </c>
      <c r="E219" s="247"/>
      <c r="F219" s="248"/>
      <c r="G219" s="249"/>
      <c r="H219" s="330"/>
      <c r="I219" s="328"/>
      <c r="J219" s="249"/>
      <c r="K219" s="330"/>
      <c r="L219" s="250"/>
      <c r="M219" s="249"/>
      <c r="N219" s="330"/>
      <c r="O219" s="250"/>
      <c r="P219" s="249"/>
      <c r="Q219" s="330"/>
      <c r="R219" s="250"/>
      <c r="S219" s="249"/>
      <c r="T219" s="330"/>
      <c r="U219" s="250"/>
      <c r="V219" s="249"/>
      <c r="W219" s="330"/>
      <c r="X219" s="343"/>
      <c r="Y219" s="249"/>
      <c r="Z219" s="330"/>
      <c r="AA219" s="343"/>
      <c r="AB219" s="249"/>
      <c r="AC219" s="330"/>
      <c r="AD219" s="343"/>
      <c r="AE219" s="249"/>
      <c r="AF219" s="330"/>
      <c r="AG219" s="343"/>
      <c r="AH219" s="249"/>
      <c r="AI219" s="330"/>
      <c r="AJ219" s="343"/>
      <c r="AK219" s="249"/>
      <c r="AL219" s="330"/>
      <c r="AM219" s="343"/>
      <c r="AN219" s="249"/>
      <c r="AO219" s="330"/>
      <c r="AP219" s="343"/>
      <c r="AQ219" s="249"/>
      <c r="AR219" s="330"/>
      <c r="AS219" s="343"/>
      <c r="AT219" s="249"/>
      <c r="AU219" s="330"/>
    </row>
    <row r="220" spans="2:47">
      <c r="B220" s="247">
        <f>'Table S2 Compound Identifiers'!C222</f>
        <v>0</v>
      </c>
      <c r="C220" s="247">
        <f>COUNTIF($D$6:D220,"&lt;&gt;"&amp;"")</f>
        <v>215</v>
      </c>
      <c r="D220" s="247">
        <f>'Table S2 Compound Identifiers'!B222</f>
        <v>0</v>
      </c>
      <c r="E220" s="247"/>
      <c r="F220" s="248"/>
      <c r="G220" s="249"/>
      <c r="H220" s="330"/>
      <c r="I220" s="328"/>
      <c r="J220" s="249"/>
      <c r="K220" s="330"/>
      <c r="L220" s="250"/>
      <c r="M220" s="249"/>
      <c r="N220" s="330"/>
      <c r="O220" s="250"/>
      <c r="P220" s="249"/>
      <c r="Q220" s="330"/>
      <c r="R220" s="250"/>
      <c r="S220" s="249"/>
      <c r="T220" s="330"/>
      <c r="U220" s="250"/>
      <c r="V220" s="249"/>
      <c r="W220" s="330"/>
      <c r="X220" s="343"/>
      <c r="Y220" s="249"/>
      <c r="Z220" s="330"/>
      <c r="AA220" s="343"/>
      <c r="AB220" s="249"/>
      <c r="AC220" s="330"/>
      <c r="AD220" s="343"/>
      <c r="AE220" s="249"/>
      <c r="AF220" s="330"/>
      <c r="AG220" s="343"/>
      <c r="AH220" s="249"/>
      <c r="AI220" s="330"/>
      <c r="AJ220" s="343"/>
      <c r="AK220" s="249"/>
      <c r="AL220" s="330"/>
      <c r="AM220" s="343"/>
      <c r="AN220" s="249"/>
      <c r="AO220" s="330"/>
      <c r="AP220" s="343"/>
      <c r="AQ220" s="249"/>
      <c r="AR220" s="330"/>
      <c r="AS220" s="343"/>
      <c r="AT220" s="249"/>
      <c r="AU220" s="330"/>
    </row>
    <row r="221" spans="2:47">
      <c r="B221" s="247">
        <f>'Table S2 Compound Identifiers'!C223</f>
        <v>0</v>
      </c>
      <c r="C221" s="247">
        <f>COUNTIF($D$6:D221,"&lt;&gt;"&amp;"")</f>
        <v>216</v>
      </c>
      <c r="D221" s="247">
        <f>'Table S2 Compound Identifiers'!B223</f>
        <v>0</v>
      </c>
      <c r="E221" s="247"/>
      <c r="F221" s="248"/>
      <c r="G221" s="249"/>
      <c r="H221" s="330"/>
      <c r="I221" s="328"/>
      <c r="J221" s="249"/>
      <c r="K221" s="330"/>
      <c r="L221" s="250"/>
      <c r="M221" s="249"/>
      <c r="N221" s="330"/>
      <c r="O221" s="250"/>
      <c r="P221" s="249"/>
      <c r="Q221" s="330"/>
      <c r="R221" s="250"/>
      <c r="S221" s="249"/>
      <c r="T221" s="330"/>
      <c r="U221" s="250"/>
      <c r="V221" s="249"/>
      <c r="W221" s="330"/>
      <c r="X221" s="343"/>
      <c r="Y221" s="249"/>
      <c r="Z221" s="330"/>
      <c r="AA221" s="343"/>
      <c r="AB221" s="249"/>
      <c r="AC221" s="330"/>
      <c r="AD221" s="343"/>
      <c r="AE221" s="249"/>
      <c r="AF221" s="330"/>
      <c r="AG221" s="343"/>
      <c r="AH221" s="249"/>
      <c r="AI221" s="330"/>
      <c r="AJ221" s="343"/>
      <c r="AK221" s="249"/>
      <c r="AL221" s="330"/>
      <c r="AM221" s="343"/>
      <c r="AN221" s="249"/>
      <c r="AO221" s="330"/>
      <c r="AP221" s="343"/>
      <c r="AQ221" s="249"/>
      <c r="AR221" s="330"/>
      <c r="AS221" s="343"/>
      <c r="AT221" s="249"/>
      <c r="AU221" s="330"/>
    </row>
    <row r="222" spans="2:47">
      <c r="B222" s="247">
        <f>'Table S2 Compound Identifiers'!C224</f>
        <v>0</v>
      </c>
      <c r="C222" s="247">
        <f>COUNTIF($D$6:D222,"&lt;&gt;"&amp;"")</f>
        <v>217</v>
      </c>
      <c r="D222" s="247">
        <f>'Table S2 Compound Identifiers'!B224</f>
        <v>0</v>
      </c>
      <c r="E222" s="247"/>
      <c r="F222" s="248"/>
      <c r="G222" s="249"/>
      <c r="H222" s="330"/>
      <c r="I222" s="328"/>
      <c r="J222" s="249"/>
      <c r="K222" s="330"/>
      <c r="L222" s="250"/>
      <c r="M222" s="249"/>
      <c r="N222" s="330"/>
      <c r="O222" s="250"/>
      <c r="P222" s="249"/>
      <c r="Q222" s="330"/>
      <c r="R222" s="250"/>
      <c r="S222" s="249"/>
      <c r="T222" s="330"/>
      <c r="U222" s="250"/>
      <c r="V222" s="249"/>
      <c r="W222" s="330"/>
      <c r="X222" s="343"/>
      <c r="Y222" s="249"/>
      <c r="Z222" s="330"/>
      <c r="AA222" s="343"/>
      <c r="AB222" s="249"/>
      <c r="AC222" s="330"/>
      <c r="AD222" s="343"/>
      <c r="AE222" s="249"/>
      <c r="AF222" s="330"/>
      <c r="AG222" s="343"/>
      <c r="AH222" s="249"/>
      <c r="AI222" s="330"/>
      <c r="AJ222" s="343"/>
      <c r="AK222" s="249"/>
      <c r="AL222" s="330"/>
      <c r="AM222" s="343"/>
      <c r="AN222" s="249"/>
      <c r="AO222" s="330"/>
      <c r="AP222" s="343"/>
      <c r="AQ222" s="249"/>
      <c r="AR222" s="330"/>
      <c r="AS222" s="343"/>
      <c r="AT222" s="249"/>
      <c r="AU222" s="330"/>
    </row>
    <row r="223" spans="2:47">
      <c r="B223" s="247">
        <f>'Table S2 Compound Identifiers'!C225</f>
        <v>0</v>
      </c>
      <c r="C223" s="247">
        <f>COUNTIF($D$6:D223,"&lt;&gt;"&amp;"")</f>
        <v>218</v>
      </c>
      <c r="D223" s="247">
        <f>'Table S2 Compound Identifiers'!B225</f>
        <v>0</v>
      </c>
      <c r="E223" s="247"/>
      <c r="F223" s="248"/>
      <c r="G223" s="249"/>
      <c r="H223" s="330"/>
      <c r="I223" s="328"/>
      <c r="J223" s="249"/>
      <c r="K223" s="330"/>
      <c r="L223" s="250"/>
      <c r="M223" s="249"/>
      <c r="N223" s="330"/>
      <c r="O223" s="250"/>
      <c r="P223" s="249"/>
      <c r="Q223" s="330"/>
      <c r="R223" s="250"/>
      <c r="S223" s="249"/>
      <c r="T223" s="330"/>
      <c r="U223" s="250"/>
      <c r="V223" s="249"/>
      <c r="W223" s="330"/>
      <c r="X223" s="343"/>
      <c r="Y223" s="249"/>
      <c r="Z223" s="330"/>
      <c r="AA223" s="343"/>
      <c r="AB223" s="249"/>
      <c r="AC223" s="330"/>
      <c r="AD223" s="343"/>
      <c r="AE223" s="249"/>
      <c r="AF223" s="330"/>
      <c r="AG223" s="343"/>
      <c r="AH223" s="249"/>
      <c r="AI223" s="330"/>
      <c r="AJ223" s="343"/>
      <c r="AK223" s="249"/>
      <c r="AL223" s="330"/>
      <c r="AM223" s="343"/>
      <c r="AN223" s="249"/>
      <c r="AO223" s="330"/>
      <c r="AP223" s="343"/>
      <c r="AQ223" s="249"/>
      <c r="AR223" s="330"/>
      <c r="AS223" s="343"/>
      <c r="AT223" s="249"/>
      <c r="AU223" s="330"/>
    </row>
    <row r="224" spans="2:47">
      <c r="B224" s="247">
        <f>'Table S2 Compound Identifiers'!C226</f>
        <v>0</v>
      </c>
      <c r="C224" s="247">
        <f>COUNTIF($D$6:D224,"&lt;&gt;"&amp;"")</f>
        <v>219</v>
      </c>
      <c r="D224" s="247">
        <f>'Table S2 Compound Identifiers'!B226</f>
        <v>0</v>
      </c>
      <c r="E224" s="247"/>
      <c r="F224" s="248"/>
      <c r="G224" s="249"/>
      <c r="H224" s="330"/>
      <c r="I224" s="328"/>
      <c r="J224" s="249"/>
      <c r="K224" s="330"/>
      <c r="L224" s="250"/>
      <c r="M224" s="249"/>
      <c r="N224" s="330"/>
      <c r="O224" s="250"/>
      <c r="P224" s="249"/>
      <c r="Q224" s="330"/>
      <c r="R224" s="250"/>
      <c r="S224" s="249"/>
      <c r="T224" s="330"/>
      <c r="U224" s="250"/>
      <c r="V224" s="249"/>
      <c r="W224" s="330"/>
      <c r="X224" s="343"/>
      <c r="Y224" s="249"/>
      <c r="Z224" s="330"/>
      <c r="AA224" s="343"/>
      <c r="AB224" s="249"/>
      <c r="AC224" s="330"/>
      <c r="AD224" s="343"/>
      <c r="AE224" s="249"/>
      <c r="AF224" s="330"/>
      <c r="AG224" s="343"/>
      <c r="AH224" s="249"/>
      <c r="AI224" s="330"/>
      <c r="AJ224" s="343"/>
      <c r="AK224" s="249"/>
      <c r="AL224" s="330"/>
      <c r="AM224" s="343"/>
      <c r="AN224" s="249"/>
      <c r="AO224" s="330"/>
      <c r="AP224" s="343"/>
      <c r="AQ224" s="249"/>
      <c r="AR224" s="330"/>
      <c r="AS224" s="343"/>
      <c r="AT224" s="249"/>
      <c r="AU224" s="330"/>
    </row>
    <row r="225" spans="2:47">
      <c r="B225" s="247">
        <f>'Table S2 Compound Identifiers'!C227</f>
        <v>0</v>
      </c>
      <c r="C225" s="247">
        <f>COUNTIF($D$6:D225,"&lt;&gt;"&amp;"")</f>
        <v>220</v>
      </c>
      <c r="D225" s="247">
        <f>'Table S2 Compound Identifiers'!B227</f>
        <v>0</v>
      </c>
      <c r="E225" s="247"/>
      <c r="F225" s="248"/>
      <c r="G225" s="249"/>
      <c r="H225" s="330"/>
      <c r="I225" s="328"/>
      <c r="J225" s="249"/>
      <c r="K225" s="330"/>
      <c r="L225" s="250"/>
      <c r="M225" s="249"/>
      <c r="N225" s="330"/>
      <c r="O225" s="250"/>
      <c r="P225" s="249"/>
      <c r="Q225" s="330"/>
      <c r="R225" s="250"/>
      <c r="S225" s="249"/>
      <c r="T225" s="330"/>
      <c r="U225" s="250"/>
      <c r="V225" s="249"/>
      <c r="W225" s="330"/>
      <c r="X225" s="343"/>
      <c r="Y225" s="249"/>
      <c r="Z225" s="330"/>
      <c r="AA225" s="343"/>
      <c r="AB225" s="249"/>
      <c r="AC225" s="330"/>
      <c r="AD225" s="343"/>
      <c r="AE225" s="249"/>
      <c r="AF225" s="330"/>
      <c r="AG225" s="343"/>
      <c r="AH225" s="249"/>
      <c r="AI225" s="330"/>
      <c r="AJ225" s="343"/>
      <c r="AK225" s="249"/>
      <c r="AL225" s="330"/>
      <c r="AM225" s="343"/>
      <c r="AN225" s="249"/>
      <c r="AO225" s="330"/>
      <c r="AP225" s="343"/>
      <c r="AQ225" s="249"/>
      <c r="AR225" s="330"/>
      <c r="AS225" s="343"/>
      <c r="AT225" s="249"/>
      <c r="AU225" s="330"/>
    </row>
    <row r="226" spans="2:47">
      <c r="B226" s="247">
        <f>'Table S2 Compound Identifiers'!C228</f>
        <v>0</v>
      </c>
      <c r="C226" s="247">
        <f>COUNTIF($D$6:D226,"&lt;&gt;"&amp;"")</f>
        <v>221</v>
      </c>
      <c r="D226" s="247">
        <f>'Table S2 Compound Identifiers'!B228</f>
        <v>0</v>
      </c>
      <c r="E226" s="247"/>
      <c r="F226" s="248"/>
      <c r="G226" s="249"/>
      <c r="H226" s="330"/>
      <c r="I226" s="328"/>
      <c r="J226" s="249"/>
      <c r="K226" s="330"/>
      <c r="L226" s="250"/>
      <c r="M226" s="249"/>
      <c r="N226" s="330"/>
      <c r="O226" s="251"/>
      <c r="P226" s="252"/>
      <c r="Q226" s="330"/>
      <c r="R226" s="251"/>
      <c r="S226" s="252"/>
      <c r="T226" s="330"/>
      <c r="U226" s="251"/>
      <c r="V226" s="252"/>
      <c r="W226" s="330"/>
      <c r="X226" s="343"/>
      <c r="Y226" s="249"/>
      <c r="Z226" s="330"/>
      <c r="AA226" s="343"/>
      <c r="AB226" s="249"/>
      <c r="AC226" s="330"/>
      <c r="AD226" s="343"/>
      <c r="AE226" s="249"/>
      <c r="AF226" s="330"/>
      <c r="AG226" s="343"/>
      <c r="AH226" s="249"/>
      <c r="AI226" s="330"/>
      <c r="AJ226" s="343"/>
      <c r="AK226" s="249"/>
      <c r="AL226" s="330"/>
      <c r="AM226" s="343"/>
      <c r="AN226" s="249"/>
      <c r="AO226" s="330"/>
      <c r="AP226" s="343"/>
      <c r="AQ226" s="249"/>
      <c r="AR226" s="330"/>
      <c r="AS226" s="343"/>
      <c r="AT226" s="249"/>
      <c r="AU226" s="330"/>
    </row>
    <row r="227" spans="2:47">
      <c r="B227" s="247">
        <f>'Table S2 Compound Identifiers'!C229</f>
        <v>0</v>
      </c>
      <c r="C227" s="253">
        <f>COUNTIF($D$6:D227,"&lt;&gt;"&amp;"")</f>
        <v>222</v>
      </c>
      <c r="D227" s="253">
        <f>'Table S2 Compound Identifiers'!B229</f>
        <v>0</v>
      </c>
      <c r="E227" s="253"/>
      <c r="F227" s="254"/>
      <c r="G227" s="252"/>
      <c r="H227" s="330"/>
      <c r="I227" s="333"/>
      <c r="J227" s="252"/>
      <c r="K227" s="330"/>
      <c r="L227" s="251"/>
      <c r="M227" s="252"/>
      <c r="N227" s="330"/>
      <c r="O227" s="251"/>
      <c r="P227" s="252"/>
      <c r="Q227" s="330"/>
      <c r="R227" s="251"/>
      <c r="S227" s="252"/>
      <c r="T227" s="330"/>
      <c r="U227" s="251"/>
      <c r="V227" s="252"/>
      <c r="W227" s="330"/>
      <c r="X227" s="343"/>
      <c r="Y227" s="249"/>
      <c r="Z227" s="330"/>
      <c r="AA227" s="343"/>
      <c r="AB227" s="249"/>
      <c r="AC227" s="330"/>
      <c r="AD227" s="343"/>
      <c r="AE227" s="249"/>
      <c r="AF227" s="330"/>
      <c r="AG227" s="343"/>
      <c r="AH227" s="249"/>
      <c r="AI227" s="330"/>
      <c r="AJ227" s="343"/>
      <c r="AK227" s="249"/>
      <c r="AL227" s="330"/>
      <c r="AM227" s="343"/>
      <c r="AN227" s="249"/>
      <c r="AO227" s="330"/>
      <c r="AP227" s="343"/>
      <c r="AQ227" s="249"/>
      <c r="AR227" s="330"/>
      <c r="AS227" s="343"/>
      <c r="AT227" s="249"/>
      <c r="AU227" s="330"/>
    </row>
    <row r="228" spans="2:47">
      <c r="B228" s="247">
        <f>'Table S2 Compound Identifiers'!C230</f>
        <v>0</v>
      </c>
      <c r="C228" s="247">
        <f>COUNTIF($D$6:D228,"&lt;&gt;"&amp;"")</f>
        <v>223</v>
      </c>
      <c r="D228" s="247">
        <f>'Table S2 Compound Identifiers'!B230</f>
        <v>0</v>
      </c>
      <c r="E228" s="247"/>
      <c r="F228" s="248"/>
      <c r="G228" s="250"/>
      <c r="H228" s="330"/>
      <c r="I228" s="343"/>
      <c r="J228" s="249"/>
      <c r="K228" s="327"/>
      <c r="L228" s="343"/>
      <c r="M228" s="249"/>
      <c r="N228" s="327"/>
      <c r="O228" s="343"/>
      <c r="P228" s="249"/>
      <c r="Q228" s="327"/>
      <c r="R228" s="343"/>
      <c r="S228" s="249"/>
      <c r="T228" s="327"/>
      <c r="U228" s="343"/>
      <c r="V228" s="249"/>
      <c r="W228" s="327"/>
      <c r="X228" s="343"/>
      <c r="Y228" s="249"/>
      <c r="Z228" s="327"/>
      <c r="AA228" s="343"/>
      <c r="AB228" s="249"/>
      <c r="AC228" s="343"/>
      <c r="AD228" s="343"/>
      <c r="AE228" s="249"/>
      <c r="AF228" s="249"/>
      <c r="AG228" s="343"/>
      <c r="AH228" s="249"/>
      <c r="AI228" s="343"/>
      <c r="AJ228" s="343"/>
      <c r="AK228" s="249"/>
      <c r="AL228" s="249"/>
      <c r="AM228" s="343"/>
      <c r="AN228" s="249"/>
      <c r="AO228" s="343"/>
      <c r="AP228" s="343"/>
      <c r="AQ228" s="249"/>
      <c r="AR228" s="249"/>
      <c r="AS228" s="343"/>
      <c r="AT228" s="249"/>
      <c r="AU228" s="343"/>
    </row>
    <row r="229" spans="2:47">
      <c r="B229" s="247">
        <f>'Table S2 Compound Identifiers'!C231</f>
        <v>0</v>
      </c>
      <c r="C229" s="247">
        <f>COUNTIF($D$6:D229,"&lt;&gt;"&amp;"")</f>
        <v>224</v>
      </c>
      <c r="D229" s="247">
        <f>'Table S2 Compound Identifiers'!B231</f>
        <v>0</v>
      </c>
      <c r="E229" s="247"/>
      <c r="F229" s="248"/>
      <c r="G229" s="249"/>
      <c r="H229" s="330"/>
      <c r="I229" s="332"/>
      <c r="J229" s="330"/>
      <c r="K229" s="330"/>
      <c r="L229" s="330"/>
      <c r="M229" s="330"/>
      <c r="N229" s="330"/>
      <c r="O229" s="330"/>
      <c r="P229" s="330"/>
      <c r="Q229" s="330"/>
      <c r="R229" s="330"/>
      <c r="S229" s="330"/>
      <c r="T229" s="330"/>
      <c r="U229" s="330"/>
      <c r="V229" s="330"/>
      <c r="W229" s="330"/>
      <c r="X229" s="343"/>
      <c r="Y229" s="249"/>
      <c r="Z229" s="330"/>
      <c r="AA229" s="343"/>
      <c r="AB229" s="249"/>
      <c r="AC229" s="330"/>
      <c r="AD229" s="343"/>
      <c r="AE229" s="249"/>
      <c r="AF229" s="330"/>
      <c r="AG229" s="343"/>
      <c r="AH229" s="249"/>
      <c r="AI229" s="330"/>
      <c r="AJ229" s="343"/>
      <c r="AK229" s="249"/>
      <c r="AL229" s="330"/>
      <c r="AM229" s="343"/>
      <c r="AN229" s="249"/>
      <c r="AO229" s="330"/>
      <c r="AP229" s="343"/>
      <c r="AQ229" s="249"/>
      <c r="AR229" s="330"/>
      <c r="AS229" s="343"/>
      <c r="AT229" s="249"/>
      <c r="AU229" s="330"/>
    </row>
    <row r="230" spans="2:47">
      <c r="B230" s="247">
        <f>'Table S2 Compound Identifiers'!C232</f>
        <v>0</v>
      </c>
      <c r="C230" s="247">
        <f>COUNTIF($D$6:D230,"&lt;&gt;"&amp;"")</f>
        <v>225</v>
      </c>
      <c r="D230" s="247">
        <f>'Table S2 Compound Identifiers'!B232</f>
        <v>0</v>
      </c>
      <c r="E230" s="247"/>
      <c r="F230" s="248"/>
      <c r="G230" s="249"/>
      <c r="H230" s="330"/>
      <c r="I230" s="332"/>
      <c r="J230" s="330"/>
      <c r="K230" s="330"/>
      <c r="L230" s="330"/>
      <c r="M230" s="330"/>
      <c r="N230" s="330"/>
      <c r="O230" s="330"/>
      <c r="P230" s="330"/>
      <c r="Q230" s="330"/>
      <c r="R230" s="330"/>
      <c r="S230" s="330"/>
      <c r="T230" s="330"/>
      <c r="U230" s="330"/>
      <c r="V230" s="330"/>
      <c r="W230" s="330"/>
      <c r="X230" s="343"/>
      <c r="Y230" s="249"/>
      <c r="Z230" s="330"/>
      <c r="AA230" s="343"/>
      <c r="AB230" s="249"/>
      <c r="AC230" s="330"/>
      <c r="AD230" s="343"/>
      <c r="AE230" s="249"/>
      <c r="AF230" s="330"/>
      <c r="AG230" s="343"/>
      <c r="AH230" s="249"/>
      <c r="AI230" s="330"/>
      <c r="AJ230" s="343"/>
      <c r="AK230" s="249"/>
      <c r="AL230" s="330"/>
      <c r="AM230" s="343"/>
      <c r="AN230" s="249"/>
      <c r="AO230" s="330"/>
      <c r="AP230" s="343"/>
      <c r="AQ230" s="249"/>
      <c r="AR230" s="330"/>
      <c r="AS230" s="343"/>
      <c r="AT230" s="249"/>
      <c r="AU230" s="330"/>
    </row>
    <row r="231" spans="2:47">
      <c r="B231" s="247">
        <f>'Table S2 Compound Identifiers'!C233</f>
        <v>0</v>
      </c>
      <c r="C231" s="247">
        <f>COUNTIF($D$6:D231,"&lt;&gt;"&amp;"")</f>
        <v>226</v>
      </c>
      <c r="D231" s="247">
        <f>'Table S2 Compound Identifiers'!B233</f>
        <v>0</v>
      </c>
      <c r="E231" s="247"/>
      <c r="F231" s="248"/>
      <c r="G231" s="249"/>
      <c r="H231" s="330"/>
      <c r="I231" s="332"/>
      <c r="J231" s="330"/>
      <c r="K231" s="330"/>
      <c r="L231" s="330"/>
      <c r="M231" s="330"/>
      <c r="N231" s="330"/>
      <c r="O231" s="330"/>
      <c r="P231" s="330"/>
      <c r="Q231" s="330"/>
      <c r="R231" s="330"/>
      <c r="S231" s="330"/>
      <c r="T231" s="330"/>
      <c r="U231" s="330"/>
      <c r="V231" s="330"/>
      <c r="W231" s="330"/>
      <c r="X231" s="343"/>
      <c r="Y231" s="249"/>
      <c r="Z231" s="330"/>
      <c r="AA231" s="343"/>
      <c r="AB231" s="249"/>
      <c r="AC231" s="330"/>
      <c r="AD231" s="343"/>
      <c r="AE231" s="249"/>
      <c r="AF231" s="330"/>
      <c r="AG231" s="343"/>
      <c r="AH231" s="249"/>
      <c r="AI231" s="330"/>
      <c r="AJ231" s="343"/>
      <c r="AK231" s="249"/>
      <c r="AL231" s="330"/>
      <c r="AM231" s="343"/>
      <c r="AN231" s="249"/>
      <c r="AO231" s="330"/>
      <c r="AP231" s="343"/>
      <c r="AQ231" s="249"/>
      <c r="AR231" s="330"/>
      <c r="AS231" s="343"/>
      <c r="AT231" s="249"/>
      <c r="AU231" s="330"/>
    </row>
    <row r="232" spans="2:47">
      <c r="B232" s="247">
        <f>'Table S2 Compound Identifiers'!C234</f>
        <v>0</v>
      </c>
      <c r="C232" s="247">
        <f>COUNTIF($D$6:D232,"&lt;&gt;"&amp;"")</f>
        <v>227</v>
      </c>
      <c r="D232" s="247">
        <f>'Table S2 Compound Identifiers'!B234</f>
        <v>0</v>
      </c>
      <c r="E232" s="247"/>
      <c r="F232" s="248"/>
      <c r="G232" s="249"/>
      <c r="H232" s="330"/>
      <c r="I232" s="328"/>
      <c r="J232" s="249"/>
      <c r="K232" s="330"/>
      <c r="L232" s="250"/>
      <c r="M232" s="249"/>
      <c r="N232" s="330"/>
      <c r="O232" s="250"/>
      <c r="P232" s="249"/>
      <c r="Q232" s="330"/>
      <c r="R232" s="250"/>
      <c r="S232" s="249"/>
      <c r="T232" s="330"/>
      <c r="U232" s="250"/>
      <c r="V232" s="249"/>
      <c r="W232" s="330"/>
      <c r="X232" s="343"/>
      <c r="Y232" s="249"/>
      <c r="Z232" s="330"/>
      <c r="AA232" s="343"/>
      <c r="AB232" s="249"/>
      <c r="AC232" s="330"/>
      <c r="AD232" s="343"/>
      <c r="AE232" s="249"/>
      <c r="AF232" s="330"/>
      <c r="AG232" s="343"/>
      <c r="AH232" s="249"/>
      <c r="AI232" s="330"/>
      <c r="AJ232" s="343"/>
      <c r="AK232" s="249"/>
      <c r="AL232" s="330"/>
      <c r="AM232" s="343"/>
      <c r="AN232" s="249"/>
      <c r="AO232" s="330"/>
      <c r="AP232" s="343"/>
      <c r="AQ232" s="249"/>
      <c r="AR232" s="330"/>
      <c r="AS232" s="343"/>
      <c r="AT232" s="249"/>
      <c r="AU232" s="330"/>
    </row>
    <row r="233" spans="2:47">
      <c r="B233" s="247">
        <f>'Table S2 Compound Identifiers'!C235</f>
        <v>0</v>
      </c>
      <c r="C233" s="247">
        <f>COUNTIF($D$6:D233,"&lt;&gt;"&amp;"")</f>
        <v>228</v>
      </c>
      <c r="D233" s="247">
        <f>'Table S2 Compound Identifiers'!B235</f>
        <v>0</v>
      </c>
      <c r="E233" s="247"/>
      <c r="F233" s="248"/>
      <c r="G233" s="249"/>
      <c r="H233" s="330"/>
      <c r="I233" s="328"/>
      <c r="J233" s="249"/>
      <c r="K233" s="330"/>
      <c r="L233" s="250"/>
      <c r="M233" s="249"/>
      <c r="N233" s="330"/>
      <c r="O233" s="250"/>
      <c r="P233" s="249"/>
      <c r="Q233" s="330"/>
      <c r="R233" s="250"/>
      <c r="S233" s="249"/>
      <c r="T233" s="330"/>
      <c r="U233" s="250"/>
      <c r="V233" s="249"/>
      <c r="W233" s="330"/>
      <c r="X233" s="343"/>
      <c r="Y233" s="249"/>
      <c r="Z233" s="330"/>
      <c r="AA233" s="343"/>
      <c r="AB233" s="249"/>
      <c r="AC233" s="330"/>
      <c r="AD233" s="343"/>
      <c r="AE233" s="249"/>
      <c r="AF233" s="330"/>
      <c r="AG233" s="343"/>
      <c r="AH233" s="249"/>
      <c r="AI233" s="330"/>
      <c r="AJ233" s="343"/>
      <c r="AK233" s="249"/>
      <c r="AL233" s="330"/>
      <c r="AM233" s="343"/>
      <c r="AN233" s="249"/>
      <c r="AO233" s="330"/>
      <c r="AP233" s="343"/>
      <c r="AQ233" s="249"/>
      <c r="AR233" s="330"/>
      <c r="AS233" s="343"/>
      <c r="AT233" s="249"/>
      <c r="AU233" s="330"/>
    </row>
    <row r="234" spans="2:47">
      <c r="B234" s="247">
        <f>'Table S2 Compound Identifiers'!C236</f>
        <v>0</v>
      </c>
      <c r="C234" s="247">
        <f>COUNTIF($D$6:D234,"&lt;&gt;"&amp;"")</f>
        <v>229</v>
      </c>
      <c r="D234" s="247">
        <f>'Table S2 Compound Identifiers'!B236</f>
        <v>0</v>
      </c>
      <c r="E234" s="247"/>
      <c r="F234" s="248"/>
      <c r="G234" s="249"/>
      <c r="H234" s="330"/>
      <c r="I234" s="328"/>
      <c r="J234" s="249"/>
      <c r="K234" s="330"/>
      <c r="L234" s="250"/>
      <c r="M234" s="249"/>
      <c r="N234" s="330"/>
      <c r="O234" s="250"/>
      <c r="P234" s="249"/>
      <c r="Q234" s="330"/>
      <c r="R234" s="250"/>
      <c r="S234" s="249"/>
      <c r="T234" s="330"/>
      <c r="U234" s="250"/>
      <c r="V234" s="249"/>
      <c r="W234" s="330"/>
      <c r="X234" s="343"/>
      <c r="Y234" s="249"/>
      <c r="Z234" s="330"/>
      <c r="AA234" s="343"/>
      <c r="AB234" s="249"/>
      <c r="AC234" s="330"/>
      <c r="AD234" s="343"/>
      <c r="AE234" s="249"/>
      <c r="AF234" s="330"/>
      <c r="AG234" s="343"/>
      <c r="AH234" s="249"/>
      <c r="AI234" s="330"/>
      <c r="AJ234" s="343"/>
      <c r="AK234" s="249"/>
      <c r="AL234" s="330"/>
      <c r="AM234" s="343"/>
      <c r="AN234" s="249"/>
      <c r="AO234" s="330"/>
      <c r="AP234" s="343"/>
      <c r="AQ234" s="249"/>
      <c r="AR234" s="330"/>
      <c r="AS234" s="343"/>
      <c r="AT234" s="249"/>
      <c r="AU234" s="330"/>
    </row>
    <row r="235" spans="2:47">
      <c r="B235" s="247">
        <f>'Table S2 Compound Identifiers'!C237</f>
        <v>0</v>
      </c>
      <c r="C235" s="247">
        <f>COUNTIF($D$6:D235,"&lt;&gt;"&amp;"")</f>
        <v>230</v>
      </c>
      <c r="D235" s="247">
        <f>'Table S2 Compound Identifiers'!B237</f>
        <v>0</v>
      </c>
      <c r="E235" s="247"/>
      <c r="F235" s="248"/>
      <c r="G235" s="249"/>
      <c r="H235" s="330"/>
      <c r="I235" s="328"/>
      <c r="J235" s="249"/>
      <c r="K235" s="330"/>
      <c r="L235" s="250"/>
      <c r="M235" s="249"/>
      <c r="N235" s="330"/>
      <c r="O235" s="250"/>
      <c r="P235" s="249"/>
      <c r="Q235" s="330"/>
      <c r="R235" s="250"/>
      <c r="S235" s="249"/>
      <c r="T235" s="330"/>
      <c r="U235" s="250"/>
      <c r="V235" s="249"/>
      <c r="W235" s="330"/>
      <c r="X235" s="343"/>
      <c r="Y235" s="249"/>
      <c r="Z235" s="330"/>
      <c r="AA235" s="343"/>
      <c r="AB235" s="249"/>
      <c r="AC235" s="330"/>
      <c r="AD235" s="343"/>
      <c r="AE235" s="249"/>
      <c r="AF235" s="330"/>
      <c r="AG235" s="343"/>
      <c r="AH235" s="249"/>
      <c r="AI235" s="330"/>
      <c r="AJ235" s="343"/>
      <c r="AK235" s="249"/>
      <c r="AL235" s="330"/>
      <c r="AM235" s="343"/>
      <c r="AN235" s="249"/>
      <c r="AO235" s="330"/>
      <c r="AP235" s="343"/>
      <c r="AQ235" s="249"/>
      <c r="AR235" s="330"/>
      <c r="AS235" s="343"/>
      <c r="AT235" s="249"/>
      <c r="AU235" s="330"/>
    </row>
    <row r="236" spans="2:47">
      <c r="B236" s="247">
        <f>'Table S2 Compound Identifiers'!C238</f>
        <v>0</v>
      </c>
      <c r="C236" s="247">
        <f>COUNTIF($D$6:D236,"&lt;&gt;"&amp;"")</f>
        <v>231</v>
      </c>
      <c r="D236" s="247">
        <f>'Table S2 Compound Identifiers'!B238</f>
        <v>0</v>
      </c>
      <c r="E236" s="247"/>
      <c r="F236" s="248"/>
      <c r="G236" s="249"/>
      <c r="H236" s="330"/>
      <c r="I236" s="328"/>
      <c r="J236" s="249"/>
      <c r="K236" s="330"/>
      <c r="L236" s="250"/>
      <c r="M236" s="249"/>
      <c r="N236" s="330"/>
      <c r="O236" s="250"/>
      <c r="P236" s="249"/>
      <c r="Q236" s="330"/>
      <c r="R236" s="250"/>
      <c r="S236" s="249"/>
      <c r="T236" s="330"/>
      <c r="U236" s="250"/>
      <c r="V236" s="249"/>
      <c r="W236" s="330"/>
      <c r="X236" s="343"/>
      <c r="Y236" s="249"/>
      <c r="Z236" s="330"/>
      <c r="AA236" s="343"/>
      <c r="AB236" s="249"/>
      <c r="AC236" s="330"/>
      <c r="AD236" s="343"/>
      <c r="AE236" s="249"/>
      <c r="AF236" s="330"/>
      <c r="AG236" s="343"/>
      <c r="AH236" s="249"/>
      <c r="AI236" s="330"/>
      <c r="AJ236" s="343"/>
      <c r="AK236" s="249"/>
      <c r="AL236" s="330"/>
      <c r="AM236" s="343"/>
      <c r="AN236" s="249"/>
      <c r="AO236" s="330"/>
      <c r="AP236" s="343"/>
      <c r="AQ236" s="249"/>
      <c r="AR236" s="330"/>
      <c r="AS236" s="343"/>
      <c r="AT236" s="249"/>
      <c r="AU236" s="330"/>
    </row>
    <row r="237" spans="2:47">
      <c r="B237" s="247">
        <f>'Table S2 Compound Identifiers'!C239</f>
        <v>0</v>
      </c>
      <c r="C237" s="247">
        <f>COUNTIF($D$6:D237,"&lt;&gt;"&amp;"")</f>
        <v>232</v>
      </c>
      <c r="D237" s="247">
        <f>'Table S2 Compound Identifiers'!B239</f>
        <v>0</v>
      </c>
      <c r="E237" s="247"/>
      <c r="F237" s="248"/>
      <c r="G237" s="249"/>
      <c r="H237" s="330"/>
      <c r="I237" s="328"/>
      <c r="J237" s="249"/>
      <c r="K237" s="330"/>
      <c r="L237" s="250"/>
      <c r="M237" s="249"/>
      <c r="N237" s="330"/>
      <c r="O237" s="250"/>
      <c r="P237" s="249"/>
      <c r="Q237" s="330"/>
      <c r="R237" s="250"/>
      <c r="S237" s="249"/>
      <c r="T237" s="330"/>
      <c r="U237" s="250"/>
      <c r="V237" s="249"/>
      <c r="W237" s="330"/>
      <c r="X237" s="343"/>
      <c r="Y237" s="249"/>
      <c r="Z237" s="330"/>
      <c r="AA237" s="343"/>
      <c r="AB237" s="249"/>
      <c r="AC237" s="330"/>
      <c r="AD237" s="343"/>
      <c r="AE237" s="249"/>
      <c r="AF237" s="330"/>
      <c r="AG237" s="343"/>
      <c r="AH237" s="249"/>
      <c r="AI237" s="330"/>
      <c r="AJ237" s="343"/>
      <c r="AK237" s="249"/>
      <c r="AL237" s="330"/>
      <c r="AM237" s="343"/>
      <c r="AN237" s="249"/>
      <c r="AO237" s="330"/>
      <c r="AP237" s="343"/>
      <c r="AQ237" s="249"/>
      <c r="AR237" s="330"/>
      <c r="AS237" s="343"/>
      <c r="AT237" s="249"/>
      <c r="AU237" s="330"/>
    </row>
    <row r="238" spans="2:47">
      <c r="B238" s="247">
        <f>'Table S2 Compound Identifiers'!C240</f>
        <v>0</v>
      </c>
      <c r="C238" s="247">
        <f>COUNTIF($D$6:D238,"&lt;&gt;"&amp;"")</f>
        <v>233</v>
      </c>
      <c r="D238" s="247">
        <f>'Table S2 Compound Identifiers'!B240</f>
        <v>0</v>
      </c>
      <c r="E238" s="247"/>
      <c r="F238" s="248"/>
      <c r="G238" s="249"/>
      <c r="H238" s="330"/>
      <c r="I238" s="328"/>
      <c r="J238" s="249"/>
      <c r="K238" s="330"/>
      <c r="L238" s="250"/>
      <c r="M238" s="249"/>
      <c r="N238" s="330"/>
      <c r="O238" s="250"/>
      <c r="P238" s="249"/>
      <c r="Q238" s="330"/>
      <c r="R238" s="250"/>
      <c r="S238" s="249"/>
      <c r="T238" s="330"/>
      <c r="U238" s="250"/>
      <c r="V238" s="249"/>
      <c r="W238" s="330"/>
      <c r="X238" s="343"/>
      <c r="Y238" s="249"/>
      <c r="Z238" s="330"/>
      <c r="AA238" s="343"/>
      <c r="AB238" s="249"/>
      <c r="AC238" s="330"/>
      <c r="AD238" s="343"/>
      <c r="AE238" s="249"/>
      <c r="AF238" s="330"/>
      <c r="AG238" s="343"/>
      <c r="AH238" s="249"/>
      <c r="AI238" s="330"/>
      <c r="AJ238" s="343"/>
      <c r="AK238" s="249"/>
      <c r="AL238" s="330"/>
      <c r="AM238" s="343"/>
      <c r="AN238" s="249"/>
      <c r="AO238" s="330"/>
      <c r="AP238" s="343"/>
      <c r="AQ238" s="249"/>
      <c r="AR238" s="330"/>
      <c r="AS238" s="343"/>
      <c r="AT238" s="249"/>
      <c r="AU238" s="330"/>
    </row>
    <row r="239" spans="2:47">
      <c r="B239" s="247">
        <f>'Table S2 Compound Identifiers'!C241</f>
        <v>0</v>
      </c>
      <c r="C239" s="247">
        <f>COUNTIF($D$6:D239,"&lt;&gt;"&amp;"")</f>
        <v>234</v>
      </c>
      <c r="D239" s="247">
        <f>'Table S2 Compound Identifiers'!B241</f>
        <v>0</v>
      </c>
      <c r="E239" s="247"/>
      <c r="F239" s="248"/>
      <c r="G239" s="249"/>
      <c r="H239" s="330"/>
      <c r="I239" s="328"/>
      <c r="J239" s="249"/>
      <c r="K239" s="330"/>
      <c r="L239" s="250"/>
      <c r="M239" s="249"/>
      <c r="N239" s="330"/>
      <c r="O239" s="250"/>
      <c r="P239" s="249"/>
      <c r="Q239" s="330"/>
      <c r="R239" s="250"/>
      <c r="S239" s="249"/>
      <c r="T239" s="330"/>
      <c r="U239" s="250"/>
      <c r="V239" s="249"/>
      <c r="W239" s="330"/>
      <c r="X239" s="343"/>
      <c r="Y239" s="249"/>
      <c r="Z239" s="330"/>
      <c r="AA239" s="343"/>
      <c r="AB239" s="249"/>
      <c r="AC239" s="330"/>
      <c r="AD239" s="343"/>
      <c r="AE239" s="249"/>
      <c r="AF239" s="330"/>
      <c r="AG239" s="343"/>
      <c r="AH239" s="249"/>
      <c r="AI239" s="330"/>
      <c r="AJ239" s="343"/>
      <c r="AK239" s="249"/>
      <c r="AL239" s="330"/>
      <c r="AM239" s="343"/>
      <c r="AN239" s="249"/>
      <c r="AO239" s="330"/>
      <c r="AP239" s="343"/>
      <c r="AQ239" s="249"/>
      <c r="AR239" s="330"/>
      <c r="AS239" s="343"/>
      <c r="AT239" s="249"/>
      <c r="AU239" s="330"/>
    </row>
    <row r="240" spans="2:47">
      <c r="B240" s="247">
        <f>'Table S2 Compound Identifiers'!C242</f>
        <v>0</v>
      </c>
      <c r="C240" s="247">
        <f>COUNTIF($D$6:D240,"&lt;&gt;"&amp;"")</f>
        <v>235</v>
      </c>
      <c r="D240" s="247">
        <f>'Table S2 Compound Identifiers'!B242</f>
        <v>0</v>
      </c>
      <c r="E240" s="247"/>
      <c r="F240" s="248"/>
      <c r="G240" s="249"/>
      <c r="H240" s="330"/>
      <c r="I240" s="328"/>
      <c r="J240" s="249"/>
      <c r="K240" s="330"/>
      <c r="L240" s="250"/>
      <c r="M240" s="249"/>
      <c r="N240" s="330"/>
      <c r="O240" s="250"/>
      <c r="P240" s="249"/>
      <c r="Q240" s="330"/>
      <c r="R240" s="250"/>
      <c r="S240" s="249"/>
      <c r="T240" s="330"/>
      <c r="U240" s="250"/>
      <c r="V240" s="249"/>
      <c r="W240" s="330"/>
      <c r="X240" s="343"/>
      <c r="Y240" s="249"/>
      <c r="Z240" s="330"/>
      <c r="AA240" s="343"/>
      <c r="AB240" s="249"/>
      <c r="AC240" s="330"/>
      <c r="AD240" s="343"/>
      <c r="AE240" s="249"/>
      <c r="AF240" s="330"/>
      <c r="AG240" s="343"/>
      <c r="AH240" s="249"/>
      <c r="AI240" s="330"/>
      <c r="AJ240" s="343"/>
      <c r="AK240" s="249"/>
      <c r="AL240" s="330"/>
      <c r="AM240" s="343"/>
      <c r="AN240" s="249"/>
      <c r="AO240" s="330"/>
      <c r="AP240" s="343"/>
      <c r="AQ240" s="249"/>
      <c r="AR240" s="330"/>
      <c r="AS240" s="343"/>
      <c r="AT240" s="249"/>
      <c r="AU240" s="330"/>
    </row>
    <row r="241" spans="2:47">
      <c r="B241" s="247">
        <f>'Table S2 Compound Identifiers'!C243</f>
        <v>0</v>
      </c>
      <c r="C241" s="247">
        <f>COUNTIF($D$6:D241,"&lt;&gt;"&amp;"")</f>
        <v>236</v>
      </c>
      <c r="D241" s="247">
        <f>'Table S2 Compound Identifiers'!B243</f>
        <v>0</v>
      </c>
      <c r="E241" s="247"/>
      <c r="F241" s="248"/>
      <c r="G241" s="249"/>
      <c r="H241" s="330"/>
      <c r="I241" s="328"/>
      <c r="J241" s="249"/>
      <c r="K241" s="330"/>
      <c r="L241" s="250"/>
      <c r="M241" s="249"/>
      <c r="N241" s="330"/>
      <c r="O241" s="250"/>
      <c r="P241" s="249"/>
      <c r="Q241" s="330"/>
      <c r="R241" s="250"/>
      <c r="S241" s="249"/>
      <c r="T241" s="330"/>
      <c r="U241" s="250"/>
      <c r="V241" s="249"/>
      <c r="W241" s="330"/>
      <c r="X241" s="343"/>
      <c r="Y241" s="249"/>
      <c r="Z241" s="330"/>
      <c r="AA241" s="343"/>
      <c r="AB241" s="249"/>
      <c r="AC241" s="330"/>
      <c r="AD241" s="343"/>
      <c r="AE241" s="249"/>
      <c r="AF241" s="330"/>
      <c r="AG241" s="343"/>
      <c r="AH241" s="249"/>
      <c r="AI241" s="330"/>
      <c r="AJ241" s="343"/>
      <c r="AK241" s="249"/>
      <c r="AL241" s="330"/>
      <c r="AM241" s="343"/>
      <c r="AN241" s="249"/>
      <c r="AO241" s="330"/>
      <c r="AP241" s="343"/>
      <c r="AQ241" s="249"/>
      <c r="AR241" s="330"/>
      <c r="AS241" s="343"/>
      <c r="AT241" s="249"/>
      <c r="AU241" s="330"/>
    </row>
    <row r="242" spans="2:47">
      <c r="B242" s="247">
        <f>'Table S2 Compound Identifiers'!C244</f>
        <v>0</v>
      </c>
      <c r="C242" s="247">
        <f>COUNTIF($D$6:D242,"&lt;&gt;"&amp;"")</f>
        <v>237</v>
      </c>
      <c r="D242" s="247">
        <f>'Table S2 Compound Identifiers'!B244</f>
        <v>0</v>
      </c>
      <c r="E242" s="247"/>
      <c r="F242" s="248"/>
      <c r="G242" s="249"/>
      <c r="H242" s="330"/>
      <c r="I242" s="328"/>
      <c r="J242" s="249"/>
      <c r="K242" s="330"/>
      <c r="L242" s="250"/>
      <c r="M242" s="249"/>
      <c r="N242" s="330"/>
      <c r="O242" s="250"/>
      <c r="P242" s="249"/>
      <c r="Q242" s="330"/>
      <c r="R242" s="250"/>
      <c r="S242" s="249"/>
      <c r="T242" s="330"/>
      <c r="U242" s="250"/>
      <c r="V242" s="249"/>
      <c r="W242" s="330"/>
      <c r="X242" s="343"/>
      <c r="Y242" s="249"/>
      <c r="Z242" s="330"/>
      <c r="AA242" s="343"/>
      <c r="AB242" s="249"/>
      <c r="AC242" s="330"/>
      <c r="AD242" s="343"/>
      <c r="AE242" s="249"/>
      <c r="AF242" s="330"/>
      <c r="AG242" s="343"/>
      <c r="AH242" s="249"/>
      <c r="AI242" s="330"/>
      <c r="AJ242" s="343"/>
      <c r="AK242" s="249"/>
      <c r="AL242" s="330"/>
      <c r="AM242" s="343"/>
      <c r="AN242" s="249"/>
      <c r="AO242" s="330"/>
      <c r="AP242" s="343"/>
      <c r="AQ242" s="249"/>
      <c r="AR242" s="330"/>
      <c r="AS242" s="343"/>
      <c r="AT242" s="249"/>
      <c r="AU242" s="330"/>
    </row>
    <row r="243" spans="2:47">
      <c r="B243" s="247">
        <f>'Table S2 Compound Identifiers'!C245</f>
        <v>0</v>
      </c>
      <c r="C243" s="247">
        <f>COUNTIF($D$6:D243,"&lt;&gt;"&amp;"")</f>
        <v>238</v>
      </c>
      <c r="D243" s="247">
        <f>'Table S2 Compound Identifiers'!B245</f>
        <v>0</v>
      </c>
      <c r="E243" s="247"/>
      <c r="F243" s="248"/>
      <c r="G243" s="249"/>
      <c r="H243" s="330"/>
      <c r="I243" s="328"/>
      <c r="J243" s="249"/>
      <c r="K243" s="330"/>
      <c r="L243" s="250"/>
      <c r="M243" s="249"/>
      <c r="N243" s="330"/>
      <c r="O243" s="250"/>
      <c r="P243" s="249"/>
      <c r="Q243" s="330"/>
      <c r="R243" s="250"/>
      <c r="S243" s="249"/>
      <c r="T243" s="330"/>
      <c r="U243" s="250"/>
      <c r="V243" s="249"/>
      <c r="W243" s="330"/>
      <c r="X243" s="343"/>
      <c r="Y243" s="249"/>
      <c r="Z243" s="330"/>
      <c r="AA243" s="343"/>
      <c r="AB243" s="249"/>
      <c r="AC243" s="330"/>
      <c r="AD243" s="343"/>
      <c r="AE243" s="249"/>
      <c r="AF243" s="330"/>
      <c r="AG243" s="343"/>
      <c r="AH243" s="249"/>
      <c r="AI243" s="330"/>
      <c r="AJ243" s="343"/>
      <c r="AK243" s="249"/>
      <c r="AL243" s="330"/>
      <c r="AM243" s="343"/>
      <c r="AN243" s="249"/>
      <c r="AO243" s="330"/>
      <c r="AP243" s="343"/>
      <c r="AQ243" s="249"/>
      <c r="AR243" s="330"/>
      <c r="AS243" s="343"/>
      <c r="AT243" s="249"/>
      <c r="AU243" s="330"/>
    </row>
    <row r="244" spans="2:47">
      <c r="B244" s="247">
        <f>'Table S2 Compound Identifiers'!C246</f>
        <v>0</v>
      </c>
      <c r="C244" s="247">
        <f>COUNTIF($D$6:D244,"&lt;&gt;"&amp;"")</f>
        <v>239</v>
      </c>
      <c r="D244" s="247">
        <f>'Table S2 Compound Identifiers'!B246</f>
        <v>0</v>
      </c>
      <c r="E244" s="247"/>
      <c r="F244" s="248"/>
      <c r="G244" s="249"/>
      <c r="H244" s="330"/>
      <c r="I244" s="328"/>
      <c r="J244" s="249"/>
      <c r="K244" s="330"/>
      <c r="L244" s="250"/>
      <c r="M244" s="249"/>
      <c r="N244" s="330"/>
      <c r="O244" s="250"/>
      <c r="P244" s="249"/>
      <c r="Q244" s="330"/>
      <c r="R244" s="250"/>
      <c r="S244" s="249"/>
      <c r="T244" s="330"/>
      <c r="U244" s="250"/>
      <c r="V244" s="249"/>
      <c r="W244" s="330"/>
      <c r="X244" s="343"/>
      <c r="Y244" s="249"/>
      <c r="Z244" s="330"/>
      <c r="AA244" s="343"/>
      <c r="AB244" s="249"/>
      <c r="AC244" s="330"/>
      <c r="AD244" s="343"/>
      <c r="AE244" s="249"/>
      <c r="AF244" s="330"/>
      <c r="AG244" s="343"/>
      <c r="AH244" s="249"/>
      <c r="AI244" s="330"/>
      <c r="AJ244" s="343"/>
      <c r="AK244" s="249"/>
      <c r="AL244" s="330"/>
      <c r="AM244" s="343"/>
      <c r="AN244" s="249"/>
      <c r="AO244" s="330"/>
      <c r="AP244" s="343"/>
      <c r="AQ244" s="249"/>
      <c r="AR244" s="330"/>
      <c r="AS244" s="343"/>
      <c r="AT244" s="249"/>
      <c r="AU244" s="330"/>
    </row>
    <row r="245" spans="2:47">
      <c r="B245" s="247">
        <f>'Table S2 Compound Identifiers'!C247</f>
        <v>0</v>
      </c>
      <c r="C245" s="247">
        <f>COUNTIF($D$6:D245,"&lt;&gt;"&amp;"")</f>
        <v>240</v>
      </c>
      <c r="D245" s="247">
        <f>'Table S2 Compound Identifiers'!B247</f>
        <v>0</v>
      </c>
      <c r="E245" s="247"/>
      <c r="F245" s="248"/>
      <c r="G245" s="249"/>
      <c r="H245" s="330"/>
      <c r="I245" s="328"/>
      <c r="J245" s="249"/>
      <c r="K245" s="330"/>
      <c r="L245" s="250"/>
      <c r="M245" s="249"/>
      <c r="N245" s="330"/>
      <c r="O245" s="250"/>
      <c r="P245" s="249"/>
      <c r="Q245" s="330"/>
      <c r="R245" s="250"/>
      <c r="S245" s="249"/>
      <c r="T245" s="330"/>
      <c r="U245" s="250"/>
      <c r="V245" s="249"/>
      <c r="W245" s="330"/>
      <c r="X245" s="343"/>
      <c r="Y245" s="249"/>
      <c r="Z245" s="330"/>
      <c r="AA245" s="343"/>
      <c r="AB245" s="249"/>
      <c r="AC245" s="330"/>
      <c r="AD245" s="343"/>
      <c r="AE245" s="249"/>
      <c r="AF245" s="330"/>
      <c r="AG245" s="343"/>
      <c r="AH245" s="249"/>
      <c r="AI245" s="330"/>
      <c r="AJ245" s="343"/>
      <c r="AK245" s="249"/>
      <c r="AL245" s="330"/>
      <c r="AM245" s="343"/>
      <c r="AN245" s="249"/>
      <c r="AO245" s="330"/>
      <c r="AP245" s="343"/>
      <c r="AQ245" s="249"/>
      <c r="AR245" s="330"/>
      <c r="AS245" s="343"/>
      <c r="AT245" s="249"/>
      <c r="AU245" s="330"/>
    </row>
    <row r="246" spans="2:47">
      <c r="B246" s="247">
        <f>'Table S2 Compound Identifiers'!C248</f>
        <v>0</v>
      </c>
      <c r="C246" s="247">
        <f>COUNTIF($D$6:D246,"&lt;&gt;"&amp;"")</f>
        <v>241</v>
      </c>
      <c r="D246" s="247">
        <f>'Table S2 Compound Identifiers'!B248</f>
        <v>0</v>
      </c>
      <c r="E246" s="247"/>
      <c r="F246" s="248"/>
      <c r="G246" s="249"/>
      <c r="H246" s="330"/>
      <c r="I246" s="328"/>
      <c r="J246" s="249"/>
      <c r="K246" s="330"/>
      <c r="L246" s="250"/>
      <c r="M246" s="249"/>
      <c r="N246" s="330"/>
      <c r="O246" s="250"/>
      <c r="P246" s="249"/>
      <c r="Q246" s="330"/>
      <c r="R246" s="250"/>
      <c r="S246" s="249"/>
      <c r="T246" s="330"/>
      <c r="U246" s="250"/>
      <c r="V246" s="249"/>
      <c r="W246" s="330"/>
      <c r="X246" s="343"/>
      <c r="Y246" s="249"/>
      <c r="Z246" s="330"/>
      <c r="AA246" s="343"/>
      <c r="AB246" s="249"/>
      <c r="AC246" s="330"/>
      <c r="AD246" s="343"/>
      <c r="AE246" s="249"/>
      <c r="AF246" s="330"/>
      <c r="AG246" s="343"/>
      <c r="AH246" s="249"/>
      <c r="AI246" s="330"/>
      <c r="AJ246" s="343"/>
      <c r="AK246" s="249"/>
      <c r="AL246" s="330"/>
      <c r="AM246" s="343"/>
      <c r="AN246" s="249"/>
      <c r="AO246" s="330"/>
      <c r="AP246" s="343"/>
      <c r="AQ246" s="249"/>
      <c r="AR246" s="330"/>
      <c r="AS246" s="343"/>
      <c r="AT246" s="249"/>
      <c r="AU246" s="330"/>
    </row>
    <row r="247" spans="2:47">
      <c r="B247" s="247">
        <f>'Table S2 Compound Identifiers'!C249</f>
        <v>0</v>
      </c>
      <c r="C247" s="247">
        <f>COUNTIF($D$6:D247,"&lt;&gt;"&amp;"")</f>
        <v>242</v>
      </c>
      <c r="D247" s="247">
        <f>'Table S2 Compound Identifiers'!B249</f>
        <v>0</v>
      </c>
      <c r="E247" s="247"/>
      <c r="F247" s="248"/>
      <c r="G247" s="249"/>
      <c r="H247" s="330"/>
      <c r="I247" s="328"/>
      <c r="J247" s="249"/>
      <c r="K247" s="330"/>
      <c r="L247" s="250"/>
      <c r="M247" s="249"/>
      <c r="N247" s="330"/>
      <c r="O247" s="250"/>
      <c r="P247" s="249"/>
      <c r="Q247" s="330"/>
      <c r="R247" s="250"/>
      <c r="S247" s="249"/>
      <c r="T247" s="330"/>
      <c r="U247" s="250"/>
      <c r="V247" s="249"/>
      <c r="W247" s="330"/>
      <c r="X247" s="343"/>
      <c r="Y247" s="249"/>
      <c r="Z247" s="330"/>
      <c r="AA247" s="343"/>
      <c r="AB247" s="249"/>
      <c r="AC247" s="330"/>
      <c r="AD247" s="343"/>
      <c r="AE247" s="249"/>
      <c r="AF247" s="330"/>
      <c r="AG247" s="343"/>
      <c r="AH247" s="249"/>
      <c r="AI247" s="330"/>
      <c r="AJ247" s="343"/>
      <c r="AK247" s="249"/>
      <c r="AL247" s="330"/>
      <c r="AM247" s="343"/>
      <c r="AN247" s="249"/>
      <c r="AO247" s="330"/>
      <c r="AP247" s="343"/>
      <c r="AQ247" s="249"/>
      <c r="AR247" s="330"/>
      <c r="AS247" s="343"/>
      <c r="AT247" s="249"/>
      <c r="AU247" s="330"/>
    </row>
    <row r="248" spans="2:47">
      <c r="B248" s="247">
        <f>'Table S2 Compound Identifiers'!C250</f>
        <v>0</v>
      </c>
      <c r="C248" s="247">
        <f>COUNTIF($D$6:D248,"&lt;&gt;"&amp;"")</f>
        <v>243</v>
      </c>
      <c r="D248" s="247">
        <f>'Table S2 Compound Identifiers'!B250</f>
        <v>0</v>
      </c>
      <c r="E248" s="247"/>
      <c r="F248" s="248"/>
      <c r="G248" s="249"/>
      <c r="H248" s="330"/>
      <c r="I248" s="328"/>
      <c r="J248" s="249"/>
      <c r="K248" s="330"/>
      <c r="L248" s="250"/>
      <c r="M248" s="249"/>
      <c r="N248" s="330"/>
      <c r="O248" s="250"/>
      <c r="P248" s="249"/>
      <c r="Q248" s="330"/>
      <c r="R248" s="250"/>
      <c r="S248" s="249"/>
      <c r="T248" s="330"/>
      <c r="U248" s="250"/>
      <c r="V248" s="249"/>
      <c r="W248" s="330"/>
      <c r="X248" s="343"/>
      <c r="Y248" s="249"/>
      <c r="Z248" s="330"/>
      <c r="AA248" s="343"/>
      <c r="AB248" s="249"/>
      <c r="AC248" s="330"/>
      <c r="AD248" s="343"/>
      <c r="AE248" s="249"/>
      <c r="AF248" s="330"/>
      <c r="AG248" s="343"/>
      <c r="AH248" s="249"/>
      <c r="AI248" s="330"/>
      <c r="AJ248" s="343"/>
      <c r="AK248" s="249"/>
      <c r="AL248" s="330"/>
      <c r="AM248" s="343"/>
      <c r="AN248" s="249"/>
      <c r="AO248" s="330"/>
      <c r="AP248" s="343"/>
      <c r="AQ248" s="249"/>
      <c r="AR248" s="330"/>
      <c r="AS248" s="343"/>
      <c r="AT248" s="249"/>
      <c r="AU248" s="330"/>
    </row>
    <row r="249" spans="2:47">
      <c r="B249" s="247">
        <f>'Table S2 Compound Identifiers'!C251</f>
        <v>0</v>
      </c>
      <c r="C249" s="247">
        <f>COUNTIF($D$6:D249,"&lt;&gt;"&amp;"")</f>
        <v>244</v>
      </c>
      <c r="D249" s="247">
        <f>'Table S2 Compound Identifiers'!B251</f>
        <v>0</v>
      </c>
      <c r="E249" s="247"/>
      <c r="F249" s="248"/>
      <c r="G249" s="249"/>
      <c r="H249" s="330"/>
      <c r="I249" s="328"/>
      <c r="J249" s="249"/>
      <c r="K249" s="330"/>
      <c r="L249" s="250"/>
      <c r="M249" s="249"/>
      <c r="N249" s="330"/>
      <c r="O249" s="250"/>
      <c r="P249" s="249"/>
      <c r="Q249" s="330"/>
      <c r="R249" s="250"/>
      <c r="S249" s="249"/>
      <c r="T249" s="330"/>
      <c r="U249" s="250"/>
      <c r="V249" s="249"/>
      <c r="W249" s="330"/>
      <c r="X249" s="343"/>
      <c r="Y249" s="249"/>
      <c r="Z249" s="330"/>
      <c r="AA249" s="343"/>
      <c r="AB249" s="249"/>
      <c r="AC249" s="330"/>
      <c r="AD249" s="343"/>
      <c r="AE249" s="249"/>
      <c r="AF249" s="330"/>
      <c r="AG249" s="343"/>
      <c r="AH249" s="249"/>
      <c r="AI249" s="330"/>
      <c r="AJ249" s="343"/>
      <c r="AK249" s="249"/>
      <c r="AL249" s="330"/>
      <c r="AM249" s="343"/>
      <c r="AN249" s="249"/>
      <c r="AO249" s="330"/>
      <c r="AP249" s="343"/>
      <c r="AQ249" s="249"/>
      <c r="AR249" s="330"/>
      <c r="AS249" s="343"/>
      <c r="AT249" s="249"/>
      <c r="AU249" s="330"/>
    </row>
    <row r="250" spans="2:47">
      <c r="B250" s="247">
        <f>'Table S2 Compound Identifiers'!C252</f>
        <v>0</v>
      </c>
      <c r="C250" s="247">
        <f>COUNTIF($D$6:D250,"&lt;&gt;"&amp;"")</f>
        <v>245</v>
      </c>
      <c r="D250" s="247">
        <f>'Table S2 Compound Identifiers'!B252</f>
        <v>0</v>
      </c>
      <c r="E250" s="247"/>
      <c r="F250" s="248"/>
      <c r="G250" s="249"/>
      <c r="H250" s="330"/>
      <c r="I250" s="328"/>
      <c r="J250" s="249"/>
      <c r="K250" s="330"/>
      <c r="L250" s="250"/>
      <c r="M250" s="249"/>
      <c r="N250" s="330"/>
      <c r="O250" s="250"/>
      <c r="P250" s="249"/>
      <c r="Q250" s="330"/>
      <c r="R250" s="250"/>
      <c r="S250" s="249"/>
      <c r="T250" s="330"/>
      <c r="U250" s="250"/>
      <c r="V250" s="249"/>
      <c r="W250" s="330"/>
      <c r="X250" s="343"/>
      <c r="Y250" s="249"/>
      <c r="Z250" s="330"/>
      <c r="AA250" s="343"/>
      <c r="AB250" s="249"/>
      <c r="AC250" s="330"/>
      <c r="AD250" s="343"/>
      <c r="AE250" s="249"/>
      <c r="AF250" s="330"/>
      <c r="AG250" s="343"/>
      <c r="AH250" s="249"/>
      <c r="AI250" s="330"/>
      <c r="AJ250" s="343"/>
      <c r="AK250" s="249"/>
      <c r="AL250" s="330"/>
      <c r="AM250" s="343"/>
      <c r="AN250" s="249"/>
      <c r="AO250" s="330"/>
      <c r="AP250" s="343"/>
      <c r="AQ250" s="249"/>
      <c r="AR250" s="330"/>
      <c r="AS250" s="343"/>
      <c r="AT250" s="249"/>
      <c r="AU250" s="330"/>
    </row>
    <row r="251" spans="2:47">
      <c r="B251" s="247">
        <f>'Table S2 Compound Identifiers'!C253</f>
        <v>0</v>
      </c>
      <c r="C251" s="247">
        <f>COUNTIF($D$6:D251,"&lt;&gt;"&amp;"")</f>
        <v>246</v>
      </c>
      <c r="D251" s="247">
        <f>'Table S2 Compound Identifiers'!B253</f>
        <v>0</v>
      </c>
      <c r="E251" s="247"/>
      <c r="F251" s="248"/>
      <c r="G251" s="249"/>
      <c r="H251" s="330"/>
      <c r="I251" s="328"/>
      <c r="J251" s="249"/>
      <c r="K251" s="330"/>
      <c r="L251" s="250"/>
      <c r="M251" s="249"/>
      <c r="N251" s="330"/>
      <c r="O251" s="250"/>
      <c r="P251" s="249"/>
      <c r="Q251" s="330"/>
      <c r="R251" s="250"/>
      <c r="S251" s="249"/>
      <c r="T251" s="330"/>
      <c r="U251" s="250"/>
      <c r="V251" s="249"/>
      <c r="W251" s="330"/>
      <c r="X251" s="343"/>
      <c r="Y251" s="249"/>
      <c r="Z251" s="330"/>
      <c r="AA251" s="343"/>
      <c r="AB251" s="249"/>
      <c r="AC251" s="330"/>
      <c r="AD251" s="343"/>
      <c r="AE251" s="249"/>
      <c r="AF251" s="330"/>
      <c r="AG251" s="343"/>
      <c r="AH251" s="249"/>
      <c r="AI251" s="330"/>
      <c r="AJ251" s="343"/>
      <c r="AK251" s="249"/>
      <c r="AL251" s="330"/>
      <c r="AM251" s="343"/>
      <c r="AN251" s="249"/>
      <c r="AO251" s="330"/>
      <c r="AP251" s="343"/>
      <c r="AQ251" s="249"/>
      <c r="AR251" s="330"/>
      <c r="AS251" s="343"/>
      <c r="AT251" s="249"/>
      <c r="AU251" s="330"/>
    </row>
    <row r="252" spans="2:47">
      <c r="B252" s="247">
        <f>'Table S2 Compound Identifiers'!C254</f>
        <v>0</v>
      </c>
      <c r="C252" s="247">
        <f>COUNTIF($D$6:D252,"&lt;&gt;"&amp;"")</f>
        <v>247</v>
      </c>
      <c r="D252" s="247">
        <f>'Table S2 Compound Identifiers'!B254</f>
        <v>0</v>
      </c>
      <c r="E252" s="247"/>
      <c r="F252" s="248"/>
      <c r="G252" s="249"/>
      <c r="H252" s="330"/>
      <c r="I252" s="328"/>
      <c r="J252" s="249"/>
      <c r="K252" s="330"/>
      <c r="L252" s="250"/>
      <c r="M252" s="249"/>
      <c r="N252" s="330"/>
      <c r="O252" s="250"/>
      <c r="P252" s="249"/>
      <c r="Q252" s="330"/>
      <c r="R252" s="250"/>
      <c r="S252" s="249"/>
      <c r="T252" s="330"/>
      <c r="U252" s="250"/>
      <c r="V252" s="249"/>
      <c r="W252" s="330"/>
      <c r="X252" s="343"/>
      <c r="Y252" s="249"/>
      <c r="Z252" s="330"/>
      <c r="AA252" s="343"/>
      <c r="AB252" s="249"/>
      <c r="AC252" s="330"/>
      <c r="AD252" s="343"/>
      <c r="AE252" s="249"/>
      <c r="AF252" s="330"/>
      <c r="AG252" s="343"/>
      <c r="AH252" s="249"/>
      <c r="AI252" s="330"/>
      <c r="AJ252" s="343"/>
      <c r="AK252" s="249"/>
      <c r="AL252" s="330"/>
      <c r="AM252" s="343"/>
      <c r="AN252" s="249"/>
      <c r="AO252" s="330"/>
      <c r="AP252" s="343"/>
      <c r="AQ252" s="249"/>
      <c r="AR252" s="330"/>
      <c r="AS252" s="343"/>
      <c r="AT252" s="249"/>
      <c r="AU252" s="330"/>
    </row>
    <row r="253" spans="2:47">
      <c r="B253" s="247">
        <f>'Table S2 Compound Identifiers'!C255</f>
        <v>0</v>
      </c>
      <c r="C253" s="247">
        <f>COUNTIF($D$6:D253,"&lt;&gt;"&amp;"")</f>
        <v>248</v>
      </c>
      <c r="D253" s="247">
        <f>'Table S2 Compound Identifiers'!B255</f>
        <v>0</v>
      </c>
      <c r="E253" s="247"/>
      <c r="F253" s="248"/>
      <c r="G253" s="249"/>
      <c r="H253" s="330"/>
      <c r="I253" s="328"/>
      <c r="J253" s="249"/>
      <c r="K253" s="330"/>
      <c r="L253" s="250"/>
      <c r="M253" s="249"/>
      <c r="N253" s="330"/>
      <c r="O253" s="250"/>
      <c r="P253" s="249"/>
      <c r="Q253" s="330"/>
      <c r="R253" s="250"/>
      <c r="S253" s="249"/>
      <c r="T253" s="330"/>
      <c r="U253" s="250"/>
      <c r="V253" s="249"/>
      <c r="W253" s="330"/>
      <c r="X253" s="343"/>
      <c r="Y253" s="249"/>
      <c r="Z253" s="330"/>
      <c r="AA253" s="343"/>
      <c r="AB253" s="249"/>
      <c r="AC253" s="330"/>
      <c r="AD253" s="343"/>
      <c r="AE253" s="249"/>
      <c r="AF253" s="330"/>
      <c r="AG253" s="343"/>
      <c r="AH253" s="249"/>
      <c r="AI253" s="330"/>
      <c r="AJ253" s="343"/>
      <c r="AK253" s="249"/>
      <c r="AL253" s="330"/>
      <c r="AM253" s="343"/>
      <c r="AN253" s="249"/>
      <c r="AO253" s="330"/>
      <c r="AP253" s="343"/>
      <c r="AQ253" s="249"/>
      <c r="AR253" s="330"/>
      <c r="AS253" s="343"/>
      <c r="AT253" s="249"/>
      <c r="AU253" s="330"/>
    </row>
    <row r="254" spans="2:47">
      <c r="B254" s="247">
        <f>'Table S2 Compound Identifiers'!C256</f>
        <v>0</v>
      </c>
      <c r="C254" s="247">
        <f>COUNTIF($D$6:D254,"&lt;&gt;"&amp;"")</f>
        <v>249</v>
      </c>
      <c r="D254" s="247">
        <f>'Table S2 Compound Identifiers'!B256</f>
        <v>0</v>
      </c>
      <c r="E254" s="247"/>
      <c r="F254" s="248"/>
      <c r="G254" s="249"/>
      <c r="H254" s="330"/>
      <c r="I254" s="328"/>
      <c r="J254" s="249"/>
      <c r="K254" s="330"/>
      <c r="L254" s="250"/>
      <c r="M254" s="249"/>
      <c r="N254" s="330"/>
      <c r="O254" s="250"/>
      <c r="P254" s="249"/>
      <c r="Q254" s="330"/>
      <c r="R254" s="250"/>
      <c r="S254" s="249"/>
      <c r="T254" s="330"/>
      <c r="U254" s="250"/>
      <c r="V254" s="249"/>
      <c r="W254" s="330"/>
      <c r="X254" s="343"/>
      <c r="Y254" s="249"/>
      <c r="Z254" s="330"/>
      <c r="AA254" s="343"/>
      <c r="AB254" s="249"/>
      <c r="AC254" s="330"/>
      <c r="AD254" s="343"/>
      <c r="AE254" s="249"/>
      <c r="AF254" s="330"/>
      <c r="AG254" s="343"/>
      <c r="AH254" s="249"/>
      <c r="AI254" s="330"/>
      <c r="AJ254" s="343"/>
      <c r="AK254" s="249"/>
      <c r="AL254" s="330"/>
      <c r="AM254" s="343"/>
      <c r="AN254" s="249"/>
      <c r="AO254" s="330"/>
      <c r="AP254" s="343"/>
      <c r="AQ254" s="249"/>
      <c r="AR254" s="330"/>
      <c r="AS254" s="343"/>
      <c r="AT254" s="249"/>
      <c r="AU254" s="330"/>
    </row>
    <row r="255" spans="2:47">
      <c r="B255" s="247">
        <f>'Table S2 Compound Identifiers'!C257</f>
        <v>0</v>
      </c>
      <c r="C255" s="247">
        <f>COUNTIF($D$6:D255,"&lt;&gt;"&amp;"")</f>
        <v>250</v>
      </c>
      <c r="D255" s="247">
        <f>'Table S2 Compound Identifiers'!B257</f>
        <v>0</v>
      </c>
      <c r="E255" s="247"/>
      <c r="F255" s="248"/>
      <c r="G255" s="249"/>
      <c r="H255" s="330"/>
      <c r="I255" s="328"/>
      <c r="J255" s="249"/>
      <c r="K255" s="330"/>
      <c r="L255" s="250"/>
      <c r="M255" s="249"/>
      <c r="N255" s="330"/>
      <c r="O255" s="250"/>
      <c r="P255" s="249"/>
      <c r="Q255" s="330"/>
      <c r="R255" s="250"/>
      <c r="S255" s="249"/>
      <c r="T255" s="330"/>
      <c r="U255" s="250"/>
      <c r="V255" s="249"/>
      <c r="W255" s="330"/>
      <c r="X255" s="343"/>
      <c r="Y255" s="249"/>
      <c r="Z255" s="330"/>
      <c r="AA255" s="343"/>
      <c r="AB255" s="249"/>
      <c r="AC255" s="330"/>
      <c r="AD255" s="343"/>
      <c r="AE255" s="249"/>
      <c r="AF255" s="330"/>
      <c r="AG255" s="343"/>
      <c r="AH255" s="249"/>
      <c r="AI255" s="330"/>
      <c r="AJ255" s="343"/>
      <c r="AK255" s="249"/>
      <c r="AL255" s="330"/>
      <c r="AM255" s="343"/>
      <c r="AN255" s="249"/>
      <c r="AO255" s="330"/>
      <c r="AP255" s="343"/>
      <c r="AQ255" s="249"/>
      <c r="AR255" s="330"/>
      <c r="AS255" s="343"/>
      <c r="AT255" s="249"/>
      <c r="AU255" s="330"/>
    </row>
    <row r="256" spans="2:47">
      <c r="B256" s="247">
        <f>'Table S2 Compound Identifiers'!C258</f>
        <v>0</v>
      </c>
      <c r="C256" s="247">
        <f>COUNTIF($D$6:D256,"&lt;&gt;"&amp;"")</f>
        <v>251</v>
      </c>
      <c r="D256" s="247">
        <f>'Table S2 Compound Identifiers'!B258</f>
        <v>0</v>
      </c>
      <c r="E256" s="247"/>
      <c r="F256" s="248"/>
      <c r="G256" s="249"/>
      <c r="H256" s="330"/>
      <c r="I256" s="328"/>
      <c r="J256" s="249"/>
      <c r="K256" s="330"/>
      <c r="L256" s="250"/>
      <c r="M256" s="249"/>
      <c r="N256" s="330"/>
      <c r="O256" s="250"/>
      <c r="P256" s="249"/>
      <c r="Q256" s="330"/>
      <c r="R256" s="250"/>
      <c r="S256" s="249"/>
      <c r="T256" s="330"/>
      <c r="U256" s="250"/>
      <c r="V256" s="249"/>
      <c r="W256" s="330"/>
      <c r="X256" s="343"/>
      <c r="Y256" s="249"/>
      <c r="Z256" s="330"/>
      <c r="AA256" s="343"/>
      <c r="AB256" s="249"/>
      <c r="AC256" s="330"/>
      <c r="AD256" s="343"/>
      <c r="AE256" s="249"/>
      <c r="AF256" s="330"/>
      <c r="AG256" s="343"/>
      <c r="AH256" s="249"/>
      <c r="AI256" s="330"/>
      <c r="AJ256" s="343"/>
      <c r="AK256" s="249"/>
      <c r="AL256" s="330"/>
      <c r="AM256" s="343"/>
      <c r="AN256" s="249"/>
      <c r="AO256" s="330"/>
      <c r="AP256" s="343"/>
      <c r="AQ256" s="249"/>
      <c r="AR256" s="330"/>
      <c r="AS256" s="343"/>
      <c r="AT256" s="249"/>
      <c r="AU256" s="330"/>
    </row>
    <row r="257" spans="2:47">
      <c r="B257" s="247">
        <f>'Table S2 Compound Identifiers'!C259</f>
        <v>0</v>
      </c>
      <c r="C257" s="247">
        <f>COUNTIF($D$6:D257,"&lt;&gt;"&amp;"")</f>
        <v>252</v>
      </c>
      <c r="D257" s="247">
        <f>'Table S2 Compound Identifiers'!B259</f>
        <v>0</v>
      </c>
      <c r="E257" s="247"/>
      <c r="F257" s="248"/>
      <c r="G257" s="249"/>
      <c r="H257" s="330"/>
      <c r="I257" s="328"/>
      <c r="J257" s="249"/>
      <c r="K257" s="330"/>
      <c r="L257" s="250"/>
      <c r="M257" s="249"/>
      <c r="N257" s="330"/>
      <c r="O257" s="250"/>
      <c r="P257" s="249"/>
      <c r="Q257" s="330"/>
      <c r="R257" s="250"/>
      <c r="S257" s="249"/>
      <c r="T257" s="330"/>
      <c r="U257" s="250"/>
      <c r="V257" s="249"/>
      <c r="W257" s="330"/>
      <c r="X257" s="343"/>
      <c r="Y257" s="249"/>
      <c r="Z257" s="330"/>
      <c r="AA257" s="343"/>
      <c r="AB257" s="249"/>
      <c r="AC257" s="330"/>
      <c r="AD257" s="343"/>
      <c r="AE257" s="249"/>
      <c r="AF257" s="330"/>
      <c r="AG257" s="343"/>
      <c r="AH257" s="249"/>
      <c r="AI257" s="330"/>
      <c r="AJ257" s="343"/>
      <c r="AK257" s="249"/>
      <c r="AL257" s="330"/>
      <c r="AM257" s="343"/>
      <c r="AN257" s="249"/>
      <c r="AO257" s="330"/>
      <c r="AP257" s="343"/>
      <c r="AQ257" s="249"/>
      <c r="AR257" s="330"/>
      <c r="AS257" s="343"/>
      <c r="AT257" s="249"/>
      <c r="AU257" s="330"/>
    </row>
    <row r="258" spans="2:47">
      <c r="B258" s="247">
        <f>'Table S2 Compound Identifiers'!C260</f>
        <v>0</v>
      </c>
      <c r="C258" s="247">
        <f>COUNTIF($D$6:D258,"&lt;&gt;"&amp;"")</f>
        <v>253</v>
      </c>
      <c r="D258" s="247">
        <f>'Table S2 Compound Identifiers'!B260</f>
        <v>0</v>
      </c>
      <c r="E258" s="247"/>
      <c r="F258" s="248"/>
      <c r="G258" s="249"/>
      <c r="H258" s="330"/>
      <c r="I258" s="328"/>
      <c r="J258" s="249"/>
      <c r="K258" s="330"/>
      <c r="L258" s="250"/>
      <c r="M258" s="249"/>
      <c r="N258" s="330"/>
      <c r="O258" s="250"/>
      <c r="P258" s="249"/>
      <c r="Q258" s="330"/>
      <c r="R258" s="250"/>
      <c r="S258" s="249"/>
      <c r="T258" s="330"/>
      <c r="U258" s="250"/>
      <c r="V258" s="249"/>
      <c r="W258" s="330"/>
      <c r="X258" s="343"/>
      <c r="Y258" s="249"/>
      <c r="Z258" s="330"/>
      <c r="AA258" s="343"/>
      <c r="AB258" s="249"/>
      <c r="AC258" s="330"/>
      <c r="AD258" s="343"/>
      <c r="AE258" s="249"/>
      <c r="AF258" s="330"/>
      <c r="AG258" s="343"/>
      <c r="AH258" s="249"/>
      <c r="AI258" s="330"/>
      <c r="AJ258" s="343"/>
      <c r="AK258" s="249"/>
      <c r="AL258" s="330"/>
      <c r="AM258" s="343"/>
      <c r="AN258" s="249"/>
      <c r="AO258" s="330"/>
      <c r="AP258" s="343"/>
      <c r="AQ258" s="249"/>
      <c r="AR258" s="330"/>
      <c r="AS258" s="343"/>
      <c r="AT258" s="249"/>
      <c r="AU258" s="330"/>
    </row>
    <row r="259" spans="2:47">
      <c r="B259" s="247">
        <f>'Table S2 Compound Identifiers'!C261</f>
        <v>0</v>
      </c>
      <c r="C259" s="247">
        <f>COUNTIF($D$6:D259,"&lt;&gt;"&amp;"")</f>
        <v>254</v>
      </c>
      <c r="D259" s="247">
        <f>'Table S2 Compound Identifiers'!B261</f>
        <v>0</v>
      </c>
      <c r="E259" s="247"/>
      <c r="F259" s="248"/>
      <c r="G259" s="249"/>
      <c r="H259" s="330"/>
      <c r="I259" s="328"/>
      <c r="J259" s="249"/>
      <c r="K259" s="330"/>
      <c r="L259" s="250"/>
      <c r="M259" s="249"/>
      <c r="N259" s="330"/>
      <c r="O259" s="250"/>
      <c r="P259" s="249"/>
      <c r="Q259" s="330"/>
      <c r="R259" s="250"/>
      <c r="S259" s="249"/>
      <c r="T259" s="330"/>
      <c r="U259" s="250"/>
      <c r="V259" s="249"/>
      <c r="W259" s="330"/>
      <c r="X259" s="343"/>
      <c r="Y259" s="249"/>
      <c r="Z259" s="330"/>
      <c r="AA259" s="343"/>
      <c r="AB259" s="249"/>
      <c r="AC259" s="330"/>
      <c r="AD259" s="343"/>
      <c r="AE259" s="249"/>
      <c r="AF259" s="330"/>
      <c r="AG259" s="343"/>
      <c r="AH259" s="249"/>
      <c r="AI259" s="330"/>
      <c r="AJ259" s="343"/>
      <c r="AK259" s="249"/>
      <c r="AL259" s="330"/>
      <c r="AM259" s="343"/>
      <c r="AN259" s="249"/>
      <c r="AO259" s="330"/>
      <c r="AP259" s="343"/>
      <c r="AQ259" s="249"/>
      <c r="AR259" s="330"/>
      <c r="AS259" s="343"/>
      <c r="AT259" s="249"/>
      <c r="AU259" s="330"/>
    </row>
    <row r="260" spans="2:47">
      <c r="B260" s="247">
        <f>'Table S2 Compound Identifiers'!C262</f>
        <v>0</v>
      </c>
      <c r="C260" s="247">
        <f>COUNTIF($D$6:D260,"&lt;&gt;"&amp;"")</f>
        <v>255</v>
      </c>
      <c r="D260" s="247">
        <f>'Table S2 Compound Identifiers'!B262</f>
        <v>0</v>
      </c>
      <c r="E260" s="247"/>
      <c r="F260" s="248"/>
      <c r="G260" s="249"/>
      <c r="H260" s="330"/>
      <c r="I260" s="328"/>
      <c r="J260" s="249"/>
      <c r="K260" s="330"/>
      <c r="L260" s="250"/>
      <c r="M260" s="249"/>
      <c r="N260" s="330"/>
      <c r="O260" s="250"/>
      <c r="P260" s="249"/>
      <c r="Q260" s="330"/>
      <c r="R260" s="250"/>
      <c r="S260" s="249"/>
      <c r="T260" s="330"/>
      <c r="U260" s="250"/>
      <c r="V260" s="249"/>
      <c r="W260" s="330"/>
      <c r="X260" s="343"/>
      <c r="Y260" s="249"/>
      <c r="Z260" s="330"/>
      <c r="AA260" s="343"/>
      <c r="AB260" s="249"/>
      <c r="AC260" s="330"/>
      <c r="AD260" s="343"/>
      <c r="AE260" s="249"/>
      <c r="AF260" s="330"/>
      <c r="AG260" s="343"/>
      <c r="AH260" s="249"/>
      <c r="AI260" s="330"/>
      <c r="AJ260" s="343"/>
      <c r="AK260" s="249"/>
      <c r="AL260" s="330"/>
      <c r="AM260" s="343"/>
      <c r="AN260" s="249"/>
      <c r="AO260" s="330"/>
      <c r="AP260" s="343"/>
      <c r="AQ260" s="249"/>
      <c r="AR260" s="330"/>
      <c r="AS260" s="343"/>
      <c r="AT260" s="249"/>
      <c r="AU260" s="330"/>
    </row>
    <row r="261" spans="2:47">
      <c r="B261" s="247">
        <f>'Table S2 Compound Identifiers'!C263</f>
        <v>0</v>
      </c>
      <c r="C261" s="247">
        <f>COUNTIF($D$6:D261,"&lt;&gt;"&amp;"")</f>
        <v>256</v>
      </c>
      <c r="D261" s="247">
        <f>'Table S2 Compound Identifiers'!B263</f>
        <v>0</v>
      </c>
      <c r="E261" s="247"/>
      <c r="F261" s="248"/>
      <c r="G261" s="249"/>
      <c r="H261" s="330"/>
      <c r="I261" s="328"/>
      <c r="J261" s="249"/>
      <c r="K261" s="330"/>
      <c r="L261" s="250"/>
      <c r="M261" s="249"/>
      <c r="N261" s="330"/>
      <c r="O261" s="250"/>
      <c r="P261" s="249"/>
      <c r="Q261" s="330"/>
      <c r="R261" s="250"/>
      <c r="S261" s="249"/>
      <c r="T261" s="330"/>
      <c r="U261" s="250"/>
      <c r="V261" s="249"/>
      <c r="W261" s="330"/>
      <c r="X261" s="343"/>
      <c r="Y261" s="249"/>
      <c r="Z261" s="330"/>
      <c r="AA261" s="343"/>
      <c r="AB261" s="249"/>
      <c r="AC261" s="330"/>
      <c r="AD261" s="343"/>
      <c r="AE261" s="249"/>
      <c r="AF261" s="330"/>
      <c r="AG261" s="343"/>
      <c r="AH261" s="249"/>
      <c r="AI261" s="330"/>
      <c r="AJ261" s="343"/>
      <c r="AK261" s="249"/>
      <c r="AL261" s="330"/>
      <c r="AM261" s="343"/>
      <c r="AN261" s="249"/>
      <c r="AO261" s="330"/>
      <c r="AP261" s="343"/>
      <c r="AQ261" s="249"/>
      <c r="AR261" s="330"/>
      <c r="AS261" s="343"/>
      <c r="AT261" s="249"/>
      <c r="AU261" s="330"/>
    </row>
    <row r="262" spans="2:47">
      <c r="B262" s="247">
        <f>'Table S2 Compound Identifiers'!C264</f>
        <v>0</v>
      </c>
      <c r="C262" s="247">
        <f>COUNTIF($D$6:D262,"&lt;&gt;"&amp;"")</f>
        <v>257</v>
      </c>
      <c r="D262" s="247">
        <f>'Table S2 Compound Identifiers'!B264</f>
        <v>0</v>
      </c>
      <c r="E262" s="247"/>
      <c r="F262" s="248"/>
      <c r="G262" s="249"/>
      <c r="H262" s="330"/>
      <c r="I262" s="328"/>
      <c r="J262" s="249"/>
      <c r="K262" s="330"/>
      <c r="L262" s="250"/>
      <c r="M262" s="249"/>
      <c r="N262" s="330"/>
      <c r="O262" s="250"/>
      <c r="P262" s="249"/>
      <c r="Q262" s="330"/>
      <c r="R262" s="250"/>
      <c r="S262" s="249"/>
      <c r="T262" s="330"/>
      <c r="U262" s="250"/>
      <c r="V262" s="249"/>
      <c r="W262" s="330"/>
      <c r="X262" s="343"/>
      <c r="Y262" s="249"/>
      <c r="Z262" s="330"/>
      <c r="AA262" s="343"/>
      <c r="AB262" s="249"/>
      <c r="AC262" s="330"/>
      <c r="AD262" s="343"/>
      <c r="AE262" s="249"/>
      <c r="AF262" s="330"/>
      <c r="AG262" s="343"/>
      <c r="AH262" s="249"/>
      <c r="AI262" s="330"/>
      <c r="AJ262" s="343"/>
      <c r="AK262" s="249"/>
      <c r="AL262" s="330"/>
      <c r="AM262" s="343"/>
      <c r="AN262" s="249"/>
      <c r="AO262" s="330"/>
      <c r="AP262" s="343"/>
      <c r="AQ262" s="249"/>
      <c r="AR262" s="330"/>
      <c r="AS262" s="343"/>
      <c r="AT262" s="249"/>
      <c r="AU262" s="330"/>
    </row>
    <row r="263" spans="2:47">
      <c r="B263" s="247">
        <f>'Table S2 Compound Identifiers'!C265</f>
        <v>0</v>
      </c>
      <c r="C263" s="247">
        <f>COUNTIF($D$6:D263,"&lt;&gt;"&amp;"")</f>
        <v>258</v>
      </c>
      <c r="D263" s="247">
        <f>'Table S2 Compound Identifiers'!B265</f>
        <v>0</v>
      </c>
      <c r="E263" s="247"/>
      <c r="F263" s="248"/>
      <c r="G263" s="249"/>
      <c r="H263" s="330"/>
      <c r="I263" s="328"/>
      <c r="J263" s="249"/>
      <c r="K263" s="330"/>
      <c r="L263" s="250"/>
      <c r="M263" s="249"/>
      <c r="N263" s="330"/>
      <c r="O263" s="250"/>
      <c r="P263" s="249"/>
      <c r="Q263" s="330"/>
      <c r="R263" s="250"/>
      <c r="S263" s="249"/>
      <c r="T263" s="330"/>
      <c r="U263" s="250"/>
      <c r="V263" s="249"/>
      <c r="W263" s="330"/>
      <c r="X263" s="343"/>
      <c r="Y263" s="249"/>
      <c r="Z263" s="330"/>
      <c r="AA263" s="343"/>
      <c r="AB263" s="249"/>
      <c r="AC263" s="330"/>
      <c r="AD263" s="343"/>
      <c r="AE263" s="249"/>
      <c r="AF263" s="330"/>
      <c r="AG263" s="343"/>
      <c r="AH263" s="249"/>
      <c r="AI263" s="330"/>
      <c r="AJ263" s="343"/>
      <c r="AK263" s="249"/>
      <c r="AL263" s="330"/>
      <c r="AM263" s="343"/>
      <c r="AN263" s="249"/>
      <c r="AO263" s="330"/>
      <c r="AP263" s="343"/>
      <c r="AQ263" s="249"/>
      <c r="AR263" s="330"/>
      <c r="AS263" s="343"/>
      <c r="AT263" s="249"/>
      <c r="AU263" s="330"/>
    </row>
    <row r="264" spans="2:47">
      <c r="B264" s="247">
        <f>'Table S2 Compound Identifiers'!C266</f>
        <v>0</v>
      </c>
      <c r="C264" s="247">
        <f>COUNTIF($D$6:D264,"&lt;&gt;"&amp;"")</f>
        <v>259</v>
      </c>
      <c r="D264" s="247">
        <f>'Table S2 Compound Identifiers'!B266</f>
        <v>0</v>
      </c>
      <c r="E264" s="247"/>
      <c r="F264" s="248"/>
      <c r="G264" s="249"/>
      <c r="H264" s="330"/>
      <c r="I264" s="328"/>
      <c r="J264" s="249"/>
      <c r="K264" s="330"/>
      <c r="L264" s="250"/>
      <c r="M264" s="249"/>
      <c r="N264" s="330"/>
      <c r="O264" s="250"/>
      <c r="P264" s="249"/>
      <c r="Q264" s="330"/>
      <c r="R264" s="250"/>
      <c r="S264" s="249"/>
      <c r="T264" s="330"/>
      <c r="U264" s="250"/>
      <c r="V264" s="249"/>
      <c r="W264" s="330"/>
      <c r="X264" s="343"/>
      <c r="Y264" s="249"/>
      <c r="Z264" s="330"/>
      <c r="AA264" s="343"/>
      <c r="AB264" s="249"/>
      <c r="AC264" s="330"/>
      <c r="AD264" s="343"/>
      <c r="AE264" s="249"/>
      <c r="AF264" s="330"/>
      <c r="AG264" s="343"/>
      <c r="AH264" s="249"/>
      <c r="AI264" s="330"/>
      <c r="AJ264" s="343"/>
      <c r="AK264" s="249"/>
      <c r="AL264" s="330"/>
      <c r="AM264" s="343"/>
      <c r="AN264" s="249"/>
      <c r="AO264" s="330"/>
      <c r="AP264" s="343"/>
      <c r="AQ264" s="249"/>
      <c r="AR264" s="330"/>
      <c r="AS264" s="343"/>
      <c r="AT264" s="249"/>
      <c r="AU264" s="330"/>
    </row>
    <row r="265" spans="2:47">
      <c r="B265" s="247">
        <f>'Table S2 Compound Identifiers'!C267</f>
        <v>0</v>
      </c>
      <c r="C265" s="247">
        <f>COUNTIF($D$6:D265,"&lt;&gt;"&amp;"")</f>
        <v>260</v>
      </c>
      <c r="D265" s="247">
        <f>'Table S2 Compound Identifiers'!B267</f>
        <v>0</v>
      </c>
      <c r="E265" s="247"/>
      <c r="F265" s="248"/>
      <c r="G265" s="249"/>
      <c r="H265" s="330"/>
      <c r="I265" s="328"/>
      <c r="J265" s="249"/>
      <c r="K265" s="330"/>
      <c r="L265" s="250"/>
      <c r="M265" s="249"/>
      <c r="N265" s="330"/>
      <c r="O265" s="250"/>
      <c r="P265" s="249"/>
      <c r="Q265" s="330"/>
      <c r="R265" s="250"/>
      <c r="S265" s="249"/>
      <c r="T265" s="330"/>
      <c r="U265" s="250"/>
      <c r="V265" s="249"/>
      <c r="W265" s="330"/>
      <c r="X265" s="343"/>
      <c r="Y265" s="249"/>
      <c r="Z265" s="330"/>
      <c r="AA265" s="343"/>
      <c r="AB265" s="249"/>
      <c r="AC265" s="330"/>
      <c r="AD265" s="343"/>
      <c r="AE265" s="249"/>
      <c r="AF265" s="330"/>
      <c r="AG265" s="343"/>
      <c r="AH265" s="249"/>
      <c r="AI265" s="330"/>
      <c r="AJ265" s="343"/>
      <c r="AK265" s="249"/>
      <c r="AL265" s="330"/>
      <c r="AM265" s="343"/>
      <c r="AN265" s="249"/>
      <c r="AO265" s="330"/>
      <c r="AP265" s="343"/>
      <c r="AQ265" s="249"/>
      <c r="AR265" s="330"/>
      <c r="AS265" s="343"/>
      <c r="AT265" s="249"/>
      <c r="AU265" s="330"/>
    </row>
    <row r="266" spans="2:47">
      <c r="B266" s="247">
        <f>'Table S2 Compound Identifiers'!C268</f>
        <v>0</v>
      </c>
      <c r="C266" s="247">
        <f>COUNTIF($D$6:D266,"&lt;&gt;"&amp;"")</f>
        <v>261</v>
      </c>
      <c r="D266" s="247">
        <f>'Table S2 Compound Identifiers'!B268</f>
        <v>0</v>
      </c>
      <c r="E266" s="247"/>
      <c r="F266" s="248"/>
      <c r="G266" s="249"/>
      <c r="H266" s="330"/>
      <c r="I266" s="328"/>
      <c r="J266" s="249"/>
      <c r="K266" s="330"/>
      <c r="L266" s="250"/>
      <c r="M266" s="249"/>
      <c r="N266" s="330"/>
      <c r="O266" s="250"/>
      <c r="P266" s="249"/>
      <c r="Q266" s="330"/>
      <c r="R266" s="250"/>
      <c r="S266" s="249"/>
      <c r="T266" s="330"/>
      <c r="U266" s="250"/>
      <c r="V266" s="249"/>
      <c r="W266" s="330"/>
      <c r="X266" s="343"/>
      <c r="Y266" s="249"/>
      <c r="Z266" s="330"/>
      <c r="AA266" s="343"/>
      <c r="AB266" s="249"/>
      <c r="AC266" s="330"/>
      <c r="AD266" s="343"/>
      <c r="AE266" s="249"/>
      <c r="AF266" s="330"/>
      <c r="AG266" s="343"/>
      <c r="AH266" s="249"/>
      <c r="AI266" s="330"/>
      <c r="AJ266" s="343"/>
      <c r="AK266" s="249"/>
      <c r="AL266" s="330"/>
      <c r="AM266" s="343"/>
      <c r="AN266" s="249"/>
      <c r="AO266" s="330"/>
      <c r="AP266" s="343"/>
      <c r="AQ266" s="249"/>
      <c r="AR266" s="330"/>
      <c r="AS266" s="343"/>
      <c r="AT266" s="249"/>
      <c r="AU266" s="330"/>
    </row>
    <row r="267" spans="2:47">
      <c r="B267" s="247">
        <f>'Table S2 Compound Identifiers'!C269</f>
        <v>0</v>
      </c>
      <c r="C267" s="247">
        <f>COUNTIF($D$6:D267,"&lt;&gt;"&amp;"")</f>
        <v>262</v>
      </c>
      <c r="D267" s="247">
        <f>'Table S2 Compound Identifiers'!B269</f>
        <v>0</v>
      </c>
      <c r="E267" s="247"/>
      <c r="F267" s="248"/>
      <c r="G267" s="249"/>
      <c r="H267" s="330"/>
      <c r="I267" s="328"/>
      <c r="J267" s="249"/>
      <c r="K267" s="330"/>
      <c r="L267" s="250"/>
      <c r="M267" s="249"/>
      <c r="N267" s="330"/>
      <c r="O267" s="250"/>
      <c r="P267" s="249"/>
      <c r="Q267" s="330"/>
      <c r="R267" s="250"/>
      <c r="S267" s="249"/>
      <c r="T267" s="330"/>
      <c r="U267" s="250"/>
      <c r="V267" s="249"/>
      <c r="W267" s="330"/>
      <c r="X267" s="343"/>
      <c r="Y267" s="249"/>
      <c r="Z267" s="330"/>
      <c r="AA267" s="343"/>
      <c r="AB267" s="249"/>
      <c r="AC267" s="330"/>
      <c r="AD267" s="343"/>
      <c r="AE267" s="249"/>
      <c r="AF267" s="330"/>
      <c r="AG267" s="343"/>
      <c r="AH267" s="249"/>
      <c r="AI267" s="330"/>
      <c r="AJ267" s="343"/>
      <c r="AK267" s="249"/>
      <c r="AL267" s="330"/>
      <c r="AM267" s="343"/>
      <c r="AN267" s="249"/>
      <c r="AO267" s="330"/>
      <c r="AP267" s="343"/>
      <c r="AQ267" s="249"/>
      <c r="AR267" s="330"/>
      <c r="AS267" s="343"/>
      <c r="AT267" s="249"/>
      <c r="AU267" s="330"/>
    </row>
    <row r="268" spans="2:47">
      <c r="B268" s="247">
        <f>'Table S2 Compound Identifiers'!C270</f>
        <v>0</v>
      </c>
      <c r="C268" s="247">
        <f>COUNTIF($D$6:D268,"&lt;&gt;"&amp;"")</f>
        <v>263</v>
      </c>
      <c r="D268" s="247">
        <f>'Table S2 Compound Identifiers'!B270</f>
        <v>0</v>
      </c>
      <c r="E268" s="247"/>
      <c r="F268" s="248"/>
      <c r="G268" s="249"/>
      <c r="H268" s="330"/>
      <c r="I268" s="328"/>
      <c r="J268" s="249"/>
      <c r="K268" s="330"/>
      <c r="L268" s="250"/>
      <c r="M268" s="249"/>
      <c r="N268" s="330"/>
      <c r="O268" s="250"/>
      <c r="P268" s="249"/>
      <c r="Q268" s="330"/>
      <c r="R268" s="250"/>
      <c r="S268" s="249"/>
      <c r="T268" s="330"/>
      <c r="U268" s="250"/>
      <c r="V268" s="249"/>
      <c r="W268" s="330"/>
      <c r="X268" s="343"/>
      <c r="Y268" s="249"/>
      <c r="Z268" s="330"/>
      <c r="AA268" s="343"/>
      <c r="AB268" s="249"/>
      <c r="AC268" s="330"/>
      <c r="AD268" s="343"/>
      <c r="AE268" s="249"/>
      <c r="AF268" s="330"/>
      <c r="AG268" s="343"/>
      <c r="AH268" s="249"/>
      <c r="AI268" s="330"/>
      <c r="AJ268" s="343"/>
      <c r="AK268" s="249"/>
      <c r="AL268" s="330"/>
      <c r="AM268" s="343"/>
      <c r="AN268" s="249"/>
      <c r="AO268" s="330"/>
      <c r="AP268" s="343"/>
      <c r="AQ268" s="249"/>
      <c r="AR268" s="330"/>
      <c r="AS268" s="343"/>
      <c r="AT268" s="249"/>
      <c r="AU268" s="330"/>
    </row>
    <row r="269" spans="2:47">
      <c r="B269" s="247">
        <f>'Table S2 Compound Identifiers'!C271</f>
        <v>0</v>
      </c>
      <c r="C269" s="247">
        <f>COUNTIF($D$6:D269,"&lt;&gt;"&amp;"")</f>
        <v>264</v>
      </c>
      <c r="D269" s="247">
        <f>'Table S2 Compound Identifiers'!B271</f>
        <v>0</v>
      </c>
      <c r="E269" s="247"/>
      <c r="F269" s="248"/>
      <c r="G269" s="249"/>
      <c r="H269" s="330"/>
      <c r="I269" s="328"/>
      <c r="J269" s="249"/>
      <c r="K269" s="330"/>
      <c r="L269" s="250"/>
      <c r="M269" s="249"/>
      <c r="N269" s="330"/>
      <c r="O269" s="250"/>
      <c r="P269" s="249"/>
      <c r="Q269" s="330"/>
      <c r="R269" s="250"/>
      <c r="S269" s="249"/>
      <c r="T269" s="330"/>
      <c r="U269" s="250"/>
      <c r="V269" s="249"/>
      <c r="W269" s="330"/>
      <c r="X269" s="343"/>
      <c r="Y269" s="249"/>
      <c r="Z269" s="330"/>
      <c r="AA269" s="343"/>
      <c r="AB269" s="249"/>
      <c r="AC269" s="330"/>
      <c r="AD269" s="343"/>
      <c r="AE269" s="249"/>
      <c r="AF269" s="330"/>
      <c r="AG269" s="343"/>
      <c r="AH269" s="249"/>
      <c r="AI269" s="330"/>
      <c r="AJ269" s="343"/>
      <c r="AK269" s="249"/>
      <c r="AL269" s="330"/>
      <c r="AM269" s="343"/>
      <c r="AN269" s="249"/>
      <c r="AO269" s="330"/>
      <c r="AP269" s="343"/>
      <c r="AQ269" s="249"/>
      <c r="AR269" s="330"/>
      <c r="AS269" s="343"/>
      <c r="AT269" s="249"/>
      <c r="AU269" s="330"/>
    </row>
    <row r="270" spans="2:47">
      <c r="B270" s="247">
        <f>'Table S2 Compound Identifiers'!C272</f>
        <v>0</v>
      </c>
      <c r="C270" s="247">
        <f>COUNTIF($D$6:D270,"&lt;&gt;"&amp;"")</f>
        <v>265</v>
      </c>
      <c r="D270" s="247">
        <f>'Table S2 Compound Identifiers'!B272</f>
        <v>0</v>
      </c>
      <c r="E270" s="247"/>
      <c r="F270" s="248"/>
      <c r="G270" s="249"/>
      <c r="H270" s="330"/>
      <c r="I270" s="328"/>
      <c r="J270" s="249"/>
      <c r="K270" s="330"/>
      <c r="L270" s="250"/>
      <c r="M270" s="249"/>
      <c r="N270" s="330"/>
      <c r="O270" s="250"/>
      <c r="P270" s="249"/>
      <c r="Q270" s="330"/>
      <c r="R270" s="250"/>
      <c r="S270" s="249"/>
      <c r="T270" s="330"/>
      <c r="U270" s="250"/>
      <c r="V270" s="249"/>
      <c r="W270" s="330"/>
      <c r="X270" s="343"/>
      <c r="Y270" s="249"/>
      <c r="Z270" s="330"/>
      <c r="AA270" s="343"/>
      <c r="AB270" s="249"/>
      <c r="AC270" s="330"/>
      <c r="AD270" s="343"/>
      <c r="AE270" s="249"/>
      <c r="AF270" s="330"/>
      <c r="AG270" s="343"/>
      <c r="AH270" s="249"/>
      <c r="AI270" s="330"/>
      <c r="AJ270" s="343"/>
      <c r="AK270" s="249"/>
      <c r="AL270" s="330"/>
      <c r="AM270" s="343"/>
      <c r="AN270" s="249"/>
      <c r="AO270" s="330"/>
      <c r="AP270" s="343"/>
      <c r="AQ270" s="249"/>
      <c r="AR270" s="330"/>
      <c r="AS270" s="343"/>
      <c r="AT270" s="249"/>
      <c r="AU270" s="330"/>
    </row>
    <row r="271" spans="2:47">
      <c r="B271" s="247">
        <f>'Table S2 Compound Identifiers'!C273</f>
        <v>0</v>
      </c>
      <c r="C271" s="247">
        <f>COUNTIF($D$6:D271,"&lt;&gt;"&amp;"")</f>
        <v>266</v>
      </c>
      <c r="D271" s="247">
        <f>'Table S2 Compound Identifiers'!B273</f>
        <v>0</v>
      </c>
      <c r="E271" s="247"/>
      <c r="F271" s="248"/>
      <c r="G271" s="249"/>
      <c r="H271" s="330"/>
      <c r="I271" s="328"/>
      <c r="J271" s="249"/>
      <c r="K271" s="330"/>
      <c r="L271" s="250"/>
      <c r="M271" s="249"/>
      <c r="N271" s="330"/>
      <c r="O271" s="250"/>
      <c r="P271" s="249"/>
      <c r="Q271" s="330"/>
      <c r="R271" s="250"/>
      <c r="S271" s="249"/>
      <c r="T271" s="330"/>
      <c r="U271" s="250"/>
      <c r="V271" s="249"/>
      <c r="W271" s="330"/>
      <c r="X271" s="343"/>
      <c r="Y271" s="249"/>
      <c r="Z271" s="330"/>
      <c r="AA271" s="343"/>
      <c r="AB271" s="249"/>
      <c r="AC271" s="330"/>
      <c r="AD271" s="343"/>
      <c r="AE271" s="249"/>
      <c r="AF271" s="330"/>
      <c r="AG271" s="343"/>
      <c r="AH271" s="249"/>
      <c r="AI271" s="330"/>
      <c r="AJ271" s="343"/>
      <c r="AK271" s="249"/>
      <c r="AL271" s="330"/>
      <c r="AM271" s="343"/>
      <c r="AN271" s="249"/>
      <c r="AO271" s="330"/>
      <c r="AP271" s="343"/>
      <c r="AQ271" s="249"/>
      <c r="AR271" s="330"/>
      <c r="AS271" s="343"/>
      <c r="AT271" s="249"/>
      <c r="AU271" s="330"/>
    </row>
    <row r="272" spans="2:47">
      <c r="B272" s="247">
        <f>'Table S2 Compound Identifiers'!C274</f>
        <v>0</v>
      </c>
      <c r="C272" s="247">
        <f>COUNTIF($D$6:D272,"&lt;&gt;"&amp;"")</f>
        <v>267</v>
      </c>
      <c r="D272" s="247">
        <f>'Table S2 Compound Identifiers'!B274</f>
        <v>0</v>
      </c>
      <c r="E272" s="247"/>
      <c r="F272" s="248"/>
      <c r="G272" s="249"/>
      <c r="H272" s="330"/>
      <c r="I272" s="328"/>
      <c r="J272" s="249"/>
      <c r="K272" s="330"/>
      <c r="L272" s="250"/>
      <c r="M272" s="249"/>
      <c r="N272" s="330"/>
      <c r="O272" s="250"/>
      <c r="P272" s="249"/>
      <c r="Q272" s="330"/>
      <c r="R272" s="250"/>
      <c r="S272" s="249"/>
      <c r="T272" s="330"/>
      <c r="U272" s="250"/>
      <c r="V272" s="249"/>
      <c r="W272" s="330"/>
      <c r="X272" s="343"/>
      <c r="Y272" s="249"/>
      <c r="Z272" s="330"/>
      <c r="AA272" s="343"/>
      <c r="AB272" s="249"/>
      <c r="AC272" s="330"/>
      <c r="AD272" s="343"/>
      <c r="AE272" s="249"/>
      <c r="AF272" s="330"/>
      <c r="AG272" s="343"/>
      <c r="AH272" s="249"/>
      <c r="AI272" s="330"/>
      <c r="AJ272" s="343"/>
      <c r="AK272" s="249"/>
      <c r="AL272" s="330"/>
      <c r="AM272" s="343"/>
      <c r="AN272" s="249"/>
      <c r="AO272" s="330"/>
      <c r="AP272" s="343"/>
      <c r="AQ272" s="249"/>
      <c r="AR272" s="330"/>
      <c r="AS272" s="343"/>
      <c r="AT272" s="249"/>
      <c r="AU272" s="330"/>
    </row>
    <row r="273" spans="2:47">
      <c r="B273" s="247">
        <f>'Table S2 Compound Identifiers'!C275</f>
        <v>0</v>
      </c>
      <c r="C273" s="247">
        <f>COUNTIF($D$6:D273,"&lt;&gt;"&amp;"")</f>
        <v>268</v>
      </c>
      <c r="D273" s="247">
        <f>'Table S2 Compound Identifiers'!B275</f>
        <v>0</v>
      </c>
      <c r="E273" s="247"/>
      <c r="F273" s="248"/>
      <c r="G273" s="249"/>
      <c r="H273" s="330"/>
      <c r="I273" s="328"/>
      <c r="J273" s="249"/>
      <c r="K273" s="330"/>
      <c r="L273" s="250"/>
      <c r="M273" s="249"/>
      <c r="N273" s="330"/>
      <c r="O273" s="250"/>
      <c r="P273" s="249"/>
      <c r="Q273" s="330"/>
      <c r="R273" s="250"/>
      <c r="S273" s="249"/>
      <c r="T273" s="330"/>
      <c r="U273" s="250"/>
      <c r="V273" s="249"/>
      <c r="W273" s="330"/>
      <c r="X273" s="343"/>
      <c r="Y273" s="249"/>
      <c r="Z273" s="330"/>
      <c r="AA273" s="343"/>
      <c r="AB273" s="249"/>
      <c r="AC273" s="330"/>
      <c r="AD273" s="343"/>
      <c r="AE273" s="249"/>
      <c r="AF273" s="330"/>
      <c r="AG273" s="343"/>
      <c r="AH273" s="249"/>
      <c r="AI273" s="330"/>
      <c r="AJ273" s="343"/>
      <c r="AK273" s="249"/>
      <c r="AL273" s="330"/>
      <c r="AM273" s="343"/>
      <c r="AN273" s="249"/>
      <c r="AO273" s="330"/>
      <c r="AP273" s="343"/>
      <c r="AQ273" s="249"/>
      <c r="AR273" s="330"/>
      <c r="AS273" s="343"/>
      <c r="AT273" s="249"/>
      <c r="AU273" s="330"/>
    </row>
    <row r="274" spans="2:47">
      <c r="B274" s="247">
        <f>'Table S2 Compound Identifiers'!C276</f>
        <v>0</v>
      </c>
      <c r="C274" s="247">
        <f>COUNTIF($D$6:D274,"&lt;&gt;"&amp;"")</f>
        <v>269</v>
      </c>
      <c r="D274" s="247">
        <f>'Table S2 Compound Identifiers'!B276</f>
        <v>0</v>
      </c>
      <c r="E274" s="247"/>
      <c r="F274" s="248"/>
      <c r="G274" s="249"/>
      <c r="H274" s="330"/>
      <c r="I274" s="328"/>
      <c r="J274" s="249"/>
      <c r="K274" s="330"/>
      <c r="L274" s="250"/>
      <c r="M274" s="249"/>
      <c r="N274" s="330"/>
      <c r="O274" s="250"/>
      <c r="P274" s="249"/>
      <c r="Q274" s="330"/>
      <c r="R274" s="250"/>
      <c r="S274" s="249"/>
      <c r="T274" s="330"/>
      <c r="U274" s="250"/>
      <c r="V274" s="249"/>
      <c r="W274" s="330"/>
      <c r="X274" s="343"/>
      <c r="Y274" s="249"/>
      <c r="Z274" s="330"/>
      <c r="AA274" s="343"/>
      <c r="AB274" s="249"/>
      <c r="AC274" s="330"/>
      <c r="AD274" s="343"/>
      <c r="AE274" s="249"/>
      <c r="AF274" s="330"/>
      <c r="AG274" s="343"/>
      <c r="AH274" s="249"/>
      <c r="AI274" s="330"/>
      <c r="AJ274" s="343"/>
      <c r="AK274" s="249"/>
      <c r="AL274" s="330"/>
      <c r="AM274" s="343"/>
      <c r="AN274" s="249"/>
      <c r="AO274" s="330"/>
      <c r="AP274" s="343"/>
      <c r="AQ274" s="249"/>
      <c r="AR274" s="330"/>
      <c r="AS274" s="343"/>
      <c r="AT274" s="249"/>
      <c r="AU274" s="330"/>
    </row>
    <row r="275" spans="2:47">
      <c r="B275" s="247">
        <f>'Table S2 Compound Identifiers'!C277</f>
        <v>0</v>
      </c>
      <c r="C275" s="247">
        <f>COUNTIF($D$6:D275,"&lt;&gt;"&amp;"")</f>
        <v>270</v>
      </c>
      <c r="D275" s="247">
        <f>'Table S2 Compound Identifiers'!B277</f>
        <v>0</v>
      </c>
      <c r="E275" s="247"/>
      <c r="F275" s="248"/>
      <c r="G275" s="249"/>
      <c r="H275" s="330"/>
      <c r="I275" s="328"/>
      <c r="J275" s="249"/>
      <c r="K275" s="330"/>
      <c r="L275" s="250"/>
      <c r="M275" s="249"/>
      <c r="N275" s="330"/>
      <c r="O275" s="250"/>
      <c r="P275" s="249"/>
      <c r="Q275" s="330"/>
      <c r="R275" s="250"/>
      <c r="S275" s="249"/>
      <c r="T275" s="330"/>
      <c r="U275" s="250"/>
      <c r="V275" s="249"/>
      <c r="W275" s="330"/>
      <c r="X275" s="343"/>
      <c r="Y275" s="249"/>
      <c r="Z275" s="330"/>
      <c r="AA275" s="343"/>
      <c r="AB275" s="249"/>
      <c r="AC275" s="330"/>
      <c r="AD275" s="343"/>
      <c r="AE275" s="249"/>
      <c r="AF275" s="330"/>
      <c r="AG275" s="343"/>
      <c r="AH275" s="249"/>
      <c r="AI275" s="330"/>
      <c r="AJ275" s="343"/>
      <c r="AK275" s="249"/>
      <c r="AL275" s="330"/>
      <c r="AM275" s="343"/>
      <c r="AN275" s="249"/>
      <c r="AO275" s="330"/>
      <c r="AP275" s="343"/>
      <c r="AQ275" s="249"/>
      <c r="AR275" s="330"/>
      <c r="AS275" s="343"/>
      <c r="AT275" s="249"/>
      <c r="AU275" s="330"/>
    </row>
    <row r="276" spans="2:47">
      <c r="B276" s="247">
        <f>'Table S2 Compound Identifiers'!C278</f>
        <v>0</v>
      </c>
      <c r="C276" s="247">
        <f>COUNTIF($D$6:D276,"&lt;&gt;"&amp;"")</f>
        <v>271</v>
      </c>
      <c r="D276" s="247">
        <f>'Table S2 Compound Identifiers'!B278</f>
        <v>0</v>
      </c>
      <c r="E276" s="247"/>
      <c r="F276" s="248"/>
      <c r="G276" s="249"/>
      <c r="H276" s="330"/>
      <c r="I276" s="328"/>
      <c r="J276" s="249"/>
      <c r="K276" s="330"/>
      <c r="L276" s="250"/>
      <c r="M276" s="249"/>
      <c r="N276" s="330"/>
      <c r="O276" s="250"/>
      <c r="P276" s="249"/>
      <c r="Q276" s="330"/>
      <c r="R276" s="250"/>
      <c r="S276" s="249"/>
      <c r="T276" s="330"/>
      <c r="U276" s="250"/>
      <c r="V276" s="249"/>
      <c r="W276" s="330"/>
      <c r="X276" s="343"/>
      <c r="Y276" s="249"/>
      <c r="Z276" s="330"/>
      <c r="AA276" s="343"/>
      <c r="AB276" s="249"/>
      <c r="AC276" s="330"/>
      <c r="AD276" s="343"/>
      <c r="AE276" s="249"/>
      <c r="AF276" s="330"/>
      <c r="AG276" s="343"/>
      <c r="AH276" s="249"/>
      <c r="AI276" s="330"/>
      <c r="AJ276" s="343"/>
      <c r="AK276" s="249"/>
      <c r="AL276" s="330"/>
      <c r="AM276" s="343"/>
      <c r="AN276" s="249"/>
      <c r="AO276" s="330"/>
      <c r="AP276" s="343"/>
      <c r="AQ276" s="249"/>
      <c r="AR276" s="330"/>
      <c r="AS276" s="343"/>
      <c r="AT276" s="249"/>
      <c r="AU276" s="330"/>
    </row>
    <row r="277" spans="2:47">
      <c r="B277" s="247">
        <f>'Table S2 Compound Identifiers'!C279</f>
        <v>0</v>
      </c>
      <c r="C277" s="247">
        <f>COUNTIF($D$6:D277,"&lt;&gt;"&amp;"")</f>
        <v>272</v>
      </c>
      <c r="D277" s="247">
        <f>'Table S2 Compound Identifiers'!B279</f>
        <v>0</v>
      </c>
      <c r="E277" s="247"/>
      <c r="F277" s="248"/>
      <c r="G277" s="249"/>
      <c r="H277" s="330"/>
      <c r="I277" s="328"/>
      <c r="J277" s="249"/>
      <c r="K277" s="330"/>
      <c r="L277" s="250"/>
      <c r="M277" s="249"/>
      <c r="N277" s="330"/>
      <c r="O277" s="250"/>
      <c r="P277" s="249"/>
      <c r="Q277" s="330"/>
      <c r="R277" s="250"/>
      <c r="S277" s="249"/>
      <c r="T277" s="330"/>
      <c r="U277" s="250"/>
      <c r="V277" s="249"/>
      <c r="W277" s="330"/>
      <c r="X277" s="343"/>
      <c r="Y277" s="249"/>
      <c r="Z277" s="330"/>
      <c r="AA277" s="343"/>
      <c r="AB277" s="249"/>
      <c r="AC277" s="330"/>
      <c r="AD277" s="343"/>
      <c r="AE277" s="249"/>
      <c r="AF277" s="330"/>
      <c r="AG277" s="343"/>
      <c r="AH277" s="249"/>
      <c r="AI277" s="330"/>
      <c r="AJ277" s="343"/>
      <c r="AK277" s="249"/>
      <c r="AL277" s="330"/>
      <c r="AM277" s="343"/>
      <c r="AN277" s="249"/>
      <c r="AO277" s="330"/>
      <c r="AP277" s="343"/>
      <c r="AQ277" s="249"/>
      <c r="AR277" s="330"/>
      <c r="AS277" s="343"/>
      <c r="AT277" s="249"/>
      <c r="AU277" s="330"/>
    </row>
    <row r="278" spans="2:47">
      <c r="B278" s="247">
        <f>'Table S2 Compound Identifiers'!C280</f>
        <v>0</v>
      </c>
      <c r="C278" s="247">
        <f>COUNTIF($D$6:D278,"&lt;&gt;"&amp;"")</f>
        <v>273</v>
      </c>
      <c r="D278" s="247">
        <f>'Table S2 Compound Identifiers'!B280</f>
        <v>0</v>
      </c>
      <c r="E278" s="247"/>
      <c r="F278" s="248"/>
      <c r="G278" s="249"/>
      <c r="H278" s="330"/>
      <c r="I278" s="328"/>
      <c r="J278" s="249"/>
      <c r="K278" s="330"/>
      <c r="L278" s="250"/>
      <c r="M278" s="249"/>
      <c r="N278" s="330"/>
      <c r="O278" s="250"/>
      <c r="P278" s="249"/>
      <c r="Q278" s="330"/>
      <c r="R278" s="250"/>
      <c r="S278" s="249"/>
      <c r="T278" s="330"/>
      <c r="U278" s="250"/>
      <c r="V278" s="249"/>
      <c r="W278" s="330"/>
      <c r="X278" s="343"/>
      <c r="Y278" s="249"/>
      <c r="Z278" s="330"/>
      <c r="AA278" s="343"/>
      <c r="AB278" s="249"/>
      <c r="AC278" s="330"/>
      <c r="AD278" s="343"/>
      <c r="AE278" s="249"/>
      <c r="AF278" s="330"/>
      <c r="AG278" s="343"/>
      <c r="AH278" s="249"/>
      <c r="AI278" s="330"/>
      <c r="AJ278" s="343"/>
      <c r="AK278" s="249"/>
      <c r="AL278" s="330"/>
      <c r="AM278" s="343"/>
      <c r="AN278" s="249"/>
      <c r="AO278" s="330"/>
      <c r="AP278" s="343"/>
      <c r="AQ278" s="249"/>
      <c r="AR278" s="330"/>
      <c r="AS278" s="343"/>
      <c r="AT278" s="249"/>
      <c r="AU278" s="330"/>
    </row>
    <row r="279" spans="2:47">
      <c r="B279" s="247">
        <f>'Table S2 Compound Identifiers'!C281</f>
        <v>0</v>
      </c>
      <c r="C279" s="247">
        <f>COUNTIF($D$6:D279,"&lt;&gt;"&amp;"")</f>
        <v>274</v>
      </c>
      <c r="D279" s="247">
        <f>'Table S2 Compound Identifiers'!B281</f>
        <v>0</v>
      </c>
      <c r="E279" s="247"/>
      <c r="F279" s="248"/>
      <c r="G279" s="249"/>
      <c r="H279" s="330"/>
      <c r="I279" s="328"/>
      <c r="J279" s="249"/>
      <c r="K279" s="330"/>
      <c r="L279" s="250"/>
      <c r="M279" s="249"/>
      <c r="N279" s="330"/>
      <c r="O279" s="250"/>
      <c r="P279" s="249"/>
      <c r="Q279" s="330"/>
      <c r="R279" s="250"/>
      <c r="S279" s="249"/>
      <c r="T279" s="330"/>
      <c r="U279" s="250"/>
      <c r="V279" s="249"/>
      <c r="W279" s="330"/>
      <c r="X279" s="343"/>
      <c r="Y279" s="249"/>
      <c r="Z279" s="330"/>
      <c r="AA279" s="343"/>
      <c r="AB279" s="249"/>
      <c r="AC279" s="330"/>
      <c r="AD279" s="343"/>
      <c r="AE279" s="249"/>
      <c r="AF279" s="330"/>
      <c r="AG279" s="343"/>
      <c r="AH279" s="249"/>
      <c r="AI279" s="330"/>
      <c r="AJ279" s="343"/>
      <c r="AK279" s="249"/>
      <c r="AL279" s="330"/>
      <c r="AM279" s="343"/>
      <c r="AN279" s="249"/>
      <c r="AO279" s="330"/>
      <c r="AP279" s="343"/>
      <c r="AQ279" s="249"/>
      <c r="AR279" s="330"/>
      <c r="AS279" s="343"/>
      <c r="AT279" s="249"/>
      <c r="AU279" s="330"/>
    </row>
    <row r="280" spans="2:47">
      <c r="B280" s="247">
        <f>'Table S2 Compound Identifiers'!C282</f>
        <v>0</v>
      </c>
      <c r="C280" s="247">
        <f>COUNTIF($D$6:D280,"&lt;&gt;"&amp;"")</f>
        <v>275</v>
      </c>
      <c r="D280" s="247">
        <f>'Table S2 Compound Identifiers'!B282</f>
        <v>0</v>
      </c>
      <c r="E280" s="247"/>
      <c r="F280" s="248"/>
      <c r="G280" s="249"/>
      <c r="H280" s="330"/>
      <c r="I280" s="328"/>
      <c r="J280" s="249"/>
      <c r="K280" s="330"/>
      <c r="L280" s="250"/>
      <c r="M280" s="249"/>
      <c r="N280" s="330"/>
      <c r="O280" s="250"/>
      <c r="P280" s="249"/>
      <c r="Q280" s="330"/>
      <c r="R280" s="250"/>
      <c r="S280" s="249"/>
      <c r="T280" s="330"/>
      <c r="U280" s="250"/>
      <c r="V280" s="249"/>
      <c r="W280" s="330"/>
      <c r="X280" s="343"/>
      <c r="Y280" s="249"/>
      <c r="Z280" s="330"/>
      <c r="AA280" s="343"/>
      <c r="AB280" s="249"/>
      <c r="AC280" s="330"/>
      <c r="AD280" s="343"/>
      <c r="AE280" s="249"/>
      <c r="AF280" s="330"/>
      <c r="AG280" s="343"/>
      <c r="AH280" s="249"/>
      <c r="AI280" s="330"/>
      <c r="AJ280" s="343"/>
      <c r="AK280" s="249"/>
      <c r="AL280" s="330"/>
      <c r="AM280" s="343"/>
      <c r="AN280" s="249"/>
      <c r="AO280" s="330"/>
      <c r="AP280" s="343"/>
      <c r="AQ280" s="249"/>
      <c r="AR280" s="330"/>
      <c r="AS280" s="343"/>
      <c r="AT280" s="249"/>
      <c r="AU280" s="330"/>
    </row>
    <row r="281" spans="2:47">
      <c r="B281" s="247">
        <f>'Table S2 Compound Identifiers'!C283</f>
        <v>0</v>
      </c>
      <c r="C281" s="247">
        <f>COUNTIF($D$6:D281,"&lt;&gt;"&amp;"")</f>
        <v>276</v>
      </c>
      <c r="D281" s="247">
        <f>'Table S2 Compound Identifiers'!B283</f>
        <v>0</v>
      </c>
      <c r="E281" s="247"/>
      <c r="F281" s="248"/>
      <c r="G281" s="249"/>
      <c r="H281" s="330"/>
      <c r="I281" s="328"/>
      <c r="J281" s="249"/>
      <c r="K281" s="330"/>
      <c r="L281" s="250"/>
      <c r="M281" s="249"/>
      <c r="N281" s="330"/>
      <c r="O281" s="250"/>
      <c r="P281" s="249"/>
      <c r="Q281" s="330"/>
      <c r="R281" s="250"/>
      <c r="S281" s="249"/>
      <c r="T281" s="330"/>
      <c r="U281" s="250"/>
      <c r="V281" s="249"/>
      <c r="W281" s="330"/>
      <c r="X281" s="343"/>
      <c r="Y281" s="249"/>
      <c r="Z281" s="330"/>
      <c r="AA281" s="343"/>
      <c r="AB281" s="249"/>
      <c r="AC281" s="330"/>
      <c r="AD281" s="343"/>
      <c r="AE281" s="249"/>
      <c r="AF281" s="330"/>
      <c r="AG281" s="343"/>
      <c r="AH281" s="249"/>
      <c r="AI281" s="330"/>
      <c r="AJ281" s="343"/>
      <c r="AK281" s="249"/>
      <c r="AL281" s="330"/>
      <c r="AM281" s="343"/>
      <c r="AN281" s="249"/>
      <c r="AO281" s="330"/>
      <c r="AP281" s="343"/>
      <c r="AQ281" s="249"/>
      <c r="AR281" s="330"/>
      <c r="AS281" s="343"/>
      <c r="AT281" s="249"/>
      <c r="AU281" s="330"/>
    </row>
    <row r="282" spans="2:47">
      <c r="B282" s="247">
        <f>'Table S2 Compound Identifiers'!C284</f>
        <v>0</v>
      </c>
      <c r="C282" s="247">
        <f>COUNTIF($D$6:D282,"&lt;&gt;"&amp;"")</f>
        <v>277</v>
      </c>
      <c r="D282" s="247">
        <f>'Table S2 Compound Identifiers'!B284</f>
        <v>0</v>
      </c>
      <c r="E282" s="247"/>
      <c r="F282" s="248"/>
      <c r="G282" s="249"/>
      <c r="H282" s="330"/>
      <c r="I282" s="328"/>
      <c r="J282" s="249"/>
      <c r="K282" s="330"/>
      <c r="L282" s="250"/>
      <c r="M282" s="249"/>
      <c r="N282" s="330"/>
      <c r="O282" s="250"/>
      <c r="P282" s="249"/>
      <c r="Q282" s="330"/>
      <c r="R282" s="250"/>
      <c r="S282" s="249"/>
      <c r="T282" s="330"/>
      <c r="U282" s="250"/>
      <c r="V282" s="249"/>
      <c r="W282" s="330"/>
      <c r="X282" s="343"/>
      <c r="Y282" s="249"/>
      <c r="Z282" s="330"/>
      <c r="AA282" s="343"/>
      <c r="AB282" s="249"/>
      <c r="AC282" s="330"/>
      <c r="AD282" s="343"/>
      <c r="AE282" s="249"/>
      <c r="AF282" s="330"/>
      <c r="AG282" s="343"/>
      <c r="AH282" s="249"/>
      <c r="AI282" s="330"/>
      <c r="AJ282" s="343"/>
      <c r="AK282" s="249"/>
      <c r="AL282" s="330"/>
      <c r="AM282" s="343"/>
      <c r="AN282" s="249"/>
      <c r="AO282" s="330"/>
      <c r="AP282" s="343"/>
      <c r="AQ282" s="249"/>
      <c r="AR282" s="330"/>
      <c r="AS282" s="343"/>
      <c r="AT282" s="249"/>
      <c r="AU282" s="330"/>
    </row>
    <row r="283" spans="2:47">
      <c r="B283" s="247">
        <f>'Table S2 Compound Identifiers'!C285</f>
        <v>0</v>
      </c>
      <c r="C283" s="247">
        <f>COUNTIF($D$6:D283,"&lt;&gt;"&amp;"")</f>
        <v>278</v>
      </c>
      <c r="D283" s="247">
        <f>'Table S2 Compound Identifiers'!B285</f>
        <v>0</v>
      </c>
      <c r="E283" s="247"/>
      <c r="F283" s="248"/>
      <c r="G283" s="249"/>
      <c r="H283" s="330"/>
      <c r="I283" s="328"/>
      <c r="J283" s="249"/>
      <c r="K283" s="330"/>
      <c r="L283" s="250"/>
      <c r="M283" s="249"/>
      <c r="N283" s="330"/>
      <c r="O283" s="250"/>
      <c r="P283" s="249"/>
      <c r="Q283" s="330"/>
      <c r="R283" s="250"/>
      <c r="S283" s="249"/>
      <c r="T283" s="330"/>
      <c r="U283" s="250"/>
      <c r="V283" s="249"/>
      <c r="W283" s="330"/>
      <c r="X283" s="343"/>
      <c r="Y283" s="249"/>
      <c r="Z283" s="330"/>
      <c r="AA283" s="343"/>
      <c r="AB283" s="249"/>
      <c r="AC283" s="330"/>
      <c r="AD283" s="343"/>
      <c r="AE283" s="249"/>
      <c r="AF283" s="330"/>
      <c r="AG283" s="343"/>
      <c r="AH283" s="249"/>
      <c r="AI283" s="330"/>
      <c r="AJ283" s="343"/>
      <c r="AK283" s="249"/>
      <c r="AL283" s="330"/>
      <c r="AM283" s="343"/>
      <c r="AN283" s="249"/>
      <c r="AO283" s="330"/>
      <c r="AP283" s="343"/>
      <c r="AQ283" s="249"/>
      <c r="AR283" s="330"/>
      <c r="AS283" s="343"/>
      <c r="AT283" s="249"/>
      <c r="AU283" s="330"/>
    </row>
    <row r="284" spans="2:47">
      <c r="B284" s="247">
        <f>'Table S2 Compound Identifiers'!C286</f>
        <v>0</v>
      </c>
      <c r="C284" s="247">
        <f>COUNTIF($D$6:D284,"&lt;&gt;"&amp;"")</f>
        <v>279</v>
      </c>
      <c r="D284" s="432">
        <f>'Table S2 Compound Identifiers'!B286</f>
        <v>0</v>
      </c>
      <c r="E284" s="247"/>
      <c r="F284" s="248"/>
      <c r="G284" s="249"/>
      <c r="H284" s="330"/>
      <c r="I284" s="328"/>
      <c r="J284" s="249"/>
      <c r="K284" s="330"/>
      <c r="L284" s="250"/>
      <c r="M284" s="249"/>
      <c r="N284" s="330"/>
      <c r="O284" s="250"/>
      <c r="P284" s="249"/>
      <c r="Q284" s="330"/>
      <c r="R284" s="250"/>
      <c r="S284" s="249"/>
      <c r="T284" s="330"/>
      <c r="U284" s="250"/>
      <c r="V284" s="249"/>
      <c r="W284" s="330"/>
      <c r="X284" s="343"/>
      <c r="Y284" s="249"/>
      <c r="Z284" s="330"/>
      <c r="AA284" s="343"/>
      <c r="AB284" s="249"/>
      <c r="AC284" s="330"/>
      <c r="AD284" s="343"/>
      <c r="AE284" s="249"/>
      <c r="AF284" s="330"/>
      <c r="AG284" s="343"/>
      <c r="AH284" s="249"/>
      <c r="AI284" s="330"/>
      <c r="AJ284" s="343"/>
      <c r="AK284" s="249"/>
      <c r="AL284" s="330"/>
      <c r="AM284" s="343"/>
      <c r="AN284" s="249"/>
      <c r="AO284" s="330"/>
      <c r="AP284" s="343"/>
      <c r="AQ284" s="249"/>
      <c r="AR284" s="330"/>
      <c r="AS284" s="343"/>
      <c r="AT284" s="249"/>
      <c r="AU284" s="330"/>
    </row>
    <row r="285" spans="2:47">
      <c r="B285" s="247">
        <f>'Table S2 Compound Identifiers'!C287</f>
        <v>0</v>
      </c>
      <c r="C285" s="247">
        <f>COUNTIF($D$6:D285,"&lt;&gt;"&amp;"")</f>
        <v>280</v>
      </c>
      <c r="D285" s="432">
        <f>'Table S2 Compound Identifiers'!B287</f>
        <v>0</v>
      </c>
      <c r="E285" s="247"/>
      <c r="F285" s="248"/>
      <c r="G285" s="249"/>
      <c r="H285" s="330"/>
      <c r="I285" s="328"/>
      <c r="J285" s="249"/>
      <c r="K285" s="330"/>
      <c r="L285" s="250"/>
      <c r="M285" s="249"/>
      <c r="N285" s="330"/>
      <c r="O285" s="250"/>
      <c r="P285" s="249"/>
      <c r="Q285" s="330"/>
      <c r="R285" s="250"/>
      <c r="S285" s="249"/>
      <c r="T285" s="330"/>
      <c r="U285" s="250"/>
      <c r="V285" s="249"/>
      <c r="W285" s="330"/>
      <c r="X285" s="343"/>
      <c r="Y285" s="249"/>
      <c r="Z285" s="330"/>
      <c r="AA285" s="343"/>
      <c r="AB285" s="249"/>
      <c r="AC285" s="330"/>
      <c r="AD285" s="343"/>
      <c r="AE285" s="249"/>
      <c r="AF285" s="330"/>
      <c r="AG285" s="343"/>
      <c r="AH285" s="249"/>
      <c r="AI285" s="330"/>
      <c r="AJ285" s="343"/>
      <c r="AK285" s="249"/>
      <c r="AL285" s="330"/>
      <c r="AM285" s="343"/>
      <c r="AN285" s="249"/>
      <c r="AO285" s="330"/>
      <c r="AP285" s="343"/>
      <c r="AQ285" s="249"/>
      <c r="AR285" s="330"/>
      <c r="AS285" s="343"/>
      <c r="AT285" s="249"/>
      <c r="AU285" s="330"/>
    </row>
    <row r="286" spans="2:47">
      <c r="B286" s="247">
        <f>'Table S2 Compound Identifiers'!C288</f>
        <v>0</v>
      </c>
      <c r="C286" s="247">
        <f>COUNTIF($D$6:D286,"&lt;&gt;"&amp;"")</f>
        <v>281</v>
      </c>
      <c r="D286" s="432">
        <f>'Table S2 Compound Identifiers'!B288</f>
        <v>0</v>
      </c>
      <c r="E286" s="247"/>
      <c r="F286" s="248"/>
      <c r="G286" s="249"/>
      <c r="H286" s="330"/>
      <c r="I286" s="328"/>
      <c r="J286" s="249"/>
      <c r="K286" s="330"/>
      <c r="L286" s="250"/>
      <c r="M286" s="249"/>
      <c r="N286" s="330"/>
      <c r="O286" s="250"/>
      <c r="P286" s="249"/>
      <c r="Q286" s="330"/>
      <c r="R286" s="250"/>
      <c r="S286" s="249"/>
      <c r="T286" s="330"/>
      <c r="U286" s="250"/>
      <c r="V286" s="249"/>
      <c r="W286" s="330"/>
      <c r="X286" s="343"/>
      <c r="Y286" s="249"/>
      <c r="Z286" s="330"/>
      <c r="AA286" s="343"/>
      <c r="AB286" s="249"/>
      <c r="AC286" s="330"/>
      <c r="AD286" s="343"/>
      <c r="AE286" s="249"/>
      <c r="AF286" s="330"/>
      <c r="AG286" s="343"/>
      <c r="AH286" s="249"/>
      <c r="AI286" s="330"/>
      <c r="AJ286" s="343"/>
      <c r="AK286" s="249"/>
      <c r="AL286" s="330"/>
      <c r="AM286" s="343"/>
      <c r="AN286" s="249"/>
      <c r="AO286" s="330"/>
      <c r="AP286" s="343"/>
      <c r="AQ286" s="249"/>
      <c r="AR286" s="330"/>
      <c r="AS286" s="343"/>
      <c r="AT286" s="249"/>
      <c r="AU286" s="330"/>
    </row>
    <row r="287" spans="2:47">
      <c r="B287" s="247">
        <f>'Table S2 Compound Identifiers'!C289</f>
        <v>0</v>
      </c>
      <c r="C287" s="247">
        <f>COUNTIF($D$6:D287,"&lt;&gt;"&amp;"")</f>
        <v>282</v>
      </c>
      <c r="D287" s="432">
        <f>'Table S2 Compound Identifiers'!B289</f>
        <v>0</v>
      </c>
      <c r="E287" s="247"/>
      <c r="F287" s="248"/>
      <c r="G287" s="249"/>
      <c r="H287" s="330"/>
      <c r="I287" s="328"/>
      <c r="J287" s="249"/>
      <c r="K287" s="330"/>
      <c r="L287" s="250"/>
      <c r="M287" s="249"/>
      <c r="N287" s="330"/>
      <c r="O287" s="250"/>
      <c r="P287" s="249"/>
      <c r="Q287" s="330"/>
      <c r="R287" s="250"/>
      <c r="S287" s="249"/>
      <c r="T287" s="330"/>
      <c r="U287" s="250"/>
      <c r="V287" s="249"/>
      <c r="W287" s="330"/>
      <c r="X287" s="343"/>
      <c r="Y287" s="249"/>
      <c r="Z287" s="330"/>
      <c r="AA287" s="343"/>
      <c r="AB287" s="249"/>
      <c r="AC287" s="330"/>
      <c r="AD287" s="343"/>
      <c r="AE287" s="249"/>
      <c r="AF287" s="330"/>
      <c r="AG287" s="343"/>
      <c r="AH287" s="249"/>
      <c r="AI287" s="330"/>
      <c r="AJ287" s="343"/>
      <c r="AK287" s="249"/>
      <c r="AL287" s="330"/>
      <c r="AM287" s="343"/>
      <c r="AN287" s="249"/>
      <c r="AO287" s="330"/>
      <c r="AP287" s="343"/>
      <c r="AQ287" s="249"/>
      <c r="AR287" s="330"/>
      <c r="AS287" s="343"/>
      <c r="AT287" s="249"/>
      <c r="AU287" s="330"/>
    </row>
    <row r="288" spans="2:47">
      <c r="B288" s="247">
        <f>'Table S2 Compound Identifiers'!C290</f>
        <v>0</v>
      </c>
      <c r="C288" s="247">
        <f>COUNTIF($D$6:D288,"&lt;&gt;"&amp;"")</f>
        <v>283</v>
      </c>
      <c r="D288" s="432">
        <f>'Table S2 Compound Identifiers'!B290</f>
        <v>0</v>
      </c>
      <c r="E288" s="247"/>
      <c r="F288" s="248"/>
      <c r="G288" s="249"/>
      <c r="H288" s="330"/>
      <c r="I288" s="328"/>
      <c r="J288" s="249"/>
      <c r="K288" s="330"/>
      <c r="L288" s="250"/>
      <c r="M288" s="249"/>
      <c r="N288" s="330"/>
      <c r="O288" s="250"/>
      <c r="P288" s="249"/>
      <c r="Q288" s="330"/>
      <c r="R288" s="250"/>
      <c r="S288" s="249"/>
      <c r="T288" s="330"/>
      <c r="U288" s="250"/>
      <c r="V288" s="249"/>
      <c r="W288" s="330"/>
      <c r="X288" s="343"/>
      <c r="Y288" s="249"/>
      <c r="Z288" s="330"/>
      <c r="AA288" s="343"/>
      <c r="AB288" s="249"/>
      <c r="AC288" s="330"/>
      <c r="AD288" s="343"/>
      <c r="AE288" s="249"/>
      <c r="AF288" s="330"/>
      <c r="AG288" s="343"/>
      <c r="AH288" s="249"/>
      <c r="AI288" s="330"/>
      <c r="AJ288" s="343"/>
      <c r="AK288" s="249"/>
      <c r="AL288" s="330"/>
      <c r="AM288" s="343"/>
      <c r="AN288" s="249"/>
      <c r="AO288" s="330"/>
      <c r="AP288" s="343"/>
      <c r="AQ288" s="249"/>
      <c r="AR288" s="330"/>
      <c r="AS288" s="343"/>
      <c r="AT288" s="249"/>
      <c r="AU288" s="330"/>
    </row>
    <row r="289" spans="2:47">
      <c r="B289" s="247">
        <f>'Table S2 Compound Identifiers'!C291</f>
        <v>0</v>
      </c>
      <c r="C289" s="247">
        <f>COUNTIF($D$6:D289,"&lt;&gt;"&amp;"")</f>
        <v>284</v>
      </c>
      <c r="D289" s="432">
        <f>'Table S2 Compound Identifiers'!B291</f>
        <v>0</v>
      </c>
      <c r="E289" s="247"/>
      <c r="F289" s="248"/>
      <c r="G289" s="249"/>
      <c r="H289" s="330"/>
      <c r="I289" s="328"/>
      <c r="J289" s="249"/>
      <c r="K289" s="330"/>
      <c r="L289" s="250"/>
      <c r="M289" s="249"/>
      <c r="N289" s="330"/>
      <c r="O289" s="250"/>
      <c r="P289" s="249"/>
      <c r="Q289" s="330"/>
      <c r="R289" s="250"/>
      <c r="S289" s="249"/>
      <c r="T289" s="330"/>
      <c r="U289" s="250"/>
      <c r="V289" s="249"/>
      <c r="W289" s="330"/>
      <c r="X289" s="343"/>
      <c r="Y289" s="249"/>
      <c r="Z289" s="330"/>
      <c r="AA289" s="343"/>
      <c r="AB289" s="249"/>
      <c r="AC289" s="330"/>
      <c r="AD289" s="343"/>
      <c r="AE289" s="249"/>
      <c r="AF289" s="330"/>
      <c r="AG289" s="343"/>
      <c r="AH289" s="249"/>
      <c r="AI289" s="330"/>
      <c r="AJ289" s="343"/>
      <c r="AK289" s="249"/>
      <c r="AL289" s="330"/>
      <c r="AM289" s="343"/>
      <c r="AN289" s="249"/>
      <c r="AO289" s="330"/>
      <c r="AP289" s="343"/>
      <c r="AQ289" s="249"/>
      <c r="AR289" s="330"/>
      <c r="AS289" s="343"/>
      <c r="AT289" s="249"/>
      <c r="AU289" s="330"/>
    </row>
    <row r="290" spans="2:47">
      <c r="B290" s="247">
        <f>'Table S2 Compound Identifiers'!C292</f>
        <v>0</v>
      </c>
      <c r="C290" s="247">
        <f>COUNTIF($D$6:D290,"&lt;&gt;"&amp;"")</f>
        <v>285</v>
      </c>
      <c r="D290" s="432">
        <f>'Table S2 Compound Identifiers'!B292</f>
        <v>0</v>
      </c>
      <c r="E290" s="247"/>
      <c r="F290" s="248"/>
      <c r="G290" s="249"/>
      <c r="H290" s="330"/>
      <c r="I290" s="328"/>
      <c r="J290" s="249"/>
      <c r="K290" s="330"/>
      <c r="L290" s="250"/>
      <c r="M290" s="249"/>
      <c r="N290" s="330"/>
      <c r="O290" s="250"/>
      <c r="P290" s="249"/>
      <c r="Q290" s="330"/>
      <c r="R290" s="250"/>
      <c r="S290" s="249"/>
      <c r="T290" s="330"/>
      <c r="U290" s="250"/>
      <c r="V290" s="249"/>
      <c r="W290" s="330"/>
      <c r="X290" s="343"/>
      <c r="Y290" s="249"/>
      <c r="Z290" s="330"/>
      <c r="AA290" s="343"/>
      <c r="AB290" s="249"/>
      <c r="AC290" s="330"/>
      <c r="AD290" s="343"/>
      <c r="AE290" s="249"/>
      <c r="AF290" s="330"/>
      <c r="AG290" s="343"/>
      <c r="AH290" s="249"/>
      <c r="AI290" s="330"/>
      <c r="AJ290" s="343"/>
      <c r="AK290" s="249"/>
      <c r="AL290" s="330"/>
      <c r="AM290" s="343"/>
      <c r="AN290" s="249"/>
      <c r="AO290" s="330"/>
      <c r="AP290" s="343"/>
      <c r="AQ290" s="249"/>
      <c r="AR290" s="330"/>
      <c r="AS290" s="343"/>
      <c r="AT290" s="249"/>
      <c r="AU290" s="330"/>
    </row>
    <row r="291" spans="2:47">
      <c r="B291" s="247">
        <f>'Table S2 Compound Identifiers'!C293</f>
        <v>0</v>
      </c>
      <c r="C291" s="247">
        <f>COUNTIF($D$6:D291,"&lt;&gt;"&amp;"")</f>
        <v>286</v>
      </c>
      <c r="D291" s="432">
        <f>'Table S2 Compound Identifiers'!B293</f>
        <v>0</v>
      </c>
      <c r="E291" s="247"/>
      <c r="F291" s="248"/>
      <c r="G291" s="249"/>
      <c r="H291" s="330"/>
      <c r="I291" s="328"/>
      <c r="J291" s="249"/>
      <c r="K291" s="330"/>
      <c r="L291" s="250"/>
      <c r="M291" s="249"/>
      <c r="N291" s="330"/>
      <c r="O291" s="250"/>
      <c r="P291" s="249"/>
      <c r="Q291" s="330"/>
      <c r="R291" s="250"/>
      <c r="S291" s="249"/>
      <c r="T291" s="330"/>
      <c r="U291" s="250"/>
      <c r="V291" s="249"/>
      <c r="W291" s="330"/>
      <c r="X291" s="343"/>
      <c r="Y291" s="249"/>
      <c r="Z291" s="330"/>
      <c r="AA291" s="343"/>
      <c r="AB291" s="249"/>
      <c r="AC291" s="330"/>
      <c r="AD291" s="343"/>
      <c r="AE291" s="249"/>
      <c r="AF291" s="330"/>
      <c r="AG291" s="343"/>
      <c r="AH291" s="249"/>
      <c r="AI291" s="330"/>
      <c r="AJ291" s="343"/>
      <c r="AK291" s="249"/>
      <c r="AL291" s="330"/>
      <c r="AM291" s="343"/>
      <c r="AN291" s="249"/>
      <c r="AO291" s="330"/>
      <c r="AP291" s="343"/>
      <c r="AQ291" s="249"/>
      <c r="AR291" s="330"/>
      <c r="AS291" s="343"/>
      <c r="AT291" s="249"/>
      <c r="AU291" s="330"/>
    </row>
    <row r="292" spans="2:47">
      <c r="B292" s="247">
        <f>'Table S2 Compound Identifiers'!C294</f>
        <v>0</v>
      </c>
      <c r="C292" s="247">
        <f>COUNTIF($D$6:D292,"&lt;&gt;"&amp;"")</f>
        <v>287</v>
      </c>
      <c r="D292" s="432">
        <f>'Table S2 Compound Identifiers'!B294</f>
        <v>0</v>
      </c>
      <c r="E292" s="247"/>
      <c r="F292" s="248"/>
      <c r="G292" s="249"/>
      <c r="H292" s="330"/>
      <c r="I292" s="328"/>
      <c r="J292" s="249"/>
      <c r="K292" s="330"/>
      <c r="L292" s="250"/>
      <c r="M292" s="249"/>
      <c r="N292" s="330"/>
      <c r="O292" s="250"/>
      <c r="P292" s="249"/>
      <c r="Q292" s="330"/>
      <c r="R292" s="250"/>
      <c r="S292" s="249"/>
      <c r="T292" s="330"/>
      <c r="U292" s="250"/>
      <c r="V292" s="249"/>
      <c r="W292" s="330"/>
      <c r="X292" s="343"/>
      <c r="Y292" s="249"/>
      <c r="Z292" s="330"/>
      <c r="AA292" s="343"/>
      <c r="AB292" s="249"/>
      <c r="AC292" s="330"/>
      <c r="AD292" s="343"/>
      <c r="AE292" s="249"/>
      <c r="AF292" s="330"/>
      <c r="AG292" s="343"/>
      <c r="AH292" s="249"/>
      <c r="AI292" s="330"/>
      <c r="AJ292" s="343"/>
      <c r="AK292" s="249"/>
      <c r="AL292" s="330"/>
      <c r="AM292" s="343"/>
      <c r="AN292" s="249"/>
      <c r="AO292" s="330"/>
      <c r="AP292" s="343"/>
      <c r="AQ292" s="249"/>
      <c r="AR292" s="330"/>
      <c r="AS292" s="343"/>
      <c r="AT292" s="249"/>
      <c r="AU292" s="330"/>
    </row>
    <row r="293" spans="2:47">
      <c r="B293" s="247">
        <f>'Table S2 Compound Identifiers'!C295</f>
        <v>0</v>
      </c>
      <c r="C293" s="247">
        <f>COUNTIF($D$6:D293,"&lt;&gt;"&amp;"")</f>
        <v>288</v>
      </c>
      <c r="D293" s="432">
        <f>'Table S2 Compound Identifiers'!B295</f>
        <v>0</v>
      </c>
      <c r="E293" s="247"/>
      <c r="F293" s="248"/>
      <c r="G293" s="249"/>
      <c r="H293" s="330"/>
      <c r="I293" s="328"/>
      <c r="J293" s="249"/>
      <c r="K293" s="330"/>
      <c r="L293" s="250"/>
      <c r="M293" s="249"/>
      <c r="N293" s="330"/>
      <c r="O293" s="250"/>
      <c r="P293" s="249"/>
      <c r="Q293" s="330"/>
      <c r="R293" s="250"/>
      <c r="S293" s="249"/>
      <c r="T293" s="330"/>
      <c r="U293" s="250"/>
      <c r="V293" s="249"/>
      <c r="W293" s="330"/>
      <c r="X293" s="343"/>
      <c r="Y293" s="249"/>
      <c r="Z293" s="330"/>
      <c r="AA293" s="343"/>
      <c r="AB293" s="249"/>
      <c r="AC293" s="330"/>
      <c r="AD293" s="343"/>
      <c r="AE293" s="249"/>
      <c r="AF293" s="330"/>
      <c r="AG293" s="343"/>
      <c r="AH293" s="249"/>
      <c r="AI293" s="330"/>
      <c r="AJ293" s="343"/>
      <c r="AK293" s="249"/>
      <c r="AL293" s="330"/>
      <c r="AM293" s="343"/>
      <c r="AN293" s="249"/>
      <c r="AO293" s="330"/>
      <c r="AP293" s="343"/>
      <c r="AQ293" s="249"/>
      <c r="AR293" s="330"/>
      <c r="AS293" s="343"/>
      <c r="AT293" s="249"/>
      <c r="AU293" s="330"/>
    </row>
    <row r="294" spans="2:47">
      <c r="B294" s="247">
        <f>'Table S2 Compound Identifiers'!C296</f>
        <v>0</v>
      </c>
      <c r="C294" s="247">
        <f>COUNTIF($D$6:D294,"&lt;&gt;"&amp;"")</f>
        <v>289</v>
      </c>
      <c r="D294" s="247">
        <f>'Table S2 Compound Identifiers'!B296</f>
        <v>0</v>
      </c>
      <c r="E294" s="247"/>
      <c r="F294" s="248"/>
      <c r="G294" s="249"/>
      <c r="H294" s="330"/>
      <c r="I294" s="328"/>
      <c r="J294" s="249"/>
      <c r="K294" s="330"/>
      <c r="L294" s="250"/>
      <c r="M294" s="249"/>
      <c r="N294" s="330"/>
      <c r="O294" s="250"/>
      <c r="P294" s="249"/>
      <c r="Q294" s="330"/>
      <c r="R294" s="250"/>
      <c r="S294" s="249"/>
      <c r="T294" s="330"/>
      <c r="U294" s="250"/>
      <c r="V294" s="249"/>
      <c r="W294" s="330"/>
      <c r="X294" s="343"/>
      <c r="Y294" s="249"/>
      <c r="Z294" s="330"/>
      <c r="AA294" s="343"/>
      <c r="AB294" s="249"/>
      <c r="AC294" s="330"/>
      <c r="AD294" s="343"/>
      <c r="AE294" s="249"/>
      <c r="AF294" s="330"/>
      <c r="AG294" s="343"/>
      <c r="AH294" s="249"/>
      <c r="AI294" s="330"/>
      <c r="AJ294" s="343"/>
      <c r="AK294" s="249"/>
      <c r="AL294" s="330"/>
      <c r="AM294" s="343"/>
      <c r="AN294" s="249"/>
      <c r="AO294" s="330"/>
      <c r="AP294" s="343"/>
      <c r="AQ294" s="249"/>
      <c r="AR294" s="330"/>
      <c r="AS294" s="343"/>
      <c r="AT294" s="249"/>
      <c r="AU294" s="330"/>
    </row>
    <row r="295" spans="2:47">
      <c r="B295" s="247">
        <f>'Table S2 Compound Identifiers'!C297</f>
        <v>0</v>
      </c>
      <c r="C295" s="247">
        <f>COUNTIF($D$6:D295,"&lt;&gt;"&amp;"")</f>
        <v>290</v>
      </c>
      <c r="D295" s="247">
        <f>'Table S2 Compound Identifiers'!B297</f>
        <v>0</v>
      </c>
      <c r="E295" s="247"/>
      <c r="F295" s="248"/>
      <c r="G295" s="249"/>
      <c r="H295" s="330"/>
      <c r="I295" s="328"/>
      <c r="J295" s="249"/>
      <c r="K295" s="330"/>
      <c r="L295" s="250"/>
      <c r="M295" s="249"/>
      <c r="N295" s="330"/>
      <c r="O295" s="250"/>
      <c r="P295" s="249"/>
      <c r="Q295" s="330"/>
      <c r="R295" s="250"/>
      <c r="S295" s="249"/>
      <c r="T295" s="330"/>
      <c r="U295" s="250"/>
      <c r="V295" s="249"/>
      <c r="W295" s="330"/>
      <c r="X295" s="343"/>
      <c r="Y295" s="249"/>
      <c r="Z295" s="330"/>
      <c r="AA295" s="343"/>
      <c r="AB295" s="249"/>
      <c r="AC295" s="330"/>
      <c r="AD295" s="343"/>
      <c r="AE295" s="249"/>
      <c r="AF295" s="330"/>
      <c r="AG295" s="343"/>
      <c r="AH295" s="249"/>
      <c r="AI295" s="330"/>
      <c r="AJ295" s="343"/>
      <c r="AK295" s="249"/>
      <c r="AL295" s="330"/>
      <c r="AM295" s="343"/>
      <c r="AN295" s="249"/>
      <c r="AO295" s="330"/>
      <c r="AP295" s="343"/>
      <c r="AQ295" s="249"/>
      <c r="AR295" s="330"/>
      <c r="AS295" s="343"/>
      <c r="AT295" s="249"/>
      <c r="AU295" s="330"/>
    </row>
    <row r="296" spans="2:47">
      <c r="B296" s="247">
        <f>'Table S2 Compound Identifiers'!C298</f>
        <v>0</v>
      </c>
      <c r="C296" s="247">
        <f>COUNTIF($D$6:D296,"&lt;&gt;"&amp;"")</f>
        <v>291</v>
      </c>
      <c r="D296" s="247">
        <f>'Table S2 Compound Identifiers'!B298</f>
        <v>0</v>
      </c>
      <c r="E296" s="247"/>
      <c r="F296" s="248"/>
      <c r="G296" s="249"/>
      <c r="H296" s="330"/>
      <c r="I296" s="328"/>
      <c r="J296" s="249"/>
      <c r="K296" s="330"/>
      <c r="L296" s="250"/>
      <c r="M296" s="249"/>
      <c r="N296" s="330"/>
      <c r="O296" s="250"/>
      <c r="P296" s="249"/>
      <c r="Q296" s="330"/>
      <c r="R296" s="250"/>
      <c r="S296" s="249"/>
      <c r="T296" s="330"/>
      <c r="U296" s="250"/>
      <c r="V296" s="249"/>
      <c r="W296" s="330"/>
      <c r="X296" s="343"/>
      <c r="Y296" s="249"/>
      <c r="Z296" s="330"/>
      <c r="AA296" s="343"/>
      <c r="AB296" s="249"/>
      <c r="AC296" s="330"/>
      <c r="AD296" s="343"/>
      <c r="AE296" s="249"/>
      <c r="AF296" s="330"/>
      <c r="AG296" s="343"/>
      <c r="AH296" s="249"/>
      <c r="AI296" s="330"/>
      <c r="AJ296" s="343"/>
      <c r="AK296" s="249"/>
      <c r="AL296" s="330"/>
      <c r="AM296" s="343"/>
      <c r="AN296" s="249"/>
      <c r="AO296" s="330"/>
      <c r="AP296" s="343"/>
      <c r="AQ296" s="249"/>
      <c r="AR296" s="330"/>
      <c r="AS296" s="343"/>
      <c r="AT296" s="249"/>
      <c r="AU296" s="330"/>
    </row>
    <row r="297" spans="2:47">
      <c r="B297" s="247">
        <f>'Table S2 Compound Identifiers'!C299</f>
        <v>0</v>
      </c>
      <c r="C297" s="247">
        <f>COUNTIF($D$6:D297,"&lt;&gt;"&amp;"")</f>
        <v>292</v>
      </c>
      <c r="D297" s="247">
        <f>'Table S2 Compound Identifiers'!B299</f>
        <v>0</v>
      </c>
      <c r="E297" s="247"/>
      <c r="F297" s="248"/>
      <c r="G297" s="249"/>
      <c r="H297" s="330"/>
      <c r="I297" s="328"/>
      <c r="J297" s="249"/>
      <c r="K297" s="330"/>
      <c r="L297" s="250"/>
      <c r="M297" s="249"/>
      <c r="N297" s="330"/>
      <c r="O297" s="250"/>
      <c r="P297" s="249"/>
      <c r="Q297" s="330"/>
      <c r="R297" s="250"/>
      <c r="S297" s="249"/>
      <c r="T297" s="330"/>
      <c r="U297" s="250"/>
      <c r="V297" s="249"/>
      <c r="W297" s="330"/>
      <c r="X297" s="343"/>
      <c r="Y297" s="249"/>
      <c r="Z297" s="330"/>
      <c r="AA297" s="343"/>
      <c r="AB297" s="249"/>
      <c r="AC297" s="330"/>
      <c r="AD297" s="343"/>
      <c r="AE297" s="249"/>
      <c r="AF297" s="330"/>
      <c r="AG297" s="343"/>
      <c r="AH297" s="249"/>
      <c r="AI297" s="330"/>
      <c r="AJ297" s="343"/>
      <c r="AK297" s="249"/>
      <c r="AL297" s="330"/>
      <c r="AM297" s="343"/>
      <c r="AN297" s="249"/>
      <c r="AO297" s="330"/>
      <c r="AP297" s="343"/>
      <c r="AQ297" s="249"/>
      <c r="AR297" s="330"/>
      <c r="AS297" s="343"/>
      <c r="AT297" s="249"/>
      <c r="AU297" s="330"/>
    </row>
    <row r="298" spans="2:47">
      <c r="B298" s="247">
        <f>'Table S2 Compound Identifiers'!C300</f>
        <v>0</v>
      </c>
      <c r="C298" s="247">
        <f>COUNTIF($D$6:D298,"&lt;&gt;"&amp;"")</f>
        <v>293</v>
      </c>
      <c r="D298" s="247">
        <f>'Table S2 Compound Identifiers'!B300</f>
        <v>0</v>
      </c>
      <c r="E298" s="247"/>
      <c r="F298" s="248"/>
      <c r="G298" s="249"/>
      <c r="H298" s="330"/>
      <c r="I298" s="328"/>
      <c r="J298" s="249"/>
      <c r="K298" s="330"/>
      <c r="L298" s="250"/>
      <c r="M298" s="249"/>
      <c r="N298" s="330"/>
      <c r="O298" s="250"/>
      <c r="P298" s="249"/>
      <c r="Q298" s="330"/>
      <c r="R298" s="250"/>
      <c r="S298" s="249"/>
      <c r="T298" s="330"/>
      <c r="U298" s="250"/>
      <c r="V298" s="249"/>
      <c r="W298" s="330"/>
      <c r="X298" s="343"/>
      <c r="Y298" s="249"/>
      <c r="Z298" s="330"/>
      <c r="AA298" s="343"/>
      <c r="AB298" s="249"/>
      <c r="AC298" s="330"/>
      <c r="AD298" s="343"/>
      <c r="AE298" s="249"/>
      <c r="AF298" s="330"/>
      <c r="AG298" s="343"/>
      <c r="AH298" s="249"/>
      <c r="AI298" s="330"/>
      <c r="AJ298" s="343"/>
      <c r="AK298" s="249"/>
      <c r="AL298" s="330"/>
      <c r="AM298" s="343"/>
      <c r="AN298" s="249"/>
      <c r="AO298" s="330"/>
      <c r="AP298" s="343"/>
      <c r="AQ298" s="249"/>
      <c r="AR298" s="330"/>
      <c r="AS298" s="343"/>
      <c r="AT298" s="249"/>
      <c r="AU298" s="330"/>
    </row>
    <row r="299" spans="2:47">
      <c r="B299" s="247">
        <f>'Table S2 Compound Identifiers'!C301</f>
        <v>0</v>
      </c>
      <c r="C299" s="247">
        <f>COUNTIF($D$6:D299,"&lt;&gt;"&amp;"")</f>
        <v>294</v>
      </c>
      <c r="D299" s="247">
        <f>'Table S2 Compound Identifiers'!B301</f>
        <v>0</v>
      </c>
      <c r="E299" s="247"/>
      <c r="F299" s="248"/>
      <c r="G299" s="249"/>
      <c r="H299" s="330"/>
      <c r="I299" s="328"/>
      <c r="J299" s="249"/>
      <c r="K299" s="330"/>
      <c r="L299" s="250"/>
      <c r="M299" s="249"/>
      <c r="N299" s="330"/>
      <c r="O299" s="250"/>
      <c r="P299" s="249"/>
      <c r="Q299" s="330"/>
      <c r="R299" s="250"/>
      <c r="S299" s="249"/>
      <c r="T299" s="330"/>
      <c r="U299" s="250"/>
      <c r="V299" s="249"/>
      <c r="W299" s="330"/>
      <c r="X299" s="343"/>
      <c r="Y299" s="249"/>
      <c r="Z299" s="330"/>
      <c r="AA299" s="343"/>
      <c r="AB299" s="249"/>
      <c r="AC299" s="330"/>
      <c r="AD299" s="343"/>
      <c r="AE299" s="249"/>
      <c r="AF299" s="330"/>
      <c r="AG299" s="343"/>
      <c r="AH299" s="249"/>
      <c r="AI299" s="330"/>
      <c r="AJ299" s="343"/>
      <c r="AK299" s="249"/>
      <c r="AL299" s="330"/>
      <c r="AM299" s="343"/>
      <c r="AN299" s="249"/>
      <c r="AO299" s="330"/>
      <c r="AP299" s="343"/>
      <c r="AQ299" s="249"/>
      <c r="AR299" s="330"/>
      <c r="AS299" s="343"/>
      <c r="AT299" s="249"/>
      <c r="AU299" s="330"/>
    </row>
    <row r="300" spans="2:47">
      <c r="B300" s="247">
        <f>'Table S2 Compound Identifiers'!C302</f>
        <v>0</v>
      </c>
      <c r="C300" s="247">
        <f>COUNTIF($D$6:D300,"&lt;&gt;"&amp;"")</f>
        <v>295</v>
      </c>
      <c r="D300" s="247">
        <f>'Table S2 Compound Identifiers'!B302</f>
        <v>0</v>
      </c>
      <c r="E300" s="247"/>
      <c r="F300" s="248"/>
      <c r="G300" s="249"/>
      <c r="H300" s="330"/>
      <c r="I300" s="328"/>
      <c r="J300" s="249"/>
      <c r="K300" s="330"/>
      <c r="L300" s="250"/>
      <c r="M300" s="249"/>
      <c r="N300" s="330"/>
      <c r="O300" s="251"/>
      <c r="P300" s="252"/>
      <c r="Q300" s="330"/>
      <c r="R300" s="251"/>
      <c r="S300" s="252"/>
      <c r="T300" s="330"/>
      <c r="U300" s="251"/>
      <c r="V300" s="252"/>
      <c r="W300" s="330"/>
      <c r="X300" s="343"/>
      <c r="Y300" s="249"/>
      <c r="Z300" s="330"/>
      <c r="AA300" s="343"/>
      <c r="AB300" s="249"/>
      <c r="AC300" s="330"/>
      <c r="AD300" s="343"/>
      <c r="AE300" s="249"/>
      <c r="AF300" s="330"/>
      <c r="AG300" s="343"/>
      <c r="AH300" s="249"/>
      <c r="AI300" s="330"/>
      <c r="AJ300" s="343"/>
      <c r="AK300" s="249"/>
      <c r="AL300" s="330"/>
      <c r="AM300" s="343"/>
      <c r="AN300" s="249"/>
      <c r="AO300" s="330"/>
      <c r="AP300" s="343"/>
      <c r="AQ300" s="249"/>
      <c r="AR300" s="330"/>
      <c r="AS300" s="343"/>
      <c r="AT300" s="249"/>
      <c r="AU300" s="330"/>
    </row>
    <row r="301" spans="2:47">
      <c r="B301" s="247">
        <f>'Table S2 Compound Identifiers'!C303</f>
        <v>0</v>
      </c>
      <c r="C301" s="253">
        <f>COUNTIF($D$6:D301,"&lt;&gt;"&amp;"")</f>
        <v>296</v>
      </c>
      <c r="D301" s="253">
        <f>'Table S2 Compound Identifiers'!B303</f>
        <v>0</v>
      </c>
      <c r="E301" s="253"/>
      <c r="F301" s="254"/>
      <c r="G301" s="252"/>
      <c r="H301" s="330"/>
      <c r="I301" s="333"/>
      <c r="J301" s="252"/>
      <c r="K301" s="330"/>
      <c r="L301" s="251"/>
      <c r="M301" s="252"/>
      <c r="N301" s="330"/>
      <c r="O301" s="251"/>
      <c r="P301" s="252"/>
      <c r="Q301" s="330"/>
      <c r="R301" s="251"/>
      <c r="S301" s="252"/>
      <c r="T301" s="330"/>
      <c r="U301" s="251"/>
      <c r="V301" s="252"/>
      <c r="W301" s="330"/>
      <c r="X301" s="343"/>
      <c r="Y301" s="249"/>
      <c r="Z301" s="330"/>
      <c r="AA301" s="343"/>
      <c r="AB301" s="249"/>
      <c r="AC301" s="330"/>
      <c r="AD301" s="343"/>
      <c r="AE301" s="249"/>
      <c r="AF301" s="330"/>
      <c r="AG301" s="343"/>
      <c r="AH301" s="249"/>
      <c r="AI301" s="330"/>
      <c r="AJ301" s="343"/>
      <c r="AK301" s="249"/>
      <c r="AL301" s="330"/>
      <c r="AM301" s="343"/>
      <c r="AN301" s="249"/>
      <c r="AO301" s="330"/>
      <c r="AP301" s="343"/>
      <c r="AQ301" s="249"/>
      <c r="AR301" s="330"/>
      <c r="AS301" s="343"/>
      <c r="AT301" s="249"/>
      <c r="AU301" s="330"/>
    </row>
    <row r="302" spans="2:47">
      <c r="B302" s="247">
        <f>'Table S2 Compound Identifiers'!C304</f>
        <v>0</v>
      </c>
      <c r="C302" s="247">
        <f>COUNTIF($D$6:D302,"&lt;&gt;"&amp;"")</f>
        <v>297</v>
      </c>
      <c r="D302" s="247">
        <f>'Table S2 Compound Identifiers'!B304</f>
        <v>0</v>
      </c>
      <c r="E302" s="247"/>
      <c r="F302" s="248"/>
      <c r="G302" s="250"/>
      <c r="H302" s="330"/>
      <c r="I302" s="343"/>
      <c r="J302" s="249"/>
      <c r="K302" s="327"/>
      <c r="L302" s="343"/>
      <c r="M302" s="249"/>
      <c r="N302" s="327"/>
      <c r="O302" s="343"/>
      <c r="P302" s="249"/>
      <c r="Q302" s="327"/>
      <c r="R302" s="343"/>
      <c r="S302" s="249"/>
      <c r="T302" s="327"/>
      <c r="U302" s="343"/>
      <c r="V302" s="249"/>
      <c r="W302" s="327"/>
      <c r="X302" s="343"/>
      <c r="Y302" s="249"/>
      <c r="Z302" s="327"/>
      <c r="AA302" s="343"/>
      <c r="AB302" s="249"/>
      <c r="AC302" s="343"/>
      <c r="AD302" s="343"/>
      <c r="AE302" s="249"/>
      <c r="AF302" s="249"/>
      <c r="AG302" s="343"/>
      <c r="AH302" s="249"/>
      <c r="AI302" s="343"/>
      <c r="AJ302" s="343"/>
      <c r="AK302" s="249"/>
      <c r="AL302" s="249"/>
      <c r="AM302" s="343"/>
      <c r="AN302" s="249"/>
      <c r="AO302" s="343"/>
      <c r="AP302" s="343"/>
      <c r="AQ302" s="249"/>
      <c r="AR302" s="249"/>
      <c r="AS302" s="343"/>
      <c r="AT302" s="249"/>
      <c r="AU302" s="343"/>
    </row>
    <row r="303" spans="2:47">
      <c r="B303" s="247">
        <f>'Table S2 Compound Identifiers'!C305</f>
        <v>0</v>
      </c>
      <c r="C303" s="247">
        <f>COUNTIF($D$6:D303,"&lt;&gt;"&amp;"")</f>
        <v>298</v>
      </c>
      <c r="D303" s="247">
        <f>'Table S2 Compound Identifiers'!B305</f>
        <v>0</v>
      </c>
      <c r="E303" s="247"/>
      <c r="F303" s="248"/>
      <c r="G303" s="249"/>
      <c r="H303" s="330"/>
      <c r="I303" s="332"/>
      <c r="J303" s="330"/>
      <c r="K303" s="330"/>
      <c r="L303" s="330"/>
      <c r="M303" s="330"/>
      <c r="N303" s="330"/>
      <c r="O303" s="330"/>
      <c r="P303" s="330"/>
      <c r="Q303" s="330"/>
      <c r="R303" s="330"/>
      <c r="S303" s="330"/>
      <c r="T303" s="330"/>
      <c r="U303" s="330"/>
      <c r="V303" s="330"/>
      <c r="W303" s="330"/>
      <c r="X303" s="343"/>
      <c r="Y303" s="249"/>
      <c r="Z303" s="330"/>
      <c r="AA303" s="343"/>
      <c r="AB303" s="249"/>
      <c r="AC303" s="330"/>
      <c r="AD303" s="343"/>
      <c r="AE303" s="249"/>
      <c r="AF303" s="330"/>
      <c r="AG303" s="343"/>
      <c r="AH303" s="249"/>
      <c r="AI303" s="330"/>
      <c r="AJ303" s="343"/>
      <c r="AK303" s="249"/>
      <c r="AL303" s="330"/>
      <c r="AM303" s="343"/>
      <c r="AN303" s="249"/>
      <c r="AO303" s="330"/>
      <c r="AP303" s="343"/>
      <c r="AQ303" s="249"/>
      <c r="AR303" s="330"/>
      <c r="AS303" s="343"/>
      <c r="AT303" s="249"/>
      <c r="AU303" s="330"/>
    </row>
    <row r="304" spans="2:47">
      <c r="B304" s="247">
        <f>'Table S2 Compound Identifiers'!C306</f>
        <v>0</v>
      </c>
      <c r="C304" s="247">
        <f>COUNTIF($D$6:D304,"&lt;&gt;"&amp;"")</f>
        <v>299</v>
      </c>
      <c r="D304" s="247">
        <f>'Table S2 Compound Identifiers'!B306</f>
        <v>0</v>
      </c>
      <c r="E304" s="247"/>
      <c r="F304" s="248"/>
      <c r="G304" s="249"/>
      <c r="H304" s="330"/>
      <c r="I304" s="332"/>
      <c r="J304" s="330"/>
      <c r="K304" s="330"/>
      <c r="L304" s="330"/>
      <c r="M304" s="330"/>
      <c r="N304" s="330"/>
      <c r="O304" s="330"/>
      <c r="P304" s="330"/>
      <c r="Q304" s="330"/>
      <c r="R304" s="330"/>
      <c r="S304" s="330"/>
      <c r="T304" s="330"/>
      <c r="U304" s="330"/>
      <c r="V304" s="330"/>
      <c r="W304" s="330"/>
      <c r="X304" s="343"/>
      <c r="Y304" s="249"/>
      <c r="Z304" s="330"/>
      <c r="AA304" s="343"/>
      <c r="AB304" s="249"/>
      <c r="AC304" s="330"/>
      <c r="AD304" s="343"/>
      <c r="AE304" s="249"/>
      <c r="AF304" s="330"/>
      <c r="AG304" s="343"/>
      <c r="AH304" s="249"/>
      <c r="AI304" s="330"/>
      <c r="AJ304" s="343"/>
      <c r="AK304" s="249"/>
      <c r="AL304" s="330"/>
      <c r="AM304" s="343"/>
      <c r="AN304" s="249"/>
      <c r="AO304" s="330"/>
      <c r="AP304" s="343"/>
      <c r="AQ304" s="249"/>
      <c r="AR304" s="330"/>
      <c r="AS304" s="343"/>
      <c r="AT304" s="249"/>
      <c r="AU304" s="330"/>
    </row>
    <row r="305" spans="2:47">
      <c r="B305" s="247">
        <f>'Table S2 Compound Identifiers'!C307</f>
        <v>0</v>
      </c>
      <c r="C305" s="247">
        <f>COUNTIF($D$6:D305,"&lt;&gt;"&amp;"")</f>
        <v>300</v>
      </c>
      <c r="D305" s="247">
        <f>'Table S2 Compound Identifiers'!B307</f>
        <v>0</v>
      </c>
      <c r="E305" s="247"/>
      <c r="F305" s="248"/>
      <c r="G305" s="249"/>
      <c r="H305" s="330"/>
      <c r="I305" s="332"/>
      <c r="J305" s="330"/>
      <c r="K305" s="330"/>
      <c r="L305" s="330"/>
      <c r="M305" s="330"/>
      <c r="N305" s="330"/>
      <c r="O305" s="330"/>
      <c r="P305" s="330"/>
      <c r="Q305" s="330"/>
      <c r="R305" s="330"/>
      <c r="S305" s="330"/>
      <c r="T305" s="330"/>
      <c r="U305" s="330"/>
      <c r="V305" s="330"/>
      <c r="W305" s="330"/>
      <c r="X305" s="343"/>
      <c r="Y305" s="249"/>
      <c r="Z305" s="330"/>
      <c r="AA305" s="343"/>
      <c r="AB305" s="249"/>
      <c r="AC305" s="330"/>
      <c r="AD305" s="343"/>
      <c r="AE305" s="249"/>
      <c r="AF305" s="330"/>
      <c r="AG305" s="343"/>
      <c r="AH305" s="249"/>
      <c r="AI305" s="330"/>
      <c r="AJ305" s="343"/>
      <c r="AK305" s="249"/>
      <c r="AL305" s="330"/>
      <c r="AM305" s="343"/>
      <c r="AN305" s="249"/>
      <c r="AO305" s="330"/>
      <c r="AP305" s="343"/>
      <c r="AQ305" s="249"/>
      <c r="AR305" s="330"/>
      <c r="AS305" s="343"/>
      <c r="AT305" s="249"/>
      <c r="AU305" s="330"/>
    </row>
    <row r="306" spans="2:47">
      <c r="B306" s="247">
        <f>'Table S2 Compound Identifiers'!C308</f>
        <v>0</v>
      </c>
      <c r="C306" s="247">
        <f>COUNTIF($D$6:D306,"&lt;&gt;"&amp;"")</f>
        <v>301</v>
      </c>
      <c r="D306" s="247">
        <f>'Table S2 Compound Identifiers'!B308</f>
        <v>0</v>
      </c>
      <c r="E306" s="247"/>
      <c r="F306" s="248"/>
      <c r="G306" s="249"/>
      <c r="H306" s="330"/>
      <c r="I306" s="328"/>
      <c r="J306" s="249"/>
      <c r="K306" s="330"/>
      <c r="L306" s="250"/>
      <c r="M306" s="249"/>
      <c r="N306" s="330"/>
      <c r="O306" s="250"/>
      <c r="P306" s="249"/>
      <c r="Q306" s="330"/>
      <c r="R306" s="250"/>
      <c r="S306" s="249"/>
      <c r="T306" s="330"/>
      <c r="U306" s="250"/>
      <c r="V306" s="249"/>
      <c r="W306" s="330"/>
      <c r="X306" s="343"/>
      <c r="Y306" s="249"/>
      <c r="Z306" s="330"/>
      <c r="AA306" s="343"/>
      <c r="AB306" s="249"/>
      <c r="AC306" s="330"/>
      <c r="AD306" s="343"/>
      <c r="AE306" s="249"/>
      <c r="AF306" s="330"/>
      <c r="AG306" s="343"/>
      <c r="AH306" s="249"/>
      <c r="AI306" s="330"/>
      <c r="AJ306" s="343"/>
      <c r="AK306" s="249"/>
      <c r="AL306" s="330"/>
      <c r="AM306" s="343"/>
      <c r="AN306" s="249"/>
      <c r="AO306" s="330"/>
      <c r="AP306" s="343"/>
      <c r="AQ306" s="249"/>
      <c r="AR306" s="330"/>
      <c r="AS306" s="343"/>
      <c r="AT306" s="249"/>
      <c r="AU306" s="330"/>
    </row>
    <row r="307" spans="2:47">
      <c r="B307" s="247">
        <f>'Table S2 Compound Identifiers'!C309</f>
        <v>0</v>
      </c>
      <c r="C307" s="247">
        <f>COUNTIF($D$6:D307,"&lt;&gt;"&amp;"")</f>
        <v>302</v>
      </c>
      <c r="D307" s="247">
        <f>'Table S2 Compound Identifiers'!B309</f>
        <v>0</v>
      </c>
      <c r="E307" s="247"/>
      <c r="F307" s="248"/>
      <c r="G307" s="249"/>
      <c r="H307" s="330"/>
      <c r="I307" s="328"/>
      <c r="J307" s="249"/>
      <c r="K307" s="330"/>
      <c r="L307" s="250"/>
      <c r="M307" s="249"/>
      <c r="N307" s="330"/>
      <c r="O307" s="250"/>
      <c r="P307" s="249"/>
      <c r="Q307" s="330"/>
      <c r="R307" s="250"/>
      <c r="S307" s="249"/>
      <c r="T307" s="330"/>
      <c r="U307" s="250"/>
      <c r="V307" s="249"/>
      <c r="W307" s="330"/>
      <c r="X307" s="343"/>
      <c r="Y307" s="249"/>
      <c r="Z307" s="330"/>
      <c r="AA307" s="343"/>
      <c r="AB307" s="249"/>
      <c r="AC307" s="330"/>
      <c r="AD307" s="343"/>
      <c r="AE307" s="249"/>
      <c r="AF307" s="330"/>
      <c r="AG307" s="343"/>
      <c r="AH307" s="249"/>
      <c r="AI307" s="330"/>
      <c r="AJ307" s="343"/>
      <c r="AK307" s="249"/>
      <c r="AL307" s="330"/>
      <c r="AM307" s="343"/>
      <c r="AN307" s="249"/>
      <c r="AO307" s="330"/>
      <c r="AP307" s="343"/>
      <c r="AQ307" s="249"/>
      <c r="AR307" s="330"/>
      <c r="AS307" s="343"/>
      <c r="AT307" s="249"/>
      <c r="AU307" s="330"/>
    </row>
    <row r="308" spans="2:47">
      <c r="B308" s="247">
        <f>'Table S2 Compound Identifiers'!C310</f>
        <v>0</v>
      </c>
      <c r="C308" s="247">
        <f>COUNTIF($D$6:D308,"&lt;&gt;"&amp;"")</f>
        <v>303</v>
      </c>
      <c r="D308" s="247">
        <f>'Table S2 Compound Identifiers'!B310</f>
        <v>0</v>
      </c>
      <c r="E308" s="247"/>
      <c r="F308" s="248"/>
      <c r="G308" s="249"/>
      <c r="H308" s="330"/>
      <c r="I308" s="328"/>
      <c r="J308" s="249"/>
      <c r="K308" s="330"/>
      <c r="L308" s="250"/>
      <c r="M308" s="249"/>
      <c r="N308" s="330"/>
      <c r="O308" s="250"/>
      <c r="P308" s="249"/>
      <c r="Q308" s="330"/>
      <c r="R308" s="250"/>
      <c r="S308" s="249"/>
      <c r="T308" s="330"/>
      <c r="U308" s="250"/>
      <c r="V308" s="249"/>
      <c r="W308" s="330"/>
      <c r="X308" s="343"/>
      <c r="Y308" s="249"/>
      <c r="Z308" s="330"/>
      <c r="AA308" s="343"/>
      <c r="AB308" s="249"/>
      <c r="AC308" s="330"/>
      <c r="AD308" s="343"/>
      <c r="AE308" s="249"/>
      <c r="AF308" s="330"/>
      <c r="AG308" s="343"/>
      <c r="AH308" s="249"/>
      <c r="AI308" s="330"/>
      <c r="AJ308" s="343"/>
      <c r="AK308" s="249"/>
      <c r="AL308" s="330"/>
      <c r="AM308" s="343"/>
      <c r="AN308" s="249"/>
      <c r="AO308" s="330"/>
      <c r="AP308" s="343"/>
      <c r="AQ308" s="249"/>
      <c r="AR308" s="330"/>
      <c r="AS308" s="343"/>
      <c r="AT308" s="249"/>
      <c r="AU308" s="330"/>
    </row>
    <row r="309" spans="2:47">
      <c r="B309" s="247">
        <f>'Table S2 Compound Identifiers'!C311</f>
        <v>0</v>
      </c>
      <c r="C309" s="247">
        <f>COUNTIF($D$6:D309,"&lt;&gt;"&amp;"")</f>
        <v>304</v>
      </c>
      <c r="D309" s="247">
        <f>'Table S2 Compound Identifiers'!B311</f>
        <v>0</v>
      </c>
      <c r="E309" s="247"/>
      <c r="F309" s="248"/>
      <c r="G309" s="249"/>
      <c r="H309" s="330"/>
      <c r="I309" s="328"/>
      <c r="J309" s="249"/>
      <c r="K309" s="330"/>
      <c r="L309" s="250"/>
      <c r="M309" s="249"/>
      <c r="N309" s="330"/>
      <c r="O309" s="250"/>
      <c r="P309" s="249"/>
      <c r="Q309" s="330"/>
      <c r="R309" s="250"/>
      <c r="S309" s="249"/>
      <c r="T309" s="330"/>
      <c r="U309" s="250"/>
      <c r="V309" s="249"/>
      <c r="W309" s="330"/>
      <c r="X309" s="343"/>
      <c r="Y309" s="249"/>
      <c r="Z309" s="330"/>
      <c r="AA309" s="343"/>
      <c r="AB309" s="249"/>
      <c r="AC309" s="330"/>
      <c r="AD309" s="343"/>
      <c r="AE309" s="249"/>
      <c r="AF309" s="330"/>
      <c r="AG309" s="343"/>
      <c r="AH309" s="249"/>
      <c r="AI309" s="330"/>
      <c r="AJ309" s="343"/>
      <c r="AK309" s="249"/>
      <c r="AL309" s="330"/>
      <c r="AM309" s="343"/>
      <c r="AN309" s="249"/>
      <c r="AO309" s="330"/>
      <c r="AP309" s="343"/>
      <c r="AQ309" s="249"/>
      <c r="AR309" s="330"/>
      <c r="AS309" s="343"/>
      <c r="AT309" s="249"/>
      <c r="AU309" s="330"/>
    </row>
    <row r="310" spans="2:47">
      <c r="B310" s="247">
        <f>'Table S2 Compound Identifiers'!C312</f>
        <v>0</v>
      </c>
      <c r="C310" s="247">
        <f>COUNTIF($D$6:D310,"&lt;&gt;"&amp;"")</f>
        <v>305</v>
      </c>
      <c r="D310" s="247">
        <f>'Table S2 Compound Identifiers'!B312</f>
        <v>0</v>
      </c>
      <c r="E310" s="247"/>
      <c r="F310" s="248"/>
      <c r="G310" s="249"/>
      <c r="H310" s="330"/>
      <c r="I310" s="328"/>
      <c r="J310" s="249"/>
      <c r="K310" s="330"/>
      <c r="L310" s="250"/>
      <c r="M310" s="249"/>
      <c r="N310" s="330"/>
      <c r="O310" s="250"/>
      <c r="P310" s="249"/>
      <c r="Q310" s="330"/>
      <c r="R310" s="250"/>
      <c r="S310" s="249"/>
      <c r="T310" s="330"/>
      <c r="U310" s="250"/>
      <c r="V310" s="249"/>
      <c r="W310" s="330"/>
      <c r="X310" s="343"/>
      <c r="Y310" s="249"/>
      <c r="Z310" s="330"/>
      <c r="AA310" s="343"/>
      <c r="AB310" s="249"/>
      <c r="AC310" s="330"/>
      <c r="AD310" s="343"/>
      <c r="AE310" s="249"/>
      <c r="AF310" s="330"/>
      <c r="AG310" s="343"/>
      <c r="AH310" s="249"/>
      <c r="AI310" s="330"/>
      <c r="AJ310" s="343"/>
      <c r="AK310" s="249"/>
      <c r="AL310" s="330"/>
      <c r="AM310" s="343"/>
      <c r="AN310" s="249"/>
      <c r="AO310" s="330"/>
      <c r="AP310" s="343"/>
      <c r="AQ310" s="249"/>
      <c r="AR310" s="330"/>
      <c r="AS310" s="343"/>
      <c r="AT310" s="249"/>
      <c r="AU310" s="330"/>
    </row>
    <row r="311" spans="2:47">
      <c r="B311" s="247">
        <f>'Table S2 Compound Identifiers'!C313</f>
        <v>0</v>
      </c>
      <c r="C311" s="247">
        <f>COUNTIF($D$6:D311,"&lt;&gt;"&amp;"")</f>
        <v>306</v>
      </c>
      <c r="D311" s="247">
        <f>'Table S2 Compound Identifiers'!B313</f>
        <v>0</v>
      </c>
      <c r="E311" s="247"/>
      <c r="F311" s="248"/>
      <c r="G311" s="249"/>
      <c r="H311" s="330"/>
      <c r="I311" s="328"/>
      <c r="J311" s="249"/>
      <c r="K311" s="330"/>
      <c r="L311" s="250"/>
      <c r="M311" s="249"/>
      <c r="N311" s="330"/>
      <c r="O311" s="250"/>
      <c r="P311" s="249"/>
      <c r="Q311" s="330"/>
      <c r="R311" s="250"/>
      <c r="S311" s="249"/>
      <c r="T311" s="330"/>
      <c r="U311" s="250"/>
      <c r="V311" s="249"/>
      <c r="W311" s="330"/>
      <c r="X311" s="343"/>
      <c r="Y311" s="249"/>
      <c r="Z311" s="330"/>
      <c r="AA311" s="343"/>
      <c r="AB311" s="249"/>
      <c r="AC311" s="330"/>
      <c r="AD311" s="343"/>
      <c r="AE311" s="249"/>
      <c r="AF311" s="330"/>
      <c r="AG311" s="343"/>
      <c r="AH311" s="249"/>
      <c r="AI311" s="330"/>
      <c r="AJ311" s="343"/>
      <c r="AK311" s="249"/>
      <c r="AL311" s="330"/>
      <c r="AM311" s="343"/>
      <c r="AN311" s="249"/>
      <c r="AO311" s="330"/>
      <c r="AP311" s="343"/>
      <c r="AQ311" s="249"/>
      <c r="AR311" s="330"/>
      <c r="AS311" s="343"/>
      <c r="AT311" s="249"/>
      <c r="AU311" s="330"/>
    </row>
    <row r="312" spans="2:47">
      <c r="B312" s="247">
        <f>'Table S2 Compound Identifiers'!C314</f>
        <v>0</v>
      </c>
      <c r="C312" s="247">
        <f>COUNTIF($D$6:D312,"&lt;&gt;"&amp;"")</f>
        <v>307</v>
      </c>
      <c r="D312" s="247">
        <f>'Table S2 Compound Identifiers'!B314</f>
        <v>0</v>
      </c>
      <c r="E312" s="247"/>
      <c r="F312" s="248"/>
      <c r="G312" s="249"/>
      <c r="H312" s="330"/>
      <c r="I312" s="328"/>
      <c r="J312" s="249"/>
      <c r="K312" s="330"/>
      <c r="L312" s="250"/>
      <c r="M312" s="249"/>
      <c r="N312" s="330"/>
      <c r="O312" s="250"/>
      <c r="P312" s="249"/>
      <c r="Q312" s="330"/>
      <c r="R312" s="250"/>
      <c r="S312" s="249"/>
      <c r="T312" s="330"/>
      <c r="U312" s="250"/>
      <c r="V312" s="249"/>
      <c r="W312" s="330"/>
      <c r="X312" s="343"/>
      <c r="Y312" s="249"/>
      <c r="Z312" s="330"/>
      <c r="AA312" s="343"/>
      <c r="AB312" s="249"/>
      <c r="AC312" s="330"/>
      <c r="AD312" s="343"/>
      <c r="AE312" s="249"/>
      <c r="AF312" s="330"/>
      <c r="AG312" s="343"/>
      <c r="AH312" s="249"/>
      <c r="AI312" s="330"/>
      <c r="AJ312" s="343"/>
      <c r="AK312" s="249"/>
      <c r="AL312" s="330"/>
      <c r="AM312" s="343"/>
      <c r="AN312" s="249"/>
      <c r="AO312" s="330"/>
      <c r="AP312" s="343"/>
      <c r="AQ312" s="249"/>
      <c r="AR312" s="330"/>
      <c r="AS312" s="343"/>
      <c r="AT312" s="249"/>
      <c r="AU312" s="330"/>
    </row>
    <row r="313" spans="2:47">
      <c r="B313" s="247">
        <f>'Table S2 Compound Identifiers'!C315</f>
        <v>0</v>
      </c>
      <c r="C313" s="247">
        <f>COUNTIF($D$6:D313,"&lt;&gt;"&amp;"")</f>
        <v>308</v>
      </c>
      <c r="D313" s="247">
        <f>'Table S2 Compound Identifiers'!B315</f>
        <v>0</v>
      </c>
      <c r="E313" s="247"/>
      <c r="F313" s="248"/>
      <c r="G313" s="249"/>
      <c r="H313" s="330"/>
      <c r="I313" s="328"/>
      <c r="J313" s="249"/>
      <c r="K313" s="330"/>
      <c r="L313" s="250"/>
      <c r="M313" s="249"/>
      <c r="N313" s="330"/>
      <c r="O313" s="250"/>
      <c r="P313" s="249"/>
      <c r="Q313" s="330"/>
      <c r="R313" s="250"/>
      <c r="S313" s="249"/>
      <c r="T313" s="330"/>
      <c r="U313" s="250"/>
      <c r="V313" s="249"/>
      <c r="W313" s="330"/>
      <c r="X313" s="343"/>
      <c r="Y313" s="249"/>
      <c r="Z313" s="330"/>
      <c r="AA313" s="343"/>
      <c r="AB313" s="249"/>
      <c r="AC313" s="330"/>
      <c r="AD313" s="343"/>
      <c r="AE313" s="249"/>
      <c r="AF313" s="330"/>
      <c r="AG313" s="343"/>
      <c r="AH313" s="249"/>
      <c r="AI313" s="330"/>
      <c r="AJ313" s="343"/>
      <c r="AK313" s="249"/>
      <c r="AL313" s="330"/>
      <c r="AM313" s="343"/>
      <c r="AN313" s="249"/>
      <c r="AO313" s="330"/>
      <c r="AP313" s="343"/>
      <c r="AQ313" s="249"/>
      <c r="AR313" s="330"/>
      <c r="AS313" s="343"/>
      <c r="AT313" s="249"/>
      <c r="AU313" s="330"/>
    </row>
    <row r="314" spans="2:47">
      <c r="B314" s="247">
        <f>'Table S2 Compound Identifiers'!C316</f>
        <v>0</v>
      </c>
      <c r="C314" s="247">
        <f>COUNTIF($D$6:D314,"&lt;&gt;"&amp;"")</f>
        <v>309</v>
      </c>
      <c r="D314" s="247">
        <f>'Table S2 Compound Identifiers'!B316</f>
        <v>0</v>
      </c>
      <c r="E314" s="247"/>
      <c r="F314" s="248"/>
      <c r="G314" s="249"/>
      <c r="H314" s="330"/>
      <c r="I314" s="328"/>
      <c r="J314" s="249"/>
      <c r="K314" s="330"/>
      <c r="L314" s="250"/>
      <c r="M314" s="249"/>
      <c r="N314" s="330"/>
      <c r="O314" s="250"/>
      <c r="P314" s="249"/>
      <c r="Q314" s="330"/>
      <c r="R314" s="250"/>
      <c r="S314" s="249"/>
      <c r="T314" s="330"/>
      <c r="U314" s="250"/>
      <c r="V314" s="249"/>
      <c r="W314" s="330"/>
      <c r="X314" s="343"/>
      <c r="Y314" s="249"/>
      <c r="Z314" s="330"/>
      <c r="AA314" s="343"/>
      <c r="AB314" s="249"/>
      <c r="AC314" s="330"/>
      <c r="AD314" s="343"/>
      <c r="AE314" s="249"/>
      <c r="AF314" s="330"/>
      <c r="AG314" s="343"/>
      <c r="AH314" s="249"/>
      <c r="AI314" s="330"/>
      <c r="AJ314" s="343"/>
      <c r="AK314" s="249"/>
      <c r="AL314" s="330"/>
      <c r="AM314" s="343"/>
      <c r="AN314" s="249"/>
      <c r="AO314" s="330"/>
      <c r="AP314" s="343"/>
      <c r="AQ314" s="249"/>
      <c r="AR314" s="330"/>
      <c r="AS314" s="343"/>
      <c r="AT314" s="249"/>
      <c r="AU314" s="330"/>
    </row>
    <row r="315" spans="2:47">
      <c r="B315" s="247">
        <f>'Table S2 Compound Identifiers'!C317</f>
        <v>0</v>
      </c>
      <c r="C315" s="247">
        <f>COUNTIF($D$6:D315,"&lt;&gt;"&amp;"")</f>
        <v>310</v>
      </c>
      <c r="D315" s="247">
        <f>'Table S2 Compound Identifiers'!B317</f>
        <v>0</v>
      </c>
      <c r="E315" s="247"/>
      <c r="F315" s="248"/>
      <c r="G315" s="249"/>
      <c r="H315" s="330"/>
      <c r="I315" s="328"/>
      <c r="J315" s="249"/>
      <c r="K315" s="330"/>
      <c r="L315" s="250"/>
      <c r="M315" s="249"/>
      <c r="N315" s="330"/>
      <c r="O315" s="250"/>
      <c r="P315" s="249"/>
      <c r="Q315" s="330"/>
      <c r="R315" s="250"/>
      <c r="S315" s="249"/>
      <c r="T315" s="330"/>
      <c r="U315" s="250"/>
      <c r="V315" s="249"/>
      <c r="W315" s="330"/>
      <c r="X315" s="343"/>
      <c r="Y315" s="249"/>
      <c r="Z315" s="330"/>
      <c r="AA315" s="343"/>
      <c r="AB315" s="249"/>
      <c r="AC315" s="330"/>
      <c r="AD315" s="343"/>
      <c r="AE315" s="249"/>
      <c r="AF315" s="330"/>
      <c r="AG315" s="343"/>
      <c r="AH315" s="249"/>
      <c r="AI315" s="330"/>
      <c r="AJ315" s="343"/>
      <c r="AK315" s="249"/>
      <c r="AL315" s="330"/>
      <c r="AM315" s="343"/>
      <c r="AN315" s="249"/>
      <c r="AO315" s="330"/>
      <c r="AP315" s="343"/>
      <c r="AQ315" s="249"/>
      <c r="AR315" s="330"/>
      <c r="AS315" s="343"/>
      <c r="AT315" s="249"/>
      <c r="AU315" s="330"/>
    </row>
    <row r="316" spans="2:47">
      <c r="B316" s="247">
        <f>'Table S2 Compound Identifiers'!C318</f>
        <v>0</v>
      </c>
      <c r="C316" s="247">
        <f>COUNTIF($D$6:D316,"&lt;&gt;"&amp;"")</f>
        <v>311</v>
      </c>
      <c r="D316" s="247">
        <f>'Table S2 Compound Identifiers'!B318</f>
        <v>0</v>
      </c>
      <c r="E316" s="247"/>
      <c r="F316" s="248"/>
      <c r="G316" s="249"/>
      <c r="H316" s="330"/>
      <c r="I316" s="328"/>
      <c r="J316" s="249"/>
      <c r="K316" s="330"/>
      <c r="L316" s="250"/>
      <c r="M316" s="249"/>
      <c r="N316" s="330"/>
      <c r="O316" s="250"/>
      <c r="P316" s="249"/>
      <c r="Q316" s="330"/>
      <c r="R316" s="250"/>
      <c r="S316" s="249"/>
      <c r="T316" s="330"/>
      <c r="U316" s="250"/>
      <c r="V316" s="249"/>
      <c r="W316" s="330"/>
      <c r="X316" s="343"/>
      <c r="Y316" s="249"/>
      <c r="Z316" s="330"/>
      <c r="AA316" s="343"/>
      <c r="AB316" s="249"/>
      <c r="AC316" s="330"/>
      <c r="AD316" s="343"/>
      <c r="AE316" s="249"/>
      <c r="AF316" s="330"/>
      <c r="AG316" s="343"/>
      <c r="AH316" s="249"/>
      <c r="AI316" s="330"/>
      <c r="AJ316" s="343"/>
      <c r="AK316" s="249"/>
      <c r="AL316" s="330"/>
      <c r="AM316" s="343"/>
      <c r="AN316" s="249"/>
      <c r="AO316" s="330"/>
      <c r="AP316" s="343"/>
      <c r="AQ316" s="249"/>
      <c r="AR316" s="330"/>
      <c r="AS316" s="343"/>
      <c r="AT316" s="249"/>
      <c r="AU316" s="330"/>
    </row>
    <row r="317" spans="2:47">
      <c r="B317" s="247">
        <f>'Table S2 Compound Identifiers'!C319</f>
        <v>0</v>
      </c>
      <c r="C317" s="247">
        <f>COUNTIF($D$6:D317,"&lt;&gt;"&amp;"")</f>
        <v>312</v>
      </c>
      <c r="D317" s="247">
        <f>'Table S2 Compound Identifiers'!B319</f>
        <v>0</v>
      </c>
      <c r="E317" s="247"/>
      <c r="F317" s="248"/>
      <c r="G317" s="249"/>
      <c r="H317" s="330"/>
      <c r="I317" s="328"/>
      <c r="J317" s="249"/>
      <c r="K317" s="330"/>
      <c r="L317" s="250"/>
      <c r="M317" s="249"/>
      <c r="N317" s="330"/>
      <c r="O317" s="250"/>
      <c r="P317" s="249"/>
      <c r="Q317" s="330"/>
      <c r="R317" s="250"/>
      <c r="S317" s="249"/>
      <c r="T317" s="330"/>
      <c r="U317" s="250"/>
      <c r="V317" s="249"/>
      <c r="W317" s="330"/>
      <c r="X317" s="343"/>
      <c r="Y317" s="249"/>
      <c r="Z317" s="330"/>
      <c r="AA317" s="343"/>
      <c r="AB317" s="249"/>
      <c r="AC317" s="330"/>
      <c r="AD317" s="343"/>
      <c r="AE317" s="249"/>
      <c r="AF317" s="330"/>
      <c r="AG317" s="343"/>
      <c r="AH317" s="249"/>
      <c r="AI317" s="330"/>
      <c r="AJ317" s="343"/>
      <c r="AK317" s="249"/>
      <c r="AL317" s="330"/>
      <c r="AM317" s="343"/>
      <c r="AN317" s="249"/>
      <c r="AO317" s="330"/>
      <c r="AP317" s="343"/>
      <c r="AQ317" s="249"/>
      <c r="AR317" s="330"/>
      <c r="AS317" s="343"/>
      <c r="AT317" s="249"/>
      <c r="AU317" s="330"/>
    </row>
    <row r="318" spans="2:47">
      <c r="B318" s="247">
        <f>'Table S2 Compound Identifiers'!C320</f>
        <v>0</v>
      </c>
      <c r="C318" s="247">
        <f>COUNTIF($D$6:D318,"&lt;&gt;"&amp;"")</f>
        <v>313</v>
      </c>
      <c r="D318" s="247">
        <f>'Table S2 Compound Identifiers'!B320</f>
        <v>0</v>
      </c>
      <c r="E318" s="247"/>
      <c r="F318" s="248"/>
      <c r="G318" s="249"/>
      <c r="H318" s="330"/>
      <c r="I318" s="328"/>
      <c r="J318" s="249"/>
      <c r="K318" s="330"/>
      <c r="L318" s="250"/>
      <c r="M318" s="249"/>
      <c r="N318" s="330"/>
      <c r="O318" s="250"/>
      <c r="P318" s="249"/>
      <c r="Q318" s="330"/>
      <c r="R318" s="250"/>
      <c r="S318" s="249"/>
      <c r="T318" s="330"/>
      <c r="U318" s="250"/>
      <c r="V318" s="249"/>
      <c r="W318" s="330"/>
      <c r="X318" s="343"/>
      <c r="Y318" s="249"/>
      <c r="Z318" s="330"/>
      <c r="AA318" s="343"/>
      <c r="AB318" s="249"/>
      <c r="AC318" s="330"/>
      <c r="AD318" s="343"/>
      <c r="AE318" s="249"/>
      <c r="AF318" s="330"/>
      <c r="AG318" s="343"/>
      <c r="AH318" s="249"/>
      <c r="AI318" s="330"/>
      <c r="AJ318" s="343"/>
      <c r="AK318" s="249"/>
      <c r="AL318" s="330"/>
      <c r="AM318" s="343"/>
      <c r="AN318" s="249"/>
      <c r="AO318" s="330"/>
      <c r="AP318" s="343"/>
      <c r="AQ318" s="249"/>
      <c r="AR318" s="330"/>
      <c r="AS318" s="343"/>
      <c r="AT318" s="249"/>
      <c r="AU318" s="330"/>
    </row>
    <row r="319" spans="2:47">
      <c r="B319" s="247">
        <f>'Table S2 Compound Identifiers'!C321</f>
        <v>0</v>
      </c>
      <c r="C319" s="247">
        <f>COUNTIF($D$6:D319,"&lt;&gt;"&amp;"")</f>
        <v>314</v>
      </c>
      <c r="D319" s="247">
        <f>'Table S2 Compound Identifiers'!B321</f>
        <v>0</v>
      </c>
      <c r="E319" s="247"/>
      <c r="F319" s="248"/>
      <c r="G319" s="249"/>
      <c r="H319" s="330"/>
      <c r="I319" s="328"/>
      <c r="J319" s="249"/>
      <c r="K319" s="330"/>
      <c r="L319" s="250"/>
      <c r="M319" s="249"/>
      <c r="N319" s="330"/>
      <c r="O319" s="250"/>
      <c r="P319" s="249"/>
      <c r="Q319" s="330"/>
      <c r="R319" s="250"/>
      <c r="S319" s="249"/>
      <c r="T319" s="330"/>
      <c r="U319" s="250"/>
      <c r="V319" s="249"/>
      <c r="W319" s="330"/>
      <c r="X319" s="343"/>
      <c r="Y319" s="249"/>
      <c r="Z319" s="330"/>
      <c r="AA319" s="343"/>
      <c r="AB319" s="249"/>
      <c r="AC319" s="330"/>
      <c r="AD319" s="343"/>
      <c r="AE319" s="249"/>
      <c r="AF319" s="330"/>
      <c r="AG319" s="343"/>
      <c r="AH319" s="249"/>
      <c r="AI319" s="330"/>
      <c r="AJ319" s="343"/>
      <c r="AK319" s="249"/>
      <c r="AL319" s="330"/>
      <c r="AM319" s="343"/>
      <c r="AN319" s="249"/>
      <c r="AO319" s="330"/>
      <c r="AP319" s="343"/>
      <c r="AQ319" s="249"/>
      <c r="AR319" s="330"/>
      <c r="AS319" s="343"/>
      <c r="AT319" s="249"/>
      <c r="AU319" s="330"/>
    </row>
    <row r="320" spans="2:47">
      <c r="B320" s="247">
        <f>'Table S2 Compound Identifiers'!C322</f>
        <v>0</v>
      </c>
      <c r="C320" s="247">
        <f>COUNTIF($D$6:D320,"&lt;&gt;"&amp;"")</f>
        <v>315</v>
      </c>
      <c r="D320" s="247">
        <f>'Table S2 Compound Identifiers'!B322</f>
        <v>0</v>
      </c>
      <c r="E320" s="247"/>
      <c r="F320" s="248"/>
      <c r="G320" s="249"/>
      <c r="H320" s="330"/>
      <c r="I320" s="328"/>
      <c r="J320" s="249"/>
      <c r="K320" s="330"/>
      <c r="L320" s="250"/>
      <c r="M320" s="249"/>
      <c r="N320" s="330"/>
      <c r="O320" s="250"/>
      <c r="P320" s="249"/>
      <c r="Q320" s="330"/>
      <c r="R320" s="250"/>
      <c r="S320" s="249"/>
      <c r="T320" s="330"/>
      <c r="U320" s="250"/>
      <c r="V320" s="249"/>
      <c r="W320" s="330"/>
      <c r="X320" s="343"/>
      <c r="Y320" s="249"/>
      <c r="Z320" s="330"/>
      <c r="AA320" s="343"/>
      <c r="AB320" s="249"/>
      <c r="AC320" s="330"/>
      <c r="AD320" s="343"/>
      <c r="AE320" s="249"/>
      <c r="AF320" s="330"/>
      <c r="AG320" s="343"/>
      <c r="AH320" s="249"/>
      <c r="AI320" s="330"/>
      <c r="AJ320" s="343"/>
      <c r="AK320" s="249"/>
      <c r="AL320" s="330"/>
      <c r="AM320" s="343"/>
      <c r="AN320" s="249"/>
      <c r="AO320" s="330"/>
      <c r="AP320" s="343"/>
      <c r="AQ320" s="249"/>
      <c r="AR320" s="330"/>
      <c r="AS320" s="343"/>
      <c r="AT320" s="249"/>
      <c r="AU320" s="330"/>
    </row>
    <row r="321" spans="2:47">
      <c r="B321" s="247">
        <f>'Table S2 Compound Identifiers'!C323</f>
        <v>0</v>
      </c>
      <c r="C321" s="247">
        <f>COUNTIF($D$6:D321,"&lt;&gt;"&amp;"")</f>
        <v>316</v>
      </c>
      <c r="D321" s="247">
        <f>'Table S2 Compound Identifiers'!B323</f>
        <v>0</v>
      </c>
      <c r="E321" s="247"/>
      <c r="F321" s="248"/>
      <c r="G321" s="249"/>
      <c r="H321" s="330"/>
      <c r="I321" s="328"/>
      <c r="J321" s="249"/>
      <c r="K321" s="330"/>
      <c r="L321" s="250"/>
      <c r="M321" s="249"/>
      <c r="N321" s="330"/>
      <c r="O321" s="250"/>
      <c r="P321" s="249"/>
      <c r="Q321" s="330"/>
      <c r="R321" s="250"/>
      <c r="S321" s="249"/>
      <c r="T321" s="330"/>
      <c r="U321" s="250"/>
      <c r="V321" s="249"/>
      <c r="W321" s="330"/>
      <c r="X321" s="343"/>
      <c r="Y321" s="249"/>
      <c r="Z321" s="330"/>
      <c r="AA321" s="343"/>
      <c r="AB321" s="249"/>
      <c r="AC321" s="330"/>
      <c r="AD321" s="343"/>
      <c r="AE321" s="249"/>
      <c r="AF321" s="330"/>
      <c r="AG321" s="343"/>
      <c r="AH321" s="249"/>
      <c r="AI321" s="330"/>
      <c r="AJ321" s="343"/>
      <c r="AK321" s="249"/>
      <c r="AL321" s="330"/>
      <c r="AM321" s="343"/>
      <c r="AN321" s="249"/>
      <c r="AO321" s="330"/>
      <c r="AP321" s="343"/>
      <c r="AQ321" s="249"/>
      <c r="AR321" s="330"/>
      <c r="AS321" s="343"/>
      <c r="AT321" s="249"/>
      <c r="AU321" s="330"/>
    </row>
    <row r="322" spans="2:47">
      <c r="B322" s="247">
        <f>'Table S2 Compound Identifiers'!C324</f>
        <v>0</v>
      </c>
      <c r="C322" s="247">
        <f>COUNTIF($D$6:D322,"&lt;&gt;"&amp;"")</f>
        <v>317</v>
      </c>
      <c r="D322" s="247">
        <f>'Table S2 Compound Identifiers'!B324</f>
        <v>0</v>
      </c>
      <c r="E322" s="247"/>
      <c r="F322" s="248"/>
      <c r="G322" s="249"/>
      <c r="H322" s="330"/>
      <c r="I322" s="328"/>
      <c r="J322" s="249"/>
      <c r="K322" s="330"/>
      <c r="L322" s="250"/>
      <c r="M322" s="249"/>
      <c r="N322" s="330"/>
      <c r="O322" s="250"/>
      <c r="P322" s="249"/>
      <c r="Q322" s="330"/>
      <c r="R322" s="250"/>
      <c r="S322" s="249"/>
      <c r="T322" s="330"/>
      <c r="U322" s="250"/>
      <c r="V322" s="249"/>
      <c r="W322" s="330"/>
      <c r="X322" s="343"/>
      <c r="Y322" s="249"/>
      <c r="Z322" s="330"/>
      <c r="AA322" s="343"/>
      <c r="AB322" s="249"/>
      <c r="AC322" s="330"/>
      <c r="AD322" s="343"/>
      <c r="AE322" s="249"/>
      <c r="AF322" s="330"/>
      <c r="AG322" s="343"/>
      <c r="AH322" s="249"/>
      <c r="AI322" s="330"/>
      <c r="AJ322" s="343"/>
      <c r="AK322" s="249"/>
      <c r="AL322" s="330"/>
      <c r="AM322" s="343"/>
      <c r="AN322" s="249"/>
      <c r="AO322" s="330"/>
      <c r="AP322" s="343"/>
      <c r="AQ322" s="249"/>
      <c r="AR322" s="330"/>
      <c r="AS322" s="343"/>
      <c r="AT322" s="249"/>
      <c r="AU322" s="330"/>
    </row>
    <row r="323" spans="2:47">
      <c r="B323" s="247">
        <f>'Table S2 Compound Identifiers'!C325</f>
        <v>0</v>
      </c>
      <c r="C323" s="247">
        <f>COUNTIF($D$6:D323,"&lt;&gt;"&amp;"")</f>
        <v>318</v>
      </c>
      <c r="D323" s="247">
        <f>'Table S2 Compound Identifiers'!B325</f>
        <v>0</v>
      </c>
      <c r="E323" s="247"/>
      <c r="F323" s="248"/>
      <c r="G323" s="249"/>
      <c r="H323" s="330"/>
      <c r="I323" s="328"/>
      <c r="J323" s="249"/>
      <c r="K323" s="330"/>
      <c r="L323" s="250"/>
      <c r="M323" s="249"/>
      <c r="N323" s="330"/>
      <c r="O323" s="250"/>
      <c r="P323" s="249"/>
      <c r="Q323" s="330"/>
      <c r="R323" s="250"/>
      <c r="S323" s="249"/>
      <c r="T323" s="330"/>
      <c r="U323" s="250"/>
      <c r="V323" s="249"/>
      <c r="W323" s="330"/>
      <c r="X323" s="343"/>
      <c r="Y323" s="249"/>
      <c r="Z323" s="330"/>
      <c r="AA323" s="343"/>
      <c r="AB323" s="249"/>
      <c r="AC323" s="330"/>
      <c r="AD323" s="343"/>
      <c r="AE323" s="249"/>
      <c r="AF323" s="330"/>
      <c r="AG323" s="343"/>
      <c r="AH323" s="249"/>
      <c r="AI323" s="330"/>
      <c r="AJ323" s="343"/>
      <c r="AK323" s="249"/>
      <c r="AL323" s="330"/>
      <c r="AM323" s="343"/>
      <c r="AN323" s="249"/>
      <c r="AO323" s="330"/>
      <c r="AP323" s="343"/>
      <c r="AQ323" s="249"/>
      <c r="AR323" s="330"/>
      <c r="AS323" s="343"/>
      <c r="AT323" s="249"/>
      <c r="AU323" s="330"/>
    </row>
    <row r="324" spans="2:47">
      <c r="B324" s="247">
        <f>'Table S2 Compound Identifiers'!C326</f>
        <v>0</v>
      </c>
      <c r="C324" s="247">
        <f>COUNTIF($D$6:D324,"&lt;&gt;"&amp;"")</f>
        <v>319</v>
      </c>
      <c r="D324" s="247">
        <f>'Table S2 Compound Identifiers'!B326</f>
        <v>0</v>
      </c>
      <c r="E324" s="247"/>
      <c r="F324" s="248"/>
      <c r="G324" s="249"/>
      <c r="H324" s="330"/>
      <c r="I324" s="328"/>
      <c r="J324" s="249"/>
      <c r="K324" s="330"/>
      <c r="L324" s="250"/>
      <c r="M324" s="249"/>
      <c r="N324" s="330"/>
      <c r="O324" s="250"/>
      <c r="P324" s="249"/>
      <c r="Q324" s="330"/>
      <c r="R324" s="250"/>
      <c r="S324" s="249"/>
      <c r="T324" s="330"/>
      <c r="U324" s="250"/>
      <c r="V324" s="249"/>
      <c r="W324" s="330"/>
      <c r="X324" s="343"/>
      <c r="Y324" s="249"/>
      <c r="Z324" s="330"/>
      <c r="AA324" s="343"/>
      <c r="AB324" s="249"/>
      <c r="AC324" s="330"/>
      <c r="AD324" s="343"/>
      <c r="AE324" s="249"/>
      <c r="AF324" s="330"/>
      <c r="AG324" s="343"/>
      <c r="AH324" s="249"/>
      <c r="AI324" s="330"/>
      <c r="AJ324" s="343"/>
      <c r="AK324" s="249"/>
      <c r="AL324" s="330"/>
      <c r="AM324" s="343"/>
      <c r="AN324" s="249"/>
      <c r="AO324" s="330"/>
      <c r="AP324" s="343"/>
      <c r="AQ324" s="249"/>
      <c r="AR324" s="330"/>
      <c r="AS324" s="343"/>
      <c r="AT324" s="249"/>
      <c r="AU324" s="330"/>
    </row>
    <row r="325" spans="2:47">
      <c r="B325" s="247">
        <f>'Table S2 Compound Identifiers'!C327</f>
        <v>0</v>
      </c>
      <c r="C325" s="247">
        <f>COUNTIF($D$6:D325,"&lt;&gt;"&amp;"")</f>
        <v>320</v>
      </c>
      <c r="D325" s="247">
        <f>'Table S2 Compound Identifiers'!B327</f>
        <v>0</v>
      </c>
      <c r="E325" s="247"/>
      <c r="F325" s="248"/>
      <c r="G325" s="249"/>
      <c r="H325" s="330"/>
      <c r="I325" s="328"/>
      <c r="J325" s="249"/>
      <c r="K325" s="330"/>
      <c r="L325" s="250"/>
      <c r="M325" s="249"/>
      <c r="N325" s="330"/>
      <c r="O325" s="250"/>
      <c r="P325" s="249"/>
      <c r="Q325" s="330"/>
      <c r="R325" s="250"/>
      <c r="S325" s="249"/>
      <c r="T325" s="330"/>
      <c r="U325" s="250"/>
      <c r="V325" s="249"/>
      <c r="W325" s="330"/>
      <c r="X325" s="343"/>
      <c r="Y325" s="249"/>
      <c r="Z325" s="330"/>
      <c r="AA325" s="343"/>
      <c r="AB325" s="249"/>
      <c r="AC325" s="330"/>
      <c r="AD325" s="343"/>
      <c r="AE325" s="249"/>
      <c r="AF325" s="330"/>
      <c r="AG325" s="343"/>
      <c r="AH325" s="249"/>
      <c r="AI325" s="330"/>
      <c r="AJ325" s="343"/>
      <c r="AK325" s="249"/>
      <c r="AL325" s="330"/>
      <c r="AM325" s="343"/>
      <c r="AN325" s="249"/>
      <c r="AO325" s="330"/>
      <c r="AP325" s="343"/>
      <c r="AQ325" s="249"/>
      <c r="AR325" s="330"/>
      <c r="AS325" s="343"/>
      <c r="AT325" s="249"/>
      <c r="AU325" s="330"/>
    </row>
    <row r="326" spans="2:47">
      <c r="B326" s="247">
        <f>'Table S2 Compound Identifiers'!C328</f>
        <v>0</v>
      </c>
      <c r="C326" s="247">
        <f>COUNTIF($D$6:D326,"&lt;&gt;"&amp;"")</f>
        <v>321</v>
      </c>
      <c r="D326" s="247">
        <f>'Table S2 Compound Identifiers'!B328</f>
        <v>0</v>
      </c>
      <c r="E326" s="247"/>
      <c r="F326" s="248"/>
      <c r="G326" s="249"/>
      <c r="H326" s="330"/>
      <c r="I326" s="328"/>
      <c r="J326" s="249"/>
      <c r="K326" s="330"/>
      <c r="L326" s="250"/>
      <c r="M326" s="249"/>
      <c r="N326" s="330"/>
      <c r="O326" s="250"/>
      <c r="P326" s="249"/>
      <c r="Q326" s="330"/>
      <c r="R326" s="250"/>
      <c r="S326" s="249"/>
      <c r="T326" s="330"/>
      <c r="U326" s="250"/>
      <c r="V326" s="249"/>
      <c r="W326" s="330"/>
      <c r="X326" s="343"/>
      <c r="Y326" s="249"/>
      <c r="Z326" s="330"/>
      <c r="AA326" s="343"/>
      <c r="AB326" s="249"/>
      <c r="AC326" s="330"/>
      <c r="AD326" s="343"/>
      <c r="AE326" s="249"/>
      <c r="AF326" s="330"/>
      <c r="AG326" s="343"/>
      <c r="AH326" s="249"/>
      <c r="AI326" s="330"/>
      <c r="AJ326" s="343"/>
      <c r="AK326" s="249"/>
      <c r="AL326" s="330"/>
      <c r="AM326" s="343"/>
      <c r="AN326" s="249"/>
      <c r="AO326" s="330"/>
      <c r="AP326" s="343"/>
      <c r="AQ326" s="249"/>
      <c r="AR326" s="330"/>
      <c r="AS326" s="343"/>
      <c r="AT326" s="249"/>
      <c r="AU326" s="330"/>
    </row>
    <row r="327" spans="2:47">
      <c r="B327" s="247">
        <f>'Table S2 Compound Identifiers'!C329</f>
        <v>0</v>
      </c>
      <c r="C327" s="247">
        <f>COUNTIF($D$6:D327,"&lt;&gt;"&amp;"")</f>
        <v>322</v>
      </c>
      <c r="D327" s="247">
        <f>'Table S2 Compound Identifiers'!B329</f>
        <v>0</v>
      </c>
      <c r="E327" s="247"/>
      <c r="F327" s="248"/>
      <c r="G327" s="249"/>
      <c r="H327" s="330"/>
      <c r="I327" s="328"/>
      <c r="J327" s="249"/>
      <c r="K327" s="330"/>
      <c r="L327" s="250"/>
      <c r="M327" s="249"/>
      <c r="N327" s="330"/>
      <c r="O327" s="250"/>
      <c r="P327" s="249"/>
      <c r="Q327" s="330"/>
      <c r="R327" s="250"/>
      <c r="S327" s="249"/>
      <c r="T327" s="330"/>
      <c r="U327" s="250"/>
      <c r="V327" s="249"/>
      <c r="W327" s="330"/>
      <c r="X327" s="343"/>
      <c r="Y327" s="249"/>
      <c r="Z327" s="330"/>
      <c r="AA327" s="343"/>
      <c r="AB327" s="249"/>
      <c r="AC327" s="330"/>
      <c r="AD327" s="343"/>
      <c r="AE327" s="249"/>
      <c r="AF327" s="330"/>
      <c r="AG327" s="343"/>
      <c r="AH327" s="249"/>
      <c r="AI327" s="330"/>
      <c r="AJ327" s="343"/>
      <c r="AK327" s="249"/>
      <c r="AL327" s="330"/>
      <c r="AM327" s="343"/>
      <c r="AN327" s="249"/>
      <c r="AO327" s="330"/>
      <c r="AP327" s="343"/>
      <c r="AQ327" s="249"/>
      <c r="AR327" s="330"/>
      <c r="AS327" s="343"/>
      <c r="AT327" s="249"/>
      <c r="AU327" s="330"/>
    </row>
    <row r="328" spans="2:47">
      <c r="B328" s="247">
        <f>'Table S2 Compound Identifiers'!C330</f>
        <v>0</v>
      </c>
      <c r="C328" s="247">
        <f>COUNTIF($D$6:D328,"&lt;&gt;"&amp;"")</f>
        <v>323</v>
      </c>
      <c r="D328" s="247">
        <f>'Table S2 Compound Identifiers'!B330</f>
        <v>0</v>
      </c>
      <c r="E328" s="247"/>
      <c r="F328" s="248"/>
      <c r="G328" s="249"/>
      <c r="H328" s="330"/>
      <c r="I328" s="328"/>
      <c r="J328" s="249"/>
      <c r="K328" s="330"/>
      <c r="L328" s="250"/>
      <c r="M328" s="249"/>
      <c r="N328" s="330"/>
      <c r="O328" s="250"/>
      <c r="P328" s="249"/>
      <c r="Q328" s="330"/>
      <c r="R328" s="250"/>
      <c r="S328" s="249"/>
      <c r="T328" s="330"/>
      <c r="U328" s="250"/>
      <c r="V328" s="249"/>
      <c r="W328" s="330"/>
      <c r="X328" s="343"/>
      <c r="Y328" s="249"/>
      <c r="Z328" s="330"/>
      <c r="AA328" s="343"/>
      <c r="AB328" s="249"/>
      <c r="AC328" s="330"/>
      <c r="AD328" s="343"/>
      <c r="AE328" s="249"/>
      <c r="AF328" s="330"/>
      <c r="AG328" s="343"/>
      <c r="AH328" s="249"/>
      <c r="AI328" s="330"/>
      <c r="AJ328" s="343"/>
      <c r="AK328" s="249"/>
      <c r="AL328" s="330"/>
      <c r="AM328" s="343"/>
      <c r="AN328" s="249"/>
      <c r="AO328" s="330"/>
      <c r="AP328" s="343"/>
      <c r="AQ328" s="249"/>
      <c r="AR328" s="330"/>
      <c r="AS328" s="343"/>
      <c r="AT328" s="249"/>
      <c r="AU328" s="330"/>
    </row>
    <row r="329" spans="2:47">
      <c r="B329" s="247">
        <f>'Table S2 Compound Identifiers'!C331</f>
        <v>0</v>
      </c>
      <c r="C329" s="247">
        <f>COUNTIF($D$6:D329,"&lt;&gt;"&amp;"")</f>
        <v>324</v>
      </c>
      <c r="D329" s="247">
        <f>'Table S2 Compound Identifiers'!B331</f>
        <v>0</v>
      </c>
      <c r="E329" s="247"/>
      <c r="F329" s="248"/>
      <c r="G329" s="249"/>
      <c r="H329" s="330"/>
      <c r="I329" s="328"/>
      <c r="J329" s="249"/>
      <c r="K329" s="330"/>
      <c r="L329" s="250"/>
      <c r="M329" s="249"/>
      <c r="N329" s="330"/>
      <c r="O329" s="250"/>
      <c r="P329" s="249"/>
      <c r="Q329" s="330"/>
      <c r="R329" s="250"/>
      <c r="S329" s="249"/>
      <c r="T329" s="330"/>
      <c r="U329" s="250"/>
      <c r="V329" s="249"/>
      <c r="W329" s="330"/>
      <c r="X329" s="343"/>
      <c r="Y329" s="249"/>
      <c r="Z329" s="330"/>
      <c r="AA329" s="343"/>
      <c r="AB329" s="249"/>
      <c r="AC329" s="330"/>
      <c r="AD329" s="343"/>
      <c r="AE329" s="249"/>
      <c r="AF329" s="330"/>
      <c r="AG329" s="343"/>
      <c r="AH329" s="249"/>
      <c r="AI329" s="330"/>
      <c r="AJ329" s="343"/>
      <c r="AK329" s="249"/>
      <c r="AL329" s="330"/>
      <c r="AM329" s="343"/>
      <c r="AN329" s="249"/>
      <c r="AO329" s="330"/>
      <c r="AP329" s="343"/>
      <c r="AQ329" s="249"/>
      <c r="AR329" s="330"/>
      <c r="AS329" s="343"/>
      <c r="AT329" s="249"/>
      <c r="AU329" s="330"/>
    </row>
    <row r="330" spans="2:47">
      <c r="B330" s="247">
        <f>'Table S2 Compound Identifiers'!C332</f>
        <v>0</v>
      </c>
      <c r="C330" s="247">
        <f>COUNTIF($D$6:D330,"&lt;&gt;"&amp;"")</f>
        <v>325</v>
      </c>
      <c r="D330" s="247">
        <f>'Table S2 Compound Identifiers'!B332</f>
        <v>0</v>
      </c>
      <c r="E330" s="247"/>
      <c r="F330" s="248"/>
      <c r="G330" s="249"/>
      <c r="H330" s="330"/>
      <c r="I330" s="328"/>
      <c r="J330" s="249"/>
      <c r="K330" s="330"/>
      <c r="L330" s="250"/>
      <c r="M330" s="249"/>
      <c r="N330" s="330"/>
      <c r="O330" s="250"/>
      <c r="P330" s="249"/>
      <c r="Q330" s="330"/>
      <c r="R330" s="250"/>
      <c r="S330" s="249"/>
      <c r="T330" s="330"/>
      <c r="U330" s="250"/>
      <c r="V330" s="249"/>
      <c r="W330" s="330"/>
      <c r="X330" s="343"/>
      <c r="Y330" s="249"/>
      <c r="Z330" s="330"/>
      <c r="AA330" s="343"/>
      <c r="AB330" s="249"/>
      <c r="AC330" s="330"/>
      <c r="AD330" s="343"/>
      <c r="AE330" s="249"/>
      <c r="AF330" s="330"/>
      <c r="AG330" s="343"/>
      <c r="AH330" s="249"/>
      <c r="AI330" s="330"/>
      <c r="AJ330" s="343"/>
      <c r="AK330" s="249"/>
      <c r="AL330" s="330"/>
      <c r="AM330" s="343"/>
      <c r="AN330" s="249"/>
      <c r="AO330" s="330"/>
      <c r="AP330" s="343"/>
      <c r="AQ330" s="249"/>
      <c r="AR330" s="330"/>
      <c r="AS330" s="343"/>
      <c r="AT330" s="249"/>
      <c r="AU330" s="330"/>
    </row>
    <row r="331" spans="2:47">
      <c r="B331" s="247">
        <f>'Table S2 Compound Identifiers'!C333</f>
        <v>0</v>
      </c>
      <c r="C331" s="247">
        <f>COUNTIF($D$6:D331,"&lt;&gt;"&amp;"")</f>
        <v>326</v>
      </c>
      <c r="D331" s="247">
        <f>'Table S2 Compound Identifiers'!B333</f>
        <v>0</v>
      </c>
      <c r="E331" s="247"/>
      <c r="F331" s="248"/>
      <c r="G331" s="249"/>
      <c r="H331" s="330"/>
      <c r="I331" s="328"/>
      <c r="J331" s="249"/>
      <c r="K331" s="330"/>
      <c r="L331" s="250"/>
      <c r="M331" s="249"/>
      <c r="N331" s="330"/>
      <c r="O331" s="250"/>
      <c r="P331" s="249"/>
      <c r="Q331" s="330"/>
      <c r="R331" s="250"/>
      <c r="S331" s="249"/>
      <c r="T331" s="330"/>
      <c r="U331" s="250"/>
      <c r="V331" s="249"/>
      <c r="W331" s="330"/>
      <c r="X331" s="343"/>
      <c r="Y331" s="249"/>
      <c r="Z331" s="330"/>
      <c r="AA331" s="343"/>
      <c r="AB331" s="249"/>
      <c r="AC331" s="330"/>
      <c r="AD331" s="343"/>
      <c r="AE331" s="249"/>
      <c r="AF331" s="330"/>
      <c r="AG331" s="343"/>
      <c r="AH331" s="249"/>
      <c r="AI331" s="330"/>
      <c r="AJ331" s="343"/>
      <c r="AK331" s="249"/>
      <c r="AL331" s="330"/>
      <c r="AM331" s="343"/>
      <c r="AN331" s="249"/>
      <c r="AO331" s="330"/>
      <c r="AP331" s="343"/>
      <c r="AQ331" s="249"/>
      <c r="AR331" s="330"/>
      <c r="AS331" s="343"/>
      <c r="AT331" s="249"/>
      <c r="AU331" s="330"/>
    </row>
    <row r="332" spans="2:47">
      <c r="B332" s="247">
        <f>'Table S2 Compound Identifiers'!C334</f>
        <v>0</v>
      </c>
      <c r="C332" s="247">
        <f>COUNTIF($D$6:D332,"&lt;&gt;"&amp;"")</f>
        <v>327</v>
      </c>
      <c r="D332" s="247">
        <f>'Table S2 Compound Identifiers'!B334</f>
        <v>0</v>
      </c>
      <c r="E332" s="247"/>
      <c r="F332" s="248"/>
      <c r="G332" s="249"/>
      <c r="H332" s="330"/>
      <c r="I332" s="328"/>
      <c r="J332" s="249"/>
      <c r="K332" s="330"/>
      <c r="L332" s="250"/>
      <c r="M332" s="249"/>
      <c r="N332" s="330"/>
      <c r="O332" s="250"/>
      <c r="P332" s="249"/>
      <c r="Q332" s="330"/>
      <c r="R332" s="250"/>
      <c r="S332" s="249"/>
      <c r="T332" s="330"/>
      <c r="U332" s="250"/>
      <c r="V332" s="249"/>
      <c r="W332" s="330"/>
      <c r="X332" s="343"/>
      <c r="Y332" s="249"/>
      <c r="Z332" s="330"/>
      <c r="AA332" s="343"/>
      <c r="AB332" s="249"/>
      <c r="AC332" s="330"/>
      <c r="AD332" s="343"/>
      <c r="AE332" s="249"/>
      <c r="AF332" s="330"/>
      <c r="AG332" s="343"/>
      <c r="AH332" s="249"/>
      <c r="AI332" s="330"/>
      <c r="AJ332" s="343"/>
      <c r="AK332" s="249"/>
      <c r="AL332" s="330"/>
      <c r="AM332" s="343"/>
      <c r="AN332" s="249"/>
      <c r="AO332" s="330"/>
      <c r="AP332" s="343"/>
      <c r="AQ332" s="249"/>
      <c r="AR332" s="330"/>
      <c r="AS332" s="343"/>
      <c r="AT332" s="249"/>
      <c r="AU332" s="330"/>
    </row>
    <row r="333" spans="2:47">
      <c r="B333" s="247">
        <f>'Table S2 Compound Identifiers'!C335</f>
        <v>0</v>
      </c>
      <c r="C333" s="247">
        <f>COUNTIF($D$6:D333,"&lt;&gt;"&amp;"")</f>
        <v>328</v>
      </c>
      <c r="D333" s="247">
        <f>'Table S2 Compound Identifiers'!B335</f>
        <v>0</v>
      </c>
      <c r="E333" s="247"/>
      <c r="F333" s="248"/>
      <c r="G333" s="249"/>
      <c r="H333" s="330"/>
      <c r="I333" s="328"/>
      <c r="J333" s="249"/>
      <c r="K333" s="330"/>
      <c r="L333" s="250"/>
      <c r="M333" s="249"/>
      <c r="N333" s="330"/>
      <c r="O333" s="250"/>
      <c r="P333" s="249"/>
      <c r="Q333" s="330"/>
      <c r="R333" s="250"/>
      <c r="S333" s="249"/>
      <c r="T333" s="330"/>
      <c r="U333" s="250"/>
      <c r="V333" s="249"/>
      <c r="W333" s="330"/>
      <c r="X333" s="343"/>
      <c r="Y333" s="249"/>
      <c r="Z333" s="330"/>
      <c r="AA333" s="343"/>
      <c r="AB333" s="249"/>
      <c r="AC333" s="330"/>
      <c r="AD333" s="343"/>
      <c r="AE333" s="249"/>
      <c r="AF333" s="330"/>
      <c r="AG333" s="343"/>
      <c r="AH333" s="249"/>
      <c r="AI333" s="330"/>
      <c r="AJ333" s="343"/>
      <c r="AK333" s="249"/>
      <c r="AL333" s="330"/>
      <c r="AM333" s="343"/>
      <c r="AN333" s="249"/>
      <c r="AO333" s="330"/>
      <c r="AP333" s="343"/>
      <c r="AQ333" s="249"/>
      <c r="AR333" s="330"/>
      <c r="AS333" s="343"/>
      <c r="AT333" s="249"/>
      <c r="AU333" s="330"/>
    </row>
    <row r="334" spans="2:47">
      <c r="B334" s="247">
        <f>'Table S2 Compound Identifiers'!C336</f>
        <v>0</v>
      </c>
      <c r="C334" s="247">
        <f>COUNTIF($D$6:D334,"&lt;&gt;"&amp;"")</f>
        <v>329</v>
      </c>
      <c r="D334" s="247">
        <f>'Table S2 Compound Identifiers'!B336</f>
        <v>0</v>
      </c>
      <c r="E334" s="247"/>
      <c r="F334" s="248"/>
      <c r="G334" s="249"/>
      <c r="H334" s="330"/>
      <c r="I334" s="328"/>
      <c r="J334" s="249"/>
      <c r="K334" s="330"/>
      <c r="L334" s="250"/>
      <c r="M334" s="249"/>
      <c r="N334" s="330"/>
      <c r="O334" s="250"/>
      <c r="P334" s="249"/>
      <c r="Q334" s="330"/>
      <c r="R334" s="250"/>
      <c r="S334" s="249"/>
      <c r="T334" s="330"/>
      <c r="U334" s="250"/>
      <c r="V334" s="249"/>
      <c r="W334" s="330"/>
      <c r="X334" s="343"/>
      <c r="Y334" s="249"/>
      <c r="Z334" s="330"/>
      <c r="AA334" s="343"/>
      <c r="AB334" s="249"/>
      <c r="AC334" s="330"/>
      <c r="AD334" s="343"/>
      <c r="AE334" s="249"/>
      <c r="AF334" s="330"/>
      <c r="AG334" s="343"/>
      <c r="AH334" s="249"/>
      <c r="AI334" s="330"/>
      <c r="AJ334" s="343"/>
      <c r="AK334" s="249"/>
      <c r="AL334" s="330"/>
      <c r="AM334" s="343"/>
      <c r="AN334" s="249"/>
      <c r="AO334" s="330"/>
      <c r="AP334" s="343"/>
      <c r="AQ334" s="249"/>
      <c r="AR334" s="330"/>
      <c r="AS334" s="343"/>
      <c r="AT334" s="249"/>
      <c r="AU334" s="330"/>
    </row>
    <row r="335" spans="2:47">
      <c r="B335" s="247">
        <f>'Table S2 Compound Identifiers'!C337</f>
        <v>0</v>
      </c>
      <c r="C335" s="247">
        <f>COUNTIF($D$6:D335,"&lt;&gt;"&amp;"")</f>
        <v>330</v>
      </c>
      <c r="D335" s="247">
        <f>'Table S2 Compound Identifiers'!B337</f>
        <v>0</v>
      </c>
      <c r="E335" s="247"/>
      <c r="F335" s="248"/>
      <c r="G335" s="249"/>
      <c r="H335" s="330"/>
      <c r="I335" s="328"/>
      <c r="J335" s="249"/>
      <c r="K335" s="330"/>
      <c r="L335" s="250"/>
      <c r="M335" s="249"/>
      <c r="N335" s="330"/>
      <c r="O335" s="250"/>
      <c r="P335" s="249"/>
      <c r="Q335" s="330"/>
      <c r="R335" s="250"/>
      <c r="S335" s="249"/>
      <c r="T335" s="330"/>
      <c r="U335" s="250"/>
      <c r="V335" s="249"/>
      <c r="W335" s="330"/>
      <c r="X335" s="343"/>
      <c r="Y335" s="249"/>
      <c r="Z335" s="330"/>
      <c r="AA335" s="343"/>
      <c r="AB335" s="249"/>
      <c r="AC335" s="330"/>
      <c r="AD335" s="343"/>
      <c r="AE335" s="249"/>
      <c r="AF335" s="330"/>
      <c r="AG335" s="343"/>
      <c r="AH335" s="249"/>
      <c r="AI335" s="330"/>
      <c r="AJ335" s="343"/>
      <c r="AK335" s="249"/>
      <c r="AL335" s="330"/>
      <c r="AM335" s="343"/>
      <c r="AN335" s="249"/>
      <c r="AO335" s="330"/>
      <c r="AP335" s="343"/>
      <c r="AQ335" s="249"/>
      <c r="AR335" s="330"/>
      <c r="AS335" s="343"/>
      <c r="AT335" s="249"/>
      <c r="AU335" s="330"/>
    </row>
    <row r="336" spans="2:47">
      <c r="B336" s="247">
        <f>'Table S2 Compound Identifiers'!C338</f>
        <v>0</v>
      </c>
      <c r="C336" s="247">
        <f>COUNTIF($D$6:D336,"&lt;&gt;"&amp;"")</f>
        <v>331</v>
      </c>
      <c r="D336" s="247">
        <f>'Table S2 Compound Identifiers'!B338</f>
        <v>0</v>
      </c>
      <c r="E336" s="247"/>
      <c r="F336" s="248"/>
      <c r="G336" s="249"/>
      <c r="H336" s="330"/>
      <c r="I336" s="328"/>
      <c r="J336" s="249"/>
      <c r="K336" s="330"/>
      <c r="L336" s="250"/>
      <c r="M336" s="249"/>
      <c r="N336" s="330"/>
      <c r="O336" s="250"/>
      <c r="P336" s="249"/>
      <c r="Q336" s="330"/>
      <c r="R336" s="250"/>
      <c r="S336" s="249"/>
      <c r="T336" s="330"/>
      <c r="U336" s="250"/>
      <c r="V336" s="249"/>
      <c r="W336" s="330"/>
      <c r="X336" s="343"/>
      <c r="Y336" s="249"/>
      <c r="Z336" s="330"/>
      <c r="AA336" s="343"/>
      <c r="AB336" s="249"/>
      <c r="AC336" s="330"/>
      <c r="AD336" s="343"/>
      <c r="AE336" s="249"/>
      <c r="AF336" s="330"/>
      <c r="AG336" s="343"/>
      <c r="AH336" s="249"/>
      <c r="AI336" s="330"/>
      <c r="AJ336" s="343"/>
      <c r="AK336" s="249"/>
      <c r="AL336" s="330"/>
      <c r="AM336" s="343"/>
      <c r="AN336" s="249"/>
      <c r="AO336" s="330"/>
      <c r="AP336" s="343"/>
      <c r="AQ336" s="249"/>
      <c r="AR336" s="330"/>
      <c r="AS336" s="343"/>
      <c r="AT336" s="249"/>
      <c r="AU336" s="330"/>
    </row>
    <row r="337" spans="2:47">
      <c r="B337" s="247">
        <f>'Table S2 Compound Identifiers'!C339</f>
        <v>0</v>
      </c>
      <c r="C337" s="247">
        <f>COUNTIF($D$6:D337,"&lt;&gt;"&amp;"")</f>
        <v>332</v>
      </c>
      <c r="D337" s="247">
        <f>'Table S2 Compound Identifiers'!B339</f>
        <v>0</v>
      </c>
      <c r="E337" s="247"/>
      <c r="F337" s="248"/>
      <c r="G337" s="249"/>
      <c r="H337" s="330"/>
      <c r="I337" s="328"/>
      <c r="J337" s="249"/>
      <c r="K337" s="330"/>
      <c r="L337" s="250"/>
      <c r="M337" s="249"/>
      <c r="N337" s="330"/>
      <c r="O337" s="250"/>
      <c r="P337" s="249"/>
      <c r="Q337" s="330"/>
      <c r="R337" s="250"/>
      <c r="S337" s="249"/>
      <c r="T337" s="330"/>
      <c r="U337" s="250"/>
      <c r="V337" s="249"/>
      <c r="W337" s="330"/>
      <c r="X337" s="343"/>
      <c r="Y337" s="249"/>
      <c r="Z337" s="330"/>
      <c r="AA337" s="343"/>
      <c r="AB337" s="249"/>
      <c r="AC337" s="330"/>
      <c r="AD337" s="343"/>
      <c r="AE337" s="249"/>
      <c r="AF337" s="330"/>
      <c r="AG337" s="343"/>
      <c r="AH337" s="249"/>
      <c r="AI337" s="330"/>
      <c r="AJ337" s="343"/>
      <c r="AK337" s="249"/>
      <c r="AL337" s="330"/>
      <c r="AM337" s="343"/>
      <c r="AN337" s="249"/>
      <c r="AO337" s="330"/>
      <c r="AP337" s="343"/>
      <c r="AQ337" s="249"/>
      <c r="AR337" s="330"/>
      <c r="AS337" s="343"/>
      <c r="AT337" s="249"/>
      <c r="AU337" s="330"/>
    </row>
    <row r="338" spans="2:47">
      <c r="B338" s="247">
        <f>'Table S2 Compound Identifiers'!C340</f>
        <v>0</v>
      </c>
      <c r="C338" s="247">
        <f>COUNTIF($D$6:D338,"&lt;&gt;"&amp;"")</f>
        <v>333</v>
      </c>
      <c r="D338" s="247">
        <f>'Table S2 Compound Identifiers'!B340</f>
        <v>0</v>
      </c>
      <c r="E338" s="247"/>
      <c r="F338" s="248"/>
      <c r="G338" s="249"/>
      <c r="H338" s="330"/>
      <c r="I338" s="328"/>
      <c r="J338" s="249"/>
      <c r="K338" s="330"/>
      <c r="L338" s="250"/>
      <c r="M338" s="249"/>
      <c r="N338" s="330"/>
      <c r="O338" s="250"/>
      <c r="P338" s="249"/>
      <c r="Q338" s="330"/>
      <c r="R338" s="250"/>
      <c r="S338" s="249"/>
      <c r="T338" s="330"/>
      <c r="U338" s="250"/>
      <c r="V338" s="249"/>
      <c r="W338" s="330"/>
      <c r="X338" s="343"/>
      <c r="Y338" s="249"/>
      <c r="Z338" s="330"/>
      <c r="AA338" s="343"/>
      <c r="AB338" s="249"/>
      <c r="AC338" s="330"/>
      <c r="AD338" s="343"/>
      <c r="AE338" s="249"/>
      <c r="AF338" s="330"/>
      <c r="AG338" s="343"/>
      <c r="AH338" s="249"/>
      <c r="AI338" s="330"/>
      <c r="AJ338" s="343"/>
      <c r="AK338" s="249"/>
      <c r="AL338" s="330"/>
      <c r="AM338" s="343"/>
      <c r="AN338" s="249"/>
      <c r="AO338" s="330"/>
      <c r="AP338" s="343"/>
      <c r="AQ338" s="249"/>
      <c r="AR338" s="330"/>
      <c r="AS338" s="343"/>
      <c r="AT338" s="249"/>
      <c r="AU338" s="330"/>
    </row>
    <row r="339" spans="2:47">
      <c r="B339" s="247">
        <f>'Table S2 Compound Identifiers'!C341</f>
        <v>0</v>
      </c>
      <c r="C339" s="247">
        <f>COUNTIF($D$6:D339,"&lt;&gt;"&amp;"")</f>
        <v>334</v>
      </c>
      <c r="D339" s="247">
        <f>'Table S2 Compound Identifiers'!B341</f>
        <v>0</v>
      </c>
      <c r="E339" s="247"/>
      <c r="F339" s="248"/>
      <c r="G339" s="249"/>
      <c r="H339" s="330"/>
      <c r="I339" s="328"/>
      <c r="J339" s="249"/>
      <c r="K339" s="330"/>
      <c r="L339" s="250"/>
      <c r="M339" s="249"/>
      <c r="N339" s="330"/>
      <c r="O339" s="250"/>
      <c r="P339" s="249"/>
      <c r="Q339" s="330"/>
      <c r="R339" s="250"/>
      <c r="S339" s="249"/>
      <c r="T339" s="330"/>
      <c r="U339" s="250"/>
      <c r="V339" s="249"/>
      <c r="W339" s="330"/>
      <c r="X339" s="343"/>
      <c r="Y339" s="249"/>
      <c r="Z339" s="330"/>
      <c r="AA339" s="343"/>
      <c r="AB339" s="249"/>
      <c r="AC339" s="330"/>
      <c r="AD339" s="343"/>
      <c r="AE339" s="249"/>
      <c r="AF339" s="330"/>
      <c r="AG339" s="343"/>
      <c r="AH339" s="249"/>
      <c r="AI339" s="330"/>
      <c r="AJ339" s="343"/>
      <c r="AK339" s="249"/>
      <c r="AL339" s="330"/>
      <c r="AM339" s="343"/>
      <c r="AN339" s="249"/>
      <c r="AO339" s="330"/>
      <c r="AP339" s="343"/>
      <c r="AQ339" s="249"/>
      <c r="AR339" s="330"/>
      <c r="AS339" s="343"/>
      <c r="AT339" s="249"/>
      <c r="AU339" s="330"/>
    </row>
    <row r="340" spans="2:47">
      <c r="B340" s="247">
        <f>'Table S2 Compound Identifiers'!C342</f>
        <v>0</v>
      </c>
      <c r="C340" s="247">
        <f>COUNTIF($D$6:D340,"&lt;&gt;"&amp;"")</f>
        <v>335</v>
      </c>
      <c r="D340" s="247">
        <f>'Table S2 Compound Identifiers'!B342</f>
        <v>0</v>
      </c>
      <c r="E340" s="247"/>
      <c r="F340" s="248"/>
      <c r="G340" s="249"/>
      <c r="H340" s="330"/>
      <c r="I340" s="328"/>
      <c r="J340" s="249"/>
      <c r="K340" s="330"/>
      <c r="L340" s="250"/>
      <c r="M340" s="249"/>
      <c r="N340" s="330"/>
      <c r="O340" s="250"/>
      <c r="P340" s="249"/>
      <c r="Q340" s="330"/>
      <c r="R340" s="250"/>
      <c r="S340" s="249"/>
      <c r="T340" s="330"/>
      <c r="U340" s="250"/>
      <c r="V340" s="249"/>
      <c r="W340" s="330"/>
      <c r="X340" s="343"/>
      <c r="Y340" s="249"/>
      <c r="Z340" s="330"/>
      <c r="AA340" s="343"/>
      <c r="AB340" s="249"/>
      <c r="AC340" s="330"/>
      <c r="AD340" s="343"/>
      <c r="AE340" s="249"/>
      <c r="AF340" s="330"/>
      <c r="AG340" s="343"/>
      <c r="AH340" s="249"/>
      <c r="AI340" s="330"/>
      <c r="AJ340" s="343"/>
      <c r="AK340" s="249"/>
      <c r="AL340" s="330"/>
      <c r="AM340" s="343"/>
      <c r="AN340" s="249"/>
      <c r="AO340" s="330"/>
      <c r="AP340" s="343"/>
      <c r="AQ340" s="249"/>
      <c r="AR340" s="330"/>
      <c r="AS340" s="343"/>
      <c r="AT340" s="249"/>
      <c r="AU340" s="330"/>
    </row>
    <row r="341" spans="2:47">
      <c r="B341" s="247">
        <f>'Table S2 Compound Identifiers'!C343</f>
        <v>0</v>
      </c>
      <c r="C341" s="247">
        <f>COUNTIF($D$6:D341,"&lt;&gt;"&amp;"")</f>
        <v>336</v>
      </c>
      <c r="D341" s="247">
        <f>'Table S2 Compound Identifiers'!B343</f>
        <v>0</v>
      </c>
      <c r="E341" s="247"/>
      <c r="F341" s="248"/>
      <c r="G341" s="249"/>
      <c r="H341" s="330"/>
      <c r="I341" s="328"/>
      <c r="J341" s="249"/>
      <c r="K341" s="330"/>
      <c r="L341" s="250"/>
      <c r="M341" s="249"/>
      <c r="N341" s="330"/>
      <c r="O341" s="250"/>
      <c r="P341" s="249"/>
      <c r="Q341" s="330"/>
      <c r="R341" s="250"/>
      <c r="S341" s="249"/>
      <c r="T341" s="330"/>
      <c r="U341" s="250"/>
      <c r="V341" s="249"/>
      <c r="W341" s="330"/>
      <c r="X341" s="343"/>
      <c r="Y341" s="249"/>
      <c r="Z341" s="330"/>
      <c r="AA341" s="343"/>
      <c r="AB341" s="249"/>
      <c r="AC341" s="330"/>
      <c r="AD341" s="343"/>
      <c r="AE341" s="249"/>
      <c r="AF341" s="330"/>
      <c r="AG341" s="343"/>
      <c r="AH341" s="249"/>
      <c r="AI341" s="330"/>
      <c r="AJ341" s="343"/>
      <c r="AK341" s="249"/>
      <c r="AL341" s="330"/>
      <c r="AM341" s="343"/>
      <c r="AN341" s="249"/>
      <c r="AO341" s="330"/>
      <c r="AP341" s="343"/>
      <c r="AQ341" s="249"/>
      <c r="AR341" s="330"/>
      <c r="AS341" s="343"/>
      <c r="AT341" s="249"/>
      <c r="AU341" s="330"/>
    </row>
    <row r="342" spans="2:47">
      <c r="B342" s="247">
        <f>'Table S2 Compound Identifiers'!C344</f>
        <v>0</v>
      </c>
      <c r="C342" s="247">
        <f>COUNTIF($D$6:D342,"&lt;&gt;"&amp;"")</f>
        <v>337</v>
      </c>
      <c r="D342" s="247">
        <f>'Table S2 Compound Identifiers'!B344</f>
        <v>0</v>
      </c>
      <c r="E342" s="247"/>
      <c r="F342" s="248"/>
      <c r="G342" s="249"/>
      <c r="H342" s="330"/>
      <c r="I342" s="328"/>
      <c r="J342" s="249"/>
      <c r="K342" s="330"/>
      <c r="L342" s="250"/>
      <c r="M342" s="249"/>
      <c r="N342" s="330"/>
      <c r="O342" s="250"/>
      <c r="P342" s="249"/>
      <c r="Q342" s="330"/>
      <c r="R342" s="250"/>
      <c r="S342" s="249"/>
      <c r="T342" s="330"/>
      <c r="U342" s="250"/>
      <c r="V342" s="249"/>
      <c r="W342" s="330"/>
      <c r="X342" s="343"/>
      <c r="Y342" s="249"/>
      <c r="Z342" s="330"/>
      <c r="AA342" s="343"/>
      <c r="AB342" s="249"/>
      <c r="AC342" s="330"/>
      <c r="AD342" s="343"/>
      <c r="AE342" s="249"/>
      <c r="AF342" s="330"/>
      <c r="AG342" s="343"/>
      <c r="AH342" s="249"/>
      <c r="AI342" s="330"/>
      <c r="AJ342" s="343"/>
      <c r="AK342" s="249"/>
      <c r="AL342" s="330"/>
      <c r="AM342" s="343"/>
      <c r="AN342" s="249"/>
      <c r="AO342" s="330"/>
      <c r="AP342" s="343"/>
      <c r="AQ342" s="249"/>
      <c r="AR342" s="330"/>
      <c r="AS342" s="343"/>
      <c r="AT342" s="249"/>
      <c r="AU342" s="330"/>
    </row>
    <row r="343" spans="2:47">
      <c r="B343" s="247">
        <f>'Table S2 Compound Identifiers'!C345</f>
        <v>0</v>
      </c>
      <c r="C343" s="247">
        <f>COUNTIF($D$6:D343,"&lt;&gt;"&amp;"")</f>
        <v>338</v>
      </c>
      <c r="D343" s="247">
        <f>'Table S2 Compound Identifiers'!B345</f>
        <v>0</v>
      </c>
      <c r="E343" s="247"/>
      <c r="F343" s="248"/>
      <c r="G343" s="249"/>
      <c r="H343" s="330"/>
      <c r="I343" s="328"/>
      <c r="J343" s="249"/>
      <c r="K343" s="330"/>
      <c r="L343" s="250"/>
      <c r="M343" s="249"/>
      <c r="N343" s="330"/>
      <c r="O343" s="250"/>
      <c r="P343" s="249"/>
      <c r="Q343" s="330"/>
      <c r="R343" s="250"/>
      <c r="S343" s="249"/>
      <c r="T343" s="330"/>
      <c r="U343" s="250"/>
      <c r="V343" s="249"/>
      <c r="W343" s="330"/>
      <c r="X343" s="343"/>
      <c r="Y343" s="249"/>
      <c r="Z343" s="330"/>
      <c r="AA343" s="343"/>
      <c r="AB343" s="249"/>
      <c r="AC343" s="330"/>
      <c r="AD343" s="343"/>
      <c r="AE343" s="249"/>
      <c r="AF343" s="330"/>
      <c r="AG343" s="343"/>
      <c r="AH343" s="249"/>
      <c r="AI343" s="330"/>
      <c r="AJ343" s="343"/>
      <c r="AK343" s="249"/>
      <c r="AL343" s="330"/>
      <c r="AM343" s="343"/>
      <c r="AN343" s="249"/>
      <c r="AO343" s="330"/>
      <c r="AP343" s="343"/>
      <c r="AQ343" s="249"/>
      <c r="AR343" s="330"/>
      <c r="AS343" s="343"/>
      <c r="AT343" s="249"/>
      <c r="AU343" s="330"/>
    </row>
    <row r="344" spans="2:47">
      <c r="B344" s="247">
        <f>'Table S2 Compound Identifiers'!C346</f>
        <v>0</v>
      </c>
      <c r="C344" s="247">
        <f>COUNTIF($D$6:D344,"&lt;&gt;"&amp;"")</f>
        <v>339</v>
      </c>
      <c r="D344" s="247">
        <f>'Table S2 Compound Identifiers'!B346</f>
        <v>0</v>
      </c>
      <c r="E344" s="247"/>
      <c r="F344" s="248"/>
      <c r="G344" s="249"/>
      <c r="H344" s="330"/>
      <c r="I344" s="328"/>
      <c r="J344" s="249"/>
      <c r="K344" s="330"/>
      <c r="L344" s="250"/>
      <c r="M344" s="249"/>
      <c r="N344" s="330"/>
      <c r="O344" s="250"/>
      <c r="P344" s="249"/>
      <c r="Q344" s="330"/>
      <c r="R344" s="250"/>
      <c r="S344" s="249"/>
      <c r="T344" s="330"/>
      <c r="U344" s="250"/>
      <c r="V344" s="249"/>
      <c r="W344" s="330"/>
      <c r="X344" s="343"/>
      <c r="Y344" s="249"/>
      <c r="Z344" s="330"/>
      <c r="AA344" s="343"/>
      <c r="AB344" s="249"/>
      <c r="AC344" s="330"/>
      <c r="AD344" s="343"/>
      <c r="AE344" s="249"/>
      <c r="AF344" s="330"/>
      <c r="AG344" s="343"/>
      <c r="AH344" s="249"/>
      <c r="AI344" s="330"/>
      <c r="AJ344" s="343"/>
      <c r="AK344" s="249"/>
      <c r="AL344" s="330"/>
      <c r="AM344" s="343"/>
      <c r="AN344" s="249"/>
      <c r="AO344" s="330"/>
      <c r="AP344" s="343"/>
      <c r="AQ344" s="249"/>
      <c r="AR344" s="330"/>
      <c r="AS344" s="343"/>
      <c r="AT344" s="249"/>
      <c r="AU344" s="330"/>
    </row>
    <row r="345" spans="2:47">
      <c r="B345" s="247">
        <f>'Table S2 Compound Identifiers'!C347</f>
        <v>0</v>
      </c>
      <c r="C345" s="247">
        <f>COUNTIF($D$6:D345,"&lt;&gt;"&amp;"")</f>
        <v>340</v>
      </c>
      <c r="D345" s="247">
        <f>'Table S2 Compound Identifiers'!B347</f>
        <v>0</v>
      </c>
      <c r="E345" s="247"/>
      <c r="F345" s="248"/>
      <c r="G345" s="249"/>
      <c r="H345" s="330"/>
      <c r="I345" s="328"/>
      <c r="J345" s="249"/>
      <c r="K345" s="330"/>
      <c r="L345" s="250"/>
      <c r="M345" s="249"/>
      <c r="N345" s="330"/>
      <c r="O345" s="250"/>
      <c r="P345" s="249"/>
      <c r="Q345" s="330"/>
      <c r="R345" s="250"/>
      <c r="S345" s="249"/>
      <c r="T345" s="330"/>
      <c r="U345" s="250"/>
      <c r="V345" s="249"/>
      <c r="W345" s="330"/>
      <c r="X345" s="343"/>
      <c r="Y345" s="249"/>
      <c r="Z345" s="330"/>
      <c r="AA345" s="343"/>
      <c r="AB345" s="249"/>
      <c r="AC345" s="330"/>
      <c r="AD345" s="343"/>
      <c r="AE345" s="249"/>
      <c r="AF345" s="330"/>
      <c r="AG345" s="343"/>
      <c r="AH345" s="249"/>
      <c r="AI345" s="330"/>
      <c r="AJ345" s="343"/>
      <c r="AK345" s="249"/>
      <c r="AL345" s="330"/>
      <c r="AM345" s="343"/>
      <c r="AN345" s="249"/>
      <c r="AO345" s="330"/>
      <c r="AP345" s="343"/>
      <c r="AQ345" s="249"/>
      <c r="AR345" s="330"/>
      <c r="AS345" s="343"/>
      <c r="AT345" s="249"/>
      <c r="AU345" s="330"/>
    </row>
    <row r="346" spans="2:47">
      <c r="B346" s="247">
        <f>'Table S2 Compound Identifiers'!C348</f>
        <v>0</v>
      </c>
      <c r="C346" s="247">
        <f>COUNTIF($D$6:D346,"&lt;&gt;"&amp;"")</f>
        <v>341</v>
      </c>
      <c r="D346" s="247">
        <f>'Table S2 Compound Identifiers'!B348</f>
        <v>0</v>
      </c>
      <c r="E346" s="247"/>
      <c r="F346" s="248"/>
      <c r="G346" s="249"/>
      <c r="H346" s="330"/>
      <c r="I346" s="328"/>
      <c r="J346" s="249"/>
      <c r="K346" s="330"/>
      <c r="L346" s="250"/>
      <c r="M346" s="249"/>
      <c r="N346" s="330"/>
      <c r="O346" s="250"/>
      <c r="P346" s="249"/>
      <c r="Q346" s="330"/>
      <c r="R346" s="250"/>
      <c r="S346" s="249"/>
      <c r="T346" s="330"/>
      <c r="U346" s="250"/>
      <c r="V346" s="249"/>
      <c r="W346" s="330"/>
      <c r="X346" s="343"/>
      <c r="Y346" s="249"/>
      <c r="Z346" s="330"/>
      <c r="AA346" s="343"/>
      <c r="AB346" s="249"/>
      <c r="AC346" s="330"/>
      <c r="AD346" s="343"/>
      <c r="AE346" s="249"/>
      <c r="AF346" s="330"/>
      <c r="AG346" s="343"/>
      <c r="AH346" s="249"/>
      <c r="AI346" s="330"/>
      <c r="AJ346" s="343"/>
      <c r="AK346" s="249"/>
      <c r="AL346" s="330"/>
      <c r="AM346" s="343"/>
      <c r="AN346" s="249"/>
      <c r="AO346" s="330"/>
      <c r="AP346" s="343"/>
      <c r="AQ346" s="249"/>
      <c r="AR346" s="330"/>
      <c r="AS346" s="343"/>
      <c r="AT346" s="249"/>
      <c r="AU346" s="330"/>
    </row>
    <row r="347" spans="2:47">
      <c r="B347" s="247">
        <f>'Table S2 Compound Identifiers'!C349</f>
        <v>0</v>
      </c>
      <c r="C347" s="247">
        <f>COUNTIF($D$6:D347,"&lt;&gt;"&amp;"")</f>
        <v>342</v>
      </c>
      <c r="D347" s="247">
        <f>'Table S2 Compound Identifiers'!B349</f>
        <v>0</v>
      </c>
      <c r="E347" s="247"/>
      <c r="F347" s="248"/>
      <c r="G347" s="249"/>
      <c r="H347" s="330"/>
      <c r="I347" s="328"/>
      <c r="J347" s="249"/>
      <c r="K347" s="330"/>
      <c r="L347" s="250"/>
      <c r="M347" s="249"/>
      <c r="N347" s="330"/>
      <c r="O347" s="250"/>
      <c r="P347" s="249"/>
      <c r="Q347" s="330"/>
      <c r="R347" s="250"/>
      <c r="S347" s="249"/>
      <c r="T347" s="330"/>
      <c r="U347" s="250"/>
      <c r="V347" s="249"/>
      <c r="W347" s="330"/>
      <c r="X347" s="343"/>
      <c r="Y347" s="249"/>
      <c r="Z347" s="330"/>
      <c r="AA347" s="343"/>
      <c r="AB347" s="249"/>
      <c r="AC347" s="330"/>
      <c r="AD347" s="343"/>
      <c r="AE347" s="249"/>
      <c r="AF347" s="330"/>
      <c r="AG347" s="343"/>
      <c r="AH347" s="249"/>
      <c r="AI347" s="330"/>
      <c r="AJ347" s="343"/>
      <c r="AK347" s="249"/>
      <c r="AL347" s="330"/>
      <c r="AM347" s="343"/>
      <c r="AN347" s="249"/>
      <c r="AO347" s="330"/>
      <c r="AP347" s="343"/>
      <c r="AQ347" s="249"/>
      <c r="AR347" s="330"/>
      <c r="AS347" s="343"/>
      <c r="AT347" s="249"/>
      <c r="AU347" s="330"/>
    </row>
    <row r="348" spans="2:47">
      <c r="B348" s="247">
        <f>'Table S2 Compound Identifiers'!C350</f>
        <v>0</v>
      </c>
      <c r="C348" s="247">
        <f>COUNTIF($D$6:D348,"&lt;&gt;"&amp;"")</f>
        <v>343</v>
      </c>
      <c r="D348" s="247">
        <f>'Table S2 Compound Identifiers'!B350</f>
        <v>0</v>
      </c>
      <c r="E348" s="247"/>
      <c r="F348" s="248"/>
      <c r="G348" s="249"/>
      <c r="H348" s="330"/>
      <c r="I348" s="328"/>
      <c r="J348" s="249"/>
      <c r="K348" s="330"/>
      <c r="L348" s="250"/>
      <c r="M348" s="249"/>
      <c r="N348" s="330"/>
      <c r="O348" s="250"/>
      <c r="P348" s="249"/>
      <c r="Q348" s="330"/>
      <c r="R348" s="250"/>
      <c r="S348" s="249"/>
      <c r="T348" s="330"/>
      <c r="U348" s="250"/>
      <c r="V348" s="249"/>
      <c r="W348" s="330"/>
      <c r="X348" s="343"/>
      <c r="Y348" s="249"/>
      <c r="Z348" s="330"/>
      <c r="AA348" s="343"/>
      <c r="AB348" s="249"/>
      <c r="AC348" s="330"/>
      <c r="AD348" s="343"/>
      <c r="AE348" s="249"/>
      <c r="AF348" s="330"/>
      <c r="AG348" s="343"/>
      <c r="AH348" s="249"/>
      <c r="AI348" s="330"/>
      <c r="AJ348" s="343"/>
      <c r="AK348" s="249"/>
      <c r="AL348" s="330"/>
      <c r="AM348" s="343"/>
      <c r="AN348" s="249"/>
      <c r="AO348" s="330"/>
      <c r="AP348" s="343"/>
      <c r="AQ348" s="249"/>
      <c r="AR348" s="330"/>
      <c r="AS348" s="343"/>
      <c r="AT348" s="249"/>
      <c r="AU348" s="330"/>
    </row>
    <row r="349" spans="2:47">
      <c r="B349" s="247">
        <f>'Table S2 Compound Identifiers'!C351</f>
        <v>0</v>
      </c>
      <c r="C349" s="247">
        <f>COUNTIF($D$6:D349,"&lt;&gt;"&amp;"")</f>
        <v>344</v>
      </c>
      <c r="D349" s="247">
        <f>'Table S2 Compound Identifiers'!B351</f>
        <v>0</v>
      </c>
      <c r="E349" s="247"/>
      <c r="F349" s="248"/>
      <c r="G349" s="249"/>
      <c r="H349" s="330"/>
      <c r="I349" s="328"/>
      <c r="J349" s="249"/>
      <c r="K349" s="330"/>
      <c r="L349" s="250"/>
      <c r="M349" s="249"/>
      <c r="N349" s="330"/>
      <c r="O349" s="250"/>
      <c r="P349" s="249"/>
      <c r="Q349" s="330"/>
      <c r="R349" s="250"/>
      <c r="S349" s="249"/>
      <c r="T349" s="330"/>
      <c r="U349" s="250"/>
      <c r="V349" s="249"/>
      <c r="W349" s="330"/>
      <c r="X349" s="343"/>
      <c r="Y349" s="249"/>
      <c r="Z349" s="330"/>
      <c r="AA349" s="343"/>
      <c r="AB349" s="249"/>
      <c r="AC349" s="330"/>
      <c r="AD349" s="343"/>
      <c r="AE349" s="249"/>
      <c r="AF349" s="330"/>
      <c r="AG349" s="343"/>
      <c r="AH349" s="249"/>
      <c r="AI349" s="330"/>
      <c r="AJ349" s="343"/>
      <c r="AK349" s="249"/>
      <c r="AL349" s="330"/>
      <c r="AM349" s="343"/>
      <c r="AN349" s="249"/>
      <c r="AO349" s="330"/>
      <c r="AP349" s="343"/>
      <c r="AQ349" s="249"/>
      <c r="AR349" s="330"/>
      <c r="AS349" s="343"/>
      <c r="AT349" s="249"/>
      <c r="AU349" s="330"/>
    </row>
    <row r="350" spans="2:47">
      <c r="B350" s="247">
        <f>'Table S2 Compound Identifiers'!C352</f>
        <v>0</v>
      </c>
      <c r="C350" s="247">
        <f>COUNTIF($D$6:D350,"&lt;&gt;"&amp;"")</f>
        <v>345</v>
      </c>
      <c r="D350" s="247">
        <f>'Table S2 Compound Identifiers'!B352</f>
        <v>0</v>
      </c>
      <c r="E350" s="247"/>
      <c r="F350" s="248"/>
      <c r="G350" s="249"/>
      <c r="H350" s="330"/>
      <c r="I350" s="328"/>
      <c r="J350" s="249"/>
      <c r="K350" s="330"/>
      <c r="L350" s="250"/>
      <c r="M350" s="249"/>
      <c r="N350" s="330"/>
      <c r="O350" s="250"/>
      <c r="P350" s="249"/>
      <c r="Q350" s="330"/>
      <c r="R350" s="250"/>
      <c r="S350" s="249"/>
      <c r="T350" s="330"/>
      <c r="U350" s="250"/>
      <c r="V350" s="249"/>
      <c r="W350" s="330"/>
      <c r="X350" s="343"/>
      <c r="Y350" s="249"/>
      <c r="Z350" s="330"/>
      <c r="AA350" s="343"/>
      <c r="AB350" s="249"/>
      <c r="AC350" s="330"/>
      <c r="AD350" s="343"/>
      <c r="AE350" s="249"/>
      <c r="AF350" s="330"/>
      <c r="AG350" s="343"/>
      <c r="AH350" s="249"/>
      <c r="AI350" s="330"/>
      <c r="AJ350" s="343"/>
      <c r="AK350" s="249"/>
      <c r="AL350" s="330"/>
      <c r="AM350" s="343"/>
      <c r="AN350" s="249"/>
      <c r="AO350" s="330"/>
      <c r="AP350" s="343"/>
      <c r="AQ350" s="249"/>
      <c r="AR350" s="330"/>
      <c r="AS350" s="343"/>
      <c r="AT350" s="249"/>
      <c r="AU350" s="330"/>
    </row>
    <row r="351" spans="2:47">
      <c r="B351" s="247">
        <f>'Table S2 Compound Identifiers'!C353</f>
        <v>0</v>
      </c>
      <c r="C351" s="247">
        <f>COUNTIF($D$6:D351,"&lt;&gt;"&amp;"")</f>
        <v>346</v>
      </c>
      <c r="D351" s="247">
        <f>'Table S2 Compound Identifiers'!B353</f>
        <v>0</v>
      </c>
      <c r="E351" s="247"/>
      <c r="F351" s="248"/>
      <c r="G351" s="249"/>
      <c r="H351" s="330"/>
      <c r="I351" s="328"/>
      <c r="J351" s="249"/>
      <c r="K351" s="330"/>
      <c r="L351" s="250"/>
      <c r="M351" s="249"/>
      <c r="N351" s="330"/>
      <c r="O351" s="250"/>
      <c r="P351" s="249"/>
      <c r="Q351" s="330"/>
      <c r="R351" s="250"/>
      <c r="S351" s="249"/>
      <c r="T351" s="330"/>
      <c r="U351" s="250"/>
      <c r="V351" s="249"/>
      <c r="W351" s="330"/>
      <c r="X351" s="343"/>
      <c r="Y351" s="249"/>
      <c r="Z351" s="330"/>
      <c r="AA351" s="343"/>
      <c r="AB351" s="249"/>
      <c r="AC351" s="330"/>
      <c r="AD351" s="343"/>
      <c r="AE351" s="249"/>
      <c r="AF351" s="330"/>
      <c r="AG351" s="343"/>
      <c r="AH351" s="249"/>
      <c r="AI351" s="330"/>
      <c r="AJ351" s="343"/>
      <c r="AK351" s="249"/>
      <c r="AL351" s="330"/>
      <c r="AM351" s="343"/>
      <c r="AN351" s="249"/>
      <c r="AO351" s="330"/>
      <c r="AP351" s="343"/>
      <c r="AQ351" s="249"/>
      <c r="AR351" s="330"/>
      <c r="AS351" s="343"/>
      <c r="AT351" s="249"/>
      <c r="AU351" s="330"/>
    </row>
    <row r="352" spans="2:47">
      <c r="B352" s="247">
        <f>'Table S2 Compound Identifiers'!C354</f>
        <v>0</v>
      </c>
      <c r="C352" s="247">
        <f>COUNTIF($D$6:D352,"&lt;&gt;"&amp;"")</f>
        <v>347</v>
      </c>
      <c r="D352" s="247">
        <f>'Table S2 Compound Identifiers'!B354</f>
        <v>0</v>
      </c>
      <c r="E352" s="247"/>
      <c r="F352" s="248"/>
      <c r="G352" s="249"/>
      <c r="H352" s="330"/>
      <c r="I352" s="328"/>
      <c r="J352" s="249"/>
      <c r="K352" s="330"/>
      <c r="L352" s="250"/>
      <c r="M352" s="249"/>
      <c r="N352" s="330"/>
      <c r="O352" s="250"/>
      <c r="P352" s="249"/>
      <c r="Q352" s="330"/>
      <c r="R352" s="250"/>
      <c r="S352" s="249"/>
      <c r="T352" s="330"/>
      <c r="U352" s="250"/>
      <c r="V352" s="249"/>
      <c r="W352" s="330"/>
      <c r="X352" s="343"/>
      <c r="Y352" s="249"/>
      <c r="Z352" s="330"/>
      <c r="AA352" s="343"/>
      <c r="AB352" s="249"/>
      <c r="AC352" s="330"/>
      <c r="AD352" s="343"/>
      <c r="AE352" s="249"/>
      <c r="AF352" s="330"/>
      <c r="AG352" s="343"/>
      <c r="AH352" s="249"/>
      <c r="AI352" s="330"/>
      <c r="AJ352" s="343"/>
      <c r="AK352" s="249"/>
      <c r="AL352" s="330"/>
      <c r="AM352" s="343"/>
      <c r="AN352" s="249"/>
      <c r="AO352" s="330"/>
      <c r="AP352" s="343"/>
      <c r="AQ352" s="249"/>
      <c r="AR352" s="330"/>
      <c r="AS352" s="343"/>
      <c r="AT352" s="249"/>
      <c r="AU352" s="330"/>
    </row>
    <row r="353" spans="2:47">
      <c r="B353" s="247">
        <f>'Table S2 Compound Identifiers'!C355</f>
        <v>0</v>
      </c>
      <c r="C353" s="247">
        <f>COUNTIF($D$6:D353,"&lt;&gt;"&amp;"")</f>
        <v>348</v>
      </c>
      <c r="D353" s="247">
        <f>'Table S2 Compound Identifiers'!B355</f>
        <v>0</v>
      </c>
      <c r="E353" s="247"/>
      <c r="F353" s="248"/>
      <c r="G353" s="249"/>
      <c r="H353" s="330"/>
      <c r="I353" s="328"/>
      <c r="J353" s="249"/>
      <c r="K353" s="330"/>
      <c r="L353" s="250"/>
      <c r="M353" s="249"/>
      <c r="N353" s="330"/>
      <c r="O353" s="250"/>
      <c r="P353" s="249"/>
      <c r="Q353" s="330"/>
      <c r="R353" s="250"/>
      <c r="S353" s="249"/>
      <c r="T353" s="330"/>
      <c r="U353" s="250"/>
      <c r="V353" s="249"/>
      <c r="W353" s="330"/>
      <c r="X353" s="343"/>
      <c r="Y353" s="249"/>
      <c r="Z353" s="330"/>
      <c r="AA353" s="343"/>
      <c r="AB353" s="249"/>
      <c r="AC353" s="330"/>
      <c r="AD353" s="343"/>
      <c r="AE353" s="249"/>
      <c r="AF353" s="330"/>
      <c r="AG353" s="343"/>
      <c r="AH353" s="249"/>
      <c r="AI353" s="330"/>
      <c r="AJ353" s="343"/>
      <c r="AK353" s="249"/>
      <c r="AL353" s="330"/>
      <c r="AM353" s="343"/>
      <c r="AN353" s="249"/>
      <c r="AO353" s="330"/>
      <c r="AP353" s="343"/>
      <c r="AQ353" s="249"/>
      <c r="AR353" s="330"/>
      <c r="AS353" s="343"/>
      <c r="AT353" s="249"/>
      <c r="AU353" s="330"/>
    </row>
    <row r="354" spans="2:47">
      <c r="B354" s="247">
        <f>'Table S2 Compound Identifiers'!C356</f>
        <v>0</v>
      </c>
      <c r="C354" s="247">
        <f>COUNTIF($D$6:D354,"&lt;&gt;"&amp;"")</f>
        <v>349</v>
      </c>
      <c r="D354" s="247">
        <f>'Table S2 Compound Identifiers'!B356</f>
        <v>0</v>
      </c>
      <c r="E354" s="247"/>
      <c r="F354" s="248"/>
      <c r="G354" s="249"/>
      <c r="H354" s="330"/>
      <c r="I354" s="328"/>
      <c r="J354" s="249"/>
      <c r="K354" s="330"/>
      <c r="L354" s="250"/>
      <c r="M354" s="249"/>
      <c r="N354" s="330"/>
      <c r="O354" s="250"/>
      <c r="P354" s="249"/>
      <c r="Q354" s="330"/>
      <c r="R354" s="250"/>
      <c r="S354" s="249"/>
      <c r="T354" s="330"/>
      <c r="U354" s="250"/>
      <c r="V354" s="249"/>
      <c r="W354" s="330"/>
      <c r="X354" s="343"/>
      <c r="Y354" s="249"/>
      <c r="Z354" s="330"/>
      <c r="AA354" s="343"/>
      <c r="AB354" s="249"/>
      <c r="AC354" s="330"/>
      <c r="AD354" s="343"/>
      <c r="AE354" s="249"/>
      <c r="AF354" s="330"/>
      <c r="AG354" s="343"/>
      <c r="AH354" s="249"/>
      <c r="AI354" s="330"/>
      <c r="AJ354" s="343"/>
      <c r="AK354" s="249"/>
      <c r="AL354" s="330"/>
      <c r="AM354" s="343"/>
      <c r="AN354" s="249"/>
      <c r="AO354" s="330"/>
      <c r="AP354" s="343"/>
      <c r="AQ354" s="249"/>
      <c r="AR354" s="330"/>
      <c r="AS354" s="343"/>
      <c r="AT354" s="249"/>
      <c r="AU354" s="330"/>
    </row>
    <row r="355" spans="2:47">
      <c r="B355" s="247">
        <f>'Table S2 Compound Identifiers'!C357</f>
        <v>0</v>
      </c>
      <c r="C355" s="247">
        <f>COUNTIF($D$6:D355,"&lt;&gt;"&amp;"")</f>
        <v>350</v>
      </c>
      <c r="D355" s="247">
        <f>'Table S2 Compound Identifiers'!B357</f>
        <v>0</v>
      </c>
      <c r="E355" s="247"/>
      <c r="F355" s="248"/>
      <c r="G355" s="249"/>
      <c r="H355" s="330"/>
      <c r="I355" s="328"/>
      <c r="J355" s="249"/>
      <c r="K355" s="330"/>
      <c r="L355" s="250"/>
      <c r="M355" s="249"/>
      <c r="N355" s="330"/>
      <c r="O355" s="250"/>
      <c r="P355" s="249"/>
      <c r="Q355" s="330"/>
      <c r="R355" s="250"/>
      <c r="S355" s="249"/>
      <c r="T355" s="330"/>
      <c r="U355" s="250"/>
      <c r="V355" s="249"/>
      <c r="W355" s="330"/>
      <c r="X355" s="343"/>
      <c r="Y355" s="249"/>
      <c r="Z355" s="330"/>
      <c r="AA355" s="343"/>
      <c r="AB355" s="249"/>
      <c r="AC355" s="330"/>
      <c r="AD355" s="343"/>
      <c r="AE355" s="249"/>
      <c r="AF355" s="330"/>
      <c r="AG355" s="343"/>
      <c r="AH355" s="249"/>
      <c r="AI355" s="330"/>
      <c r="AJ355" s="343"/>
      <c r="AK355" s="249"/>
      <c r="AL355" s="330"/>
      <c r="AM355" s="343"/>
      <c r="AN355" s="249"/>
      <c r="AO355" s="330"/>
      <c r="AP355" s="343"/>
      <c r="AQ355" s="249"/>
      <c r="AR355" s="330"/>
      <c r="AS355" s="343"/>
      <c r="AT355" s="249"/>
      <c r="AU355" s="330"/>
    </row>
    <row r="356" spans="2:47">
      <c r="B356" s="247">
        <f>'Table S2 Compound Identifiers'!C358</f>
        <v>0</v>
      </c>
      <c r="C356" s="247">
        <f>COUNTIF($D$6:D356,"&lt;&gt;"&amp;"")</f>
        <v>351</v>
      </c>
      <c r="D356" s="247">
        <f>'Table S2 Compound Identifiers'!B358</f>
        <v>0</v>
      </c>
      <c r="E356" s="247"/>
      <c r="F356" s="248"/>
      <c r="G356" s="249"/>
      <c r="H356" s="330"/>
      <c r="I356" s="328"/>
      <c r="J356" s="249"/>
      <c r="K356" s="330"/>
      <c r="L356" s="250"/>
      <c r="M356" s="249"/>
      <c r="N356" s="330"/>
      <c r="O356" s="250"/>
      <c r="P356" s="249"/>
      <c r="Q356" s="330"/>
      <c r="R356" s="250"/>
      <c r="S356" s="249"/>
      <c r="T356" s="330"/>
      <c r="U356" s="250"/>
      <c r="V356" s="249"/>
      <c r="W356" s="330"/>
      <c r="X356" s="343"/>
      <c r="Y356" s="249"/>
      <c r="Z356" s="330"/>
      <c r="AA356" s="343"/>
      <c r="AB356" s="249"/>
      <c r="AC356" s="330"/>
      <c r="AD356" s="343"/>
      <c r="AE356" s="249"/>
      <c r="AF356" s="330"/>
      <c r="AG356" s="343"/>
      <c r="AH356" s="249"/>
      <c r="AI356" s="330"/>
      <c r="AJ356" s="343"/>
      <c r="AK356" s="249"/>
      <c r="AL356" s="330"/>
      <c r="AM356" s="343"/>
      <c r="AN356" s="249"/>
      <c r="AO356" s="330"/>
      <c r="AP356" s="343"/>
      <c r="AQ356" s="249"/>
      <c r="AR356" s="330"/>
      <c r="AS356" s="343"/>
      <c r="AT356" s="249"/>
      <c r="AU356" s="330"/>
    </row>
    <row r="357" spans="2:47">
      <c r="B357" s="247">
        <f>'Table S2 Compound Identifiers'!C359</f>
        <v>0</v>
      </c>
      <c r="C357" s="247">
        <f>COUNTIF($D$6:D357,"&lt;&gt;"&amp;"")</f>
        <v>352</v>
      </c>
      <c r="D357" s="247">
        <f>'Table S2 Compound Identifiers'!B359</f>
        <v>0</v>
      </c>
      <c r="E357" s="247"/>
      <c r="F357" s="248"/>
      <c r="G357" s="249"/>
      <c r="H357" s="330"/>
      <c r="I357" s="328"/>
      <c r="J357" s="249"/>
      <c r="K357" s="330"/>
      <c r="L357" s="250"/>
      <c r="M357" s="249"/>
      <c r="N357" s="330"/>
      <c r="O357" s="250"/>
      <c r="P357" s="249"/>
      <c r="Q357" s="330"/>
      <c r="R357" s="250"/>
      <c r="S357" s="249"/>
      <c r="T357" s="330"/>
      <c r="U357" s="250"/>
      <c r="V357" s="249"/>
      <c r="W357" s="330"/>
      <c r="X357" s="343"/>
      <c r="Y357" s="249"/>
      <c r="Z357" s="330"/>
      <c r="AA357" s="343"/>
      <c r="AB357" s="249"/>
      <c r="AC357" s="330"/>
      <c r="AD357" s="343"/>
      <c r="AE357" s="249"/>
      <c r="AF357" s="330"/>
      <c r="AG357" s="343"/>
      <c r="AH357" s="249"/>
      <c r="AI357" s="330"/>
      <c r="AJ357" s="343"/>
      <c r="AK357" s="249"/>
      <c r="AL357" s="330"/>
      <c r="AM357" s="343"/>
      <c r="AN357" s="249"/>
      <c r="AO357" s="330"/>
      <c r="AP357" s="343"/>
      <c r="AQ357" s="249"/>
      <c r="AR357" s="330"/>
      <c r="AS357" s="343"/>
      <c r="AT357" s="249"/>
      <c r="AU357" s="330"/>
    </row>
    <row r="358" spans="2:47">
      <c r="B358" s="247">
        <f>'Table S2 Compound Identifiers'!C360</f>
        <v>0</v>
      </c>
      <c r="C358" s="247">
        <f>COUNTIF($D$6:D358,"&lt;&gt;"&amp;"")</f>
        <v>353</v>
      </c>
      <c r="D358" s="432">
        <f>'Table S2 Compound Identifiers'!B360</f>
        <v>0</v>
      </c>
      <c r="E358" s="247"/>
      <c r="F358" s="248"/>
      <c r="G358" s="249"/>
      <c r="H358" s="330"/>
      <c r="I358" s="328"/>
      <c r="J358" s="249"/>
      <c r="K358" s="330"/>
      <c r="L358" s="250"/>
      <c r="M358" s="249"/>
      <c r="N358" s="330"/>
      <c r="O358" s="250"/>
      <c r="P358" s="249"/>
      <c r="Q358" s="330"/>
      <c r="R358" s="250"/>
      <c r="S358" s="249"/>
      <c r="T358" s="330"/>
      <c r="U358" s="250"/>
      <c r="V358" s="249"/>
      <c r="W358" s="330"/>
      <c r="X358" s="343"/>
      <c r="Y358" s="249"/>
      <c r="Z358" s="330"/>
      <c r="AA358" s="343"/>
      <c r="AB358" s="249"/>
      <c r="AC358" s="330"/>
      <c r="AD358" s="343"/>
      <c r="AE358" s="249"/>
      <c r="AF358" s="330"/>
      <c r="AG358" s="343"/>
      <c r="AH358" s="249"/>
      <c r="AI358" s="330"/>
      <c r="AJ358" s="343"/>
      <c r="AK358" s="249"/>
      <c r="AL358" s="330"/>
      <c r="AM358" s="343"/>
      <c r="AN358" s="249"/>
      <c r="AO358" s="330"/>
      <c r="AP358" s="343"/>
      <c r="AQ358" s="249"/>
      <c r="AR358" s="330"/>
      <c r="AS358" s="343"/>
      <c r="AT358" s="249"/>
      <c r="AU358" s="330"/>
    </row>
    <row r="359" spans="2:47">
      <c r="B359" s="247">
        <f>'Table S2 Compound Identifiers'!C361</f>
        <v>0</v>
      </c>
      <c r="C359" s="247">
        <f>COUNTIF($D$6:D359,"&lt;&gt;"&amp;"")</f>
        <v>354</v>
      </c>
      <c r="D359" s="432">
        <f>'Table S2 Compound Identifiers'!B361</f>
        <v>0</v>
      </c>
      <c r="E359" s="247"/>
      <c r="F359" s="248"/>
      <c r="G359" s="249"/>
      <c r="H359" s="330"/>
      <c r="I359" s="328"/>
      <c r="J359" s="249"/>
      <c r="K359" s="330"/>
      <c r="L359" s="250"/>
      <c r="M359" s="249"/>
      <c r="N359" s="330"/>
      <c r="O359" s="250"/>
      <c r="P359" s="249"/>
      <c r="Q359" s="330"/>
      <c r="R359" s="250"/>
      <c r="S359" s="249"/>
      <c r="T359" s="330"/>
      <c r="U359" s="250"/>
      <c r="V359" s="249"/>
      <c r="W359" s="330"/>
      <c r="X359" s="343"/>
      <c r="Y359" s="249"/>
      <c r="Z359" s="330"/>
      <c r="AA359" s="343"/>
      <c r="AB359" s="249"/>
      <c r="AC359" s="330"/>
      <c r="AD359" s="343"/>
      <c r="AE359" s="249"/>
      <c r="AF359" s="330"/>
      <c r="AG359" s="343"/>
      <c r="AH359" s="249"/>
      <c r="AI359" s="330"/>
      <c r="AJ359" s="343"/>
      <c r="AK359" s="249"/>
      <c r="AL359" s="330"/>
      <c r="AM359" s="343"/>
      <c r="AN359" s="249"/>
      <c r="AO359" s="330"/>
      <c r="AP359" s="343"/>
      <c r="AQ359" s="249"/>
      <c r="AR359" s="330"/>
      <c r="AS359" s="343"/>
      <c r="AT359" s="249"/>
      <c r="AU359" s="330"/>
    </row>
    <row r="360" spans="2:47">
      <c r="B360" s="247">
        <f>'Table S2 Compound Identifiers'!C362</f>
        <v>0</v>
      </c>
      <c r="C360" s="247">
        <f>COUNTIF($D$6:D360,"&lt;&gt;"&amp;"")</f>
        <v>355</v>
      </c>
      <c r="D360" s="432">
        <f>'Table S2 Compound Identifiers'!B362</f>
        <v>0</v>
      </c>
      <c r="E360" s="247"/>
      <c r="F360" s="248"/>
      <c r="G360" s="249"/>
      <c r="H360" s="330"/>
      <c r="I360" s="328"/>
      <c r="J360" s="249"/>
      <c r="K360" s="330"/>
      <c r="L360" s="250"/>
      <c r="M360" s="249"/>
      <c r="N360" s="330"/>
      <c r="O360" s="250"/>
      <c r="P360" s="249"/>
      <c r="Q360" s="330"/>
      <c r="R360" s="250"/>
      <c r="S360" s="249"/>
      <c r="T360" s="330"/>
      <c r="U360" s="250"/>
      <c r="V360" s="249"/>
      <c r="W360" s="330"/>
      <c r="X360" s="343"/>
      <c r="Y360" s="249"/>
      <c r="Z360" s="330"/>
      <c r="AA360" s="343"/>
      <c r="AB360" s="249"/>
      <c r="AC360" s="330"/>
      <c r="AD360" s="343"/>
      <c r="AE360" s="249"/>
      <c r="AF360" s="330"/>
      <c r="AG360" s="343"/>
      <c r="AH360" s="249"/>
      <c r="AI360" s="330"/>
      <c r="AJ360" s="343"/>
      <c r="AK360" s="249"/>
      <c r="AL360" s="330"/>
      <c r="AM360" s="343"/>
      <c r="AN360" s="249"/>
      <c r="AO360" s="330"/>
      <c r="AP360" s="343"/>
      <c r="AQ360" s="249"/>
      <c r="AR360" s="330"/>
      <c r="AS360" s="343"/>
      <c r="AT360" s="249"/>
      <c r="AU360" s="330"/>
    </row>
    <row r="361" spans="2:47">
      <c r="B361" s="247">
        <f>'Table S2 Compound Identifiers'!C363</f>
        <v>0</v>
      </c>
      <c r="C361" s="247">
        <f>COUNTIF($D$6:D361,"&lt;&gt;"&amp;"")</f>
        <v>356</v>
      </c>
      <c r="D361" s="432">
        <f>'Table S2 Compound Identifiers'!B363</f>
        <v>0</v>
      </c>
      <c r="E361" s="247"/>
      <c r="F361" s="248"/>
      <c r="G361" s="249"/>
      <c r="H361" s="330"/>
      <c r="I361" s="328"/>
      <c r="J361" s="249"/>
      <c r="K361" s="330"/>
      <c r="L361" s="250"/>
      <c r="M361" s="249"/>
      <c r="N361" s="330"/>
      <c r="O361" s="250"/>
      <c r="P361" s="249"/>
      <c r="Q361" s="330"/>
      <c r="R361" s="250"/>
      <c r="S361" s="249"/>
      <c r="T361" s="330"/>
      <c r="U361" s="250"/>
      <c r="V361" s="249"/>
      <c r="W361" s="330"/>
      <c r="X361" s="343"/>
      <c r="Y361" s="249"/>
      <c r="Z361" s="330"/>
      <c r="AA361" s="343"/>
      <c r="AB361" s="249"/>
      <c r="AC361" s="330"/>
      <c r="AD361" s="343"/>
      <c r="AE361" s="249"/>
      <c r="AF361" s="330"/>
      <c r="AG361" s="343"/>
      <c r="AH361" s="249"/>
      <c r="AI361" s="330"/>
      <c r="AJ361" s="343"/>
      <c r="AK361" s="249"/>
      <c r="AL361" s="330"/>
      <c r="AM361" s="343"/>
      <c r="AN361" s="249"/>
      <c r="AO361" s="330"/>
      <c r="AP361" s="343"/>
      <c r="AQ361" s="249"/>
      <c r="AR361" s="330"/>
      <c r="AS361" s="343"/>
      <c r="AT361" s="249"/>
      <c r="AU361" s="330"/>
    </row>
    <row r="362" spans="2:47">
      <c r="B362" s="247">
        <f>'Table S2 Compound Identifiers'!C364</f>
        <v>0</v>
      </c>
      <c r="C362" s="247">
        <f>COUNTIF($D$6:D362,"&lt;&gt;"&amp;"")</f>
        <v>357</v>
      </c>
      <c r="D362" s="432">
        <f>'Table S2 Compound Identifiers'!B364</f>
        <v>0</v>
      </c>
      <c r="E362" s="247"/>
      <c r="F362" s="248"/>
      <c r="G362" s="249"/>
      <c r="H362" s="330"/>
      <c r="I362" s="328"/>
      <c r="J362" s="249"/>
      <c r="K362" s="330"/>
      <c r="L362" s="250"/>
      <c r="M362" s="249"/>
      <c r="N362" s="330"/>
      <c r="O362" s="250"/>
      <c r="P362" s="249"/>
      <c r="Q362" s="330"/>
      <c r="R362" s="250"/>
      <c r="S362" s="249"/>
      <c r="T362" s="330"/>
      <c r="U362" s="250"/>
      <c r="V362" s="249"/>
      <c r="W362" s="330"/>
      <c r="X362" s="343"/>
      <c r="Y362" s="249"/>
      <c r="Z362" s="330"/>
      <c r="AA362" s="343"/>
      <c r="AB362" s="249"/>
      <c r="AC362" s="330"/>
      <c r="AD362" s="343"/>
      <c r="AE362" s="249"/>
      <c r="AF362" s="330"/>
      <c r="AG362" s="343"/>
      <c r="AH362" s="249"/>
      <c r="AI362" s="330"/>
      <c r="AJ362" s="343"/>
      <c r="AK362" s="249"/>
      <c r="AL362" s="330"/>
      <c r="AM362" s="343"/>
      <c r="AN362" s="249"/>
      <c r="AO362" s="330"/>
      <c r="AP362" s="343"/>
      <c r="AQ362" s="249"/>
      <c r="AR362" s="330"/>
      <c r="AS362" s="343"/>
      <c r="AT362" s="249"/>
      <c r="AU362" s="330"/>
    </row>
    <row r="363" spans="2:47">
      <c r="B363" s="247">
        <f>'Table S2 Compound Identifiers'!C365</f>
        <v>0</v>
      </c>
      <c r="C363" s="247">
        <f>COUNTIF($D$6:D363,"&lt;&gt;"&amp;"")</f>
        <v>358</v>
      </c>
      <c r="D363" s="432">
        <f>'Table S2 Compound Identifiers'!B365</f>
        <v>0</v>
      </c>
      <c r="E363" s="247"/>
      <c r="F363" s="248"/>
      <c r="G363" s="249"/>
      <c r="H363" s="330"/>
      <c r="I363" s="328"/>
      <c r="J363" s="249"/>
      <c r="K363" s="330"/>
      <c r="L363" s="250"/>
      <c r="M363" s="249"/>
      <c r="N363" s="330"/>
      <c r="O363" s="250"/>
      <c r="P363" s="249"/>
      <c r="Q363" s="330"/>
      <c r="R363" s="250"/>
      <c r="S363" s="249"/>
      <c r="T363" s="330"/>
      <c r="U363" s="250"/>
      <c r="V363" s="249"/>
      <c r="W363" s="330"/>
      <c r="X363" s="343"/>
      <c r="Y363" s="249"/>
      <c r="Z363" s="330"/>
      <c r="AA363" s="343"/>
      <c r="AB363" s="249"/>
      <c r="AC363" s="330"/>
      <c r="AD363" s="343"/>
      <c r="AE363" s="249"/>
      <c r="AF363" s="330"/>
      <c r="AG363" s="343"/>
      <c r="AH363" s="249"/>
      <c r="AI363" s="330"/>
      <c r="AJ363" s="343"/>
      <c r="AK363" s="249"/>
      <c r="AL363" s="330"/>
      <c r="AM363" s="343"/>
      <c r="AN363" s="249"/>
      <c r="AO363" s="330"/>
      <c r="AP363" s="343"/>
      <c r="AQ363" s="249"/>
      <c r="AR363" s="330"/>
      <c r="AS363" s="343"/>
      <c r="AT363" s="249"/>
      <c r="AU363" s="330"/>
    </row>
    <row r="364" spans="2:47">
      <c r="B364" s="247">
        <f>'Table S2 Compound Identifiers'!C366</f>
        <v>0</v>
      </c>
      <c r="C364" s="247">
        <f>COUNTIF($D$6:D364,"&lt;&gt;"&amp;"")</f>
        <v>359</v>
      </c>
      <c r="D364" s="432">
        <f>'Table S2 Compound Identifiers'!B366</f>
        <v>0</v>
      </c>
      <c r="E364" s="247"/>
      <c r="F364" s="248"/>
      <c r="G364" s="249"/>
      <c r="H364" s="330"/>
      <c r="I364" s="328"/>
      <c r="J364" s="249"/>
      <c r="K364" s="330"/>
      <c r="L364" s="250"/>
      <c r="M364" s="249"/>
      <c r="N364" s="330"/>
      <c r="O364" s="250"/>
      <c r="P364" s="249"/>
      <c r="Q364" s="330"/>
      <c r="R364" s="250"/>
      <c r="S364" s="249"/>
      <c r="T364" s="330"/>
      <c r="U364" s="250"/>
      <c r="V364" s="249"/>
      <c r="W364" s="330"/>
      <c r="X364" s="343"/>
      <c r="Y364" s="249"/>
      <c r="Z364" s="330"/>
      <c r="AA364" s="343"/>
      <c r="AB364" s="249"/>
      <c r="AC364" s="330"/>
      <c r="AD364" s="343"/>
      <c r="AE364" s="249"/>
      <c r="AF364" s="330"/>
      <c r="AG364" s="343"/>
      <c r="AH364" s="249"/>
      <c r="AI364" s="330"/>
      <c r="AJ364" s="343"/>
      <c r="AK364" s="249"/>
      <c r="AL364" s="330"/>
      <c r="AM364" s="343"/>
      <c r="AN364" s="249"/>
      <c r="AO364" s="330"/>
      <c r="AP364" s="343"/>
      <c r="AQ364" s="249"/>
      <c r="AR364" s="330"/>
      <c r="AS364" s="343"/>
      <c r="AT364" s="249"/>
      <c r="AU364" s="330"/>
    </row>
    <row r="365" spans="2:47">
      <c r="B365" s="247">
        <f>'Table S2 Compound Identifiers'!C367</f>
        <v>0</v>
      </c>
      <c r="C365" s="247">
        <f>COUNTIF($D$6:D365,"&lt;&gt;"&amp;"")</f>
        <v>360</v>
      </c>
      <c r="D365" s="432">
        <f>'Table S2 Compound Identifiers'!B367</f>
        <v>0</v>
      </c>
      <c r="E365" s="247"/>
      <c r="F365" s="248"/>
      <c r="G365" s="249"/>
      <c r="H365" s="330"/>
      <c r="I365" s="328"/>
      <c r="J365" s="249"/>
      <c r="K365" s="330"/>
      <c r="L365" s="250"/>
      <c r="M365" s="249"/>
      <c r="N365" s="330"/>
      <c r="O365" s="250"/>
      <c r="P365" s="249"/>
      <c r="Q365" s="330"/>
      <c r="R365" s="250"/>
      <c r="S365" s="249"/>
      <c r="T365" s="330"/>
      <c r="U365" s="250"/>
      <c r="V365" s="249"/>
      <c r="W365" s="330"/>
      <c r="X365" s="343"/>
      <c r="Y365" s="249"/>
      <c r="Z365" s="330"/>
      <c r="AA365" s="343"/>
      <c r="AB365" s="249"/>
      <c r="AC365" s="330"/>
      <c r="AD365" s="343"/>
      <c r="AE365" s="249"/>
      <c r="AF365" s="330"/>
      <c r="AG365" s="343"/>
      <c r="AH365" s="249"/>
      <c r="AI365" s="330"/>
      <c r="AJ365" s="343"/>
      <c r="AK365" s="249"/>
      <c r="AL365" s="330"/>
      <c r="AM365" s="343"/>
      <c r="AN365" s="249"/>
      <c r="AO365" s="330"/>
      <c r="AP365" s="343"/>
      <c r="AQ365" s="249"/>
      <c r="AR365" s="330"/>
      <c r="AS365" s="343"/>
      <c r="AT365" s="249"/>
      <c r="AU365" s="330"/>
    </row>
    <row r="366" spans="2:47">
      <c r="B366" s="247">
        <f>'Table S2 Compound Identifiers'!C368</f>
        <v>0</v>
      </c>
      <c r="C366" s="247">
        <f>COUNTIF($D$6:D366,"&lt;&gt;"&amp;"")</f>
        <v>361</v>
      </c>
      <c r="D366" s="432">
        <f>'Table S2 Compound Identifiers'!B368</f>
        <v>0</v>
      </c>
      <c r="E366" s="247"/>
      <c r="F366" s="248"/>
      <c r="G366" s="249"/>
      <c r="H366" s="330"/>
      <c r="I366" s="328"/>
      <c r="J366" s="249"/>
      <c r="K366" s="330"/>
      <c r="L366" s="250"/>
      <c r="M366" s="249"/>
      <c r="N366" s="330"/>
      <c r="O366" s="250"/>
      <c r="P366" s="249"/>
      <c r="Q366" s="330"/>
      <c r="R366" s="250"/>
      <c r="S366" s="249"/>
      <c r="T366" s="330"/>
      <c r="U366" s="250"/>
      <c r="V366" s="249"/>
      <c r="W366" s="330"/>
      <c r="X366" s="343"/>
      <c r="Y366" s="249"/>
      <c r="Z366" s="330"/>
      <c r="AA366" s="343"/>
      <c r="AB366" s="249"/>
      <c r="AC366" s="330"/>
      <c r="AD366" s="343"/>
      <c r="AE366" s="249"/>
      <c r="AF366" s="330"/>
      <c r="AG366" s="343"/>
      <c r="AH366" s="249"/>
      <c r="AI366" s="330"/>
      <c r="AJ366" s="343"/>
      <c r="AK366" s="249"/>
      <c r="AL366" s="330"/>
      <c r="AM366" s="343"/>
      <c r="AN366" s="249"/>
      <c r="AO366" s="330"/>
      <c r="AP366" s="343"/>
      <c r="AQ366" s="249"/>
      <c r="AR366" s="330"/>
      <c r="AS366" s="343"/>
      <c r="AT366" s="249"/>
      <c r="AU366" s="330"/>
    </row>
    <row r="367" spans="2:47">
      <c r="B367" s="247">
        <f>'Table S2 Compound Identifiers'!C369</f>
        <v>0</v>
      </c>
      <c r="C367" s="247">
        <f>COUNTIF($D$6:D367,"&lt;&gt;"&amp;"")</f>
        <v>362</v>
      </c>
      <c r="D367" s="432">
        <f>'Table S2 Compound Identifiers'!B369</f>
        <v>0</v>
      </c>
      <c r="E367" s="247"/>
      <c r="F367" s="248"/>
      <c r="G367" s="249"/>
      <c r="H367" s="330"/>
      <c r="I367" s="328"/>
      <c r="J367" s="249"/>
      <c r="K367" s="330"/>
      <c r="L367" s="250"/>
      <c r="M367" s="249"/>
      <c r="N367" s="330"/>
      <c r="O367" s="250"/>
      <c r="P367" s="249"/>
      <c r="Q367" s="330"/>
      <c r="R367" s="250"/>
      <c r="S367" s="249"/>
      <c r="T367" s="330"/>
      <c r="U367" s="250"/>
      <c r="V367" s="249"/>
      <c r="W367" s="330"/>
      <c r="X367" s="343"/>
      <c r="Y367" s="249"/>
      <c r="Z367" s="330"/>
      <c r="AA367" s="343"/>
      <c r="AB367" s="249"/>
      <c r="AC367" s="330"/>
      <c r="AD367" s="343"/>
      <c r="AE367" s="249"/>
      <c r="AF367" s="330"/>
      <c r="AG367" s="343"/>
      <c r="AH367" s="249"/>
      <c r="AI367" s="330"/>
      <c r="AJ367" s="343"/>
      <c r="AK367" s="249"/>
      <c r="AL367" s="330"/>
      <c r="AM367" s="343"/>
      <c r="AN367" s="249"/>
      <c r="AO367" s="330"/>
      <c r="AP367" s="343"/>
      <c r="AQ367" s="249"/>
      <c r="AR367" s="330"/>
      <c r="AS367" s="343"/>
      <c r="AT367" s="249"/>
      <c r="AU367" s="330"/>
    </row>
    <row r="368" spans="2:47">
      <c r="B368" s="247">
        <f>'Table S2 Compound Identifiers'!C370</f>
        <v>0</v>
      </c>
      <c r="C368" s="247">
        <f>COUNTIF($D$6:D368,"&lt;&gt;"&amp;"")</f>
        <v>363</v>
      </c>
      <c r="D368" s="247">
        <f>'Table S2 Compound Identifiers'!B370</f>
        <v>0</v>
      </c>
      <c r="E368" s="247"/>
      <c r="F368" s="248"/>
      <c r="G368" s="249"/>
      <c r="H368" s="330"/>
      <c r="I368" s="328"/>
      <c r="J368" s="249"/>
      <c r="K368" s="330"/>
      <c r="L368" s="250"/>
      <c r="M368" s="249"/>
      <c r="N368" s="330"/>
      <c r="O368" s="250"/>
      <c r="P368" s="249"/>
      <c r="Q368" s="330"/>
      <c r="R368" s="250"/>
      <c r="S368" s="249"/>
      <c r="T368" s="330"/>
      <c r="U368" s="250"/>
      <c r="V368" s="249"/>
      <c r="W368" s="330"/>
      <c r="X368" s="343"/>
      <c r="Y368" s="249"/>
      <c r="Z368" s="330"/>
      <c r="AA368" s="343"/>
      <c r="AB368" s="249"/>
      <c r="AC368" s="330"/>
      <c r="AD368" s="343"/>
      <c r="AE368" s="249"/>
      <c r="AF368" s="330"/>
      <c r="AG368" s="343"/>
      <c r="AH368" s="249"/>
      <c r="AI368" s="330"/>
      <c r="AJ368" s="343"/>
      <c r="AK368" s="249"/>
      <c r="AL368" s="330"/>
      <c r="AM368" s="343"/>
      <c r="AN368" s="249"/>
      <c r="AO368" s="330"/>
      <c r="AP368" s="343"/>
      <c r="AQ368" s="249"/>
      <c r="AR368" s="330"/>
      <c r="AS368" s="343"/>
      <c r="AT368" s="249"/>
      <c r="AU368" s="330"/>
    </row>
    <row r="369" spans="2:47">
      <c r="B369" s="247">
        <f>'Table S2 Compound Identifiers'!C371</f>
        <v>0</v>
      </c>
      <c r="C369" s="247">
        <f>COUNTIF($D$6:D369,"&lt;&gt;"&amp;"")</f>
        <v>364</v>
      </c>
      <c r="D369" s="247">
        <f>'Table S2 Compound Identifiers'!B371</f>
        <v>0</v>
      </c>
      <c r="E369" s="247"/>
      <c r="F369" s="248"/>
      <c r="G369" s="249"/>
      <c r="H369" s="330"/>
      <c r="I369" s="328"/>
      <c r="J369" s="249"/>
      <c r="K369" s="330"/>
      <c r="L369" s="250"/>
      <c r="M369" s="249"/>
      <c r="N369" s="330"/>
      <c r="O369" s="250"/>
      <c r="P369" s="249"/>
      <c r="Q369" s="330"/>
      <c r="R369" s="250"/>
      <c r="S369" s="249"/>
      <c r="T369" s="330"/>
      <c r="U369" s="250"/>
      <c r="V369" s="249"/>
      <c r="W369" s="330"/>
      <c r="X369" s="343"/>
      <c r="Y369" s="249"/>
      <c r="Z369" s="330"/>
      <c r="AA369" s="343"/>
      <c r="AB369" s="249"/>
      <c r="AC369" s="330"/>
      <c r="AD369" s="343"/>
      <c r="AE369" s="249"/>
      <c r="AF369" s="330"/>
      <c r="AG369" s="343"/>
      <c r="AH369" s="249"/>
      <c r="AI369" s="330"/>
      <c r="AJ369" s="343"/>
      <c r="AK369" s="249"/>
      <c r="AL369" s="330"/>
      <c r="AM369" s="343"/>
      <c r="AN369" s="249"/>
      <c r="AO369" s="330"/>
      <c r="AP369" s="343"/>
      <c r="AQ369" s="249"/>
      <c r="AR369" s="330"/>
      <c r="AS369" s="343"/>
      <c r="AT369" s="249"/>
      <c r="AU369" s="330"/>
    </row>
    <row r="370" spans="2:47">
      <c r="B370" s="247">
        <f>'Table S2 Compound Identifiers'!C372</f>
        <v>0</v>
      </c>
      <c r="C370" s="247">
        <f>COUNTIF($D$6:D370,"&lt;&gt;"&amp;"")</f>
        <v>365</v>
      </c>
      <c r="D370" s="247">
        <f>'Table S2 Compound Identifiers'!B372</f>
        <v>0</v>
      </c>
      <c r="E370" s="247"/>
      <c r="F370" s="248"/>
      <c r="G370" s="249"/>
      <c r="H370" s="330"/>
      <c r="I370" s="328"/>
      <c r="J370" s="249"/>
      <c r="K370" s="330"/>
      <c r="L370" s="250"/>
      <c r="M370" s="249"/>
      <c r="N370" s="330"/>
      <c r="O370" s="250"/>
      <c r="P370" s="249"/>
      <c r="Q370" s="330"/>
      <c r="R370" s="250"/>
      <c r="S370" s="249"/>
      <c r="T370" s="330"/>
      <c r="U370" s="250"/>
      <c r="V370" s="249"/>
      <c r="W370" s="330"/>
      <c r="X370" s="343"/>
      <c r="Y370" s="249"/>
      <c r="Z370" s="330"/>
      <c r="AA370" s="343"/>
      <c r="AB370" s="249"/>
      <c r="AC370" s="330"/>
      <c r="AD370" s="343"/>
      <c r="AE370" s="249"/>
      <c r="AF370" s="330"/>
      <c r="AG370" s="343"/>
      <c r="AH370" s="249"/>
      <c r="AI370" s="330"/>
      <c r="AJ370" s="343"/>
      <c r="AK370" s="249"/>
      <c r="AL370" s="330"/>
      <c r="AM370" s="343"/>
      <c r="AN370" s="249"/>
      <c r="AO370" s="330"/>
      <c r="AP370" s="343"/>
      <c r="AQ370" s="249"/>
      <c r="AR370" s="330"/>
      <c r="AS370" s="343"/>
      <c r="AT370" s="249"/>
      <c r="AU370" s="330"/>
    </row>
    <row r="371" spans="2:47">
      <c r="B371" s="247">
        <f>'Table S2 Compound Identifiers'!C373</f>
        <v>0</v>
      </c>
      <c r="C371" s="247">
        <f>COUNTIF($D$6:D371,"&lt;&gt;"&amp;"")</f>
        <v>366</v>
      </c>
      <c r="D371" s="247">
        <f>'Table S2 Compound Identifiers'!B373</f>
        <v>0</v>
      </c>
      <c r="E371" s="247"/>
      <c r="F371" s="248"/>
      <c r="G371" s="249"/>
      <c r="H371" s="330"/>
      <c r="I371" s="328"/>
      <c r="J371" s="249"/>
      <c r="K371" s="330"/>
      <c r="L371" s="250"/>
      <c r="M371" s="249"/>
      <c r="N371" s="330"/>
      <c r="O371" s="250"/>
      <c r="P371" s="249"/>
      <c r="Q371" s="330"/>
      <c r="R371" s="250"/>
      <c r="S371" s="249"/>
      <c r="T371" s="330"/>
      <c r="U371" s="250"/>
      <c r="V371" s="249"/>
      <c r="W371" s="330"/>
      <c r="X371" s="343"/>
      <c r="Y371" s="249"/>
      <c r="Z371" s="330"/>
      <c r="AA371" s="343"/>
      <c r="AB371" s="249"/>
      <c r="AC371" s="330"/>
      <c r="AD371" s="343"/>
      <c r="AE371" s="249"/>
      <c r="AF371" s="330"/>
      <c r="AG371" s="343"/>
      <c r="AH371" s="249"/>
      <c r="AI371" s="330"/>
      <c r="AJ371" s="343"/>
      <c r="AK371" s="249"/>
      <c r="AL371" s="330"/>
      <c r="AM371" s="343"/>
      <c r="AN371" s="249"/>
      <c r="AO371" s="330"/>
      <c r="AP371" s="343"/>
      <c r="AQ371" s="249"/>
      <c r="AR371" s="330"/>
      <c r="AS371" s="343"/>
      <c r="AT371" s="249"/>
      <c r="AU371" s="330"/>
    </row>
    <row r="372" spans="2:47">
      <c r="B372" s="247">
        <f>'Table S2 Compound Identifiers'!C374</f>
        <v>0</v>
      </c>
      <c r="C372" s="247">
        <f>COUNTIF($D$6:D372,"&lt;&gt;"&amp;"")</f>
        <v>367</v>
      </c>
      <c r="D372" s="247">
        <f>'Table S2 Compound Identifiers'!B374</f>
        <v>0</v>
      </c>
      <c r="E372" s="247"/>
      <c r="F372" s="248"/>
      <c r="G372" s="249"/>
      <c r="H372" s="330"/>
      <c r="I372" s="328"/>
      <c r="J372" s="249"/>
      <c r="K372" s="330"/>
      <c r="L372" s="250"/>
      <c r="M372" s="249"/>
      <c r="N372" s="330"/>
      <c r="O372" s="250"/>
      <c r="P372" s="249"/>
      <c r="Q372" s="330"/>
      <c r="R372" s="250"/>
      <c r="S372" s="249"/>
      <c r="T372" s="330"/>
      <c r="U372" s="250"/>
      <c r="V372" s="249"/>
      <c r="W372" s="330"/>
      <c r="X372" s="343"/>
      <c r="Y372" s="249"/>
      <c r="Z372" s="330"/>
      <c r="AA372" s="343"/>
      <c r="AB372" s="249"/>
      <c r="AC372" s="330"/>
      <c r="AD372" s="343"/>
      <c r="AE372" s="249"/>
      <c r="AF372" s="330"/>
      <c r="AG372" s="343"/>
      <c r="AH372" s="249"/>
      <c r="AI372" s="330"/>
      <c r="AJ372" s="343"/>
      <c r="AK372" s="249"/>
      <c r="AL372" s="330"/>
      <c r="AM372" s="343"/>
      <c r="AN372" s="249"/>
      <c r="AO372" s="330"/>
      <c r="AP372" s="343"/>
      <c r="AQ372" s="249"/>
      <c r="AR372" s="330"/>
      <c r="AS372" s="343"/>
      <c r="AT372" s="249"/>
      <c r="AU372" s="330"/>
    </row>
    <row r="373" spans="2:47">
      <c r="B373" s="247">
        <f>'Table S2 Compound Identifiers'!C375</f>
        <v>0</v>
      </c>
      <c r="C373" s="247">
        <f>COUNTIF($D$6:D373,"&lt;&gt;"&amp;"")</f>
        <v>368</v>
      </c>
      <c r="D373" s="247">
        <f>'Table S2 Compound Identifiers'!B375</f>
        <v>0</v>
      </c>
      <c r="E373" s="247"/>
      <c r="F373" s="248"/>
      <c r="G373" s="249"/>
      <c r="H373" s="330"/>
      <c r="I373" s="328"/>
      <c r="J373" s="249"/>
      <c r="K373" s="330"/>
      <c r="L373" s="250"/>
      <c r="M373" s="249"/>
      <c r="N373" s="330"/>
      <c r="O373" s="250"/>
      <c r="P373" s="249"/>
      <c r="Q373" s="330"/>
      <c r="R373" s="250"/>
      <c r="S373" s="249"/>
      <c r="T373" s="330"/>
      <c r="U373" s="250"/>
      <c r="V373" s="249"/>
      <c r="W373" s="330"/>
      <c r="X373" s="343"/>
      <c r="Y373" s="249"/>
      <c r="Z373" s="330"/>
      <c r="AA373" s="343"/>
      <c r="AB373" s="249"/>
      <c r="AC373" s="330"/>
      <c r="AD373" s="343"/>
      <c r="AE373" s="249"/>
      <c r="AF373" s="330"/>
      <c r="AG373" s="343"/>
      <c r="AH373" s="249"/>
      <c r="AI373" s="330"/>
      <c r="AJ373" s="343"/>
      <c r="AK373" s="249"/>
      <c r="AL373" s="330"/>
      <c r="AM373" s="343"/>
      <c r="AN373" s="249"/>
      <c r="AO373" s="330"/>
      <c r="AP373" s="343"/>
      <c r="AQ373" s="249"/>
      <c r="AR373" s="330"/>
      <c r="AS373" s="343"/>
      <c r="AT373" s="249"/>
      <c r="AU373" s="330"/>
    </row>
    <row r="374" spans="2:47">
      <c r="B374" s="247">
        <f>'Table S2 Compound Identifiers'!C376</f>
        <v>0</v>
      </c>
      <c r="C374" s="247">
        <f>COUNTIF($D$6:D374,"&lt;&gt;"&amp;"")</f>
        <v>369</v>
      </c>
      <c r="D374" s="247">
        <f>'Table S2 Compound Identifiers'!B376</f>
        <v>0</v>
      </c>
      <c r="E374" s="247"/>
      <c r="F374" s="248"/>
      <c r="G374" s="249"/>
      <c r="H374" s="330"/>
      <c r="I374" s="328"/>
      <c r="J374" s="249"/>
      <c r="K374" s="330"/>
      <c r="L374" s="250"/>
      <c r="M374" s="249"/>
      <c r="N374" s="330"/>
      <c r="O374" s="251"/>
      <c r="P374" s="252"/>
      <c r="Q374" s="330"/>
      <c r="R374" s="251"/>
      <c r="S374" s="252"/>
      <c r="T374" s="330"/>
      <c r="U374" s="251"/>
      <c r="V374" s="252"/>
      <c r="W374" s="330"/>
      <c r="X374" s="343"/>
      <c r="Y374" s="249"/>
      <c r="Z374" s="330"/>
      <c r="AA374" s="343"/>
      <c r="AB374" s="249"/>
      <c r="AC374" s="330"/>
      <c r="AD374" s="343"/>
      <c r="AE374" s="249"/>
      <c r="AF374" s="330"/>
      <c r="AG374" s="343"/>
      <c r="AH374" s="249"/>
      <c r="AI374" s="330"/>
      <c r="AJ374" s="343"/>
      <c r="AK374" s="249"/>
      <c r="AL374" s="330"/>
      <c r="AM374" s="343"/>
      <c r="AN374" s="249"/>
      <c r="AO374" s="330"/>
      <c r="AP374" s="343"/>
      <c r="AQ374" s="249"/>
      <c r="AR374" s="330"/>
      <c r="AS374" s="343"/>
      <c r="AT374" s="249"/>
      <c r="AU374" s="330"/>
    </row>
    <row r="375" spans="2:47">
      <c r="B375" s="247">
        <f>'Table S2 Compound Identifiers'!C377</f>
        <v>0</v>
      </c>
      <c r="C375" s="253">
        <f>COUNTIF($D$6:D375,"&lt;&gt;"&amp;"")</f>
        <v>370</v>
      </c>
      <c r="D375" s="253">
        <f>'Table S2 Compound Identifiers'!B377</f>
        <v>0</v>
      </c>
      <c r="E375" s="253"/>
      <c r="F375" s="254"/>
      <c r="G375" s="252"/>
      <c r="H375" s="330"/>
      <c r="I375" s="333"/>
      <c r="J375" s="252"/>
      <c r="K375" s="330"/>
      <c r="L375" s="251"/>
      <c r="M375" s="252"/>
      <c r="N375" s="330"/>
      <c r="O375" s="251"/>
      <c r="P375" s="252"/>
      <c r="Q375" s="330"/>
      <c r="R375" s="251"/>
      <c r="S375" s="252"/>
      <c r="T375" s="330"/>
      <c r="U375" s="251"/>
      <c r="V375" s="252"/>
      <c r="W375" s="330"/>
      <c r="X375" s="343"/>
      <c r="Y375" s="249"/>
      <c r="Z375" s="330"/>
      <c r="AA375" s="343"/>
      <c r="AB375" s="249"/>
      <c r="AC375" s="330"/>
      <c r="AD375" s="343"/>
      <c r="AE375" s="249"/>
      <c r="AF375" s="330"/>
      <c r="AG375" s="343"/>
      <c r="AH375" s="249"/>
      <c r="AI375" s="330"/>
      <c r="AJ375" s="343"/>
      <c r="AK375" s="249"/>
      <c r="AL375" s="330"/>
      <c r="AM375" s="343"/>
      <c r="AN375" s="249"/>
      <c r="AO375" s="330"/>
      <c r="AP375" s="343"/>
      <c r="AQ375" s="249"/>
      <c r="AR375" s="330"/>
      <c r="AS375" s="343"/>
      <c r="AT375" s="249"/>
      <c r="AU375" s="330"/>
    </row>
    <row r="376" spans="2:47">
      <c r="B376" s="247">
        <f>'Table S2 Compound Identifiers'!C378</f>
        <v>0</v>
      </c>
      <c r="C376" s="247">
        <f>COUNTIF($D$6:D376,"&lt;&gt;"&amp;"")</f>
        <v>371</v>
      </c>
      <c r="D376" s="247">
        <f>'Table S2 Compound Identifiers'!B378</f>
        <v>0</v>
      </c>
      <c r="E376" s="247"/>
      <c r="F376" s="248"/>
      <c r="G376" s="250"/>
      <c r="H376" s="330"/>
      <c r="I376" s="343"/>
      <c r="J376" s="249"/>
      <c r="K376" s="327"/>
      <c r="L376" s="343"/>
      <c r="M376" s="249"/>
      <c r="N376" s="327"/>
      <c r="O376" s="343"/>
      <c r="P376" s="249"/>
      <c r="Q376" s="327"/>
      <c r="R376" s="343"/>
      <c r="S376" s="249"/>
      <c r="T376" s="327"/>
      <c r="U376" s="343"/>
      <c r="V376" s="249"/>
      <c r="W376" s="327"/>
      <c r="X376" s="343"/>
      <c r="Y376" s="249"/>
      <c r="Z376" s="327"/>
      <c r="AA376" s="343"/>
      <c r="AB376" s="249"/>
      <c r="AC376" s="343"/>
      <c r="AD376" s="343"/>
      <c r="AE376" s="249"/>
      <c r="AF376" s="249"/>
      <c r="AG376" s="343"/>
      <c r="AH376" s="249"/>
      <c r="AI376" s="343"/>
      <c r="AJ376" s="343"/>
      <c r="AK376" s="249"/>
      <c r="AL376" s="249"/>
      <c r="AM376" s="343"/>
      <c r="AN376" s="249"/>
      <c r="AO376" s="343"/>
      <c r="AP376" s="343"/>
      <c r="AQ376" s="249"/>
      <c r="AR376" s="249"/>
      <c r="AS376" s="343"/>
      <c r="AT376" s="249"/>
      <c r="AU376" s="343"/>
    </row>
    <row r="377" spans="2:47">
      <c r="B377" s="247">
        <f>'Table S2 Compound Identifiers'!C379</f>
        <v>0</v>
      </c>
      <c r="C377" s="247">
        <f>COUNTIF($D$6:D377,"&lt;&gt;"&amp;"")</f>
        <v>372</v>
      </c>
      <c r="D377" s="247">
        <f>'Table S2 Compound Identifiers'!B379</f>
        <v>0</v>
      </c>
      <c r="E377" s="247"/>
      <c r="F377" s="248"/>
      <c r="G377" s="249"/>
      <c r="H377" s="330"/>
      <c r="I377" s="332"/>
      <c r="J377" s="330"/>
      <c r="K377" s="330"/>
      <c r="L377" s="330"/>
      <c r="M377" s="330"/>
      <c r="N377" s="330"/>
      <c r="O377" s="330"/>
      <c r="P377" s="330"/>
      <c r="Q377" s="330"/>
      <c r="R377" s="330"/>
      <c r="S377" s="330"/>
      <c r="T377" s="330"/>
      <c r="U377" s="330"/>
      <c r="V377" s="330"/>
      <c r="W377" s="330"/>
      <c r="X377" s="343"/>
      <c r="Y377" s="249"/>
      <c r="Z377" s="330"/>
      <c r="AA377" s="343"/>
      <c r="AB377" s="249"/>
      <c r="AC377" s="330"/>
      <c r="AD377" s="343"/>
      <c r="AE377" s="249"/>
      <c r="AF377" s="330"/>
      <c r="AG377" s="343"/>
      <c r="AH377" s="249"/>
      <c r="AI377" s="330"/>
      <c r="AJ377" s="343"/>
      <c r="AK377" s="249"/>
      <c r="AL377" s="330"/>
      <c r="AM377" s="343"/>
      <c r="AN377" s="249"/>
      <c r="AO377" s="330"/>
      <c r="AP377" s="343"/>
      <c r="AQ377" s="249"/>
      <c r="AR377" s="330"/>
      <c r="AS377" s="343"/>
      <c r="AT377" s="249"/>
      <c r="AU377" s="330"/>
    </row>
    <row r="378" spans="2:47">
      <c r="B378" s="247">
        <f>'Table S2 Compound Identifiers'!C380</f>
        <v>0</v>
      </c>
      <c r="C378" s="247">
        <f>COUNTIF($D$6:D378,"&lt;&gt;"&amp;"")</f>
        <v>373</v>
      </c>
      <c r="D378" s="247">
        <f>'Table S2 Compound Identifiers'!B380</f>
        <v>0</v>
      </c>
      <c r="E378" s="247"/>
      <c r="F378" s="248"/>
      <c r="G378" s="249"/>
      <c r="H378" s="330"/>
      <c r="I378" s="332"/>
      <c r="J378" s="330"/>
      <c r="K378" s="330"/>
      <c r="L378" s="330"/>
      <c r="M378" s="330"/>
      <c r="N378" s="330"/>
      <c r="O378" s="330"/>
      <c r="P378" s="330"/>
      <c r="Q378" s="330"/>
      <c r="R378" s="330"/>
      <c r="S378" s="330"/>
      <c r="T378" s="330"/>
      <c r="U378" s="330"/>
      <c r="V378" s="330"/>
      <c r="W378" s="330"/>
      <c r="X378" s="343"/>
      <c r="Y378" s="249"/>
      <c r="Z378" s="330"/>
      <c r="AA378" s="343"/>
      <c r="AB378" s="249"/>
      <c r="AC378" s="330"/>
      <c r="AD378" s="343"/>
      <c r="AE378" s="249"/>
      <c r="AF378" s="330"/>
      <c r="AG378" s="343"/>
      <c r="AH378" s="249"/>
      <c r="AI378" s="330"/>
      <c r="AJ378" s="343"/>
      <c r="AK378" s="249"/>
      <c r="AL378" s="330"/>
      <c r="AM378" s="343"/>
      <c r="AN378" s="249"/>
      <c r="AO378" s="330"/>
      <c r="AP378" s="343"/>
      <c r="AQ378" s="249"/>
      <c r="AR378" s="330"/>
      <c r="AS378" s="343"/>
      <c r="AT378" s="249"/>
      <c r="AU378" s="330"/>
    </row>
    <row r="379" spans="2:47">
      <c r="B379" s="247">
        <f>'Table S2 Compound Identifiers'!C381</f>
        <v>0</v>
      </c>
      <c r="C379" s="247">
        <f>COUNTIF($D$6:D379,"&lt;&gt;"&amp;"")</f>
        <v>374</v>
      </c>
      <c r="D379" s="247">
        <f>'Table S2 Compound Identifiers'!B381</f>
        <v>0</v>
      </c>
      <c r="E379" s="247"/>
      <c r="F379" s="248"/>
      <c r="G379" s="249"/>
      <c r="H379" s="330"/>
      <c r="I379" s="332"/>
      <c r="J379" s="330"/>
      <c r="K379" s="330"/>
      <c r="L379" s="330"/>
      <c r="M379" s="330"/>
      <c r="N379" s="330"/>
      <c r="O379" s="330"/>
      <c r="P379" s="330"/>
      <c r="Q379" s="330"/>
      <c r="R379" s="330"/>
      <c r="S379" s="330"/>
      <c r="T379" s="330"/>
      <c r="U379" s="330"/>
      <c r="V379" s="330"/>
      <c r="W379" s="330"/>
      <c r="X379" s="343"/>
      <c r="Y379" s="249"/>
      <c r="Z379" s="330"/>
      <c r="AA379" s="343"/>
      <c r="AB379" s="249"/>
      <c r="AC379" s="330"/>
      <c r="AD379" s="343"/>
      <c r="AE379" s="249"/>
      <c r="AF379" s="330"/>
      <c r="AG379" s="343"/>
      <c r="AH379" s="249"/>
      <c r="AI379" s="330"/>
      <c r="AJ379" s="343"/>
      <c r="AK379" s="249"/>
      <c r="AL379" s="330"/>
      <c r="AM379" s="343"/>
      <c r="AN379" s="249"/>
      <c r="AO379" s="330"/>
      <c r="AP379" s="343"/>
      <c r="AQ379" s="249"/>
      <c r="AR379" s="330"/>
      <c r="AS379" s="343"/>
      <c r="AT379" s="249"/>
      <c r="AU379" s="330"/>
    </row>
    <row r="380" spans="2:47">
      <c r="B380" s="247">
        <f>'Table S2 Compound Identifiers'!C382</f>
        <v>0</v>
      </c>
      <c r="C380" s="247">
        <f>COUNTIF($D$6:D380,"&lt;&gt;"&amp;"")</f>
        <v>375</v>
      </c>
      <c r="D380" s="247">
        <f>'Table S2 Compound Identifiers'!B382</f>
        <v>0</v>
      </c>
      <c r="E380" s="247"/>
      <c r="F380" s="248"/>
      <c r="G380" s="249"/>
      <c r="H380" s="330"/>
      <c r="I380" s="328"/>
      <c r="J380" s="249"/>
      <c r="K380" s="330"/>
      <c r="L380" s="250"/>
      <c r="M380" s="249"/>
      <c r="N380" s="330"/>
      <c r="O380" s="250"/>
      <c r="P380" s="249"/>
      <c r="Q380" s="330"/>
      <c r="R380" s="250"/>
      <c r="S380" s="249"/>
      <c r="T380" s="330"/>
      <c r="U380" s="250"/>
      <c r="V380" s="249"/>
      <c r="W380" s="330"/>
      <c r="X380" s="343"/>
      <c r="Y380" s="249"/>
      <c r="Z380" s="330"/>
      <c r="AA380" s="343"/>
      <c r="AB380" s="249"/>
      <c r="AC380" s="330"/>
      <c r="AD380" s="343"/>
      <c r="AE380" s="249"/>
      <c r="AF380" s="330"/>
      <c r="AG380" s="343"/>
      <c r="AH380" s="249"/>
      <c r="AI380" s="330"/>
      <c r="AJ380" s="343"/>
      <c r="AK380" s="249"/>
      <c r="AL380" s="330"/>
      <c r="AM380" s="343"/>
      <c r="AN380" s="249"/>
      <c r="AO380" s="330"/>
      <c r="AP380" s="343"/>
      <c r="AQ380" s="249"/>
      <c r="AR380" s="330"/>
      <c r="AS380" s="343"/>
      <c r="AT380" s="249"/>
      <c r="AU380" s="330"/>
    </row>
    <row r="381" spans="2:47">
      <c r="B381" s="247">
        <f>'Table S2 Compound Identifiers'!C383</f>
        <v>0</v>
      </c>
      <c r="C381" s="247">
        <f>COUNTIF($D$6:D381,"&lt;&gt;"&amp;"")</f>
        <v>376</v>
      </c>
      <c r="D381" s="247">
        <f>'Table S2 Compound Identifiers'!B383</f>
        <v>0</v>
      </c>
      <c r="E381" s="247"/>
      <c r="F381" s="248"/>
      <c r="G381" s="249"/>
      <c r="H381" s="330"/>
      <c r="I381" s="328"/>
      <c r="J381" s="249"/>
      <c r="K381" s="330"/>
      <c r="L381" s="250"/>
      <c r="M381" s="249"/>
      <c r="N381" s="330"/>
      <c r="O381" s="250"/>
      <c r="P381" s="249"/>
      <c r="Q381" s="330"/>
      <c r="R381" s="250"/>
      <c r="S381" s="249"/>
      <c r="T381" s="330"/>
      <c r="U381" s="250"/>
      <c r="V381" s="249"/>
      <c r="W381" s="330"/>
      <c r="X381" s="343"/>
      <c r="Y381" s="249"/>
      <c r="Z381" s="330"/>
      <c r="AA381" s="343"/>
      <c r="AB381" s="249"/>
      <c r="AC381" s="330"/>
      <c r="AD381" s="343"/>
      <c r="AE381" s="249"/>
      <c r="AF381" s="330"/>
      <c r="AG381" s="343"/>
      <c r="AH381" s="249"/>
      <c r="AI381" s="330"/>
      <c r="AJ381" s="343"/>
      <c r="AK381" s="249"/>
      <c r="AL381" s="330"/>
      <c r="AM381" s="343"/>
      <c r="AN381" s="249"/>
      <c r="AO381" s="330"/>
      <c r="AP381" s="343"/>
      <c r="AQ381" s="249"/>
      <c r="AR381" s="330"/>
      <c r="AS381" s="343"/>
      <c r="AT381" s="249"/>
      <c r="AU381" s="330"/>
    </row>
    <row r="382" spans="2:47">
      <c r="B382" s="247">
        <f>'Table S2 Compound Identifiers'!C384</f>
        <v>0</v>
      </c>
      <c r="C382" s="247">
        <f>COUNTIF($D$6:D382,"&lt;&gt;"&amp;"")</f>
        <v>377</v>
      </c>
      <c r="D382" s="247">
        <f>'Table S2 Compound Identifiers'!B384</f>
        <v>0</v>
      </c>
      <c r="E382" s="247"/>
      <c r="F382" s="248"/>
      <c r="G382" s="249"/>
      <c r="H382" s="330"/>
      <c r="I382" s="328"/>
      <c r="J382" s="249"/>
      <c r="K382" s="330"/>
      <c r="L382" s="250"/>
      <c r="M382" s="249"/>
      <c r="N382" s="330"/>
      <c r="O382" s="250"/>
      <c r="P382" s="249"/>
      <c r="Q382" s="330"/>
      <c r="R382" s="250"/>
      <c r="S382" s="249"/>
      <c r="T382" s="330"/>
      <c r="U382" s="250"/>
      <c r="V382" s="249"/>
      <c r="W382" s="330"/>
      <c r="X382" s="343"/>
      <c r="Y382" s="249"/>
      <c r="Z382" s="330"/>
      <c r="AA382" s="343"/>
      <c r="AB382" s="249"/>
      <c r="AC382" s="330"/>
      <c r="AD382" s="343"/>
      <c r="AE382" s="249"/>
      <c r="AF382" s="330"/>
      <c r="AG382" s="343"/>
      <c r="AH382" s="249"/>
      <c r="AI382" s="330"/>
      <c r="AJ382" s="343"/>
      <c r="AK382" s="249"/>
      <c r="AL382" s="330"/>
      <c r="AM382" s="343"/>
      <c r="AN382" s="249"/>
      <c r="AO382" s="330"/>
      <c r="AP382" s="343"/>
      <c r="AQ382" s="249"/>
      <c r="AR382" s="330"/>
      <c r="AS382" s="343"/>
      <c r="AT382" s="249"/>
      <c r="AU382" s="330"/>
    </row>
    <row r="383" spans="2:47">
      <c r="B383" s="247">
        <f>'Table S2 Compound Identifiers'!C385</f>
        <v>0</v>
      </c>
      <c r="C383" s="247">
        <f>COUNTIF($D$6:D383,"&lt;&gt;"&amp;"")</f>
        <v>378</v>
      </c>
      <c r="D383" s="247">
        <f>'Table S2 Compound Identifiers'!B385</f>
        <v>0</v>
      </c>
      <c r="E383" s="247"/>
      <c r="F383" s="248"/>
      <c r="G383" s="249"/>
      <c r="H383" s="330"/>
      <c r="I383" s="328"/>
      <c r="J383" s="249"/>
      <c r="K383" s="330"/>
      <c r="L383" s="250"/>
      <c r="M383" s="249"/>
      <c r="N383" s="330"/>
      <c r="O383" s="250"/>
      <c r="P383" s="249"/>
      <c r="Q383" s="330"/>
      <c r="R383" s="250"/>
      <c r="S383" s="249"/>
      <c r="T383" s="330"/>
      <c r="U383" s="250"/>
      <c r="V383" s="249"/>
      <c r="W383" s="330"/>
      <c r="X383" s="343"/>
      <c r="Y383" s="249"/>
      <c r="Z383" s="330"/>
      <c r="AA383" s="343"/>
      <c r="AB383" s="249"/>
      <c r="AC383" s="330"/>
      <c r="AD383" s="343"/>
      <c r="AE383" s="249"/>
      <c r="AF383" s="330"/>
      <c r="AG383" s="343"/>
      <c r="AH383" s="249"/>
      <c r="AI383" s="330"/>
      <c r="AJ383" s="343"/>
      <c r="AK383" s="249"/>
      <c r="AL383" s="330"/>
      <c r="AM383" s="343"/>
      <c r="AN383" s="249"/>
      <c r="AO383" s="330"/>
      <c r="AP383" s="343"/>
      <c r="AQ383" s="249"/>
      <c r="AR383" s="330"/>
      <c r="AS383" s="343"/>
      <c r="AT383" s="249"/>
      <c r="AU383" s="330"/>
    </row>
    <row r="384" spans="2:47">
      <c r="B384" s="247">
        <f>'Table S2 Compound Identifiers'!C386</f>
        <v>0</v>
      </c>
      <c r="C384" s="247">
        <f>COUNTIF($D$6:D384,"&lt;&gt;"&amp;"")</f>
        <v>379</v>
      </c>
      <c r="D384" s="247">
        <f>'Table S2 Compound Identifiers'!B386</f>
        <v>0</v>
      </c>
      <c r="E384" s="247"/>
      <c r="F384" s="248"/>
      <c r="G384" s="249"/>
      <c r="H384" s="330"/>
      <c r="I384" s="328"/>
      <c r="J384" s="249"/>
      <c r="K384" s="330"/>
      <c r="L384" s="250"/>
      <c r="M384" s="249"/>
      <c r="N384" s="330"/>
      <c r="O384" s="250"/>
      <c r="P384" s="249"/>
      <c r="Q384" s="330"/>
      <c r="R384" s="250"/>
      <c r="S384" s="249"/>
      <c r="T384" s="330"/>
      <c r="U384" s="250"/>
      <c r="V384" s="249"/>
      <c r="W384" s="330"/>
      <c r="X384" s="343"/>
      <c r="Y384" s="249"/>
      <c r="Z384" s="330"/>
      <c r="AA384" s="343"/>
      <c r="AB384" s="249"/>
      <c r="AC384" s="330"/>
      <c r="AD384" s="343"/>
      <c r="AE384" s="249"/>
      <c r="AF384" s="330"/>
      <c r="AG384" s="343"/>
      <c r="AH384" s="249"/>
      <c r="AI384" s="330"/>
      <c r="AJ384" s="343"/>
      <c r="AK384" s="249"/>
      <c r="AL384" s="330"/>
      <c r="AM384" s="343"/>
      <c r="AN384" s="249"/>
      <c r="AO384" s="330"/>
      <c r="AP384" s="343"/>
      <c r="AQ384" s="249"/>
      <c r="AR384" s="330"/>
      <c r="AS384" s="343"/>
      <c r="AT384" s="249"/>
      <c r="AU384" s="330"/>
    </row>
    <row r="385" spans="2:47">
      <c r="B385" s="247">
        <f>'Table S2 Compound Identifiers'!C387</f>
        <v>0</v>
      </c>
      <c r="C385" s="247">
        <f>COUNTIF($D$6:D385,"&lt;&gt;"&amp;"")</f>
        <v>380</v>
      </c>
      <c r="D385" s="247">
        <f>'Table S2 Compound Identifiers'!B387</f>
        <v>0</v>
      </c>
      <c r="E385" s="247"/>
      <c r="F385" s="248"/>
      <c r="G385" s="249"/>
      <c r="H385" s="330"/>
      <c r="I385" s="328"/>
      <c r="J385" s="249"/>
      <c r="K385" s="330"/>
      <c r="L385" s="250"/>
      <c r="M385" s="249"/>
      <c r="N385" s="330"/>
      <c r="O385" s="250"/>
      <c r="P385" s="249"/>
      <c r="Q385" s="330"/>
      <c r="R385" s="250"/>
      <c r="S385" s="249"/>
      <c r="T385" s="330"/>
      <c r="U385" s="250"/>
      <c r="V385" s="249"/>
      <c r="W385" s="330"/>
      <c r="X385" s="343"/>
      <c r="Y385" s="249"/>
      <c r="Z385" s="330"/>
      <c r="AA385" s="343"/>
      <c r="AB385" s="249"/>
      <c r="AC385" s="330"/>
      <c r="AD385" s="343"/>
      <c r="AE385" s="249"/>
      <c r="AF385" s="330"/>
      <c r="AG385" s="343"/>
      <c r="AH385" s="249"/>
      <c r="AI385" s="330"/>
      <c r="AJ385" s="343"/>
      <c r="AK385" s="249"/>
      <c r="AL385" s="330"/>
      <c r="AM385" s="343"/>
      <c r="AN385" s="249"/>
      <c r="AO385" s="330"/>
      <c r="AP385" s="343"/>
      <c r="AQ385" s="249"/>
      <c r="AR385" s="330"/>
      <c r="AS385" s="343"/>
      <c r="AT385" s="249"/>
      <c r="AU385" s="330"/>
    </row>
    <row r="386" spans="2:47">
      <c r="B386" s="247">
        <f>'Table S2 Compound Identifiers'!C388</f>
        <v>0</v>
      </c>
      <c r="C386" s="247">
        <f>COUNTIF($D$6:D386,"&lt;&gt;"&amp;"")</f>
        <v>381</v>
      </c>
      <c r="D386" s="247">
        <f>'Table S2 Compound Identifiers'!B388</f>
        <v>0</v>
      </c>
      <c r="E386" s="247"/>
      <c r="F386" s="248"/>
      <c r="G386" s="249"/>
      <c r="H386" s="330"/>
      <c r="I386" s="328"/>
      <c r="J386" s="249"/>
      <c r="K386" s="330"/>
      <c r="L386" s="250"/>
      <c r="M386" s="249"/>
      <c r="N386" s="330"/>
      <c r="O386" s="250"/>
      <c r="P386" s="249"/>
      <c r="Q386" s="330"/>
      <c r="R386" s="250"/>
      <c r="S386" s="249"/>
      <c r="T386" s="330"/>
      <c r="U386" s="250"/>
      <c r="V386" s="249"/>
      <c r="W386" s="330"/>
      <c r="X386" s="343"/>
      <c r="Y386" s="249"/>
      <c r="Z386" s="330"/>
      <c r="AA386" s="343"/>
      <c r="AB386" s="249"/>
      <c r="AC386" s="330"/>
      <c r="AD386" s="343"/>
      <c r="AE386" s="249"/>
      <c r="AF386" s="330"/>
      <c r="AG386" s="343"/>
      <c r="AH386" s="249"/>
      <c r="AI386" s="330"/>
      <c r="AJ386" s="343"/>
      <c r="AK386" s="249"/>
      <c r="AL386" s="330"/>
      <c r="AM386" s="343"/>
      <c r="AN386" s="249"/>
      <c r="AO386" s="330"/>
      <c r="AP386" s="343"/>
      <c r="AQ386" s="249"/>
      <c r="AR386" s="330"/>
      <c r="AS386" s="343"/>
      <c r="AT386" s="249"/>
      <c r="AU386" s="330"/>
    </row>
    <row r="387" spans="2:47">
      <c r="B387" s="247">
        <f>'Table S2 Compound Identifiers'!C389</f>
        <v>0</v>
      </c>
      <c r="C387" s="247">
        <f>COUNTIF($D$6:D387,"&lt;&gt;"&amp;"")</f>
        <v>382</v>
      </c>
      <c r="D387" s="247">
        <f>'Table S2 Compound Identifiers'!B389</f>
        <v>0</v>
      </c>
      <c r="E387" s="247"/>
      <c r="F387" s="248"/>
      <c r="G387" s="249"/>
      <c r="H387" s="330"/>
      <c r="I387" s="328"/>
      <c r="J387" s="249"/>
      <c r="K387" s="330"/>
      <c r="L387" s="250"/>
      <c r="M387" s="249"/>
      <c r="N387" s="330"/>
      <c r="O387" s="250"/>
      <c r="P387" s="249"/>
      <c r="Q387" s="330"/>
      <c r="R387" s="250"/>
      <c r="S387" s="249"/>
      <c r="T387" s="330"/>
      <c r="U387" s="250"/>
      <c r="V387" s="249"/>
      <c r="W387" s="330"/>
      <c r="X387" s="343"/>
      <c r="Y387" s="249"/>
      <c r="Z387" s="330"/>
      <c r="AA387" s="343"/>
      <c r="AB387" s="249"/>
      <c r="AC387" s="330"/>
      <c r="AD387" s="343"/>
      <c r="AE387" s="249"/>
      <c r="AF387" s="330"/>
      <c r="AG387" s="343"/>
      <c r="AH387" s="249"/>
      <c r="AI387" s="330"/>
      <c r="AJ387" s="343"/>
      <c r="AK387" s="249"/>
      <c r="AL387" s="330"/>
      <c r="AM387" s="343"/>
      <c r="AN387" s="249"/>
      <c r="AO387" s="330"/>
      <c r="AP387" s="343"/>
      <c r="AQ387" s="249"/>
      <c r="AR387" s="330"/>
      <c r="AS387" s="343"/>
      <c r="AT387" s="249"/>
      <c r="AU387" s="330"/>
    </row>
    <row r="388" spans="2:47">
      <c r="B388" s="247">
        <f>'Table S2 Compound Identifiers'!C390</f>
        <v>0</v>
      </c>
      <c r="C388" s="247">
        <f>COUNTIF($D$6:D388,"&lt;&gt;"&amp;"")</f>
        <v>383</v>
      </c>
      <c r="D388" s="247">
        <f>'Table S2 Compound Identifiers'!B390</f>
        <v>0</v>
      </c>
      <c r="E388" s="247"/>
      <c r="F388" s="248"/>
      <c r="G388" s="249"/>
      <c r="H388" s="330"/>
      <c r="I388" s="328"/>
      <c r="J388" s="249"/>
      <c r="K388" s="330"/>
      <c r="L388" s="250"/>
      <c r="M388" s="249"/>
      <c r="N388" s="330"/>
      <c r="O388" s="250"/>
      <c r="P388" s="249"/>
      <c r="Q388" s="330"/>
      <c r="R388" s="250"/>
      <c r="S388" s="249"/>
      <c r="T388" s="330"/>
      <c r="U388" s="250"/>
      <c r="V388" s="249"/>
      <c r="W388" s="330"/>
      <c r="X388" s="343"/>
      <c r="Y388" s="249"/>
      <c r="Z388" s="330"/>
      <c r="AA388" s="343"/>
      <c r="AB388" s="249"/>
      <c r="AC388" s="330"/>
      <c r="AD388" s="343"/>
      <c r="AE388" s="249"/>
      <c r="AF388" s="330"/>
      <c r="AG388" s="343"/>
      <c r="AH388" s="249"/>
      <c r="AI388" s="330"/>
      <c r="AJ388" s="343"/>
      <c r="AK388" s="249"/>
      <c r="AL388" s="330"/>
      <c r="AM388" s="343"/>
      <c r="AN388" s="249"/>
      <c r="AO388" s="330"/>
      <c r="AP388" s="343"/>
      <c r="AQ388" s="249"/>
      <c r="AR388" s="330"/>
      <c r="AS388" s="343"/>
      <c r="AT388" s="249"/>
      <c r="AU388" s="330"/>
    </row>
    <row r="389" spans="2:47">
      <c r="B389" s="247">
        <f>'Table S2 Compound Identifiers'!C391</f>
        <v>0</v>
      </c>
      <c r="C389" s="247">
        <f>COUNTIF($D$6:D389,"&lt;&gt;"&amp;"")</f>
        <v>384</v>
      </c>
      <c r="D389" s="247">
        <f>'Table S2 Compound Identifiers'!B391</f>
        <v>0</v>
      </c>
      <c r="E389" s="247"/>
      <c r="F389" s="248"/>
      <c r="G389" s="249"/>
      <c r="H389" s="330"/>
      <c r="I389" s="328"/>
      <c r="J389" s="249"/>
      <c r="K389" s="330"/>
      <c r="L389" s="250"/>
      <c r="M389" s="249"/>
      <c r="N389" s="330"/>
      <c r="O389" s="250"/>
      <c r="P389" s="249"/>
      <c r="Q389" s="330"/>
      <c r="R389" s="250"/>
      <c r="S389" s="249"/>
      <c r="T389" s="330"/>
      <c r="U389" s="250"/>
      <c r="V389" s="249"/>
      <c r="W389" s="330"/>
      <c r="X389" s="343"/>
      <c r="Y389" s="249"/>
      <c r="Z389" s="330"/>
      <c r="AA389" s="343"/>
      <c r="AB389" s="249"/>
      <c r="AC389" s="330"/>
      <c r="AD389" s="343"/>
      <c r="AE389" s="249"/>
      <c r="AF389" s="330"/>
      <c r="AG389" s="343"/>
      <c r="AH389" s="249"/>
      <c r="AI389" s="330"/>
      <c r="AJ389" s="343"/>
      <c r="AK389" s="249"/>
      <c r="AL389" s="330"/>
      <c r="AM389" s="343"/>
      <c r="AN389" s="249"/>
      <c r="AO389" s="330"/>
      <c r="AP389" s="343"/>
      <c r="AQ389" s="249"/>
      <c r="AR389" s="330"/>
      <c r="AS389" s="343"/>
      <c r="AT389" s="249"/>
      <c r="AU389" s="330"/>
    </row>
    <row r="390" spans="2:47">
      <c r="B390" s="247">
        <f>'Table S2 Compound Identifiers'!C392</f>
        <v>0</v>
      </c>
      <c r="C390" s="247">
        <f>COUNTIF($D$6:D390,"&lt;&gt;"&amp;"")</f>
        <v>385</v>
      </c>
      <c r="D390" s="247">
        <f>'Table S2 Compound Identifiers'!B392</f>
        <v>0</v>
      </c>
      <c r="E390" s="247"/>
      <c r="F390" s="248"/>
      <c r="G390" s="249"/>
      <c r="H390" s="330"/>
      <c r="I390" s="328"/>
      <c r="J390" s="249"/>
      <c r="K390" s="330"/>
      <c r="L390" s="250"/>
      <c r="M390" s="249"/>
      <c r="N390" s="330"/>
      <c r="O390" s="250"/>
      <c r="P390" s="249"/>
      <c r="Q390" s="330"/>
      <c r="R390" s="250"/>
      <c r="S390" s="249"/>
      <c r="T390" s="330"/>
      <c r="U390" s="250"/>
      <c r="V390" s="249"/>
      <c r="W390" s="330"/>
      <c r="X390" s="343"/>
      <c r="Y390" s="249"/>
      <c r="Z390" s="330"/>
      <c r="AA390" s="343"/>
      <c r="AB390" s="249"/>
      <c r="AC390" s="330"/>
      <c r="AD390" s="343"/>
      <c r="AE390" s="249"/>
      <c r="AF390" s="330"/>
      <c r="AG390" s="343"/>
      <c r="AH390" s="249"/>
      <c r="AI390" s="330"/>
      <c r="AJ390" s="343"/>
      <c r="AK390" s="249"/>
      <c r="AL390" s="330"/>
      <c r="AM390" s="343"/>
      <c r="AN390" s="249"/>
      <c r="AO390" s="330"/>
      <c r="AP390" s="343"/>
      <c r="AQ390" s="249"/>
      <c r="AR390" s="330"/>
      <c r="AS390" s="343"/>
      <c r="AT390" s="249"/>
      <c r="AU390" s="330"/>
    </row>
    <row r="391" spans="2:47">
      <c r="B391" s="247">
        <f>'Table S2 Compound Identifiers'!C393</f>
        <v>0</v>
      </c>
      <c r="C391" s="247">
        <f>COUNTIF($D$6:D391,"&lt;&gt;"&amp;"")</f>
        <v>386</v>
      </c>
      <c r="D391" s="247">
        <f>'Table S2 Compound Identifiers'!B393</f>
        <v>0</v>
      </c>
      <c r="E391" s="247"/>
      <c r="F391" s="248"/>
      <c r="G391" s="249"/>
      <c r="H391" s="330"/>
      <c r="I391" s="328"/>
      <c r="J391" s="249"/>
      <c r="K391" s="330"/>
      <c r="L391" s="250"/>
      <c r="M391" s="249"/>
      <c r="N391" s="330"/>
      <c r="O391" s="250"/>
      <c r="P391" s="249"/>
      <c r="Q391" s="330"/>
      <c r="R391" s="250"/>
      <c r="S391" s="249"/>
      <c r="T391" s="330"/>
      <c r="U391" s="250"/>
      <c r="V391" s="249"/>
      <c r="W391" s="330"/>
      <c r="X391" s="343"/>
      <c r="Y391" s="249"/>
      <c r="Z391" s="330"/>
      <c r="AA391" s="343"/>
      <c r="AB391" s="249"/>
      <c r="AC391" s="330"/>
      <c r="AD391" s="343"/>
      <c r="AE391" s="249"/>
      <c r="AF391" s="330"/>
      <c r="AG391" s="343"/>
      <c r="AH391" s="249"/>
      <c r="AI391" s="330"/>
      <c r="AJ391" s="343"/>
      <c r="AK391" s="249"/>
      <c r="AL391" s="330"/>
      <c r="AM391" s="343"/>
      <c r="AN391" s="249"/>
      <c r="AO391" s="330"/>
      <c r="AP391" s="343"/>
      <c r="AQ391" s="249"/>
      <c r="AR391" s="330"/>
      <c r="AS391" s="343"/>
      <c r="AT391" s="249"/>
      <c r="AU391" s="330"/>
    </row>
    <row r="392" spans="2:47">
      <c r="B392" s="247">
        <f>'Table S2 Compound Identifiers'!C394</f>
        <v>0</v>
      </c>
      <c r="C392" s="247">
        <f>COUNTIF($D$6:D392,"&lt;&gt;"&amp;"")</f>
        <v>387</v>
      </c>
      <c r="D392" s="247">
        <f>'Table S2 Compound Identifiers'!B394</f>
        <v>0</v>
      </c>
      <c r="E392" s="247"/>
      <c r="F392" s="248"/>
      <c r="G392" s="249"/>
      <c r="H392" s="330"/>
      <c r="I392" s="328"/>
      <c r="J392" s="249"/>
      <c r="K392" s="330"/>
      <c r="L392" s="250"/>
      <c r="M392" s="249"/>
      <c r="N392" s="330"/>
      <c r="O392" s="250"/>
      <c r="P392" s="249"/>
      <c r="Q392" s="330"/>
      <c r="R392" s="250"/>
      <c r="S392" s="249"/>
      <c r="T392" s="330"/>
      <c r="U392" s="250"/>
      <c r="V392" s="249"/>
      <c r="W392" s="330"/>
      <c r="X392" s="343"/>
      <c r="Y392" s="249"/>
      <c r="Z392" s="330"/>
      <c r="AA392" s="343"/>
      <c r="AB392" s="249"/>
      <c r="AC392" s="330"/>
      <c r="AD392" s="343"/>
      <c r="AE392" s="249"/>
      <c r="AF392" s="330"/>
      <c r="AG392" s="343"/>
      <c r="AH392" s="249"/>
      <c r="AI392" s="330"/>
      <c r="AJ392" s="343"/>
      <c r="AK392" s="249"/>
      <c r="AL392" s="330"/>
      <c r="AM392" s="343"/>
      <c r="AN392" s="249"/>
      <c r="AO392" s="330"/>
      <c r="AP392" s="343"/>
      <c r="AQ392" s="249"/>
      <c r="AR392" s="330"/>
      <c r="AS392" s="343"/>
      <c r="AT392" s="249"/>
      <c r="AU392" s="330"/>
    </row>
    <row r="393" spans="2:47">
      <c r="B393" s="247">
        <f>'Table S2 Compound Identifiers'!C395</f>
        <v>0</v>
      </c>
      <c r="C393" s="247">
        <f>COUNTIF($D$6:D393,"&lt;&gt;"&amp;"")</f>
        <v>388</v>
      </c>
      <c r="D393" s="247">
        <f>'Table S2 Compound Identifiers'!B395</f>
        <v>0</v>
      </c>
      <c r="E393" s="247"/>
      <c r="F393" s="248"/>
      <c r="G393" s="249"/>
      <c r="H393" s="330"/>
      <c r="I393" s="328"/>
      <c r="J393" s="249"/>
      <c r="K393" s="330"/>
      <c r="L393" s="250"/>
      <c r="M393" s="249"/>
      <c r="N393" s="330"/>
      <c r="O393" s="250"/>
      <c r="P393" s="249"/>
      <c r="Q393" s="330"/>
      <c r="R393" s="250"/>
      <c r="S393" s="249"/>
      <c r="T393" s="330"/>
      <c r="U393" s="250"/>
      <c r="V393" s="249"/>
      <c r="W393" s="330"/>
      <c r="X393" s="343"/>
      <c r="Y393" s="249"/>
      <c r="Z393" s="330"/>
      <c r="AA393" s="343"/>
      <c r="AB393" s="249"/>
      <c r="AC393" s="330"/>
      <c r="AD393" s="343"/>
      <c r="AE393" s="249"/>
      <c r="AF393" s="330"/>
      <c r="AG393" s="343"/>
      <c r="AH393" s="249"/>
      <c r="AI393" s="330"/>
      <c r="AJ393" s="343"/>
      <c r="AK393" s="249"/>
      <c r="AL393" s="330"/>
      <c r="AM393" s="343"/>
      <c r="AN393" s="249"/>
      <c r="AO393" s="330"/>
      <c r="AP393" s="343"/>
      <c r="AQ393" s="249"/>
      <c r="AR393" s="330"/>
      <c r="AS393" s="343"/>
      <c r="AT393" s="249"/>
      <c r="AU393" s="330"/>
    </row>
    <row r="394" spans="2:47">
      <c r="B394" s="247">
        <f>'Table S2 Compound Identifiers'!C396</f>
        <v>0</v>
      </c>
      <c r="C394" s="247">
        <f>COUNTIF($D$6:D394,"&lt;&gt;"&amp;"")</f>
        <v>389</v>
      </c>
      <c r="D394" s="247">
        <f>'Table S2 Compound Identifiers'!B396</f>
        <v>0</v>
      </c>
      <c r="E394" s="247"/>
      <c r="F394" s="248"/>
      <c r="G394" s="249"/>
      <c r="H394" s="330"/>
      <c r="I394" s="328"/>
      <c r="J394" s="249"/>
      <c r="K394" s="330"/>
      <c r="L394" s="250"/>
      <c r="M394" s="249"/>
      <c r="N394" s="330"/>
      <c r="O394" s="250"/>
      <c r="P394" s="249"/>
      <c r="Q394" s="330"/>
      <c r="R394" s="250"/>
      <c r="S394" s="249"/>
      <c r="T394" s="330"/>
      <c r="U394" s="250"/>
      <c r="V394" s="249"/>
      <c r="W394" s="330"/>
      <c r="X394" s="343"/>
      <c r="Y394" s="249"/>
      <c r="Z394" s="330"/>
      <c r="AA394" s="343"/>
      <c r="AB394" s="249"/>
      <c r="AC394" s="330"/>
      <c r="AD394" s="343"/>
      <c r="AE394" s="249"/>
      <c r="AF394" s="330"/>
      <c r="AG394" s="343"/>
      <c r="AH394" s="249"/>
      <c r="AI394" s="330"/>
      <c r="AJ394" s="343"/>
      <c r="AK394" s="249"/>
      <c r="AL394" s="330"/>
      <c r="AM394" s="343"/>
      <c r="AN394" s="249"/>
      <c r="AO394" s="330"/>
      <c r="AP394" s="343"/>
      <c r="AQ394" s="249"/>
      <c r="AR394" s="330"/>
      <c r="AS394" s="343"/>
      <c r="AT394" s="249"/>
      <c r="AU394" s="330"/>
    </row>
    <row r="395" spans="2:47">
      <c r="B395" s="247">
        <f>'Table S2 Compound Identifiers'!C397</f>
        <v>0</v>
      </c>
      <c r="C395" s="247">
        <f>COUNTIF($D$6:D395,"&lt;&gt;"&amp;"")</f>
        <v>390</v>
      </c>
      <c r="D395" s="247">
        <f>'Table S2 Compound Identifiers'!B397</f>
        <v>0</v>
      </c>
      <c r="E395" s="247"/>
      <c r="F395" s="248"/>
      <c r="G395" s="249"/>
      <c r="H395" s="330"/>
      <c r="I395" s="328"/>
      <c r="J395" s="249"/>
      <c r="K395" s="330"/>
      <c r="L395" s="250"/>
      <c r="M395" s="249"/>
      <c r="N395" s="330"/>
      <c r="O395" s="250"/>
      <c r="P395" s="249"/>
      <c r="Q395" s="330"/>
      <c r="R395" s="250"/>
      <c r="S395" s="249"/>
      <c r="T395" s="330"/>
      <c r="U395" s="250"/>
      <c r="V395" s="249"/>
      <c r="W395" s="330"/>
      <c r="X395" s="343"/>
      <c r="Y395" s="249"/>
      <c r="Z395" s="330"/>
      <c r="AA395" s="343"/>
      <c r="AB395" s="249"/>
      <c r="AC395" s="330"/>
      <c r="AD395" s="343"/>
      <c r="AE395" s="249"/>
      <c r="AF395" s="330"/>
      <c r="AG395" s="343"/>
      <c r="AH395" s="249"/>
      <c r="AI395" s="330"/>
      <c r="AJ395" s="343"/>
      <c r="AK395" s="249"/>
      <c r="AL395" s="330"/>
      <c r="AM395" s="343"/>
      <c r="AN395" s="249"/>
      <c r="AO395" s="330"/>
      <c r="AP395" s="343"/>
      <c r="AQ395" s="249"/>
      <c r="AR395" s="330"/>
      <c r="AS395" s="343"/>
      <c r="AT395" s="249"/>
      <c r="AU395" s="330"/>
    </row>
    <row r="396" spans="2:47">
      <c r="B396" s="247">
        <f>'Table S2 Compound Identifiers'!C398</f>
        <v>0</v>
      </c>
      <c r="C396" s="247">
        <f>COUNTIF($D$6:D396,"&lt;&gt;"&amp;"")</f>
        <v>391</v>
      </c>
      <c r="D396" s="247">
        <f>'Table S2 Compound Identifiers'!B398</f>
        <v>0</v>
      </c>
      <c r="E396" s="247"/>
      <c r="F396" s="248"/>
      <c r="G396" s="249"/>
      <c r="H396" s="330"/>
      <c r="I396" s="328"/>
      <c r="J396" s="249"/>
      <c r="K396" s="330"/>
      <c r="L396" s="250"/>
      <c r="M396" s="249"/>
      <c r="N396" s="330"/>
      <c r="O396" s="250"/>
      <c r="P396" s="249"/>
      <c r="Q396" s="330"/>
      <c r="R396" s="250"/>
      <c r="S396" s="249"/>
      <c r="T396" s="330"/>
      <c r="U396" s="250"/>
      <c r="V396" s="249"/>
      <c r="W396" s="330"/>
      <c r="X396" s="343"/>
      <c r="Y396" s="249"/>
      <c r="Z396" s="330"/>
      <c r="AA396" s="343"/>
      <c r="AB396" s="249"/>
      <c r="AC396" s="330"/>
      <c r="AD396" s="343"/>
      <c r="AE396" s="249"/>
      <c r="AF396" s="330"/>
      <c r="AG396" s="343"/>
      <c r="AH396" s="249"/>
      <c r="AI396" s="330"/>
      <c r="AJ396" s="343"/>
      <c r="AK396" s="249"/>
      <c r="AL396" s="330"/>
      <c r="AM396" s="343"/>
      <c r="AN396" s="249"/>
      <c r="AO396" s="330"/>
      <c r="AP396" s="343"/>
      <c r="AQ396" s="249"/>
      <c r="AR396" s="330"/>
      <c r="AS396" s="343"/>
      <c r="AT396" s="249"/>
      <c r="AU396" s="330"/>
    </row>
    <row r="397" spans="2:47">
      <c r="B397" s="247">
        <f>'Table S2 Compound Identifiers'!C399</f>
        <v>0</v>
      </c>
      <c r="C397" s="247">
        <f>COUNTIF($D$6:D397,"&lt;&gt;"&amp;"")</f>
        <v>392</v>
      </c>
      <c r="D397" s="247">
        <f>'Table S2 Compound Identifiers'!B399</f>
        <v>0</v>
      </c>
      <c r="E397" s="247"/>
      <c r="F397" s="248"/>
      <c r="G397" s="249"/>
      <c r="H397" s="330"/>
      <c r="I397" s="328"/>
      <c r="J397" s="249"/>
      <c r="K397" s="330"/>
      <c r="L397" s="250"/>
      <c r="M397" s="249"/>
      <c r="N397" s="330"/>
      <c r="O397" s="250"/>
      <c r="P397" s="249"/>
      <c r="Q397" s="330"/>
      <c r="R397" s="250"/>
      <c r="S397" s="249"/>
      <c r="T397" s="330"/>
      <c r="U397" s="250"/>
      <c r="V397" s="249"/>
      <c r="W397" s="330"/>
      <c r="X397" s="343"/>
      <c r="Y397" s="249"/>
      <c r="Z397" s="330"/>
      <c r="AA397" s="343"/>
      <c r="AB397" s="249"/>
      <c r="AC397" s="330"/>
      <c r="AD397" s="343"/>
      <c r="AE397" s="249"/>
      <c r="AF397" s="330"/>
      <c r="AG397" s="343"/>
      <c r="AH397" s="249"/>
      <c r="AI397" s="330"/>
      <c r="AJ397" s="343"/>
      <c r="AK397" s="249"/>
      <c r="AL397" s="330"/>
      <c r="AM397" s="343"/>
      <c r="AN397" s="249"/>
      <c r="AO397" s="330"/>
      <c r="AP397" s="343"/>
      <c r="AQ397" s="249"/>
      <c r="AR397" s="330"/>
      <c r="AS397" s="343"/>
      <c r="AT397" s="249"/>
      <c r="AU397" s="330"/>
    </row>
    <row r="398" spans="2:47">
      <c r="B398" s="247">
        <f>'Table S2 Compound Identifiers'!C400</f>
        <v>0</v>
      </c>
      <c r="C398" s="247">
        <f>COUNTIF($D$6:D398,"&lt;&gt;"&amp;"")</f>
        <v>393</v>
      </c>
      <c r="D398" s="247">
        <f>'Table S2 Compound Identifiers'!B400</f>
        <v>0</v>
      </c>
      <c r="E398" s="247"/>
      <c r="F398" s="248"/>
      <c r="G398" s="249"/>
      <c r="H398" s="330"/>
      <c r="I398" s="328"/>
      <c r="J398" s="249"/>
      <c r="K398" s="330"/>
      <c r="L398" s="250"/>
      <c r="M398" s="249"/>
      <c r="N398" s="330"/>
      <c r="O398" s="250"/>
      <c r="P398" s="249"/>
      <c r="Q398" s="330"/>
      <c r="R398" s="250"/>
      <c r="S398" s="249"/>
      <c r="T398" s="330"/>
      <c r="U398" s="250"/>
      <c r="V398" s="249"/>
      <c r="W398" s="330"/>
      <c r="X398" s="343"/>
      <c r="Y398" s="249"/>
      <c r="Z398" s="330"/>
      <c r="AA398" s="343"/>
      <c r="AB398" s="249"/>
      <c r="AC398" s="330"/>
      <c r="AD398" s="343"/>
      <c r="AE398" s="249"/>
      <c r="AF398" s="330"/>
      <c r="AG398" s="343"/>
      <c r="AH398" s="249"/>
      <c r="AI398" s="330"/>
      <c r="AJ398" s="343"/>
      <c r="AK398" s="249"/>
      <c r="AL398" s="330"/>
      <c r="AM398" s="343"/>
      <c r="AN398" s="249"/>
      <c r="AO398" s="330"/>
      <c r="AP398" s="343"/>
      <c r="AQ398" s="249"/>
      <c r="AR398" s="330"/>
      <c r="AS398" s="343"/>
      <c r="AT398" s="249"/>
      <c r="AU398" s="330"/>
    </row>
    <row r="399" spans="2:47">
      <c r="B399" s="247">
        <f>'Table S2 Compound Identifiers'!C401</f>
        <v>0</v>
      </c>
      <c r="C399" s="247">
        <f>COUNTIF($D$6:D399,"&lt;&gt;"&amp;"")</f>
        <v>394</v>
      </c>
      <c r="D399" s="247">
        <f>'Table S2 Compound Identifiers'!B401</f>
        <v>0</v>
      </c>
      <c r="E399" s="247"/>
      <c r="F399" s="248"/>
      <c r="G399" s="249"/>
      <c r="H399" s="330"/>
      <c r="I399" s="328"/>
      <c r="J399" s="249"/>
      <c r="K399" s="330"/>
      <c r="L399" s="250"/>
      <c r="M399" s="249"/>
      <c r="N399" s="330"/>
      <c r="O399" s="250"/>
      <c r="P399" s="249"/>
      <c r="Q399" s="330"/>
      <c r="R399" s="250"/>
      <c r="S399" s="249"/>
      <c r="T399" s="330"/>
      <c r="U399" s="250"/>
      <c r="V399" s="249"/>
      <c r="W399" s="330"/>
      <c r="X399" s="343"/>
      <c r="Y399" s="249"/>
      <c r="Z399" s="330"/>
      <c r="AA399" s="343"/>
      <c r="AB399" s="249"/>
      <c r="AC399" s="330"/>
      <c r="AD399" s="343"/>
      <c r="AE399" s="249"/>
      <c r="AF399" s="330"/>
      <c r="AG399" s="343"/>
      <c r="AH399" s="249"/>
      <c r="AI399" s="330"/>
      <c r="AJ399" s="343"/>
      <c r="AK399" s="249"/>
      <c r="AL399" s="330"/>
      <c r="AM399" s="343"/>
      <c r="AN399" s="249"/>
      <c r="AO399" s="330"/>
      <c r="AP399" s="343"/>
      <c r="AQ399" s="249"/>
      <c r="AR399" s="330"/>
      <c r="AS399" s="343"/>
      <c r="AT399" s="249"/>
      <c r="AU399" s="330"/>
    </row>
    <row r="400" spans="2:47">
      <c r="B400" s="247">
        <f>'Table S2 Compound Identifiers'!C402</f>
        <v>0</v>
      </c>
      <c r="C400" s="247">
        <f>COUNTIF($D$6:D400,"&lt;&gt;"&amp;"")</f>
        <v>395</v>
      </c>
      <c r="D400" s="247">
        <f>'Table S2 Compound Identifiers'!B402</f>
        <v>0</v>
      </c>
      <c r="E400" s="247"/>
      <c r="F400" s="248"/>
      <c r="G400" s="249"/>
      <c r="H400" s="330"/>
      <c r="I400" s="328"/>
      <c r="J400" s="249"/>
      <c r="K400" s="330"/>
      <c r="L400" s="250"/>
      <c r="M400" s="249"/>
      <c r="N400" s="330"/>
      <c r="O400" s="250"/>
      <c r="P400" s="249"/>
      <c r="Q400" s="330"/>
      <c r="R400" s="250"/>
      <c r="S400" s="249"/>
      <c r="T400" s="330"/>
      <c r="U400" s="250"/>
      <c r="V400" s="249"/>
      <c r="W400" s="330"/>
      <c r="X400" s="343"/>
      <c r="Y400" s="249"/>
      <c r="Z400" s="330"/>
      <c r="AA400" s="343"/>
      <c r="AB400" s="249"/>
      <c r="AC400" s="330"/>
      <c r="AD400" s="343"/>
      <c r="AE400" s="249"/>
      <c r="AF400" s="330"/>
      <c r="AG400" s="343"/>
      <c r="AH400" s="249"/>
      <c r="AI400" s="330"/>
      <c r="AJ400" s="343"/>
      <c r="AK400" s="249"/>
      <c r="AL400" s="330"/>
      <c r="AM400" s="343"/>
      <c r="AN400" s="249"/>
      <c r="AO400" s="330"/>
      <c r="AP400" s="343"/>
      <c r="AQ400" s="249"/>
      <c r="AR400" s="330"/>
      <c r="AS400" s="343"/>
      <c r="AT400" s="249"/>
      <c r="AU400" s="330"/>
    </row>
    <row r="401" spans="2:47">
      <c r="B401" s="247">
        <f>'Table S2 Compound Identifiers'!C403</f>
        <v>0</v>
      </c>
      <c r="C401" s="247">
        <f>COUNTIF($D$6:D401,"&lt;&gt;"&amp;"")</f>
        <v>396</v>
      </c>
      <c r="D401" s="247">
        <f>'Table S2 Compound Identifiers'!B403</f>
        <v>0</v>
      </c>
      <c r="E401" s="247"/>
      <c r="F401" s="248"/>
      <c r="G401" s="249"/>
      <c r="H401" s="330"/>
      <c r="I401" s="328"/>
      <c r="J401" s="249"/>
      <c r="K401" s="330"/>
      <c r="L401" s="250"/>
      <c r="M401" s="249"/>
      <c r="N401" s="330"/>
      <c r="O401" s="250"/>
      <c r="P401" s="249"/>
      <c r="Q401" s="330"/>
      <c r="R401" s="250"/>
      <c r="S401" s="249"/>
      <c r="T401" s="330"/>
      <c r="U401" s="250"/>
      <c r="V401" s="249"/>
      <c r="W401" s="330"/>
      <c r="X401" s="343"/>
      <c r="Y401" s="249"/>
      <c r="Z401" s="330"/>
      <c r="AA401" s="343"/>
      <c r="AB401" s="249"/>
      <c r="AC401" s="330"/>
      <c r="AD401" s="343"/>
      <c r="AE401" s="249"/>
      <c r="AF401" s="330"/>
      <c r="AG401" s="343"/>
      <c r="AH401" s="249"/>
      <c r="AI401" s="330"/>
      <c r="AJ401" s="343"/>
      <c r="AK401" s="249"/>
      <c r="AL401" s="330"/>
      <c r="AM401" s="343"/>
      <c r="AN401" s="249"/>
      <c r="AO401" s="330"/>
      <c r="AP401" s="343"/>
      <c r="AQ401" s="249"/>
      <c r="AR401" s="330"/>
      <c r="AS401" s="343"/>
      <c r="AT401" s="249"/>
      <c r="AU401" s="330"/>
    </row>
    <row r="402" spans="2:47">
      <c r="B402" s="247">
        <f>'Table S2 Compound Identifiers'!C404</f>
        <v>0</v>
      </c>
      <c r="C402" s="247">
        <f>COUNTIF($D$6:D402,"&lt;&gt;"&amp;"")</f>
        <v>397</v>
      </c>
      <c r="D402" s="247">
        <f>'Table S2 Compound Identifiers'!B404</f>
        <v>0</v>
      </c>
      <c r="E402" s="247"/>
      <c r="F402" s="248"/>
      <c r="G402" s="249"/>
      <c r="H402" s="330"/>
      <c r="I402" s="328"/>
      <c r="J402" s="249"/>
      <c r="K402" s="330"/>
      <c r="L402" s="250"/>
      <c r="M402" s="249"/>
      <c r="N402" s="330"/>
      <c r="O402" s="250"/>
      <c r="P402" s="249"/>
      <c r="Q402" s="330"/>
      <c r="R402" s="250"/>
      <c r="S402" s="249"/>
      <c r="T402" s="330"/>
      <c r="U402" s="250"/>
      <c r="V402" s="249"/>
      <c r="W402" s="330"/>
      <c r="X402" s="343"/>
      <c r="Y402" s="249"/>
      <c r="Z402" s="330"/>
      <c r="AA402" s="343"/>
      <c r="AB402" s="249"/>
      <c r="AC402" s="330"/>
      <c r="AD402" s="343"/>
      <c r="AE402" s="249"/>
      <c r="AF402" s="330"/>
      <c r="AG402" s="343"/>
      <c r="AH402" s="249"/>
      <c r="AI402" s="330"/>
      <c r="AJ402" s="343"/>
      <c r="AK402" s="249"/>
      <c r="AL402" s="330"/>
      <c r="AM402" s="343"/>
      <c r="AN402" s="249"/>
      <c r="AO402" s="330"/>
      <c r="AP402" s="343"/>
      <c r="AQ402" s="249"/>
      <c r="AR402" s="330"/>
      <c r="AS402" s="343"/>
      <c r="AT402" s="249"/>
      <c r="AU402" s="330"/>
    </row>
    <row r="403" spans="2:47">
      <c r="B403" s="247">
        <f>'Table S2 Compound Identifiers'!C405</f>
        <v>0</v>
      </c>
      <c r="C403" s="247">
        <f>COUNTIF($D$6:D403,"&lt;&gt;"&amp;"")</f>
        <v>398</v>
      </c>
      <c r="D403" s="247">
        <f>'Table S2 Compound Identifiers'!B405</f>
        <v>0</v>
      </c>
      <c r="E403" s="247"/>
      <c r="F403" s="248"/>
      <c r="G403" s="249"/>
      <c r="H403" s="330"/>
      <c r="I403" s="328"/>
      <c r="J403" s="249"/>
      <c r="K403" s="330"/>
      <c r="L403" s="250"/>
      <c r="M403" s="249"/>
      <c r="N403" s="330"/>
      <c r="O403" s="250"/>
      <c r="P403" s="249"/>
      <c r="Q403" s="330"/>
      <c r="R403" s="250"/>
      <c r="S403" s="249"/>
      <c r="T403" s="330"/>
      <c r="U403" s="250"/>
      <c r="V403" s="249"/>
      <c r="W403" s="330"/>
      <c r="X403" s="343"/>
      <c r="Y403" s="249"/>
      <c r="Z403" s="330"/>
      <c r="AA403" s="343"/>
      <c r="AB403" s="249"/>
      <c r="AC403" s="330"/>
      <c r="AD403" s="343"/>
      <c r="AE403" s="249"/>
      <c r="AF403" s="330"/>
      <c r="AG403" s="343"/>
      <c r="AH403" s="249"/>
      <c r="AI403" s="330"/>
      <c r="AJ403" s="343"/>
      <c r="AK403" s="249"/>
      <c r="AL403" s="330"/>
      <c r="AM403" s="343"/>
      <c r="AN403" s="249"/>
      <c r="AO403" s="330"/>
      <c r="AP403" s="343"/>
      <c r="AQ403" s="249"/>
      <c r="AR403" s="330"/>
      <c r="AS403" s="343"/>
      <c r="AT403" s="249"/>
      <c r="AU403" s="330"/>
    </row>
    <row r="404" spans="2:47">
      <c r="B404" s="247">
        <f>'Table S2 Compound Identifiers'!C406</f>
        <v>0</v>
      </c>
      <c r="C404" s="247">
        <f>COUNTIF($D$6:D404,"&lt;&gt;"&amp;"")</f>
        <v>399</v>
      </c>
      <c r="D404" s="247">
        <f>'Table S2 Compound Identifiers'!B406</f>
        <v>0</v>
      </c>
      <c r="E404" s="247"/>
      <c r="F404" s="248"/>
      <c r="G404" s="249"/>
      <c r="H404" s="330"/>
      <c r="I404" s="328"/>
      <c r="J404" s="249"/>
      <c r="K404" s="330"/>
      <c r="L404" s="250"/>
      <c r="M404" s="249"/>
      <c r="N404" s="330"/>
      <c r="O404" s="250"/>
      <c r="P404" s="249"/>
      <c r="Q404" s="330"/>
      <c r="R404" s="250"/>
      <c r="S404" s="249"/>
      <c r="T404" s="330"/>
      <c r="U404" s="250"/>
      <c r="V404" s="249"/>
      <c r="W404" s="330"/>
      <c r="X404" s="343"/>
      <c r="Y404" s="249"/>
      <c r="Z404" s="330"/>
      <c r="AA404" s="343"/>
      <c r="AB404" s="249"/>
      <c r="AC404" s="330"/>
      <c r="AD404" s="343"/>
      <c r="AE404" s="249"/>
      <c r="AF404" s="330"/>
      <c r="AG404" s="343"/>
      <c r="AH404" s="249"/>
      <c r="AI404" s="330"/>
      <c r="AJ404" s="343"/>
      <c r="AK404" s="249"/>
      <c r="AL404" s="330"/>
      <c r="AM404" s="343"/>
      <c r="AN404" s="249"/>
      <c r="AO404" s="330"/>
      <c r="AP404" s="343"/>
      <c r="AQ404" s="249"/>
      <c r="AR404" s="330"/>
      <c r="AS404" s="343"/>
      <c r="AT404" s="249"/>
      <c r="AU404" s="330"/>
    </row>
    <row r="405" spans="2:47">
      <c r="B405" s="247">
        <f>'Table S2 Compound Identifiers'!C407</f>
        <v>0</v>
      </c>
      <c r="C405" s="247">
        <f>COUNTIF($D$6:D405,"&lt;&gt;"&amp;"")</f>
        <v>400</v>
      </c>
      <c r="D405" s="247">
        <f>'Table S2 Compound Identifiers'!B407</f>
        <v>0</v>
      </c>
      <c r="E405" s="247"/>
      <c r="F405" s="248"/>
      <c r="G405" s="249"/>
      <c r="H405" s="330"/>
      <c r="I405" s="328"/>
      <c r="J405" s="249"/>
      <c r="K405" s="330"/>
      <c r="L405" s="250"/>
      <c r="M405" s="249"/>
      <c r="N405" s="330"/>
      <c r="O405" s="250"/>
      <c r="P405" s="249"/>
      <c r="Q405" s="330"/>
      <c r="R405" s="250"/>
      <c r="S405" s="249"/>
      <c r="T405" s="330"/>
      <c r="U405" s="250"/>
      <c r="V405" s="249"/>
      <c r="W405" s="330"/>
      <c r="X405" s="343"/>
      <c r="Y405" s="249"/>
      <c r="Z405" s="330"/>
      <c r="AA405" s="343"/>
      <c r="AB405" s="249"/>
      <c r="AC405" s="330"/>
      <c r="AD405" s="343"/>
      <c r="AE405" s="249"/>
      <c r="AF405" s="330"/>
      <c r="AG405" s="343"/>
      <c r="AH405" s="249"/>
      <c r="AI405" s="330"/>
      <c r="AJ405" s="343"/>
      <c r="AK405" s="249"/>
      <c r="AL405" s="330"/>
      <c r="AM405" s="343"/>
      <c r="AN405" s="249"/>
      <c r="AO405" s="330"/>
      <c r="AP405" s="343"/>
      <c r="AQ405" s="249"/>
      <c r="AR405" s="330"/>
      <c r="AS405" s="343"/>
      <c r="AT405" s="249"/>
      <c r="AU405" s="330"/>
    </row>
    <row r="406" spans="2:47">
      <c r="B406" s="247">
        <f>'Table S2 Compound Identifiers'!C408</f>
        <v>0</v>
      </c>
      <c r="C406" s="247">
        <f>COUNTIF($D$6:D406,"&lt;&gt;"&amp;"")</f>
        <v>401</v>
      </c>
      <c r="D406" s="247">
        <f>'Table S2 Compound Identifiers'!B408</f>
        <v>0</v>
      </c>
      <c r="E406" s="247"/>
      <c r="F406" s="248"/>
      <c r="G406" s="249"/>
      <c r="H406" s="330"/>
      <c r="I406" s="328"/>
      <c r="J406" s="249"/>
      <c r="K406" s="330"/>
      <c r="L406" s="250"/>
      <c r="M406" s="249"/>
      <c r="N406" s="330"/>
      <c r="O406" s="250"/>
      <c r="P406" s="249"/>
      <c r="Q406" s="330"/>
      <c r="R406" s="250"/>
      <c r="S406" s="249"/>
      <c r="T406" s="330"/>
      <c r="U406" s="250"/>
      <c r="V406" s="249"/>
      <c r="W406" s="330"/>
      <c r="X406" s="343"/>
      <c r="Y406" s="249"/>
      <c r="Z406" s="330"/>
      <c r="AA406" s="343"/>
      <c r="AB406" s="249"/>
      <c r="AC406" s="330"/>
      <c r="AD406" s="343"/>
      <c r="AE406" s="249"/>
      <c r="AF406" s="330"/>
      <c r="AG406" s="343"/>
      <c r="AH406" s="249"/>
      <c r="AI406" s="330"/>
      <c r="AJ406" s="343"/>
      <c r="AK406" s="249"/>
      <c r="AL406" s="330"/>
      <c r="AM406" s="343"/>
      <c r="AN406" s="249"/>
      <c r="AO406" s="330"/>
      <c r="AP406" s="343"/>
      <c r="AQ406" s="249"/>
      <c r="AR406" s="330"/>
      <c r="AS406" s="343"/>
      <c r="AT406" s="249"/>
      <c r="AU406" s="330"/>
    </row>
    <row r="407" spans="2:47">
      <c r="B407" s="247">
        <f>'Table S2 Compound Identifiers'!C409</f>
        <v>0</v>
      </c>
      <c r="C407" s="247">
        <f>COUNTIF($D$6:D407,"&lt;&gt;"&amp;"")</f>
        <v>402</v>
      </c>
      <c r="D407" s="247">
        <f>'Table S2 Compound Identifiers'!B409</f>
        <v>0</v>
      </c>
      <c r="E407" s="247"/>
      <c r="F407" s="248"/>
      <c r="G407" s="249"/>
      <c r="H407" s="330"/>
      <c r="I407" s="328"/>
      <c r="J407" s="249"/>
      <c r="K407" s="330"/>
      <c r="L407" s="250"/>
      <c r="M407" s="249"/>
      <c r="N407" s="330"/>
      <c r="O407" s="250"/>
      <c r="P407" s="249"/>
      <c r="Q407" s="330"/>
      <c r="R407" s="250"/>
      <c r="S407" s="249"/>
      <c r="T407" s="330"/>
      <c r="U407" s="250"/>
      <c r="V407" s="249"/>
      <c r="W407" s="330"/>
      <c r="X407" s="343"/>
      <c r="Y407" s="249"/>
      <c r="Z407" s="330"/>
      <c r="AA407" s="343"/>
      <c r="AB407" s="249"/>
      <c r="AC407" s="330"/>
      <c r="AD407" s="343"/>
      <c r="AE407" s="249"/>
      <c r="AF407" s="330"/>
      <c r="AG407" s="343"/>
      <c r="AH407" s="249"/>
      <c r="AI407" s="330"/>
      <c r="AJ407" s="343"/>
      <c r="AK407" s="249"/>
      <c r="AL407" s="330"/>
      <c r="AM407" s="343"/>
      <c r="AN407" s="249"/>
      <c r="AO407" s="330"/>
      <c r="AP407" s="343"/>
      <c r="AQ407" s="249"/>
      <c r="AR407" s="330"/>
      <c r="AS407" s="343"/>
      <c r="AT407" s="249"/>
      <c r="AU407" s="330"/>
    </row>
    <row r="408" spans="2:47">
      <c r="B408" s="247">
        <f>'Table S2 Compound Identifiers'!C410</f>
        <v>0</v>
      </c>
      <c r="C408" s="247">
        <f>COUNTIF($D$6:D408,"&lt;&gt;"&amp;"")</f>
        <v>403</v>
      </c>
      <c r="D408" s="247">
        <f>'Table S2 Compound Identifiers'!B410</f>
        <v>0</v>
      </c>
      <c r="E408" s="247"/>
      <c r="F408" s="248"/>
      <c r="G408" s="249"/>
      <c r="H408" s="330"/>
      <c r="I408" s="328"/>
      <c r="J408" s="249"/>
      <c r="K408" s="330"/>
      <c r="L408" s="250"/>
      <c r="M408" s="249"/>
      <c r="N408" s="330"/>
      <c r="O408" s="250"/>
      <c r="P408" s="249"/>
      <c r="Q408" s="330"/>
      <c r="R408" s="250"/>
      <c r="S408" s="249"/>
      <c r="T408" s="330"/>
      <c r="U408" s="250"/>
      <c r="V408" s="249"/>
      <c r="W408" s="330"/>
      <c r="X408" s="343"/>
      <c r="Y408" s="249"/>
      <c r="Z408" s="330"/>
      <c r="AA408" s="343"/>
      <c r="AB408" s="249"/>
      <c r="AC408" s="330"/>
      <c r="AD408" s="343"/>
      <c r="AE408" s="249"/>
      <c r="AF408" s="330"/>
      <c r="AG408" s="343"/>
      <c r="AH408" s="249"/>
      <c r="AI408" s="330"/>
      <c r="AJ408" s="343"/>
      <c r="AK408" s="249"/>
      <c r="AL408" s="330"/>
      <c r="AM408" s="343"/>
      <c r="AN408" s="249"/>
      <c r="AO408" s="330"/>
      <c r="AP408" s="343"/>
      <c r="AQ408" s="249"/>
      <c r="AR408" s="330"/>
      <c r="AS408" s="343"/>
      <c r="AT408" s="249"/>
      <c r="AU408" s="330"/>
    </row>
    <row r="409" spans="2:47">
      <c r="B409" s="247">
        <f>'Table S2 Compound Identifiers'!C411</f>
        <v>0</v>
      </c>
      <c r="C409" s="247">
        <f>COUNTIF($D$6:D409,"&lt;&gt;"&amp;"")</f>
        <v>404</v>
      </c>
      <c r="D409" s="247">
        <f>'Table S2 Compound Identifiers'!B411</f>
        <v>0</v>
      </c>
      <c r="E409" s="247"/>
      <c r="F409" s="248"/>
      <c r="G409" s="249"/>
      <c r="H409" s="330"/>
      <c r="I409" s="328"/>
      <c r="J409" s="249"/>
      <c r="K409" s="330"/>
      <c r="L409" s="250"/>
      <c r="M409" s="249"/>
      <c r="N409" s="330"/>
      <c r="O409" s="250"/>
      <c r="P409" s="249"/>
      <c r="Q409" s="330"/>
      <c r="R409" s="250"/>
      <c r="S409" s="249"/>
      <c r="T409" s="330"/>
      <c r="U409" s="250"/>
      <c r="V409" s="249"/>
      <c r="W409" s="330"/>
      <c r="X409" s="343"/>
      <c r="Y409" s="249"/>
      <c r="Z409" s="330"/>
      <c r="AA409" s="343"/>
      <c r="AB409" s="249"/>
      <c r="AC409" s="330"/>
      <c r="AD409" s="343"/>
      <c r="AE409" s="249"/>
      <c r="AF409" s="330"/>
      <c r="AG409" s="343"/>
      <c r="AH409" s="249"/>
      <c r="AI409" s="330"/>
      <c r="AJ409" s="343"/>
      <c r="AK409" s="249"/>
      <c r="AL409" s="330"/>
      <c r="AM409" s="343"/>
      <c r="AN409" s="249"/>
      <c r="AO409" s="330"/>
      <c r="AP409" s="343"/>
      <c r="AQ409" s="249"/>
      <c r="AR409" s="330"/>
      <c r="AS409" s="343"/>
      <c r="AT409" s="249"/>
      <c r="AU409" s="330"/>
    </row>
    <row r="410" spans="2:47">
      <c r="B410" s="247">
        <f>'Table S2 Compound Identifiers'!C412</f>
        <v>0</v>
      </c>
      <c r="C410" s="247">
        <f>COUNTIF($D$6:D410,"&lt;&gt;"&amp;"")</f>
        <v>405</v>
      </c>
      <c r="D410" s="247">
        <f>'Table S2 Compound Identifiers'!B412</f>
        <v>0</v>
      </c>
      <c r="E410" s="247"/>
      <c r="F410" s="248"/>
      <c r="G410" s="249"/>
      <c r="H410" s="330"/>
      <c r="I410" s="328"/>
      <c r="J410" s="249"/>
      <c r="K410" s="330"/>
      <c r="L410" s="250"/>
      <c r="M410" s="249"/>
      <c r="N410" s="330"/>
      <c r="O410" s="250"/>
      <c r="P410" s="249"/>
      <c r="Q410" s="330"/>
      <c r="R410" s="250"/>
      <c r="S410" s="249"/>
      <c r="T410" s="330"/>
      <c r="U410" s="250"/>
      <c r="V410" s="249"/>
      <c r="W410" s="330"/>
      <c r="X410" s="343"/>
      <c r="Y410" s="249"/>
      <c r="Z410" s="330"/>
      <c r="AA410" s="343"/>
      <c r="AB410" s="249"/>
      <c r="AC410" s="330"/>
      <c r="AD410" s="343"/>
      <c r="AE410" s="249"/>
      <c r="AF410" s="330"/>
      <c r="AG410" s="343"/>
      <c r="AH410" s="249"/>
      <c r="AI410" s="330"/>
      <c r="AJ410" s="343"/>
      <c r="AK410" s="249"/>
      <c r="AL410" s="330"/>
      <c r="AM410" s="343"/>
      <c r="AN410" s="249"/>
      <c r="AO410" s="330"/>
      <c r="AP410" s="343"/>
      <c r="AQ410" s="249"/>
      <c r="AR410" s="330"/>
      <c r="AS410" s="343"/>
      <c r="AT410" s="249"/>
      <c r="AU410" s="330"/>
    </row>
    <row r="411" spans="2:47">
      <c r="B411" s="247">
        <f>'Table S2 Compound Identifiers'!C413</f>
        <v>0</v>
      </c>
      <c r="C411" s="247">
        <f>COUNTIF($D$6:D411,"&lt;&gt;"&amp;"")</f>
        <v>406</v>
      </c>
      <c r="D411" s="247">
        <f>'Table S2 Compound Identifiers'!B413</f>
        <v>0</v>
      </c>
      <c r="E411" s="247"/>
      <c r="F411" s="248"/>
      <c r="G411" s="249"/>
      <c r="H411" s="330"/>
      <c r="I411" s="328"/>
      <c r="J411" s="249"/>
      <c r="K411" s="330"/>
      <c r="L411" s="250"/>
      <c r="M411" s="249"/>
      <c r="N411" s="330"/>
      <c r="O411" s="250"/>
      <c r="P411" s="249"/>
      <c r="Q411" s="330"/>
      <c r="R411" s="250"/>
      <c r="S411" s="249"/>
      <c r="T411" s="330"/>
      <c r="U411" s="250"/>
      <c r="V411" s="249"/>
      <c r="W411" s="330"/>
      <c r="X411" s="343"/>
      <c r="Y411" s="249"/>
      <c r="Z411" s="330"/>
      <c r="AA411" s="343"/>
      <c r="AB411" s="249"/>
      <c r="AC411" s="330"/>
      <c r="AD411" s="343"/>
      <c r="AE411" s="249"/>
      <c r="AF411" s="330"/>
      <c r="AG411" s="343"/>
      <c r="AH411" s="249"/>
      <c r="AI411" s="330"/>
      <c r="AJ411" s="343"/>
      <c r="AK411" s="249"/>
      <c r="AL411" s="330"/>
      <c r="AM411" s="343"/>
      <c r="AN411" s="249"/>
      <c r="AO411" s="330"/>
      <c r="AP411" s="343"/>
      <c r="AQ411" s="249"/>
      <c r="AR411" s="330"/>
      <c r="AS411" s="343"/>
      <c r="AT411" s="249"/>
      <c r="AU411" s="330"/>
    </row>
    <row r="412" spans="2:47">
      <c r="B412" s="247">
        <f>'Table S2 Compound Identifiers'!C414</f>
        <v>0</v>
      </c>
      <c r="C412" s="247">
        <f>COUNTIF($D$6:D412,"&lt;&gt;"&amp;"")</f>
        <v>407</v>
      </c>
      <c r="D412" s="247">
        <f>'Table S2 Compound Identifiers'!B414</f>
        <v>0</v>
      </c>
      <c r="E412" s="247"/>
      <c r="F412" s="248"/>
      <c r="G412" s="249"/>
      <c r="H412" s="330"/>
      <c r="I412" s="328"/>
      <c r="J412" s="249"/>
      <c r="K412" s="330"/>
      <c r="L412" s="250"/>
      <c r="M412" s="249"/>
      <c r="N412" s="330"/>
      <c r="O412" s="250"/>
      <c r="P412" s="249"/>
      <c r="Q412" s="330"/>
      <c r="R412" s="250"/>
      <c r="S412" s="249"/>
      <c r="T412" s="330"/>
      <c r="U412" s="250"/>
      <c r="V412" s="249"/>
      <c r="W412" s="330"/>
      <c r="X412" s="343"/>
      <c r="Y412" s="249"/>
      <c r="Z412" s="330"/>
      <c r="AA412" s="343"/>
      <c r="AB412" s="249"/>
      <c r="AC412" s="330"/>
      <c r="AD412" s="343"/>
      <c r="AE412" s="249"/>
      <c r="AF412" s="330"/>
      <c r="AG412" s="343"/>
      <c r="AH412" s="249"/>
      <c r="AI412" s="330"/>
      <c r="AJ412" s="343"/>
      <c r="AK412" s="249"/>
      <c r="AL412" s="330"/>
      <c r="AM412" s="343"/>
      <c r="AN412" s="249"/>
      <c r="AO412" s="330"/>
      <c r="AP412" s="343"/>
      <c r="AQ412" s="249"/>
      <c r="AR412" s="330"/>
      <c r="AS412" s="343"/>
      <c r="AT412" s="249"/>
      <c r="AU412" s="330"/>
    </row>
    <row r="413" spans="2:47">
      <c r="B413" s="247">
        <f>'Table S2 Compound Identifiers'!C415</f>
        <v>0</v>
      </c>
      <c r="C413" s="247">
        <f>COUNTIF($D$6:D413,"&lt;&gt;"&amp;"")</f>
        <v>408</v>
      </c>
      <c r="D413" s="247">
        <f>'Table S2 Compound Identifiers'!B415</f>
        <v>0</v>
      </c>
      <c r="E413" s="247"/>
      <c r="F413" s="248"/>
      <c r="G413" s="249"/>
      <c r="H413" s="330"/>
      <c r="I413" s="328"/>
      <c r="J413" s="249"/>
      <c r="K413" s="330"/>
      <c r="L413" s="250"/>
      <c r="M413" s="249"/>
      <c r="N413" s="330"/>
      <c r="O413" s="250"/>
      <c r="P413" s="249"/>
      <c r="Q413" s="330"/>
      <c r="R413" s="250"/>
      <c r="S413" s="249"/>
      <c r="T413" s="330"/>
      <c r="U413" s="250"/>
      <c r="V413" s="249"/>
      <c r="W413" s="330"/>
      <c r="X413" s="343"/>
      <c r="Y413" s="249"/>
      <c r="Z413" s="330"/>
      <c r="AA413" s="343"/>
      <c r="AB413" s="249"/>
      <c r="AC413" s="330"/>
      <c r="AD413" s="343"/>
      <c r="AE413" s="249"/>
      <c r="AF413" s="330"/>
      <c r="AG413" s="343"/>
      <c r="AH413" s="249"/>
      <c r="AI413" s="330"/>
      <c r="AJ413" s="343"/>
      <c r="AK413" s="249"/>
      <c r="AL413" s="330"/>
      <c r="AM413" s="343"/>
      <c r="AN413" s="249"/>
      <c r="AO413" s="330"/>
      <c r="AP413" s="343"/>
      <c r="AQ413" s="249"/>
      <c r="AR413" s="330"/>
      <c r="AS413" s="343"/>
      <c r="AT413" s="249"/>
      <c r="AU413" s="330"/>
    </row>
    <row r="414" spans="2:47">
      <c r="B414" s="247">
        <f>'Table S2 Compound Identifiers'!C416</f>
        <v>0</v>
      </c>
      <c r="C414" s="247">
        <f>COUNTIF($D$6:D414,"&lt;&gt;"&amp;"")</f>
        <v>409</v>
      </c>
      <c r="D414" s="247">
        <f>'Table S2 Compound Identifiers'!B416</f>
        <v>0</v>
      </c>
      <c r="E414" s="247"/>
      <c r="F414" s="248"/>
      <c r="G414" s="249"/>
      <c r="H414" s="330"/>
      <c r="I414" s="328"/>
      <c r="J414" s="249"/>
      <c r="K414" s="330"/>
      <c r="L414" s="250"/>
      <c r="M414" s="249"/>
      <c r="N414" s="330"/>
      <c r="O414" s="250"/>
      <c r="P414" s="249"/>
      <c r="Q414" s="330"/>
      <c r="R414" s="250"/>
      <c r="S414" s="249"/>
      <c r="T414" s="330"/>
      <c r="U414" s="250"/>
      <c r="V414" s="249"/>
      <c r="W414" s="330"/>
      <c r="X414" s="343"/>
      <c r="Y414" s="249"/>
      <c r="Z414" s="330"/>
      <c r="AA414" s="343"/>
      <c r="AB414" s="249"/>
      <c r="AC414" s="330"/>
      <c r="AD414" s="343"/>
      <c r="AE414" s="249"/>
      <c r="AF414" s="330"/>
      <c r="AG414" s="343"/>
      <c r="AH414" s="249"/>
      <c r="AI414" s="330"/>
      <c r="AJ414" s="343"/>
      <c r="AK414" s="249"/>
      <c r="AL414" s="330"/>
      <c r="AM414" s="343"/>
      <c r="AN414" s="249"/>
      <c r="AO414" s="330"/>
      <c r="AP414" s="343"/>
      <c r="AQ414" s="249"/>
      <c r="AR414" s="330"/>
      <c r="AS414" s="343"/>
      <c r="AT414" s="249"/>
      <c r="AU414" s="330"/>
    </row>
    <row r="415" spans="2:47">
      <c r="B415" s="247">
        <f>'Table S2 Compound Identifiers'!C417</f>
        <v>0</v>
      </c>
      <c r="C415" s="247">
        <f>COUNTIF($D$6:D415,"&lt;&gt;"&amp;"")</f>
        <v>410</v>
      </c>
      <c r="D415" s="247">
        <f>'Table S2 Compound Identifiers'!B417</f>
        <v>0</v>
      </c>
      <c r="E415" s="247"/>
      <c r="F415" s="248"/>
      <c r="G415" s="249"/>
      <c r="H415" s="330"/>
      <c r="I415" s="328"/>
      <c r="J415" s="249"/>
      <c r="K415" s="330"/>
      <c r="L415" s="250"/>
      <c r="M415" s="249"/>
      <c r="N415" s="330"/>
      <c r="O415" s="250"/>
      <c r="P415" s="249"/>
      <c r="Q415" s="330"/>
      <c r="R415" s="250"/>
      <c r="S415" s="249"/>
      <c r="T415" s="330"/>
      <c r="U415" s="250"/>
      <c r="V415" s="249"/>
      <c r="W415" s="330"/>
      <c r="X415" s="343"/>
      <c r="Y415" s="249"/>
      <c r="Z415" s="330"/>
      <c r="AA415" s="343"/>
      <c r="AB415" s="249"/>
      <c r="AC415" s="330"/>
      <c r="AD415" s="343"/>
      <c r="AE415" s="249"/>
      <c r="AF415" s="330"/>
      <c r="AG415" s="343"/>
      <c r="AH415" s="249"/>
      <c r="AI415" s="330"/>
      <c r="AJ415" s="343"/>
      <c r="AK415" s="249"/>
      <c r="AL415" s="330"/>
      <c r="AM415" s="343"/>
      <c r="AN415" s="249"/>
      <c r="AO415" s="330"/>
      <c r="AP415" s="343"/>
      <c r="AQ415" s="249"/>
      <c r="AR415" s="330"/>
      <c r="AS415" s="343"/>
      <c r="AT415" s="249"/>
      <c r="AU415" s="330"/>
    </row>
    <row r="416" spans="2:47">
      <c r="B416" s="247">
        <f>'Table S2 Compound Identifiers'!C418</f>
        <v>0</v>
      </c>
      <c r="C416" s="247">
        <f>COUNTIF($D$6:D416,"&lt;&gt;"&amp;"")</f>
        <v>411</v>
      </c>
      <c r="D416" s="247">
        <f>'Table S2 Compound Identifiers'!B418</f>
        <v>0</v>
      </c>
      <c r="E416" s="247"/>
      <c r="F416" s="248"/>
      <c r="G416" s="249"/>
      <c r="H416" s="330"/>
      <c r="I416" s="328"/>
      <c r="J416" s="249"/>
      <c r="K416" s="330"/>
      <c r="L416" s="250"/>
      <c r="M416" s="249"/>
      <c r="N416" s="330"/>
      <c r="O416" s="250"/>
      <c r="P416" s="249"/>
      <c r="Q416" s="330"/>
      <c r="R416" s="250"/>
      <c r="S416" s="249"/>
      <c r="T416" s="330"/>
      <c r="U416" s="250"/>
      <c r="V416" s="249"/>
      <c r="W416" s="330"/>
      <c r="X416" s="343"/>
      <c r="Y416" s="249"/>
      <c r="Z416" s="330"/>
      <c r="AA416" s="343"/>
      <c r="AB416" s="249"/>
      <c r="AC416" s="330"/>
      <c r="AD416" s="343"/>
      <c r="AE416" s="249"/>
      <c r="AF416" s="330"/>
      <c r="AG416" s="343"/>
      <c r="AH416" s="249"/>
      <c r="AI416" s="330"/>
      <c r="AJ416" s="343"/>
      <c r="AK416" s="249"/>
      <c r="AL416" s="330"/>
      <c r="AM416" s="343"/>
      <c r="AN416" s="249"/>
      <c r="AO416" s="330"/>
      <c r="AP416" s="343"/>
      <c r="AQ416" s="249"/>
      <c r="AR416" s="330"/>
      <c r="AS416" s="343"/>
      <c r="AT416" s="249"/>
      <c r="AU416" s="330"/>
    </row>
    <row r="417" spans="2:47">
      <c r="B417" s="247">
        <f>'Table S2 Compound Identifiers'!C419</f>
        <v>0</v>
      </c>
      <c r="C417" s="247">
        <f>COUNTIF($D$6:D417,"&lt;&gt;"&amp;"")</f>
        <v>412</v>
      </c>
      <c r="D417" s="247">
        <f>'Table S2 Compound Identifiers'!B419</f>
        <v>0</v>
      </c>
      <c r="E417" s="247"/>
      <c r="F417" s="248"/>
      <c r="G417" s="249"/>
      <c r="H417" s="330"/>
      <c r="I417" s="328"/>
      <c r="J417" s="249"/>
      <c r="K417" s="330"/>
      <c r="L417" s="250"/>
      <c r="M417" s="249"/>
      <c r="N417" s="330"/>
      <c r="O417" s="250"/>
      <c r="P417" s="249"/>
      <c r="Q417" s="330"/>
      <c r="R417" s="250"/>
      <c r="S417" s="249"/>
      <c r="T417" s="330"/>
      <c r="U417" s="250"/>
      <c r="V417" s="249"/>
      <c r="W417" s="330"/>
      <c r="X417" s="343"/>
      <c r="Y417" s="249"/>
      <c r="Z417" s="330"/>
      <c r="AA417" s="343"/>
      <c r="AB417" s="249"/>
      <c r="AC417" s="330"/>
      <c r="AD417" s="343"/>
      <c r="AE417" s="249"/>
      <c r="AF417" s="330"/>
      <c r="AG417" s="343"/>
      <c r="AH417" s="249"/>
      <c r="AI417" s="330"/>
      <c r="AJ417" s="343"/>
      <c r="AK417" s="249"/>
      <c r="AL417" s="330"/>
      <c r="AM417" s="343"/>
      <c r="AN417" s="249"/>
      <c r="AO417" s="330"/>
      <c r="AP417" s="343"/>
      <c r="AQ417" s="249"/>
      <c r="AR417" s="330"/>
      <c r="AS417" s="343"/>
      <c r="AT417" s="249"/>
      <c r="AU417" s="330"/>
    </row>
    <row r="418" spans="2:47">
      <c r="B418" s="247">
        <f>'Table S2 Compound Identifiers'!C420</f>
        <v>0</v>
      </c>
      <c r="C418" s="247">
        <f>COUNTIF($D$6:D418,"&lt;&gt;"&amp;"")</f>
        <v>413</v>
      </c>
      <c r="D418" s="247">
        <f>'Table S2 Compound Identifiers'!B420</f>
        <v>0</v>
      </c>
      <c r="E418" s="247"/>
      <c r="F418" s="248"/>
      <c r="G418" s="249"/>
      <c r="H418" s="330"/>
      <c r="I418" s="328"/>
      <c r="J418" s="249"/>
      <c r="K418" s="330"/>
      <c r="L418" s="250"/>
      <c r="M418" s="249"/>
      <c r="N418" s="330"/>
      <c r="O418" s="250"/>
      <c r="P418" s="249"/>
      <c r="Q418" s="330"/>
      <c r="R418" s="250"/>
      <c r="S418" s="249"/>
      <c r="T418" s="330"/>
      <c r="U418" s="250"/>
      <c r="V418" s="249"/>
      <c r="W418" s="330"/>
      <c r="X418" s="343"/>
      <c r="Y418" s="249"/>
      <c r="Z418" s="330"/>
      <c r="AA418" s="343"/>
      <c r="AB418" s="249"/>
      <c r="AC418" s="330"/>
      <c r="AD418" s="343"/>
      <c r="AE418" s="249"/>
      <c r="AF418" s="330"/>
      <c r="AG418" s="343"/>
      <c r="AH418" s="249"/>
      <c r="AI418" s="330"/>
      <c r="AJ418" s="343"/>
      <c r="AK418" s="249"/>
      <c r="AL418" s="330"/>
      <c r="AM418" s="343"/>
      <c r="AN418" s="249"/>
      <c r="AO418" s="330"/>
      <c r="AP418" s="343"/>
      <c r="AQ418" s="249"/>
      <c r="AR418" s="330"/>
      <c r="AS418" s="343"/>
      <c r="AT418" s="249"/>
      <c r="AU418" s="330"/>
    </row>
    <row r="419" spans="2:47">
      <c r="B419" s="247">
        <f>'Table S2 Compound Identifiers'!C421</f>
        <v>0</v>
      </c>
      <c r="C419" s="247">
        <f>COUNTIF($D$6:D419,"&lt;&gt;"&amp;"")</f>
        <v>414</v>
      </c>
      <c r="D419" s="247">
        <f>'Table S2 Compound Identifiers'!B421</f>
        <v>0</v>
      </c>
      <c r="E419" s="247"/>
      <c r="F419" s="248"/>
      <c r="G419" s="249"/>
      <c r="H419" s="330"/>
      <c r="I419" s="328"/>
      <c r="J419" s="249"/>
      <c r="K419" s="330"/>
      <c r="L419" s="250"/>
      <c r="M419" s="249"/>
      <c r="N419" s="330"/>
      <c r="O419" s="250"/>
      <c r="P419" s="249"/>
      <c r="Q419" s="330"/>
      <c r="R419" s="250"/>
      <c r="S419" s="249"/>
      <c r="T419" s="330"/>
      <c r="U419" s="250"/>
      <c r="V419" s="249"/>
      <c r="W419" s="330"/>
      <c r="X419" s="343"/>
      <c r="Y419" s="249"/>
      <c r="Z419" s="330"/>
      <c r="AA419" s="343"/>
      <c r="AB419" s="249"/>
      <c r="AC419" s="330"/>
      <c r="AD419" s="343"/>
      <c r="AE419" s="249"/>
      <c r="AF419" s="330"/>
      <c r="AG419" s="343"/>
      <c r="AH419" s="249"/>
      <c r="AI419" s="330"/>
      <c r="AJ419" s="343"/>
      <c r="AK419" s="249"/>
      <c r="AL419" s="330"/>
      <c r="AM419" s="343"/>
      <c r="AN419" s="249"/>
      <c r="AO419" s="330"/>
      <c r="AP419" s="343"/>
      <c r="AQ419" s="249"/>
      <c r="AR419" s="330"/>
      <c r="AS419" s="343"/>
      <c r="AT419" s="249"/>
      <c r="AU419" s="330"/>
    </row>
    <row r="420" spans="2:47">
      <c r="B420" s="247">
        <f>'Table S2 Compound Identifiers'!C422</f>
        <v>0</v>
      </c>
      <c r="C420" s="247">
        <f>COUNTIF($D$6:D420,"&lt;&gt;"&amp;"")</f>
        <v>415</v>
      </c>
      <c r="D420" s="247">
        <f>'Table S2 Compound Identifiers'!B422</f>
        <v>0</v>
      </c>
      <c r="E420" s="247"/>
      <c r="F420" s="248"/>
      <c r="G420" s="249"/>
      <c r="H420" s="330"/>
      <c r="I420" s="328"/>
      <c r="J420" s="249"/>
      <c r="K420" s="330"/>
      <c r="L420" s="250"/>
      <c r="M420" s="249"/>
      <c r="N420" s="330"/>
      <c r="O420" s="250"/>
      <c r="P420" s="249"/>
      <c r="Q420" s="330"/>
      <c r="R420" s="250"/>
      <c r="S420" s="249"/>
      <c r="T420" s="330"/>
      <c r="U420" s="250"/>
      <c r="V420" s="249"/>
      <c r="W420" s="330"/>
      <c r="X420" s="343"/>
      <c r="Y420" s="249"/>
      <c r="Z420" s="330"/>
      <c r="AA420" s="343"/>
      <c r="AB420" s="249"/>
      <c r="AC420" s="330"/>
      <c r="AD420" s="343"/>
      <c r="AE420" s="249"/>
      <c r="AF420" s="330"/>
      <c r="AG420" s="343"/>
      <c r="AH420" s="249"/>
      <c r="AI420" s="330"/>
      <c r="AJ420" s="343"/>
      <c r="AK420" s="249"/>
      <c r="AL420" s="330"/>
      <c r="AM420" s="343"/>
      <c r="AN420" s="249"/>
      <c r="AO420" s="330"/>
      <c r="AP420" s="343"/>
      <c r="AQ420" s="249"/>
      <c r="AR420" s="330"/>
      <c r="AS420" s="343"/>
      <c r="AT420" s="249"/>
      <c r="AU420" s="330"/>
    </row>
    <row r="421" spans="2:47">
      <c r="B421" s="247">
        <f>'Table S2 Compound Identifiers'!C423</f>
        <v>0</v>
      </c>
      <c r="C421" s="247">
        <f>COUNTIF($D$6:D421,"&lt;&gt;"&amp;"")</f>
        <v>416</v>
      </c>
      <c r="D421" s="247">
        <f>'Table S2 Compound Identifiers'!B423</f>
        <v>0</v>
      </c>
      <c r="E421" s="247"/>
      <c r="F421" s="248"/>
      <c r="G421" s="249"/>
      <c r="H421" s="330"/>
      <c r="I421" s="328"/>
      <c r="J421" s="249"/>
      <c r="K421" s="330"/>
      <c r="L421" s="250"/>
      <c r="M421" s="249"/>
      <c r="N421" s="330"/>
      <c r="O421" s="250"/>
      <c r="P421" s="249"/>
      <c r="Q421" s="330"/>
      <c r="R421" s="250"/>
      <c r="S421" s="249"/>
      <c r="T421" s="330"/>
      <c r="U421" s="250"/>
      <c r="V421" s="249"/>
      <c r="W421" s="330"/>
      <c r="X421" s="343"/>
      <c r="Y421" s="249"/>
      <c r="Z421" s="330"/>
      <c r="AA421" s="343"/>
      <c r="AB421" s="249"/>
      <c r="AC421" s="330"/>
      <c r="AD421" s="343"/>
      <c r="AE421" s="249"/>
      <c r="AF421" s="330"/>
      <c r="AG421" s="343"/>
      <c r="AH421" s="249"/>
      <c r="AI421" s="330"/>
      <c r="AJ421" s="343"/>
      <c r="AK421" s="249"/>
      <c r="AL421" s="330"/>
      <c r="AM421" s="343"/>
      <c r="AN421" s="249"/>
      <c r="AO421" s="330"/>
      <c r="AP421" s="343"/>
      <c r="AQ421" s="249"/>
      <c r="AR421" s="330"/>
      <c r="AS421" s="343"/>
      <c r="AT421" s="249"/>
      <c r="AU421" s="330"/>
    </row>
    <row r="422" spans="2:47">
      <c r="B422" s="247">
        <f>'Table S2 Compound Identifiers'!C424</f>
        <v>0</v>
      </c>
      <c r="C422" s="247">
        <f>COUNTIF($D$6:D422,"&lt;&gt;"&amp;"")</f>
        <v>417</v>
      </c>
      <c r="D422" s="247">
        <f>'Table S2 Compound Identifiers'!B424</f>
        <v>0</v>
      </c>
      <c r="E422" s="247"/>
      <c r="F422" s="248"/>
      <c r="G422" s="249"/>
      <c r="H422" s="330"/>
      <c r="I422" s="328"/>
      <c r="J422" s="249"/>
      <c r="K422" s="330"/>
      <c r="L422" s="250"/>
      <c r="M422" s="249"/>
      <c r="N422" s="330"/>
      <c r="O422" s="250"/>
      <c r="P422" s="249"/>
      <c r="Q422" s="330"/>
      <c r="R422" s="250"/>
      <c r="S422" s="249"/>
      <c r="T422" s="330"/>
      <c r="U422" s="250"/>
      <c r="V422" s="249"/>
      <c r="W422" s="330"/>
      <c r="X422" s="343"/>
      <c r="Y422" s="249"/>
      <c r="Z422" s="330"/>
      <c r="AA422" s="343"/>
      <c r="AB422" s="249"/>
      <c r="AC422" s="330"/>
      <c r="AD422" s="343"/>
      <c r="AE422" s="249"/>
      <c r="AF422" s="330"/>
      <c r="AG422" s="343"/>
      <c r="AH422" s="249"/>
      <c r="AI422" s="330"/>
      <c r="AJ422" s="343"/>
      <c r="AK422" s="249"/>
      <c r="AL422" s="330"/>
      <c r="AM422" s="343"/>
      <c r="AN422" s="249"/>
      <c r="AO422" s="330"/>
      <c r="AP422" s="343"/>
      <c r="AQ422" s="249"/>
      <c r="AR422" s="330"/>
      <c r="AS422" s="343"/>
      <c r="AT422" s="249"/>
      <c r="AU422" s="330"/>
    </row>
    <row r="423" spans="2:47">
      <c r="B423" s="247">
        <f>'Table S2 Compound Identifiers'!C425</f>
        <v>0</v>
      </c>
      <c r="C423" s="247">
        <f>COUNTIF($D$6:D423,"&lt;&gt;"&amp;"")</f>
        <v>418</v>
      </c>
      <c r="D423" s="247">
        <f>'Table S2 Compound Identifiers'!B425</f>
        <v>0</v>
      </c>
      <c r="E423" s="247"/>
      <c r="F423" s="248"/>
      <c r="G423" s="249"/>
      <c r="H423" s="330"/>
      <c r="I423" s="328"/>
      <c r="J423" s="249"/>
      <c r="K423" s="330"/>
      <c r="L423" s="250"/>
      <c r="M423" s="249"/>
      <c r="N423" s="330"/>
      <c r="O423" s="250"/>
      <c r="P423" s="249"/>
      <c r="Q423" s="330"/>
      <c r="R423" s="250"/>
      <c r="S423" s="249"/>
      <c r="T423" s="330"/>
      <c r="U423" s="250"/>
      <c r="V423" s="249"/>
      <c r="W423" s="330"/>
      <c r="X423" s="343"/>
      <c r="Y423" s="249"/>
      <c r="Z423" s="330"/>
      <c r="AA423" s="343"/>
      <c r="AB423" s="249"/>
      <c r="AC423" s="330"/>
      <c r="AD423" s="343"/>
      <c r="AE423" s="249"/>
      <c r="AF423" s="330"/>
      <c r="AG423" s="343"/>
      <c r="AH423" s="249"/>
      <c r="AI423" s="330"/>
      <c r="AJ423" s="343"/>
      <c r="AK423" s="249"/>
      <c r="AL423" s="330"/>
      <c r="AM423" s="343"/>
      <c r="AN423" s="249"/>
      <c r="AO423" s="330"/>
      <c r="AP423" s="343"/>
      <c r="AQ423" s="249"/>
      <c r="AR423" s="330"/>
      <c r="AS423" s="343"/>
      <c r="AT423" s="249"/>
      <c r="AU423" s="330"/>
    </row>
    <row r="424" spans="2:47">
      <c r="B424" s="247">
        <f>'Table S2 Compound Identifiers'!C426</f>
        <v>0</v>
      </c>
      <c r="C424" s="247">
        <f>COUNTIF($D$6:D424,"&lt;&gt;"&amp;"")</f>
        <v>419</v>
      </c>
      <c r="D424" s="247">
        <f>'Table S2 Compound Identifiers'!B426</f>
        <v>0</v>
      </c>
      <c r="E424" s="247"/>
      <c r="F424" s="248"/>
      <c r="G424" s="249"/>
      <c r="H424" s="330"/>
      <c r="I424" s="328"/>
      <c r="J424" s="249"/>
      <c r="K424" s="330"/>
      <c r="L424" s="250"/>
      <c r="M424" s="249"/>
      <c r="N424" s="330"/>
      <c r="O424" s="250"/>
      <c r="P424" s="249"/>
      <c r="Q424" s="330"/>
      <c r="R424" s="250"/>
      <c r="S424" s="249"/>
      <c r="T424" s="330"/>
      <c r="U424" s="250"/>
      <c r="V424" s="249"/>
      <c r="W424" s="330"/>
      <c r="X424" s="343"/>
      <c r="Y424" s="249"/>
      <c r="Z424" s="330"/>
      <c r="AA424" s="343"/>
      <c r="AB424" s="249"/>
      <c r="AC424" s="330"/>
      <c r="AD424" s="343"/>
      <c r="AE424" s="249"/>
      <c r="AF424" s="330"/>
      <c r="AG424" s="343"/>
      <c r="AH424" s="249"/>
      <c r="AI424" s="330"/>
      <c r="AJ424" s="343"/>
      <c r="AK424" s="249"/>
      <c r="AL424" s="330"/>
      <c r="AM424" s="343"/>
      <c r="AN424" s="249"/>
      <c r="AO424" s="330"/>
      <c r="AP424" s="343"/>
      <c r="AQ424" s="249"/>
      <c r="AR424" s="330"/>
      <c r="AS424" s="343"/>
      <c r="AT424" s="249"/>
      <c r="AU424" s="330"/>
    </row>
    <row r="425" spans="2:47">
      <c r="B425" s="247">
        <f>'Table S2 Compound Identifiers'!C427</f>
        <v>0</v>
      </c>
      <c r="C425" s="247">
        <f>COUNTIF($D$6:D425,"&lt;&gt;"&amp;"")</f>
        <v>420</v>
      </c>
      <c r="D425" s="247">
        <f>'Table S2 Compound Identifiers'!B427</f>
        <v>0</v>
      </c>
      <c r="E425" s="247"/>
      <c r="F425" s="248"/>
      <c r="G425" s="249"/>
      <c r="H425" s="330"/>
      <c r="I425" s="328"/>
      <c r="J425" s="249"/>
      <c r="K425" s="330"/>
      <c r="L425" s="250"/>
      <c r="M425" s="249"/>
      <c r="N425" s="330"/>
      <c r="O425" s="250"/>
      <c r="P425" s="249"/>
      <c r="Q425" s="330"/>
      <c r="R425" s="250"/>
      <c r="S425" s="249"/>
      <c r="T425" s="330"/>
      <c r="U425" s="250"/>
      <c r="V425" s="249"/>
      <c r="W425" s="330"/>
      <c r="X425" s="343"/>
      <c r="Y425" s="249"/>
      <c r="Z425" s="330"/>
      <c r="AA425" s="343"/>
      <c r="AB425" s="249"/>
      <c r="AC425" s="330"/>
      <c r="AD425" s="343"/>
      <c r="AE425" s="249"/>
      <c r="AF425" s="330"/>
      <c r="AG425" s="343"/>
      <c r="AH425" s="249"/>
      <c r="AI425" s="330"/>
      <c r="AJ425" s="343"/>
      <c r="AK425" s="249"/>
      <c r="AL425" s="330"/>
      <c r="AM425" s="343"/>
      <c r="AN425" s="249"/>
      <c r="AO425" s="330"/>
      <c r="AP425" s="343"/>
      <c r="AQ425" s="249"/>
      <c r="AR425" s="330"/>
      <c r="AS425" s="343"/>
      <c r="AT425" s="249"/>
      <c r="AU425" s="330"/>
    </row>
    <row r="426" spans="2:47">
      <c r="B426" s="247">
        <f>'Table S2 Compound Identifiers'!C428</f>
        <v>0</v>
      </c>
      <c r="C426" s="247">
        <f>COUNTIF($D$6:D426,"&lt;&gt;"&amp;"")</f>
        <v>421</v>
      </c>
      <c r="D426" s="247">
        <f>'Table S2 Compound Identifiers'!B428</f>
        <v>0</v>
      </c>
      <c r="E426" s="247"/>
      <c r="F426" s="248"/>
      <c r="G426" s="249"/>
      <c r="H426" s="330"/>
      <c r="I426" s="328"/>
      <c r="J426" s="249"/>
      <c r="K426" s="330"/>
      <c r="L426" s="250"/>
      <c r="M426" s="249"/>
      <c r="N426" s="330"/>
      <c r="O426" s="250"/>
      <c r="P426" s="249"/>
      <c r="Q426" s="330"/>
      <c r="R426" s="250"/>
      <c r="S426" s="249"/>
      <c r="T426" s="330"/>
      <c r="U426" s="250"/>
      <c r="V426" s="249"/>
      <c r="W426" s="330"/>
      <c r="X426" s="343"/>
      <c r="Y426" s="249"/>
      <c r="Z426" s="330"/>
      <c r="AA426" s="343"/>
      <c r="AB426" s="249"/>
      <c r="AC426" s="330"/>
      <c r="AD426" s="343"/>
      <c r="AE426" s="249"/>
      <c r="AF426" s="330"/>
      <c r="AG426" s="343"/>
      <c r="AH426" s="249"/>
      <c r="AI426" s="330"/>
      <c r="AJ426" s="343"/>
      <c r="AK426" s="249"/>
      <c r="AL426" s="330"/>
      <c r="AM426" s="343"/>
      <c r="AN426" s="249"/>
      <c r="AO426" s="330"/>
      <c r="AP426" s="343"/>
      <c r="AQ426" s="249"/>
      <c r="AR426" s="330"/>
      <c r="AS426" s="343"/>
      <c r="AT426" s="249"/>
      <c r="AU426" s="330"/>
    </row>
    <row r="427" spans="2:47">
      <c r="B427" s="247">
        <f>'Table S2 Compound Identifiers'!C429</f>
        <v>0</v>
      </c>
      <c r="C427" s="247">
        <f>COUNTIF($D$6:D427,"&lt;&gt;"&amp;"")</f>
        <v>422</v>
      </c>
      <c r="D427" s="247">
        <f>'Table S2 Compound Identifiers'!B429</f>
        <v>0</v>
      </c>
      <c r="E427" s="247"/>
      <c r="F427" s="248"/>
      <c r="G427" s="249"/>
      <c r="H427" s="330"/>
      <c r="I427" s="328"/>
      <c r="J427" s="249"/>
      <c r="K427" s="330"/>
      <c r="L427" s="250"/>
      <c r="M427" s="249"/>
      <c r="N427" s="330"/>
      <c r="O427" s="250"/>
      <c r="P427" s="249"/>
      <c r="Q427" s="330"/>
      <c r="R427" s="250"/>
      <c r="S427" s="249"/>
      <c r="T427" s="330"/>
      <c r="U427" s="250"/>
      <c r="V427" s="249"/>
      <c r="W427" s="330"/>
      <c r="X427" s="343"/>
      <c r="Y427" s="249"/>
      <c r="Z427" s="330"/>
      <c r="AA427" s="343"/>
      <c r="AB427" s="249"/>
      <c r="AC427" s="330"/>
      <c r="AD427" s="343"/>
      <c r="AE427" s="249"/>
      <c r="AF427" s="330"/>
      <c r="AG427" s="343"/>
      <c r="AH427" s="249"/>
      <c r="AI427" s="330"/>
      <c r="AJ427" s="343"/>
      <c r="AK427" s="249"/>
      <c r="AL427" s="330"/>
      <c r="AM427" s="343"/>
      <c r="AN427" s="249"/>
      <c r="AO427" s="330"/>
      <c r="AP427" s="343"/>
      <c r="AQ427" s="249"/>
      <c r="AR427" s="330"/>
      <c r="AS427" s="343"/>
      <c r="AT427" s="249"/>
      <c r="AU427" s="330"/>
    </row>
    <row r="428" spans="2:47">
      <c r="B428" s="247">
        <f>'Table S2 Compound Identifiers'!C430</f>
        <v>0</v>
      </c>
      <c r="C428" s="247">
        <f>COUNTIF($D$6:D428,"&lt;&gt;"&amp;"")</f>
        <v>423</v>
      </c>
      <c r="D428" s="247">
        <f>'Table S2 Compound Identifiers'!B430</f>
        <v>0</v>
      </c>
      <c r="E428" s="247"/>
      <c r="F428" s="248"/>
      <c r="G428" s="249"/>
      <c r="H428" s="330"/>
      <c r="I428" s="328"/>
      <c r="J428" s="249"/>
      <c r="K428" s="330"/>
      <c r="L428" s="250"/>
      <c r="M428" s="249"/>
      <c r="N428" s="330"/>
      <c r="O428" s="250"/>
      <c r="P428" s="249"/>
      <c r="Q428" s="330"/>
      <c r="R428" s="250"/>
      <c r="S428" s="249"/>
      <c r="T428" s="330"/>
      <c r="U428" s="250"/>
      <c r="V428" s="249"/>
      <c r="W428" s="330"/>
      <c r="X428" s="343"/>
      <c r="Y428" s="249"/>
      <c r="Z428" s="330"/>
      <c r="AA428" s="343"/>
      <c r="AB428" s="249"/>
      <c r="AC428" s="330"/>
      <c r="AD428" s="343"/>
      <c r="AE428" s="249"/>
      <c r="AF428" s="330"/>
      <c r="AG428" s="343"/>
      <c r="AH428" s="249"/>
      <c r="AI428" s="330"/>
      <c r="AJ428" s="343"/>
      <c r="AK428" s="249"/>
      <c r="AL428" s="330"/>
      <c r="AM428" s="343"/>
      <c r="AN428" s="249"/>
      <c r="AO428" s="330"/>
      <c r="AP428" s="343"/>
      <c r="AQ428" s="249"/>
      <c r="AR428" s="330"/>
      <c r="AS428" s="343"/>
      <c r="AT428" s="249"/>
      <c r="AU428" s="330"/>
    </row>
    <row r="429" spans="2:47">
      <c r="B429" s="247">
        <f>'Table S2 Compound Identifiers'!C431</f>
        <v>0</v>
      </c>
      <c r="C429" s="247">
        <f>COUNTIF($D$6:D429,"&lt;&gt;"&amp;"")</f>
        <v>424</v>
      </c>
      <c r="D429" s="247">
        <f>'Table S2 Compound Identifiers'!B431</f>
        <v>0</v>
      </c>
      <c r="E429" s="247"/>
      <c r="F429" s="248"/>
      <c r="G429" s="249"/>
      <c r="H429" s="330"/>
      <c r="I429" s="328"/>
      <c r="J429" s="249"/>
      <c r="K429" s="330"/>
      <c r="L429" s="250"/>
      <c r="M429" s="249"/>
      <c r="N429" s="330"/>
      <c r="O429" s="250"/>
      <c r="P429" s="249"/>
      <c r="Q429" s="330"/>
      <c r="R429" s="250"/>
      <c r="S429" s="249"/>
      <c r="T429" s="330"/>
      <c r="U429" s="250"/>
      <c r="V429" s="249"/>
      <c r="W429" s="330"/>
      <c r="X429" s="343"/>
      <c r="Y429" s="249"/>
      <c r="Z429" s="330"/>
      <c r="AA429" s="343"/>
      <c r="AB429" s="249"/>
      <c r="AC429" s="330"/>
      <c r="AD429" s="343"/>
      <c r="AE429" s="249"/>
      <c r="AF429" s="330"/>
      <c r="AG429" s="343"/>
      <c r="AH429" s="249"/>
      <c r="AI429" s="330"/>
      <c r="AJ429" s="343"/>
      <c r="AK429" s="249"/>
      <c r="AL429" s="330"/>
      <c r="AM429" s="343"/>
      <c r="AN429" s="249"/>
      <c r="AO429" s="330"/>
      <c r="AP429" s="343"/>
      <c r="AQ429" s="249"/>
      <c r="AR429" s="330"/>
      <c r="AS429" s="343"/>
      <c r="AT429" s="249"/>
      <c r="AU429" s="330"/>
    </row>
    <row r="430" spans="2:47">
      <c r="B430" s="247">
        <f>'Table S2 Compound Identifiers'!C432</f>
        <v>0</v>
      </c>
      <c r="C430" s="247">
        <f>COUNTIF($D$6:D430,"&lt;&gt;"&amp;"")</f>
        <v>425</v>
      </c>
      <c r="D430" s="247">
        <f>'Table S2 Compound Identifiers'!B432</f>
        <v>0</v>
      </c>
      <c r="E430" s="247"/>
      <c r="F430" s="248"/>
      <c r="G430" s="249"/>
      <c r="H430" s="330"/>
      <c r="I430" s="328"/>
      <c r="J430" s="249"/>
      <c r="K430" s="330"/>
      <c r="L430" s="250"/>
      <c r="M430" s="249"/>
      <c r="N430" s="330"/>
      <c r="O430" s="250"/>
      <c r="P430" s="249"/>
      <c r="Q430" s="330"/>
      <c r="R430" s="250"/>
      <c r="S430" s="249"/>
      <c r="T430" s="330"/>
      <c r="U430" s="250"/>
      <c r="V430" s="249"/>
      <c r="W430" s="330"/>
      <c r="X430" s="343"/>
      <c r="Y430" s="249"/>
      <c r="Z430" s="330"/>
      <c r="AA430" s="343"/>
      <c r="AB430" s="249"/>
      <c r="AC430" s="330"/>
      <c r="AD430" s="343"/>
      <c r="AE430" s="249"/>
      <c r="AF430" s="330"/>
      <c r="AG430" s="343"/>
      <c r="AH430" s="249"/>
      <c r="AI430" s="330"/>
      <c r="AJ430" s="343"/>
      <c r="AK430" s="249"/>
      <c r="AL430" s="330"/>
      <c r="AM430" s="343"/>
      <c r="AN430" s="249"/>
      <c r="AO430" s="330"/>
      <c r="AP430" s="343"/>
      <c r="AQ430" s="249"/>
      <c r="AR430" s="330"/>
      <c r="AS430" s="343"/>
      <c r="AT430" s="249"/>
      <c r="AU430" s="330"/>
    </row>
    <row r="431" spans="2:47">
      <c r="B431" s="247">
        <f>'Table S2 Compound Identifiers'!C433</f>
        <v>0</v>
      </c>
      <c r="C431" s="247">
        <f>COUNTIF($D$6:D431,"&lt;&gt;"&amp;"")</f>
        <v>426</v>
      </c>
      <c r="D431" s="247">
        <f>'Table S2 Compound Identifiers'!B433</f>
        <v>0</v>
      </c>
      <c r="E431" s="247"/>
      <c r="F431" s="248"/>
      <c r="G431" s="249"/>
      <c r="H431" s="330"/>
      <c r="I431" s="328"/>
      <c r="J431" s="249"/>
      <c r="K431" s="330"/>
      <c r="L431" s="250"/>
      <c r="M431" s="249"/>
      <c r="N431" s="330"/>
      <c r="O431" s="250"/>
      <c r="P431" s="249"/>
      <c r="Q431" s="330"/>
      <c r="R431" s="250"/>
      <c r="S431" s="249"/>
      <c r="T431" s="330"/>
      <c r="U431" s="250"/>
      <c r="V431" s="249"/>
      <c r="W431" s="330"/>
      <c r="X431" s="343"/>
      <c r="Y431" s="249"/>
      <c r="Z431" s="330"/>
      <c r="AA431" s="343"/>
      <c r="AB431" s="249"/>
      <c r="AC431" s="330"/>
      <c r="AD431" s="343"/>
      <c r="AE431" s="249"/>
      <c r="AF431" s="330"/>
      <c r="AG431" s="343"/>
      <c r="AH431" s="249"/>
      <c r="AI431" s="330"/>
      <c r="AJ431" s="343"/>
      <c r="AK431" s="249"/>
      <c r="AL431" s="330"/>
      <c r="AM431" s="343"/>
      <c r="AN431" s="249"/>
      <c r="AO431" s="330"/>
      <c r="AP431" s="343"/>
      <c r="AQ431" s="249"/>
      <c r="AR431" s="330"/>
      <c r="AS431" s="343"/>
      <c r="AT431" s="249"/>
      <c r="AU431" s="330"/>
    </row>
    <row r="432" spans="2:47">
      <c r="B432" s="247">
        <f>'Table S2 Compound Identifiers'!C434</f>
        <v>0</v>
      </c>
      <c r="C432" s="247">
        <f>COUNTIF($D$6:D432,"&lt;&gt;"&amp;"")</f>
        <v>427</v>
      </c>
      <c r="D432" s="432">
        <f>'Table S2 Compound Identifiers'!B434</f>
        <v>0</v>
      </c>
      <c r="E432" s="247"/>
      <c r="F432" s="248"/>
      <c r="G432" s="249"/>
      <c r="H432" s="330"/>
      <c r="I432" s="328"/>
      <c r="J432" s="249"/>
      <c r="K432" s="330"/>
      <c r="L432" s="250"/>
      <c r="M432" s="249"/>
      <c r="N432" s="330"/>
      <c r="O432" s="250"/>
      <c r="P432" s="249"/>
      <c r="Q432" s="330"/>
      <c r="R432" s="250"/>
      <c r="S432" s="249"/>
      <c r="T432" s="330"/>
      <c r="U432" s="250"/>
      <c r="V432" s="249"/>
      <c r="W432" s="330"/>
      <c r="X432" s="343"/>
      <c r="Y432" s="249"/>
      <c r="Z432" s="330"/>
      <c r="AA432" s="343"/>
      <c r="AB432" s="249"/>
      <c r="AC432" s="330"/>
      <c r="AD432" s="343"/>
      <c r="AE432" s="249"/>
      <c r="AF432" s="330"/>
      <c r="AG432" s="343"/>
      <c r="AH432" s="249"/>
      <c r="AI432" s="330"/>
      <c r="AJ432" s="343"/>
      <c r="AK432" s="249"/>
      <c r="AL432" s="330"/>
      <c r="AM432" s="343"/>
      <c r="AN432" s="249"/>
      <c r="AO432" s="330"/>
      <c r="AP432" s="343"/>
      <c r="AQ432" s="249"/>
      <c r="AR432" s="330"/>
      <c r="AS432" s="343"/>
      <c r="AT432" s="249"/>
      <c r="AU432" s="330"/>
    </row>
    <row r="433" spans="2:47">
      <c r="B433" s="247">
        <f>'Table S2 Compound Identifiers'!C435</f>
        <v>0</v>
      </c>
      <c r="C433" s="247">
        <f>COUNTIF($D$6:D433,"&lt;&gt;"&amp;"")</f>
        <v>428</v>
      </c>
      <c r="D433" s="432">
        <f>'Table S2 Compound Identifiers'!B435</f>
        <v>0</v>
      </c>
      <c r="E433" s="247"/>
      <c r="F433" s="248"/>
      <c r="G433" s="249"/>
      <c r="H433" s="330"/>
      <c r="I433" s="328"/>
      <c r="J433" s="249"/>
      <c r="K433" s="330"/>
      <c r="L433" s="250"/>
      <c r="M433" s="249"/>
      <c r="N433" s="330"/>
      <c r="O433" s="250"/>
      <c r="P433" s="249"/>
      <c r="Q433" s="330"/>
      <c r="R433" s="250"/>
      <c r="S433" s="249"/>
      <c r="T433" s="330"/>
      <c r="U433" s="250"/>
      <c r="V433" s="249"/>
      <c r="W433" s="330"/>
      <c r="X433" s="343"/>
      <c r="Y433" s="249"/>
      <c r="Z433" s="330"/>
      <c r="AA433" s="343"/>
      <c r="AB433" s="249"/>
      <c r="AC433" s="330"/>
      <c r="AD433" s="343"/>
      <c r="AE433" s="249"/>
      <c r="AF433" s="330"/>
      <c r="AG433" s="343"/>
      <c r="AH433" s="249"/>
      <c r="AI433" s="330"/>
      <c r="AJ433" s="343"/>
      <c r="AK433" s="249"/>
      <c r="AL433" s="330"/>
      <c r="AM433" s="343"/>
      <c r="AN433" s="249"/>
      <c r="AO433" s="330"/>
      <c r="AP433" s="343"/>
      <c r="AQ433" s="249"/>
      <c r="AR433" s="330"/>
      <c r="AS433" s="343"/>
      <c r="AT433" s="249"/>
      <c r="AU433" s="330"/>
    </row>
    <row r="434" spans="2:47">
      <c r="B434" s="247">
        <f>'Table S2 Compound Identifiers'!C436</f>
        <v>0</v>
      </c>
      <c r="C434" s="247">
        <f>COUNTIF($D$6:D434,"&lt;&gt;"&amp;"")</f>
        <v>429</v>
      </c>
      <c r="D434" s="432">
        <f>'Table S2 Compound Identifiers'!B436</f>
        <v>0</v>
      </c>
      <c r="E434" s="247"/>
      <c r="F434" s="248"/>
      <c r="G434" s="249"/>
      <c r="H434" s="330"/>
      <c r="I434" s="328"/>
      <c r="J434" s="249"/>
      <c r="K434" s="330"/>
      <c r="L434" s="250"/>
      <c r="M434" s="249"/>
      <c r="N434" s="330"/>
      <c r="O434" s="250"/>
      <c r="P434" s="249"/>
      <c r="Q434" s="330"/>
      <c r="R434" s="250"/>
      <c r="S434" s="249"/>
      <c r="T434" s="330"/>
      <c r="U434" s="250"/>
      <c r="V434" s="249"/>
      <c r="W434" s="330"/>
      <c r="X434" s="343"/>
      <c r="Y434" s="249"/>
      <c r="Z434" s="330"/>
      <c r="AA434" s="343"/>
      <c r="AB434" s="249"/>
      <c r="AC434" s="330"/>
      <c r="AD434" s="343"/>
      <c r="AE434" s="249"/>
      <c r="AF434" s="330"/>
      <c r="AG434" s="343"/>
      <c r="AH434" s="249"/>
      <c r="AI434" s="330"/>
      <c r="AJ434" s="343"/>
      <c r="AK434" s="249"/>
      <c r="AL434" s="330"/>
      <c r="AM434" s="343"/>
      <c r="AN434" s="249"/>
      <c r="AO434" s="330"/>
      <c r="AP434" s="343"/>
      <c r="AQ434" s="249"/>
      <c r="AR434" s="330"/>
      <c r="AS434" s="343"/>
      <c r="AT434" s="249"/>
      <c r="AU434" s="330"/>
    </row>
    <row r="435" spans="2:47">
      <c r="B435" s="247">
        <f>'Table S2 Compound Identifiers'!C437</f>
        <v>0</v>
      </c>
      <c r="C435" s="247">
        <f>COUNTIF($D$6:D435,"&lt;&gt;"&amp;"")</f>
        <v>430</v>
      </c>
      <c r="D435" s="432">
        <f>'Table S2 Compound Identifiers'!B437</f>
        <v>0</v>
      </c>
      <c r="E435" s="247"/>
      <c r="F435" s="248"/>
      <c r="G435" s="249"/>
      <c r="H435" s="330"/>
      <c r="I435" s="328"/>
      <c r="J435" s="249"/>
      <c r="K435" s="330"/>
      <c r="L435" s="250"/>
      <c r="M435" s="249"/>
      <c r="N435" s="330"/>
      <c r="O435" s="250"/>
      <c r="P435" s="249"/>
      <c r="Q435" s="330"/>
      <c r="R435" s="250"/>
      <c r="S435" s="249"/>
      <c r="T435" s="330"/>
      <c r="U435" s="250"/>
      <c r="V435" s="249"/>
      <c r="W435" s="330"/>
      <c r="X435" s="343"/>
      <c r="Y435" s="249"/>
      <c r="Z435" s="330"/>
      <c r="AA435" s="343"/>
      <c r="AB435" s="249"/>
      <c r="AC435" s="330"/>
      <c r="AD435" s="343"/>
      <c r="AE435" s="249"/>
      <c r="AF435" s="330"/>
      <c r="AG435" s="343"/>
      <c r="AH435" s="249"/>
      <c r="AI435" s="330"/>
      <c r="AJ435" s="343"/>
      <c r="AK435" s="249"/>
      <c r="AL435" s="330"/>
      <c r="AM435" s="343"/>
      <c r="AN435" s="249"/>
      <c r="AO435" s="330"/>
      <c r="AP435" s="343"/>
      <c r="AQ435" s="249"/>
      <c r="AR435" s="330"/>
      <c r="AS435" s="343"/>
      <c r="AT435" s="249"/>
      <c r="AU435" s="330"/>
    </row>
    <row r="436" spans="2:47">
      <c r="B436" s="247">
        <f>'Table S2 Compound Identifiers'!C438</f>
        <v>0</v>
      </c>
      <c r="C436" s="247">
        <f>COUNTIF($D$6:D436,"&lt;&gt;"&amp;"")</f>
        <v>431</v>
      </c>
      <c r="D436" s="432">
        <f>'Table S2 Compound Identifiers'!B438</f>
        <v>0</v>
      </c>
      <c r="E436" s="247"/>
      <c r="F436" s="248"/>
      <c r="G436" s="249"/>
      <c r="H436" s="330"/>
      <c r="I436" s="328"/>
      <c r="J436" s="249"/>
      <c r="K436" s="330"/>
      <c r="L436" s="250"/>
      <c r="M436" s="249"/>
      <c r="N436" s="330"/>
      <c r="O436" s="250"/>
      <c r="P436" s="249"/>
      <c r="Q436" s="330"/>
      <c r="R436" s="250"/>
      <c r="S436" s="249"/>
      <c r="T436" s="330"/>
      <c r="U436" s="250"/>
      <c r="V436" s="249"/>
      <c r="W436" s="330"/>
      <c r="X436" s="343"/>
      <c r="Y436" s="249"/>
      <c r="Z436" s="330"/>
      <c r="AA436" s="343"/>
      <c r="AB436" s="249"/>
      <c r="AC436" s="330"/>
      <c r="AD436" s="343"/>
      <c r="AE436" s="249"/>
      <c r="AF436" s="330"/>
      <c r="AG436" s="343"/>
      <c r="AH436" s="249"/>
      <c r="AI436" s="330"/>
      <c r="AJ436" s="343"/>
      <c r="AK436" s="249"/>
      <c r="AL436" s="330"/>
      <c r="AM436" s="343"/>
      <c r="AN436" s="249"/>
      <c r="AO436" s="330"/>
      <c r="AP436" s="343"/>
      <c r="AQ436" s="249"/>
      <c r="AR436" s="330"/>
      <c r="AS436" s="343"/>
      <c r="AT436" s="249"/>
      <c r="AU436" s="330"/>
    </row>
    <row r="437" spans="2:47">
      <c r="B437" s="247">
        <f>'Table S2 Compound Identifiers'!C439</f>
        <v>0</v>
      </c>
      <c r="C437" s="247">
        <f>COUNTIF($D$6:D437,"&lt;&gt;"&amp;"")</f>
        <v>432</v>
      </c>
      <c r="D437" s="432">
        <f>'Table S2 Compound Identifiers'!B439</f>
        <v>0</v>
      </c>
      <c r="E437" s="247"/>
      <c r="F437" s="248"/>
      <c r="G437" s="249"/>
      <c r="H437" s="330"/>
      <c r="I437" s="328"/>
      <c r="J437" s="249"/>
      <c r="K437" s="330"/>
      <c r="L437" s="250"/>
      <c r="M437" s="249"/>
      <c r="N437" s="330"/>
      <c r="O437" s="250"/>
      <c r="P437" s="249"/>
      <c r="Q437" s="330"/>
      <c r="R437" s="250"/>
      <c r="S437" s="249"/>
      <c r="T437" s="330"/>
      <c r="U437" s="250"/>
      <c r="V437" s="249"/>
      <c r="W437" s="330"/>
      <c r="X437" s="343"/>
      <c r="Y437" s="249"/>
      <c r="Z437" s="330"/>
      <c r="AA437" s="343"/>
      <c r="AB437" s="249"/>
      <c r="AC437" s="330"/>
      <c r="AD437" s="343"/>
      <c r="AE437" s="249"/>
      <c r="AF437" s="330"/>
      <c r="AG437" s="343"/>
      <c r="AH437" s="249"/>
      <c r="AI437" s="330"/>
      <c r="AJ437" s="343"/>
      <c r="AK437" s="249"/>
      <c r="AL437" s="330"/>
      <c r="AM437" s="343"/>
      <c r="AN437" s="249"/>
      <c r="AO437" s="330"/>
      <c r="AP437" s="343"/>
      <c r="AQ437" s="249"/>
      <c r="AR437" s="330"/>
      <c r="AS437" s="343"/>
      <c r="AT437" s="249"/>
      <c r="AU437" s="330"/>
    </row>
    <row r="438" spans="2:47">
      <c r="B438" s="247">
        <f>'Table S2 Compound Identifiers'!C440</f>
        <v>0</v>
      </c>
      <c r="C438" s="247">
        <f>COUNTIF($D$6:D438,"&lt;&gt;"&amp;"")</f>
        <v>433</v>
      </c>
      <c r="D438" s="432">
        <f>'Table S2 Compound Identifiers'!B440</f>
        <v>0</v>
      </c>
      <c r="E438" s="247"/>
      <c r="F438" s="248"/>
      <c r="G438" s="249"/>
      <c r="H438" s="330"/>
      <c r="I438" s="328"/>
      <c r="J438" s="249"/>
      <c r="K438" s="330"/>
      <c r="L438" s="250"/>
      <c r="M438" s="249"/>
      <c r="N438" s="330"/>
      <c r="O438" s="250"/>
      <c r="P438" s="249"/>
      <c r="Q438" s="330"/>
      <c r="R438" s="250"/>
      <c r="S438" s="249"/>
      <c r="T438" s="330"/>
      <c r="U438" s="250"/>
      <c r="V438" s="249"/>
      <c r="W438" s="330"/>
      <c r="X438" s="343"/>
      <c r="Y438" s="249"/>
      <c r="Z438" s="330"/>
      <c r="AA438" s="343"/>
      <c r="AB438" s="249"/>
      <c r="AC438" s="330"/>
      <c r="AD438" s="343"/>
      <c r="AE438" s="249"/>
      <c r="AF438" s="330"/>
      <c r="AG438" s="343"/>
      <c r="AH438" s="249"/>
      <c r="AI438" s="330"/>
      <c r="AJ438" s="343"/>
      <c r="AK438" s="249"/>
      <c r="AL438" s="330"/>
      <c r="AM438" s="343"/>
      <c r="AN438" s="249"/>
      <c r="AO438" s="330"/>
      <c r="AP438" s="343"/>
      <c r="AQ438" s="249"/>
      <c r="AR438" s="330"/>
      <c r="AS438" s="343"/>
      <c r="AT438" s="249"/>
      <c r="AU438" s="330"/>
    </row>
    <row r="439" spans="2:47">
      <c r="B439" s="247">
        <f>'Table S2 Compound Identifiers'!C441</f>
        <v>0</v>
      </c>
      <c r="C439" s="247">
        <f>COUNTIF($D$6:D439,"&lt;&gt;"&amp;"")</f>
        <v>434</v>
      </c>
      <c r="D439" s="432">
        <f>'Table S2 Compound Identifiers'!B441</f>
        <v>0</v>
      </c>
      <c r="E439" s="247"/>
      <c r="F439" s="248"/>
      <c r="G439" s="249"/>
      <c r="H439" s="330"/>
      <c r="I439" s="328"/>
      <c r="J439" s="249"/>
      <c r="K439" s="330"/>
      <c r="L439" s="250"/>
      <c r="M439" s="249"/>
      <c r="N439" s="330"/>
      <c r="O439" s="250"/>
      <c r="P439" s="249"/>
      <c r="Q439" s="330"/>
      <c r="R439" s="250"/>
      <c r="S439" s="249"/>
      <c r="T439" s="330"/>
      <c r="U439" s="250"/>
      <c r="V439" s="249"/>
      <c r="W439" s="330"/>
      <c r="X439" s="343"/>
      <c r="Y439" s="249"/>
      <c r="Z439" s="330"/>
      <c r="AA439" s="343"/>
      <c r="AB439" s="249"/>
      <c r="AC439" s="330"/>
      <c r="AD439" s="343"/>
      <c r="AE439" s="249"/>
      <c r="AF439" s="330"/>
      <c r="AG439" s="343"/>
      <c r="AH439" s="249"/>
      <c r="AI439" s="330"/>
      <c r="AJ439" s="343"/>
      <c r="AK439" s="249"/>
      <c r="AL439" s="330"/>
      <c r="AM439" s="343"/>
      <c r="AN439" s="249"/>
      <c r="AO439" s="330"/>
      <c r="AP439" s="343"/>
      <c r="AQ439" s="249"/>
      <c r="AR439" s="330"/>
      <c r="AS439" s="343"/>
      <c r="AT439" s="249"/>
      <c r="AU439" s="330"/>
    </row>
    <row r="440" spans="2:47">
      <c r="B440" s="247">
        <f>'Table S2 Compound Identifiers'!C442</f>
        <v>0</v>
      </c>
      <c r="C440" s="247">
        <f>COUNTIF($D$6:D440,"&lt;&gt;"&amp;"")</f>
        <v>435</v>
      </c>
      <c r="D440" s="432">
        <f>'Table S2 Compound Identifiers'!B442</f>
        <v>0</v>
      </c>
      <c r="E440" s="247"/>
      <c r="F440" s="248"/>
      <c r="G440" s="249"/>
      <c r="H440" s="330"/>
      <c r="I440" s="328"/>
      <c r="J440" s="249"/>
      <c r="K440" s="330"/>
      <c r="L440" s="250"/>
      <c r="M440" s="249"/>
      <c r="N440" s="330"/>
      <c r="O440" s="250"/>
      <c r="P440" s="249"/>
      <c r="Q440" s="330"/>
      <c r="R440" s="250"/>
      <c r="S440" s="249"/>
      <c r="T440" s="330"/>
      <c r="U440" s="250"/>
      <c r="V440" s="249"/>
      <c r="W440" s="330"/>
      <c r="X440" s="343"/>
      <c r="Y440" s="249"/>
      <c r="Z440" s="330"/>
      <c r="AA440" s="343"/>
      <c r="AB440" s="249"/>
      <c r="AC440" s="330"/>
      <c r="AD440" s="343"/>
      <c r="AE440" s="249"/>
      <c r="AF440" s="330"/>
      <c r="AG440" s="343"/>
      <c r="AH440" s="249"/>
      <c r="AI440" s="330"/>
      <c r="AJ440" s="343"/>
      <c r="AK440" s="249"/>
      <c r="AL440" s="330"/>
      <c r="AM440" s="343"/>
      <c r="AN440" s="249"/>
      <c r="AO440" s="330"/>
      <c r="AP440" s="343"/>
      <c r="AQ440" s="249"/>
      <c r="AR440" s="330"/>
      <c r="AS440" s="343"/>
      <c r="AT440" s="249"/>
      <c r="AU440" s="330"/>
    </row>
    <row r="441" spans="2:47">
      <c r="B441" s="247">
        <f>'Table S2 Compound Identifiers'!C443</f>
        <v>0</v>
      </c>
      <c r="C441" s="247">
        <f>COUNTIF($D$6:D441,"&lt;&gt;"&amp;"")</f>
        <v>436</v>
      </c>
      <c r="D441" s="432">
        <f>'Table S2 Compound Identifiers'!B443</f>
        <v>0</v>
      </c>
      <c r="E441" s="247"/>
      <c r="F441" s="248"/>
      <c r="G441" s="249"/>
      <c r="H441" s="330"/>
      <c r="I441" s="328"/>
      <c r="J441" s="249"/>
      <c r="K441" s="330"/>
      <c r="L441" s="250"/>
      <c r="M441" s="249"/>
      <c r="N441" s="330"/>
      <c r="O441" s="250"/>
      <c r="P441" s="249"/>
      <c r="Q441" s="330"/>
      <c r="R441" s="250"/>
      <c r="S441" s="249"/>
      <c r="T441" s="330"/>
      <c r="U441" s="250"/>
      <c r="V441" s="249"/>
      <c r="W441" s="330"/>
      <c r="X441" s="343"/>
      <c r="Y441" s="249"/>
      <c r="Z441" s="330"/>
      <c r="AA441" s="343"/>
      <c r="AB441" s="249"/>
      <c r="AC441" s="330"/>
      <c r="AD441" s="343"/>
      <c r="AE441" s="249"/>
      <c r="AF441" s="330"/>
      <c r="AG441" s="343"/>
      <c r="AH441" s="249"/>
      <c r="AI441" s="330"/>
      <c r="AJ441" s="343"/>
      <c r="AK441" s="249"/>
      <c r="AL441" s="330"/>
      <c r="AM441" s="343"/>
      <c r="AN441" s="249"/>
      <c r="AO441" s="330"/>
      <c r="AP441" s="343"/>
      <c r="AQ441" s="249"/>
      <c r="AR441" s="330"/>
      <c r="AS441" s="343"/>
      <c r="AT441" s="249"/>
      <c r="AU441" s="330"/>
    </row>
    <row r="442" spans="2:47">
      <c r="B442" s="247">
        <f>'Table S2 Compound Identifiers'!C444</f>
        <v>0</v>
      </c>
      <c r="C442" s="247">
        <f>COUNTIF($D$6:D442,"&lt;&gt;"&amp;"")</f>
        <v>437</v>
      </c>
      <c r="D442" s="247">
        <f>'Table S2 Compound Identifiers'!B444</f>
        <v>0</v>
      </c>
      <c r="E442" s="247"/>
      <c r="F442" s="248"/>
      <c r="G442" s="249"/>
      <c r="H442" s="330"/>
      <c r="I442" s="328"/>
      <c r="J442" s="249"/>
      <c r="K442" s="330"/>
      <c r="L442" s="250"/>
      <c r="M442" s="249"/>
      <c r="N442" s="330"/>
      <c r="O442" s="250"/>
      <c r="P442" s="249"/>
      <c r="Q442" s="330"/>
      <c r="R442" s="250"/>
      <c r="S442" s="249"/>
      <c r="T442" s="330"/>
      <c r="U442" s="250"/>
      <c r="V442" s="249"/>
      <c r="W442" s="330"/>
      <c r="X442" s="343"/>
      <c r="Y442" s="249"/>
      <c r="Z442" s="330"/>
      <c r="AA442" s="343"/>
      <c r="AB442" s="249"/>
      <c r="AC442" s="330"/>
      <c r="AD442" s="343"/>
      <c r="AE442" s="249"/>
      <c r="AF442" s="330"/>
      <c r="AG442" s="343"/>
      <c r="AH442" s="249"/>
      <c r="AI442" s="330"/>
      <c r="AJ442" s="343"/>
      <c r="AK442" s="249"/>
      <c r="AL442" s="330"/>
      <c r="AM442" s="343"/>
      <c r="AN442" s="249"/>
      <c r="AO442" s="330"/>
      <c r="AP442" s="343"/>
      <c r="AQ442" s="249"/>
      <c r="AR442" s="330"/>
      <c r="AS442" s="343"/>
      <c r="AT442" s="249"/>
      <c r="AU442" s="330"/>
    </row>
    <row r="443" spans="2:47">
      <c r="B443" s="247">
        <f>'Table S2 Compound Identifiers'!C445</f>
        <v>0</v>
      </c>
      <c r="C443" s="247">
        <f>COUNTIF($D$6:D443,"&lt;&gt;"&amp;"")</f>
        <v>438</v>
      </c>
      <c r="D443" s="247">
        <f>'Table S2 Compound Identifiers'!B445</f>
        <v>0</v>
      </c>
      <c r="E443" s="247"/>
      <c r="F443" s="248"/>
      <c r="G443" s="249"/>
      <c r="H443" s="330"/>
      <c r="I443" s="328"/>
      <c r="J443" s="249"/>
      <c r="K443" s="330"/>
      <c r="L443" s="250"/>
      <c r="M443" s="249"/>
      <c r="N443" s="330"/>
      <c r="O443" s="250"/>
      <c r="P443" s="249"/>
      <c r="Q443" s="330"/>
      <c r="R443" s="250"/>
      <c r="S443" s="249"/>
      <c r="T443" s="330"/>
      <c r="U443" s="250"/>
      <c r="V443" s="249"/>
      <c r="W443" s="330"/>
      <c r="X443" s="343"/>
      <c r="Y443" s="249"/>
      <c r="Z443" s="330"/>
      <c r="AA443" s="343"/>
      <c r="AB443" s="249"/>
      <c r="AC443" s="330"/>
      <c r="AD443" s="343"/>
      <c r="AE443" s="249"/>
      <c r="AF443" s="330"/>
      <c r="AG443" s="343"/>
      <c r="AH443" s="249"/>
      <c r="AI443" s="330"/>
      <c r="AJ443" s="343"/>
      <c r="AK443" s="249"/>
      <c r="AL443" s="330"/>
      <c r="AM443" s="343"/>
      <c r="AN443" s="249"/>
      <c r="AO443" s="330"/>
      <c r="AP443" s="343"/>
      <c r="AQ443" s="249"/>
      <c r="AR443" s="330"/>
      <c r="AS443" s="343"/>
      <c r="AT443" s="249"/>
      <c r="AU443" s="330"/>
    </row>
    <row r="444" spans="2:47">
      <c r="B444" s="247">
        <f>'Table S2 Compound Identifiers'!C446</f>
        <v>0</v>
      </c>
      <c r="C444" s="247">
        <f>COUNTIF($D$6:D444,"&lt;&gt;"&amp;"")</f>
        <v>439</v>
      </c>
      <c r="D444" s="247">
        <f>'Table S2 Compound Identifiers'!B446</f>
        <v>0</v>
      </c>
      <c r="E444" s="247"/>
      <c r="F444" s="248"/>
      <c r="G444" s="249"/>
      <c r="H444" s="330"/>
      <c r="I444" s="328"/>
      <c r="J444" s="249"/>
      <c r="K444" s="330"/>
      <c r="L444" s="250"/>
      <c r="M444" s="249"/>
      <c r="N444" s="330"/>
      <c r="O444" s="250"/>
      <c r="P444" s="249"/>
      <c r="Q444" s="330"/>
      <c r="R444" s="250"/>
      <c r="S444" s="249"/>
      <c r="T444" s="330"/>
      <c r="U444" s="250"/>
      <c r="V444" s="249"/>
      <c r="W444" s="330"/>
      <c r="X444" s="343"/>
      <c r="Y444" s="249"/>
      <c r="Z444" s="330"/>
      <c r="AA444" s="343"/>
      <c r="AB444" s="249"/>
      <c r="AC444" s="330"/>
      <c r="AD444" s="343"/>
      <c r="AE444" s="249"/>
      <c r="AF444" s="330"/>
      <c r="AG444" s="343"/>
      <c r="AH444" s="249"/>
      <c r="AI444" s="330"/>
      <c r="AJ444" s="343"/>
      <c r="AK444" s="249"/>
      <c r="AL444" s="330"/>
      <c r="AM444" s="343"/>
      <c r="AN444" s="249"/>
      <c r="AO444" s="330"/>
      <c r="AP444" s="343"/>
      <c r="AQ444" s="249"/>
      <c r="AR444" s="330"/>
      <c r="AS444" s="343"/>
      <c r="AT444" s="249"/>
      <c r="AU444" s="330"/>
    </row>
    <row r="445" spans="2:47">
      <c r="B445" s="247">
        <f>'Table S2 Compound Identifiers'!C447</f>
        <v>0</v>
      </c>
      <c r="C445" s="247">
        <f>COUNTIF($D$6:D445,"&lt;&gt;"&amp;"")</f>
        <v>440</v>
      </c>
      <c r="D445" s="247">
        <f>'Table S2 Compound Identifiers'!B447</f>
        <v>0</v>
      </c>
      <c r="E445" s="247"/>
      <c r="F445" s="248"/>
      <c r="G445" s="249"/>
      <c r="H445" s="330"/>
      <c r="I445" s="328"/>
      <c r="J445" s="249"/>
      <c r="K445" s="330"/>
      <c r="L445" s="250"/>
      <c r="M445" s="249"/>
      <c r="N445" s="330"/>
      <c r="O445" s="250"/>
      <c r="P445" s="249"/>
      <c r="Q445" s="330"/>
      <c r="R445" s="250"/>
      <c r="S445" s="249"/>
      <c r="T445" s="330"/>
      <c r="U445" s="250"/>
      <c r="V445" s="249"/>
      <c r="W445" s="330"/>
      <c r="X445" s="343"/>
      <c r="Y445" s="249"/>
      <c r="Z445" s="330"/>
      <c r="AA445" s="343"/>
      <c r="AB445" s="249"/>
      <c r="AC445" s="330"/>
      <c r="AD445" s="343"/>
      <c r="AE445" s="249"/>
      <c r="AF445" s="330"/>
      <c r="AG445" s="343"/>
      <c r="AH445" s="249"/>
      <c r="AI445" s="330"/>
      <c r="AJ445" s="343"/>
      <c r="AK445" s="249"/>
      <c r="AL445" s="330"/>
      <c r="AM445" s="343"/>
      <c r="AN445" s="249"/>
      <c r="AO445" s="330"/>
      <c r="AP445" s="343"/>
      <c r="AQ445" s="249"/>
      <c r="AR445" s="330"/>
      <c r="AS445" s="343"/>
      <c r="AT445" s="249"/>
      <c r="AU445" s="330"/>
    </row>
    <row r="446" spans="2:47">
      <c r="B446" s="247">
        <f>'Table S2 Compound Identifiers'!C448</f>
        <v>0</v>
      </c>
      <c r="C446" s="247">
        <f>COUNTIF($D$6:D446,"&lt;&gt;"&amp;"")</f>
        <v>441</v>
      </c>
      <c r="D446" s="247">
        <f>'Table S2 Compound Identifiers'!B448</f>
        <v>0</v>
      </c>
      <c r="E446" s="247"/>
      <c r="F446" s="248"/>
      <c r="G446" s="249"/>
      <c r="H446" s="330"/>
      <c r="I446" s="328"/>
      <c r="J446" s="249"/>
      <c r="K446" s="330"/>
      <c r="L446" s="250"/>
      <c r="M446" s="249"/>
      <c r="N446" s="330"/>
      <c r="O446" s="250"/>
      <c r="P446" s="249"/>
      <c r="Q446" s="330"/>
      <c r="R446" s="250"/>
      <c r="S446" s="249"/>
      <c r="T446" s="330"/>
      <c r="U446" s="250"/>
      <c r="V446" s="249"/>
      <c r="W446" s="330"/>
      <c r="X446" s="343"/>
      <c r="Y446" s="249"/>
      <c r="Z446" s="330"/>
      <c r="AA446" s="343"/>
      <c r="AB446" s="249"/>
      <c r="AC446" s="330"/>
      <c r="AD446" s="343"/>
      <c r="AE446" s="249"/>
      <c r="AF446" s="330"/>
      <c r="AG446" s="343"/>
      <c r="AH446" s="249"/>
      <c r="AI446" s="330"/>
      <c r="AJ446" s="343"/>
      <c r="AK446" s="249"/>
      <c r="AL446" s="330"/>
      <c r="AM446" s="343"/>
      <c r="AN446" s="249"/>
      <c r="AO446" s="330"/>
      <c r="AP446" s="343"/>
      <c r="AQ446" s="249"/>
      <c r="AR446" s="330"/>
      <c r="AS446" s="343"/>
      <c r="AT446" s="249"/>
      <c r="AU446" s="330"/>
    </row>
    <row r="447" spans="2:47">
      <c r="B447" s="247">
        <f>'Table S2 Compound Identifiers'!C449</f>
        <v>0</v>
      </c>
      <c r="C447" s="247">
        <f>COUNTIF($D$6:D447,"&lt;&gt;"&amp;"")</f>
        <v>442</v>
      </c>
      <c r="D447" s="247">
        <f>'Table S2 Compound Identifiers'!B449</f>
        <v>0</v>
      </c>
      <c r="E447" s="247"/>
      <c r="F447" s="248"/>
      <c r="G447" s="249"/>
      <c r="H447" s="330"/>
      <c r="I447" s="328"/>
      <c r="J447" s="249"/>
      <c r="K447" s="330"/>
      <c r="L447" s="250"/>
      <c r="M447" s="249"/>
      <c r="N447" s="330"/>
      <c r="O447" s="250"/>
      <c r="P447" s="249"/>
      <c r="Q447" s="330"/>
      <c r="R447" s="250"/>
      <c r="S447" s="249"/>
      <c r="T447" s="330"/>
      <c r="U447" s="250"/>
      <c r="V447" s="249"/>
      <c r="W447" s="330"/>
      <c r="X447" s="343"/>
      <c r="Y447" s="249"/>
      <c r="Z447" s="330"/>
      <c r="AA447" s="343"/>
      <c r="AB447" s="249"/>
      <c r="AC447" s="330"/>
      <c r="AD447" s="343"/>
      <c r="AE447" s="249"/>
      <c r="AF447" s="330"/>
      <c r="AG447" s="343"/>
      <c r="AH447" s="249"/>
      <c r="AI447" s="330"/>
      <c r="AJ447" s="343"/>
      <c r="AK447" s="249"/>
      <c r="AL447" s="330"/>
      <c r="AM447" s="343"/>
      <c r="AN447" s="249"/>
      <c r="AO447" s="330"/>
      <c r="AP447" s="343"/>
      <c r="AQ447" s="249"/>
      <c r="AR447" s="330"/>
      <c r="AS447" s="343"/>
      <c r="AT447" s="249"/>
      <c r="AU447" s="330"/>
    </row>
    <row r="448" spans="2:47">
      <c r="B448" s="247">
        <f>'Table S2 Compound Identifiers'!C450</f>
        <v>0</v>
      </c>
      <c r="C448" s="247">
        <f>COUNTIF($D$6:D448,"&lt;&gt;"&amp;"")</f>
        <v>443</v>
      </c>
      <c r="D448" s="247">
        <f>'Table S2 Compound Identifiers'!B450</f>
        <v>0</v>
      </c>
      <c r="E448" s="247"/>
      <c r="F448" s="248"/>
      <c r="G448" s="249"/>
      <c r="H448" s="330"/>
      <c r="I448" s="328"/>
      <c r="J448" s="249"/>
      <c r="K448" s="330"/>
      <c r="L448" s="250"/>
      <c r="M448" s="249"/>
      <c r="N448" s="330"/>
      <c r="O448" s="251"/>
      <c r="P448" s="252"/>
      <c r="Q448" s="330"/>
      <c r="R448" s="251"/>
      <c r="S448" s="252"/>
      <c r="T448" s="330"/>
      <c r="U448" s="251"/>
      <c r="V448" s="252"/>
      <c r="W448" s="330"/>
      <c r="X448" s="343"/>
      <c r="Y448" s="249"/>
      <c r="Z448" s="330"/>
      <c r="AA448" s="343"/>
      <c r="AB448" s="249"/>
      <c r="AC448" s="330"/>
      <c r="AD448" s="343"/>
      <c r="AE448" s="249"/>
      <c r="AF448" s="330"/>
      <c r="AG448" s="343"/>
      <c r="AH448" s="249"/>
      <c r="AI448" s="330"/>
      <c r="AJ448" s="343"/>
      <c r="AK448" s="249"/>
      <c r="AL448" s="330"/>
      <c r="AM448" s="343"/>
      <c r="AN448" s="249"/>
      <c r="AO448" s="330"/>
      <c r="AP448" s="343"/>
      <c r="AQ448" s="249"/>
      <c r="AR448" s="330"/>
      <c r="AS448" s="343"/>
      <c r="AT448" s="249"/>
      <c r="AU448" s="330"/>
    </row>
    <row r="449" spans="2:47">
      <c r="B449" s="247">
        <f>'Table S2 Compound Identifiers'!C451</f>
        <v>0</v>
      </c>
      <c r="C449" s="253">
        <f>COUNTIF($D$6:D449,"&lt;&gt;"&amp;"")</f>
        <v>444</v>
      </c>
      <c r="D449" s="253">
        <f>'Table S2 Compound Identifiers'!B451</f>
        <v>0</v>
      </c>
      <c r="E449" s="253"/>
      <c r="F449" s="254"/>
      <c r="G449" s="252"/>
      <c r="H449" s="330"/>
      <c r="I449" s="333"/>
      <c r="J449" s="252"/>
      <c r="K449" s="330"/>
      <c r="L449" s="251"/>
      <c r="M449" s="252"/>
      <c r="N449" s="330"/>
      <c r="O449" s="251"/>
      <c r="P449" s="252"/>
      <c r="Q449" s="330"/>
      <c r="R449" s="251"/>
      <c r="S449" s="252"/>
      <c r="T449" s="330"/>
      <c r="U449" s="251"/>
      <c r="V449" s="252"/>
      <c r="W449" s="330"/>
      <c r="X449" s="343"/>
      <c r="Y449" s="249"/>
      <c r="Z449" s="330"/>
      <c r="AA449" s="343"/>
      <c r="AB449" s="249"/>
      <c r="AC449" s="330"/>
      <c r="AD449" s="343"/>
      <c r="AE449" s="249"/>
      <c r="AF449" s="330"/>
      <c r="AG449" s="343"/>
      <c r="AH449" s="249"/>
      <c r="AI449" s="330"/>
      <c r="AJ449" s="343"/>
      <c r="AK449" s="249"/>
      <c r="AL449" s="330"/>
      <c r="AM449" s="343"/>
      <c r="AN449" s="249"/>
      <c r="AO449" s="330"/>
      <c r="AP449" s="343"/>
      <c r="AQ449" s="249"/>
      <c r="AR449" s="330"/>
      <c r="AS449" s="343"/>
      <c r="AT449" s="249"/>
      <c r="AU449" s="330"/>
    </row>
    <row r="450" spans="2:47">
      <c r="B450" s="247">
        <f>'Table S2 Compound Identifiers'!C452</f>
        <v>0</v>
      </c>
      <c r="C450" s="247">
        <f>COUNTIF($D$6:D450,"&lt;&gt;"&amp;"")</f>
        <v>445</v>
      </c>
      <c r="D450" s="247">
        <f>'Table S2 Compound Identifiers'!B452</f>
        <v>0</v>
      </c>
      <c r="E450" s="247"/>
      <c r="F450" s="248"/>
      <c r="G450" s="250"/>
      <c r="H450" s="330"/>
      <c r="I450" s="343"/>
      <c r="J450" s="249"/>
      <c r="K450" s="327"/>
      <c r="L450" s="343"/>
      <c r="M450" s="249"/>
      <c r="N450" s="327"/>
      <c r="O450" s="343"/>
      <c r="P450" s="249"/>
      <c r="Q450" s="327"/>
      <c r="R450" s="343"/>
      <c r="S450" s="249"/>
      <c r="T450" s="327"/>
      <c r="U450" s="343"/>
      <c r="V450" s="249"/>
      <c r="W450" s="327"/>
      <c r="X450" s="343"/>
      <c r="Y450" s="249"/>
      <c r="Z450" s="327"/>
      <c r="AA450" s="343"/>
      <c r="AB450" s="249"/>
      <c r="AC450" s="343"/>
      <c r="AD450" s="343"/>
      <c r="AE450" s="249"/>
      <c r="AF450" s="249"/>
      <c r="AG450" s="343"/>
      <c r="AH450" s="249"/>
      <c r="AI450" s="343"/>
      <c r="AJ450" s="343"/>
      <c r="AK450" s="249"/>
      <c r="AL450" s="249"/>
      <c r="AM450" s="343"/>
      <c r="AN450" s="249"/>
      <c r="AO450" s="343"/>
      <c r="AP450" s="343"/>
      <c r="AQ450" s="249"/>
      <c r="AR450" s="249"/>
      <c r="AS450" s="343"/>
      <c r="AT450" s="249"/>
      <c r="AU450" s="343"/>
    </row>
    <row r="451" spans="2:47">
      <c r="B451" s="247">
        <f>'Table S2 Compound Identifiers'!C453</f>
        <v>0</v>
      </c>
      <c r="C451" s="247">
        <f>COUNTIF($D$6:D451,"&lt;&gt;"&amp;"")</f>
        <v>446</v>
      </c>
      <c r="D451" s="247">
        <f>'Table S2 Compound Identifiers'!B453</f>
        <v>0</v>
      </c>
      <c r="E451" s="247"/>
      <c r="F451" s="248"/>
      <c r="G451" s="249"/>
      <c r="H451" s="330"/>
      <c r="I451" s="332"/>
      <c r="J451" s="330"/>
      <c r="K451" s="330"/>
      <c r="L451" s="330"/>
      <c r="M451" s="330"/>
      <c r="N451" s="330"/>
      <c r="O451" s="330"/>
      <c r="P451" s="330"/>
      <c r="Q451" s="330"/>
      <c r="R451" s="330"/>
      <c r="S451" s="330"/>
      <c r="T451" s="330"/>
      <c r="U451" s="330"/>
      <c r="V451" s="330"/>
      <c r="W451" s="330"/>
      <c r="X451" s="343"/>
      <c r="Y451" s="249"/>
      <c r="Z451" s="330"/>
      <c r="AA451" s="343"/>
      <c r="AB451" s="249"/>
      <c r="AC451" s="330"/>
      <c r="AD451" s="343"/>
      <c r="AE451" s="249"/>
      <c r="AF451" s="330"/>
      <c r="AG451" s="343"/>
      <c r="AH451" s="249"/>
      <c r="AI451" s="330"/>
      <c r="AJ451" s="343"/>
      <c r="AK451" s="249"/>
      <c r="AL451" s="330"/>
      <c r="AM451" s="343"/>
      <c r="AN451" s="249"/>
      <c r="AO451" s="330"/>
      <c r="AP451" s="343"/>
      <c r="AQ451" s="249"/>
      <c r="AR451" s="330"/>
      <c r="AS451" s="343"/>
      <c r="AT451" s="249"/>
      <c r="AU451" s="330"/>
    </row>
    <row r="452" spans="2:47">
      <c r="B452" s="247">
        <f>'Table S2 Compound Identifiers'!C454</f>
        <v>0</v>
      </c>
      <c r="C452" s="247">
        <f>COUNTIF($D$6:D452,"&lt;&gt;"&amp;"")</f>
        <v>447</v>
      </c>
      <c r="D452" s="247">
        <f>'Table S2 Compound Identifiers'!B454</f>
        <v>0</v>
      </c>
      <c r="E452" s="247"/>
      <c r="F452" s="248"/>
      <c r="G452" s="249"/>
      <c r="H452" s="330"/>
      <c r="I452" s="332"/>
      <c r="J452" s="330"/>
      <c r="K452" s="330"/>
      <c r="L452" s="330"/>
      <c r="M452" s="330"/>
      <c r="N452" s="330"/>
      <c r="O452" s="330"/>
      <c r="P452" s="330"/>
      <c r="Q452" s="330"/>
      <c r="R452" s="330"/>
      <c r="S452" s="330"/>
      <c r="T452" s="330"/>
      <c r="U452" s="330"/>
      <c r="V452" s="330"/>
      <c r="W452" s="330"/>
      <c r="X452" s="343"/>
      <c r="Y452" s="249"/>
      <c r="Z452" s="330"/>
      <c r="AA452" s="343"/>
      <c r="AB452" s="249"/>
      <c r="AC452" s="330"/>
      <c r="AD452" s="343"/>
      <c r="AE452" s="249"/>
      <c r="AF452" s="330"/>
      <c r="AG452" s="343"/>
      <c r="AH452" s="249"/>
      <c r="AI452" s="330"/>
      <c r="AJ452" s="343"/>
      <c r="AK452" s="249"/>
      <c r="AL452" s="330"/>
      <c r="AM452" s="343"/>
      <c r="AN452" s="249"/>
      <c r="AO452" s="330"/>
      <c r="AP452" s="343"/>
      <c r="AQ452" s="249"/>
      <c r="AR452" s="330"/>
      <c r="AS452" s="343"/>
      <c r="AT452" s="249"/>
      <c r="AU452" s="330"/>
    </row>
    <row r="453" spans="2:47">
      <c r="B453" s="247">
        <f>'Table S2 Compound Identifiers'!C455</f>
        <v>0</v>
      </c>
      <c r="C453" s="247">
        <f>COUNTIF($D$6:D453,"&lt;&gt;"&amp;"")</f>
        <v>448</v>
      </c>
      <c r="D453" s="247">
        <f>'Table S2 Compound Identifiers'!B455</f>
        <v>0</v>
      </c>
      <c r="E453" s="247"/>
      <c r="F453" s="248"/>
      <c r="G453" s="249"/>
      <c r="H453" s="330"/>
      <c r="I453" s="332"/>
      <c r="J453" s="330"/>
      <c r="K453" s="330"/>
      <c r="L453" s="330"/>
      <c r="M453" s="330"/>
      <c r="N453" s="330"/>
      <c r="O453" s="330"/>
      <c r="P453" s="330"/>
      <c r="Q453" s="330"/>
      <c r="R453" s="330"/>
      <c r="S453" s="330"/>
      <c r="T453" s="330"/>
      <c r="U453" s="330"/>
      <c r="V453" s="330"/>
      <c r="W453" s="330"/>
      <c r="X453" s="343"/>
      <c r="Y453" s="249"/>
      <c r="Z453" s="330"/>
      <c r="AA453" s="343"/>
      <c r="AB453" s="249"/>
      <c r="AC453" s="330"/>
      <c r="AD453" s="343"/>
      <c r="AE453" s="249"/>
      <c r="AF453" s="330"/>
      <c r="AG453" s="343"/>
      <c r="AH453" s="249"/>
      <c r="AI453" s="330"/>
      <c r="AJ453" s="343"/>
      <c r="AK453" s="249"/>
      <c r="AL453" s="330"/>
      <c r="AM453" s="343"/>
      <c r="AN453" s="249"/>
      <c r="AO453" s="330"/>
      <c r="AP453" s="343"/>
      <c r="AQ453" s="249"/>
      <c r="AR453" s="330"/>
      <c r="AS453" s="343"/>
      <c r="AT453" s="249"/>
      <c r="AU453" s="330"/>
    </row>
    <row r="454" spans="2:47">
      <c r="B454" s="247">
        <f>'Table S2 Compound Identifiers'!C456</f>
        <v>0</v>
      </c>
      <c r="C454" s="247">
        <f>COUNTIF($D$6:D454,"&lt;&gt;"&amp;"")</f>
        <v>449</v>
      </c>
      <c r="D454" s="247">
        <f>'Table S2 Compound Identifiers'!B456</f>
        <v>0</v>
      </c>
      <c r="E454" s="247"/>
      <c r="F454" s="248"/>
      <c r="G454" s="249"/>
      <c r="H454" s="330"/>
      <c r="I454" s="328"/>
      <c r="J454" s="249"/>
      <c r="K454" s="330"/>
      <c r="L454" s="250"/>
      <c r="M454" s="249"/>
      <c r="N454" s="330"/>
      <c r="O454" s="250"/>
      <c r="P454" s="249"/>
      <c r="Q454" s="330"/>
      <c r="R454" s="250"/>
      <c r="S454" s="249"/>
      <c r="T454" s="330"/>
      <c r="U454" s="250"/>
      <c r="V454" s="249"/>
      <c r="W454" s="330"/>
      <c r="X454" s="343"/>
      <c r="Y454" s="249"/>
      <c r="Z454" s="330"/>
      <c r="AA454" s="343"/>
      <c r="AB454" s="249"/>
      <c r="AC454" s="330"/>
      <c r="AD454" s="343"/>
      <c r="AE454" s="249"/>
      <c r="AF454" s="330"/>
      <c r="AG454" s="343"/>
      <c r="AH454" s="249"/>
      <c r="AI454" s="330"/>
      <c r="AJ454" s="343"/>
      <c r="AK454" s="249"/>
      <c r="AL454" s="330"/>
      <c r="AM454" s="343"/>
      <c r="AN454" s="249"/>
      <c r="AO454" s="330"/>
      <c r="AP454" s="343"/>
      <c r="AQ454" s="249"/>
      <c r="AR454" s="330"/>
      <c r="AS454" s="343"/>
      <c r="AT454" s="249"/>
      <c r="AU454" s="330"/>
    </row>
    <row r="455" spans="2:47">
      <c r="B455" s="247">
        <f>'Table S2 Compound Identifiers'!C457</f>
        <v>0</v>
      </c>
      <c r="C455" s="247">
        <f>COUNTIF($D$6:D455,"&lt;&gt;"&amp;"")</f>
        <v>450</v>
      </c>
      <c r="D455" s="247">
        <f>'Table S2 Compound Identifiers'!B457</f>
        <v>0</v>
      </c>
      <c r="E455" s="247"/>
      <c r="F455" s="248"/>
      <c r="G455" s="249"/>
      <c r="H455" s="330"/>
      <c r="I455" s="328"/>
      <c r="J455" s="249"/>
      <c r="K455" s="330"/>
      <c r="L455" s="250"/>
      <c r="M455" s="249"/>
      <c r="N455" s="330"/>
      <c r="O455" s="250"/>
      <c r="P455" s="249"/>
      <c r="Q455" s="330"/>
      <c r="R455" s="250"/>
      <c r="S455" s="249"/>
      <c r="T455" s="330"/>
      <c r="U455" s="250"/>
      <c r="V455" s="249"/>
      <c r="W455" s="330"/>
      <c r="X455" s="343"/>
      <c r="Y455" s="249"/>
      <c r="Z455" s="330"/>
      <c r="AA455" s="343"/>
      <c r="AB455" s="249"/>
      <c r="AC455" s="330"/>
      <c r="AD455" s="343"/>
      <c r="AE455" s="249"/>
      <c r="AF455" s="330"/>
      <c r="AG455" s="343"/>
      <c r="AH455" s="249"/>
      <c r="AI455" s="330"/>
      <c r="AJ455" s="343"/>
      <c r="AK455" s="249"/>
      <c r="AL455" s="330"/>
      <c r="AM455" s="343"/>
      <c r="AN455" s="249"/>
      <c r="AO455" s="330"/>
      <c r="AP455" s="343"/>
      <c r="AQ455" s="249"/>
      <c r="AR455" s="330"/>
      <c r="AS455" s="343"/>
      <c r="AT455" s="249"/>
      <c r="AU455" s="330"/>
    </row>
    <row r="456" spans="2:47">
      <c r="B456" s="247">
        <f>'Table S2 Compound Identifiers'!C458</f>
        <v>0</v>
      </c>
      <c r="C456" s="247">
        <f>COUNTIF($D$6:D456,"&lt;&gt;"&amp;"")</f>
        <v>451</v>
      </c>
      <c r="D456" s="247">
        <f>'Table S2 Compound Identifiers'!B458</f>
        <v>0</v>
      </c>
      <c r="E456" s="247"/>
      <c r="F456" s="248"/>
      <c r="G456" s="249"/>
      <c r="H456" s="330"/>
      <c r="I456" s="328"/>
      <c r="J456" s="249"/>
      <c r="K456" s="330"/>
      <c r="L456" s="250"/>
      <c r="M456" s="249"/>
      <c r="N456" s="330"/>
      <c r="O456" s="250"/>
      <c r="P456" s="249"/>
      <c r="Q456" s="330"/>
      <c r="R456" s="250"/>
      <c r="S456" s="249"/>
      <c r="T456" s="330"/>
      <c r="U456" s="250"/>
      <c r="V456" s="249"/>
      <c r="W456" s="330"/>
      <c r="X456" s="343"/>
      <c r="Y456" s="249"/>
      <c r="Z456" s="330"/>
      <c r="AA456" s="343"/>
      <c r="AB456" s="249"/>
      <c r="AC456" s="330"/>
      <c r="AD456" s="343"/>
      <c r="AE456" s="249"/>
      <c r="AF456" s="330"/>
      <c r="AG456" s="343"/>
      <c r="AH456" s="249"/>
      <c r="AI456" s="330"/>
      <c r="AJ456" s="343"/>
      <c r="AK456" s="249"/>
      <c r="AL456" s="330"/>
      <c r="AM456" s="343"/>
      <c r="AN456" s="249"/>
      <c r="AO456" s="330"/>
      <c r="AP456" s="343"/>
      <c r="AQ456" s="249"/>
      <c r="AR456" s="330"/>
      <c r="AS456" s="343"/>
      <c r="AT456" s="249"/>
      <c r="AU456" s="330"/>
    </row>
    <row r="457" spans="2:47">
      <c r="B457" s="247">
        <f>'Table S2 Compound Identifiers'!C459</f>
        <v>0</v>
      </c>
      <c r="C457" s="247">
        <f>COUNTIF($D$6:D457,"&lt;&gt;"&amp;"")</f>
        <v>452</v>
      </c>
      <c r="D457" s="247">
        <f>'Table S2 Compound Identifiers'!B459</f>
        <v>0</v>
      </c>
      <c r="E457" s="247"/>
      <c r="F457" s="248"/>
      <c r="G457" s="249"/>
      <c r="H457" s="330"/>
      <c r="I457" s="328"/>
      <c r="J457" s="249"/>
      <c r="K457" s="330"/>
      <c r="L457" s="250"/>
      <c r="M457" s="249"/>
      <c r="N457" s="330"/>
      <c r="O457" s="250"/>
      <c r="P457" s="249"/>
      <c r="Q457" s="330"/>
      <c r="R457" s="250"/>
      <c r="S457" s="249"/>
      <c r="T457" s="330"/>
      <c r="U457" s="250"/>
      <c r="V457" s="249"/>
      <c r="W457" s="330"/>
      <c r="X457" s="343"/>
      <c r="Y457" s="249"/>
      <c r="Z457" s="330"/>
      <c r="AA457" s="343"/>
      <c r="AB457" s="249"/>
      <c r="AC457" s="330"/>
      <c r="AD457" s="343"/>
      <c r="AE457" s="249"/>
      <c r="AF457" s="330"/>
      <c r="AG457" s="343"/>
      <c r="AH457" s="249"/>
      <c r="AI457" s="330"/>
      <c r="AJ457" s="343"/>
      <c r="AK457" s="249"/>
      <c r="AL457" s="330"/>
      <c r="AM457" s="343"/>
      <c r="AN457" s="249"/>
      <c r="AO457" s="330"/>
      <c r="AP457" s="343"/>
      <c r="AQ457" s="249"/>
      <c r="AR457" s="330"/>
      <c r="AS457" s="343"/>
      <c r="AT457" s="249"/>
      <c r="AU457" s="330"/>
    </row>
    <row r="458" spans="2:47">
      <c r="B458" s="247">
        <f>'Table S2 Compound Identifiers'!C460</f>
        <v>0</v>
      </c>
      <c r="C458" s="247">
        <f>COUNTIF($D$6:D458,"&lt;&gt;"&amp;"")</f>
        <v>453</v>
      </c>
      <c r="D458" s="247">
        <f>'Table S2 Compound Identifiers'!B460</f>
        <v>0</v>
      </c>
      <c r="E458" s="247"/>
      <c r="F458" s="248"/>
      <c r="G458" s="249"/>
      <c r="H458" s="330"/>
      <c r="I458" s="328"/>
      <c r="J458" s="249"/>
      <c r="K458" s="330"/>
      <c r="L458" s="250"/>
      <c r="M458" s="249"/>
      <c r="N458" s="330"/>
      <c r="O458" s="250"/>
      <c r="P458" s="249"/>
      <c r="Q458" s="330"/>
      <c r="R458" s="250"/>
      <c r="S458" s="249"/>
      <c r="T458" s="330"/>
      <c r="U458" s="250"/>
      <c r="V458" s="249"/>
      <c r="W458" s="330"/>
      <c r="X458" s="343"/>
      <c r="Y458" s="249"/>
      <c r="Z458" s="330"/>
      <c r="AA458" s="343"/>
      <c r="AB458" s="249"/>
      <c r="AC458" s="330"/>
      <c r="AD458" s="343"/>
      <c r="AE458" s="249"/>
      <c r="AF458" s="330"/>
      <c r="AG458" s="343"/>
      <c r="AH458" s="249"/>
      <c r="AI458" s="330"/>
      <c r="AJ458" s="343"/>
      <c r="AK458" s="249"/>
      <c r="AL458" s="330"/>
      <c r="AM458" s="343"/>
      <c r="AN458" s="249"/>
      <c r="AO458" s="330"/>
      <c r="AP458" s="343"/>
      <c r="AQ458" s="249"/>
      <c r="AR458" s="330"/>
      <c r="AS458" s="343"/>
      <c r="AT458" s="249"/>
      <c r="AU458" s="330"/>
    </row>
    <row r="459" spans="2:47">
      <c r="B459" s="247">
        <f>'Table S2 Compound Identifiers'!C461</f>
        <v>0</v>
      </c>
      <c r="C459" s="247">
        <f>COUNTIF($D$6:D459,"&lt;&gt;"&amp;"")</f>
        <v>454</v>
      </c>
      <c r="D459" s="247">
        <f>'Table S2 Compound Identifiers'!B461</f>
        <v>0</v>
      </c>
      <c r="E459" s="247"/>
      <c r="F459" s="248"/>
      <c r="G459" s="249"/>
      <c r="H459" s="330"/>
      <c r="I459" s="328"/>
      <c r="J459" s="249"/>
      <c r="K459" s="330"/>
      <c r="L459" s="250"/>
      <c r="M459" s="249"/>
      <c r="N459" s="330"/>
      <c r="O459" s="250"/>
      <c r="P459" s="249"/>
      <c r="Q459" s="330"/>
      <c r="R459" s="250"/>
      <c r="S459" s="249"/>
      <c r="T459" s="330"/>
      <c r="U459" s="250"/>
      <c r="V459" s="249"/>
      <c r="W459" s="330"/>
      <c r="X459" s="343"/>
      <c r="Y459" s="249"/>
      <c r="Z459" s="330"/>
      <c r="AA459" s="343"/>
      <c r="AB459" s="249"/>
      <c r="AC459" s="330"/>
      <c r="AD459" s="343"/>
      <c r="AE459" s="249"/>
      <c r="AF459" s="330"/>
      <c r="AG459" s="343"/>
      <c r="AH459" s="249"/>
      <c r="AI459" s="330"/>
      <c r="AJ459" s="343"/>
      <c r="AK459" s="249"/>
      <c r="AL459" s="330"/>
      <c r="AM459" s="343"/>
      <c r="AN459" s="249"/>
      <c r="AO459" s="330"/>
      <c r="AP459" s="343"/>
      <c r="AQ459" s="249"/>
      <c r="AR459" s="330"/>
      <c r="AS459" s="343"/>
      <c r="AT459" s="249"/>
      <c r="AU459" s="330"/>
    </row>
    <row r="460" spans="2:47">
      <c r="B460" s="247">
        <f>'Table S2 Compound Identifiers'!C462</f>
        <v>0</v>
      </c>
      <c r="C460" s="247">
        <f>COUNTIF($D$6:D460,"&lt;&gt;"&amp;"")</f>
        <v>455</v>
      </c>
      <c r="D460" s="247">
        <f>'Table S2 Compound Identifiers'!B462</f>
        <v>0</v>
      </c>
      <c r="E460" s="247"/>
      <c r="F460" s="248"/>
      <c r="G460" s="249"/>
      <c r="H460" s="330"/>
      <c r="I460" s="328"/>
      <c r="J460" s="249"/>
      <c r="K460" s="330"/>
      <c r="L460" s="250"/>
      <c r="M460" s="249"/>
      <c r="N460" s="330"/>
      <c r="O460" s="250"/>
      <c r="P460" s="249"/>
      <c r="Q460" s="330"/>
      <c r="R460" s="250"/>
      <c r="S460" s="249"/>
      <c r="T460" s="330"/>
      <c r="U460" s="250"/>
      <c r="V460" s="249"/>
      <c r="W460" s="330"/>
      <c r="X460" s="343"/>
      <c r="Y460" s="249"/>
      <c r="Z460" s="330"/>
      <c r="AA460" s="343"/>
      <c r="AB460" s="249"/>
      <c r="AC460" s="330"/>
      <c r="AD460" s="343"/>
      <c r="AE460" s="249"/>
      <c r="AF460" s="330"/>
      <c r="AG460" s="343"/>
      <c r="AH460" s="249"/>
      <c r="AI460" s="330"/>
      <c r="AJ460" s="343"/>
      <c r="AK460" s="249"/>
      <c r="AL460" s="330"/>
      <c r="AM460" s="343"/>
      <c r="AN460" s="249"/>
      <c r="AO460" s="330"/>
      <c r="AP460" s="343"/>
      <c r="AQ460" s="249"/>
      <c r="AR460" s="330"/>
      <c r="AS460" s="343"/>
      <c r="AT460" s="249"/>
      <c r="AU460" s="330"/>
    </row>
    <row r="461" spans="2:47">
      <c r="B461" s="247">
        <f>'Table S2 Compound Identifiers'!C463</f>
        <v>0</v>
      </c>
      <c r="C461" s="247">
        <f>COUNTIF($D$6:D461,"&lt;&gt;"&amp;"")</f>
        <v>456</v>
      </c>
      <c r="D461" s="247">
        <f>'Table S2 Compound Identifiers'!B463</f>
        <v>0</v>
      </c>
      <c r="E461" s="247"/>
      <c r="F461" s="248"/>
      <c r="G461" s="249"/>
      <c r="H461" s="330"/>
      <c r="I461" s="328"/>
      <c r="J461" s="249"/>
      <c r="K461" s="330"/>
      <c r="L461" s="250"/>
      <c r="M461" s="249"/>
      <c r="N461" s="330"/>
      <c r="O461" s="250"/>
      <c r="P461" s="249"/>
      <c r="Q461" s="330"/>
      <c r="R461" s="250"/>
      <c r="S461" s="249"/>
      <c r="T461" s="330"/>
      <c r="U461" s="250"/>
      <c r="V461" s="249"/>
      <c r="W461" s="330"/>
      <c r="X461" s="343"/>
      <c r="Y461" s="249"/>
      <c r="Z461" s="330"/>
      <c r="AA461" s="343"/>
      <c r="AB461" s="249"/>
      <c r="AC461" s="330"/>
      <c r="AD461" s="343"/>
      <c r="AE461" s="249"/>
      <c r="AF461" s="330"/>
      <c r="AG461" s="343"/>
      <c r="AH461" s="249"/>
      <c r="AI461" s="330"/>
      <c r="AJ461" s="343"/>
      <c r="AK461" s="249"/>
      <c r="AL461" s="330"/>
      <c r="AM461" s="343"/>
      <c r="AN461" s="249"/>
      <c r="AO461" s="330"/>
      <c r="AP461" s="343"/>
      <c r="AQ461" s="249"/>
      <c r="AR461" s="330"/>
      <c r="AS461" s="343"/>
      <c r="AT461" s="249"/>
      <c r="AU461" s="330"/>
    </row>
    <row r="462" spans="2:47">
      <c r="B462" s="247">
        <f>'Table S2 Compound Identifiers'!C464</f>
        <v>0</v>
      </c>
      <c r="C462" s="247">
        <f>COUNTIF($D$6:D462,"&lt;&gt;"&amp;"")</f>
        <v>457</v>
      </c>
      <c r="D462" s="247">
        <f>'Table S2 Compound Identifiers'!B464</f>
        <v>0</v>
      </c>
      <c r="E462" s="247"/>
      <c r="F462" s="248"/>
      <c r="G462" s="249"/>
      <c r="H462" s="330"/>
      <c r="I462" s="328"/>
      <c r="J462" s="249"/>
      <c r="K462" s="330"/>
      <c r="L462" s="250"/>
      <c r="M462" s="249"/>
      <c r="N462" s="330"/>
      <c r="O462" s="250"/>
      <c r="P462" s="249"/>
      <c r="Q462" s="330"/>
      <c r="R462" s="250"/>
      <c r="S462" s="249"/>
      <c r="T462" s="330"/>
      <c r="U462" s="250"/>
      <c r="V462" s="249"/>
      <c r="W462" s="330"/>
      <c r="X462" s="343"/>
      <c r="Y462" s="249"/>
      <c r="Z462" s="330"/>
      <c r="AA462" s="343"/>
      <c r="AB462" s="249"/>
      <c r="AC462" s="330"/>
      <c r="AD462" s="343"/>
      <c r="AE462" s="249"/>
      <c r="AF462" s="330"/>
      <c r="AG462" s="343"/>
      <c r="AH462" s="249"/>
      <c r="AI462" s="330"/>
      <c r="AJ462" s="343"/>
      <c r="AK462" s="249"/>
      <c r="AL462" s="330"/>
      <c r="AM462" s="343"/>
      <c r="AN462" s="249"/>
      <c r="AO462" s="330"/>
      <c r="AP462" s="343"/>
      <c r="AQ462" s="249"/>
      <c r="AR462" s="330"/>
      <c r="AS462" s="343"/>
      <c r="AT462" s="249"/>
      <c r="AU462" s="330"/>
    </row>
    <row r="463" spans="2:47">
      <c r="B463" s="247">
        <f>'Table S2 Compound Identifiers'!C465</f>
        <v>0</v>
      </c>
      <c r="C463" s="247">
        <f>COUNTIF($D$6:D463,"&lt;&gt;"&amp;"")</f>
        <v>458</v>
      </c>
      <c r="D463" s="247">
        <f>'Table S2 Compound Identifiers'!B465</f>
        <v>0</v>
      </c>
      <c r="E463" s="247"/>
      <c r="F463" s="248"/>
      <c r="G463" s="249"/>
      <c r="H463" s="330"/>
      <c r="I463" s="328"/>
      <c r="J463" s="249"/>
      <c r="K463" s="330"/>
      <c r="L463" s="250"/>
      <c r="M463" s="249"/>
      <c r="N463" s="330"/>
      <c r="O463" s="250"/>
      <c r="P463" s="249"/>
      <c r="Q463" s="330"/>
      <c r="R463" s="250"/>
      <c r="S463" s="249"/>
      <c r="T463" s="330"/>
      <c r="U463" s="250"/>
      <c r="V463" s="249"/>
      <c r="W463" s="330"/>
      <c r="X463" s="343"/>
      <c r="Y463" s="249"/>
      <c r="Z463" s="330"/>
      <c r="AA463" s="343"/>
      <c r="AB463" s="249"/>
      <c r="AC463" s="330"/>
      <c r="AD463" s="343"/>
      <c r="AE463" s="249"/>
      <c r="AF463" s="330"/>
      <c r="AG463" s="343"/>
      <c r="AH463" s="249"/>
      <c r="AI463" s="330"/>
      <c r="AJ463" s="343"/>
      <c r="AK463" s="249"/>
      <c r="AL463" s="330"/>
      <c r="AM463" s="343"/>
      <c r="AN463" s="249"/>
      <c r="AO463" s="330"/>
      <c r="AP463" s="343"/>
      <c r="AQ463" s="249"/>
      <c r="AR463" s="330"/>
      <c r="AS463" s="343"/>
      <c r="AT463" s="249"/>
      <c r="AU463" s="330"/>
    </row>
    <row r="464" spans="2:47">
      <c r="B464" s="247">
        <f>'Table S2 Compound Identifiers'!C466</f>
        <v>0</v>
      </c>
      <c r="C464" s="247">
        <f>COUNTIF($D$6:D464,"&lt;&gt;"&amp;"")</f>
        <v>459</v>
      </c>
      <c r="D464" s="247">
        <f>'Table S2 Compound Identifiers'!B466</f>
        <v>0</v>
      </c>
      <c r="E464" s="247"/>
      <c r="F464" s="248"/>
      <c r="G464" s="249"/>
      <c r="H464" s="330"/>
      <c r="I464" s="328"/>
      <c r="J464" s="249"/>
      <c r="K464" s="330"/>
      <c r="L464" s="250"/>
      <c r="M464" s="249"/>
      <c r="N464" s="330"/>
      <c r="O464" s="250"/>
      <c r="P464" s="249"/>
      <c r="Q464" s="330"/>
      <c r="R464" s="250"/>
      <c r="S464" s="249"/>
      <c r="T464" s="330"/>
      <c r="U464" s="250"/>
      <c r="V464" s="249"/>
      <c r="W464" s="330"/>
      <c r="X464" s="343"/>
      <c r="Y464" s="249"/>
      <c r="Z464" s="330"/>
      <c r="AA464" s="343"/>
      <c r="AB464" s="249"/>
      <c r="AC464" s="330"/>
      <c r="AD464" s="343"/>
      <c r="AE464" s="249"/>
      <c r="AF464" s="330"/>
      <c r="AG464" s="343"/>
      <c r="AH464" s="249"/>
      <c r="AI464" s="330"/>
      <c r="AJ464" s="343"/>
      <c r="AK464" s="249"/>
      <c r="AL464" s="330"/>
      <c r="AM464" s="343"/>
      <c r="AN464" s="249"/>
      <c r="AO464" s="330"/>
      <c r="AP464" s="343"/>
      <c r="AQ464" s="249"/>
      <c r="AR464" s="330"/>
      <c r="AS464" s="343"/>
      <c r="AT464" s="249"/>
      <c r="AU464" s="330"/>
    </row>
    <row r="465" spans="2:47">
      <c r="B465" s="247">
        <f>'Table S2 Compound Identifiers'!C467</f>
        <v>0</v>
      </c>
      <c r="C465" s="247">
        <f>COUNTIF($D$6:D465,"&lt;&gt;"&amp;"")</f>
        <v>460</v>
      </c>
      <c r="D465" s="247">
        <f>'Table S2 Compound Identifiers'!B467</f>
        <v>0</v>
      </c>
      <c r="E465" s="247"/>
      <c r="F465" s="248"/>
      <c r="G465" s="249"/>
      <c r="H465" s="330"/>
      <c r="I465" s="328"/>
      <c r="J465" s="249"/>
      <c r="K465" s="330"/>
      <c r="L465" s="250"/>
      <c r="M465" s="249"/>
      <c r="N465" s="330"/>
      <c r="O465" s="250"/>
      <c r="P465" s="249"/>
      <c r="Q465" s="330"/>
      <c r="R465" s="250"/>
      <c r="S465" s="249"/>
      <c r="T465" s="330"/>
      <c r="U465" s="250"/>
      <c r="V465" s="249"/>
      <c r="W465" s="330"/>
      <c r="X465" s="343"/>
      <c r="Y465" s="249"/>
      <c r="Z465" s="330"/>
      <c r="AA465" s="343"/>
      <c r="AB465" s="249"/>
      <c r="AC465" s="330"/>
      <c r="AD465" s="343"/>
      <c r="AE465" s="249"/>
      <c r="AF465" s="330"/>
      <c r="AG465" s="343"/>
      <c r="AH465" s="249"/>
      <c r="AI465" s="330"/>
      <c r="AJ465" s="343"/>
      <c r="AK465" s="249"/>
      <c r="AL465" s="330"/>
      <c r="AM465" s="343"/>
      <c r="AN465" s="249"/>
      <c r="AO465" s="330"/>
      <c r="AP465" s="343"/>
      <c r="AQ465" s="249"/>
      <c r="AR465" s="330"/>
      <c r="AS465" s="343"/>
      <c r="AT465" s="249"/>
      <c r="AU465" s="330"/>
    </row>
    <row r="466" spans="2:47">
      <c r="B466" s="247">
        <f>'Table S2 Compound Identifiers'!C468</f>
        <v>0</v>
      </c>
      <c r="C466" s="247">
        <f>COUNTIF($D$6:D466,"&lt;&gt;"&amp;"")</f>
        <v>461</v>
      </c>
      <c r="D466" s="247">
        <f>'Table S2 Compound Identifiers'!B468</f>
        <v>0</v>
      </c>
      <c r="E466" s="247"/>
      <c r="F466" s="248"/>
      <c r="G466" s="249"/>
      <c r="H466" s="330"/>
      <c r="I466" s="328"/>
      <c r="J466" s="249"/>
      <c r="K466" s="330"/>
      <c r="L466" s="250"/>
      <c r="M466" s="249"/>
      <c r="N466" s="330"/>
      <c r="O466" s="250"/>
      <c r="P466" s="249"/>
      <c r="Q466" s="330"/>
      <c r="R466" s="250"/>
      <c r="S466" s="249"/>
      <c r="T466" s="330"/>
      <c r="U466" s="250"/>
      <c r="V466" s="249"/>
      <c r="W466" s="330"/>
      <c r="X466" s="343"/>
      <c r="Y466" s="249"/>
      <c r="Z466" s="330"/>
      <c r="AA466" s="343"/>
      <c r="AB466" s="249"/>
      <c r="AC466" s="330"/>
      <c r="AD466" s="343"/>
      <c r="AE466" s="249"/>
      <c r="AF466" s="330"/>
      <c r="AG466" s="343"/>
      <c r="AH466" s="249"/>
      <c r="AI466" s="330"/>
      <c r="AJ466" s="343"/>
      <c r="AK466" s="249"/>
      <c r="AL466" s="330"/>
      <c r="AM466" s="343"/>
      <c r="AN466" s="249"/>
      <c r="AO466" s="330"/>
      <c r="AP466" s="343"/>
      <c r="AQ466" s="249"/>
      <c r="AR466" s="330"/>
      <c r="AS466" s="343"/>
      <c r="AT466" s="249"/>
      <c r="AU466" s="330"/>
    </row>
    <row r="467" spans="2:47">
      <c r="B467" s="247">
        <f>'Table S2 Compound Identifiers'!C469</f>
        <v>0</v>
      </c>
      <c r="C467" s="247">
        <f>COUNTIF($D$6:D467,"&lt;&gt;"&amp;"")</f>
        <v>462</v>
      </c>
      <c r="D467" s="247">
        <f>'Table S2 Compound Identifiers'!B469</f>
        <v>0</v>
      </c>
      <c r="E467" s="247"/>
      <c r="F467" s="248"/>
      <c r="G467" s="249"/>
      <c r="H467" s="330"/>
      <c r="I467" s="328"/>
      <c r="J467" s="249"/>
      <c r="K467" s="330"/>
      <c r="L467" s="250"/>
      <c r="M467" s="249"/>
      <c r="N467" s="330"/>
      <c r="O467" s="250"/>
      <c r="P467" s="249"/>
      <c r="Q467" s="330"/>
      <c r="R467" s="250"/>
      <c r="S467" s="249"/>
      <c r="T467" s="330"/>
      <c r="U467" s="250"/>
      <c r="V467" s="249"/>
      <c r="W467" s="330"/>
      <c r="X467" s="343"/>
      <c r="Y467" s="249"/>
      <c r="Z467" s="330"/>
      <c r="AA467" s="343"/>
      <c r="AB467" s="249"/>
      <c r="AC467" s="330"/>
      <c r="AD467" s="343"/>
      <c r="AE467" s="249"/>
      <c r="AF467" s="330"/>
      <c r="AG467" s="343"/>
      <c r="AH467" s="249"/>
      <c r="AI467" s="330"/>
      <c r="AJ467" s="343"/>
      <c r="AK467" s="249"/>
      <c r="AL467" s="330"/>
      <c r="AM467" s="343"/>
      <c r="AN467" s="249"/>
      <c r="AO467" s="330"/>
      <c r="AP467" s="343"/>
      <c r="AQ467" s="249"/>
      <c r="AR467" s="330"/>
      <c r="AS467" s="343"/>
      <c r="AT467" s="249"/>
      <c r="AU467" s="330"/>
    </row>
    <row r="468" spans="2:47">
      <c r="B468" s="247">
        <f>'Table S2 Compound Identifiers'!C470</f>
        <v>0</v>
      </c>
      <c r="C468" s="247">
        <f>COUNTIF($D$6:D468,"&lt;&gt;"&amp;"")</f>
        <v>463</v>
      </c>
      <c r="D468" s="247">
        <f>'Table S2 Compound Identifiers'!B470</f>
        <v>0</v>
      </c>
      <c r="E468" s="247"/>
      <c r="F468" s="248"/>
      <c r="G468" s="249"/>
      <c r="H468" s="330"/>
      <c r="I468" s="328"/>
      <c r="J468" s="249"/>
      <c r="K468" s="330"/>
      <c r="L468" s="250"/>
      <c r="M468" s="249"/>
      <c r="N468" s="330"/>
      <c r="O468" s="250"/>
      <c r="P468" s="249"/>
      <c r="Q468" s="330"/>
      <c r="R468" s="250"/>
      <c r="S468" s="249"/>
      <c r="T468" s="330"/>
      <c r="U468" s="250"/>
      <c r="V468" s="249"/>
      <c r="W468" s="330"/>
      <c r="X468" s="343"/>
      <c r="Y468" s="249"/>
      <c r="Z468" s="330"/>
      <c r="AA468" s="343"/>
      <c r="AB468" s="249"/>
      <c r="AC468" s="330"/>
      <c r="AD468" s="343"/>
      <c r="AE468" s="249"/>
      <c r="AF468" s="330"/>
      <c r="AG468" s="343"/>
      <c r="AH468" s="249"/>
      <c r="AI468" s="330"/>
      <c r="AJ468" s="343"/>
      <c r="AK468" s="249"/>
      <c r="AL468" s="330"/>
      <c r="AM468" s="343"/>
      <c r="AN468" s="249"/>
      <c r="AO468" s="330"/>
      <c r="AP468" s="343"/>
      <c r="AQ468" s="249"/>
      <c r="AR468" s="330"/>
      <c r="AS468" s="343"/>
      <c r="AT468" s="249"/>
      <c r="AU468" s="330"/>
    </row>
    <row r="469" spans="2:47">
      <c r="B469" s="247">
        <f>'Table S2 Compound Identifiers'!C471</f>
        <v>0</v>
      </c>
      <c r="C469" s="247">
        <f>COUNTIF($D$6:D469,"&lt;&gt;"&amp;"")</f>
        <v>464</v>
      </c>
      <c r="D469" s="247">
        <f>'Table S2 Compound Identifiers'!B471</f>
        <v>0</v>
      </c>
      <c r="E469" s="247"/>
      <c r="F469" s="248"/>
      <c r="G469" s="249"/>
      <c r="H469" s="330"/>
      <c r="I469" s="328"/>
      <c r="J469" s="249"/>
      <c r="K469" s="330"/>
      <c r="L469" s="250"/>
      <c r="M469" s="249"/>
      <c r="N469" s="330"/>
      <c r="O469" s="250"/>
      <c r="P469" s="249"/>
      <c r="Q469" s="330"/>
      <c r="R469" s="250"/>
      <c r="S469" s="249"/>
      <c r="T469" s="330"/>
      <c r="U469" s="250"/>
      <c r="V469" s="249"/>
      <c r="W469" s="330"/>
      <c r="X469" s="343"/>
      <c r="Y469" s="249"/>
      <c r="Z469" s="330"/>
      <c r="AA469" s="343"/>
      <c r="AB469" s="249"/>
      <c r="AC469" s="330"/>
      <c r="AD469" s="343"/>
      <c r="AE469" s="249"/>
      <c r="AF469" s="330"/>
      <c r="AG469" s="343"/>
      <c r="AH469" s="249"/>
      <c r="AI469" s="330"/>
      <c r="AJ469" s="343"/>
      <c r="AK469" s="249"/>
      <c r="AL469" s="330"/>
      <c r="AM469" s="343"/>
      <c r="AN469" s="249"/>
      <c r="AO469" s="330"/>
      <c r="AP469" s="343"/>
      <c r="AQ469" s="249"/>
      <c r="AR469" s="330"/>
      <c r="AS469" s="343"/>
      <c r="AT469" s="249"/>
      <c r="AU469" s="330"/>
    </row>
    <row r="470" spans="2:47">
      <c r="B470" s="247">
        <f>'Table S2 Compound Identifiers'!C472</f>
        <v>0</v>
      </c>
      <c r="C470" s="247">
        <f>COUNTIF($D$6:D470,"&lt;&gt;"&amp;"")</f>
        <v>465</v>
      </c>
      <c r="D470" s="247">
        <f>'Table S2 Compound Identifiers'!B472</f>
        <v>0</v>
      </c>
      <c r="E470" s="247"/>
      <c r="F470" s="248"/>
      <c r="G470" s="249"/>
      <c r="H470" s="330"/>
      <c r="I470" s="328"/>
      <c r="J470" s="249"/>
      <c r="K470" s="330"/>
      <c r="L470" s="250"/>
      <c r="M470" s="249"/>
      <c r="N470" s="330"/>
      <c r="O470" s="250"/>
      <c r="P470" s="249"/>
      <c r="Q470" s="330"/>
      <c r="R470" s="250"/>
      <c r="S470" s="249"/>
      <c r="T470" s="330"/>
      <c r="U470" s="250"/>
      <c r="V470" s="249"/>
      <c r="W470" s="330"/>
      <c r="X470" s="343"/>
      <c r="Y470" s="249"/>
      <c r="Z470" s="330"/>
      <c r="AA470" s="343"/>
      <c r="AB470" s="249"/>
      <c r="AC470" s="330"/>
      <c r="AD470" s="343"/>
      <c r="AE470" s="249"/>
      <c r="AF470" s="330"/>
      <c r="AG470" s="343"/>
      <c r="AH470" s="249"/>
      <c r="AI470" s="330"/>
      <c r="AJ470" s="343"/>
      <c r="AK470" s="249"/>
      <c r="AL470" s="330"/>
      <c r="AM470" s="343"/>
      <c r="AN470" s="249"/>
      <c r="AO470" s="330"/>
      <c r="AP470" s="343"/>
      <c r="AQ470" s="249"/>
      <c r="AR470" s="330"/>
      <c r="AS470" s="343"/>
      <c r="AT470" s="249"/>
      <c r="AU470" s="330"/>
    </row>
    <row r="471" spans="2:47">
      <c r="B471" s="247">
        <f>'Table S2 Compound Identifiers'!C473</f>
        <v>0</v>
      </c>
      <c r="C471" s="247">
        <f>COUNTIF($D$6:D471,"&lt;&gt;"&amp;"")</f>
        <v>466</v>
      </c>
      <c r="D471" s="247">
        <f>'Table S2 Compound Identifiers'!B473</f>
        <v>0</v>
      </c>
      <c r="E471" s="247"/>
      <c r="F471" s="248"/>
      <c r="G471" s="249"/>
      <c r="H471" s="330"/>
      <c r="I471" s="328"/>
      <c r="J471" s="249"/>
      <c r="K471" s="330"/>
      <c r="L471" s="250"/>
      <c r="M471" s="249"/>
      <c r="N471" s="330"/>
      <c r="O471" s="250"/>
      <c r="P471" s="249"/>
      <c r="Q471" s="330"/>
      <c r="R471" s="250"/>
      <c r="S471" s="249"/>
      <c r="T471" s="330"/>
      <c r="U471" s="250"/>
      <c r="V471" s="249"/>
      <c r="W471" s="330"/>
      <c r="X471" s="343"/>
      <c r="Y471" s="249"/>
      <c r="Z471" s="330"/>
      <c r="AA471" s="343"/>
      <c r="AB471" s="249"/>
      <c r="AC471" s="330"/>
      <c r="AD471" s="343"/>
      <c r="AE471" s="249"/>
      <c r="AF471" s="330"/>
      <c r="AG471" s="343"/>
      <c r="AH471" s="249"/>
      <c r="AI471" s="330"/>
      <c r="AJ471" s="343"/>
      <c r="AK471" s="249"/>
      <c r="AL471" s="330"/>
      <c r="AM471" s="343"/>
      <c r="AN471" s="249"/>
      <c r="AO471" s="330"/>
      <c r="AP471" s="343"/>
      <c r="AQ471" s="249"/>
      <c r="AR471" s="330"/>
      <c r="AS471" s="343"/>
      <c r="AT471" s="249"/>
      <c r="AU471" s="330"/>
    </row>
    <row r="472" spans="2:47">
      <c r="B472" s="247">
        <f>'Table S2 Compound Identifiers'!C474</f>
        <v>0</v>
      </c>
      <c r="C472" s="247">
        <f>COUNTIF($D$6:D472,"&lt;&gt;"&amp;"")</f>
        <v>467</v>
      </c>
      <c r="D472" s="247">
        <f>'Table S2 Compound Identifiers'!B474</f>
        <v>0</v>
      </c>
      <c r="E472" s="247"/>
      <c r="F472" s="248"/>
      <c r="G472" s="249"/>
      <c r="H472" s="330"/>
      <c r="I472" s="328"/>
      <c r="J472" s="249"/>
      <c r="K472" s="330"/>
      <c r="L472" s="250"/>
      <c r="M472" s="249"/>
      <c r="N472" s="330"/>
      <c r="O472" s="250"/>
      <c r="P472" s="249"/>
      <c r="Q472" s="330"/>
      <c r="R472" s="250"/>
      <c r="S472" s="249"/>
      <c r="T472" s="330"/>
      <c r="U472" s="250"/>
      <c r="V472" s="249"/>
      <c r="W472" s="330"/>
      <c r="X472" s="343"/>
      <c r="Y472" s="249"/>
      <c r="Z472" s="330"/>
      <c r="AA472" s="343"/>
      <c r="AB472" s="249"/>
      <c r="AC472" s="330"/>
      <c r="AD472" s="343"/>
      <c r="AE472" s="249"/>
      <c r="AF472" s="330"/>
      <c r="AG472" s="343"/>
      <c r="AH472" s="249"/>
      <c r="AI472" s="330"/>
      <c r="AJ472" s="343"/>
      <c r="AK472" s="249"/>
      <c r="AL472" s="330"/>
      <c r="AM472" s="343"/>
      <c r="AN472" s="249"/>
      <c r="AO472" s="330"/>
      <c r="AP472" s="343"/>
      <c r="AQ472" s="249"/>
      <c r="AR472" s="330"/>
      <c r="AS472" s="343"/>
      <c r="AT472" s="249"/>
      <c r="AU472" s="330"/>
    </row>
    <row r="473" spans="2:47">
      <c r="B473" s="247">
        <f>'Table S2 Compound Identifiers'!C475</f>
        <v>0</v>
      </c>
      <c r="C473" s="247">
        <f>COUNTIF($D$6:D473,"&lt;&gt;"&amp;"")</f>
        <v>468</v>
      </c>
      <c r="D473" s="247">
        <f>'Table S2 Compound Identifiers'!B475</f>
        <v>0</v>
      </c>
      <c r="E473" s="247"/>
      <c r="F473" s="248"/>
      <c r="G473" s="249"/>
      <c r="H473" s="330"/>
      <c r="I473" s="328"/>
      <c r="J473" s="249"/>
      <c r="K473" s="330"/>
      <c r="L473" s="250"/>
      <c r="M473" s="249"/>
      <c r="N473" s="330"/>
      <c r="O473" s="250"/>
      <c r="P473" s="249"/>
      <c r="Q473" s="330"/>
      <c r="R473" s="250"/>
      <c r="S473" s="249"/>
      <c r="T473" s="330"/>
      <c r="U473" s="250"/>
      <c r="V473" s="249"/>
      <c r="W473" s="330"/>
      <c r="X473" s="343"/>
      <c r="Y473" s="249"/>
      <c r="Z473" s="330"/>
      <c r="AA473" s="343"/>
      <c r="AB473" s="249"/>
      <c r="AC473" s="330"/>
      <c r="AD473" s="343"/>
      <c r="AE473" s="249"/>
      <c r="AF473" s="330"/>
      <c r="AG473" s="343"/>
      <c r="AH473" s="249"/>
      <c r="AI473" s="330"/>
      <c r="AJ473" s="343"/>
      <c r="AK473" s="249"/>
      <c r="AL473" s="330"/>
      <c r="AM473" s="343"/>
      <c r="AN473" s="249"/>
      <c r="AO473" s="330"/>
      <c r="AP473" s="343"/>
      <c r="AQ473" s="249"/>
      <c r="AR473" s="330"/>
      <c r="AS473" s="343"/>
      <c r="AT473" s="249"/>
      <c r="AU473" s="330"/>
    </row>
    <row r="474" spans="2:47">
      <c r="B474" s="247">
        <f>'Table S2 Compound Identifiers'!C476</f>
        <v>0</v>
      </c>
      <c r="C474" s="247">
        <f>COUNTIF($D$6:D474,"&lt;&gt;"&amp;"")</f>
        <v>469</v>
      </c>
      <c r="D474" s="247">
        <f>'Table S2 Compound Identifiers'!B476</f>
        <v>0</v>
      </c>
      <c r="E474" s="247"/>
      <c r="F474" s="248"/>
      <c r="G474" s="249"/>
      <c r="H474" s="330"/>
      <c r="I474" s="328"/>
      <c r="J474" s="249"/>
      <c r="K474" s="330"/>
      <c r="L474" s="250"/>
      <c r="M474" s="249"/>
      <c r="N474" s="330"/>
      <c r="O474" s="250"/>
      <c r="P474" s="249"/>
      <c r="Q474" s="330"/>
      <c r="R474" s="250"/>
      <c r="S474" s="249"/>
      <c r="T474" s="330"/>
      <c r="U474" s="250"/>
      <c r="V474" s="249"/>
      <c r="W474" s="330"/>
      <c r="X474" s="343"/>
      <c r="Y474" s="249"/>
      <c r="Z474" s="330"/>
      <c r="AA474" s="343"/>
      <c r="AB474" s="249"/>
      <c r="AC474" s="330"/>
      <c r="AD474" s="343"/>
      <c r="AE474" s="249"/>
      <c r="AF474" s="330"/>
      <c r="AG474" s="343"/>
      <c r="AH474" s="249"/>
      <c r="AI474" s="330"/>
      <c r="AJ474" s="343"/>
      <c r="AK474" s="249"/>
      <c r="AL474" s="330"/>
      <c r="AM474" s="343"/>
      <c r="AN474" s="249"/>
      <c r="AO474" s="330"/>
      <c r="AP474" s="343"/>
      <c r="AQ474" s="249"/>
      <c r="AR474" s="330"/>
      <c r="AS474" s="343"/>
      <c r="AT474" s="249"/>
      <c r="AU474" s="330"/>
    </row>
    <row r="475" spans="2:47">
      <c r="B475" s="247">
        <f>'Table S2 Compound Identifiers'!C477</f>
        <v>0</v>
      </c>
      <c r="C475" s="247">
        <f>COUNTIF($D$6:D475,"&lt;&gt;"&amp;"")</f>
        <v>470</v>
      </c>
      <c r="D475" s="247">
        <f>'Table S2 Compound Identifiers'!B477</f>
        <v>0</v>
      </c>
      <c r="E475" s="247"/>
      <c r="F475" s="248"/>
      <c r="G475" s="249"/>
      <c r="H475" s="330"/>
      <c r="I475" s="328"/>
      <c r="J475" s="249"/>
      <c r="K475" s="330"/>
      <c r="L475" s="250"/>
      <c r="M475" s="249"/>
      <c r="N475" s="330"/>
      <c r="O475" s="250"/>
      <c r="P475" s="249"/>
      <c r="Q475" s="330"/>
      <c r="R475" s="250"/>
      <c r="S475" s="249"/>
      <c r="T475" s="330"/>
      <c r="U475" s="250"/>
      <c r="V475" s="249"/>
      <c r="W475" s="330"/>
      <c r="X475" s="343"/>
      <c r="Y475" s="249"/>
      <c r="Z475" s="330"/>
      <c r="AA475" s="343"/>
      <c r="AB475" s="249"/>
      <c r="AC475" s="330"/>
      <c r="AD475" s="343"/>
      <c r="AE475" s="249"/>
      <c r="AF475" s="330"/>
      <c r="AG475" s="343"/>
      <c r="AH475" s="249"/>
      <c r="AI475" s="330"/>
      <c r="AJ475" s="343"/>
      <c r="AK475" s="249"/>
      <c r="AL475" s="330"/>
      <c r="AM475" s="343"/>
      <c r="AN475" s="249"/>
      <c r="AO475" s="330"/>
      <c r="AP475" s="343"/>
      <c r="AQ475" s="249"/>
      <c r="AR475" s="330"/>
      <c r="AS475" s="343"/>
      <c r="AT475" s="249"/>
      <c r="AU475" s="330"/>
    </row>
    <row r="476" spans="2:47">
      <c r="B476" s="247">
        <f>'Table S2 Compound Identifiers'!C478</f>
        <v>0</v>
      </c>
      <c r="C476" s="247">
        <f>COUNTIF($D$6:D476,"&lt;&gt;"&amp;"")</f>
        <v>471</v>
      </c>
      <c r="D476" s="247">
        <f>'Table S2 Compound Identifiers'!B478</f>
        <v>0</v>
      </c>
      <c r="E476" s="247"/>
      <c r="F476" s="248"/>
      <c r="G476" s="249"/>
      <c r="H476" s="330"/>
      <c r="I476" s="328"/>
      <c r="J476" s="249"/>
      <c r="K476" s="330"/>
      <c r="L476" s="250"/>
      <c r="M476" s="249"/>
      <c r="N476" s="330"/>
      <c r="O476" s="250"/>
      <c r="P476" s="249"/>
      <c r="Q476" s="330"/>
      <c r="R476" s="250"/>
      <c r="S476" s="249"/>
      <c r="T476" s="330"/>
      <c r="U476" s="250"/>
      <c r="V476" s="249"/>
      <c r="W476" s="330"/>
      <c r="X476" s="343"/>
      <c r="Y476" s="249"/>
      <c r="Z476" s="330"/>
      <c r="AA476" s="343"/>
      <c r="AB476" s="249"/>
      <c r="AC476" s="330"/>
      <c r="AD476" s="343"/>
      <c r="AE476" s="249"/>
      <c r="AF476" s="330"/>
      <c r="AG476" s="343"/>
      <c r="AH476" s="249"/>
      <c r="AI476" s="330"/>
      <c r="AJ476" s="343"/>
      <c r="AK476" s="249"/>
      <c r="AL476" s="330"/>
      <c r="AM476" s="343"/>
      <c r="AN476" s="249"/>
      <c r="AO476" s="330"/>
      <c r="AP476" s="343"/>
      <c r="AQ476" s="249"/>
      <c r="AR476" s="330"/>
      <c r="AS476" s="343"/>
      <c r="AT476" s="249"/>
      <c r="AU476" s="330"/>
    </row>
    <row r="477" spans="2:47">
      <c r="B477" s="247">
        <f>'Table S2 Compound Identifiers'!C479</f>
        <v>0</v>
      </c>
      <c r="C477" s="247">
        <f>COUNTIF($D$6:D477,"&lt;&gt;"&amp;"")</f>
        <v>472</v>
      </c>
      <c r="D477" s="247">
        <f>'Table S2 Compound Identifiers'!B479</f>
        <v>0</v>
      </c>
      <c r="E477" s="247"/>
      <c r="F477" s="248"/>
      <c r="G477" s="249"/>
      <c r="H477" s="330"/>
      <c r="I477" s="328"/>
      <c r="J477" s="249"/>
      <c r="K477" s="330"/>
      <c r="L477" s="250"/>
      <c r="M477" s="249"/>
      <c r="N477" s="330"/>
      <c r="O477" s="250"/>
      <c r="P477" s="249"/>
      <c r="Q477" s="330"/>
      <c r="R477" s="250"/>
      <c r="S477" s="249"/>
      <c r="T477" s="330"/>
      <c r="U477" s="250"/>
      <c r="V477" s="249"/>
      <c r="W477" s="330"/>
      <c r="X477" s="343"/>
      <c r="Y477" s="249"/>
      <c r="Z477" s="330"/>
      <c r="AA477" s="343"/>
      <c r="AB477" s="249"/>
      <c r="AC477" s="330"/>
      <c r="AD477" s="343"/>
      <c r="AE477" s="249"/>
      <c r="AF477" s="330"/>
      <c r="AG477" s="343"/>
      <c r="AH477" s="249"/>
      <c r="AI477" s="330"/>
      <c r="AJ477" s="343"/>
      <c r="AK477" s="249"/>
      <c r="AL477" s="330"/>
      <c r="AM477" s="343"/>
      <c r="AN477" s="249"/>
      <c r="AO477" s="330"/>
      <c r="AP477" s="343"/>
      <c r="AQ477" s="249"/>
      <c r="AR477" s="330"/>
      <c r="AS477" s="343"/>
      <c r="AT477" s="249"/>
      <c r="AU477" s="330"/>
    </row>
    <row r="478" spans="2:47">
      <c r="B478" s="247">
        <f>'Table S2 Compound Identifiers'!C480</f>
        <v>0</v>
      </c>
      <c r="C478" s="247">
        <f>COUNTIF($D$6:D478,"&lt;&gt;"&amp;"")</f>
        <v>473</v>
      </c>
      <c r="D478" s="247">
        <f>'Table S2 Compound Identifiers'!B480</f>
        <v>0</v>
      </c>
      <c r="E478" s="247"/>
      <c r="F478" s="248"/>
      <c r="G478" s="249"/>
      <c r="H478" s="330"/>
      <c r="I478" s="328"/>
      <c r="J478" s="249"/>
      <c r="K478" s="330"/>
      <c r="L478" s="250"/>
      <c r="M478" s="249"/>
      <c r="N478" s="330"/>
      <c r="O478" s="250"/>
      <c r="P478" s="249"/>
      <c r="Q478" s="330"/>
      <c r="R478" s="250"/>
      <c r="S478" s="249"/>
      <c r="T478" s="330"/>
      <c r="U478" s="250"/>
      <c r="V478" s="249"/>
      <c r="W478" s="330"/>
      <c r="X478" s="343"/>
      <c r="Y478" s="249"/>
      <c r="Z478" s="330"/>
      <c r="AA478" s="343"/>
      <c r="AB478" s="249"/>
      <c r="AC478" s="330"/>
      <c r="AD478" s="343"/>
      <c r="AE478" s="249"/>
      <c r="AF478" s="330"/>
      <c r="AG478" s="343"/>
      <c r="AH478" s="249"/>
      <c r="AI478" s="330"/>
      <c r="AJ478" s="343"/>
      <c r="AK478" s="249"/>
      <c r="AL478" s="330"/>
      <c r="AM478" s="343"/>
      <c r="AN478" s="249"/>
      <c r="AO478" s="330"/>
      <c r="AP478" s="343"/>
      <c r="AQ478" s="249"/>
      <c r="AR478" s="330"/>
      <c r="AS478" s="343"/>
      <c r="AT478" s="249"/>
      <c r="AU478" s="330"/>
    </row>
    <row r="479" spans="2:47">
      <c r="B479" s="247">
        <f>'Table S2 Compound Identifiers'!C481</f>
        <v>0</v>
      </c>
      <c r="C479" s="247">
        <f>COUNTIF($D$6:D479,"&lt;&gt;"&amp;"")</f>
        <v>474</v>
      </c>
      <c r="D479" s="247">
        <f>'Table S2 Compound Identifiers'!B481</f>
        <v>0</v>
      </c>
      <c r="E479" s="247"/>
      <c r="F479" s="248"/>
      <c r="G479" s="249"/>
      <c r="H479" s="330"/>
      <c r="I479" s="328"/>
      <c r="J479" s="249"/>
      <c r="K479" s="330"/>
      <c r="L479" s="250"/>
      <c r="M479" s="249"/>
      <c r="N479" s="330"/>
      <c r="O479" s="250"/>
      <c r="P479" s="249"/>
      <c r="Q479" s="330"/>
      <c r="R479" s="250"/>
      <c r="S479" s="249"/>
      <c r="T479" s="330"/>
      <c r="U479" s="250"/>
      <c r="V479" s="249"/>
      <c r="W479" s="330"/>
      <c r="X479" s="343"/>
      <c r="Y479" s="249"/>
      <c r="Z479" s="330"/>
      <c r="AA479" s="343"/>
      <c r="AB479" s="249"/>
      <c r="AC479" s="330"/>
      <c r="AD479" s="343"/>
      <c r="AE479" s="249"/>
      <c r="AF479" s="330"/>
      <c r="AG479" s="343"/>
      <c r="AH479" s="249"/>
      <c r="AI479" s="330"/>
      <c r="AJ479" s="343"/>
      <c r="AK479" s="249"/>
      <c r="AL479" s="330"/>
      <c r="AM479" s="343"/>
      <c r="AN479" s="249"/>
      <c r="AO479" s="330"/>
      <c r="AP479" s="343"/>
      <c r="AQ479" s="249"/>
      <c r="AR479" s="330"/>
      <c r="AS479" s="343"/>
      <c r="AT479" s="249"/>
      <c r="AU479" s="330"/>
    </row>
    <row r="480" spans="2:47">
      <c r="B480" s="247">
        <f>'Table S2 Compound Identifiers'!C482</f>
        <v>0</v>
      </c>
      <c r="C480" s="247">
        <f>COUNTIF($D$6:D480,"&lt;&gt;"&amp;"")</f>
        <v>475</v>
      </c>
      <c r="D480" s="247">
        <f>'Table S2 Compound Identifiers'!B482</f>
        <v>0</v>
      </c>
      <c r="E480" s="247"/>
      <c r="F480" s="248"/>
      <c r="G480" s="249"/>
      <c r="H480" s="330"/>
      <c r="I480" s="328"/>
      <c r="J480" s="249"/>
      <c r="K480" s="330"/>
      <c r="L480" s="250"/>
      <c r="M480" s="249"/>
      <c r="N480" s="330"/>
      <c r="O480" s="250"/>
      <c r="P480" s="249"/>
      <c r="Q480" s="330"/>
      <c r="R480" s="250"/>
      <c r="S480" s="249"/>
      <c r="T480" s="330"/>
      <c r="U480" s="250"/>
      <c r="V480" s="249"/>
      <c r="W480" s="330"/>
      <c r="X480" s="343"/>
      <c r="Y480" s="249"/>
      <c r="Z480" s="330"/>
      <c r="AA480" s="343"/>
      <c r="AB480" s="249"/>
      <c r="AC480" s="330"/>
      <c r="AD480" s="343"/>
      <c r="AE480" s="249"/>
      <c r="AF480" s="330"/>
      <c r="AG480" s="343"/>
      <c r="AH480" s="249"/>
      <c r="AI480" s="330"/>
      <c r="AJ480" s="343"/>
      <c r="AK480" s="249"/>
      <c r="AL480" s="330"/>
      <c r="AM480" s="343"/>
      <c r="AN480" s="249"/>
      <c r="AO480" s="330"/>
      <c r="AP480" s="343"/>
      <c r="AQ480" s="249"/>
      <c r="AR480" s="330"/>
      <c r="AS480" s="343"/>
      <c r="AT480" s="249"/>
      <c r="AU480" s="330"/>
    </row>
    <row r="481" spans="2:47">
      <c r="B481" s="247">
        <f>'Table S2 Compound Identifiers'!C483</f>
        <v>0</v>
      </c>
      <c r="C481" s="247">
        <f>COUNTIF($D$6:D481,"&lt;&gt;"&amp;"")</f>
        <v>476</v>
      </c>
      <c r="D481" s="247">
        <f>'Table S2 Compound Identifiers'!B483</f>
        <v>0</v>
      </c>
      <c r="E481" s="247"/>
      <c r="F481" s="248"/>
      <c r="G481" s="249"/>
      <c r="H481" s="330"/>
      <c r="I481" s="328"/>
      <c r="J481" s="249"/>
      <c r="K481" s="330"/>
      <c r="L481" s="250"/>
      <c r="M481" s="249"/>
      <c r="N481" s="330"/>
      <c r="O481" s="250"/>
      <c r="P481" s="249"/>
      <c r="Q481" s="330"/>
      <c r="R481" s="250"/>
      <c r="S481" s="249"/>
      <c r="T481" s="330"/>
      <c r="U481" s="250"/>
      <c r="V481" s="249"/>
      <c r="W481" s="330"/>
      <c r="X481" s="343"/>
      <c r="Y481" s="249"/>
      <c r="Z481" s="330"/>
      <c r="AA481" s="343"/>
      <c r="AB481" s="249"/>
      <c r="AC481" s="330"/>
      <c r="AD481" s="343"/>
      <c r="AE481" s="249"/>
      <c r="AF481" s="330"/>
      <c r="AG481" s="343"/>
      <c r="AH481" s="249"/>
      <c r="AI481" s="330"/>
      <c r="AJ481" s="343"/>
      <c r="AK481" s="249"/>
      <c r="AL481" s="330"/>
      <c r="AM481" s="343"/>
      <c r="AN481" s="249"/>
      <c r="AO481" s="330"/>
      <c r="AP481" s="343"/>
      <c r="AQ481" s="249"/>
      <c r="AR481" s="330"/>
      <c r="AS481" s="343"/>
      <c r="AT481" s="249"/>
      <c r="AU481" s="330"/>
    </row>
    <row r="482" spans="2:47">
      <c r="B482" s="247">
        <f>'Table S2 Compound Identifiers'!C484</f>
        <v>0</v>
      </c>
      <c r="C482" s="247">
        <f>COUNTIF($D$6:D482,"&lt;&gt;"&amp;"")</f>
        <v>477</v>
      </c>
      <c r="D482" s="247">
        <f>'Table S2 Compound Identifiers'!B484</f>
        <v>0</v>
      </c>
      <c r="E482" s="247"/>
      <c r="F482" s="248"/>
      <c r="G482" s="249"/>
      <c r="H482" s="330"/>
      <c r="I482" s="328"/>
      <c r="J482" s="249"/>
      <c r="K482" s="330"/>
      <c r="L482" s="250"/>
      <c r="M482" s="249"/>
      <c r="N482" s="330"/>
      <c r="O482" s="250"/>
      <c r="P482" s="249"/>
      <c r="Q482" s="330"/>
      <c r="R482" s="250"/>
      <c r="S482" s="249"/>
      <c r="T482" s="330"/>
      <c r="U482" s="250"/>
      <c r="V482" s="249"/>
      <c r="W482" s="330"/>
      <c r="X482" s="343"/>
      <c r="Y482" s="249"/>
      <c r="Z482" s="330"/>
      <c r="AA482" s="343"/>
      <c r="AB482" s="249"/>
      <c r="AC482" s="330"/>
      <c r="AD482" s="343"/>
      <c r="AE482" s="249"/>
      <c r="AF482" s="330"/>
      <c r="AG482" s="343"/>
      <c r="AH482" s="249"/>
      <c r="AI482" s="330"/>
      <c r="AJ482" s="343"/>
      <c r="AK482" s="249"/>
      <c r="AL482" s="330"/>
      <c r="AM482" s="343"/>
      <c r="AN482" s="249"/>
      <c r="AO482" s="330"/>
      <c r="AP482" s="343"/>
      <c r="AQ482" s="249"/>
      <c r="AR482" s="330"/>
      <c r="AS482" s="343"/>
      <c r="AT482" s="249"/>
      <c r="AU482" s="330"/>
    </row>
    <row r="483" spans="2:47">
      <c r="B483" s="247">
        <f>'Table S2 Compound Identifiers'!C485</f>
        <v>0</v>
      </c>
      <c r="C483" s="247">
        <f>COUNTIF($D$6:D483,"&lt;&gt;"&amp;"")</f>
        <v>478</v>
      </c>
      <c r="D483" s="247">
        <f>'Table S2 Compound Identifiers'!B485</f>
        <v>0</v>
      </c>
      <c r="E483" s="247"/>
      <c r="F483" s="248"/>
      <c r="G483" s="249"/>
      <c r="H483" s="330"/>
      <c r="I483" s="328"/>
      <c r="J483" s="249"/>
      <c r="K483" s="330"/>
      <c r="L483" s="250"/>
      <c r="M483" s="249"/>
      <c r="N483" s="330"/>
      <c r="O483" s="250"/>
      <c r="P483" s="249"/>
      <c r="Q483" s="330"/>
      <c r="R483" s="250"/>
      <c r="S483" s="249"/>
      <c r="T483" s="330"/>
      <c r="U483" s="250"/>
      <c r="V483" s="249"/>
      <c r="W483" s="330"/>
      <c r="X483" s="343"/>
      <c r="Y483" s="249"/>
      <c r="Z483" s="330"/>
      <c r="AA483" s="343"/>
      <c r="AB483" s="249"/>
      <c r="AC483" s="330"/>
      <c r="AD483" s="343"/>
      <c r="AE483" s="249"/>
      <c r="AF483" s="330"/>
      <c r="AG483" s="343"/>
      <c r="AH483" s="249"/>
      <c r="AI483" s="330"/>
      <c r="AJ483" s="343"/>
      <c r="AK483" s="249"/>
      <c r="AL483" s="330"/>
      <c r="AM483" s="343"/>
      <c r="AN483" s="249"/>
      <c r="AO483" s="330"/>
      <c r="AP483" s="343"/>
      <c r="AQ483" s="249"/>
      <c r="AR483" s="330"/>
      <c r="AS483" s="343"/>
      <c r="AT483" s="249"/>
      <c r="AU483" s="330"/>
    </row>
    <row r="484" spans="2:47">
      <c r="B484" s="247">
        <f>'Table S2 Compound Identifiers'!C486</f>
        <v>0</v>
      </c>
      <c r="C484" s="247">
        <f>COUNTIF($D$6:D484,"&lt;&gt;"&amp;"")</f>
        <v>479</v>
      </c>
      <c r="D484" s="247">
        <f>'Table S2 Compound Identifiers'!B486</f>
        <v>0</v>
      </c>
      <c r="E484" s="247"/>
      <c r="F484" s="248"/>
      <c r="G484" s="249"/>
      <c r="H484" s="330"/>
      <c r="I484" s="328"/>
      <c r="J484" s="249"/>
      <c r="K484" s="330"/>
      <c r="L484" s="250"/>
      <c r="M484" s="249"/>
      <c r="N484" s="330"/>
      <c r="O484" s="250"/>
      <c r="P484" s="249"/>
      <c r="Q484" s="330"/>
      <c r="R484" s="250"/>
      <c r="S484" s="249"/>
      <c r="T484" s="330"/>
      <c r="U484" s="250"/>
      <c r="V484" s="249"/>
      <c r="W484" s="330"/>
      <c r="X484" s="343"/>
      <c r="Y484" s="249"/>
      <c r="Z484" s="330"/>
      <c r="AA484" s="343"/>
      <c r="AB484" s="249"/>
      <c r="AC484" s="330"/>
      <c r="AD484" s="343"/>
      <c r="AE484" s="249"/>
      <c r="AF484" s="330"/>
      <c r="AG484" s="343"/>
      <c r="AH484" s="249"/>
      <c r="AI484" s="330"/>
      <c r="AJ484" s="343"/>
      <c r="AK484" s="249"/>
      <c r="AL484" s="330"/>
      <c r="AM484" s="343"/>
      <c r="AN484" s="249"/>
      <c r="AO484" s="330"/>
      <c r="AP484" s="343"/>
      <c r="AQ484" s="249"/>
      <c r="AR484" s="330"/>
      <c r="AS484" s="343"/>
      <c r="AT484" s="249"/>
      <c r="AU484" s="330"/>
    </row>
    <row r="485" spans="2:47">
      <c r="B485" s="247">
        <f>'Table S2 Compound Identifiers'!C487</f>
        <v>0</v>
      </c>
      <c r="C485" s="247">
        <f>COUNTIF($D$6:D485,"&lt;&gt;"&amp;"")</f>
        <v>480</v>
      </c>
      <c r="D485" s="247">
        <f>'Table S2 Compound Identifiers'!B487</f>
        <v>0</v>
      </c>
      <c r="E485" s="247"/>
      <c r="F485" s="248"/>
      <c r="G485" s="249"/>
      <c r="H485" s="330"/>
      <c r="I485" s="328"/>
      <c r="J485" s="249"/>
      <c r="K485" s="330"/>
      <c r="L485" s="250"/>
      <c r="M485" s="249"/>
      <c r="N485" s="330"/>
      <c r="O485" s="250"/>
      <c r="P485" s="249"/>
      <c r="Q485" s="330"/>
      <c r="R485" s="250"/>
      <c r="S485" s="249"/>
      <c r="T485" s="330"/>
      <c r="U485" s="250"/>
      <c r="V485" s="249"/>
      <c r="W485" s="330"/>
      <c r="X485" s="343"/>
      <c r="Y485" s="249"/>
      <c r="Z485" s="330"/>
      <c r="AA485" s="343"/>
      <c r="AB485" s="249"/>
      <c r="AC485" s="330"/>
      <c r="AD485" s="343"/>
      <c r="AE485" s="249"/>
      <c r="AF485" s="330"/>
      <c r="AG485" s="343"/>
      <c r="AH485" s="249"/>
      <c r="AI485" s="330"/>
      <c r="AJ485" s="343"/>
      <c r="AK485" s="249"/>
      <c r="AL485" s="330"/>
      <c r="AM485" s="343"/>
      <c r="AN485" s="249"/>
      <c r="AO485" s="330"/>
      <c r="AP485" s="343"/>
      <c r="AQ485" s="249"/>
      <c r="AR485" s="330"/>
      <c r="AS485" s="343"/>
      <c r="AT485" s="249"/>
      <c r="AU485" s="330"/>
    </row>
    <row r="486" spans="2:47">
      <c r="B486" s="247">
        <f>'Table S2 Compound Identifiers'!C488</f>
        <v>0</v>
      </c>
      <c r="C486" s="247">
        <f>COUNTIF($D$6:D486,"&lt;&gt;"&amp;"")</f>
        <v>481</v>
      </c>
      <c r="D486" s="247">
        <f>'Table S2 Compound Identifiers'!B488</f>
        <v>0</v>
      </c>
      <c r="E486" s="247"/>
      <c r="F486" s="248"/>
      <c r="G486" s="249"/>
      <c r="H486" s="330"/>
      <c r="I486" s="328"/>
      <c r="J486" s="249"/>
      <c r="K486" s="330"/>
      <c r="L486" s="250"/>
      <c r="M486" s="249"/>
      <c r="N486" s="330"/>
      <c r="O486" s="250"/>
      <c r="P486" s="249"/>
      <c r="Q486" s="330"/>
      <c r="R486" s="250"/>
      <c r="S486" s="249"/>
      <c r="T486" s="330"/>
      <c r="U486" s="250"/>
      <c r="V486" s="249"/>
      <c r="W486" s="330"/>
      <c r="X486" s="343"/>
      <c r="Y486" s="249"/>
      <c r="Z486" s="330"/>
      <c r="AA486" s="343"/>
      <c r="AB486" s="249"/>
      <c r="AC486" s="330"/>
      <c r="AD486" s="343"/>
      <c r="AE486" s="249"/>
      <c r="AF486" s="330"/>
      <c r="AG486" s="343"/>
      <c r="AH486" s="249"/>
      <c r="AI486" s="330"/>
      <c r="AJ486" s="343"/>
      <c r="AK486" s="249"/>
      <c r="AL486" s="330"/>
      <c r="AM486" s="343"/>
      <c r="AN486" s="249"/>
      <c r="AO486" s="330"/>
      <c r="AP486" s="343"/>
      <c r="AQ486" s="249"/>
      <c r="AR486" s="330"/>
      <c r="AS486" s="343"/>
      <c r="AT486" s="249"/>
      <c r="AU486" s="330"/>
    </row>
    <row r="487" spans="2:47">
      <c r="B487" s="247">
        <f>'Table S2 Compound Identifiers'!C489</f>
        <v>0</v>
      </c>
      <c r="C487" s="247">
        <f>COUNTIF($D$6:D487,"&lt;&gt;"&amp;"")</f>
        <v>482</v>
      </c>
      <c r="D487" s="247">
        <f>'Table S2 Compound Identifiers'!B489</f>
        <v>0</v>
      </c>
      <c r="E487" s="247"/>
      <c r="F487" s="248"/>
      <c r="G487" s="249"/>
      <c r="H487" s="330"/>
      <c r="I487" s="328"/>
      <c r="J487" s="249"/>
      <c r="K487" s="330"/>
      <c r="L487" s="250"/>
      <c r="M487" s="249"/>
      <c r="N487" s="330"/>
      <c r="O487" s="250"/>
      <c r="P487" s="249"/>
      <c r="Q487" s="330"/>
      <c r="R487" s="250"/>
      <c r="S487" s="249"/>
      <c r="T487" s="330"/>
      <c r="U487" s="250"/>
      <c r="V487" s="249"/>
      <c r="W487" s="330"/>
      <c r="X487" s="343"/>
      <c r="Y487" s="249"/>
      <c r="Z487" s="330"/>
      <c r="AA487" s="343"/>
      <c r="AB487" s="249"/>
      <c r="AC487" s="330"/>
      <c r="AD487" s="343"/>
      <c r="AE487" s="249"/>
      <c r="AF487" s="330"/>
      <c r="AG487" s="343"/>
      <c r="AH487" s="249"/>
      <c r="AI487" s="330"/>
      <c r="AJ487" s="343"/>
      <c r="AK487" s="249"/>
      <c r="AL487" s="330"/>
      <c r="AM487" s="343"/>
      <c r="AN487" s="249"/>
      <c r="AO487" s="330"/>
      <c r="AP487" s="343"/>
      <c r="AQ487" s="249"/>
      <c r="AR487" s="330"/>
      <c r="AS487" s="343"/>
      <c r="AT487" s="249"/>
      <c r="AU487" s="330"/>
    </row>
    <row r="488" spans="2:47">
      <c r="B488" s="247">
        <f>'Table S2 Compound Identifiers'!C490</f>
        <v>0</v>
      </c>
      <c r="C488" s="247">
        <f>COUNTIF($D$6:D488,"&lt;&gt;"&amp;"")</f>
        <v>483</v>
      </c>
      <c r="D488" s="247">
        <f>'Table S2 Compound Identifiers'!B490</f>
        <v>0</v>
      </c>
      <c r="E488" s="247"/>
      <c r="F488" s="248"/>
      <c r="G488" s="249"/>
      <c r="H488" s="330"/>
      <c r="I488" s="328"/>
      <c r="J488" s="249"/>
      <c r="K488" s="330"/>
      <c r="L488" s="250"/>
      <c r="M488" s="249"/>
      <c r="N488" s="330"/>
      <c r="O488" s="250"/>
      <c r="P488" s="249"/>
      <c r="Q488" s="330"/>
      <c r="R488" s="250"/>
      <c r="S488" s="249"/>
      <c r="T488" s="330"/>
      <c r="U488" s="250"/>
      <c r="V488" s="249"/>
      <c r="W488" s="330"/>
      <c r="X488" s="343"/>
      <c r="Y488" s="249"/>
      <c r="Z488" s="330"/>
      <c r="AA488" s="343"/>
      <c r="AB488" s="249"/>
      <c r="AC488" s="330"/>
      <c r="AD488" s="343"/>
      <c r="AE488" s="249"/>
      <c r="AF488" s="330"/>
      <c r="AG488" s="343"/>
      <c r="AH488" s="249"/>
      <c r="AI488" s="330"/>
      <c r="AJ488" s="343"/>
      <c r="AK488" s="249"/>
      <c r="AL488" s="330"/>
      <c r="AM488" s="343"/>
      <c r="AN488" s="249"/>
      <c r="AO488" s="330"/>
      <c r="AP488" s="343"/>
      <c r="AQ488" s="249"/>
      <c r="AR488" s="330"/>
      <c r="AS488" s="343"/>
      <c r="AT488" s="249"/>
      <c r="AU488" s="330"/>
    </row>
    <row r="489" spans="2:47">
      <c r="B489" s="247">
        <f>'Table S2 Compound Identifiers'!C491</f>
        <v>0</v>
      </c>
      <c r="C489" s="247">
        <f>COUNTIF($D$6:D489,"&lt;&gt;"&amp;"")</f>
        <v>484</v>
      </c>
      <c r="D489" s="247">
        <f>'Table S2 Compound Identifiers'!B491</f>
        <v>0</v>
      </c>
      <c r="E489" s="247"/>
      <c r="F489" s="248"/>
      <c r="G489" s="249"/>
      <c r="H489" s="330"/>
      <c r="I489" s="328"/>
      <c r="J489" s="249"/>
      <c r="K489" s="330"/>
      <c r="L489" s="250"/>
      <c r="M489" s="249"/>
      <c r="N489" s="330"/>
      <c r="O489" s="250"/>
      <c r="P489" s="249"/>
      <c r="Q489" s="330"/>
      <c r="R489" s="250"/>
      <c r="S489" s="249"/>
      <c r="T489" s="330"/>
      <c r="U489" s="250"/>
      <c r="V489" s="249"/>
      <c r="W489" s="330"/>
      <c r="X489" s="343"/>
      <c r="Y489" s="249"/>
      <c r="Z489" s="330"/>
      <c r="AA489" s="343"/>
      <c r="AB489" s="249"/>
      <c r="AC489" s="330"/>
      <c r="AD489" s="343"/>
      <c r="AE489" s="249"/>
      <c r="AF489" s="330"/>
      <c r="AG489" s="343"/>
      <c r="AH489" s="249"/>
      <c r="AI489" s="330"/>
      <c r="AJ489" s="343"/>
      <c r="AK489" s="249"/>
      <c r="AL489" s="330"/>
      <c r="AM489" s="343"/>
      <c r="AN489" s="249"/>
      <c r="AO489" s="330"/>
      <c r="AP489" s="343"/>
      <c r="AQ489" s="249"/>
      <c r="AR489" s="330"/>
      <c r="AS489" s="343"/>
      <c r="AT489" s="249"/>
      <c r="AU489" s="330"/>
    </row>
    <row r="490" spans="2:47">
      <c r="B490" s="247">
        <f>'Table S2 Compound Identifiers'!C492</f>
        <v>0</v>
      </c>
      <c r="C490" s="247">
        <f>COUNTIF($D$6:D490,"&lt;&gt;"&amp;"")</f>
        <v>485</v>
      </c>
      <c r="D490" s="247">
        <f>'Table S2 Compound Identifiers'!B492</f>
        <v>0</v>
      </c>
      <c r="E490" s="247"/>
      <c r="F490" s="248"/>
      <c r="G490" s="249"/>
      <c r="H490" s="330"/>
      <c r="I490" s="328"/>
      <c r="J490" s="249"/>
      <c r="K490" s="330"/>
      <c r="L490" s="250"/>
      <c r="M490" s="249"/>
      <c r="N490" s="330"/>
      <c r="O490" s="250"/>
      <c r="P490" s="249"/>
      <c r="Q490" s="330"/>
      <c r="R490" s="250"/>
      <c r="S490" s="249"/>
      <c r="T490" s="330"/>
      <c r="U490" s="250"/>
      <c r="V490" s="249"/>
      <c r="W490" s="330"/>
      <c r="X490" s="343"/>
      <c r="Y490" s="249"/>
      <c r="Z490" s="330"/>
      <c r="AA490" s="343"/>
      <c r="AB490" s="249"/>
      <c r="AC490" s="330"/>
      <c r="AD490" s="343"/>
      <c r="AE490" s="249"/>
      <c r="AF490" s="330"/>
      <c r="AG490" s="343"/>
      <c r="AH490" s="249"/>
      <c r="AI490" s="330"/>
      <c r="AJ490" s="343"/>
      <c r="AK490" s="249"/>
      <c r="AL490" s="330"/>
      <c r="AM490" s="343"/>
      <c r="AN490" s="249"/>
      <c r="AO490" s="330"/>
      <c r="AP490" s="343"/>
      <c r="AQ490" s="249"/>
      <c r="AR490" s="330"/>
      <c r="AS490" s="343"/>
      <c r="AT490" s="249"/>
      <c r="AU490" s="330"/>
    </row>
    <row r="491" spans="2:47">
      <c r="B491" s="247">
        <f>'Table S2 Compound Identifiers'!C493</f>
        <v>0</v>
      </c>
      <c r="C491" s="247">
        <f>COUNTIF($D$6:D491,"&lt;&gt;"&amp;"")</f>
        <v>486</v>
      </c>
      <c r="D491" s="247">
        <f>'Table S2 Compound Identifiers'!B493</f>
        <v>0</v>
      </c>
      <c r="E491" s="247"/>
      <c r="F491" s="248"/>
      <c r="G491" s="249"/>
      <c r="H491" s="330"/>
      <c r="I491" s="328"/>
      <c r="J491" s="249"/>
      <c r="K491" s="330"/>
      <c r="L491" s="250"/>
      <c r="M491" s="249"/>
      <c r="N491" s="330"/>
      <c r="O491" s="250"/>
      <c r="P491" s="249"/>
      <c r="Q491" s="330"/>
      <c r="R491" s="250"/>
      <c r="S491" s="249"/>
      <c r="T491" s="330"/>
      <c r="U491" s="250"/>
      <c r="V491" s="249"/>
      <c r="W491" s="330"/>
      <c r="X491" s="343"/>
      <c r="Y491" s="249"/>
      <c r="Z491" s="330"/>
      <c r="AA491" s="343"/>
      <c r="AB491" s="249"/>
      <c r="AC491" s="330"/>
      <c r="AD491" s="343"/>
      <c r="AE491" s="249"/>
      <c r="AF491" s="330"/>
      <c r="AG491" s="343"/>
      <c r="AH491" s="249"/>
      <c r="AI491" s="330"/>
      <c r="AJ491" s="343"/>
      <c r="AK491" s="249"/>
      <c r="AL491" s="330"/>
      <c r="AM491" s="343"/>
      <c r="AN491" s="249"/>
      <c r="AO491" s="330"/>
      <c r="AP491" s="343"/>
      <c r="AQ491" s="249"/>
      <c r="AR491" s="330"/>
      <c r="AS491" s="343"/>
      <c r="AT491" s="249"/>
      <c r="AU491" s="330"/>
    </row>
    <row r="492" spans="2:47">
      <c r="B492" s="247">
        <f>'Table S2 Compound Identifiers'!C494</f>
        <v>0</v>
      </c>
      <c r="C492" s="247">
        <f>COUNTIF($D$6:D492,"&lt;&gt;"&amp;"")</f>
        <v>487</v>
      </c>
      <c r="D492" s="247">
        <f>'Table S2 Compound Identifiers'!B494</f>
        <v>0</v>
      </c>
      <c r="E492" s="247"/>
      <c r="F492" s="248"/>
      <c r="G492" s="249"/>
      <c r="H492" s="330"/>
      <c r="I492" s="328"/>
      <c r="J492" s="249"/>
      <c r="K492" s="330"/>
      <c r="L492" s="250"/>
      <c r="M492" s="249"/>
      <c r="N492" s="330"/>
      <c r="O492" s="250"/>
      <c r="P492" s="249"/>
      <c r="Q492" s="330"/>
      <c r="R492" s="250"/>
      <c r="S492" s="249"/>
      <c r="T492" s="330"/>
      <c r="U492" s="250"/>
      <c r="V492" s="249"/>
      <c r="W492" s="330"/>
      <c r="X492" s="343"/>
      <c r="Y492" s="249"/>
      <c r="Z492" s="330"/>
      <c r="AA492" s="343"/>
      <c r="AB492" s="249"/>
      <c r="AC492" s="330"/>
      <c r="AD492" s="343"/>
      <c r="AE492" s="249"/>
      <c r="AF492" s="330"/>
      <c r="AG492" s="343"/>
      <c r="AH492" s="249"/>
      <c r="AI492" s="330"/>
      <c r="AJ492" s="343"/>
      <c r="AK492" s="249"/>
      <c r="AL492" s="330"/>
      <c r="AM492" s="343"/>
      <c r="AN492" s="249"/>
      <c r="AO492" s="330"/>
      <c r="AP492" s="343"/>
      <c r="AQ492" s="249"/>
      <c r="AR492" s="330"/>
      <c r="AS492" s="343"/>
      <c r="AT492" s="249"/>
      <c r="AU492" s="330"/>
    </row>
    <row r="493" spans="2:47">
      <c r="B493" s="247">
        <f>'Table S2 Compound Identifiers'!C495</f>
        <v>0</v>
      </c>
      <c r="C493" s="247">
        <f>COUNTIF($D$6:D493,"&lt;&gt;"&amp;"")</f>
        <v>488</v>
      </c>
      <c r="D493" s="247">
        <f>'Table S2 Compound Identifiers'!B495</f>
        <v>0</v>
      </c>
      <c r="E493" s="247"/>
      <c r="F493" s="248"/>
      <c r="G493" s="249"/>
      <c r="H493" s="330"/>
      <c r="I493" s="328"/>
      <c r="J493" s="249"/>
      <c r="K493" s="330"/>
      <c r="L493" s="250"/>
      <c r="M493" s="249"/>
      <c r="N493" s="330"/>
      <c r="O493" s="250"/>
      <c r="P493" s="249"/>
      <c r="Q493" s="330"/>
      <c r="R493" s="250"/>
      <c r="S493" s="249"/>
      <c r="T493" s="330"/>
      <c r="U493" s="250"/>
      <c r="V493" s="249"/>
      <c r="W493" s="330"/>
      <c r="X493" s="343"/>
      <c r="Y493" s="249"/>
      <c r="Z493" s="330"/>
      <c r="AA493" s="343"/>
      <c r="AB493" s="249"/>
      <c r="AC493" s="330"/>
      <c r="AD493" s="343"/>
      <c r="AE493" s="249"/>
      <c r="AF493" s="330"/>
      <c r="AG493" s="343"/>
      <c r="AH493" s="249"/>
      <c r="AI493" s="330"/>
      <c r="AJ493" s="343"/>
      <c r="AK493" s="249"/>
      <c r="AL493" s="330"/>
      <c r="AM493" s="343"/>
      <c r="AN493" s="249"/>
      <c r="AO493" s="330"/>
      <c r="AP493" s="343"/>
      <c r="AQ493" s="249"/>
      <c r="AR493" s="330"/>
      <c r="AS493" s="343"/>
      <c r="AT493" s="249"/>
      <c r="AU493" s="330"/>
    </row>
    <row r="494" spans="2:47">
      <c r="B494" s="247">
        <f>'Table S2 Compound Identifiers'!C496</f>
        <v>0</v>
      </c>
      <c r="C494" s="247">
        <f>COUNTIF($D$6:D494,"&lt;&gt;"&amp;"")</f>
        <v>489</v>
      </c>
      <c r="D494" s="247">
        <f>'Table S2 Compound Identifiers'!B496</f>
        <v>0</v>
      </c>
      <c r="E494" s="247"/>
      <c r="F494" s="248"/>
      <c r="G494" s="249"/>
      <c r="H494" s="330"/>
      <c r="I494" s="328"/>
      <c r="J494" s="249"/>
      <c r="K494" s="330"/>
      <c r="L494" s="250"/>
      <c r="M494" s="249"/>
      <c r="N494" s="330"/>
      <c r="O494" s="250"/>
      <c r="P494" s="249"/>
      <c r="Q494" s="330"/>
      <c r="R494" s="250"/>
      <c r="S494" s="249"/>
      <c r="T494" s="330"/>
      <c r="U494" s="250"/>
      <c r="V494" s="249"/>
      <c r="W494" s="330"/>
      <c r="X494" s="343"/>
      <c r="Y494" s="249"/>
      <c r="Z494" s="330"/>
      <c r="AA494" s="343"/>
      <c r="AB494" s="249"/>
      <c r="AC494" s="330"/>
      <c r="AD494" s="343"/>
      <c r="AE494" s="249"/>
      <c r="AF494" s="330"/>
      <c r="AG494" s="343"/>
      <c r="AH494" s="249"/>
      <c r="AI494" s="330"/>
      <c r="AJ494" s="343"/>
      <c r="AK494" s="249"/>
      <c r="AL494" s="330"/>
      <c r="AM494" s="343"/>
      <c r="AN494" s="249"/>
      <c r="AO494" s="330"/>
      <c r="AP494" s="343"/>
      <c r="AQ494" s="249"/>
      <c r="AR494" s="330"/>
      <c r="AS494" s="343"/>
      <c r="AT494" s="249"/>
      <c r="AU494" s="330"/>
    </row>
    <row r="495" spans="2:47">
      <c r="B495" s="247">
        <f>'Table S2 Compound Identifiers'!C497</f>
        <v>0</v>
      </c>
      <c r="C495" s="247">
        <f>COUNTIF($D$6:D495,"&lt;&gt;"&amp;"")</f>
        <v>490</v>
      </c>
      <c r="D495" s="247">
        <f>'Table S2 Compound Identifiers'!B497</f>
        <v>0</v>
      </c>
      <c r="E495" s="247"/>
      <c r="F495" s="248"/>
      <c r="G495" s="249"/>
      <c r="H495" s="330"/>
      <c r="I495" s="328"/>
      <c r="J495" s="249"/>
      <c r="K495" s="330"/>
      <c r="L495" s="250"/>
      <c r="M495" s="249"/>
      <c r="N495" s="330"/>
      <c r="O495" s="250"/>
      <c r="P495" s="249"/>
      <c r="Q495" s="330"/>
      <c r="R495" s="250"/>
      <c r="S495" s="249"/>
      <c r="T495" s="330"/>
      <c r="U495" s="250"/>
      <c r="V495" s="249"/>
      <c r="W495" s="330"/>
      <c r="X495" s="343"/>
      <c r="Y495" s="249"/>
      <c r="Z495" s="330"/>
      <c r="AA495" s="343"/>
      <c r="AB495" s="249"/>
      <c r="AC495" s="330"/>
      <c r="AD495" s="343"/>
      <c r="AE495" s="249"/>
      <c r="AF495" s="330"/>
      <c r="AG495" s="343"/>
      <c r="AH495" s="249"/>
      <c r="AI495" s="330"/>
      <c r="AJ495" s="343"/>
      <c r="AK495" s="249"/>
      <c r="AL495" s="330"/>
      <c r="AM495" s="343"/>
      <c r="AN495" s="249"/>
      <c r="AO495" s="330"/>
      <c r="AP495" s="343"/>
      <c r="AQ495" s="249"/>
      <c r="AR495" s="330"/>
      <c r="AS495" s="343"/>
      <c r="AT495" s="249"/>
      <c r="AU495" s="330"/>
    </row>
    <row r="496" spans="2:47">
      <c r="B496" s="247">
        <f>'Table S2 Compound Identifiers'!C498</f>
        <v>0</v>
      </c>
      <c r="C496" s="247">
        <f>COUNTIF($D$6:D496,"&lt;&gt;"&amp;"")</f>
        <v>491</v>
      </c>
      <c r="D496" s="247">
        <f>'Table S2 Compound Identifiers'!B498</f>
        <v>0</v>
      </c>
      <c r="E496" s="247"/>
      <c r="F496" s="248"/>
      <c r="G496" s="249"/>
      <c r="H496" s="330"/>
      <c r="I496" s="328"/>
      <c r="J496" s="249"/>
      <c r="K496" s="330"/>
      <c r="L496" s="250"/>
      <c r="M496" s="249"/>
      <c r="N496" s="330"/>
      <c r="O496" s="250"/>
      <c r="P496" s="249"/>
      <c r="Q496" s="330"/>
      <c r="R496" s="250"/>
      <c r="S496" s="249"/>
      <c r="T496" s="330"/>
      <c r="U496" s="250"/>
      <c r="V496" s="249"/>
      <c r="W496" s="330"/>
      <c r="X496" s="343"/>
      <c r="Y496" s="249"/>
      <c r="Z496" s="330"/>
      <c r="AA496" s="343"/>
      <c r="AB496" s="249"/>
      <c r="AC496" s="330"/>
      <c r="AD496" s="343"/>
      <c r="AE496" s="249"/>
      <c r="AF496" s="330"/>
      <c r="AG496" s="343"/>
      <c r="AH496" s="249"/>
      <c r="AI496" s="330"/>
      <c r="AJ496" s="343"/>
      <c r="AK496" s="249"/>
      <c r="AL496" s="330"/>
      <c r="AM496" s="343"/>
      <c r="AN496" s="249"/>
      <c r="AO496" s="330"/>
      <c r="AP496" s="343"/>
      <c r="AQ496" s="249"/>
      <c r="AR496" s="330"/>
      <c r="AS496" s="343"/>
      <c r="AT496" s="249"/>
      <c r="AU496" s="330"/>
    </row>
    <row r="497" spans="2:47">
      <c r="B497" s="247">
        <f>'Table S2 Compound Identifiers'!C499</f>
        <v>0</v>
      </c>
      <c r="C497" s="247">
        <f>COUNTIF($D$6:D497,"&lt;&gt;"&amp;"")</f>
        <v>492</v>
      </c>
      <c r="D497" s="247">
        <f>'Table S2 Compound Identifiers'!B499</f>
        <v>0</v>
      </c>
      <c r="E497" s="247"/>
      <c r="F497" s="248"/>
      <c r="G497" s="249"/>
      <c r="H497" s="330"/>
      <c r="I497" s="328"/>
      <c r="J497" s="249"/>
      <c r="K497" s="330"/>
      <c r="L497" s="250"/>
      <c r="M497" s="249"/>
      <c r="N497" s="330"/>
      <c r="O497" s="250"/>
      <c r="P497" s="249"/>
      <c r="Q497" s="330"/>
      <c r="R497" s="250"/>
      <c r="S497" s="249"/>
      <c r="T497" s="330"/>
      <c r="U497" s="250"/>
      <c r="V497" s="249"/>
      <c r="W497" s="330"/>
      <c r="X497" s="343"/>
      <c r="Y497" s="249"/>
      <c r="Z497" s="330"/>
      <c r="AA497" s="343"/>
      <c r="AB497" s="249"/>
      <c r="AC497" s="330"/>
      <c r="AD497" s="343"/>
      <c r="AE497" s="249"/>
      <c r="AF497" s="330"/>
      <c r="AG497" s="343"/>
      <c r="AH497" s="249"/>
      <c r="AI497" s="330"/>
      <c r="AJ497" s="343"/>
      <c r="AK497" s="249"/>
      <c r="AL497" s="330"/>
      <c r="AM497" s="343"/>
      <c r="AN497" s="249"/>
      <c r="AO497" s="330"/>
      <c r="AP497" s="343"/>
      <c r="AQ497" s="249"/>
      <c r="AR497" s="330"/>
      <c r="AS497" s="343"/>
      <c r="AT497" s="249"/>
      <c r="AU497" s="330"/>
    </row>
    <row r="498" spans="2:47">
      <c r="B498" s="247">
        <f>'Table S2 Compound Identifiers'!C500</f>
        <v>0</v>
      </c>
      <c r="C498" s="247">
        <f>COUNTIF($D$6:D498,"&lt;&gt;"&amp;"")</f>
        <v>493</v>
      </c>
      <c r="D498" s="247">
        <f>'Table S2 Compound Identifiers'!B500</f>
        <v>0</v>
      </c>
      <c r="E498" s="247"/>
      <c r="F498" s="248"/>
      <c r="G498" s="249"/>
      <c r="H498" s="330"/>
      <c r="I498" s="328"/>
      <c r="J498" s="249"/>
      <c r="K498" s="330"/>
      <c r="L498" s="250"/>
      <c r="M498" s="249"/>
      <c r="N498" s="330"/>
      <c r="O498" s="250"/>
      <c r="P498" s="249"/>
      <c r="Q498" s="330"/>
      <c r="R498" s="250"/>
      <c r="S498" s="249"/>
      <c r="T498" s="330"/>
      <c r="U498" s="250"/>
      <c r="V498" s="249"/>
      <c r="W498" s="330"/>
      <c r="X498" s="343"/>
      <c r="Y498" s="249"/>
      <c r="Z498" s="330"/>
      <c r="AA498" s="343"/>
      <c r="AB498" s="249"/>
      <c r="AC498" s="330"/>
      <c r="AD498" s="343"/>
      <c r="AE498" s="249"/>
      <c r="AF498" s="330"/>
      <c r="AG498" s="343"/>
      <c r="AH498" s="249"/>
      <c r="AI498" s="330"/>
      <c r="AJ498" s="343"/>
      <c r="AK498" s="249"/>
      <c r="AL498" s="330"/>
      <c r="AM498" s="343"/>
      <c r="AN498" s="249"/>
      <c r="AO498" s="330"/>
      <c r="AP498" s="343"/>
      <c r="AQ498" s="249"/>
      <c r="AR498" s="330"/>
      <c r="AS498" s="343"/>
      <c r="AT498" s="249"/>
      <c r="AU498" s="330"/>
    </row>
    <row r="499" spans="2:47">
      <c r="B499" s="247">
        <f>'Table S2 Compound Identifiers'!C501</f>
        <v>0</v>
      </c>
      <c r="C499" s="247">
        <f>COUNTIF($D$6:D499,"&lt;&gt;"&amp;"")</f>
        <v>494</v>
      </c>
      <c r="D499" s="247">
        <f>'Table S2 Compound Identifiers'!B501</f>
        <v>0</v>
      </c>
      <c r="E499" s="247"/>
      <c r="F499" s="248"/>
      <c r="G499" s="249"/>
      <c r="H499" s="330"/>
      <c r="I499" s="328"/>
      <c r="J499" s="249"/>
      <c r="K499" s="330"/>
      <c r="L499" s="250"/>
      <c r="M499" s="249"/>
      <c r="N499" s="330"/>
      <c r="O499" s="250"/>
      <c r="P499" s="249"/>
      <c r="Q499" s="330"/>
      <c r="R499" s="250"/>
      <c r="S499" s="249"/>
      <c r="T499" s="330"/>
      <c r="U499" s="250"/>
      <c r="V499" s="249"/>
      <c r="W499" s="330"/>
      <c r="X499" s="343"/>
      <c r="Y499" s="249"/>
      <c r="Z499" s="330"/>
      <c r="AA499" s="343"/>
      <c r="AB499" s="249"/>
      <c r="AC499" s="330"/>
      <c r="AD499" s="343"/>
      <c r="AE499" s="249"/>
      <c r="AF499" s="330"/>
      <c r="AG499" s="343"/>
      <c r="AH499" s="249"/>
      <c r="AI499" s="330"/>
      <c r="AJ499" s="343"/>
      <c r="AK499" s="249"/>
      <c r="AL499" s="330"/>
      <c r="AM499" s="343"/>
      <c r="AN499" s="249"/>
      <c r="AO499" s="330"/>
      <c r="AP499" s="343"/>
      <c r="AQ499" s="249"/>
      <c r="AR499" s="330"/>
      <c r="AS499" s="343"/>
      <c r="AT499" s="249"/>
      <c r="AU499" s="330"/>
    </row>
    <row r="500" spans="2:47">
      <c r="B500" s="247">
        <f>'Table S2 Compound Identifiers'!C502</f>
        <v>0</v>
      </c>
      <c r="C500" s="247">
        <f>COUNTIF($D$6:D500,"&lt;&gt;"&amp;"")</f>
        <v>495</v>
      </c>
      <c r="D500" s="247">
        <f>'Table S2 Compound Identifiers'!B502</f>
        <v>0</v>
      </c>
      <c r="E500" s="247"/>
      <c r="F500" s="248"/>
      <c r="G500" s="249"/>
      <c r="H500" s="330"/>
      <c r="I500" s="328"/>
      <c r="J500" s="249"/>
      <c r="K500" s="330"/>
      <c r="L500" s="250"/>
      <c r="M500" s="249"/>
      <c r="N500" s="330"/>
      <c r="O500" s="250"/>
      <c r="P500" s="249"/>
      <c r="Q500" s="330"/>
      <c r="R500" s="250"/>
      <c r="S500" s="249"/>
      <c r="T500" s="330"/>
      <c r="U500" s="250"/>
      <c r="V500" s="249"/>
      <c r="W500" s="330"/>
      <c r="X500" s="343"/>
      <c r="Y500" s="249"/>
      <c r="Z500" s="330"/>
      <c r="AA500" s="343"/>
      <c r="AB500" s="249"/>
      <c r="AC500" s="330"/>
      <c r="AD500" s="343"/>
      <c r="AE500" s="249"/>
      <c r="AF500" s="330"/>
      <c r="AG500" s="343"/>
      <c r="AH500" s="249"/>
      <c r="AI500" s="330"/>
      <c r="AJ500" s="343"/>
      <c r="AK500" s="249"/>
      <c r="AL500" s="330"/>
      <c r="AM500" s="343"/>
      <c r="AN500" s="249"/>
      <c r="AO500" s="330"/>
      <c r="AP500" s="343"/>
      <c r="AQ500" s="249"/>
      <c r="AR500" s="330"/>
      <c r="AS500" s="343"/>
      <c r="AT500" s="249"/>
      <c r="AU500" s="330"/>
    </row>
    <row r="501" spans="2:47">
      <c r="B501" s="247">
        <f>'Table S2 Compound Identifiers'!C503</f>
        <v>0</v>
      </c>
      <c r="C501" s="247">
        <f>COUNTIF($D$6:D501,"&lt;&gt;"&amp;"")</f>
        <v>496</v>
      </c>
      <c r="D501" s="247">
        <f>'Table S2 Compound Identifiers'!B503</f>
        <v>0</v>
      </c>
      <c r="E501" s="247"/>
      <c r="F501" s="248"/>
      <c r="G501" s="249"/>
      <c r="H501" s="330"/>
      <c r="I501" s="328"/>
      <c r="J501" s="249"/>
      <c r="K501" s="330"/>
      <c r="L501" s="250"/>
      <c r="M501" s="249"/>
      <c r="N501" s="330"/>
      <c r="O501" s="250"/>
      <c r="P501" s="249"/>
      <c r="Q501" s="330"/>
      <c r="R501" s="250"/>
      <c r="S501" s="249"/>
      <c r="T501" s="330"/>
      <c r="U501" s="250"/>
      <c r="V501" s="249"/>
      <c r="W501" s="330"/>
      <c r="X501" s="343"/>
      <c r="Y501" s="249"/>
      <c r="Z501" s="330"/>
      <c r="AA501" s="343"/>
      <c r="AB501" s="249"/>
      <c r="AC501" s="330"/>
      <c r="AD501" s="343"/>
      <c r="AE501" s="249"/>
      <c r="AF501" s="330"/>
      <c r="AG501" s="343"/>
      <c r="AH501" s="249"/>
      <c r="AI501" s="330"/>
      <c r="AJ501" s="343"/>
      <c r="AK501" s="249"/>
      <c r="AL501" s="330"/>
      <c r="AM501" s="343"/>
      <c r="AN501" s="249"/>
      <c r="AO501" s="330"/>
      <c r="AP501" s="343"/>
      <c r="AQ501" s="249"/>
      <c r="AR501" s="330"/>
      <c r="AS501" s="343"/>
      <c r="AT501" s="249"/>
      <c r="AU501" s="330"/>
    </row>
    <row r="502" spans="2:47">
      <c r="B502" s="247">
        <f>'Table S2 Compound Identifiers'!C504</f>
        <v>0</v>
      </c>
      <c r="C502" s="247">
        <f>COUNTIF($D$6:D502,"&lt;&gt;"&amp;"")</f>
        <v>497</v>
      </c>
      <c r="D502" s="247">
        <f>'Table S2 Compound Identifiers'!B504</f>
        <v>0</v>
      </c>
      <c r="E502" s="247"/>
      <c r="F502" s="248"/>
      <c r="G502" s="249"/>
      <c r="H502" s="330"/>
      <c r="I502" s="328"/>
      <c r="J502" s="249"/>
      <c r="K502" s="330"/>
      <c r="L502" s="250"/>
      <c r="M502" s="249"/>
      <c r="N502" s="330"/>
      <c r="O502" s="250"/>
      <c r="P502" s="249"/>
      <c r="Q502" s="330"/>
      <c r="R502" s="250"/>
      <c r="S502" s="249"/>
      <c r="T502" s="330"/>
      <c r="U502" s="250"/>
      <c r="V502" s="249"/>
      <c r="W502" s="330"/>
      <c r="X502" s="343"/>
      <c r="Y502" s="249"/>
      <c r="Z502" s="330"/>
      <c r="AA502" s="343"/>
      <c r="AB502" s="249"/>
      <c r="AC502" s="330"/>
      <c r="AD502" s="343"/>
      <c r="AE502" s="249"/>
      <c r="AF502" s="330"/>
      <c r="AG502" s="343"/>
      <c r="AH502" s="249"/>
      <c r="AI502" s="330"/>
      <c r="AJ502" s="343"/>
      <c r="AK502" s="249"/>
      <c r="AL502" s="330"/>
      <c r="AM502" s="343"/>
      <c r="AN502" s="249"/>
      <c r="AO502" s="330"/>
      <c r="AP502" s="343"/>
      <c r="AQ502" s="249"/>
      <c r="AR502" s="330"/>
      <c r="AS502" s="343"/>
      <c r="AT502" s="249"/>
      <c r="AU502" s="330"/>
    </row>
    <row r="503" spans="2:47">
      <c r="B503" s="247">
        <f>'Table S2 Compound Identifiers'!C505</f>
        <v>0</v>
      </c>
      <c r="C503" s="247">
        <f>COUNTIF($D$6:D503,"&lt;&gt;"&amp;"")</f>
        <v>498</v>
      </c>
      <c r="D503" s="247">
        <f>'Table S2 Compound Identifiers'!B505</f>
        <v>0</v>
      </c>
      <c r="E503" s="247"/>
      <c r="F503" s="248"/>
      <c r="G503" s="249"/>
      <c r="H503" s="330"/>
      <c r="I503" s="328"/>
      <c r="J503" s="249"/>
      <c r="K503" s="330"/>
      <c r="L503" s="250"/>
      <c r="M503" s="249"/>
      <c r="N503" s="330"/>
      <c r="O503" s="250"/>
      <c r="P503" s="249"/>
      <c r="Q503" s="330"/>
      <c r="R503" s="250"/>
      <c r="S503" s="249"/>
      <c r="T503" s="330"/>
      <c r="U503" s="250"/>
      <c r="V503" s="249"/>
      <c r="W503" s="330"/>
      <c r="X503" s="343"/>
      <c r="Y503" s="249"/>
      <c r="Z503" s="330"/>
      <c r="AA503" s="343"/>
      <c r="AB503" s="249"/>
      <c r="AC503" s="330"/>
      <c r="AD503" s="343"/>
      <c r="AE503" s="249"/>
      <c r="AF503" s="330"/>
      <c r="AG503" s="343"/>
      <c r="AH503" s="249"/>
      <c r="AI503" s="330"/>
      <c r="AJ503" s="343"/>
      <c r="AK503" s="249"/>
      <c r="AL503" s="330"/>
      <c r="AM503" s="343"/>
      <c r="AN503" s="249"/>
      <c r="AO503" s="330"/>
      <c r="AP503" s="343"/>
      <c r="AQ503" s="249"/>
      <c r="AR503" s="330"/>
      <c r="AS503" s="343"/>
      <c r="AT503" s="249"/>
      <c r="AU503" s="330"/>
    </row>
    <row r="504" spans="2:47">
      <c r="B504" s="247">
        <f>'Table S2 Compound Identifiers'!C506</f>
        <v>0</v>
      </c>
      <c r="C504" s="247">
        <f>COUNTIF($D$6:D504,"&lt;&gt;"&amp;"")</f>
        <v>499</v>
      </c>
      <c r="D504" s="247">
        <f>'Table S2 Compound Identifiers'!B506</f>
        <v>0</v>
      </c>
      <c r="E504" s="247"/>
      <c r="F504" s="248"/>
      <c r="G504" s="249"/>
      <c r="H504" s="330"/>
      <c r="I504" s="328"/>
      <c r="J504" s="249"/>
      <c r="K504" s="330"/>
      <c r="L504" s="250"/>
      <c r="M504" s="249"/>
      <c r="N504" s="330"/>
      <c r="O504" s="250"/>
      <c r="P504" s="249"/>
      <c r="Q504" s="330"/>
      <c r="R504" s="250"/>
      <c r="S504" s="249"/>
      <c r="T504" s="330"/>
      <c r="U504" s="250"/>
      <c r="V504" s="249"/>
      <c r="W504" s="330"/>
      <c r="X504" s="343"/>
      <c r="Y504" s="249"/>
      <c r="Z504" s="330"/>
      <c r="AA504" s="343"/>
      <c r="AB504" s="249"/>
      <c r="AC504" s="330"/>
      <c r="AD504" s="343"/>
      <c r="AE504" s="249"/>
      <c r="AF504" s="330"/>
      <c r="AG504" s="343"/>
      <c r="AH504" s="249"/>
      <c r="AI504" s="330"/>
      <c r="AJ504" s="343"/>
      <c r="AK504" s="249"/>
      <c r="AL504" s="330"/>
      <c r="AM504" s="343"/>
      <c r="AN504" s="249"/>
      <c r="AO504" s="330"/>
      <c r="AP504" s="343"/>
      <c r="AQ504" s="249"/>
      <c r="AR504" s="330"/>
      <c r="AS504" s="343"/>
      <c r="AT504" s="249"/>
      <c r="AU504" s="330"/>
    </row>
    <row r="505" spans="2:47">
      <c r="B505" s="247">
        <f>'Table S2 Compound Identifiers'!C507</f>
        <v>0</v>
      </c>
      <c r="C505" s="247">
        <f>COUNTIF($D$6:D505,"&lt;&gt;"&amp;"")</f>
        <v>500</v>
      </c>
      <c r="D505" s="247">
        <f>'Table S2 Compound Identifiers'!B507</f>
        <v>0</v>
      </c>
      <c r="E505" s="247"/>
      <c r="F505" s="248"/>
      <c r="G505" s="249"/>
      <c r="H505" s="330"/>
      <c r="I505" s="328"/>
      <c r="J505" s="249"/>
      <c r="K505" s="330"/>
      <c r="L505" s="250"/>
      <c r="M505" s="249"/>
      <c r="N505" s="330"/>
      <c r="O505" s="250"/>
      <c r="P505" s="249"/>
      <c r="Q505" s="330"/>
      <c r="R505" s="250"/>
      <c r="S505" s="249"/>
      <c r="T505" s="330"/>
      <c r="U505" s="250"/>
      <c r="V505" s="249"/>
      <c r="W505" s="330"/>
      <c r="X505" s="343"/>
      <c r="Y505" s="249"/>
      <c r="Z505" s="330"/>
      <c r="AA505" s="343"/>
      <c r="AB505" s="249"/>
      <c r="AC505" s="330"/>
      <c r="AD505" s="343"/>
      <c r="AE505" s="249"/>
      <c r="AF505" s="330"/>
      <c r="AG505" s="343"/>
      <c r="AH505" s="249"/>
      <c r="AI505" s="330"/>
      <c r="AJ505" s="343"/>
      <c r="AK505" s="249"/>
      <c r="AL505" s="330"/>
      <c r="AM505" s="343"/>
      <c r="AN505" s="249"/>
      <c r="AO505" s="330"/>
      <c r="AP505" s="343"/>
      <c r="AQ505" s="249"/>
      <c r="AR505" s="330"/>
      <c r="AS505" s="343"/>
      <c r="AT505" s="249"/>
      <c r="AU505" s="330"/>
    </row>
    <row r="506" spans="2:47">
      <c r="B506" s="247">
        <f>'Table S2 Compound Identifiers'!C508</f>
        <v>0</v>
      </c>
      <c r="C506" s="247">
        <f>COUNTIF($D$6:D506,"&lt;&gt;"&amp;"")</f>
        <v>501</v>
      </c>
      <c r="D506" s="432">
        <f>'Table S2 Compound Identifiers'!B508</f>
        <v>0</v>
      </c>
      <c r="E506" s="247"/>
      <c r="F506" s="248"/>
      <c r="G506" s="249"/>
      <c r="H506" s="330"/>
      <c r="I506" s="328"/>
      <c r="J506" s="249"/>
      <c r="K506" s="330"/>
      <c r="L506" s="250"/>
      <c r="M506" s="249"/>
      <c r="N506" s="330"/>
      <c r="O506" s="250"/>
      <c r="P506" s="249"/>
      <c r="Q506" s="330"/>
      <c r="R506" s="250"/>
      <c r="S506" s="249"/>
      <c r="T506" s="330"/>
      <c r="U506" s="250"/>
      <c r="V506" s="249"/>
      <c r="W506" s="330"/>
      <c r="X506" s="343"/>
      <c r="Y506" s="249"/>
      <c r="Z506" s="330"/>
      <c r="AA506" s="343"/>
      <c r="AB506" s="249"/>
      <c r="AC506" s="330"/>
      <c r="AD506" s="343"/>
      <c r="AE506" s="249"/>
      <c r="AF506" s="330"/>
      <c r="AG506" s="343"/>
      <c r="AH506" s="249"/>
      <c r="AI506" s="330"/>
      <c r="AJ506" s="343"/>
      <c r="AK506" s="249"/>
      <c r="AL506" s="330"/>
      <c r="AM506" s="343"/>
      <c r="AN506" s="249"/>
      <c r="AO506" s="330"/>
      <c r="AP506" s="343"/>
      <c r="AQ506" s="249"/>
      <c r="AR506" s="330"/>
      <c r="AS506" s="343"/>
      <c r="AT506" s="249"/>
      <c r="AU506" s="330"/>
    </row>
    <row r="507" spans="2:47">
      <c r="B507" s="247">
        <f>'Table S2 Compound Identifiers'!C509</f>
        <v>0</v>
      </c>
      <c r="C507" s="247">
        <f>COUNTIF($D$6:D507,"&lt;&gt;"&amp;"")</f>
        <v>502</v>
      </c>
      <c r="D507" s="432">
        <f>'Table S2 Compound Identifiers'!B509</f>
        <v>0</v>
      </c>
      <c r="E507" s="247"/>
      <c r="F507" s="248"/>
      <c r="G507" s="249"/>
      <c r="H507" s="330"/>
      <c r="I507" s="328"/>
      <c r="J507" s="249"/>
      <c r="K507" s="330"/>
      <c r="L507" s="250"/>
      <c r="M507" s="249"/>
      <c r="N507" s="330"/>
      <c r="O507" s="250"/>
      <c r="P507" s="249"/>
      <c r="Q507" s="330"/>
      <c r="R507" s="250"/>
      <c r="S507" s="249"/>
      <c r="T507" s="330"/>
      <c r="U507" s="250"/>
      <c r="V507" s="249"/>
      <c r="W507" s="330"/>
      <c r="X507" s="343"/>
      <c r="Y507" s="249"/>
      <c r="Z507" s="330"/>
      <c r="AA507" s="343"/>
      <c r="AB507" s="249"/>
      <c r="AC507" s="330"/>
      <c r="AD507" s="343"/>
      <c r="AE507" s="249"/>
      <c r="AF507" s="330"/>
      <c r="AG507" s="343"/>
      <c r="AH507" s="249"/>
      <c r="AI507" s="330"/>
      <c r="AJ507" s="343"/>
      <c r="AK507" s="249"/>
      <c r="AL507" s="330"/>
      <c r="AM507" s="343"/>
      <c r="AN507" s="249"/>
      <c r="AO507" s="330"/>
      <c r="AP507" s="343"/>
      <c r="AQ507" s="249"/>
      <c r="AR507" s="330"/>
      <c r="AS507" s="343"/>
      <c r="AT507" s="249"/>
      <c r="AU507" s="330"/>
    </row>
    <row r="508" spans="2:47">
      <c r="B508" s="247">
        <f>'Table S2 Compound Identifiers'!C510</f>
        <v>0</v>
      </c>
      <c r="C508" s="247">
        <f>COUNTIF($D$6:D508,"&lt;&gt;"&amp;"")</f>
        <v>503</v>
      </c>
      <c r="D508" s="432">
        <f>'Table S2 Compound Identifiers'!B510</f>
        <v>0</v>
      </c>
      <c r="E508" s="247"/>
      <c r="F508" s="248"/>
      <c r="G508" s="249"/>
      <c r="H508" s="330"/>
      <c r="I508" s="328"/>
      <c r="J508" s="249"/>
      <c r="K508" s="330"/>
      <c r="L508" s="250"/>
      <c r="M508" s="249"/>
      <c r="N508" s="330"/>
      <c r="O508" s="250"/>
      <c r="P508" s="249"/>
      <c r="Q508" s="330"/>
      <c r="R508" s="250"/>
      <c r="S508" s="249"/>
      <c r="T508" s="330"/>
      <c r="U508" s="250"/>
      <c r="V508" s="249"/>
      <c r="W508" s="330"/>
      <c r="X508" s="343"/>
      <c r="Y508" s="249"/>
      <c r="Z508" s="330"/>
      <c r="AA508" s="343"/>
      <c r="AB508" s="249"/>
      <c r="AC508" s="330"/>
      <c r="AD508" s="343"/>
      <c r="AE508" s="249"/>
      <c r="AF508" s="330"/>
      <c r="AG508" s="343"/>
      <c r="AH508" s="249"/>
      <c r="AI508" s="330"/>
      <c r="AJ508" s="343"/>
      <c r="AK508" s="249"/>
      <c r="AL508" s="330"/>
      <c r="AM508" s="343"/>
      <c r="AN508" s="249"/>
      <c r="AO508" s="330"/>
      <c r="AP508" s="343"/>
      <c r="AQ508" s="249"/>
      <c r="AR508" s="330"/>
      <c r="AS508" s="343"/>
      <c r="AT508" s="249"/>
      <c r="AU508" s="330"/>
    </row>
    <row r="509" spans="2:47">
      <c r="B509" s="247">
        <f>'Table S2 Compound Identifiers'!C511</f>
        <v>0</v>
      </c>
      <c r="C509" s="247">
        <f>COUNTIF($D$6:D509,"&lt;&gt;"&amp;"")</f>
        <v>504</v>
      </c>
      <c r="D509" s="432">
        <f>'Table S2 Compound Identifiers'!B511</f>
        <v>0</v>
      </c>
      <c r="E509" s="247"/>
      <c r="F509" s="248"/>
      <c r="G509" s="249"/>
      <c r="H509" s="330"/>
      <c r="I509" s="328"/>
      <c r="J509" s="249"/>
      <c r="K509" s="330"/>
      <c r="L509" s="250"/>
      <c r="M509" s="249"/>
      <c r="N509" s="330"/>
      <c r="O509" s="250"/>
      <c r="P509" s="249"/>
      <c r="Q509" s="330"/>
      <c r="R509" s="250"/>
      <c r="S509" s="249"/>
      <c r="T509" s="330"/>
      <c r="U509" s="250"/>
      <c r="V509" s="249"/>
      <c r="W509" s="330"/>
      <c r="X509" s="343"/>
      <c r="Y509" s="249"/>
      <c r="Z509" s="330"/>
      <c r="AA509" s="343"/>
      <c r="AB509" s="249"/>
      <c r="AC509" s="330"/>
      <c r="AD509" s="343"/>
      <c r="AE509" s="249"/>
      <c r="AF509" s="330"/>
      <c r="AG509" s="343"/>
      <c r="AH509" s="249"/>
      <c r="AI509" s="330"/>
      <c r="AJ509" s="343"/>
      <c r="AK509" s="249"/>
      <c r="AL509" s="330"/>
      <c r="AM509" s="343"/>
      <c r="AN509" s="249"/>
      <c r="AO509" s="330"/>
      <c r="AP509" s="343"/>
      <c r="AQ509" s="249"/>
      <c r="AR509" s="330"/>
      <c r="AS509" s="343"/>
      <c r="AT509" s="249"/>
      <c r="AU509" s="330"/>
    </row>
    <row r="510" spans="2:47">
      <c r="B510" s="247">
        <f>'Table S2 Compound Identifiers'!C512</f>
        <v>0</v>
      </c>
      <c r="C510" s="247">
        <f>COUNTIF($D$6:D510,"&lt;&gt;"&amp;"")</f>
        <v>505</v>
      </c>
      <c r="D510" s="432">
        <f>'Table S2 Compound Identifiers'!B512</f>
        <v>0</v>
      </c>
      <c r="E510" s="247"/>
      <c r="F510" s="248"/>
      <c r="G510" s="249"/>
      <c r="H510" s="330"/>
      <c r="I510" s="328"/>
      <c r="J510" s="249"/>
      <c r="K510" s="330"/>
      <c r="L510" s="250"/>
      <c r="M510" s="249"/>
      <c r="N510" s="330"/>
      <c r="O510" s="250"/>
      <c r="P510" s="249"/>
      <c r="Q510" s="330"/>
      <c r="R510" s="250"/>
      <c r="S510" s="249"/>
      <c r="T510" s="330"/>
      <c r="U510" s="250"/>
      <c r="V510" s="249"/>
      <c r="W510" s="330"/>
      <c r="X510" s="343"/>
      <c r="Y510" s="249"/>
      <c r="Z510" s="330"/>
      <c r="AA510" s="343"/>
      <c r="AB510" s="249"/>
      <c r="AC510" s="330"/>
      <c r="AD510" s="343"/>
      <c r="AE510" s="249"/>
      <c r="AF510" s="330"/>
      <c r="AG510" s="343"/>
      <c r="AH510" s="249"/>
      <c r="AI510" s="330"/>
      <c r="AJ510" s="343"/>
      <c r="AK510" s="249"/>
      <c r="AL510" s="330"/>
      <c r="AM510" s="343"/>
      <c r="AN510" s="249"/>
      <c r="AO510" s="330"/>
      <c r="AP510" s="343"/>
      <c r="AQ510" s="249"/>
      <c r="AR510" s="330"/>
      <c r="AS510" s="343"/>
      <c r="AT510" s="249"/>
      <c r="AU510" s="330"/>
    </row>
    <row r="511" spans="2:47">
      <c r="B511" s="247">
        <f>'Table S2 Compound Identifiers'!C513</f>
        <v>0</v>
      </c>
      <c r="C511" s="247">
        <f>COUNTIF($D$6:D511,"&lt;&gt;"&amp;"")</f>
        <v>506</v>
      </c>
      <c r="D511" s="432">
        <f>'Table S2 Compound Identifiers'!B513</f>
        <v>0</v>
      </c>
      <c r="E511" s="247"/>
      <c r="F511" s="248"/>
      <c r="G511" s="249"/>
      <c r="H511" s="330"/>
      <c r="I511" s="328"/>
      <c r="J511" s="249"/>
      <c r="K511" s="330"/>
      <c r="L511" s="250"/>
      <c r="M511" s="249"/>
      <c r="N511" s="330"/>
      <c r="O511" s="250"/>
      <c r="P511" s="249"/>
      <c r="Q511" s="330"/>
      <c r="R511" s="250"/>
      <c r="S511" s="249"/>
      <c r="T511" s="330"/>
      <c r="U511" s="250"/>
      <c r="V511" s="249"/>
      <c r="W511" s="330"/>
      <c r="X511" s="343"/>
      <c r="Y511" s="249"/>
      <c r="Z511" s="330"/>
      <c r="AA511" s="343"/>
      <c r="AB511" s="249"/>
      <c r="AC511" s="330"/>
      <c r="AD511" s="343"/>
      <c r="AE511" s="249"/>
      <c r="AF511" s="330"/>
      <c r="AG511" s="343"/>
      <c r="AH511" s="249"/>
      <c r="AI511" s="330"/>
      <c r="AJ511" s="343"/>
      <c r="AK511" s="249"/>
      <c r="AL511" s="330"/>
      <c r="AM511" s="343"/>
      <c r="AN511" s="249"/>
      <c r="AO511" s="330"/>
      <c r="AP511" s="343"/>
      <c r="AQ511" s="249"/>
      <c r="AR511" s="330"/>
      <c r="AS511" s="343"/>
      <c r="AT511" s="249"/>
      <c r="AU511" s="330"/>
    </row>
    <row r="512" spans="2:47">
      <c r="B512" s="247">
        <f>'Table S2 Compound Identifiers'!C514</f>
        <v>0</v>
      </c>
      <c r="C512" s="247">
        <f>COUNTIF($D$6:D512,"&lt;&gt;"&amp;"")</f>
        <v>507</v>
      </c>
      <c r="D512" s="432">
        <f>'Table S2 Compound Identifiers'!B514</f>
        <v>0</v>
      </c>
      <c r="E512" s="247"/>
      <c r="F512" s="248"/>
      <c r="G512" s="249"/>
      <c r="H512" s="330"/>
      <c r="I512" s="328"/>
      <c r="J512" s="249"/>
      <c r="K512" s="330"/>
      <c r="L512" s="250"/>
      <c r="M512" s="249"/>
      <c r="N512" s="330"/>
      <c r="O512" s="250"/>
      <c r="P512" s="249"/>
      <c r="Q512" s="330"/>
      <c r="R512" s="250"/>
      <c r="S512" s="249"/>
      <c r="T512" s="330"/>
      <c r="U512" s="250"/>
      <c r="V512" s="249"/>
      <c r="W512" s="330"/>
      <c r="X512" s="343"/>
      <c r="Y512" s="249"/>
      <c r="Z512" s="330"/>
      <c r="AA512" s="343"/>
      <c r="AB512" s="249"/>
      <c r="AC512" s="330"/>
      <c r="AD512" s="343"/>
      <c r="AE512" s="249"/>
      <c r="AF512" s="330"/>
      <c r="AG512" s="343"/>
      <c r="AH512" s="249"/>
      <c r="AI512" s="330"/>
      <c r="AJ512" s="343"/>
      <c r="AK512" s="249"/>
      <c r="AL512" s="330"/>
      <c r="AM512" s="343"/>
      <c r="AN512" s="249"/>
      <c r="AO512" s="330"/>
      <c r="AP512" s="343"/>
      <c r="AQ512" s="249"/>
      <c r="AR512" s="330"/>
      <c r="AS512" s="343"/>
      <c r="AT512" s="249"/>
      <c r="AU512" s="330"/>
    </row>
    <row r="513" spans="2:47">
      <c r="B513" s="247">
        <f>'Table S2 Compound Identifiers'!C515</f>
        <v>0</v>
      </c>
      <c r="C513" s="247">
        <f>COUNTIF($D$6:D513,"&lt;&gt;"&amp;"")</f>
        <v>508</v>
      </c>
      <c r="D513" s="432">
        <f>'Table S2 Compound Identifiers'!B515</f>
        <v>0</v>
      </c>
      <c r="E513" s="247"/>
      <c r="F513" s="248"/>
      <c r="G513" s="249"/>
      <c r="H513" s="330"/>
      <c r="I513" s="328"/>
      <c r="J513" s="249"/>
      <c r="K513" s="330"/>
      <c r="L513" s="250"/>
      <c r="M513" s="249"/>
      <c r="N513" s="330"/>
      <c r="O513" s="250"/>
      <c r="P513" s="249"/>
      <c r="Q513" s="330"/>
      <c r="R513" s="250"/>
      <c r="S513" s="249"/>
      <c r="T513" s="330"/>
      <c r="U513" s="250"/>
      <c r="V513" s="249"/>
      <c r="W513" s="330"/>
      <c r="X513" s="343"/>
      <c r="Y513" s="249"/>
      <c r="Z513" s="330"/>
      <c r="AA513" s="343"/>
      <c r="AB513" s="249"/>
      <c r="AC513" s="330"/>
      <c r="AD513" s="343"/>
      <c r="AE513" s="249"/>
      <c r="AF513" s="330"/>
      <c r="AG513" s="343"/>
      <c r="AH513" s="249"/>
      <c r="AI513" s="330"/>
      <c r="AJ513" s="343"/>
      <c r="AK513" s="249"/>
      <c r="AL513" s="330"/>
      <c r="AM513" s="343"/>
      <c r="AN513" s="249"/>
      <c r="AO513" s="330"/>
      <c r="AP513" s="343"/>
      <c r="AQ513" s="249"/>
      <c r="AR513" s="330"/>
      <c r="AS513" s="343"/>
      <c r="AT513" s="249"/>
      <c r="AU513" s="330"/>
    </row>
    <row r="514" spans="2:47">
      <c r="B514" s="247">
        <f>'Table S2 Compound Identifiers'!C516</f>
        <v>0</v>
      </c>
      <c r="C514" s="247">
        <f>COUNTIF($D$6:D514,"&lt;&gt;"&amp;"")</f>
        <v>509</v>
      </c>
      <c r="D514" s="432">
        <f>'Table S2 Compound Identifiers'!B516</f>
        <v>0</v>
      </c>
      <c r="E514" s="247"/>
      <c r="F514" s="248"/>
      <c r="G514" s="249"/>
      <c r="H514" s="330"/>
      <c r="I514" s="328"/>
      <c r="J514" s="249"/>
      <c r="K514" s="330"/>
      <c r="L514" s="250"/>
      <c r="M514" s="249"/>
      <c r="N514" s="330"/>
      <c r="O514" s="250"/>
      <c r="P514" s="249"/>
      <c r="Q514" s="330"/>
      <c r="R514" s="250"/>
      <c r="S514" s="249"/>
      <c r="T514" s="330"/>
      <c r="U514" s="250"/>
      <c r="V514" s="249"/>
      <c r="W514" s="330"/>
      <c r="X514" s="343"/>
      <c r="Y514" s="249"/>
      <c r="Z514" s="330"/>
      <c r="AA514" s="343"/>
      <c r="AB514" s="249"/>
      <c r="AC514" s="330"/>
      <c r="AD514" s="343"/>
      <c r="AE514" s="249"/>
      <c r="AF514" s="330"/>
      <c r="AG514" s="343"/>
      <c r="AH514" s="249"/>
      <c r="AI514" s="330"/>
      <c r="AJ514" s="343"/>
      <c r="AK514" s="249"/>
      <c r="AL514" s="330"/>
      <c r="AM514" s="343"/>
      <c r="AN514" s="249"/>
      <c r="AO514" s="330"/>
      <c r="AP514" s="343"/>
      <c r="AQ514" s="249"/>
      <c r="AR514" s="330"/>
      <c r="AS514" s="343"/>
      <c r="AT514" s="249"/>
      <c r="AU514" s="330"/>
    </row>
    <row r="515" spans="2:47">
      <c r="B515" s="247">
        <f>'Table S2 Compound Identifiers'!C517</f>
        <v>0</v>
      </c>
      <c r="C515" s="247">
        <f>COUNTIF($D$6:D515,"&lt;&gt;"&amp;"")</f>
        <v>510</v>
      </c>
      <c r="D515" s="432">
        <f>'Table S2 Compound Identifiers'!B517</f>
        <v>0</v>
      </c>
      <c r="E515" s="247"/>
      <c r="F515" s="248"/>
      <c r="G515" s="249"/>
      <c r="H515" s="330"/>
      <c r="I515" s="328"/>
      <c r="J515" s="249"/>
      <c r="K515" s="330"/>
      <c r="L515" s="250"/>
      <c r="M515" s="249"/>
      <c r="N515" s="330"/>
      <c r="O515" s="250"/>
      <c r="P515" s="249"/>
      <c r="Q515" s="330"/>
      <c r="R515" s="250"/>
      <c r="S515" s="249"/>
      <c r="T515" s="330"/>
      <c r="U515" s="250"/>
      <c r="V515" s="249"/>
      <c r="W515" s="330"/>
      <c r="X515" s="343"/>
      <c r="Y515" s="249"/>
      <c r="Z515" s="330"/>
      <c r="AA515" s="343"/>
      <c r="AB515" s="249"/>
      <c r="AC515" s="330"/>
      <c r="AD515" s="343"/>
      <c r="AE515" s="249"/>
      <c r="AF515" s="330"/>
      <c r="AG515" s="343"/>
      <c r="AH515" s="249"/>
      <c r="AI515" s="330"/>
      <c r="AJ515" s="343"/>
      <c r="AK515" s="249"/>
      <c r="AL515" s="330"/>
      <c r="AM515" s="343"/>
      <c r="AN515" s="249"/>
      <c r="AO515" s="330"/>
      <c r="AP515" s="343"/>
      <c r="AQ515" s="249"/>
      <c r="AR515" s="330"/>
      <c r="AS515" s="343"/>
      <c r="AT515" s="249"/>
      <c r="AU515" s="330"/>
    </row>
    <row r="516" spans="2:47">
      <c r="B516" s="247">
        <f>'Table S2 Compound Identifiers'!C518</f>
        <v>0</v>
      </c>
      <c r="C516" s="247">
        <f>COUNTIF($D$6:D516,"&lt;&gt;"&amp;"")</f>
        <v>511</v>
      </c>
      <c r="D516" s="247">
        <f>'Table S2 Compound Identifiers'!B518</f>
        <v>0</v>
      </c>
      <c r="E516" s="247"/>
      <c r="F516" s="248"/>
      <c r="G516" s="249"/>
      <c r="H516" s="330"/>
      <c r="I516" s="328"/>
      <c r="J516" s="249"/>
      <c r="K516" s="330"/>
      <c r="L516" s="250"/>
      <c r="M516" s="249"/>
      <c r="N516" s="330"/>
      <c r="O516" s="250"/>
      <c r="P516" s="249"/>
      <c r="Q516" s="330"/>
      <c r="R516" s="250"/>
      <c r="S516" s="249"/>
      <c r="T516" s="330"/>
      <c r="U516" s="250"/>
      <c r="V516" s="249"/>
      <c r="W516" s="330"/>
      <c r="X516" s="343"/>
      <c r="Y516" s="249"/>
      <c r="Z516" s="330"/>
      <c r="AA516" s="343"/>
      <c r="AB516" s="249"/>
      <c r="AC516" s="330"/>
      <c r="AD516" s="343"/>
      <c r="AE516" s="249"/>
      <c r="AF516" s="330"/>
      <c r="AG516" s="343"/>
      <c r="AH516" s="249"/>
      <c r="AI516" s="330"/>
      <c r="AJ516" s="343"/>
      <c r="AK516" s="249"/>
      <c r="AL516" s="330"/>
      <c r="AM516" s="343"/>
      <c r="AN516" s="249"/>
      <c r="AO516" s="330"/>
      <c r="AP516" s="343"/>
      <c r="AQ516" s="249"/>
      <c r="AR516" s="330"/>
      <c r="AS516" s="343"/>
      <c r="AT516" s="249"/>
      <c r="AU516" s="330"/>
    </row>
    <row r="517" spans="2:47">
      <c r="B517" s="247">
        <f>'Table S2 Compound Identifiers'!C519</f>
        <v>0</v>
      </c>
      <c r="C517" s="247">
        <f>COUNTIF($D$6:D517,"&lt;&gt;"&amp;"")</f>
        <v>512</v>
      </c>
      <c r="D517" s="247">
        <f>'Table S2 Compound Identifiers'!B519</f>
        <v>0</v>
      </c>
      <c r="E517" s="247"/>
      <c r="F517" s="248"/>
      <c r="G517" s="249"/>
      <c r="H517" s="330"/>
      <c r="I517" s="328"/>
      <c r="J517" s="249"/>
      <c r="K517" s="330"/>
      <c r="L517" s="250"/>
      <c r="M517" s="249"/>
      <c r="N517" s="330"/>
      <c r="O517" s="250"/>
      <c r="P517" s="249"/>
      <c r="Q517" s="330"/>
      <c r="R517" s="250"/>
      <c r="S517" s="249"/>
      <c r="T517" s="330"/>
      <c r="U517" s="250"/>
      <c r="V517" s="249"/>
      <c r="W517" s="330"/>
      <c r="X517" s="343"/>
      <c r="Y517" s="249"/>
      <c r="Z517" s="330"/>
      <c r="AA517" s="343"/>
      <c r="AB517" s="249"/>
      <c r="AC517" s="330"/>
      <c r="AD517" s="343"/>
      <c r="AE517" s="249"/>
      <c r="AF517" s="330"/>
      <c r="AG517" s="343"/>
      <c r="AH517" s="249"/>
      <c r="AI517" s="330"/>
      <c r="AJ517" s="343"/>
      <c r="AK517" s="249"/>
      <c r="AL517" s="330"/>
      <c r="AM517" s="343"/>
      <c r="AN517" s="249"/>
      <c r="AO517" s="330"/>
      <c r="AP517" s="343"/>
      <c r="AQ517" s="249"/>
      <c r="AR517" s="330"/>
      <c r="AS517" s="343"/>
      <c r="AT517" s="249"/>
      <c r="AU517" s="330"/>
    </row>
    <row r="518" spans="2:47">
      <c r="B518" s="247">
        <f>'Table S2 Compound Identifiers'!C520</f>
        <v>0</v>
      </c>
      <c r="C518" s="247">
        <f>COUNTIF($D$6:D518,"&lt;&gt;"&amp;"")</f>
        <v>513</v>
      </c>
      <c r="D518" s="247">
        <f>'Table S2 Compound Identifiers'!B520</f>
        <v>0</v>
      </c>
      <c r="E518" s="247"/>
      <c r="F518" s="248"/>
      <c r="G518" s="249"/>
      <c r="H518" s="330"/>
      <c r="I518" s="328"/>
      <c r="J518" s="249"/>
      <c r="K518" s="330"/>
      <c r="L518" s="250"/>
      <c r="M518" s="249"/>
      <c r="N518" s="330"/>
      <c r="O518" s="250"/>
      <c r="P518" s="249"/>
      <c r="Q518" s="330"/>
      <c r="R518" s="250"/>
      <c r="S518" s="249"/>
      <c r="T518" s="330"/>
      <c r="U518" s="250"/>
      <c r="V518" s="249"/>
      <c r="W518" s="330"/>
      <c r="X518" s="343"/>
      <c r="Y518" s="249"/>
      <c r="Z518" s="330"/>
      <c r="AA518" s="343"/>
      <c r="AB518" s="249"/>
      <c r="AC518" s="330"/>
      <c r="AD518" s="343"/>
      <c r="AE518" s="249"/>
      <c r="AF518" s="330"/>
      <c r="AG518" s="343"/>
      <c r="AH518" s="249"/>
      <c r="AI518" s="330"/>
      <c r="AJ518" s="343"/>
      <c r="AK518" s="249"/>
      <c r="AL518" s="330"/>
      <c r="AM518" s="343"/>
      <c r="AN518" s="249"/>
      <c r="AO518" s="330"/>
      <c r="AP518" s="343"/>
      <c r="AQ518" s="249"/>
      <c r="AR518" s="330"/>
      <c r="AS518" s="343"/>
      <c r="AT518" s="249"/>
      <c r="AU518" s="330"/>
    </row>
    <row r="519" spans="2:47">
      <c r="B519" s="247">
        <f>'Table S2 Compound Identifiers'!C521</f>
        <v>0</v>
      </c>
      <c r="C519" s="247">
        <f>COUNTIF($D$6:D519,"&lt;&gt;"&amp;"")</f>
        <v>514</v>
      </c>
      <c r="D519" s="247">
        <f>'Table S2 Compound Identifiers'!B521</f>
        <v>0</v>
      </c>
      <c r="E519" s="247"/>
      <c r="F519" s="248"/>
      <c r="G519" s="249"/>
      <c r="H519" s="330"/>
      <c r="I519" s="328"/>
      <c r="J519" s="249"/>
      <c r="K519" s="330"/>
      <c r="L519" s="250"/>
      <c r="M519" s="249"/>
      <c r="N519" s="330"/>
      <c r="O519" s="250"/>
      <c r="P519" s="249"/>
      <c r="Q519" s="330"/>
      <c r="R519" s="250"/>
      <c r="S519" s="249"/>
      <c r="T519" s="330"/>
      <c r="U519" s="250"/>
      <c r="V519" s="249"/>
      <c r="W519" s="330"/>
      <c r="X519" s="343"/>
      <c r="Y519" s="249"/>
      <c r="Z519" s="330"/>
      <c r="AA519" s="343"/>
      <c r="AB519" s="249"/>
      <c r="AC519" s="330"/>
      <c r="AD519" s="343"/>
      <c r="AE519" s="249"/>
      <c r="AF519" s="330"/>
      <c r="AG519" s="343"/>
      <c r="AH519" s="249"/>
      <c r="AI519" s="330"/>
      <c r="AJ519" s="343"/>
      <c r="AK519" s="249"/>
      <c r="AL519" s="330"/>
      <c r="AM519" s="343"/>
      <c r="AN519" s="249"/>
      <c r="AO519" s="330"/>
      <c r="AP519" s="343"/>
      <c r="AQ519" s="249"/>
      <c r="AR519" s="330"/>
      <c r="AS519" s="343"/>
      <c r="AT519" s="249"/>
      <c r="AU519" s="330"/>
    </row>
    <row r="520" spans="2:47">
      <c r="B520" s="247">
        <f>'Table S2 Compound Identifiers'!C522</f>
        <v>0</v>
      </c>
      <c r="C520" s="247">
        <f>COUNTIF($D$6:D520,"&lt;&gt;"&amp;"")</f>
        <v>515</v>
      </c>
      <c r="D520" s="247">
        <f>'Table S2 Compound Identifiers'!B522</f>
        <v>0</v>
      </c>
      <c r="E520" s="247"/>
      <c r="F520" s="248"/>
      <c r="G520" s="249"/>
      <c r="H520" s="330"/>
      <c r="I520" s="328"/>
      <c r="J520" s="249"/>
      <c r="K520" s="330"/>
      <c r="L520" s="250"/>
      <c r="M520" s="249"/>
      <c r="N520" s="330"/>
      <c r="O520" s="250"/>
      <c r="P520" s="249"/>
      <c r="Q520" s="330"/>
      <c r="R520" s="250"/>
      <c r="S520" s="249"/>
      <c r="T520" s="330"/>
      <c r="U520" s="250"/>
      <c r="V520" s="249"/>
      <c r="W520" s="330"/>
      <c r="X520" s="343"/>
      <c r="Y520" s="249"/>
      <c r="Z520" s="330"/>
      <c r="AA520" s="343"/>
      <c r="AB520" s="249"/>
      <c r="AC520" s="330"/>
      <c r="AD520" s="343"/>
      <c r="AE520" s="249"/>
      <c r="AF520" s="330"/>
      <c r="AG520" s="343"/>
      <c r="AH520" s="249"/>
      <c r="AI520" s="330"/>
      <c r="AJ520" s="343"/>
      <c r="AK520" s="249"/>
      <c r="AL520" s="330"/>
      <c r="AM520" s="343"/>
      <c r="AN520" s="249"/>
      <c r="AO520" s="330"/>
      <c r="AP520" s="343"/>
      <c r="AQ520" s="249"/>
      <c r="AR520" s="330"/>
      <c r="AS520" s="343"/>
      <c r="AT520" s="249"/>
      <c r="AU520" s="330"/>
    </row>
    <row r="521" spans="2:47">
      <c r="B521" s="247">
        <f>'Table S2 Compound Identifiers'!C523</f>
        <v>0</v>
      </c>
      <c r="C521" s="247">
        <f>COUNTIF($D$6:D521,"&lt;&gt;"&amp;"")</f>
        <v>516</v>
      </c>
      <c r="D521" s="247">
        <f>'Table S2 Compound Identifiers'!B523</f>
        <v>0</v>
      </c>
      <c r="E521" s="247"/>
      <c r="F521" s="248"/>
      <c r="G521" s="249"/>
      <c r="H521" s="330"/>
      <c r="I521" s="328"/>
      <c r="J521" s="249"/>
      <c r="K521" s="330"/>
      <c r="L521" s="250"/>
      <c r="M521" s="249"/>
      <c r="N521" s="330"/>
      <c r="O521" s="250"/>
      <c r="P521" s="249"/>
      <c r="Q521" s="330"/>
      <c r="R521" s="250"/>
      <c r="S521" s="249"/>
      <c r="T521" s="330"/>
      <c r="U521" s="250"/>
      <c r="V521" s="249"/>
      <c r="W521" s="330"/>
      <c r="X521" s="343"/>
      <c r="Y521" s="249"/>
      <c r="Z521" s="330"/>
      <c r="AA521" s="343"/>
      <c r="AB521" s="249"/>
      <c r="AC521" s="330"/>
      <c r="AD521" s="343"/>
      <c r="AE521" s="249"/>
      <c r="AF521" s="330"/>
      <c r="AG521" s="343"/>
      <c r="AH521" s="249"/>
      <c r="AI521" s="330"/>
      <c r="AJ521" s="343"/>
      <c r="AK521" s="249"/>
      <c r="AL521" s="330"/>
      <c r="AM521" s="343"/>
      <c r="AN521" s="249"/>
      <c r="AO521" s="330"/>
      <c r="AP521" s="343"/>
      <c r="AQ521" s="249"/>
      <c r="AR521" s="330"/>
      <c r="AS521" s="343"/>
      <c r="AT521" s="249"/>
      <c r="AU521" s="330"/>
    </row>
    <row r="522" spans="2:47">
      <c r="B522" s="247">
        <f>'Table S2 Compound Identifiers'!C524</f>
        <v>0</v>
      </c>
      <c r="C522" s="247">
        <f>COUNTIF($D$6:D522,"&lt;&gt;"&amp;"")</f>
        <v>517</v>
      </c>
      <c r="D522" s="247">
        <f>'Table S2 Compound Identifiers'!B524</f>
        <v>0</v>
      </c>
      <c r="E522" s="247"/>
      <c r="F522" s="248"/>
      <c r="G522" s="249"/>
      <c r="H522" s="330"/>
      <c r="I522" s="328"/>
      <c r="J522" s="249"/>
      <c r="K522" s="330"/>
      <c r="L522" s="250"/>
      <c r="M522" s="249"/>
      <c r="N522" s="330"/>
      <c r="O522" s="251"/>
      <c r="P522" s="252"/>
      <c r="Q522" s="330"/>
      <c r="R522" s="251"/>
      <c r="S522" s="252"/>
      <c r="T522" s="330"/>
      <c r="U522" s="251"/>
      <c r="V522" s="252"/>
      <c r="W522" s="330"/>
      <c r="X522" s="343"/>
      <c r="Y522" s="249"/>
      <c r="Z522" s="330"/>
      <c r="AA522" s="343"/>
      <c r="AB522" s="249"/>
      <c r="AC522" s="330"/>
      <c r="AD522" s="343"/>
      <c r="AE522" s="249"/>
      <c r="AF522" s="330"/>
      <c r="AG522" s="343"/>
      <c r="AH522" s="249"/>
      <c r="AI522" s="330"/>
      <c r="AJ522" s="343"/>
      <c r="AK522" s="249"/>
      <c r="AL522" s="330"/>
      <c r="AM522" s="343"/>
      <c r="AN522" s="249"/>
      <c r="AO522" s="330"/>
      <c r="AP522" s="343"/>
      <c r="AQ522" s="249"/>
      <c r="AR522" s="330"/>
      <c r="AS522" s="343"/>
      <c r="AT522" s="249"/>
      <c r="AU522" s="330"/>
    </row>
    <row r="523" spans="2:47">
      <c r="B523" s="247">
        <f>'Table S2 Compound Identifiers'!C525</f>
        <v>0</v>
      </c>
      <c r="C523" s="253">
        <f>COUNTIF($D$6:D523,"&lt;&gt;"&amp;"")</f>
        <v>518</v>
      </c>
      <c r="D523" s="253">
        <f>'Table S2 Compound Identifiers'!B525</f>
        <v>0</v>
      </c>
      <c r="E523" s="253"/>
      <c r="F523" s="254"/>
      <c r="G523" s="252"/>
      <c r="H523" s="330"/>
      <c r="I523" s="333"/>
      <c r="J523" s="252"/>
      <c r="K523" s="330"/>
      <c r="L523" s="251"/>
      <c r="M523" s="252"/>
      <c r="N523" s="330"/>
      <c r="O523" s="251"/>
      <c r="P523" s="252"/>
      <c r="Q523" s="330"/>
      <c r="R523" s="251"/>
      <c r="S523" s="252"/>
      <c r="T523" s="330"/>
      <c r="U523" s="251"/>
      <c r="V523" s="252"/>
      <c r="W523" s="330"/>
      <c r="X523" s="343"/>
      <c r="Y523" s="249"/>
      <c r="Z523" s="330"/>
      <c r="AA523" s="343"/>
      <c r="AB523" s="249"/>
      <c r="AC523" s="330"/>
      <c r="AD523" s="343"/>
      <c r="AE523" s="249"/>
      <c r="AF523" s="330"/>
      <c r="AG523" s="343"/>
      <c r="AH523" s="249"/>
      <c r="AI523" s="330"/>
      <c r="AJ523" s="343"/>
      <c r="AK523" s="249"/>
      <c r="AL523" s="330"/>
      <c r="AM523" s="343"/>
      <c r="AN523" s="249"/>
      <c r="AO523" s="330"/>
      <c r="AP523" s="343"/>
      <c r="AQ523" s="249"/>
      <c r="AR523" s="330"/>
      <c r="AS523" s="343"/>
      <c r="AT523" s="249"/>
      <c r="AU523" s="330"/>
    </row>
    <row r="524" spans="2:47">
      <c r="B524" s="247">
        <f>'Table S2 Compound Identifiers'!C526</f>
        <v>0</v>
      </c>
      <c r="C524" s="247">
        <f>COUNTIF($D$6:D524,"&lt;&gt;"&amp;"")</f>
        <v>519</v>
      </c>
      <c r="D524" s="247">
        <f>'Table S2 Compound Identifiers'!B526</f>
        <v>0</v>
      </c>
      <c r="E524" s="247"/>
      <c r="F524" s="248"/>
      <c r="G524" s="250"/>
      <c r="H524" s="330"/>
      <c r="I524" s="343"/>
      <c r="J524" s="249"/>
      <c r="K524" s="327"/>
      <c r="L524" s="343"/>
      <c r="M524" s="249"/>
      <c r="N524" s="327"/>
      <c r="O524" s="343"/>
      <c r="P524" s="249"/>
      <c r="Q524" s="327"/>
      <c r="R524" s="343"/>
      <c r="S524" s="249"/>
      <c r="T524" s="327"/>
      <c r="U524" s="343"/>
      <c r="V524" s="249"/>
      <c r="W524" s="327"/>
      <c r="X524" s="343"/>
      <c r="Y524" s="249"/>
      <c r="Z524" s="327"/>
      <c r="AA524" s="343"/>
      <c r="AB524" s="249"/>
      <c r="AC524" s="343"/>
      <c r="AD524" s="343"/>
      <c r="AE524" s="249"/>
      <c r="AF524" s="249"/>
      <c r="AG524" s="343"/>
      <c r="AH524" s="249"/>
      <c r="AI524" s="343"/>
      <c r="AJ524" s="343"/>
      <c r="AK524" s="249"/>
      <c r="AL524" s="249"/>
      <c r="AM524" s="343"/>
      <c r="AN524" s="249"/>
      <c r="AO524" s="343"/>
      <c r="AP524" s="343"/>
      <c r="AQ524" s="249"/>
      <c r="AR524" s="249"/>
      <c r="AS524" s="343"/>
      <c r="AT524" s="249"/>
      <c r="AU524" s="343"/>
    </row>
    <row r="525" spans="2:47">
      <c r="B525" s="247">
        <f>'Table S2 Compound Identifiers'!C527</f>
        <v>0</v>
      </c>
      <c r="C525" s="247">
        <f>COUNTIF($D$6:D525,"&lt;&gt;"&amp;"")</f>
        <v>520</v>
      </c>
      <c r="D525" s="247">
        <f>'Table S2 Compound Identifiers'!B527</f>
        <v>0</v>
      </c>
      <c r="E525" s="247"/>
      <c r="F525" s="248"/>
      <c r="G525" s="249"/>
      <c r="H525" s="330"/>
      <c r="I525" s="332"/>
      <c r="J525" s="330"/>
      <c r="K525" s="330"/>
      <c r="L525" s="330"/>
      <c r="M525" s="330"/>
      <c r="N525" s="330"/>
      <c r="O525" s="330"/>
      <c r="P525" s="330"/>
      <c r="Q525" s="330"/>
      <c r="R525" s="330"/>
      <c r="S525" s="330"/>
      <c r="T525" s="330"/>
      <c r="U525" s="330"/>
      <c r="V525" s="330"/>
      <c r="W525" s="330"/>
      <c r="X525" s="343"/>
      <c r="Y525" s="249"/>
      <c r="Z525" s="330"/>
      <c r="AA525" s="343"/>
      <c r="AB525" s="249"/>
      <c r="AC525" s="330"/>
      <c r="AD525" s="343"/>
      <c r="AE525" s="249"/>
      <c r="AF525" s="330"/>
      <c r="AG525" s="343"/>
      <c r="AH525" s="249"/>
      <c r="AI525" s="330"/>
      <c r="AJ525" s="343"/>
      <c r="AK525" s="249"/>
      <c r="AL525" s="330"/>
      <c r="AM525" s="343"/>
      <c r="AN525" s="249"/>
      <c r="AO525" s="330"/>
      <c r="AP525" s="343"/>
      <c r="AQ525" s="249"/>
      <c r="AR525" s="330"/>
      <c r="AS525" s="343"/>
      <c r="AT525" s="249"/>
      <c r="AU525" s="330"/>
    </row>
    <row r="526" spans="2:47">
      <c r="B526" s="247">
        <f>'Table S2 Compound Identifiers'!C528</f>
        <v>0</v>
      </c>
      <c r="C526" s="247">
        <f>COUNTIF($D$6:D526,"&lt;&gt;"&amp;"")</f>
        <v>521</v>
      </c>
      <c r="D526" s="247">
        <f>'Table S2 Compound Identifiers'!B528</f>
        <v>0</v>
      </c>
      <c r="E526" s="247"/>
      <c r="F526" s="248"/>
      <c r="G526" s="249"/>
      <c r="H526" s="330"/>
      <c r="I526" s="332"/>
      <c r="J526" s="330"/>
      <c r="K526" s="330"/>
      <c r="L526" s="330"/>
      <c r="M526" s="330"/>
      <c r="N526" s="330"/>
      <c r="O526" s="330"/>
      <c r="P526" s="330"/>
      <c r="Q526" s="330"/>
      <c r="R526" s="330"/>
      <c r="S526" s="330"/>
      <c r="T526" s="330"/>
      <c r="U526" s="330"/>
      <c r="V526" s="330"/>
      <c r="W526" s="330"/>
      <c r="X526" s="343"/>
      <c r="Y526" s="249"/>
      <c r="Z526" s="330"/>
      <c r="AA526" s="343"/>
      <c r="AB526" s="249"/>
      <c r="AC526" s="330"/>
      <c r="AD526" s="343"/>
      <c r="AE526" s="249"/>
      <c r="AF526" s="330"/>
      <c r="AG526" s="343"/>
      <c r="AH526" s="249"/>
      <c r="AI526" s="330"/>
      <c r="AJ526" s="343"/>
      <c r="AK526" s="249"/>
      <c r="AL526" s="330"/>
      <c r="AM526" s="343"/>
      <c r="AN526" s="249"/>
      <c r="AO526" s="330"/>
      <c r="AP526" s="343"/>
      <c r="AQ526" s="249"/>
      <c r="AR526" s="330"/>
      <c r="AS526" s="343"/>
      <c r="AT526" s="249"/>
      <c r="AU526" s="330"/>
    </row>
    <row r="527" spans="2:47">
      <c r="B527" s="247">
        <f>'Table S2 Compound Identifiers'!C529</f>
        <v>0</v>
      </c>
      <c r="C527" s="247">
        <f>COUNTIF($D$6:D527,"&lt;&gt;"&amp;"")</f>
        <v>522</v>
      </c>
      <c r="D527" s="247">
        <f>'Table S2 Compound Identifiers'!B529</f>
        <v>0</v>
      </c>
      <c r="E527" s="247"/>
      <c r="F527" s="248"/>
      <c r="G527" s="249"/>
      <c r="H527" s="330"/>
      <c r="I527" s="332"/>
      <c r="J527" s="330"/>
      <c r="K527" s="330"/>
      <c r="L527" s="330"/>
      <c r="M527" s="330"/>
      <c r="N527" s="330"/>
      <c r="O527" s="330"/>
      <c r="P527" s="330"/>
      <c r="Q527" s="330"/>
      <c r="R527" s="330"/>
      <c r="S527" s="330"/>
      <c r="T527" s="330"/>
      <c r="U527" s="330"/>
      <c r="V527" s="330"/>
      <c r="W527" s="330"/>
      <c r="X527" s="343"/>
      <c r="Y527" s="249"/>
      <c r="Z527" s="330"/>
      <c r="AA527" s="343"/>
      <c r="AB527" s="249"/>
      <c r="AC527" s="330"/>
      <c r="AD527" s="343"/>
      <c r="AE527" s="249"/>
      <c r="AF527" s="330"/>
      <c r="AG527" s="343"/>
      <c r="AH527" s="249"/>
      <c r="AI527" s="330"/>
      <c r="AJ527" s="343"/>
      <c r="AK527" s="249"/>
      <c r="AL527" s="330"/>
      <c r="AM527" s="343"/>
      <c r="AN527" s="249"/>
      <c r="AO527" s="330"/>
      <c r="AP527" s="343"/>
      <c r="AQ527" s="249"/>
      <c r="AR527" s="330"/>
      <c r="AS527" s="343"/>
      <c r="AT527" s="249"/>
      <c r="AU527" s="330"/>
    </row>
    <row r="528" spans="2:47">
      <c r="B528" s="247">
        <f>'Table S2 Compound Identifiers'!C530</f>
        <v>0</v>
      </c>
      <c r="C528" s="247">
        <f>COUNTIF($D$6:D528,"&lt;&gt;"&amp;"")</f>
        <v>523</v>
      </c>
      <c r="D528" s="247">
        <f>'Table S2 Compound Identifiers'!B530</f>
        <v>0</v>
      </c>
      <c r="E528" s="247"/>
      <c r="F528" s="248"/>
      <c r="G528" s="249"/>
      <c r="H528" s="330"/>
      <c r="I528" s="328"/>
      <c r="J528" s="249"/>
      <c r="K528" s="330"/>
      <c r="L528" s="250"/>
      <c r="M528" s="249"/>
      <c r="N528" s="330"/>
      <c r="O528" s="250"/>
      <c r="P528" s="249"/>
      <c r="Q528" s="330"/>
      <c r="R528" s="250"/>
      <c r="S528" s="249"/>
      <c r="T528" s="330"/>
      <c r="U528" s="250"/>
      <c r="V528" s="249"/>
      <c r="W528" s="330"/>
      <c r="X528" s="343"/>
      <c r="Y528" s="249"/>
      <c r="Z528" s="330"/>
      <c r="AA528" s="343"/>
      <c r="AB528" s="249"/>
      <c r="AC528" s="330"/>
      <c r="AD528" s="343"/>
      <c r="AE528" s="249"/>
      <c r="AF528" s="330"/>
      <c r="AG528" s="343"/>
      <c r="AH528" s="249"/>
      <c r="AI528" s="330"/>
      <c r="AJ528" s="343"/>
      <c r="AK528" s="249"/>
      <c r="AL528" s="330"/>
      <c r="AM528" s="343"/>
      <c r="AN528" s="249"/>
      <c r="AO528" s="330"/>
      <c r="AP528" s="343"/>
      <c r="AQ528" s="249"/>
      <c r="AR528" s="330"/>
      <c r="AS528" s="343"/>
      <c r="AT528" s="249"/>
      <c r="AU528" s="330"/>
    </row>
    <row r="529" spans="2:47">
      <c r="B529" s="247">
        <f>'Table S2 Compound Identifiers'!C531</f>
        <v>0</v>
      </c>
      <c r="C529" s="247">
        <f>COUNTIF($D$6:D529,"&lt;&gt;"&amp;"")</f>
        <v>524</v>
      </c>
      <c r="D529" s="247">
        <f>'Table S2 Compound Identifiers'!B531</f>
        <v>0</v>
      </c>
      <c r="E529" s="247"/>
      <c r="F529" s="248"/>
      <c r="G529" s="249"/>
      <c r="H529" s="330"/>
      <c r="I529" s="328"/>
      <c r="J529" s="249"/>
      <c r="K529" s="330"/>
      <c r="L529" s="250"/>
      <c r="M529" s="249"/>
      <c r="N529" s="330"/>
      <c r="O529" s="250"/>
      <c r="P529" s="249"/>
      <c r="Q529" s="330"/>
      <c r="R529" s="250"/>
      <c r="S529" s="249"/>
      <c r="T529" s="330"/>
      <c r="U529" s="250"/>
      <c r="V529" s="249"/>
      <c r="W529" s="330"/>
      <c r="X529" s="343"/>
      <c r="Y529" s="249"/>
      <c r="Z529" s="330"/>
      <c r="AA529" s="343"/>
      <c r="AB529" s="249"/>
      <c r="AC529" s="330"/>
      <c r="AD529" s="343"/>
      <c r="AE529" s="249"/>
      <c r="AF529" s="330"/>
      <c r="AG529" s="343"/>
      <c r="AH529" s="249"/>
      <c r="AI529" s="330"/>
      <c r="AJ529" s="343"/>
      <c r="AK529" s="249"/>
      <c r="AL529" s="330"/>
      <c r="AM529" s="343"/>
      <c r="AN529" s="249"/>
      <c r="AO529" s="330"/>
      <c r="AP529" s="343"/>
      <c r="AQ529" s="249"/>
      <c r="AR529" s="330"/>
      <c r="AS529" s="343"/>
      <c r="AT529" s="249"/>
      <c r="AU529" s="330"/>
    </row>
    <row r="530" spans="2:47">
      <c r="B530" s="247">
        <f>'Table S2 Compound Identifiers'!C532</f>
        <v>0</v>
      </c>
      <c r="C530" s="247">
        <f>COUNTIF($D$6:D530,"&lt;&gt;"&amp;"")</f>
        <v>525</v>
      </c>
      <c r="D530" s="247">
        <f>'Table S2 Compound Identifiers'!B532</f>
        <v>0</v>
      </c>
      <c r="E530" s="247"/>
      <c r="F530" s="248"/>
      <c r="G530" s="249"/>
      <c r="H530" s="330"/>
      <c r="I530" s="328"/>
      <c r="J530" s="249"/>
      <c r="K530" s="330"/>
      <c r="L530" s="250"/>
      <c r="M530" s="249"/>
      <c r="N530" s="330"/>
      <c r="O530" s="250"/>
      <c r="P530" s="249"/>
      <c r="Q530" s="330"/>
      <c r="R530" s="250"/>
      <c r="S530" s="249"/>
      <c r="T530" s="330"/>
      <c r="U530" s="250"/>
      <c r="V530" s="249"/>
      <c r="W530" s="330"/>
      <c r="X530" s="343"/>
      <c r="Y530" s="249"/>
      <c r="Z530" s="330"/>
      <c r="AA530" s="343"/>
      <c r="AB530" s="249"/>
      <c r="AC530" s="330"/>
      <c r="AD530" s="343"/>
      <c r="AE530" s="249"/>
      <c r="AF530" s="330"/>
      <c r="AG530" s="343"/>
      <c r="AH530" s="249"/>
      <c r="AI530" s="330"/>
      <c r="AJ530" s="343"/>
      <c r="AK530" s="249"/>
      <c r="AL530" s="330"/>
      <c r="AM530" s="343"/>
      <c r="AN530" s="249"/>
      <c r="AO530" s="330"/>
      <c r="AP530" s="343"/>
      <c r="AQ530" s="249"/>
      <c r="AR530" s="330"/>
      <c r="AS530" s="343"/>
      <c r="AT530" s="249"/>
      <c r="AU530" s="330"/>
    </row>
    <row r="531" spans="2:47">
      <c r="B531" s="247">
        <f>'Table S2 Compound Identifiers'!C533</f>
        <v>0</v>
      </c>
      <c r="C531" s="247">
        <f>COUNTIF($D$6:D531,"&lt;&gt;"&amp;"")</f>
        <v>526</v>
      </c>
      <c r="D531" s="247">
        <f>'Table S2 Compound Identifiers'!B533</f>
        <v>0</v>
      </c>
      <c r="E531" s="247"/>
      <c r="F531" s="248"/>
      <c r="G531" s="249"/>
      <c r="H531" s="330"/>
      <c r="I531" s="328"/>
      <c r="J531" s="249"/>
      <c r="K531" s="330"/>
      <c r="L531" s="250"/>
      <c r="M531" s="249"/>
      <c r="N531" s="330"/>
      <c r="O531" s="250"/>
      <c r="P531" s="249"/>
      <c r="Q531" s="330"/>
      <c r="R531" s="250"/>
      <c r="S531" s="249"/>
      <c r="T531" s="330"/>
      <c r="U531" s="250"/>
      <c r="V531" s="249"/>
      <c r="W531" s="330"/>
      <c r="X531" s="343"/>
      <c r="Y531" s="249"/>
      <c r="Z531" s="330"/>
      <c r="AA531" s="343"/>
      <c r="AB531" s="249"/>
      <c r="AC531" s="330"/>
      <c r="AD531" s="343"/>
      <c r="AE531" s="249"/>
      <c r="AF531" s="330"/>
      <c r="AG531" s="343"/>
      <c r="AH531" s="249"/>
      <c r="AI531" s="330"/>
      <c r="AJ531" s="343"/>
      <c r="AK531" s="249"/>
      <c r="AL531" s="330"/>
      <c r="AM531" s="343"/>
      <c r="AN531" s="249"/>
      <c r="AO531" s="330"/>
      <c r="AP531" s="343"/>
      <c r="AQ531" s="249"/>
      <c r="AR531" s="330"/>
      <c r="AS531" s="343"/>
      <c r="AT531" s="249"/>
      <c r="AU531" s="330"/>
    </row>
    <row r="532" spans="2:47">
      <c r="B532" s="247">
        <f>'Table S2 Compound Identifiers'!C534</f>
        <v>0</v>
      </c>
      <c r="C532" s="247">
        <f>COUNTIF($D$6:D532,"&lt;&gt;"&amp;"")</f>
        <v>527</v>
      </c>
      <c r="D532" s="247">
        <f>'Table S2 Compound Identifiers'!B534</f>
        <v>0</v>
      </c>
      <c r="E532" s="247"/>
      <c r="F532" s="248"/>
      <c r="G532" s="249"/>
      <c r="H532" s="330"/>
      <c r="I532" s="328"/>
      <c r="J532" s="249"/>
      <c r="K532" s="330"/>
      <c r="L532" s="250"/>
      <c r="M532" s="249"/>
      <c r="N532" s="330"/>
      <c r="O532" s="250"/>
      <c r="P532" s="249"/>
      <c r="Q532" s="330"/>
      <c r="R532" s="250"/>
      <c r="S532" s="249"/>
      <c r="T532" s="330"/>
      <c r="U532" s="250"/>
      <c r="V532" s="249"/>
      <c r="W532" s="330"/>
      <c r="X532" s="343"/>
      <c r="Y532" s="249"/>
      <c r="Z532" s="330"/>
      <c r="AA532" s="343"/>
      <c r="AB532" s="249"/>
      <c r="AC532" s="330"/>
      <c r="AD532" s="343"/>
      <c r="AE532" s="249"/>
      <c r="AF532" s="330"/>
      <c r="AG532" s="343"/>
      <c r="AH532" s="249"/>
      <c r="AI532" s="330"/>
      <c r="AJ532" s="343"/>
      <c r="AK532" s="249"/>
      <c r="AL532" s="330"/>
      <c r="AM532" s="343"/>
      <c r="AN532" s="249"/>
      <c r="AO532" s="330"/>
      <c r="AP532" s="343"/>
      <c r="AQ532" s="249"/>
      <c r="AR532" s="330"/>
      <c r="AS532" s="343"/>
      <c r="AT532" s="249"/>
      <c r="AU532" s="330"/>
    </row>
    <row r="533" spans="2:47">
      <c r="B533" s="247">
        <f>'Table S2 Compound Identifiers'!C535</f>
        <v>0</v>
      </c>
      <c r="C533" s="247">
        <f>COUNTIF($D$6:D533,"&lt;&gt;"&amp;"")</f>
        <v>528</v>
      </c>
      <c r="D533" s="247">
        <f>'Table S2 Compound Identifiers'!B535</f>
        <v>0</v>
      </c>
      <c r="E533" s="247"/>
      <c r="F533" s="248"/>
      <c r="G533" s="249"/>
      <c r="H533" s="330"/>
      <c r="I533" s="328"/>
      <c r="J533" s="249"/>
      <c r="K533" s="330"/>
      <c r="L533" s="250"/>
      <c r="M533" s="249"/>
      <c r="N533" s="330"/>
      <c r="O533" s="250"/>
      <c r="P533" s="249"/>
      <c r="Q533" s="330"/>
      <c r="R533" s="250"/>
      <c r="S533" s="249"/>
      <c r="T533" s="330"/>
      <c r="U533" s="250"/>
      <c r="V533" s="249"/>
      <c r="W533" s="330"/>
      <c r="X533" s="343"/>
      <c r="Y533" s="249"/>
      <c r="Z533" s="330"/>
      <c r="AA533" s="343"/>
      <c r="AB533" s="249"/>
      <c r="AC533" s="330"/>
      <c r="AD533" s="343"/>
      <c r="AE533" s="249"/>
      <c r="AF533" s="330"/>
      <c r="AG533" s="343"/>
      <c r="AH533" s="249"/>
      <c r="AI533" s="330"/>
      <c r="AJ533" s="343"/>
      <c r="AK533" s="249"/>
      <c r="AL533" s="330"/>
      <c r="AM533" s="343"/>
      <c r="AN533" s="249"/>
      <c r="AO533" s="330"/>
      <c r="AP533" s="343"/>
      <c r="AQ533" s="249"/>
      <c r="AR533" s="330"/>
      <c r="AS533" s="343"/>
      <c r="AT533" s="249"/>
      <c r="AU533" s="330"/>
    </row>
    <row r="534" spans="2:47">
      <c r="B534" s="247">
        <f>'Table S2 Compound Identifiers'!C536</f>
        <v>0</v>
      </c>
      <c r="C534" s="247">
        <f>COUNTIF($D$6:D534,"&lt;&gt;"&amp;"")</f>
        <v>529</v>
      </c>
      <c r="D534" s="247">
        <f>'Table S2 Compound Identifiers'!B536</f>
        <v>0</v>
      </c>
      <c r="E534" s="247"/>
      <c r="F534" s="248"/>
      <c r="G534" s="249"/>
      <c r="H534" s="330"/>
      <c r="I534" s="328"/>
      <c r="J534" s="249"/>
      <c r="K534" s="330"/>
      <c r="L534" s="250"/>
      <c r="M534" s="249"/>
      <c r="N534" s="330"/>
      <c r="O534" s="250"/>
      <c r="P534" s="249"/>
      <c r="Q534" s="330"/>
      <c r="R534" s="250"/>
      <c r="S534" s="249"/>
      <c r="T534" s="330"/>
      <c r="U534" s="250"/>
      <c r="V534" s="249"/>
      <c r="W534" s="330"/>
      <c r="X534" s="343"/>
      <c r="Y534" s="249"/>
      <c r="Z534" s="330"/>
      <c r="AA534" s="343"/>
      <c r="AB534" s="249"/>
      <c r="AC534" s="330"/>
      <c r="AD534" s="343"/>
      <c r="AE534" s="249"/>
      <c r="AF534" s="330"/>
      <c r="AG534" s="343"/>
      <c r="AH534" s="249"/>
      <c r="AI534" s="330"/>
      <c r="AJ534" s="343"/>
      <c r="AK534" s="249"/>
      <c r="AL534" s="330"/>
      <c r="AM534" s="343"/>
      <c r="AN534" s="249"/>
      <c r="AO534" s="330"/>
      <c r="AP534" s="343"/>
      <c r="AQ534" s="249"/>
      <c r="AR534" s="330"/>
      <c r="AS534" s="343"/>
      <c r="AT534" s="249"/>
      <c r="AU534" s="330"/>
    </row>
    <row r="535" spans="2:47">
      <c r="B535" s="247">
        <f>'Table S2 Compound Identifiers'!C537</f>
        <v>0</v>
      </c>
      <c r="C535" s="247">
        <f>COUNTIF($D$6:D535,"&lt;&gt;"&amp;"")</f>
        <v>530</v>
      </c>
      <c r="D535" s="247">
        <f>'Table S2 Compound Identifiers'!B537</f>
        <v>0</v>
      </c>
      <c r="E535" s="247"/>
      <c r="F535" s="248"/>
      <c r="G535" s="249"/>
      <c r="H535" s="330"/>
      <c r="I535" s="328"/>
      <c r="J535" s="249"/>
      <c r="K535" s="330"/>
      <c r="L535" s="250"/>
      <c r="M535" s="249"/>
      <c r="N535" s="330"/>
      <c r="O535" s="250"/>
      <c r="P535" s="249"/>
      <c r="Q535" s="330"/>
      <c r="R535" s="250"/>
      <c r="S535" s="249"/>
      <c r="T535" s="330"/>
      <c r="U535" s="250"/>
      <c r="V535" s="249"/>
      <c r="W535" s="330"/>
      <c r="X535" s="343"/>
      <c r="Y535" s="249"/>
      <c r="Z535" s="330"/>
      <c r="AA535" s="343"/>
      <c r="AB535" s="249"/>
      <c r="AC535" s="330"/>
      <c r="AD535" s="343"/>
      <c r="AE535" s="249"/>
      <c r="AF535" s="330"/>
      <c r="AG535" s="343"/>
      <c r="AH535" s="249"/>
      <c r="AI535" s="330"/>
      <c r="AJ535" s="343"/>
      <c r="AK535" s="249"/>
      <c r="AL535" s="330"/>
      <c r="AM535" s="343"/>
      <c r="AN535" s="249"/>
      <c r="AO535" s="330"/>
      <c r="AP535" s="343"/>
      <c r="AQ535" s="249"/>
      <c r="AR535" s="330"/>
      <c r="AS535" s="343"/>
      <c r="AT535" s="249"/>
      <c r="AU535" s="330"/>
    </row>
    <row r="536" spans="2:47">
      <c r="B536" s="247">
        <f>'Table S2 Compound Identifiers'!C538</f>
        <v>0</v>
      </c>
      <c r="C536" s="247">
        <f>COUNTIF($D$6:D536,"&lt;&gt;"&amp;"")</f>
        <v>531</v>
      </c>
      <c r="D536" s="247">
        <f>'Table S2 Compound Identifiers'!B538</f>
        <v>0</v>
      </c>
      <c r="E536" s="247"/>
      <c r="F536" s="248"/>
      <c r="G536" s="249"/>
      <c r="H536" s="330"/>
      <c r="I536" s="328"/>
      <c r="J536" s="249"/>
      <c r="K536" s="330"/>
      <c r="L536" s="250"/>
      <c r="M536" s="249"/>
      <c r="N536" s="330"/>
      <c r="O536" s="250"/>
      <c r="P536" s="249"/>
      <c r="Q536" s="330"/>
      <c r="R536" s="250"/>
      <c r="S536" s="249"/>
      <c r="T536" s="330"/>
      <c r="U536" s="250"/>
      <c r="V536" s="249"/>
      <c r="W536" s="330"/>
      <c r="X536" s="343"/>
      <c r="Y536" s="249"/>
      <c r="Z536" s="330"/>
      <c r="AA536" s="343"/>
      <c r="AB536" s="249"/>
      <c r="AC536" s="330"/>
      <c r="AD536" s="343"/>
      <c r="AE536" s="249"/>
      <c r="AF536" s="330"/>
      <c r="AG536" s="343"/>
      <c r="AH536" s="249"/>
      <c r="AI536" s="330"/>
      <c r="AJ536" s="343"/>
      <c r="AK536" s="249"/>
      <c r="AL536" s="330"/>
      <c r="AM536" s="343"/>
      <c r="AN536" s="249"/>
      <c r="AO536" s="330"/>
      <c r="AP536" s="343"/>
      <c r="AQ536" s="249"/>
      <c r="AR536" s="330"/>
      <c r="AS536" s="343"/>
      <c r="AT536" s="249"/>
      <c r="AU536" s="330"/>
    </row>
    <row r="537" spans="2:47">
      <c r="B537" s="247">
        <f>'Table S2 Compound Identifiers'!C539</f>
        <v>0</v>
      </c>
      <c r="C537" s="247">
        <f>COUNTIF($D$6:D537,"&lt;&gt;"&amp;"")</f>
        <v>532</v>
      </c>
      <c r="D537" s="247">
        <f>'Table S2 Compound Identifiers'!B539</f>
        <v>0</v>
      </c>
      <c r="E537" s="247"/>
      <c r="F537" s="248"/>
      <c r="G537" s="249"/>
      <c r="H537" s="330"/>
      <c r="I537" s="328"/>
      <c r="J537" s="249"/>
      <c r="K537" s="330"/>
      <c r="L537" s="250"/>
      <c r="M537" s="249"/>
      <c r="N537" s="330"/>
      <c r="O537" s="250"/>
      <c r="P537" s="249"/>
      <c r="Q537" s="330"/>
      <c r="R537" s="250"/>
      <c r="S537" s="249"/>
      <c r="T537" s="330"/>
      <c r="U537" s="250"/>
      <c r="V537" s="249"/>
      <c r="W537" s="330"/>
      <c r="X537" s="343"/>
      <c r="Y537" s="249"/>
      <c r="Z537" s="330"/>
      <c r="AA537" s="343"/>
      <c r="AB537" s="249"/>
      <c r="AC537" s="330"/>
      <c r="AD537" s="343"/>
      <c r="AE537" s="249"/>
      <c r="AF537" s="330"/>
      <c r="AG537" s="343"/>
      <c r="AH537" s="249"/>
      <c r="AI537" s="330"/>
      <c r="AJ537" s="343"/>
      <c r="AK537" s="249"/>
      <c r="AL537" s="330"/>
      <c r="AM537" s="343"/>
      <c r="AN537" s="249"/>
      <c r="AO537" s="330"/>
      <c r="AP537" s="343"/>
      <c r="AQ537" s="249"/>
      <c r="AR537" s="330"/>
      <c r="AS537" s="343"/>
      <c r="AT537" s="249"/>
      <c r="AU537" s="330"/>
    </row>
    <row r="538" spans="2:47">
      <c r="B538" s="247">
        <f>'Table S2 Compound Identifiers'!C540</f>
        <v>0</v>
      </c>
      <c r="C538" s="247">
        <f>COUNTIF($D$6:D538,"&lt;&gt;"&amp;"")</f>
        <v>533</v>
      </c>
      <c r="D538" s="247">
        <f>'Table S2 Compound Identifiers'!B540</f>
        <v>0</v>
      </c>
      <c r="E538" s="247"/>
      <c r="F538" s="248"/>
      <c r="G538" s="249"/>
      <c r="H538" s="330"/>
      <c r="I538" s="328"/>
      <c r="J538" s="249"/>
      <c r="K538" s="330"/>
      <c r="L538" s="250"/>
      <c r="M538" s="249"/>
      <c r="N538" s="330"/>
      <c r="O538" s="250"/>
      <c r="P538" s="249"/>
      <c r="Q538" s="330"/>
      <c r="R538" s="250"/>
      <c r="S538" s="249"/>
      <c r="T538" s="330"/>
      <c r="U538" s="250"/>
      <c r="V538" s="249"/>
      <c r="W538" s="330"/>
      <c r="X538" s="343"/>
      <c r="Y538" s="249"/>
      <c r="Z538" s="330"/>
      <c r="AA538" s="343"/>
      <c r="AB538" s="249"/>
      <c r="AC538" s="330"/>
      <c r="AD538" s="343"/>
      <c r="AE538" s="249"/>
      <c r="AF538" s="330"/>
      <c r="AG538" s="343"/>
      <c r="AH538" s="249"/>
      <c r="AI538" s="330"/>
      <c r="AJ538" s="343"/>
      <c r="AK538" s="249"/>
      <c r="AL538" s="330"/>
      <c r="AM538" s="343"/>
      <c r="AN538" s="249"/>
      <c r="AO538" s="330"/>
      <c r="AP538" s="343"/>
      <c r="AQ538" s="249"/>
      <c r="AR538" s="330"/>
      <c r="AS538" s="343"/>
      <c r="AT538" s="249"/>
      <c r="AU538" s="330"/>
    </row>
    <row r="539" spans="2:47">
      <c r="B539" s="247">
        <f>'Table S2 Compound Identifiers'!C541</f>
        <v>0</v>
      </c>
      <c r="C539" s="247">
        <f>COUNTIF($D$6:D539,"&lt;&gt;"&amp;"")</f>
        <v>534</v>
      </c>
      <c r="D539" s="247">
        <f>'Table S2 Compound Identifiers'!B541</f>
        <v>0</v>
      </c>
      <c r="E539" s="247"/>
      <c r="F539" s="248"/>
      <c r="G539" s="249"/>
      <c r="H539" s="330"/>
      <c r="I539" s="328"/>
      <c r="J539" s="249"/>
      <c r="K539" s="330"/>
      <c r="L539" s="250"/>
      <c r="M539" s="249"/>
      <c r="N539" s="330"/>
      <c r="O539" s="250"/>
      <c r="P539" s="249"/>
      <c r="Q539" s="330"/>
      <c r="R539" s="250"/>
      <c r="S539" s="249"/>
      <c r="T539" s="330"/>
      <c r="U539" s="250"/>
      <c r="V539" s="249"/>
      <c r="W539" s="330"/>
      <c r="X539" s="343"/>
      <c r="Y539" s="249"/>
      <c r="Z539" s="330"/>
      <c r="AA539" s="343"/>
      <c r="AB539" s="249"/>
      <c r="AC539" s="330"/>
      <c r="AD539" s="343"/>
      <c r="AE539" s="249"/>
      <c r="AF539" s="330"/>
      <c r="AG539" s="343"/>
      <c r="AH539" s="249"/>
      <c r="AI539" s="330"/>
      <c r="AJ539" s="343"/>
      <c r="AK539" s="249"/>
      <c r="AL539" s="330"/>
      <c r="AM539" s="343"/>
      <c r="AN539" s="249"/>
      <c r="AO539" s="330"/>
      <c r="AP539" s="343"/>
      <c r="AQ539" s="249"/>
      <c r="AR539" s="330"/>
      <c r="AS539" s="343"/>
      <c r="AT539" s="249"/>
      <c r="AU539" s="330"/>
    </row>
    <row r="540" spans="2:47">
      <c r="B540" s="247">
        <f>'Table S2 Compound Identifiers'!C542</f>
        <v>0</v>
      </c>
      <c r="C540" s="247">
        <f>COUNTIF($D$6:D540,"&lt;&gt;"&amp;"")</f>
        <v>535</v>
      </c>
      <c r="D540" s="247">
        <f>'Table S2 Compound Identifiers'!B542</f>
        <v>0</v>
      </c>
      <c r="E540" s="247"/>
      <c r="F540" s="248"/>
      <c r="G540" s="249"/>
      <c r="H540" s="330"/>
      <c r="I540" s="328"/>
      <c r="J540" s="249"/>
      <c r="K540" s="330"/>
      <c r="L540" s="250"/>
      <c r="M540" s="249"/>
      <c r="N540" s="330"/>
      <c r="O540" s="250"/>
      <c r="P540" s="249"/>
      <c r="Q540" s="330"/>
      <c r="R540" s="250"/>
      <c r="S540" s="249"/>
      <c r="T540" s="330"/>
      <c r="U540" s="250"/>
      <c r="V540" s="249"/>
      <c r="W540" s="330"/>
      <c r="X540" s="343"/>
      <c r="Y540" s="249"/>
      <c r="Z540" s="330"/>
      <c r="AA540" s="343"/>
      <c r="AB540" s="249"/>
      <c r="AC540" s="330"/>
      <c r="AD540" s="343"/>
      <c r="AE540" s="249"/>
      <c r="AF540" s="330"/>
      <c r="AG540" s="343"/>
      <c r="AH540" s="249"/>
      <c r="AI540" s="330"/>
      <c r="AJ540" s="343"/>
      <c r="AK540" s="249"/>
      <c r="AL540" s="330"/>
      <c r="AM540" s="343"/>
      <c r="AN540" s="249"/>
      <c r="AO540" s="330"/>
      <c r="AP540" s="343"/>
      <c r="AQ540" s="249"/>
      <c r="AR540" s="330"/>
      <c r="AS540" s="343"/>
      <c r="AT540" s="249"/>
      <c r="AU540" s="330"/>
    </row>
    <row r="541" spans="2:47">
      <c r="B541" s="247">
        <f>'Table S2 Compound Identifiers'!C543</f>
        <v>0</v>
      </c>
      <c r="C541" s="247">
        <f>COUNTIF($D$6:D541,"&lt;&gt;"&amp;"")</f>
        <v>536</v>
      </c>
      <c r="D541" s="247">
        <f>'Table S2 Compound Identifiers'!B543</f>
        <v>0</v>
      </c>
      <c r="E541" s="247"/>
      <c r="F541" s="248"/>
      <c r="G541" s="249"/>
      <c r="H541" s="330"/>
      <c r="I541" s="328"/>
      <c r="J541" s="249"/>
      <c r="K541" s="330"/>
      <c r="L541" s="250"/>
      <c r="M541" s="249"/>
      <c r="N541" s="330"/>
      <c r="O541" s="250"/>
      <c r="P541" s="249"/>
      <c r="Q541" s="330"/>
      <c r="R541" s="250"/>
      <c r="S541" s="249"/>
      <c r="T541" s="330"/>
      <c r="U541" s="250"/>
      <c r="V541" s="249"/>
      <c r="W541" s="330"/>
      <c r="X541" s="343"/>
      <c r="Y541" s="249"/>
      <c r="Z541" s="330"/>
      <c r="AA541" s="343"/>
      <c r="AB541" s="249"/>
      <c r="AC541" s="330"/>
      <c r="AD541" s="343"/>
      <c r="AE541" s="249"/>
      <c r="AF541" s="330"/>
      <c r="AG541" s="343"/>
      <c r="AH541" s="249"/>
      <c r="AI541" s="330"/>
      <c r="AJ541" s="343"/>
      <c r="AK541" s="249"/>
      <c r="AL541" s="330"/>
      <c r="AM541" s="343"/>
      <c r="AN541" s="249"/>
      <c r="AO541" s="330"/>
      <c r="AP541" s="343"/>
      <c r="AQ541" s="249"/>
      <c r="AR541" s="330"/>
      <c r="AS541" s="343"/>
      <c r="AT541" s="249"/>
      <c r="AU541" s="330"/>
    </row>
    <row r="542" spans="2:47">
      <c r="B542" s="247">
        <f>'Table S2 Compound Identifiers'!C544</f>
        <v>0</v>
      </c>
      <c r="C542" s="247">
        <f>COUNTIF($D$6:D542,"&lt;&gt;"&amp;"")</f>
        <v>537</v>
      </c>
      <c r="D542" s="247">
        <f>'Table S2 Compound Identifiers'!B544</f>
        <v>0</v>
      </c>
      <c r="E542" s="247"/>
      <c r="F542" s="248"/>
      <c r="G542" s="249"/>
      <c r="H542" s="330"/>
      <c r="I542" s="328"/>
      <c r="J542" s="249"/>
      <c r="K542" s="330"/>
      <c r="L542" s="250"/>
      <c r="M542" s="249"/>
      <c r="N542" s="330"/>
      <c r="O542" s="250"/>
      <c r="P542" s="249"/>
      <c r="Q542" s="330"/>
      <c r="R542" s="250"/>
      <c r="S542" s="249"/>
      <c r="T542" s="330"/>
      <c r="U542" s="250"/>
      <c r="V542" s="249"/>
      <c r="W542" s="330"/>
      <c r="X542" s="343"/>
      <c r="Y542" s="249"/>
      <c r="Z542" s="330"/>
      <c r="AA542" s="343"/>
      <c r="AB542" s="249"/>
      <c r="AC542" s="330"/>
      <c r="AD542" s="343"/>
      <c r="AE542" s="249"/>
      <c r="AF542" s="330"/>
      <c r="AG542" s="343"/>
      <c r="AH542" s="249"/>
      <c r="AI542" s="330"/>
      <c r="AJ542" s="343"/>
      <c r="AK542" s="249"/>
      <c r="AL542" s="330"/>
      <c r="AM542" s="343"/>
      <c r="AN542" s="249"/>
      <c r="AO542" s="330"/>
      <c r="AP542" s="343"/>
      <c r="AQ542" s="249"/>
      <c r="AR542" s="330"/>
      <c r="AS542" s="343"/>
      <c r="AT542" s="249"/>
      <c r="AU542" s="330"/>
    </row>
    <row r="543" spans="2:47">
      <c r="B543" s="247">
        <f>'Table S2 Compound Identifiers'!C545</f>
        <v>0</v>
      </c>
      <c r="C543" s="247">
        <f>COUNTIF($D$6:D543,"&lt;&gt;"&amp;"")</f>
        <v>538</v>
      </c>
      <c r="D543" s="247">
        <f>'Table S2 Compound Identifiers'!B545</f>
        <v>0</v>
      </c>
      <c r="E543" s="247"/>
      <c r="F543" s="248"/>
      <c r="G543" s="249"/>
      <c r="H543" s="330"/>
      <c r="I543" s="328"/>
      <c r="J543" s="249"/>
      <c r="K543" s="330"/>
      <c r="L543" s="250"/>
      <c r="M543" s="249"/>
      <c r="N543" s="330"/>
      <c r="O543" s="250"/>
      <c r="P543" s="249"/>
      <c r="Q543" s="330"/>
      <c r="R543" s="250"/>
      <c r="S543" s="249"/>
      <c r="T543" s="330"/>
      <c r="U543" s="250"/>
      <c r="V543" s="249"/>
      <c r="W543" s="330"/>
      <c r="X543" s="343"/>
      <c r="Y543" s="249"/>
      <c r="Z543" s="330"/>
      <c r="AA543" s="343"/>
      <c r="AB543" s="249"/>
      <c r="AC543" s="330"/>
      <c r="AD543" s="343"/>
      <c r="AE543" s="249"/>
      <c r="AF543" s="330"/>
      <c r="AG543" s="343"/>
      <c r="AH543" s="249"/>
      <c r="AI543" s="330"/>
      <c r="AJ543" s="343"/>
      <c r="AK543" s="249"/>
      <c r="AL543" s="330"/>
      <c r="AM543" s="343"/>
      <c r="AN543" s="249"/>
      <c r="AO543" s="330"/>
      <c r="AP543" s="343"/>
      <c r="AQ543" s="249"/>
      <c r="AR543" s="330"/>
      <c r="AS543" s="343"/>
      <c r="AT543" s="249"/>
      <c r="AU543" s="330"/>
    </row>
    <row r="544" spans="2:47">
      <c r="B544" s="247">
        <f>'Table S2 Compound Identifiers'!C546</f>
        <v>0</v>
      </c>
      <c r="C544" s="247">
        <f>COUNTIF($D$6:D544,"&lt;&gt;"&amp;"")</f>
        <v>539</v>
      </c>
      <c r="D544" s="247">
        <f>'Table S2 Compound Identifiers'!B546</f>
        <v>0</v>
      </c>
      <c r="E544" s="247"/>
      <c r="F544" s="248"/>
      <c r="G544" s="249"/>
      <c r="H544" s="330"/>
      <c r="I544" s="328"/>
      <c r="J544" s="249"/>
      <c r="K544" s="330"/>
      <c r="L544" s="250"/>
      <c r="M544" s="249"/>
      <c r="N544" s="330"/>
      <c r="O544" s="250"/>
      <c r="P544" s="249"/>
      <c r="Q544" s="330"/>
      <c r="R544" s="250"/>
      <c r="S544" s="249"/>
      <c r="T544" s="330"/>
      <c r="U544" s="250"/>
      <c r="V544" s="249"/>
      <c r="W544" s="330"/>
      <c r="X544" s="343"/>
      <c r="Y544" s="249"/>
      <c r="Z544" s="330"/>
      <c r="AA544" s="343"/>
      <c r="AB544" s="249"/>
      <c r="AC544" s="330"/>
      <c r="AD544" s="343"/>
      <c r="AE544" s="249"/>
      <c r="AF544" s="330"/>
      <c r="AG544" s="343"/>
      <c r="AH544" s="249"/>
      <c r="AI544" s="330"/>
      <c r="AJ544" s="343"/>
      <c r="AK544" s="249"/>
      <c r="AL544" s="330"/>
      <c r="AM544" s="343"/>
      <c r="AN544" s="249"/>
      <c r="AO544" s="330"/>
      <c r="AP544" s="343"/>
      <c r="AQ544" s="249"/>
      <c r="AR544" s="330"/>
      <c r="AS544" s="343"/>
      <c r="AT544" s="249"/>
      <c r="AU544" s="330"/>
    </row>
    <row r="545" spans="2:47">
      <c r="B545" s="247">
        <f>'Table S2 Compound Identifiers'!C547</f>
        <v>0</v>
      </c>
      <c r="C545" s="247">
        <f>COUNTIF($D$6:D545,"&lt;&gt;"&amp;"")</f>
        <v>540</v>
      </c>
      <c r="D545" s="247">
        <f>'Table S2 Compound Identifiers'!B547</f>
        <v>0</v>
      </c>
      <c r="E545" s="247"/>
      <c r="F545" s="248"/>
      <c r="G545" s="249"/>
      <c r="H545" s="330"/>
      <c r="I545" s="328"/>
      <c r="J545" s="249"/>
      <c r="K545" s="330"/>
      <c r="L545" s="250"/>
      <c r="M545" s="249"/>
      <c r="N545" s="330"/>
      <c r="O545" s="250"/>
      <c r="P545" s="249"/>
      <c r="Q545" s="330"/>
      <c r="R545" s="250"/>
      <c r="S545" s="249"/>
      <c r="T545" s="330"/>
      <c r="U545" s="250"/>
      <c r="V545" s="249"/>
      <c r="W545" s="330"/>
      <c r="X545" s="343"/>
      <c r="Y545" s="249"/>
      <c r="Z545" s="330"/>
      <c r="AA545" s="343"/>
      <c r="AB545" s="249"/>
      <c r="AC545" s="330"/>
      <c r="AD545" s="343"/>
      <c r="AE545" s="249"/>
      <c r="AF545" s="330"/>
      <c r="AG545" s="343"/>
      <c r="AH545" s="249"/>
      <c r="AI545" s="330"/>
      <c r="AJ545" s="343"/>
      <c r="AK545" s="249"/>
      <c r="AL545" s="330"/>
      <c r="AM545" s="343"/>
      <c r="AN545" s="249"/>
      <c r="AO545" s="330"/>
      <c r="AP545" s="343"/>
      <c r="AQ545" s="249"/>
      <c r="AR545" s="330"/>
      <c r="AS545" s="343"/>
      <c r="AT545" s="249"/>
      <c r="AU545" s="330"/>
    </row>
    <row r="546" spans="2:47">
      <c r="B546" s="247">
        <f>'Table S2 Compound Identifiers'!C548</f>
        <v>0</v>
      </c>
      <c r="C546" s="247">
        <f>COUNTIF($D$6:D546,"&lt;&gt;"&amp;"")</f>
        <v>541</v>
      </c>
      <c r="D546" s="247">
        <f>'Table S2 Compound Identifiers'!B548</f>
        <v>0</v>
      </c>
      <c r="E546" s="247"/>
      <c r="F546" s="248"/>
      <c r="G546" s="249"/>
      <c r="H546" s="330"/>
      <c r="I546" s="328"/>
      <c r="J546" s="249"/>
      <c r="K546" s="330"/>
      <c r="L546" s="250"/>
      <c r="M546" s="249"/>
      <c r="N546" s="330"/>
      <c r="O546" s="250"/>
      <c r="P546" s="249"/>
      <c r="Q546" s="330"/>
      <c r="R546" s="250"/>
      <c r="S546" s="249"/>
      <c r="T546" s="330"/>
      <c r="U546" s="250"/>
      <c r="V546" s="249"/>
      <c r="W546" s="330"/>
      <c r="X546" s="343"/>
      <c r="Y546" s="249"/>
      <c r="Z546" s="330"/>
      <c r="AA546" s="343"/>
      <c r="AB546" s="249"/>
      <c r="AC546" s="330"/>
      <c r="AD546" s="343"/>
      <c r="AE546" s="249"/>
      <c r="AF546" s="330"/>
      <c r="AG546" s="343"/>
      <c r="AH546" s="249"/>
      <c r="AI546" s="330"/>
      <c r="AJ546" s="343"/>
      <c r="AK546" s="249"/>
      <c r="AL546" s="330"/>
      <c r="AM546" s="343"/>
      <c r="AN546" s="249"/>
      <c r="AO546" s="330"/>
      <c r="AP546" s="343"/>
      <c r="AQ546" s="249"/>
      <c r="AR546" s="330"/>
      <c r="AS546" s="343"/>
      <c r="AT546" s="249"/>
      <c r="AU546" s="330"/>
    </row>
    <row r="547" spans="2:47">
      <c r="B547" s="247">
        <f>'Table S2 Compound Identifiers'!C549</f>
        <v>0</v>
      </c>
      <c r="C547" s="247">
        <f>COUNTIF($D$6:D547,"&lt;&gt;"&amp;"")</f>
        <v>542</v>
      </c>
      <c r="D547" s="247">
        <f>'Table S2 Compound Identifiers'!B549</f>
        <v>0</v>
      </c>
      <c r="E547" s="247"/>
      <c r="F547" s="248"/>
      <c r="G547" s="249"/>
      <c r="H547" s="330"/>
      <c r="I547" s="328"/>
      <c r="J547" s="249"/>
      <c r="K547" s="330"/>
      <c r="L547" s="250"/>
      <c r="M547" s="249"/>
      <c r="N547" s="330"/>
      <c r="O547" s="250"/>
      <c r="P547" s="249"/>
      <c r="Q547" s="330"/>
      <c r="R547" s="250"/>
      <c r="S547" s="249"/>
      <c r="T547" s="330"/>
      <c r="U547" s="250"/>
      <c r="V547" s="249"/>
      <c r="W547" s="330"/>
      <c r="X547" s="343"/>
      <c r="Y547" s="249"/>
      <c r="Z547" s="330"/>
      <c r="AA547" s="343"/>
      <c r="AB547" s="249"/>
      <c r="AC547" s="330"/>
      <c r="AD547" s="343"/>
      <c r="AE547" s="249"/>
      <c r="AF547" s="330"/>
      <c r="AG547" s="343"/>
      <c r="AH547" s="249"/>
      <c r="AI547" s="330"/>
      <c r="AJ547" s="343"/>
      <c r="AK547" s="249"/>
      <c r="AL547" s="330"/>
      <c r="AM547" s="343"/>
      <c r="AN547" s="249"/>
      <c r="AO547" s="330"/>
      <c r="AP547" s="343"/>
      <c r="AQ547" s="249"/>
      <c r="AR547" s="330"/>
      <c r="AS547" s="343"/>
      <c r="AT547" s="249"/>
      <c r="AU547" s="330"/>
    </row>
    <row r="548" spans="2:47">
      <c r="B548" s="247">
        <f>'Table S2 Compound Identifiers'!C550</f>
        <v>0</v>
      </c>
      <c r="C548" s="247">
        <f>COUNTIF($D$6:D548,"&lt;&gt;"&amp;"")</f>
        <v>543</v>
      </c>
      <c r="D548" s="247">
        <f>'Table S2 Compound Identifiers'!B550</f>
        <v>0</v>
      </c>
      <c r="E548" s="247"/>
      <c r="F548" s="248"/>
      <c r="G548" s="249"/>
      <c r="H548" s="330"/>
      <c r="I548" s="328"/>
      <c r="J548" s="249"/>
      <c r="K548" s="330"/>
      <c r="L548" s="250"/>
      <c r="M548" s="249"/>
      <c r="N548" s="330"/>
      <c r="O548" s="250"/>
      <c r="P548" s="249"/>
      <c r="Q548" s="330"/>
      <c r="R548" s="250"/>
      <c r="S548" s="249"/>
      <c r="T548" s="330"/>
      <c r="U548" s="250"/>
      <c r="V548" s="249"/>
      <c r="W548" s="330"/>
      <c r="X548" s="343"/>
      <c r="Y548" s="249"/>
      <c r="Z548" s="330"/>
      <c r="AA548" s="343"/>
      <c r="AB548" s="249"/>
      <c r="AC548" s="330"/>
      <c r="AD548" s="343"/>
      <c r="AE548" s="249"/>
      <c r="AF548" s="330"/>
      <c r="AG548" s="343"/>
      <c r="AH548" s="249"/>
      <c r="AI548" s="330"/>
      <c r="AJ548" s="343"/>
      <c r="AK548" s="249"/>
      <c r="AL548" s="330"/>
      <c r="AM548" s="343"/>
      <c r="AN548" s="249"/>
      <c r="AO548" s="330"/>
      <c r="AP548" s="343"/>
      <c r="AQ548" s="249"/>
      <c r="AR548" s="330"/>
      <c r="AS548" s="343"/>
      <c r="AT548" s="249"/>
      <c r="AU548" s="330"/>
    </row>
    <row r="549" spans="2:47">
      <c r="B549" s="247">
        <f>'Table S2 Compound Identifiers'!C551</f>
        <v>0</v>
      </c>
      <c r="C549" s="247">
        <f>COUNTIF($D$6:D549,"&lt;&gt;"&amp;"")</f>
        <v>544</v>
      </c>
      <c r="D549" s="247">
        <f>'Table S2 Compound Identifiers'!B551</f>
        <v>0</v>
      </c>
      <c r="E549" s="247"/>
      <c r="F549" s="248"/>
      <c r="G549" s="249"/>
      <c r="H549" s="330"/>
      <c r="I549" s="328"/>
      <c r="J549" s="249"/>
      <c r="K549" s="330"/>
      <c r="L549" s="250"/>
      <c r="M549" s="249"/>
      <c r="N549" s="330"/>
      <c r="O549" s="250"/>
      <c r="P549" s="249"/>
      <c r="Q549" s="330"/>
      <c r="R549" s="250"/>
      <c r="S549" s="249"/>
      <c r="T549" s="330"/>
      <c r="U549" s="250"/>
      <c r="V549" s="249"/>
      <c r="W549" s="330"/>
      <c r="X549" s="343"/>
      <c r="Y549" s="249"/>
      <c r="Z549" s="330"/>
      <c r="AA549" s="343"/>
      <c r="AB549" s="249"/>
      <c r="AC549" s="330"/>
      <c r="AD549" s="343"/>
      <c r="AE549" s="249"/>
      <c r="AF549" s="330"/>
      <c r="AG549" s="343"/>
      <c r="AH549" s="249"/>
      <c r="AI549" s="330"/>
      <c r="AJ549" s="343"/>
      <c r="AK549" s="249"/>
      <c r="AL549" s="330"/>
      <c r="AM549" s="343"/>
      <c r="AN549" s="249"/>
      <c r="AO549" s="330"/>
      <c r="AP549" s="343"/>
      <c r="AQ549" s="249"/>
      <c r="AR549" s="330"/>
      <c r="AS549" s="343"/>
      <c r="AT549" s="249"/>
      <c r="AU549" s="330"/>
    </row>
    <row r="550" spans="2:47">
      <c r="B550" s="247">
        <f>'Table S2 Compound Identifiers'!C552</f>
        <v>0</v>
      </c>
      <c r="C550" s="247">
        <f>COUNTIF($D$6:D550,"&lt;&gt;"&amp;"")</f>
        <v>545</v>
      </c>
      <c r="D550" s="247">
        <f>'Table S2 Compound Identifiers'!B552</f>
        <v>0</v>
      </c>
      <c r="E550" s="247"/>
      <c r="F550" s="248"/>
      <c r="G550" s="249"/>
      <c r="H550" s="330"/>
      <c r="I550" s="328"/>
      <c r="J550" s="249"/>
      <c r="K550" s="330"/>
      <c r="L550" s="250"/>
      <c r="M550" s="249"/>
      <c r="N550" s="330"/>
      <c r="O550" s="250"/>
      <c r="P550" s="249"/>
      <c r="Q550" s="330"/>
      <c r="R550" s="250"/>
      <c r="S550" s="249"/>
      <c r="T550" s="330"/>
      <c r="U550" s="250"/>
      <c r="V550" s="249"/>
      <c r="W550" s="330"/>
      <c r="X550" s="343"/>
      <c r="Y550" s="249"/>
      <c r="Z550" s="330"/>
      <c r="AA550" s="343"/>
      <c r="AB550" s="249"/>
      <c r="AC550" s="330"/>
      <c r="AD550" s="343"/>
      <c r="AE550" s="249"/>
      <c r="AF550" s="330"/>
      <c r="AG550" s="343"/>
      <c r="AH550" s="249"/>
      <c r="AI550" s="330"/>
      <c r="AJ550" s="343"/>
      <c r="AK550" s="249"/>
      <c r="AL550" s="330"/>
      <c r="AM550" s="343"/>
      <c r="AN550" s="249"/>
      <c r="AO550" s="330"/>
      <c r="AP550" s="343"/>
      <c r="AQ550" s="249"/>
      <c r="AR550" s="330"/>
      <c r="AS550" s="343"/>
      <c r="AT550" s="249"/>
      <c r="AU550" s="330"/>
    </row>
    <row r="551" spans="2:47">
      <c r="B551" s="247">
        <f>'Table S2 Compound Identifiers'!C553</f>
        <v>0</v>
      </c>
      <c r="C551" s="247">
        <f>COUNTIF($D$6:D551,"&lt;&gt;"&amp;"")</f>
        <v>546</v>
      </c>
      <c r="D551" s="247">
        <f>'Table S2 Compound Identifiers'!B553</f>
        <v>0</v>
      </c>
      <c r="E551" s="247"/>
      <c r="F551" s="248"/>
      <c r="G551" s="249"/>
      <c r="H551" s="330"/>
      <c r="I551" s="328"/>
      <c r="J551" s="249"/>
      <c r="K551" s="330"/>
      <c r="L551" s="250"/>
      <c r="M551" s="249"/>
      <c r="N551" s="330"/>
      <c r="O551" s="250"/>
      <c r="P551" s="249"/>
      <c r="Q551" s="330"/>
      <c r="R551" s="250"/>
      <c r="S551" s="249"/>
      <c r="T551" s="330"/>
      <c r="U551" s="250"/>
      <c r="V551" s="249"/>
      <c r="W551" s="330"/>
      <c r="X551" s="343"/>
      <c r="Y551" s="249"/>
      <c r="Z551" s="330"/>
      <c r="AA551" s="343"/>
      <c r="AB551" s="249"/>
      <c r="AC551" s="330"/>
      <c r="AD551" s="343"/>
      <c r="AE551" s="249"/>
      <c r="AF551" s="330"/>
      <c r="AG551" s="343"/>
      <c r="AH551" s="249"/>
      <c r="AI551" s="330"/>
      <c r="AJ551" s="343"/>
      <c r="AK551" s="249"/>
      <c r="AL551" s="330"/>
      <c r="AM551" s="343"/>
      <c r="AN551" s="249"/>
      <c r="AO551" s="330"/>
      <c r="AP551" s="343"/>
      <c r="AQ551" s="249"/>
      <c r="AR551" s="330"/>
      <c r="AS551" s="343"/>
      <c r="AT551" s="249"/>
      <c r="AU551" s="330"/>
    </row>
    <row r="552" spans="2:47">
      <c r="B552" s="247">
        <f>'Table S2 Compound Identifiers'!C554</f>
        <v>0</v>
      </c>
      <c r="C552" s="247">
        <f>COUNTIF($D$6:D552,"&lt;&gt;"&amp;"")</f>
        <v>547</v>
      </c>
      <c r="D552" s="247">
        <f>'Table S2 Compound Identifiers'!B554</f>
        <v>0</v>
      </c>
      <c r="E552" s="247"/>
      <c r="F552" s="248"/>
      <c r="G552" s="249"/>
      <c r="H552" s="330"/>
      <c r="I552" s="328"/>
      <c r="J552" s="249"/>
      <c r="K552" s="330"/>
      <c r="L552" s="250"/>
      <c r="M552" s="249"/>
      <c r="N552" s="330"/>
      <c r="O552" s="250"/>
      <c r="P552" s="249"/>
      <c r="Q552" s="330"/>
      <c r="R552" s="250"/>
      <c r="S552" s="249"/>
      <c r="T552" s="330"/>
      <c r="U552" s="250"/>
      <c r="V552" s="249"/>
      <c r="W552" s="330"/>
      <c r="X552" s="343"/>
      <c r="Y552" s="249"/>
      <c r="Z552" s="330"/>
      <c r="AA552" s="343"/>
      <c r="AB552" s="249"/>
      <c r="AC552" s="330"/>
      <c r="AD552" s="343"/>
      <c r="AE552" s="249"/>
      <c r="AF552" s="330"/>
      <c r="AG552" s="343"/>
      <c r="AH552" s="249"/>
      <c r="AI552" s="330"/>
      <c r="AJ552" s="343"/>
      <c r="AK552" s="249"/>
      <c r="AL552" s="330"/>
      <c r="AM552" s="343"/>
      <c r="AN552" s="249"/>
      <c r="AO552" s="330"/>
      <c r="AP552" s="343"/>
      <c r="AQ552" s="249"/>
      <c r="AR552" s="330"/>
      <c r="AS552" s="343"/>
      <c r="AT552" s="249"/>
      <c r="AU552" s="330"/>
    </row>
    <row r="553" spans="2:47">
      <c r="B553" s="247">
        <f>'Table S2 Compound Identifiers'!C555</f>
        <v>0</v>
      </c>
      <c r="C553" s="247">
        <f>COUNTIF($D$6:D553,"&lt;&gt;"&amp;"")</f>
        <v>548</v>
      </c>
      <c r="D553" s="247">
        <f>'Table S2 Compound Identifiers'!B555</f>
        <v>0</v>
      </c>
      <c r="E553" s="247"/>
      <c r="F553" s="248"/>
      <c r="G553" s="249"/>
      <c r="H553" s="330"/>
      <c r="I553" s="328"/>
      <c r="J553" s="249"/>
      <c r="K553" s="330"/>
      <c r="L553" s="250"/>
      <c r="M553" s="249"/>
      <c r="N553" s="330"/>
      <c r="O553" s="250"/>
      <c r="P553" s="249"/>
      <c r="Q553" s="330"/>
      <c r="R553" s="250"/>
      <c r="S553" s="249"/>
      <c r="T553" s="330"/>
      <c r="U553" s="250"/>
      <c r="V553" s="249"/>
      <c r="W553" s="330"/>
      <c r="X553" s="343"/>
      <c r="Y553" s="249"/>
      <c r="Z553" s="330"/>
      <c r="AA553" s="343"/>
      <c r="AB553" s="249"/>
      <c r="AC553" s="330"/>
      <c r="AD553" s="343"/>
      <c r="AE553" s="249"/>
      <c r="AF553" s="330"/>
      <c r="AG553" s="343"/>
      <c r="AH553" s="249"/>
      <c r="AI553" s="330"/>
      <c r="AJ553" s="343"/>
      <c r="AK553" s="249"/>
      <c r="AL553" s="330"/>
      <c r="AM553" s="343"/>
      <c r="AN553" s="249"/>
      <c r="AO553" s="330"/>
      <c r="AP553" s="343"/>
      <c r="AQ553" s="249"/>
      <c r="AR553" s="330"/>
      <c r="AS553" s="343"/>
      <c r="AT553" s="249"/>
      <c r="AU553" s="330"/>
    </row>
    <row r="554" spans="2:47">
      <c r="B554" s="247">
        <f>'Table S2 Compound Identifiers'!C556</f>
        <v>0</v>
      </c>
      <c r="C554" s="247">
        <f>COUNTIF($D$6:D554,"&lt;&gt;"&amp;"")</f>
        <v>549</v>
      </c>
      <c r="D554" s="247">
        <f>'Table S2 Compound Identifiers'!B556</f>
        <v>0</v>
      </c>
      <c r="E554" s="247"/>
      <c r="F554" s="248"/>
      <c r="G554" s="249"/>
      <c r="H554" s="330"/>
      <c r="I554" s="328"/>
      <c r="J554" s="249"/>
      <c r="K554" s="330"/>
      <c r="L554" s="250"/>
      <c r="M554" s="249"/>
      <c r="N554" s="330"/>
      <c r="O554" s="250"/>
      <c r="P554" s="249"/>
      <c r="Q554" s="330"/>
      <c r="R554" s="250"/>
      <c r="S554" s="249"/>
      <c r="T554" s="330"/>
      <c r="U554" s="250"/>
      <c r="V554" s="249"/>
      <c r="W554" s="330"/>
      <c r="X554" s="343"/>
      <c r="Y554" s="249"/>
      <c r="Z554" s="330"/>
      <c r="AA554" s="343"/>
      <c r="AB554" s="249"/>
      <c r="AC554" s="330"/>
      <c r="AD554" s="343"/>
      <c r="AE554" s="249"/>
      <c r="AF554" s="330"/>
      <c r="AG554" s="343"/>
      <c r="AH554" s="249"/>
      <c r="AI554" s="330"/>
      <c r="AJ554" s="343"/>
      <c r="AK554" s="249"/>
      <c r="AL554" s="330"/>
      <c r="AM554" s="343"/>
      <c r="AN554" s="249"/>
      <c r="AO554" s="330"/>
      <c r="AP554" s="343"/>
      <c r="AQ554" s="249"/>
      <c r="AR554" s="330"/>
      <c r="AS554" s="343"/>
      <c r="AT554" s="249"/>
      <c r="AU554" s="330"/>
    </row>
    <row r="555" spans="2:47">
      <c r="B555" s="247">
        <f>'Table S2 Compound Identifiers'!C557</f>
        <v>0</v>
      </c>
      <c r="C555" s="247">
        <f>COUNTIF($D$6:D555,"&lt;&gt;"&amp;"")</f>
        <v>550</v>
      </c>
      <c r="D555" s="247">
        <f>'Table S2 Compound Identifiers'!B557</f>
        <v>0</v>
      </c>
      <c r="E555" s="247"/>
      <c r="F555" s="248"/>
      <c r="G555" s="249"/>
      <c r="H555" s="330"/>
      <c r="I555" s="328"/>
      <c r="J555" s="249"/>
      <c r="K555" s="330"/>
      <c r="L555" s="250"/>
      <c r="M555" s="249"/>
      <c r="N555" s="330"/>
      <c r="O555" s="250"/>
      <c r="P555" s="249"/>
      <c r="Q555" s="330"/>
      <c r="R555" s="250"/>
      <c r="S555" s="249"/>
      <c r="T555" s="330"/>
      <c r="U555" s="250"/>
      <c r="V555" s="249"/>
      <c r="W555" s="330"/>
      <c r="X555" s="343"/>
      <c r="Y555" s="249"/>
      <c r="Z555" s="330"/>
      <c r="AA555" s="343"/>
      <c r="AB555" s="249"/>
      <c r="AC555" s="330"/>
      <c r="AD555" s="343"/>
      <c r="AE555" s="249"/>
      <c r="AF555" s="330"/>
      <c r="AG555" s="343"/>
      <c r="AH555" s="249"/>
      <c r="AI555" s="330"/>
      <c r="AJ555" s="343"/>
      <c r="AK555" s="249"/>
      <c r="AL555" s="330"/>
      <c r="AM555" s="343"/>
      <c r="AN555" s="249"/>
      <c r="AO555" s="330"/>
      <c r="AP555" s="343"/>
      <c r="AQ555" s="249"/>
      <c r="AR555" s="330"/>
      <c r="AS555" s="343"/>
      <c r="AT555" s="249"/>
      <c r="AU555" s="330"/>
    </row>
    <row r="556" spans="2:47">
      <c r="B556" s="247">
        <f>'Table S2 Compound Identifiers'!C558</f>
        <v>0</v>
      </c>
      <c r="C556" s="247">
        <f>COUNTIF($D$6:D556,"&lt;&gt;"&amp;"")</f>
        <v>551</v>
      </c>
      <c r="D556" s="247">
        <f>'Table S2 Compound Identifiers'!B558</f>
        <v>0</v>
      </c>
      <c r="E556" s="247"/>
      <c r="F556" s="248"/>
      <c r="G556" s="249"/>
      <c r="H556" s="330"/>
      <c r="I556" s="328"/>
      <c r="J556" s="249"/>
      <c r="K556" s="330"/>
      <c r="L556" s="250"/>
      <c r="M556" s="249"/>
      <c r="N556" s="330"/>
      <c r="O556" s="250"/>
      <c r="P556" s="249"/>
      <c r="Q556" s="330"/>
      <c r="R556" s="250"/>
      <c r="S556" s="249"/>
      <c r="T556" s="330"/>
      <c r="U556" s="250"/>
      <c r="V556" s="249"/>
      <c r="W556" s="330"/>
      <c r="X556" s="343"/>
      <c r="Y556" s="249"/>
      <c r="Z556" s="330"/>
      <c r="AA556" s="343"/>
      <c r="AB556" s="249"/>
      <c r="AC556" s="330"/>
      <c r="AD556" s="343"/>
      <c r="AE556" s="249"/>
      <c r="AF556" s="330"/>
      <c r="AG556" s="343"/>
      <c r="AH556" s="249"/>
      <c r="AI556" s="330"/>
      <c r="AJ556" s="343"/>
      <c r="AK556" s="249"/>
      <c r="AL556" s="330"/>
      <c r="AM556" s="343"/>
      <c r="AN556" s="249"/>
      <c r="AO556" s="330"/>
      <c r="AP556" s="343"/>
      <c r="AQ556" s="249"/>
      <c r="AR556" s="330"/>
      <c r="AS556" s="343"/>
      <c r="AT556" s="249"/>
      <c r="AU556" s="330"/>
    </row>
    <row r="557" spans="2:47">
      <c r="B557" s="247">
        <f>'Table S2 Compound Identifiers'!C559</f>
        <v>0</v>
      </c>
      <c r="C557" s="247">
        <f>COUNTIF($D$6:D557,"&lt;&gt;"&amp;"")</f>
        <v>552</v>
      </c>
      <c r="D557" s="247">
        <f>'Table S2 Compound Identifiers'!B559</f>
        <v>0</v>
      </c>
      <c r="E557" s="247"/>
      <c r="F557" s="248"/>
      <c r="G557" s="249"/>
      <c r="H557" s="330"/>
      <c r="I557" s="328"/>
      <c r="J557" s="249"/>
      <c r="K557" s="330"/>
      <c r="L557" s="250"/>
      <c r="M557" s="249"/>
      <c r="N557" s="330"/>
      <c r="O557" s="250"/>
      <c r="P557" s="249"/>
      <c r="Q557" s="330"/>
      <c r="R557" s="250"/>
      <c r="S557" s="249"/>
      <c r="T557" s="330"/>
      <c r="U557" s="250"/>
      <c r="V557" s="249"/>
      <c r="W557" s="330"/>
      <c r="X557" s="343"/>
      <c r="Y557" s="249"/>
      <c r="Z557" s="330"/>
      <c r="AA557" s="343"/>
      <c r="AB557" s="249"/>
      <c r="AC557" s="330"/>
      <c r="AD557" s="343"/>
      <c r="AE557" s="249"/>
      <c r="AF557" s="330"/>
      <c r="AG557" s="343"/>
      <c r="AH557" s="249"/>
      <c r="AI557" s="330"/>
      <c r="AJ557" s="343"/>
      <c r="AK557" s="249"/>
      <c r="AL557" s="330"/>
      <c r="AM557" s="343"/>
      <c r="AN557" s="249"/>
      <c r="AO557" s="330"/>
      <c r="AP557" s="343"/>
      <c r="AQ557" s="249"/>
      <c r="AR557" s="330"/>
      <c r="AS557" s="343"/>
      <c r="AT557" s="249"/>
      <c r="AU557" s="330"/>
    </row>
    <row r="558" spans="2:47">
      <c r="B558" s="247">
        <f>'Table S2 Compound Identifiers'!C560</f>
        <v>0</v>
      </c>
      <c r="C558" s="247">
        <f>COUNTIF($D$6:D558,"&lt;&gt;"&amp;"")</f>
        <v>553</v>
      </c>
      <c r="D558" s="247">
        <f>'Table S2 Compound Identifiers'!B560</f>
        <v>0</v>
      </c>
      <c r="E558" s="247"/>
      <c r="F558" s="248"/>
      <c r="G558" s="249"/>
      <c r="H558" s="330"/>
      <c r="I558" s="328"/>
      <c r="J558" s="249"/>
      <c r="K558" s="330"/>
      <c r="L558" s="250"/>
      <c r="M558" s="249"/>
      <c r="N558" s="330"/>
      <c r="O558" s="250"/>
      <c r="P558" s="249"/>
      <c r="Q558" s="330"/>
      <c r="R558" s="250"/>
      <c r="S558" s="249"/>
      <c r="T558" s="330"/>
      <c r="U558" s="250"/>
      <c r="V558" s="249"/>
      <c r="W558" s="330"/>
      <c r="X558" s="343"/>
      <c r="Y558" s="249"/>
      <c r="Z558" s="330"/>
      <c r="AA558" s="343"/>
      <c r="AB558" s="249"/>
      <c r="AC558" s="330"/>
      <c r="AD558" s="343"/>
      <c r="AE558" s="249"/>
      <c r="AF558" s="330"/>
      <c r="AG558" s="343"/>
      <c r="AH558" s="249"/>
      <c r="AI558" s="330"/>
      <c r="AJ558" s="343"/>
      <c r="AK558" s="249"/>
      <c r="AL558" s="330"/>
      <c r="AM558" s="343"/>
      <c r="AN558" s="249"/>
      <c r="AO558" s="330"/>
      <c r="AP558" s="343"/>
      <c r="AQ558" s="249"/>
      <c r="AR558" s="330"/>
      <c r="AS558" s="343"/>
      <c r="AT558" s="249"/>
      <c r="AU558" s="330"/>
    </row>
    <row r="559" spans="2:47">
      <c r="B559" s="247">
        <f>'Table S2 Compound Identifiers'!C561</f>
        <v>0</v>
      </c>
      <c r="C559" s="247">
        <f>COUNTIF($D$6:D559,"&lt;&gt;"&amp;"")</f>
        <v>554</v>
      </c>
      <c r="D559" s="247">
        <f>'Table S2 Compound Identifiers'!B561</f>
        <v>0</v>
      </c>
      <c r="E559" s="247"/>
      <c r="F559" s="248"/>
      <c r="G559" s="249"/>
      <c r="H559" s="330"/>
      <c r="I559" s="328"/>
      <c r="J559" s="249"/>
      <c r="K559" s="330"/>
      <c r="L559" s="250"/>
      <c r="M559" s="249"/>
      <c r="N559" s="330"/>
      <c r="O559" s="250"/>
      <c r="P559" s="249"/>
      <c r="Q559" s="330"/>
      <c r="R559" s="250"/>
      <c r="S559" s="249"/>
      <c r="T559" s="330"/>
      <c r="U559" s="250"/>
      <c r="V559" s="249"/>
      <c r="W559" s="330"/>
      <c r="X559" s="343"/>
      <c r="Y559" s="249"/>
      <c r="Z559" s="330"/>
      <c r="AA559" s="343"/>
      <c r="AB559" s="249"/>
      <c r="AC559" s="330"/>
      <c r="AD559" s="343"/>
      <c r="AE559" s="249"/>
      <c r="AF559" s="330"/>
      <c r="AG559" s="343"/>
      <c r="AH559" s="249"/>
      <c r="AI559" s="330"/>
      <c r="AJ559" s="343"/>
      <c r="AK559" s="249"/>
      <c r="AL559" s="330"/>
      <c r="AM559" s="343"/>
      <c r="AN559" s="249"/>
      <c r="AO559" s="330"/>
      <c r="AP559" s="343"/>
      <c r="AQ559" s="249"/>
      <c r="AR559" s="330"/>
      <c r="AS559" s="343"/>
      <c r="AT559" s="249"/>
      <c r="AU559" s="330"/>
    </row>
    <row r="560" spans="2:47">
      <c r="B560" s="247">
        <f>'Table S2 Compound Identifiers'!C562</f>
        <v>0</v>
      </c>
      <c r="C560" s="247">
        <f>COUNTIF($D$6:D560,"&lt;&gt;"&amp;"")</f>
        <v>555</v>
      </c>
      <c r="D560" s="247">
        <f>'Table S2 Compound Identifiers'!B562</f>
        <v>0</v>
      </c>
      <c r="E560" s="247"/>
      <c r="F560" s="248"/>
      <c r="G560" s="249"/>
      <c r="H560" s="330"/>
      <c r="I560" s="328"/>
      <c r="J560" s="249"/>
      <c r="K560" s="330"/>
      <c r="L560" s="250"/>
      <c r="M560" s="249"/>
      <c r="N560" s="330"/>
      <c r="O560" s="250"/>
      <c r="P560" s="249"/>
      <c r="Q560" s="330"/>
      <c r="R560" s="250"/>
      <c r="S560" s="249"/>
      <c r="T560" s="330"/>
      <c r="U560" s="250"/>
      <c r="V560" s="249"/>
      <c r="W560" s="330"/>
      <c r="X560" s="343"/>
      <c r="Y560" s="249"/>
      <c r="Z560" s="330"/>
      <c r="AA560" s="343"/>
      <c r="AB560" s="249"/>
      <c r="AC560" s="330"/>
      <c r="AD560" s="343"/>
      <c r="AE560" s="249"/>
      <c r="AF560" s="330"/>
      <c r="AG560" s="343"/>
      <c r="AH560" s="249"/>
      <c r="AI560" s="330"/>
      <c r="AJ560" s="343"/>
      <c r="AK560" s="249"/>
      <c r="AL560" s="330"/>
      <c r="AM560" s="343"/>
      <c r="AN560" s="249"/>
      <c r="AO560" s="330"/>
      <c r="AP560" s="343"/>
      <c r="AQ560" s="249"/>
      <c r="AR560" s="330"/>
      <c r="AS560" s="343"/>
      <c r="AT560" s="249"/>
      <c r="AU560" s="330"/>
    </row>
    <row r="561" spans="2:47">
      <c r="B561" s="247">
        <f>'Table S2 Compound Identifiers'!C563</f>
        <v>0</v>
      </c>
      <c r="C561" s="247">
        <f>COUNTIF($D$6:D561,"&lt;&gt;"&amp;"")</f>
        <v>556</v>
      </c>
      <c r="D561" s="247">
        <f>'Table S2 Compound Identifiers'!B563</f>
        <v>0</v>
      </c>
      <c r="E561" s="247"/>
      <c r="F561" s="248"/>
      <c r="G561" s="249"/>
      <c r="H561" s="330"/>
      <c r="I561" s="328"/>
      <c r="J561" s="249"/>
      <c r="K561" s="330"/>
      <c r="L561" s="250"/>
      <c r="M561" s="249"/>
      <c r="N561" s="330"/>
      <c r="O561" s="250"/>
      <c r="P561" s="249"/>
      <c r="Q561" s="330"/>
      <c r="R561" s="250"/>
      <c r="S561" s="249"/>
      <c r="T561" s="330"/>
      <c r="U561" s="250"/>
      <c r="V561" s="249"/>
      <c r="W561" s="330"/>
      <c r="X561" s="343"/>
      <c r="Y561" s="249"/>
      <c r="Z561" s="330"/>
      <c r="AA561" s="343"/>
      <c r="AB561" s="249"/>
      <c r="AC561" s="330"/>
      <c r="AD561" s="343"/>
      <c r="AE561" s="249"/>
      <c r="AF561" s="330"/>
      <c r="AG561" s="343"/>
      <c r="AH561" s="249"/>
      <c r="AI561" s="330"/>
      <c r="AJ561" s="343"/>
      <c r="AK561" s="249"/>
      <c r="AL561" s="330"/>
      <c r="AM561" s="343"/>
      <c r="AN561" s="249"/>
      <c r="AO561" s="330"/>
      <c r="AP561" s="343"/>
      <c r="AQ561" s="249"/>
      <c r="AR561" s="330"/>
      <c r="AS561" s="343"/>
      <c r="AT561" s="249"/>
      <c r="AU561" s="330"/>
    </row>
    <row r="562" spans="2:47">
      <c r="B562" s="247">
        <f>'Table S2 Compound Identifiers'!C564</f>
        <v>0</v>
      </c>
      <c r="C562" s="247">
        <f>COUNTIF($D$6:D562,"&lt;&gt;"&amp;"")</f>
        <v>557</v>
      </c>
      <c r="D562" s="247">
        <f>'Table S2 Compound Identifiers'!B564</f>
        <v>0</v>
      </c>
      <c r="E562" s="247"/>
      <c r="F562" s="248"/>
      <c r="G562" s="249"/>
      <c r="H562" s="330"/>
      <c r="I562" s="328"/>
      <c r="J562" s="249"/>
      <c r="K562" s="330"/>
      <c r="L562" s="250"/>
      <c r="M562" s="249"/>
      <c r="N562" s="330"/>
      <c r="O562" s="250"/>
      <c r="P562" s="249"/>
      <c r="Q562" s="330"/>
      <c r="R562" s="250"/>
      <c r="S562" s="249"/>
      <c r="T562" s="330"/>
      <c r="U562" s="250"/>
      <c r="V562" s="249"/>
      <c r="W562" s="330"/>
      <c r="X562" s="343"/>
      <c r="Y562" s="249"/>
      <c r="Z562" s="330"/>
      <c r="AA562" s="343"/>
      <c r="AB562" s="249"/>
      <c r="AC562" s="330"/>
      <c r="AD562" s="343"/>
      <c r="AE562" s="249"/>
      <c r="AF562" s="330"/>
      <c r="AG562" s="343"/>
      <c r="AH562" s="249"/>
      <c r="AI562" s="330"/>
      <c r="AJ562" s="343"/>
      <c r="AK562" s="249"/>
      <c r="AL562" s="330"/>
      <c r="AM562" s="343"/>
      <c r="AN562" s="249"/>
      <c r="AO562" s="330"/>
      <c r="AP562" s="343"/>
      <c r="AQ562" s="249"/>
      <c r="AR562" s="330"/>
      <c r="AS562" s="343"/>
      <c r="AT562" s="249"/>
      <c r="AU562" s="330"/>
    </row>
    <row r="563" spans="2:47">
      <c r="B563" s="247">
        <f>'Table S2 Compound Identifiers'!C565</f>
        <v>0</v>
      </c>
      <c r="C563" s="247">
        <f>COUNTIF($D$6:D563,"&lt;&gt;"&amp;"")</f>
        <v>558</v>
      </c>
      <c r="D563" s="247">
        <f>'Table S2 Compound Identifiers'!B565</f>
        <v>0</v>
      </c>
      <c r="E563" s="247"/>
      <c r="F563" s="248"/>
      <c r="G563" s="249"/>
      <c r="H563" s="330"/>
      <c r="I563" s="328"/>
      <c r="J563" s="249"/>
      <c r="K563" s="330"/>
      <c r="L563" s="250"/>
      <c r="M563" s="249"/>
      <c r="N563" s="330"/>
      <c r="O563" s="250"/>
      <c r="P563" s="249"/>
      <c r="Q563" s="330"/>
      <c r="R563" s="250"/>
      <c r="S563" s="249"/>
      <c r="T563" s="330"/>
      <c r="U563" s="250"/>
      <c r="V563" s="249"/>
      <c r="W563" s="330"/>
      <c r="X563" s="343"/>
      <c r="Y563" s="249"/>
      <c r="Z563" s="330"/>
      <c r="AA563" s="343"/>
      <c r="AB563" s="249"/>
      <c r="AC563" s="330"/>
      <c r="AD563" s="343"/>
      <c r="AE563" s="249"/>
      <c r="AF563" s="330"/>
      <c r="AG563" s="343"/>
      <c r="AH563" s="249"/>
      <c r="AI563" s="330"/>
      <c r="AJ563" s="343"/>
      <c r="AK563" s="249"/>
      <c r="AL563" s="330"/>
      <c r="AM563" s="343"/>
      <c r="AN563" s="249"/>
      <c r="AO563" s="330"/>
      <c r="AP563" s="343"/>
      <c r="AQ563" s="249"/>
      <c r="AR563" s="330"/>
      <c r="AS563" s="343"/>
      <c r="AT563" s="249"/>
      <c r="AU563" s="330"/>
    </row>
    <row r="564" spans="2:47">
      <c r="B564" s="247">
        <f>'Table S2 Compound Identifiers'!C566</f>
        <v>0</v>
      </c>
      <c r="C564" s="247">
        <f>COUNTIF($D$6:D564,"&lt;&gt;"&amp;"")</f>
        <v>559</v>
      </c>
      <c r="D564" s="247">
        <f>'Table S2 Compound Identifiers'!B566</f>
        <v>0</v>
      </c>
      <c r="E564" s="247"/>
      <c r="F564" s="248"/>
      <c r="G564" s="249"/>
      <c r="H564" s="330"/>
      <c r="I564" s="328"/>
      <c r="J564" s="249"/>
      <c r="K564" s="330"/>
      <c r="L564" s="250"/>
      <c r="M564" s="249"/>
      <c r="N564" s="330"/>
      <c r="O564" s="250"/>
      <c r="P564" s="249"/>
      <c r="Q564" s="330"/>
      <c r="R564" s="250"/>
      <c r="S564" s="249"/>
      <c r="T564" s="330"/>
      <c r="U564" s="250"/>
      <c r="V564" s="249"/>
      <c r="W564" s="330"/>
      <c r="X564" s="343"/>
      <c r="Y564" s="249"/>
      <c r="Z564" s="330"/>
      <c r="AA564" s="343"/>
      <c r="AB564" s="249"/>
      <c r="AC564" s="330"/>
      <c r="AD564" s="343"/>
      <c r="AE564" s="249"/>
      <c r="AF564" s="330"/>
      <c r="AG564" s="343"/>
      <c r="AH564" s="249"/>
      <c r="AI564" s="330"/>
      <c r="AJ564" s="343"/>
      <c r="AK564" s="249"/>
      <c r="AL564" s="330"/>
      <c r="AM564" s="343"/>
      <c r="AN564" s="249"/>
      <c r="AO564" s="330"/>
      <c r="AP564" s="343"/>
      <c r="AQ564" s="249"/>
      <c r="AR564" s="330"/>
      <c r="AS564" s="343"/>
      <c r="AT564" s="249"/>
      <c r="AU564" s="330"/>
    </row>
    <row r="565" spans="2:47">
      <c r="B565" s="247">
        <f>'Table S2 Compound Identifiers'!C567</f>
        <v>0</v>
      </c>
      <c r="C565" s="247">
        <f>COUNTIF($D$6:D565,"&lt;&gt;"&amp;"")</f>
        <v>560</v>
      </c>
      <c r="D565" s="247">
        <f>'Table S2 Compound Identifiers'!B567</f>
        <v>0</v>
      </c>
      <c r="E565" s="247"/>
      <c r="F565" s="248"/>
      <c r="G565" s="249"/>
      <c r="H565" s="330"/>
      <c r="I565" s="328"/>
      <c r="J565" s="249"/>
      <c r="K565" s="330"/>
      <c r="L565" s="250"/>
      <c r="M565" s="249"/>
      <c r="N565" s="330"/>
      <c r="O565" s="250"/>
      <c r="P565" s="249"/>
      <c r="Q565" s="330"/>
      <c r="R565" s="250"/>
      <c r="S565" s="249"/>
      <c r="T565" s="330"/>
      <c r="U565" s="250"/>
      <c r="V565" s="249"/>
      <c r="W565" s="330"/>
      <c r="X565" s="343"/>
      <c r="Y565" s="249"/>
      <c r="Z565" s="330"/>
      <c r="AA565" s="343"/>
      <c r="AB565" s="249"/>
      <c r="AC565" s="330"/>
      <c r="AD565" s="343"/>
      <c r="AE565" s="249"/>
      <c r="AF565" s="330"/>
      <c r="AG565" s="343"/>
      <c r="AH565" s="249"/>
      <c r="AI565" s="330"/>
      <c r="AJ565" s="343"/>
      <c r="AK565" s="249"/>
      <c r="AL565" s="330"/>
      <c r="AM565" s="343"/>
      <c r="AN565" s="249"/>
      <c r="AO565" s="330"/>
      <c r="AP565" s="343"/>
      <c r="AQ565" s="249"/>
      <c r="AR565" s="330"/>
      <c r="AS565" s="343"/>
      <c r="AT565" s="249"/>
      <c r="AU565" s="330"/>
    </row>
    <row r="566" spans="2:47">
      <c r="B566" s="247">
        <f>'Table S2 Compound Identifiers'!C568</f>
        <v>0</v>
      </c>
      <c r="C566" s="247">
        <f>COUNTIF($D$6:D566,"&lt;&gt;"&amp;"")</f>
        <v>561</v>
      </c>
      <c r="D566" s="247">
        <f>'Table S2 Compound Identifiers'!B568</f>
        <v>0</v>
      </c>
      <c r="E566" s="247"/>
      <c r="F566" s="248"/>
      <c r="G566" s="249"/>
      <c r="H566" s="330"/>
      <c r="I566" s="328"/>
      <c r="J566" s="249"/>
      <c r="K566" s="330"/>
      <c r="L566" s="250"/>
      <c r="M566" s="249"/>
      <c r="N566" s="330"/>
      <c r="O566" s="250"/>
      <c r="P566" s="249"/>
      <c r="Q566" s="330"/>
      <c r="R566" s="250"/>
      <c r="S566" s="249"/>
      <c r="T566" s="330"/>
      <c r="U566" s="250"/>
      <c r="V566" s="249"/>
      <c r="W566" s="330"/>
      <c r="X566" s="343"/>
      <c r="Y566" s="249"/>
      <c r="Z566" s="330"/>
      <c r="AA566" s="343"/>
      <c r="AB566" s="249"/>
      <c r="AC566" s="330"/>
      <c r="AD566" s="343"/>
      <c r="AE566" s="249"/>
      <c r="AF566" s="330"/>
      <c r="AG566" s="343"/>
      <c r="AH566" s="249"/>
      <c r="AI566" s="330"/>
      <c r="AJ566" s="343"/>
      <c r="AK566" s="249"/>
      <c r="AL566" s="330"/>
      <c r="AM566" s="343"/>
      <c r="AN566" s="249"/>
      <c r="AO566" s="330"/>
      <c r="AP566" s="343"/>
      <c r="AQ566" s="249"/>
      <c r="AR566" s="330"/>
      <c r="AS566" s="343"/>
      <c r="AT566" s="249"/>
      <c r="AU566" s="330"/>
    </row>
    <row r="567" spans="2:47">
      <c r="B567" s="247">
        <f>'Table S2 Compound Identifiers'!C569</f>
        <v>0</v>
      </c>
      <c r="C567" s="247">
        <f>COUNTIF($D$6:D567,"&lt;&gt;"&amp;"")</f>
        <v>562</v>
      </c>
      <c r="D567" s="247">
        <f>'Table S2 Compound Identifiers'!B569</f>
        <v>0</v>
      </c>
      <c r="E567" s="247"/>
      <c r="F567" s="248"/>
      <c r="G567" s="249"/>
      <c r="H567" s="330"/>
      <c r="I567" s="328"/>
      <c r="J567" s="249"/>
      <c r="K567" s="330"/>
      <c r="L567" s="250"/>
      <c r="M567" s="249"/>
      <c r="N567" s="330"/>
      <c r="O567" s="250"/>
      <c r="P567" s="249"/>
      <c r="Q567" s="330"/>
      <c r="R567" s="250"/>
      <c r="S567" s="249"/>
      <c r="T567" s="330"/>
      <c r="U567" s="250"/>
      <c r="V567" s="249"/>
      <c r="W567" s="330"/>
      <c r="X567" s="343"/>
      <c r="Y567" s="249"/>
      <c r="Z567" s="330"/>
      <c r="AA567" s="343"/>
      <c r="AB567" s="249"/>
      <c r="AC567" s="330"/>
      <c r="AD567" s="343"/>
      <c r="AE567" s="249"/>
      <c r="AF567" s="330"/>
      <c r="AG567" s="343"/>
      <c r="AH567" s="249"/>
      <c r="AI567" s="330"/>
      <c r="AJ567" s="343"/>
      <c r="AK567" s="249"/>
      <c r="AL567" s="330"/>
      <c r="AM567" s="343"/>
      <c r="AN567" s="249"/>
      <c r="AO567" s="330"/>
      <c r="AP567" s="343"/>
      <c r="AQ567" s="249"/>
      <c r="AR567" s="330"/>
      <c r="AS567" s="343"/>
      <c r="AT567" s="249"/>
      <c r="AU567" s="330"/>
    </row>
    <row r="568" spans="2:47">
      <c r="B568" s="247">
        <f>'Table S2 Compound Identifiers'!C570</f>
        <v>0</v>
      </c>
      <c r="C568" s="247">
        <f>COUNTIF($D$6:D568,"&lt;&gt;"&amp;"")</f>
        <v>563</v>
      </c>
      <c r="D568" s="247">
        <f>'Table S2 Compound Identifiers'!B570</f>
        <v>0</v>
      </c>
      <c r="E568" s="247"/>
      <c r="F568" s="248"/>
      <c r="G568" s="249"/>
      <c r="H568" s="330"/>
      <c r="I568" s="328"/>
      <c r="J568" s="249"/>
      <c r="K568" s="330"/>
      <c r="L568" s="250"/>
      <c r="M568" s="249"/>
      <c r="N568" s="330"/>
      <c r="O568" s="250"/>
      <c r="P568" s="249"/>
      <c r="Q568" s="330"/>
      <c r="R568" s="250"/>
      <c r="S568" s="249"/>
      <c r="T568" s="330"/>
      <c r="U568" s="250"/>
      <c r="V568" s="249"/>
      <c r="W568" s="330"/>
      <c r="X568" s="343"/>
      <c r="Y568" s="249"/>
      <c r="Z568" s="330"/>
      <c r="AA568" s="343"/>
      <c r="AB568" s="249"/>
      <c r="AC568" s="330"/>
      <c r="AD568" s="343"/>
      <c r="AE568" s="249"/>
      <c r="AF568" s="330"/>
      <c r="AG568" s="343"/>
      <c r="AH568" s="249"/>
      <c r="AI568" s="330"/>
      <c r="AJ568" s="343"/>
      <c r="AK568" s="249"/>
      <c r="AL568" s="330"/>
      <c r="AM568" s="343"/>
      <c r="AN568" s="249"/>
      <c r="AO568" s="330"/>
      <c r="AP568" s="343"/>
      <c r="AQ568" s="249"/>
      <c r="AR568" s="330"/>
      <c r="AS568" s="343"/>
      <c r="AT568" s="249"/>
      <c r="AU568" s="330"/>
    </row>
    <row r="569" spans="2:47">
      <c r="B569" s="247">
        <f>'Table S2 Compound Identifiers'!C571</f>
        <v>0</v>
      </c>
      <c r="C569" s="247">
        <f>COUNTIF($D$6:D569,"&lt;&gt;"&amp;"")</f>
        <v>564</v>
      </c>
      <c r="D569" s="247">
        <f>'Table S2 Compound Identifiers'!B571</f>
        <v>0</v>
      </c>
      <c r="E569" s="247"/>
      <c r="F569" s="248"/>
      <c r="G569" s="249"/>
      <c r="H569" s="330"/>
      <c r="I569" s="328"/>
      <c r="J569" s="249"/>
      <c r="K569" s="330"/>
      <c r="L569" s="250"/>
      <c r="M569" s="249"/>
      <c r="N569" s="330"/>
      <c r="O569" s="250"/>
      <c r="P569" s="249"/>
      <c r="Q569" s="330"/>
      <c r="R569" s="250"/>
      <c r="S569" s="249"/>
      <c r="T569" s="330"/>
      <c r="U569" s="250"/>
      <c r="V569" s="249"/>
      <c r="W569" s="330"/>
      <c r="X569" s="343"/>
      <c r="Y569" s="249"/>
      <c r="Z569" s="330"/>
      <c r="AA569" s="343"/>
      <c r="AB569" s="249"/>
      <c r="AC569" s="330"/>
      <c r="AD569" s="343"/>
      <c r="AE569" s="249"/>
      <c r="AF569" s="330"/>
      <c r="AG569" s="343"/>
      <c r="AH569" s="249"/>
      <c r="AI569" s="330"/>
      <c r="AJ569" s="343"/>
      <c r="AK569" s="249"/>
      <c r="AL569" s="330"/>
      <c r="AM569" s="343"/>
      <c r="AN569" s="249"/>
      <c r="AO569" s="330"/>
      <c r="AP569" s="343"/>
      <c r="AQ569" s="249"/>
      <c r="AR569" s="330"/>
      <c r="AS569" s="343"/>
      <c r="AT569" s="249"/>
      <c r="AU569" s="330"/>
    </row>
    <row r="570" spans="2:47">
      <c r="B570" s="247">
        <f>'Table S2 Compound Identifiers'!C572</f>
        <v>0</v>
      </c>
      <c r="C570" s="247">
        <f>COUNTIF($D$6:D570,"&lt;&gt;"&amp;"")</f>
        <v>565</v>
      </c>
      <c r="D570" s="247">
        <f>'Table S2 Compound Identifiers'!B572</f>
        <v>0</v>
      </c>
      <c r="E570" s="247"/>
      <c r="F570" s="248"/>
      <c r="G570" s="249"/>
      <c r="H570" s="330"/>
      <c r="I570" s="328"/>
      <c r="J570" s="249"/>
      <c r="K570" s="330"/>
      <c r="L570" s="250"/>
      <c r="M570" s="249"/>
      <c r="N570" s="330"/>
      <c r="O570" s="250"/>
      <c r="P570" s="249"/>
      <c r="Q570" s="330"/>
      <c r="R570" s="250"/>
      <c r="S570" s="249"/>
      <c r="T570" s="330"/>
      <c r="U570" s="250"/>
      <c r="V570" s="249"/>
      <c r="W570" s="330"/>
      <c r="X570" s="343"/>
      <c r="Y570" s="249"/>
      <c r="Z570" s="330"/>
      <c r="AA570" s="343"/>
      <c r="AB570" s="249"/>
      <c r="AC570" s="330"/>
      <c r="AD570" s="343"/>
      <c r="AE570" s="249"/>
      <c r="AF570" s="330"/>
      <c r="AG570" s="343"/>
      <c r="AH570" s="249"/>
      <c r="AI570" s="330"/>
      <c r="AJ570" s="343"/>
      <c r="AK570" s="249"/>
      <c r="AL570" s="330"/>
      <c r="AM570" s="343"/>
      <c r="AN570" s="249"/>
      <c r="AO570" s="330"/>
      <c r="AP570" s="343"/>
      <c r="AQ570" s="249"/>
      <c r="AR570" s="330"/>
      <c r="AS570" s="343"/>
      <c r="AT570" s="249"/>
      <c r="AU570" s="330"/>
    </row>
    <row r="571" spans="2:47">
      <c r="B571" s="247">
        <f>'Table S2 Compound Identifiers'!C573</f>
        <v>0</v>
      </c>
      <c r="C571" s="247">
        <f>COUNTIF($D$6:D571,"&lt;&gt;"&amp;"")</f>
        <v>566</v>
      </c>
      <c r="D571" s="247">
        <f>'Table S2 Compound Identifiers'!B573</f>
        <v>0</v>
      </c>
      <c r="E571" s="247"/>
      <c r="F571" s="248"/>
      <c r="G571" s="249"/>
      <c r="H571" s="330"/>
      <c r="I571" s="328"/>
      <c r="J571" s="249"/>
      <c r="K571" s="330"/>
      <c r="L571" s="250"/>
      <c r="M571" s="249"/>
      <c r="N571" s="330"/>
      <c r="O571" s="250"/>
      <c r="P571" s="249"/>
      <c r="Q571" s="330"/>
      <c r="R571" s="250"/>
      <c r="S571" s="249"/>
      <c r="T571" s="330"/>
      <c r="U571" s="250"/>
      <c r="V571" s="249"/>
      <c r="W571" s="330"/>
      <c r="X571" s="343"/>
      <c r="Y571" s="249"/>
      <c r="Z571" s="330"/>
      <c r="AA571" s="343"/>
      <c r="AB571" s="249"/>
      <c r="AC571" s="330"/>
      <c r="AD571" s="343"/>
      <c r="AE571" s="249"/>
      <c r="AF571" s="330"/>
      <c r="AG571" s="343"/>
      <c r="AH571" s="249"/>
      <c r="AI571" s="330"/>
      <c r="AJ571" s="343"/>
      <c r="AK571" s="249"/>
      <c r="AL571" s="330"/>
      <c r="AM571" s="343"/>
      <c r="AN571" s="249"/>
      <c r="AO571" s="330"/>
      <c r="AP571" s="343"/>
      <c r="AQ571" s="249"/>
      <c r="AR571" s="330"/>
      <c r="AS571" s="343"/>
      <c r="AT571" s="249"/>
      <c r="AU571" s="330"/>
    </row>
    <row r="572" spans="2:47">
      <c r="B572" s="247">
        <f>'Table S2 Compound Identifiers'!C574</f>
        <v>0</v>
      </c>
      <c r="C572" s="247">
        <f>COUNTIF($D$6:D572,"&lt;&gt;"&amp;"")</f>
        <v>567</v>
      </c>
      <c r="D572" s="247">
        <f>'Table S2 Compound Identifiers'!B574</f>
        <v>0</v>
      </c>
      <c r="E572" s="247"/>
      <c r="F572" s="248"/>
      <c r="G572" s="249"/>
      <c r="H572" s="330"/>
      <c r="I572" s="328"/>
      <c r="J572" s="249"/>
      <c r="K572" s="330"/>
      <c r="L572" s="250"/>
      <c r="M572" s="249"/>
      <c r="N572" s="330"/>
      <c r="O572" s="250"/>
      <c r="P572" s="249"/>
      <c r="Q572" s="330"/>
      <c r="R572" s="250"/>
      <c r="S572" s="249"/>
      <c r="T572" s="330"/>
      <c r="U572" s="250"/>
      <c r="V572" s="249"/>
      <c r="W572" s="330"/>
      <c r="X572" s="343"/>
      <c r="Y572" s="249"/>
      <c r="Z572" s="330"/>
      <c r="AA572" s="343"/>
      <c r="AB572" s="249"/>
      <c r="AC572" s="330"/>
      <c r="AD572" s="343"/>
      <c r="AE572" s="249"/>
      <c r="AF572" s="330"/>
      <c r="AG572" s="343"/>
      <c r="AH572" s="249"/>
      <c r="AI572" s="330"/>
      <c r="AJ572" s="343"/>
      <c r="AK572" s="249"/>
      <c r="AL572" s="330"/>
      <c r="AM572" s="343"/>
      <c r="AN572" s="249"/>
      <c r="AO572" s="330"/>
      <c r="AP572" s="343"/>
      <c r="AQ572" s="249"/>
      <c r="AR572" s="330"/>
      <c r="AS572" s="343"/>
      <c r="AT572" s="249"/>
      <c r="AU572" s="330"/>
    </row>
    <row r="573" spans="2:47">
      <c r="B573" s="247">
        <f>'Table S2 Compound Identifiers'!C575</f>
        <v>0</v>
      </c>
      <c r="C573" s="247">
        <f>COUNTIF($D$6:D573,"&lt;&gt;"&amp;"")</f>
        <v>568</v>
      </c>
      <c r="D573" s="247">
        <f>'Table S2 Compound Identifiers'!B575</f>
        <v>0</v>
      </c>
      <c r="E573" s="247"/>
      <c r="F573" s="248"/>
      <c r="G573" s="249"/>
      <c r="H573" s="330"/>
      <c r="I573" s="328"/>
      <c r="J573" s="249"/>
      <c r="K573" s="330"/>
      <c r="L573" s="250"/>
      <c r="M573" s="249"/>
      <c r="N573" s="330"/>
      <c r="O573" s="250"/>
      <c r="P573" s="249"/>
      <c r="Q573" s="330"/>
      <c r="R573" s="250"/>
      <c r="S573" s="249"/>
      <c r="T573" s="330"/>
      <c r="U573" s="250"/>
      <c r="V573" s="249"/>
      <c r="W573" s="330"/>
      <c r="X573" s="343"/>
      <c r="Y573" s="249"/>
      <c r="Z573" s="330"/>
      <c r="AA573" s="343"/>
      <c r="AB573" s="249"/>
      <c r="AC573" s="330"/>
      <c r="AD573" s="343"/>
      <c r="AE573" s="249"/>
      <c r="AF573" s="330"/>
      <c r="AG573" s="343"/>
      <c r="AH573" s="249"/>
      <c r="AI573" s="330"/>
      <c r="AJ573" s="343"/>
      <c r="AK573" s="249"/>
      <c r="AL573" s="330"/>
      <c r="AM573" s="343"/>
      <c r="AN573" s="249"/>
      <c r="AO573" s="330"/>
      <c r="AP573" s="343"/>
      <c r="AQ573" s="249"/>
      <c r="AR573" s="330"/>
      <c r="AS573" s="343"/>
      <c r="AT573" s="249"/>
      <c r="AU573" s="330"/>
    </row>
    <row r="574" spans="2:47">
      <c r="B574" s="247">
        <f>'Table S2 Compound Identifiers'!C576</f>
        <v>0</v>
      </c>
      <c r="C574" s="247">
        <f>COUNTIF($D$6:D574,"&lt;&gt;"&amp;"")</f>
        <v>569</v>
      </c>
      <c r="D574" s="247">
        <f>'Table S2 Compound Identifiers'!B576</f>
        <v>0</v>
      </c>
      <c r="E574" s="247"/>
      <c r="F574" s="248"/>
      <c r="G574" s="249"/>
      <c r="H574" s="330"/>
      <c r="I574" s="328"/>
      <c r="J574" s="249"/>
      <c r="K574" s="330"/>
      <c r="L574" s="250"/>
      <c r="M574" s="249"/>
      <c r="N574" s="330"/>
      <c r="O574" s="250"/>
      <c r="P574" s="249"/>
      <c r="Q574" s="330"/>
      <c r="R574" s="250"/>
      <c r="S574" s="249"/>
      <c r="T574" s="330"/>
      <c r="U574" s="250"/>
      <c r="V574" s="249"/>
      <c r="W574" s="330"/>
      <c r="X574" s="343"/>
      <c r="Y574" s="249"/>
      <c r="Z574" s="330"/>
      <c r="AA574" s="343"/>
      <c r="AB574" s="249"/>
      <c r="AC574" s="330"/>
      <c r="AD574" s="343"/>
      <c r="AE574" s="249"/>
      <c r="AF574" s="330"/>
      <c r="AG574" s="343"/>
      <c r="AH574" s="249"/>
      <c r="AI574" s="330"/>
      <c r="AJ574" s="343"/>
      <c r="AK574" s="249"/>
      <c r="AL574" s="330"/>
      <c r="AM574" s="343"/>
      <c r="AN574" s="249"/>
      <c r="AO574" s="330"/>
      <c r="AP574" s="343"/>
      <c r="AQ574" s="249"/>
      <c r="AR574" s="330"/>
      <c r="AS574" s="343"/>
      <c r="AT574" s="249"/>
      <c r="AU574" s="330"/>
    </row>
    <row r="575" spans="2:47">
      <c r="B575" s="247">
        <f>'Table S2 Compound Identifiers'!C577</f>
        <v>0</v>
      </c>
      <c r="C575" s="247">
        <f>COUNTIF($D$6:D575,"&lt;&gt;"&amp;"")</f>
        <v>570</v>
      </c>
      <c r="D575" s="247">
        <f>'Table S2 Compound Identifiers'!B577</f>
        <v>0</v>
      </c>
      <c r="E575" s="247"/>
      <c r="F575" s="248"/>
      <c r="G575" s="249"/>
      <c r="H575" s="330"/>
      <c r="I575" s="328"/>
      <c r="J575" s="249"/>
      <c r="K575" s="330"/>
      <c r="L575" s="250"/>
      <c r="M575" s="249"/>
      <c r="N575" s="330"/>
      <c r="O575" s="250"/>
      <c r="P575" s="249"/>
      <c r="Q575" s="330"/>
      <c r="R575" s="250"/>
      <c r="S575" s="249"/>
      <c r="T575" s="330"/>
      <c r="U575" s="250"/>
      <c r="V575" s="249"/>
      <c r="W575" s="330"/>
      <c r="X575" s="343"/>
      <c r="Y575" s="249"/>
      <c r="Z575" s="330"/>
      <c r="AA575" s="343"/>
      <c r="AB575" s="249"/>
      <c r="AC575" s="330"/>
      <c r="AD575" s="343"/>
      <c r="AE575" s="249"/>
      <c r="AF575" s="330"/>
      <c r="AG575" s="343"/>
      <c r="AH575" s="249"/>
      <c r="AI575" s="330"/>
      <c r="AJ575" s="343"/>
      <c r="AK575" s="249"/>
      <c r="AL575" s="330"/>
      <c r="AM575" s="343"/>
      <c r="AN575" s="249"/>
      <c r="AO575" s="330"/>
      <c r="AP575" s="343"/>
      <c r="AQ575" s="249"/>
      <c r="AR575" s="330"/>
      <c r="AS575" s="343"/>
      <c r="AT575" s="249"/>
      <c r="AU575" s="330"/>
    </row>
    <row r="576" spans="2:47">
      <c r="B576" s="247">
        <f>'Table S2 Compound Identifiers'!C578</f>
        <v>0</v>
      </c>
      <c r="C576" s="247">
        <f>COUNTIF($D$6:D576,"&lt;&gt;"&amp;"")</f>
        <v>571</v>
      </c>
      <c r="D576" s="247">
        <f>'Table S2 Compound Identifiers'!B578</f>
        <v>0</v>
      </c>
      <c r="E576" s="247"/>
      <c r="F576" s="248"/>
      <c r="G576" s="249"/>
      <c r="H576" s="330"/>
      <c r="I576" s="328"/>
      <c r="J576" s="249"/>
      <c r="K576" s="330"/>
      <c r="L576" s="250"/>
      <c r="M576" s="249"/>
      <c r="N576" s="330"/>
      <c r="O576" s="250"/>
      <c r="P576" s="249"/>
      <c r="Q576" s="330"/>
      <c r="R576" s="250"/>
      <c r="S576" s="249"/>
      <c r="T576" s="330"/>
      <c r="U576" s="250"/>
      <c r="V576" s="249"/>
      <c r="W576" s="330"/>
      <c r="X576" s="343"/>
      <c r="Y576" s="249"/>
      <c r="Z576" s="330"/>
      <c r="AA576" s="343"/>
      <c r="AB576" s="249"/>
      <c r="AC576" s="330"/>
      <c r="AD576" s="343"/>
      <c r="AE576" s="249"/>
      <c r="AF576" s="330"/>
      <c r="AG576" s="343"/>
      <c r="AH576" s="249"/>
      <c r="AI576" s="330"/>
      <c r="AJ576" s="343"/>
      <c r="AK576" s="249"/>
      <c r="AL576" s="330"/>
      <c r="AM576" s="343"/>
      <c r="AN576" s="249"/>
      <c r="AO576" s="330"/>
      <c r="AP576" s="343"/>
      <c r="AQ576" s="249"/>
      <c r="AR576" s="330"/>
      <c r="AS576" s="343"/>
      <c r="AT576" s="249"/>
      <c r="AU576" s="330"/>
    </row>
    <row r="577" spans="2:47">
      <c r="B577" s="247">
        <f>'Table S2 Compound Identifiers'!C579</f>
        <v>0</v>
      </c>
      <c r="C577" s="247">
        <f>COUNTIF($D$6:D577,"&lt;&gt;"&amp;"")</f>
        <v>572</v>
      </c>
      <c r="D577" s="247">
        <f>'Table S2 Compound Identifiers'!B579</f>
        <v>0</v>
      </c>
      <c r="E577" s="247"/>
      <c r="F577" s="248"/>
      <c r="G577" s="249"/>
      <c r="H577" s="330"/>
      <c r="I577" s="328"/>
      <c r="J577" s="249"/>
      <c r="K577" s="330"/>
      <c r="L577" s="250"/>
      <c r="M577" s="249"/>
      <c r="N577" s="330"/>
      <c r="O577" s="250"/>
      <c r="P577" s="249"/>
      <c r="Q577" s="330"/>
      <c r="R577" s="250"/>
      <c r="S577" s="249"/>
      <c r="T577" s="330"/>
      <c r="U577" s="250"/>
      <c r="V577" s="249"/>
      <c r="W577" s="330"/>
      <c r="X577" s="343"/>
      <c r="Y577" s="249"/>
      <c r="Z577" s="330"/>
      <c r="AA577" s="343"/>
      <c r="AB577" s="249"/>
      <c r="AC577" s="330"/>
      <c r="AD577" s="343"/>
      <c r="AE577" s="249"/>
      <c r="AF577" s="330"/>
      <c r="AG577" s="343"/>
      <c r="AH577" s="249"/>
      <c r="AI577" s="330"/>
      <c r="AJ577" s="343"/>
      <c r="AK577" s="249"/>
      <c r="AL577" s="330"/>
      <c r="AM577" s="343"/>
      <c r="AN577" s="249"/>
      <c r="AO577" s="330"/>
      <c r="AP577" s="343"/>
      <c r="AQ577" s="249"/>
      <c r="AR577" s="330"/>
      <c r="AS577" s="343"/>
      <c r="AT577" s="249"/>
      <c r="AU577" s="330"/>
    </row>
    <row r="578" spans="2:47">
      <c r="B578" s="247">
        <f>'Table S2 Compound Identifiers'!C580</f>
        <v>0</v>
      </c>
      <c r="C578" s="247">
        <f>COUNTIF($D$6:D578,"&lt;&gt;"&amp;"")</f>
        <v>573</v>
      </c>
      <c r="D578" s="247">
        <f>'Table S2 Compound Identifiers'!B580</f>
        <v>0</v>
      </c>
      <c r="E578" s="247"/>
      <c r="F578" s="248"/>
      <c r="G578" s="249"/>
      <c r="H578" s="330"/>
      <c r="I578" s="328"/>
      <c r="J578" s="249"/>
      <c r="K578" s="330"/>
      <c r="L578" s="250"/>
      <c r="M578" s="249"/>
      <c r="N578" s="330"/>
      <c r="O578" s="250"/>
      <c r="P578" s="249"/>
      <c r="Q578" s="330"/>
      <c r="R578" s="250"/>
      <c r="S578" s="249"/>
      <c r="T578" s="330"/>
      <c r="U578" s="250"/>
      <c r="V578" s="249"/>
      <c r="W578" s="330"/>
      <c r="X578" s="343"/>
      <c r="Y578" s="249"/>
      <c r="Z578" s="330"/>
      <c r="AA578" s="343"/>
      <c r="AB578" s="249"/>
      <c r="AC578" s="330"/>
      <c r="AD578" s="343"/>
      <c r="AE578" s="249"/>
      <c r="AF578" s="330"/>
      <c r="AG578" s="343"/>
      <c r="AH578" s="249"/>
      <c r="AI578" s="330"/>
      <c r="AJ578" s="343"/>
      <c r="AK578" s="249"/>
      <c r="AL578" s="330"/>
      <c r="AM578" s="343"/>
      <c r="AN578" s="249"/>
      <c r="AO578" s="330"/>
      <c r="AP578" s="343"/>
      <c r="AQ578" s="249"/>
      <c r="AR578" s="330"/>
      <c r="AS578" s="343"/>
      <c r="AT578" s="249"/>
      <c r="AU578" s="330"/>
    </row>
    <row r="579" spans="2:47">
      <c r="B579" s="247">
        <f>'Table S2 Compound Identifiers'!C581</f>
        <v>0</v>
      </c>
      <c r="C579" s="247">
        <f>COUNTIF($D$6:D579,"&lt;&gt;"&amp;"")</f>
        <v>574</v>
      </c>
      <c r="D579" s="247">
        <f>'Table S2 Compound Identifiers'!B581</f>
        <v>0</v>
      </c>
      <c r="E579" s="247"/>
      <c r="F579" s="248"/>
      <c r="G579" s="249"/>
      <c r="H579" s="330"/>
      <c r="I579" s="328"/>
      <c r="J579" s="249"/>
      <c r="K579" s="330"/>
      <c r="L579" s="250"/>
      <c r="M579" s="249"/>
      <c r="N579" s="330"/>
      <c r="O579" s="250"/>
      <c r="P579" s="249"/>
      <c r="Q579" s="330"/>
      <c r="R579" s="250"/>
      <c r="S579" s="249"/>
      <c r="T579" s="330"/>
      <c r="U579" s="250"/>
      <c r="V579" s="249"/>
      <c r="W579" s="330"/>
      <c r="X579" s="343"/>
      <c r="Y579" s="249"/>
      <c r="Z579" s="330"/>
      <c r="AA579" s="343"/>
      <c r="AB579" s="249"/>
      <c r="AC579" s="330"/>
      <c r="AD579" s="343"/>
      <c r="AE579" s="249"/>
      <c r="AF579" s="330"/>
      <c r="AG579" s="343"/>
      <c r="AH579" s="249"/>
      <c r="AI579" s="330"/>
      <c r="AJ579" s="343"/>
      <c r="AK579" s="249"/>
      <c r="AL579" s="330"/>
      <c r="AM579" s="343"/>
      <c r="AN579" s="249"/>
      <c r="AO579" s="330"/>
      <c r="AP579" s="343"/>
      <c r="AQ579" s="249"/>
      <c r="AR579" s="330"/>
      <c r="AS579" s="343"/>
      <c r="AT579" s="249"/>
      <c r="AU579" s="330"/>
    </row>
    <row r="580" spans="2:47">
      <c r="B580" s="247">
        <f>'Table S2 Compound Identifiers'!C582</f>
        <v>0</v>
      </c>
      <c r="C580" s="247">
        <f>COUNTIF($D$6:D580,"&lt;&gt;"&amp;"")</f>
        <v>575</v>
      </c>
      <c r="D580" s="432">
        <f>'Table S2 Compound Identifiers'!B582</f>
        <v>0</v>
      </c>
      <c r="E580" s="247"/>
      <c r="F580" s="248"/>
      <c r="G580" s="249"/>
      <c r="H580" s="330"/>
      <c r="I580" s="328"/>
      <c r="J580" s="249"/>
      <c r="K580" s="330"/>
      <c r="L580" s="250"/>
      <c r="M580" s="249"/>
      <c r="N580" s="330"/>
      <c r="O580" s="250"/>
      <c r="P580" s="249"/>
      <c r="Q580" s="330"/>
      <c r="R580" s="250"/>
      <c r="S580" s="249"/>
      <c r="T580" s="330"/>
      <c r="U580" s="250"/>
      <c r="V580" s="249"/>
      <c r="W580" s="330"/>
      <c r="X580" s="343"/>
      <c r="Y580" s="249"/>
      <c r="Z580" s="330"/>
      <c r="AA580" s="343"/>
      <c r="AB580" s="249"/>
      <c r="AC580" s="330"/>
      <c r="AD580" s="343"/>
      <c r="AE580" s="249"/>
      <c r="AF580" s="330"/>
      <c r="AG580" s="343"/>
      <c r="AH580" s="249"/>
      <c r="AI580" s="330"/>
      <c r="AJ580" s="343"/>
      <c r="AK580" s="249"/>
      <c r="AL580" s="330"/>
      <c r="AM580" s="343"/>
      <c r="AN580" s="249"/>
      <c r="AO580" s="330"/>
      <c r="AP580" s="343"/>
      <c r="AQ580" s="249"/>
      <c r="AR580" s="330"/>
      <c r="AS580" s="343"/>
      <c r="AT580" s="249"/>
      <c r="AU580" s="330"/>
    </row>
    <row r="581" spans="2:47">
      <c r="B581" s="247">
        <f>'Table S2 Compound Identifiers'!C583</f>
        <v>0</v>
      </c>
      <c r="C581" s="247">
        <f>COUNTIF($D$6:D581,"&lt;&gt;"&amp;"")</f>
        <v>576</v>
      </c>
      <c r="D581" s="432">
        <f>'Table S2 Compound Identifiers'!B583</f>
        <v>0</v>
      </c>
      <c r="E581" s="247"/>
      <c r="F581" s="248"/>
      <c r="G581" s="249"/>
      <c r="H581" s="330"/>
      <c r="I581" s="328"/>
      <c r="J581" s="249"/>
      <c r="K581" s="330"/>
      <c r="L581" s="250"/>
      <c r="M581" s="249"/>
      <c r="N581" s="330"/>
      <c r="O581" s="250"/>
      <c r="P581" s="249"/>
      <c r="Q581" s="330"/>
      <c r="R581" s="250"/>
      <c r="S581" s="249"/>
      <c r="T581" s="330"/>
      <c r="U581" s="250"/>
      <c r="V581" s="249"/>
      <c r="W581" s="330"/>
      <c r="X581" s="343"/>
      <c r="Y581" s="249"/>
      <c r="Z581" s="330"/>
      <c r="AA581" s="343"/>
      <c r="AB581" s="249"/>
      <c r="AC581" s="330"/>
      <c r="AD581" s="343"/>
      <c r="AE581" s="249"/>
      <c r="AF581" s="330"/>
      <c r="AG581" s="343"/>
      <c r="AH581" s="249"/>
      <c r="AI581" s="330"/>
      <c r="AJ581" s="343"/>
      <c r="AK581" s="249"/>
      <c r="AL581" s="330"/>
      <c r="AM581" s="343"/>
      <c r="AN581" s="249"/>
      <c r="AO581" s="330"/>
      <c r="AP581" s="343"/>
      <c r="AQ581" s="249"/>
      <c r="AR581" s="330"/>
      <c r="AS581" s="343"/>
      <c r="AT581" s="249"/>
      <c r="AU581" s="330"/>
    </row>
    <row r="582" spans="2:47">
      <c r="B582" s="247">
        <f>'Table S2 Compound Identifiers'!C584</f>
        <v>0</v>
      </c>
      <c r="C582" s="247">
        <f>COUNTIF($D$6:D582,"&lt;&gt;"&amp;"")</f>
        <v>577</v>
      </c>
      <c r="D582" s="432">
        <f>'Table S2 Compound Identifiers'!B584</f>
        <v>0</v>
      </c>
      <c r="E582" s="247"/>
      <c r="F582" s="248"/>
      <c r="G582" s="249"/>
      <c r="H582" s="330"/>
      <c r="I582" s="328"/>
      <c r="J582" s="249"/>
      <c r="K582" s="330"/>
      <c r="L582" s="250"/>
      <c r="M582" s="249"/>
      <c r="N582" s="330"/>
      <c r="O582" s="250"/>
      <c r="P582" s="249"/>
      <c r="Q582" s="330"/>
      <c r="R582" s="250"/>
      <c r="S582" s="249"/>
      <c r="T582" s="330"/>
      <c r="U582" s="250"/>
      <c r="V582" s="249"/>
      <c r="W582" s="330"/>
      <c r="X582" s="343"/>
      <c r="Y582" s="249"/>
      <c r="Z582" s="330"/>
      <c r="AA582" s="343"/>
      <c r="AB582" s="249"/>
      <c r="AC582" s="330"/>
      <c r="AD582" s="343"/>
      <c r="AE582" s="249"/>
      <c r="AF582" s="330"/>
      <c r="AG582" s="343"/>
      <c r="AH582" s="249"/>
      <c r="AI582" s="330"/>
      <c r="AJ582" s="343"/>
      <c r="AK582" s="249"/>
      <c r="AL582" s="330"/>
      <c r="AM582" s="343"/>
      <c r="AN582" s="249"/>
      <c r="AO582" s="330"/>
      <c r="AP582" s="343"/>
      <c r="AQ582" s="249"/>
      <c r="AR582" s="330"/>
      <c r="AS582" s="343"/>
      <c r="AT582" s="249"/>
      <c r="AU582" s="330"/>
    </row>
    <row r="583" spans="2:47">
      <c r="B583" s="247">
        <f>'Table S2 Compound Identifiers'!C585</f>
        <v>0</v>
      </c>
      <c r="C583" s="247">
        <f>COUNTIF($D$6:D583,"&lt;&gt;"&amp;"")</f>
        <v>578</v>
      </c>
      <c r="D583" s="432">
        <f>'Table S2 Compound Identifiers'!B585</f>
        <v>0</v>
      </c>
      <c r="E583" s="247"/>
      <c r="F583" s="248"/>
      <c r="G583" s="249"/>
      <c r="H583" s="330"/>
      <c r="I583" s="328"/>
      <c r="J583" s="249"/>
      <c r="K583" s="330"/>
      <c r="L583" s="250"/>
      <c r="M583" s="249"/>
      <c r="N583" s="330"/>
      <c r="O583" s="250"/>
      <c r="P583" s="249"/>
      <c r="Q583" s="330"/>
      <c r="R583" s="250"/>
      <c r="S583" s="249"/>
      <c r="T583" s="330"/>
      <c r="U583" s="250"/>
      <c r="V583" s="249"/>
      <c r="W583" s="330"/>
      <c r="X583" s="343"/>
      <c r="Y583" s="249"/>
      <c r="Z583" s="330"/>
      <c r="AA583" s="343"/>
      <c r="AB583" s="249"/>
      <c r="AC583" s="330"/>
      <c r="AD583" s="343"/>
      <c r="AE583" s="249"/>
      <c r="AF583" s="330"/>
      <c r="AG583" s="343"/>
      <c r="AH583" s="249"/>
      <c r="AI583" s="330"/>
      <c r="AJ583" s="343"/>
      <c r="AK583" s="249"/>
      <c r="AL583" s="330"/>
      <c r="AM583" s="343"/>
      <c r="AN583" s="249"/>
      <c r="AO583" s="330"/>
      <c r="AP583" s="343"/>
      <c r="AQ583" s="249"/>
      <c r="AR583" s="330"/>
      <c r="AS583" s="343"/>
      <c r="AT583" s="249"/>
      <c r="AU583" s="330"/>
    </row>
    <row r="584" spans="2:47">
      <c r="B584" s="247">
        <f>'Table S2 Compound Identifiers'!C586</f>
        <v>0</v>
      </c>
      <c r="C584" s="247">
        <f>COUNTIF($D$6:D584,"&lt;&gt;"&amp;"")</f>
        <v>579</v>
      </c>
      <c r="D584" s="432">
        <f>'Table S2 Compound Identifiers'!B586</f>
        <v>0</v>
      </c>
      <c r="E584" s="247"/>
      <c r="F584" s="248"/>
      <c r="G584" s="249"/>
      <c r="H584" s="330"/>
      <c r="I584" s="328"/>
      <c r="J584" s="249"/>
      <c r="K584" s="330"/>
      <c r="L584" s="250"/>
      <c r="M584" s="249"/>
      <c r="N584" s="330"/>
      <c r="O584" s="250"/>
      <c r="P584" s="249"/>
      <c r="Q584" s="330"/>
      <c r="R584" s="250"/>
      <c r="S584" s="249"/>
      <c r="T584" s="330"/>
      <c r="U584" s="250"/>
      <c r="V584" s="249"/>
      <c r="W584" s="330"/>
      <c r="X584" s="343"/>
      <c r="Y584" s="249"/>
      <c r="Z584" s="330"/>
      <c r="AA584" s="343"/>
      <c r="AB584" s="249"/>
      <c r="AC584" s="330"/>
      <c r="AD584" s="343"/>
      <c r="AE584" s="249"/>
      <c r="AF584" s="330"/>
      <c r="AG584" s="343"/>
      <c r="AH584" s="249"/>
      <c r="AI584" s="330"/>
      <c r="AJ584" s="343"/>
      <c r="AK584" s="249"/>
      <c r="AL584" s="330"/>
      <c r="AM584" s="343"/>
      <c r="AN584" s="249"/>
      <c r="AO584" s="330"/>
      <c r="AP584" s="343"/>
      <c r="AQ584" s="249"/>
      <c r="AR584" s="330"/>
      <c r="AS584" s="343"/>
      <c r="AT584" s="249"/>
      <c r="AU584" s="330"/>
    </row>
    <row r="585" spans="2:47">
      <c r="B585" s="247">
        <f>'Table S2 Compound Identifiers'!C587</f>
        <v>0</v>
      </c>
      <c r="C585" s="247">
        <f>COUNTIF($D$6:D585,"&lt;&gt;"&amp;"")</f>
        <v>580</v>
      </c>
      <c r="D585" s="432">
        <f>'Table S2 Compound Identifiers'!B587</f>
        <v>0</v>
      </c>
      <c r="E585" s="247"/>
      <c r="F585" s="248"/>
      <c r="G585" s="249"/>
      <c r="H585" s="330"/>
      <c r="I585" s="328"/>
      <c r="J585" s="249"/>
      <c r="K585" s="330"/>
      <c r="L585" s="250"/>
      <c r="M585" s="249"/>
      <c r="N585" s="330"/>
      <c r="O585" s="250"/>
      <c r="P585" s="249"/>
      <c r="Q585" s="330"/>
      <c r="R585" s="250"/>
      <c r="S585" s="249"/>
      <c r="T585" s="330"/>
      <c r="U585" s="250"/>
      <c r="V585" s="249"/>
      <c r="W585" s="330"/>
      <c r="X585" s="343"/>
      <c r="Y585" s="249"/>
      <c r="Z585" s="330"/>
      <c r="AA585" s="343"/>
      <c r="AB585" s="249"/>
      <c r="AC585" s="330"/>
      <c r="AD585" s="343"/>
      <c r="AE585" s="249"/>
      <c r="AF585" s="330"/>
      <c r="AG585" s="343"/>
      <c r="AH585" s="249"/>
      <c r="AI585" s="330"/>
      <c r="AJ585" s="343"/>
      <c r="AK585" s="249"/>
      <c r="AL585" s="330"/>
      <c r="AM585" s="343"/>
      <c r="AN585" s="249"/>
      <c r="AO585" s="330"/>
      <c r="AP585" s="343"/>
      <c r="AQ585" s="249"/>
      <c r="AR585" s="330"/>
      <c r="AS585" s="343"/>
      <c r="AT585" s="249"/>
      <c r="AU585" s="330"/>
    </row>
    <row r="586" spans="2:47">
      <c r="B586" s="247">
        <f>'Table S2 Compound Identifiers'!C588</f>
        <v>0</v>
      </c>
      <c r="C586" s="247">
        <f>COUNTIF($D$6:D586,"&lt;&gt;"&amp;"")</f>
        <v>581</v>
      </c>
      <c r="D586" s="432">
        <f>'Table S2 Compound Identifiers'!B588</f>
        <v>0</v>
      </c>
      <c r="E586" s="247"/>
      <c r="F586" s="248"/>
      <c r="G586" s="249"/>
      <c r="H586" s="330"/>
      <c r="I586" s="328"/>
      <c r="J586" s="249"/>
      <c r="K586" s="330"/>
      <c r="L586" s="250"/>
      <c r="M586" s="249"/>
      <c r="N586" s="330"/>
      <c r="O586" s="250"/>
      <c r="P586" s="249"/>
      <c r="Q586" s="330"/>
      <c r="R586" s="250"/>
      <c r="S586" s="249"/>
      <c r="T586" s="330"/>
      <c r="U586" s="250"/>
      <c r="V586" s="249"/>
      <c r="W586" s="330"/>
      <c r="X586" s="343"/>
      <c r="Y586" s="249"/>
      <c r="Z586" s="330"/>
      <c r="AA586" s="343"/>
      <c r="AB586" s="249"/>
      <c r="AC586" s="330"/>
      <c r="AD586" s="343"/>
      <c r="AE586" s="249"/>
      <c r="AF586" s="330"/>
      <c r="AG586" s="343"/>
      <c r="AH586" s="249"/>
      <c r="AI586" s="330"/>
      <c r="AJ586" s="343"/>
      <c r="AK586" s="249"/>
      <c r="AL586" s="330"/>
      <c r="AM586" s="343"/>
      <c r="AN586" s="249"/>
      <c r="AO586" s="330"/>
      <c r="AP586" s="343"/>
      <c r="AQ586" s="249"/>
      <c r="AR586" s="330"/>
      <c r="AS586" s="343"/>
      <c r="AT586" s="249"/>
      <c r="AU586" s="330"/>
    </row>
    <row r="587" spans="2:47">
      <c r="B587" s="247">
        <f>'Table S2 Compound Identifiers'!C589</f>
        <v>0</v>
      </c>
      <c r="C587" s="247">
        <f>COUNTIF($D$6:D587,"&lt;&gt;"&amp;"")</f>
        <v>582</v>
      </c>
      <c r="D587" s="432">
        <f>'Table S2 Compound Identifiers'!B589</f>
        <v>0</v>
      </c>
      <c r="E587" s="247"/>
      <c r="F587" s="248"/>
      <c r="G587" s="249"/>
      <c r="H587" s="330"/>
      <c r="I587" s="328"/>
      <c r="J587" s="249"/>
      <c r="K587" s="330"/>
      <c r="L587" s="250"/>
      <c r="M587" s="249"/>
      <c r="N587" s="330"/>
      <c r="O587" s="250"/>
      <c r="P587" s="249"/>
      <c r="Q587" s="330"/>
      <c r="R587" s="250"/>
      <c r="S587" s="249"/>
      <c r="T587" s="330"/>
      <c r="U587" s="250"/>
      <c r="V587" s="249"/>
      <c r="W587" s="330"/>
      <c r="X587" s="343"/>
      <c r="Y587" s="249"/>
      <c r="Z587" s="330"/>
      <c r="AA587" s="343"/>
      <c r="AB587" s="249"/>
      <c r="AC587" s="330"/>
      <c r="AD587" s="343"/>
      <c r="AE587" s="249"/>
      <c r="AF587" s="330"/>
      <c r="AG587" s="343"/>
      <c r="AH587" s="249"/>
      <c r="AI587" s="330"/>
      <c r="AJ587" s="343"/>
      <c r="AK587" s="249"/>
      <c r="AL587" s="330"/>
      <c r="AM587" s="343"/>
      <c r="AN587" s="249"/>
      <c r="AO587" s="330"/>
      <c r="AP587" s="343"/>
      <c r="AQ587" s="249"/>
      <c r="AR587" s="330"/>
      <c r="AS587" s="343"/>
      <c r="AT587" s="249"/>
      <c r="AU587" s="330"/>
    </row>
    <row r="588" spans="2:47">
      <c r="B588" s="247">
        <f>'Table S2 Compound Identifiers'!C590</f>
        <v>0</v>
      </c>
      <c r="C588" s="247">
        <f>COUNTIF($D$6:D588,"&lt;&gt;"&amp;"")</f>
        <v>583</v>
      </c>
      <c r="D588" s="432">
        <f>'Table S2 Compound Identifiers'!B590</f>
        <v>0</v>
      </c>
      <c r="E588" s="247"/>
      <c r="F588" s="248"/>
      <c r="G588" s="249"/>
      <c r="H588" s="330"/>
      <c r="I588" s="328"/>
      <c r="J588" s="249"/>
      <c r="K588" s="330"/>
      <c r="L588" s="250"/>
      <c r="M588" s="249"/>
      <c r="N588" s="330"/>
      <c r="O588" s="250"/>
      <c r="P588" s="249"/>
      <c r="Q588" s="330"/>
      <c r="R588" s="250"/>
      <c r="S588" s="249"/>
      <c r="T588" s="330"/>
      <c r="U588" s="250"/>
      <c r="V588" s="249"/>
      <c r="W588" s="330"/>
      <c r="X588" s="343"/>
      <c r="Y588" s="249"/>
      <c r="Z588" s="330"/>
      <c r="AA588" s="343"/>
      <c r="AB588" s="249"/>
      <c r="AC588" s="330"/>
      <c r="AD588" s="343"/>
      <c r="AE588" s="249"/>
      <c r="AF588" s="330"/>
      <c r="AG588" s="343"/>
      <c r="AH588" s="249"/>
      <c r="AI588" s="330"/>
      <c r="AJ588" s="343"/>
      <c r="AK588" s="249"/>
      <c r="AL588" s="330"/>
      <c r="AM588" s="343"/>
      <c r="AN588" s="249"/>
      <c r="AO588" s="330"/>
      <c r="AP588" s="343"/>
      <c r="AQ588" s="249"/>
      <c r="AR588" s="330"/>
      <c r="AS588" s="343"/>
      <c r="AT588" s="249"/>
      <c r="AU588" s="330"/>
    </row>
    <row r="589" spans="2:47">
      <c r="B589" s="247">
        <f>'Table S2 Compound Identifiers'!C591</f>
        <v>0</v>
      </c>
      <c r="C589" s="247">
        <f>COUNTIF($D$6:D589,"&lt;&gt;"&amp;"")</f>
        <v>584</v>
      </c>
      <c r="D589" s="432">
        <f>'Table S2 Compound Identifiers'!B591</f>
        <v>0</v>
      </c>
      <c r="E589" s="247"/>
      <c r="F589" s="248"/>
      <c r="G589" s="249"/>
      <c r="H589" s="330"/>
      <c r="I589" s="328"/>
      <c r="J589" s="249"/>
      <c r="K589" s="330"/>
      <c r="L589" s="250"/>
      <c r="M589" s="249"/>
      <c r="N589" s="330"/>
      <c r="O589" s="250"/>
      <c r="P589" s="249"/>
      <c r="Q589" s="330"/>
      <c r="R589" s="250"/>
      <c r="S589" s="249"/>
      <c r="T589" s="330"/>
      <c r="U589" s="250"/>
      <c r="V589" s="249"/>
      <c r="W589" s="330"/>
      <c r="X589" s="343"/>
      <c r="Y589" s="249"/>
      <c r="Z589" s="330"/>
      <c r="AA589" s="343"/>
      <c r="AB589" s="249"/>
      <c r="AC589" s="330"/>
      <c r="AD589" s="343"/>
      <c r="AE589" s="249"/>
      <c r="AF589" s="330"/>
      <c r="AG589" s="343"/>
      <c r="AH589" s="249"/>
      <c r="AI589" s="330"/>
      <c r="AJ589" s="343"/>
      <c r="AK589" s="249"/>
      <c r="AL589" s="330"/>
      <c r="AM589" s="343"/>
      <c r="AN589" s="249"/>
      <c r="AO589" s="330"/>
      <c r="AP589" s="343"/>
      <c r="AQ589" s="249"/>
      <c r="AR589" s="330"/>
      <c r="AS589" s="343"/>
      <c r="AT589" s="249"/>
      <c r="AU589" s="330"/>
    </row>
    <row r="590" spans="2:47">
      <c r="B590" s="247">
        <f>'Table S2 Compound Identifiers'!C592</f>
        <v>0</v>
      </c>
      <c r="C590" s="247">
        <f>COUNTIF($D$6:D590,"&lt;&gt;"&amp;"")</f>
        <v>585</v>
      </c>
      <c r="D590" s="247">
        <f>'Table S2 Compound Identifiers'!B592</f>
        <v>0</v>
      </c>
      <c r="E590" s="247"/>
      <c r="F590" s="248"/>
      <c r="G590" s="249"/>
      <c r="H590" s="330"/>
      <c r="I590" s="328"/>
      <c r="J590" s="249"/>
      <c r="K590" s="330"/>
      <c r="L590" s="250"/>
      <c r="M590" s="249"/>
      <c r="N590" s="330"/>
      <c r="O590" s="250"/>
      <c r="P590" s="249"/>
      <c r="Q590" s="330"/>
      <c r="R590" s="250"/>
      <c r="S590" s="249"/>
      <c r="T590" s="330"/>
      <c r="U590" s="250"/>
      <c r="V590" s="249"/>
      <c r="W590" s="330"/>
      <c r="X590" s="343"/>
      <c r="Y590" s="249"/>
      <c r="Z590" s="330"/>
      <c r="AA590" s="343"/>
      <c r="AB590" s="249"/>
      <c r="AC590" s="330"/>
      <c r="AD590" s="343"/>
      <c r="AE590" s="249"/>
      <c r="AF590" s="330"/>
      <c r="AG590" s="343"/>
      <c r="AH590" s="249"/>
      <c r="AI590" s="330"/>
      <c r="AJ590" s="343"/>
      <c r="AK590" s="249"/>
      <c r="AL590" s="330"/>
      <c r="AM590" s="343"/>
      <c r="AN590" s="249"/>
      <c r="AO590" s="330"/>
      <c r="AP590" s="343"/>
      <c r="AQ590" s="249"/>
      <c r="AR590" s="330"/>
      <c r="AS590" s="343"/>
      <c r="AT590" s="249"/>
      <c r="AU590" s="330"/>
    </row>
    <row r="591" spans="2:47">
      <c r="B591" s="247">
        <f>'Table S2 Compound Identifiers'!C593</f>
        <v>0</v>
      </c>
      <c r="C591" s="247">
        <f>COUNTIF($D$6:D591,"&lt;&gt;"&amp;"")</f>
        <v>586</v>
      </c>
      <c r="D591" s="247">
        <f>'Table S2 Compound Identifiers'!B593</f>
        <v>0</v>
      </c>
      <c r="E591" s="247"/>
      <c r="F591" s="248"/>
      <c r="G591" s="249"/>
      <c r="H591" s="330"/>
      <c r="I591" s="328"/>
      <c r="J591" s="249"/>
      <c r="K591" s="330"/>
      <c r="L591" s="250"/>
      <c r="M591" s="249"/>
      <c r="N591" s="330"/>
      <c r="O591" s="250"/>
      <c r="P591" s="249"/>
      <c r="Q591" s="330"/>
      <c r="R591" s="250"/>
      <c r="S591" s="249"/>
      <c r="T591" s="330"/>
      <c r="U591" s="250"/>
      <c r="V591" s="249"/>
      <c r="W591" s="330"/>
      <c r="X591" s="343"/>
      <c r="Y591" s="249"/>
      <c r="Z591" s="330"/>
      <c r="AA591" s="343"/>
      <c r="AB591" s="249"/>
      <c r="AC591" s="330"/>
      <c r="AD591" s="343"/>
      <c r="AE591" s="249"/>
      <c r="AF591" s="330"/>
      <c r="AG591" s="343"/>
      <c r="AH591" s="249"/>
      <c r="AI591" s="330"/>
      <c r="AJ591" s="343"/>
      <c r="AK591" s="249"/>
      <c r="AL591" s="330"/>
      <c r="AM591" s="343"/>
      <c r="AN591" s="249"/>
      <c r="AO591" s="330"/>
      <c r="AP591" s="343"/>
      <c r="AQ591" s="249"/>
      <c r="AR591" s="330"/>
      <c r="AS591" s="343"/>
      <c r="AT591" s="249"/>
      <c r="AU591" s="330"/>
    </row>
    <row r="592" spans="2:47">
      <c r="B592" s="247">
        <f>'Table S2 Compound Identifiers'!C594</f>
        <v>0</v>
      </c>
      <c r="C592" s="247">
        <f>COUNTIF($D$6:D592,"&lt;&gt;"&amp;"")</f>
        <v>587</v>
      </c>
      <c r="D592" s="247">
        <f>'Table S2 Compound Identifiers'!B594</f>
        <v>0</v>
      </c>
      <c r="E592" s="247"/>
      <c r="F592" s="248"/>
      <c r="G592" s="249"/>
      <c r="H592" s="330"/>
      <c r="I592" s="328"/>
      <c r="J592" s="249"/>
      <c r="K592" s="330"/>
      <c r="L592" s="250"/>
      <c r="M592" s="249"/>
      <c r="N592" s="330"/>
      <c r="O592" s="250"/>
      <c r="P592" s="249"/>
      <c r="Q592" s="330"/>
      <c r="R592" s="250"/>
      <c r="S592" s="249"/>
      <c r="T592" s="330"/>
      <c r="U592" s="250"/>
      <c r="V592" s="249"/>
      <c r="W592" s="330"/>
      <c r="X592" s="343"/>
      <c r="Y592" s="249"/>
      <c r="Z592" s="330"/>
      <c r="AA592" s="343"/>
      <c r="AB592" s="249"/>
      <c r="AC592" s="330"/>
      <c r="AD592" s="343"/>
      <c r="AE592" s="249"/>
      <c r="AF592" s="330"/>
      <c r="AG592" s="343"/>
      <c r="AH592" s="249"/>
      <c r="AI592" s="330"/>
      <c r="AJ592" s="343"/>
      <c r="AK592" s="249"/>
      <c r="AL592" s="330"/>
      <c r="AM592" s="343"/>
      <c r="AN592" s="249"/>
      <c r="AO592" s="330"/>
      <c r="AP592" s="343"/>
      <c r="AQ592" s="249"/>
      <c r="AR592" s="330"/>
      <c r="AS592" s="343"/>
      <c r="AT592" s="249"/>
      <c r="AU592" s="330"/>
    </row>
    <row r="593" spans="2:47">
      <c r="B593" s="247">
        <f>'Table S2 Compound Identifiers'!C595</f>
        <v>0</v>
      </c>
      <c r="C593" s="247">
        <f>COUNTIF($D$6:D593,"&lt;&gt;"&amp;"")</f>
        <v>588</v>
      </c>
      <c r="D593" s="247">
        <f>'Table S2 Compound Identifiers'!B595</f>
        <v>0</v>
      </c>
      <c r="E593" s="247"/>
      <c r="F593" s="248"/>
      <c r="G593" s="249"/>
      <c r="H593" s="330"/>
      <c r="I593" s="328"/>
      <c r="J593" s="249"/>
      <c r="K593" s="330"/>
      <c r="L593" s="250"/>
      <c r="M593" s="249"/>
      <c r="N593" s="330"/>
      <c r="O593" s="250"/>
      <c r="P593" s="249"/>
      <c r="Q593" s="330"/>
      <c r="R593" s="250"/>
      <c r="S593" s="249"/>
      <c r="T593" s="330"/>
      <c r="U593" s="250"/>
      <c r="V593" s="249"/>
      <c r="W593" s="330"/>
      <c r="X593" s="343"/>
      <c r="Y593" s="249"/>
      <c r="Z593" s="330"/>
      <c r="AA593" s="343"/>
      <c r="AB593" s="249"/>
      <c r="AC593" s="330"/>
      <c r="AD593" s="343"/>
      <c r="AE593" s="249"/>
      <c r="AF593" s="330"/>
      <c r="AG593" s="343"/>
      <c r="AH593" s="249"/>
      <c r="AI593" s="330"/>
      <c r="AJ593" s="343"/>
      <c r="AK593" s="249"/>
      <c r="AL593" s="330"/>
      <c r="AM593" s="343"/>
      <c r="AN593" s="249"/>
      <c r="AO593" s="330"/>
      <c r="AP593" s="343"/>
      <c r="AQ593" s="249"/>
      <c r="AR593" s="330"/>
      <c r="AS593" s="343"/>
      <c r="AT593" s="249"/>
      <c r="AU593" s="330"/>
    </row>
    <row r="594" spans="2:47">
      <c r="B594" s="247">
        <f>'Table S2 Compound Identifiers'!C596</f>
        <v>0</v>
      </c>
      <c r="C594" s="247">
        <f>COUNTIF($D$6:D594,"&lt;&gt;"&amp;"")</f>
        <v>589</v>
      </c>
      <c r="D594" s="247">
        <f>'Table S2 Compound Identifiers'!B596</f>
        <v>0</v>
      </c>
      <c r="E594" s="247"/>
      <c r="F594" s="248"/>
      <c r="G594" s="249"/>
      <c r="H594" s="330"/>
      <c r="I594" s="328"/>
      <c r="J594" s="249"/>
      <c r="K594" s="330"/>
      <c r="L594" s="250"/>
      <c r="M594" s="249"/>
      <c r="N594" s="330"/>
      <c r="O594" s="250"/>
      <c r="P594" s="249"/>
      <c r="Q594" s="330"/>
      <c r="R594" s="250"/>
      <c r="S594" s="249"/>
      <c r="T594" s="330"/>
      <c r="U594" s="250"/>
      <c r="V594" s="249"/>
      <c r="W594" s="330"/>
      <c r="X594" s="343"/>
      <c r="Y594" s="249"/>
      <c r="Z594" s="330"/>
      <c r="AA594" s="343"/>
      <c r="AB594" s="249"/>
      <c r="AC594" s="330"/>
      <c r="AD594" s="343"/>
      <c r="AE594" s="249"/>
      <c r="AF594" s="330"/>
      <c r="AG594" s="343"/>
      <c r="AH594" s="249"/>
      <c r="AI594" s="330"/>
      <c r="AJ594" s="343"/>
      <c r="AK594" s="249"/>
      <c r="AL594" s="330"/>
      <c r="AM594" s="343"/>
      <c r="AN594" s="249"/>
      <c r="AO594" s="330"/>
      <c r="AP594" s="343"/>
      <c r="AQ594" s="249"/>
      <c r="AR594" s="330"/>
      <c r="AS594" s="343"/>
      <c r="AT594" s="249"/>
      <c r="AU594" s="330"/>
    </row>
    <row r="595" spans="2:47">
      <c r="B595" s="247">
        <f>'Table S2 Compound Identifiers'!C597</f>
        <v>0</v>
      </c>
      <c r="C595" s="247">
        <f>COUNTIF($D$6:D595,"&lt;&gt;"&amp;"")</f>
        <v>590</v>
      </c>
      <c r="D595" s="247">
        <f>'Table S2 Compound Identifiers'!B597</f>
        <v>0</v>
      </c>
      <c r="E595" s="247"/>
      <c r="F595" s="248"/>
      <c r="G595" s="249"/>
      <c r="H595" s="330"/>
      <c r="I595" s="328"/>
      <c r="J595" s="249"/>
      <c r="K595" s="330"/>
      <c r="L595" s="250"/>
      <c r="M595" s="249"/>
      <c r="N595" s="330"/>
      <c r="O595" s="250"/>
      <c r="P595" s="249"/>
      <c r="Q595" s="330"/>
      <c r="R595" s="250"/>
      <c r="S595" s="249"/>
      <c r="T595" s="330"/>
      <c r="U595" s="250"/>
      <c r="V595" s="249"/>
      <c r="W595" s="330"/>
      <c r="X595" s="343"/>
      <c r="Y595" s="249"/>
      <c r="Z595" s="330"/>
      <c r="AA595" s="343"/>
      <c r="AB595" s="249"/>
      <c r="AC595" s="330"/>
      <c r="AD595" s="343"/>
      <c r="AE595" s="249"/>
      <c r="AF595" s="330"/>
      <c r="AG595" s="343"/>
      <c r="AH595" s="249"/>
      <c r="AI595" s="330"/>
      <c r="AJ595" s="343"/>
      <c r="AK595" s="249"/>
      <c r="AL595" s="330"/>
      <c r="AM595" s="343"/>
      <c r="AN595" s="249"/>
      <c r="AO595" s="330"/>
      <c r="AP595" s="343"/>
      <c r="AQ595" s="249"/>
      <c r="AR595" s="330"/>
      <c r="AS595" s="343"/>
      <c r="AT595" s="249"/>
      <c r="AU595" s="330"/>
    </row>
    <row r="596" spans="2:47">
      <c r="B596" s="247">
        <f>'Table S2 Compound Identifiers'!C598</f>
        <v>0</v>
      </c>
      <c r="C596" s="247">
        <f>COUNTIF($D$6:D596,"&lt;&gt;"&amp;"")</f>
        <v>591</v>
      </c>
      <c r="D596" s="247">
        <f>'Table S2 Compound Identifiers'!B598</f>
        <v>0</v>
      </c>
      <c r="E596" s="247"/>
      <c r="F596" s="248"/>
      <c r="G596" s="249"/>
      <c r="H596" s="330"/>
      <c r="I596" s="328"/>
      <c r="J596" s="249"/>
      <c r="K596" s="330"/>
      <c r="L596" s="250"/>
      <c r="M596" s="249"/>
      <c r="N596" s="330"/>
      <c r="O596" s="251"/>
      <c r="P596" s="252"/>
      <c r="Q596" s="330"/>
      <c r="R596" s="251"/>
      <c r="S596" s="252"/>
      <c r="T596" s="330"/>
      <c r="U596" s="251"/>
      <c r="V596" s="252"/>
      <c r="W596" s="330"/>
      <c r="X596" s="343"/>
      <c r="Y596" s="249"/>
      <c r="Z596" s="330"/>
      <c r="AA596" s="343"/>
      <c r="AB596" s="249"/>
      <c r="AC596" s="330"/>
      <c r="AD596" s="343"/>
      <c r="AE596" s="249"/>
      <c r="AF596" s="330"/>
      <c r="AG596" s="343"/>
      <c r="AH596" s="249"/>
      <c r="AI596" s="330"/>
      <c r="AJ596" s="343"/>
      <c r="AK596" s="249"/>
      <c r="AL596" s="330"/>
      <c r="AM596" s="343"/>
      <c r="AN596" s="249"/>
      <c r="AO596" s="330"/>
      <c r="AP596" s="343"/>
      <c r="AQ596" s="249"/>
      <c r="AR596" s="330"/>
      <c r="AS596" s="343"/>
      <c r="AT596" s="249"/>
      <c r="AU596" s="330"/>
    </row>
    <row r="597" spans="2:47">
      <c r="B597" s="247">
        <f>'Table S2 Compound Identifiers'!C599</f>
        <v>0</v>
      </c>
      <c r="C597" s="253">
        <f>COUNTIF($D$6:D597,"&lt;&gt;"&amp;"")</f>
        <v>592</v>
      </c>
      <c r="D597" s="253">
        <f>'Table S2 Compound Identifiers'!B599</f>
        <v>0</v>
      </c>
      <c r="E597" s="253"/>
      <c r="F597" s="254"/>
      <c r="G597" s="252"/>
      <c r="H597" s="330"/>
      <c r="I597" s="333"/>
      <c r="J597" s="252"/>
      <c r="K597" s="330"/>
      <c r="L597" s="251"/>
      <c r="M597" s="252"/>
      <c r="N597" s="330"/>
      <c r="O597" s="251"/>
      <c r="P597" s="252"/>
      <c r="Q597" s="330"/>
      <c r="R597" s="251"/>
      <c r="S597" s="252"/>
      <c r="T597" s="330"/>
      <c r="U597" s="251"/>
      <c r="V597" s="252"/>
      <c r="W597" s="330"/>
      <c r="X597" s="343"/>
      <c r="Y597" s="249"/>
      <c r="Z597" s="330"/>
      <c r="AA597" s="343"/>
      <c r="AB597" s="249"/>
      <c r="AC597" s="330"/>
      <c r="AD597" s="343"/>
      <c r="AE597" s="249"/>
      <c r="AF597" s="330"/>
      <c r="AG597" s="343"/>
      <c r="AH597" s="249"/>
      <c r="AI597" s="330"/>
      <c r="AJ597" s="343"/>
      <c r="AK597" s="249"/>
      <c r="AL597" s="330"/>
      <c r="AM597" s="343"/>
      <c r="AN597" s="249"/>
      <c r="AO597" s="330"/>
      <c r="AP597" s="343"/>
      <c r="AQ597" s="249"/>
      <c r="AR597" s="330"/>
      <c r="AS597" s="343"/>
      <c r="AT597" s="249"/>
      <c r="AU597" s="330"/>
    </row>
    <row r="598" spans="2:47">
      <c r="B598" s="247">
        <f>'Table S2 Compound Identifiers'!C600</f>
        <v>0</v>
      </c>
      <c r="C598" s="247">
        <f>COUNTIF($D$6:D598,"&lt;&gt;"&amp;"")</f>
        <v>593</v>
      </c>
      <c r="D598" s="247">
        <f>'Table S2 Compound Identifiers'!B600</f>
        <v>0</v>
      </c>
      <c r="E598" s="247"/>
      <c r="F598" s="248"/>
      <c r="G598" s="250"/>
      <c r="H598" s="330"/>
      <c r="I598" s="343"/>
      <c r="J598" s="249"/>
      <c r="K598" s="327"/>
      <c r="L598" s="343"/>
      <c r="M598" s="249"/>
      <c r="N598" s="327"/>
      <c r="O598" s="343"/>
      <c r="P598" s="249"/>
      <c r="Q598" s="327"/>
      <c r="R598" s="343"/>
      <c r="S598" s="249"/>
      <c r="T598" s="327"/>
      <c r="U598" s="343"/>
      <c r="V598" s="249"/>
      <c r="W598" s="327"/>
      <c r="X598" s="343"/>
      <c r="Y598" s="249"/>
      <c r="Z598" s="327"/>
      <c r="AA598" s="343"/>
      <c r="AB598" s="249"/>
      <c r="AC598" s="343"/>
      <c r="AD598" s="343"/>
      <c r="AE598" s="249"/>
      <c r="AF598" s="249"/>
      <c r="AG598" s="343"/>
      <c r="AH598" s="249"/>
      <c r="AI598" s="343"/>
      <c r="AJ598" s="343"/>
      <c r="AK598" s="249"/>
      <c r="AL598" s="249"/>
      <c r="AM598" s="343"/>
      <c r="AN598" s="249"/>
      <c r="AO598" s="343"/>
      <c r="AP598" s="343"/>
      <c r="AQ598" s="249"/>
      <c r="AR598" s="249"/>
      <c r="AS598" s="343"/>
      <c r="AT598" s="249"/>
      <c r="AU598" s="343"/>
    </row>
    <row r="599" spans="2:47">
      <c r="B599" s="247">
        <f>'Table S2 Compound Identifiers'!C601</f>
        <v>0</v>
      </c>
      <c r="C599" s="247">
        <f>COUNTIF($D$6:D599,"&lt;&gt;"&amp;"")</f>
        <v>594</v>
      </c>
      <c r="D599" s="247">
        <f>'Table S2 Compound Identifiers'!B601</f>
        <v>0</v>
      </c>
      <c r="E599" s="247"/>
      <c r="F599" s="248"/>
      <c r="G599" s="249"/>
      <c r="H599" s="330"/>
      <c r="I599" s="332"/>
      <c r="J599" s="330"/>
      <c r="K599" s="330"/>
      <c r="L599" s="330"/>
      <c r="M599" s="330"/>
      <c r="N599" s="330"/>
      <c r="O599" s="330"/>
      <c r="P599" s="330"/>
      <c r="Q599" s="330"/>
      <c r="R599" s="330"/>
      <c r="S599" s="330"/>
      <c r="T599" s="330"/>
      <c r="U599" s="330"/>
      <c r="V599" s="330"/>
      <c r="W599" s="330"/>
      <c r="X599" s="343"/>
      <c r="Y599" s="249"/>
      <c r="Z599" s="330"/>
      <c r="AA599" s="343"/>
      <c r="AB599" s="249"/>
      <c r="AC599" s="330"/>
      <c r="AD599" s="343"/>
      <c r="AE599" s="249"/>
      <c r="AF599" s="330"/>
      <c r="AG599" s="343"/>
      <c r="AH599" s="249"/>
      <c r="AI599" s="330"/>
      <c r="AJ599" s="343"/>
      <c r="AK599" s="249"/>
      <c r="AL599" s="330"/>
      <c r="AM599" s="343"/>
      <c r="AN599" s="249"/>
      <c r="AO599" s="330"/>
      <c r="AP599" s="343"/>
      <c r="AQ599" s="249"/>
      <c r="AR599" s="330"/>
      <c r="AS599" s="343"/>
      <c r="AT599" s="249"/>
      <c r="AU599" s="330"/>
    </row>
    <row r="600" spans="2:47">
      <c r="B600" s="247">
        <f>'Table S2 Compound Identifiers'!C602</f>
        <v>0</v>
      </c>
      <c r="C600" s="247">
        <f>COUNTIF($D$6:D600,"&lt;&gt;"&amp;"")</f>
        <v>595</v>
      </c>
      <c r="D600" s="247">
        <f>'Table S2 Compound Identifiers'!B602</f>
        <v>0</v>
      </c>
      <c r="E600" s="247"/>
      <c r="F600" s="248"/>
      <c r="G600" s="249"/>
      <c r="H600" s="330"/>
      <c r="I600" s="332"/>
      <c r="J600" s="330"/>
      <c r="K600" s="330"/>
      <c r="L600" s="330"/>
      <c r="M600" s="330"/>
      <c r="N600" s="330"/>
      <c r="O600" s="330"/>
      <c r="P600" s="330"/>
      <c r="Q600" s="330"/>
      <c r="R600" s="330"/>
      <c r="S600" s="330"/>
      <c r="T600" s="330"/>
      <c r="U600" s="330"/>
      <c r="V600" s="330"/>
      <c r="W600" s="330"/>
      <c r="X600" s="343"/>
      <c r="Y600" s="249"/>
      <c r="Z600" s="330"/>
      <c r="AA600" s="343"/>
      <c r="AB600" s="249"/>
      <c r="AC600" s="330"/>
      <c r="AD600" s="343"/>
      <c r="AE600" s="249"/>
      <c r="AF600" s="330"/>
      <c r="AG600" s="343"/>
      <c r="AH600" s="249"/>
      <c r="AI600" s="330"/>
      <c r="AJ600" s="343"/>
      <c r="AK600" s="249"/>
      <c r="AL600" s="330"/>
      <c r="AM600" s="343"/>
      <c r="AN600" s="249"/>
      <c r="AO600" s="330"/>
      <c r="AP600" s="343"/>
      <c r="AQ600" s="249"/>
      <c r="AR600" s="330"/>
      <c r="AS600" s="343"/>
      <c r="AT600" s="249"/>
      <c r="AU600" s="330"/>
    </row>
    <row r="601" spans="2:47">
      <c r="B601" s="247">
        <f>'Table S2 Compound Identifiers'!C603</f>
        <v>0</v>
      </c>
      <c r="C601" s="247">
        <f>COUNTIF($D$6:D601,"&lt;&gt;"&amp;"")</f>
        <v>596</v>
      </c>
      <c r="D601" s="247">
        <f>'Table S2 Compound Identifiers'!B603</f>
        <v>0</v>
      </c>
      <c r="E601" s="247"/>
      <c r="F601" s="248"/>
      <c r="G601" s="249"/>
      <c r="H601" s="330"/>
      <c r="I601" s="332"/>
      <c r="J601" s="330"/>
      <c r="K601" s="330"/>
      <c r="L601" s="330"/>
      <c r="M601" s="330"/>
      <c r="N601" s="330"/>
      <c r="O601" s="330"/>
      <c r="P601" s="330"/>
      <c r="Q601" s="330"/>
      <c r="R601" s="330"/>
      <c r="S601" s="330"/>
      <c r="T601" s="330"/>
      <c r="U601" s="330"/>
      <c r="V601" s="330"/>
      <c r="W601" s="330"/>
      <c r="X601" s="343"/>
      <c r="Y601" s="249"/>
      <c r="Z601" s="330"/>
      <c r="AA601" s="343"/>
      <c r="AB601" s="249"/>
      <c r="AC601" s="330"/>
      <c r="AD601" s="343"/>
      <c r="AE601" s="249"/>
      <c r="AF601" s="330"/>
      <c r="AG601" s="343"/>
      <c r="AH601" s="249"/>
      <c r="AI601" s="330"/>
      <c r="AJ601" s="343"/>
      <c r="AK601" s="249"/>
      <c r="AL601" s="330"/>
      <c r="AM601" s="343"/>
      <c r="AN601" s="249"/>
      <c r="AO601" s="330"/>
      <c r="AP601" s="343"/>
      <c r="AQ601" s="249"/>
      <c r="AR601" s="330"/>
      <c r="AS601" s="343"/>
      <c r="AT601" s="249"/>
      <c r="AU601" s="330"/>
    </row>
    <row r="602" spans="2:47">
      <c r="B602" s="247">
        <f>'Table S2 Compound Identifiers'!C604</f>
        <v>0</v>
      </c>
      <c r="C602" s="247">
        <f>COUNTIF($D$6:D602,"&lt;&gt;"&amp;"")</f>
        <v>597</v>
      </c>
      <c r="D602" s="247">
        <f>'Table S2 Compound Identifiers'!B604</f>
        <v>0</v>
      </c>
      <c r="E602" s="247"/>
      <c r="F602" s="248"/>
      <c r="G602" s="249"/>
      <c r="H602" s="330"/>
      <c r="I602" s="328"/>
      <c r="J602" s="249"/>
      <c r="K602" s="330"/>
      <c r="L602" s="250"/>
      <c r="M602" s="249"/>
      <c r="N602" s="330"/>
      <c r="O602" s="250"/>
      <c r="P602" s="249"/>
      <c r="Q602" s="330"/>
      <c r="R602" s="250"/>
      <c r="S602" s="249"/>
      <c r="T602" s="330"/>
      <c r="U602" s="250"/>
      <c r="V602" s="249"/>
      <c r="W602" s="330"/>
      <c r="X602" s="343"/>
      <c r="Y602" s="249"/>
      <c r="Z602" s="330"/>
      <c r="AA602" s="343"/>
      <c r="AB602" s="249"/>
      <c r="AC602" s="330"/>
      <c r="AD602" s="343"/>
      <c r="AE602" s="249"/>
      <c r="AF602" s="330"/>
      <c r="AG602" s="343"/>
      <c r="AH602" s="249"/>
      <c r="AI602" s="330"/>
      <c r="AJ602" s="343"/>
      <c r="AK602" s="249"/>
      <c r="AL602" s="330"/>
      <c r="AM602" s="343"/>
      <c r="AN602" s="249"/>
      <c r="AO602" s="330"/>
      <c r="AP602" s="343"/>
      <c r="AQ602" s="249"/>
      <c r="AR602" s="330"/>
      <c r="AS602" s="343"/>
      <c r="AT602" s="249"/>
      <c r="AU602" s="330"/>
    </row>
    <row r="603" spans="2:47">
      <c r="B603" s="247">
        <f>'Table S2 Compound Identifiers'!C605</f>
        <v>0</v>
      </c>
      <c r="C603" s="247">
        <f>COUNTIF($D$6:D603,"&lt;&gt;"&amp;"")</f>
        <v>598</v>
      </c>
      <c r="D603" s="247">
        <f>'Table S2 Compound Identifiers'!B605</f>
        <v>0</v>
      </c>
      <c r="E603" s="247"/>
      <c r="F603" s="248"/>
      <c r="G603" s="249"/>
      <c r="H603" s="330"/>
      <c r="I603" s="328"/>
      <c r="J603" s="249"/>
      <c r="K603" s="330"/>
      <c r="L603" s="250"/>
      <c r="M603" s="249"/>
      <c r="N603" s="330"/>
      <c r="O603" s="250"/>
      <c r="P603" s="249"/>
      <c r="Q603" s="330"/>
      <c r="R603" s="250"/>
      <c r="S603" s="249"/>
      <c r="T603" s="330"/>
      <c r="U603" s="250"/>
      <c r="V603" s="249"/>
      <c r="W603" s="330"/>
      <c r="X603" s="343"/>
      <c r="Y603" s="249"/>
      <c r="Z603" s="330"/>
      <c r="AA603" s="343"/>
      <c r="AB603" s="249"/>
      <c r="AC603" s="330"/>
      <c r="AD603" s="343"/>
      <c r="AE603" s="249"/>
      <c r="AF603" s="330"/>
      <c r="AG603" s="343"/>
      <c r="AH603" s="249"/>
      <c r="AI603" s="330"/>
      <c r="AJ603" s="343"/>
      <c r="AK603" s="249"/>
      <c r="AL603" s="330"/>
      <c r="AM603" s="343"/>
      <c r="AN603" s="249"/>
      <c r="AO603" s="330"/>
      <c r="AP603" s="343"/>
      <c r="AQ603" s="249"/>
      <c r="AR603" s="330"/>
      <c r="AS603" s="343"/>
      <c r="AT603" s="249"/>
      <c r="AU603" s="330"/>
    </row>
    <row r="604" spans="2:47">
      <c r="B604" s="247">
        <f>'Table S2 Compound Identifiers'!C606</f>
        <v>0</v>
      </c>
      <c r="C604" s="247">
        <f>COUNTIF($D$6:D604,"&lt;&gt;"&amp;"")</f>
        <v>599</v>
      </c>
      <c r="D604" s="247">
        <f>'Table S2 Compound Identifiers'!B606</f>
        <v>0</v>
      </c>
      <c r="E604" s="247"/>
      <c r="F604" s="248"/>
      <c r="G604" s="249"/>
      <c r="H604" s="330"/>
      <c r="I604" s="328"/>
      <c r="J604" s="249"/>
      <c r="K604" s="330"/>
      <c r="L604" s="250"/>
      <c r="M604" s="249"/>
      <c r="N604" s="330"/>
      <c r="O604" s="250"/>
      <c r="P604" s="249"/>
      <c r="Q604" s="330"/>
      <c r="R604" s="250"/>
      <c r="S604" s="249"/>
      <c r="T604" s="330"/>
      <c r="U604" s="250"/>
      <c r="V604" s="249"/>
      <c r="W604" s="330"/>
      <c r="X604" s="343"/>
      <c r="Y604" s="249"/>
      <c r="Z604" s="330"/>
      <c r="AA604" s="343"/>
      <c r="AB604" s="249"/>
      <c r="AC604" s="330"/>
      <c r="AD604" s="343"/>
      <c r="AE604" s="249"/>
      <c r="AF604" s="330"/>
      <c r="AG604" s="343"/>
      <c r="AH604" s="249"/>
      <c r="AI604" s="330"/>
      <c r="AJ604" s="343"/>
      <c r="AK604" s="249"/>
      <c r="AL604" s="330"/>
      <c r="AM604" s="343"/>
      <c r="AN604" s="249"/>
      <c r="AO604" s="330"/>
      <c r="AP604" s="343"/>
      <c r="AQ604" s="249"/>
      <c r="AR604" s="330"/>
      <c r="AS604" s="343"/>
      <c r="AT604" s="249"/>
      <c r="AU604" s="330"/>
    </row>
    <row r="605" spans="2:47">
      <c r="B605" s="247">
        <f>'Table S2 Compound Identifiers'!C607</f>
        <v>0</v>
      </c>
      <c r="C605" s="247">
        <f>COUNTIF($D$6:D605,"&lt;&gt;"&amp;"")</f>
        <v>600</v>
      </c>
      <c r="D605" s="247">
        <f>'Table S2 Compound Identifiers'!B607</f>
        <v>0</v>
      </c>
      <c r="E605" s="247"/>
      <c r="F605" s="248"/>
      <c r="G605" s="249"/>
      <c r="H605" s="330"/>
      <c r="I605" s="328"/>
      <c r="J605" s="249"/>
      <c r="K605" s="330"/>
      <c r="L605" s="250"/>
      <c r="M605" s="249"/>
      <c r="N605" s="330"/>
      <c r="O605" s="250"/>
      <c r="P605" s="249"/>
      <c r="Q605" s="330"/>
      <c r="R605" s="250"/>
      <c r="S605" s="249"/>
      <c r="T605" s="330"/>
      <c r="U605" s="250"/>
      <c r="V605" s="249"/>
      <c r="W605" s="330"/>
      <c r="X605" s="343"/>
      <c r="Y605" s="249"/>
      <c r="Z605" s="330"/>
      <c r="AA605" s="343"/>
      <c r="AB605" s="249"/>
      <c r="AC605" s="330"/>
      <c r="AD605" s="343"/>
      <c r="AE605" s="249"/>
      <c r="AF605" s="330"/>
      <c r="AG605" s="343"/>
      <c r="AH605" s="249"/>
      <c r="AI605" s="330"/>
      <c r="AJ605" s="343"/>
      <c r="AK605" s="249"/>
      <c r="AL605" s="330"/>
      <c r="AM605" s="343"/>
      <c r="AN605" s="249"/>
      <c r="AO605" s="330"/>
      <c r="AP605" s="343"/>
      <c r="AQ605" s="249"/>
      <c r="AR605" s="330"/>
      <c r="AS605" s="343"/>
      <c r="AT605" s="249"/>
      <c r="AU605" s="330"/>
    </row>
    <row r="606" spans="2:47">
      <c r="B606" s="247">
        <f>'Table S2 Compound Identifiers'!C608</f>
        <v>0</v>
      </c>
      <c r="C606" s="247">
        <f>COUNTIF($D$6:D606,"&lt;&gt;"&amp;"")</f>
        <v>601</v>
      </c>
      <c r="D606" s="247">
        <f>'Table S2 Compound Identifiers'!B608</f>
        <v>0</v>
      </c>
      <c r="E606" s="247"/>
      <c r="F606" s="248"/>
      <c r="G606" s="249"/>
      <c r="H606" s="330"/>
      <c r="I606" s="328"/>
      <c r="J606" s="249"/>
      <c r="K606" s="330"/>
      <c r="L606" s="250"/>
      <c r="M606" s="249"/>
      <c r="N606" s="330"/>
      <c r="O606" s="250"/>
      <c r="P606" s="249"/>
      <c r="Q606" s="330"/>
      <c r="R606" s="250"/>
      <c r="S606" s="249"/>
      <c r="T606" s="330"/>
      <c r="U606" s="250"/>
      <c r="V606" s="249"/>
      <c r="W606" s="330"/>
      <c r="X606" s="343"/>
      <c r="Y606" s="249"/>
      <c r="Z606" s="330"/>
      <c r="AA606" s="343"/>
      <c r="AB606" s="249"/>
      <c r="AC606" s="330"/>
      <c r="AD606" s="343"/>
      <c r="AE606" s="249"/>
      <c r="AF606" s="330"/>
      <c r="AG606" s="343"/>
      <c r="AH606" s="249"/>
      <c r="AI606" s="330"/>
      <c r="AJ606" s="343"/>
      <c r="AK606" s="249"/>
      <c r="AL606" s="330"/>
      <c r="AM606" s="343"/>
      <c r="AN606" s="249"/>
      <c r="AO606" s="330"/>
      <c r="AP606" s="343"/>
      <c r="AQ606" s="249"/>
      <c r="AR606" s="330"/>
      <c r="AS606" s="343"/>
      <c r="AT606" s="249"/>
      <c r="AU606" s="330"/>
    </row>
    <row r="607" spans="2:47">
      <c r="B607" s="247">
        <f>'Table S2 Compound Identifiers'!C609</f>
        <v>0</v>
      </c>
      <c r="C607" s="247">
        <f>COUNTIF($D$6:D607,"&lt;&gt;"&amp;"")</f>
        <v>602</v>
      </c>
      <c r="D607" s="247">
        <f>'Table S2 Compound Identifiers'!B609</f>
        <v>0</v>
      </c>
      <c r="E607" s="247"/>
      <c r="F607" s="248"/>
      <c r="G607" s="249"/>
      <c r="H607" s="330"/>
      <c r="I607" s="328"/>
      <c r="J607" s="249"/>
      <c r="K607" s="330"/>
      <c r="L607" s="250"/>
      <c r="M607" s="249"/>
      <c r="N607" s="330"/>
      <c r="O607" s="250"/>
      <c r="P607" s="249"/>
      <c r="Q607" s="330"/>
      <c r="R607" s="250"/>
      <c r="S607" s="249"/>
      <c r="T607" s="330"/>
      <c r="U607" s="250"/>
      <c r="V607" s="249"/>
      <c r="W607" s="330"/>
      <c r="X607" s="343"/>
      <c r="Y607" s="249"/>
      <c r="Z607" s="330"/>
      <c r="AA607" s="343"/>
      <c r="AB607" s="249"/>
      <c r="AC607" s="330"/>
      <c r="AD607" s="343"/>
      <c r="AE607" s="249"/>
      <c r="AF607" s="330"/>
      <c r="AG607" s="343"/>
      <c r="AH607" s="249"/>
      <c r="AI607" s="330"/>
      <c r="AJ607" s="343"/>
      <c r="AK607" s="249"/>
      <c r="AL607" s="330"/>
      <c r="AM607" s="343"/>
      <c r="AN607" s="249"/>
      <c r="AO607" s="330"/>
      <c r="AP607" s="343"/>
      <c r="AQ607" s="249"/>
      <c r="AR607" s="330"/>
      <c r="AS607" s="343"/>
      <c r="AT607" s="249"/>
      <c r="AU607" s="330"/>
    </row>
    <row r="608" spans="2:47">
      <c r="B608" s="247">
        <f>'Table S2 Compound Identifiers'!C610</f>
        <v>0</v>
      </c>
      <c r="C608" s="247">
        <f>COUNTIF($D$6:D608,"&lt;&gt;"&amp;"")</f>
        <v>603</v>
      </c>
      <c r="D608" s="247">
        <f>'Table S2 Compound Identifiers'!B610</f>
        <v>0</v>
      </c>
      <c r="E608" s="247"/>
      <c r="F608" s="248"/>
      <c r="G608" s="249"/>
      <c r="H608" s="330"/>
      <c r="I608" s="328"/>
      <c r="J608" s="249"/>
      <c r="K608" s="330"/>
      <c r="L608" s="250"/>
      <c r="M608" s="249"/>
      <c r="N608" s="330"/>
      <c r="O608" s="250"/>
      <c r="P608" s="249"/>
      <c r="Q608" s="330"/>
      <c r="R608" s="250"/>
      <c r="S608" s="249"/>
      <c r="T608" s="330"/>
      <c r="U608" s="250"/>
      <c r="V608" s="249"/>
      <c r="W608" s="330"/>
      <c r="X608" s="343"/>
      <c r="Y608" s="249"/>
      <c r="Z608" s="330"/>
      <c r="AA608" s="343"/>
      <c r="AB608" s="249"/>
      <c r="AC608" s="330"/>
      <c r="AD608" s="343"/>
      <c r="AE608" s="249"/>
      <c r="AF608" s="330"/>
      <c r="AG608" s="343"/>
      <c r="AH608" s="249"/>
      <c r="AI608" s="330"/>
      <c r="AJ608" s="343"/>
      <c r="AK608" s="249"/>
      <c r="AL608" s="330"/>
      <c r="AM608" s="343"/>
      <c r="AN608" s="249"/>
      <c r="AO608" s="330"/>
      <c r="AP608" s="343"/>
      <c r="AQ608" s="249"/>
      <c r="AR608" s="330"/>
      <c r="AS608" s="343"/>
      <c r="AT608" s="249"/>
      <c r="AU608" s="330"/>
    </row>
    <row r="609" spans="2:47">
      <c r="B609" s="247">
        <f>'Table S2 Compound Identifiers'!C611</f>
        <v>0</v>
      </c>
      <c r="C609" s="247">
        <f>COUNTIF($D$6:D609,"&lt;&gt;"&amp;"")</f>
        <v>604</v>
      </c>
      <c r="D609" s="247">
        <f>'Table S2 Compound Identifiers'!B611</f>
        <v>0</v>
      </c>
      <c r="E609" s="247"/>
      <c r="F609" s="248"/>
      <c r="G609" s="249"/>
      <c r="H609" s="330"/>
      <c r="I609" s="328"/>
      <c r="J609" s="249"/>
      <c r="K609" s="330"/>
      <c r="L609" s="250"/>
      <c r="M609" s="249"/>
      <c r="N609" s="330"/>
      <c r="O609" s="250"/>
      <c r="P609" s="249"/>
      <c r="Q609" s="330"/>
      <c r="R609" s="250"/>
      <c r="S609" s="249"/>
      <c r="T609" s="330"/>
      <c r="U609" s="250"/>
      <c r="V609" s="249"/>
      <c r="W609" s="330"/>
      <c r="X609" s="343"/>
      <c r="Y609" s="249"/>
      <c r="Z609" s="330"/>
      <c r="AA609" s="343"/>
      <c r="AB609" s="249"/>
      <c r="AC609" s="330"/>
      <c r="AD609" s="343"/>
      <c r="AE609" s="249"/>
      <c r="AF609" s="330"/>
      <c r="AG609" s="343"/>
      <c r="AH609" s="249"/>
      <c r="AI609" s="330"/>
      <c r="AJ609" s="343"/>
      <c r="AK609" s="249"/>
      <c r="AL609" s="330"/>
      <c r="AM609" s="343"/>
      <c r="AN609" s="249"/>
      <c r="AO609" s="330"/>
      <c r="AP609" s="343"/>
      <c r="AQ609" s="249"/>
      <c r="AR609" s="330"/>
      <c r="AS609" s="343"/>
      <c r="AT609" s="249"/>
      <c r="AU609" s="330"/>
    </row>
    <row r="610" spans="2:47">
      <c r="B610" s="247">
        <f>'Table S2 Compound Identifiers'!C612</f>
        <v>0</v>
      </c>
      <c r="C610" s="247">
        <f>COUNTIF($D$6:D610,"&lt;&gt;"&amp;"")</f>
        <v>605</v>
      </c>
      <c r="D610" s="247">
        <f>'Table S2 Compound Identifiers'!B612</f>
        <v>0</v>
      </c>
      <c r="E610" s="247"/>
      <c r="F610" s="248"/>
      <c r="G610" s="249"/>
      <c r="H610" s="330"/>
      <c r="I610" s="328"/>
      <c r="J610" s="249"/>
      <c r="K610" s="330"/>
      <c r="L610" s="250"/>
      <c r="M610" s="249"/>
      <c r="N610" s="330"/>
      <c r="O610" s="250"/>
      <c r="P610" s="249"/>
      <c r="Q610" s="330"/>
      <c r="R610" s="250"/>
      <c r="S610" s="249"/>
      <c r="T610" s="330"/>
      <c r="U610" s="250"/>
      <c r="V610" s="249"/>
      <c r="W610" s="330"/>
      <c r="X610" s="343"/>
      <c r="Y610" s="249"/>
      <c r="Z610" s="330"/>
      <c r="AA610" s="343"/>
      <c r="AB610" s="249"/>
      <c r="AC610" s="330"/>
      <c r="AD610" s="343"/>
      <c r="AE610" s="249"/>
      <c r="AF610" s="330"/>
      <c r="AG610" s="343"/>
      <c r="AH610" s="249"/>
      <c r="AI610" s="330"/>
      <c r="AJ610" s="343"/>
      <c r="AK610" s="249"/>
      <c r="AL610" s="330"/>
      <c r="AM610" s="343"/>
      <c r="AN610" s="249"/>
      <c r="AO610" s="330"/>
      <c r="AP610" s="343"/>
      <c r="AQ610" s="249"/>
      <c r="AR610" s="330"/>
      <c r="AS610" s="343"/>
      <c r="AT610" s="249"/>
      <c r="AU610" s="330"/>
    </row>
    <row r="611" spans="2:47">
      <c r="B611" s="247">
        <f>'Table S2 Compound Identifiers'!C613</f>
        <v>0</v>
      </c>
      <c r="C611" s="247">
        <f>COUNTIF($D$6:D611,"&lt;&gt;"&amp;"")</f>
        <v>606</v>
      </c>
      <c r="D611" s="247">
        <f>'Table S2 Compound Identifiers'!B613</f>
        <v>0</v>
      </c>
      <c r="E611" s="247"/>
      <c r="F611" s="248"/>
      <c r="G611" s="249"/>
      <c r="H611" s="330"/>
      <c r="I611" s="328"/>
      <c r="J611" s="249"/>
      <c r="K611" s="330"/>
      <c r="L611" s="250"/>
      <c r="M611" s="249"/>
      <c r="N611" s="330"/>
      <c r="O611" s="250"/>
      <c r="P611" s="249"/>
      <c r="Q611" s="330"/>
      <c r="R611" s="250"/>
      <c r="S611" s="249"/>
      <c r="T611" s="330"/>
      <c r="U611" s="250"/>
      <c r="V611" s="249"/>
      <c r="W611" s="330"/>
      <c r="X611" s="343"/>
      <c r="Y611" s="249"/>
      <c r="Z611" s="330"/>
      <c r="AA611" s="343"/>
      <c r="AB611" s="249"/>
      <c r="AC611" s="330"/>
      <c r="AD611" s="343"/>
      <c r="AE611" s="249"/>
      <c r="AF611" s="330"/>
      <c r="AG611" s="343"/>
      <c r="AH611" s="249"/>
      <c r="AI611" s="330"/>
      <c r="AJ611" s="343"/>
      <c r="AK611" s="249"/>
      <c r="AL611" s="330"/>
      <c r="AM611" s="343"/>
      <c r="AN611" s="249"/>
      <c r="AO611" s="330"/>
      <c r="AP611" s="343"/>
      <c r="AQ611" s="249"/>
      <c r="AR611" s="330"/>
      <c r="AS611" s="343"/>
      <c r="AT611" s="249"/>
      <c r="AU611" s="330"/>
    </row>
    <row r="612" spans="2:47">
      <c r="B612" s="247">
        <f>'Table S2 Compound Identifiers'!C614</f>
        <v>0</v>
      </c>
      <c r="C612" s="247">
        <f>COUNTIF($D$6:D612,"&lt;&gt;"&amp;"")</f>
        <v>607</v>
      </c>
      <c r="D612" s="247">
        <f>'Table S2 Compound Identifiers'!B614</f>
        <v>0</v>
      </c>
      <c r="E612" s="247"/>
      <c r="F612" s="248"/>
      <c r="G612" s="249"/>
      <c r="H612" s="330"/>
      <c r="I612" s="328"/>
      <c r="J612" s="249"/>
      <c r="K612" s="330"/>
      <c r="L612" s="250"/>
      <c r="M612" s="249"/>
      <c r="N612" s="330"/>
      <c r="O612" s="250"/>
      <c r="P612" s="249"/>
      <c r="Q612" s="330"/>
      <c r="R612" s="250"/>
      <c r="S612" s="249"/>
      <c r="T612" s="330"/>
      <c r="U612" s="250"/>
      <c r="V612" s="249"/>
      <c r="W612" s="330"/>
      <c r="X612" s="343"/>
      <c r="Y612" s="249"/>
      <c r="Z612" s="330"/>
      <c r="AA612" s="343"/>
      <c r="AB612" s="249"/>
      <c r="AC612" s="330"/>
      <c r="AD612" s="343"/>
      <c r="AE612" s="249"/>
      <c r="AF612" s="330"/>
      <c r="AG612" s="343"/>
      <c r="AH612" s="249"/>
      <c r="AI612" s="330"/>
      <c r="AJ612" s="343"/>
      <c r="AK612" s="249"/>
      <c r="AL612" s="330"/>
      <c r="AM612" s="343"/>
      <c r="AN612" s="249"/>
      <c r="AO612" s="330"/>
      <c r="AP612" s="343"/>
      <c r="AQ612" s="249"/>
      <c r="AR612" s="330"/>
      <c r="AS612" s="343"/>
      <c r="AT612" s="249"/>
      <c r="AU612" s="330"/>
    </row>
    <row r="613" spans="2:47">
      <c r="B613" s="247">
        <f>'Table S2 Compound Identifiers'!C615</f>
        <v>0</v>
      </c>
      <c r="C613" s="247">
        <f>COUNTIF($D$6:D613,"&lt;&gt;"&amp;"")</f>
        <v>608</v>
      </c>
      <c r="D613" s="247">
        <f>'Table S2 Compound Identifiers'!B615</f>
        <v>0</v>
      </c>
      <c r="E613" s="247"/>
      <c r="F613" s="248"/>
      <c r="G613" s="249"/>
      <c r="H613" s="330"/>
      <c r="I613" s="328"/>
      <c r="J613" s="249"/>
      <c r="K613" s="330"/>
      <c r="L613" s="250"/>
      <c r="M613" s="249"/>
      <c r="N613" s="330"/>
      <c r="O613" s="250"/>
      <c r="P613" s="249"/>
      <c r="Q613" s="330"/>
      <c r="R613" s="250"/>
      <c r="S613" s="249"/>
      <c r="T613" s="330"/>
      <c r="U613" s="250"/>
      <c r="V613" s="249"/>
      <c r="W613" s="330"/>
      <c r="X613" s="343"/>
      <c r="Y613" s="249"/>
      <c r="Z613" s="330"/>
      <c r="AA613" s="343"/>
      <c r="AB613" s="249"/>
      <c r="AC613" s="330"/>
      <c r="AD613" s="343"/>
      <c r="AE613" s="249"/>
      <c r="AF613" s="330"/>
      <c r="AG613" s="343"/>
      <c r="AH613" s="249"/>
      <c r="AI613" s="330"/>
      <c r="AJ613" s="343"/>
      <c r="AK613" s="249"/>
      <c r="AL613" s="330"/>
      <c r="AM613" s="343"/>
      <c r="AN613" s="249"/>
      <c r="AO613" s="330"/>
      <c r="AP613" s="343"/>
      <c r="AQ613" s="249"/>
      <c r="AR613" s="330"/>
      <c r="AS613" s="343"/>
      <c r="AT613" s="249"/>
      <c r="AU613" s="330"/>
    </row>
    <row r="614" spans="2:47">
      <c r="B614" s="247">
        <f>'Table S2 Compound Identifiers'!C616</f>
        <v>0</v>
      </c>
      <c r="C614" s="247">
        <f>COUNTIF($D$6:D614,"&lt;&gt;"&amp;"")</f>
        <v>609</v>
      </c>
      <c r="D614" s="247">
        <f>'Table S2 Compound Identifiers'!B616</f>
        <v>0</v>
      </c>
      <c r="E614" s="247"/>
      <c r="F614" s="248"/>
      <c r="G614" s="249"/>
      <c r="H614" s="330"/>
      <c r="I614" s="328"/>
      <c r="J614" s="249"/>
      <c r="K614" s="330"/>
      <c r="L614" s="250"/>
      <c r="M614" s="249"/>
      <c r="N614" s="330"/>
      <c r="O614" s="250"/>
      <c r="P614" s="249"/>
      <c r="Q614" s="330"/>
      <c r="R614" s="250"/>
      <c r="S614" s="249"/>
      <c r="T614" s="330"/>
      <c r="U614" s="250"/>
      <c r="V614" s="249"/>
      <c r="W614" s="330"/>
      <c r="X614" s="343"/>
      <c r="Y614" s="249"/>
      <c r="Z614" s="330"/>
      <c r="AA614" s="343"/>
      <c r="AB614" s="249"/>
      <c r="AC614" s="330"/>
      <c r="AD614" s="343"/>
      <c r="AE614" s="249"/>
      <c r="AF614" s="330"/>
      <c r="AG614" s="343"/>
      <c r="AH614" s="249"/>
      <c r="AI614" s="330"/>
      <c r="AJ614" s="343"/>
      <c r="AK614" s="249"/>
      <c r="AL614" s="330"/>
      <c r="AM614" s="343"/>
      <c r="AN614" s="249"/>
      <c r="AO614" s="330"/>
      <c r="AP614" s="343"/>
      <c r="AQ614" s="249"/>
      <c r="AR614" s="330"/>
      <c r="AS614" s="343"/>
      <c r="AT614" s="249"/>
      <c r="AU614" s="330"/>
    </row>
    <row r="615" spans="2:47">
      <c r="B615" s="247">
        <f>'Table S2 Compound Identifiers'!C617</f>
        <v>0</v>
      </c>
      <c r="C615" s="247">
        <f>COUNTIF($D$6:D615,"&lt;&gt;"&amp;"")</f>
        <v>610</v>
      </c>
      <c r="D615" s="247">
        <f>'Table S2 Compound Identifiers'!B617</f>
        <v>0</v>
      </c>
      <c r="E615" s="247"/>
      <c r="F615" s="248"/>
      <c r="G615" s="249"/>
      <c r="H615" s="330"/>
      <c r="I615" s="328"/>
      <c r="J615" s="249"/>
      <c r="K615" s="330"/>
      <c r="L615" s="250"/>
      <c r="M615" s="249"/>
      <c r="N615" s="330"/>
      <c r="O615" s="250"/>
      <c r="P615" s="249"/>
      <c r="Q615" s="330"/>
      <c r="R615" s="250"/>
      <c r="S615" s="249"/>
      <c r="T615" s="330"/>
      <c r="U615" s="250"/>
      <c r="V615" s="249"/>
      <c r="W615" s="330"/>
      <c r="X615" s="343"/>
      <c r="Y615" s="249"/>
      <c r="Z615" s="330"/>
      <c r="AA615" s="343"/>
      <c r="AB615" s="249"/>
      <c r="AC615" s="330"/>
      <c r="AD615" s="343"/>
      <c r="AE615" s="249"/>
      <c r="AF615" s="330"/>
      <c r="AG615" s="343"/>
      <c r="AH615" s="249"/>
      <c r="AI615" s="330"/>
      <c r="AJ615" s="343"/>
      <c r="AK615" s="249"/>
      <c r="AL615" s="330"/>
      <c r="AM615" s="343"/>
      <c r="AN615" s="249"/>
      <c r="AO615" s="330"/>
      <c r="AP615" s="343"/>
      <c r="AQ615" s="249"/>
      <c r="AR615" s="330"/>
      <c r="AS615" s="343"/>
      <c r="AT615" s="249"/>
      <c r="AU615" s="330"/>
    </row>
    <row r="616" spans="2:47">
      <c r="B616" s="247">
        <f>'Table S2 Compound Identifiers'!C618</f>
        <v>0</v>
      </c>
      <c r="C616" s="247">
        <f>COUNTIF($D$6:D616,"&lt;&gt;"&amp;"")</f>
        <v>611</v>
      </c>
      <c r="D616" s="247">
        <f>'Table S2 Compound Identifiers'!B618</f>
        <v>0</v>
      </c>
      <c r="E616" s="247"/>
      <c r="F616" s="248"/>
      <c r="G616" s="249"/>
      <c r="H616" s="330"/>
      <c r="I616" s="328"/>
      <c r="J616" s="249"/>
      <c r="K616" s="330"/>
      <c r="L616" s="250"/>
      <c r="M616" s="249"/>
      <c r="N616" s="330"/>
      <c r="O616" s="250"/>
      <c r="P616" s="249"/>
      <c r="Q616" s="330"/>
      <c r="R616" s="250"/>
      <c r="S616" s="249"/>
      <c r="T616" s="330"/>
      <c r="U616" s="250"/>
      <c r="V616" s="249"/>
      <c r="W616" s="330"/>
      <c r="X616" s="343"/>
      <c r="Y616" s="249"/>
      <c r="Z616" s="330"/>
      <c r="AA616" s="343"/>
      <c r="AB616" s="249"/>
      <c r="AC616" s="330"/>
      <c r="AD616" s="343"/>
      <c r="AE616" s="249"/>
      <c r="AF616" s="330"/>
      <c r="AG616" s="343"/>
      <c r="AH616" s="249"/>
      <c r="AI616" s="330"/>
      <c r="AJ616" s="343"/>
      <c r="AK616" s="249"/>
      <c r="AL616" s="330"/>
      <c r="AM616" s="343"/>
      <c r="AN616" s="249"/>
      <c r="AO616" s="330"/>
      <c r="AP616" s="343"/>
      <c r="AQ616" s="249"/>
      <c r="AR616" s="330"/>
      <c r="AS616" s="343"/>
      <c r="AT616" s="249"/>
      <c r="AU616" s="330"/>
    </row>
    <row r="617" spans="2:47">
      <c r="B617" s="247">
        <f>'Table S2 Compound Identifiers'!C619</f>
        <v>0</v>
      </c>
      <c r="C617" s="247">
        <f>COUNTIF($D$6:D617,"&lt;&gt;"&amp;"")</f>
        <v>612</v>
      </c>
      <c r="D617" s="247">
        <f>'Table S2 Compound Identifiers'!B619</f>
        <v>0</v>
      </c>
      <c r="E617" s="247"/>
      <c r="F617" s="248"/>
      <c r="G617" s="249"/>
      <c r="H617" s="330"/>
      <c r="I617" s="328"/>
      <c r="J617" s="249"/>
      <c r="K617" s="330"/>
      <c r="L617" s="250"/>
      <c r="M617" s="249"/>
      <c r="N617" s="330"/>
      <c r="O617" s="250"/>
      <c r="P617" s="249"/>
      <c r="Q617" s="330"/>
      <c r="R617" s="250"/>
      <c r="S617" s="249"/>
      <c r="T617" s="330"/>
      <c r="U617" s="250"/>
      <c r="V617" s="249"/>
      <c r="W617" s="330"/>
      <c r="X617" s="343"/>
      <c r="Y617" s="249"/>
      <c r="Z617" s="330"/>
      <c r="AA617" s="343"/>
      <c r="AB617" s="249"/>
      <c r="AC617" s="330"/>
      <c r="AD617" s="343"/>
      <c r="AE617" s="249"/>
      <c r="AF617" s="330"/>
      <c r="AG617" s="343"/>
      <c r="AH617" s="249"/>
      <c r="AI617" s="330"/>
      <c r="AJ617" s="343"/>
      <c r="AK617" s="249"/>
      <c r="AL617" s="330"/>
      <c r="AM617" s="343"/>
      <c r="AN617" s="249"/>
      <c r="AO617" s="330"/>
      <c r="AP617" s="343"/>
      <c r="AQ617" s="249"/>
      <c r="AR617" s="330"/>
      <c r="AS617" s="343"/>
      <c r="AT617" s="249"/>
      <c r="AU617" s="330"/>
    </row>
    <row r="618" spans="2:47">
      <c r="B618" s="247">
        <f>'Table S2 Compound Identifiers'!C620</f>
        <v>0</v>
      </c>
      <c r="C618" s="247">
        <f>COUNTIF($D$6:D618,"&lt;&gt;"&amp;"")</f>
        <v>613</v>
      </c>
      <c r="D618" s="247">
        <f>'Table S2 Compound Identifiers'!B620</f>
        <v>0</v>
      </c>
      <c r="E618" s="247"/>
      <c r="F618" s="248"/>
      <c r="G618" s="249"/>
      <c r="H618" s="330"/>
      <c r="I618" s="328"/>
      <c r="J618" s="249"/>
      <c r="K618" s="330"/>
      <c r="L618" s="250"/>
      <c r="M618" s="249"/>
      <c r="N618" s="330"/>
      <c r="O618" s="250"/>
      <c r="P618" s="249"/>
      <c r="Q618" s="330"/>
      <c r="R618" s="250"/>
      <c r="S618" s="249"/>
      <c r="T618" s="330"/>
      <c r="U618" s="250"/>
      <c r="V618" s="249"/>
      <c r="W618" s="330"/>
      <c r="X618" s="343"/>
      <c r="Y618" s="249"/>
      <c r="Z618" s="330"/>
      <c r="AA618" s="343"/>
      <c r="AB618" s="249"/>
      <c r="AC618" s="330"/>
      <c r="AD618" s="343"/>
      <c r="AE618" s="249"/>
      <c r="AF618" s="330"/>
      <c r="AG618" s="343"/>
      <c r="AH618" s="249"/>
      <c r="AI618" s="330"/>
      <c r="AJ618" s="343"/>
      <c r="AK618" s="249"/>
      <c r="AL618" s="330"/>
      <c r="AM618" s="343"/>
      <c r="AN618" s="249"/>
      <c r="AO618" s="330"/>
      <c r="AP618" s="343"/>
      <c r="AQ618" s="249"/>
      <c r="AR618" s="330"/>
      <c r="AS618" s="343"/>
      <c r="AT618" s="249"/>
      <c r="AU618" s="330"/>
    </row>
    <row r="619" spans="2:47">
      <c r="B619" s="247">
        <f>'Table S2 Compound Identifiers'!C621</f>
        <v>0</v>
      </c>
      <c r="C619" s="247">
        <f>COUNTIF($D$6:D619,"&lt;&gt;"&amp;"")</f>
        <v>614</v>
      </c>
      <c r="D619" s="247">
        <f>'Table S2 Compound Identifiers'!B621</f>
        <v>0</v>
      </c>
      <c r="E619" s="247"/>
      <c r="F619" s="248"/>
      <c r="G619" s="249"/>
      <c r="H619" s="330"/>
      <c r="I619" s="328"/>
      <c r="J619" s="249"/>
      <c r="K619" s="330"/>
      <c r="L619" s="250"/>
      <c r="M619" s="249"/>
      <c r="N619" s="330"/>
      <c r="O619" s="250"/>
      <c r="P619" s="249"/>
      <c r="Q619" s="330"/>
      <c r="R619" s="250"/>
      <c r="S619" s="249"/>
      <c r="T619" s="330"/>
      <c r="U619" s="250"/>
      <c r="V619" s="249"/>
      <c r="W619" s="330"/>
      <c r="X619" s="343"/>
      <c r="Y619" s="249"/>
      <c r="Z619" s="330"/>
      <c r="AA619" s="343"/>
      <c r="AB619" s="249"/>
      <c r="AC619" s="330"/>
      <c r="AD619" s="343"/>
      <c r="AE619" s="249"/>
      <c r="AF619" s="330"/>
      <c r="AG619" s="343"/>
      <c r="AH619" s="249"/>
      <c r="AI619" s="330"/>
      <c r="AJ619" s="343"/>
      <c r="AK619" s="249"/>
      <c r="AL619" s="330"/>
      <c r="AM619" s="343"/>
      <c r="AN619" s="249"/>
      <c r="AO619" s="330"/>
      <c r="AP619" s="343"/>
      <c r="AQ619" s="249"/>
      <c r="AR619" s="330"/>
      <c r="AS619" s="343"/>
      <c r="AT619" s="249"/>
      <c r="AU619" s="330"/>
    </row>
    <row r="620" spans="2:47">
      <c r="B620" s="247">
        <f>'Table S2 Compound Identifiers'!C622</f>
        <v>0</v>
      </c>
      <c r="C620" s="247">
        <f>COUNTIF($D$6:D620,"&lt;&gt;"&amp;"")</f>
        <v>615</v>
      </c>
      <c r="D620" s="247">
        <f>'Table S2 Compound Identifiers'!B622</f>
        <v>0</v>
      </c>
      <c r="E620" s="247"/>
      <c r="F620" s="248"/>
      <c r="G620" s="249"/>
      <c r="H620" s="330"/>
      <c r="I620" s="328"/>
      <c r="J620" s="249"/>
      <c r="K620" s="330"/>
      <c r="L620" s="250"/>
      <c r="M620" s="249"/>
      <c r="N620" s="330"/>
      <c r="O620" s="250"/>
      <c r="P620" s="249"/>
      <c r="Q620" s="330"/>
      <c r="R620" s="250"/>
      <c r="S620" s="249"/>
      <c r="T620" s="330"/>
      <c r="U620" s="250"/>
      <c r="V620" s="249"/>
      <c r="W620" s="330"/>
      <c r="X620" s="343"/>
      <c r="Y620" s="249"/>
      <c r="Z620" s="330"/>
      <c r="AA620" s="343"/>
      <c r="AB620" s="249"/>
      <c r="AC620" s="330"/>
      <c r="AD620" s="343"/>
      <c r="AE620" s="249"/>
      <c r="AF620" s="330"/>
      <c r="AG620" s="343"/>
      <c r="AH620" s="249"/>
      <c r="AI620" s="330"/>
      <c r="AJ620" s="343"/>
      <c r="AK620" s="249"/>
      <c r="AL620" s="330"/>
      <c r="AM620" s="343"/>
      <c r="AN620" s="249"/>
      <c r="AO620" s="330"/>
      <c r="AP620" s="343"/>
      <c r="AQ620" s="249"/>
      <c r="AR620" s="330"/>
      <c r="AS620" s="343"/>
      <c r="AT620" s="249"/>
      <c r="AU620" s="330"/>
    </row>
    <row r="621" spans="2:47">
      <c r="B621" s="247">
        <f>'Table S2 Compound Identifiers'!C623</f>
        <v>0</v>
      </c>
      <c r="C621" s="247">
        <f>COUNTIF($D$6:D621,"&lt;&gt;"&amp;"")</f>
        <v>616</v>
      </c>
      <c r="D621" s="247">
        <f>'Table S2 Compound Identifiers'!B623</f>
        <v>0</v>
      </c>
      <c r="E621" s="247"/>
      <c r="F621" s="248"/>
      <c r="G621" s="249"/>
      <c r="H621" s="330"/>
      <c r="I621" s="328"/>
      <c r="J621" s="249"/>
      <c r="K621" s="330"/>
      <c r="L621" s="250"/>
      <c r="M621" s="249"/>
      <c r="N621" s="330"/>
      <c r="O621" s="250"/>
      <c r="P621" s="249"/>
      <c r="Q621" s="330"/>
      <c r="R621" s="250"/>
      <c r="S621" s="249"/>
      <c r="T621" s="330"/>
      <c r="U621" s="250"/>
      <c r="V621" s="249"/>
      <c r="W621" s="330"/>
      <c r="X621" s="343"/>
      <c r="Y621" s="249"/>
      <c r="Z621" s="330"/>
      <c r="AA621" s="343"/>
      <c r="AB621" s="249"/>
      <c r="AC621" s="330"/>
      <c r="AD621" s="343"/>
      <c r="AE621" s="249"/>
      <c r="AF621" s="330"/>
      <c r="AG621" s="343"/>
      <c r="AH621" s="249"/>
      <c r="AI621" s="330"/>
      <c r="AJ621" s="343"/>
      <c r="AK621" s="249"/>
      <c r="AL621" s="330"/>
      <c r="AM621" s="343"/>
      <c r="AN621" s="249"/>
      <c r="AO621" s="330"/>
      <c r="AP621" s="343"/>
      <c r="AQ621" s="249"/>
      <c r="AR621" s="330"/>
      <c r="AS621" s="343"/>
      <c r="AT621" s="249"/>
      <c r="AU621" s="330"/>
    </row>
    <row r="622" spans="2:47">
      <c r="B622" s="247">
        <f>'Table S2 Compound Identifiers'!C624</f>
        <v>0</v>
      </c>
      <c r="C622" s="247">
        <f>COUNTIF($D$6:D622,"&lt;&gt;"&amp;"")</f>
        <v>617</v>
      </c>
      <c r="D622" s="247">
        <f>'Table S2 Compound Identifiers'!B624</f>
        <v>0</v>
      </c>
      <c r="E622" s="247"/>
      <c r="F622" s="248"/>
      <c r="G622" s="249"/>
      <c r="H622" s="330"/>
      <c r="I622" s="328"/>
      <c r="J622" s="249"/>
      <c r="K622" s="330"/>
      <c r="L622" s="250"/>
      <c r="M622" s="249"/>
      <c r="N622" s="330"/>
      <c r="O622" s="250"/>
      <c r="P622" s="249"/>
      <c r="Q622" s="330"/>
      <c r="R622" s="250"/>
      <c r="S622" s="249"/>
      <c r="T622" s="330"/>
      <c r="U622" s="250"/>
      <c r="V622" s="249"/>
      <c r="W622" s="330"/>
      <c r="X622" s="343"/>
      <c r="Y622" s="249"/>
      <c r="Z622" s="330"/>
      <c r="AA622" s="343"/>
      <c r="AB622" s="249"/>
      <c r="AC622" s="330"/>
      <c r="AD622" s="343"/>
      <c r="AE622" s="249"/>
      <c r="AF622" s="330"/>
      <c r="AG622" s="343"/>
      <c r="AH622" s="249"/>
      <c r="AI622" s="330"/>
      <c r="AJ622" s="343"/>
      <c r="AK622" s="249"/>
      <c r="AL622" s="330"/>
      <c r="AM622" s="343"/>
      <c r="AN622" s="249"/>
      <c r="AO622" s="330"/>
      <c r="AP622" s="343"/>
      <c r="AQ622" s="249"/>
      <c r="AR622" s="330"/>
      <c r="AS622" s="343"/>
      <c r="AT622" s="249"/>
      <c r="AU622" s="330"/>
    </row>
    <row r="623" spans="2:47">
      <c r="B623" s="247">
        <f>'Table S2 Compound Identifiers'!C625</f>
        <v>0</v>
      </c>
      <c r="C623" s="247">
        <f>COUNTIF($D$6:D623,"&lt;&gt;"&amp;"")</f>
        <v>618</v>
      </c>
      <c r="D623" s="247">
        <f>'Table S2 Compound Identifiers'!B625</f>
        <v>0</v>
      </c>
      <c r="E623" s="247"/>
      <c r="F623" s="248"/>
      <c r="G623" s="249"/>
      <c r="H623" s="330"/>
      <c r="I623" s="328"/>
      <c r="J623" s="249"/>
      <c r="K623" s="330"/>
      <c r="L623" s="250"/>
      <c r="M623" s="249"/>
      <c r="N623" s="330"/>
      <c r="O623" s="250"/>
      <c r="P623" s="249"/>
      <c r="Q623" s="330"/>
      <c r="R623" s="250"/>
      <c r="S623" s="249"/>
      <c r="T623" s="330"/>
      <c r="U623" s="250"/>
      <c r="V623" s="249"/>
      <c r="W623" s="330"/>
      <c r="X623" s="343"/>
      <c r="Y623" s="249"/>
      <c r="Z623" s="330"/>
      <c r="AA623" s="343"/>
      <c r="AB623" s="249"/>
      <c r="AC623" s="330"/>
      <c r="AD623" s="343"/>
      <c r="AE623" s="249"/>
      <c r="AF623" s="330"/>
      <c r="AG623" s="343"/>
      <c r="AH623" s="249"/>
      <c r="AI623" s="330"/>
      <c r="AJ623" s="343"/>
      <c r="AK623" s="249"/>
      <c r="AL623" s="330"/>
      <c r="AM623" s="343"/>
      <c r="AN623" s="249"/>
      <c r="AO623" s="330"/>
      <c r="AP623" s="343"/>
      <c r="AQ623" s="249"/>
      <c r="AR623" s="330"/>
      <c r="AS623" s="343"/>
      <c r="AT623" s="249"/>
      <c r="AU623" s="330"/>
    </row>
    <row r="624" spans="2:47">
      <c r="B624" s="247">
        <f>'Table S2 Compound Identifiers'!C626</f>
        <v>0</v>
      </c>
      <c r="C624" s="247">
        <f>COUNTIF($D$6:D624,"&lt;&gt;"&amp;"")</f>
        <v>619</v>
      </c>
      <c r="D624" s="247">
        <f>'Table S2 Compound Identifiers'!B626</f>
        <v>0</v>
      </c>
      <c r="E624" s="247"/>
      <c r="F624" s="248"/>
      <c r="G624" s="249"/>
      <c r="H624" s="330"/>
      <c r="I624" s="328"/>
      <c r="J624" s="249"/>
      <c r="K624" s="330"/>
      <c r="L624" s="250"/>
      <c r="M624" s="249"/>
      <c r="N624" s="330"/>
      <c r="O624" s="250"/>
      <c r="P624" s="249"/>
      <c r="Q624" s="330"/>
      <c r="R624" s="250"/>
      <c r="S624" s="249"/>
      <c r="T624" s="330"/>
      <c r="U624" s="250"/>
      <c r="V624" s="249"/>
      <c r="W624" s="330"/>
      <c r="X624" s="343"/>
      <c r="Y624" s="249"/>
      <c r="Z624" s="330"/>
      <c r="AA624" s="343"/>
      <c r="AB624" s="249"/>
      <c r="AC624" s="330"/>
      <c r="AD624" s="343"/>
      <c r="AE624" s="249"/>
      <c r="AF624" s="330"/>
      <c r="AG624" s="343"/>
      <c r="AH624" s="249"/>
      <c r="AI624" s="330"/>
      <c r="AJ624" s="343"/>
      <c r="AK624" s="249"/>
      <c r="AL624" s="330"/>
      <c r="AM624" s="343"/>
      <c r="AN624" s="249"/>
      <c r="AO624" s="330"/>
      <c r="AP624" s="343"/>
      <c r="AQ624" s="249"/>
      <c r="AR624" s="330"/>
      <c r="AS624" s="343"/>
      <c r="AT624" s="249"/>
      <c r="AU624" s="330"/>
    </row>
    <row r="625" spans="2:47">
      <c r="B625" s="247">
        <f>'Table S2 Compound Identifiers'!C627</f>
        <v>0</v>
      </c>
      <c r="C625" s="247">
        <f>COUNTIF($D$6:D625,"&lt;&gt;"&amp;"")</f>
        <v>620</v>
      </c>
      <c r="D625" s="247">
        <f>'Table S2 Compound Identifiers'!B627</f>
        <v>0</v>
      </c>
      <c r="E625" s="247"/>
      <c r="F625" s="248"/>
      <c r="G625" s="249"/>
      <c r="H625" s="330"/>
      <c r="I625" s="328"/>
      <c r="J625" s="249"/>
      <c r="K625" s="330"/>
      <c r="L625" s="250"/>
      <c r="M625" s="249"/>
      <c r="N625" s="330"/>
      <c r="O625" s="250"/>
      <c r="P625" s="249"/>
      <c r="Q625" s="330"/>
      <c r="R625" s="250"/>
      <c r="S625" s="249"/>
      <c r="T625" s="330"/>
      <c r="U625" s="250"/>
      <c r="V625" s="249"/>
      <c r="W625" s="330"/>
      <c r="X625" s="343"/>
      <c r="Y625" s="249"/>
      <c r="Z625" s="330"/>
      <c r="AA625" s="343"/>
      <c r="AB625" s="249"/>
      <c r="AC625" s="330"/>
      <c r="AD625" s="343"/>
      <c r="AE625" s="249"/>
      <c r="AF625" s="330"/>
      <c r="AG625" s="343"/>
      <c r="AH625" s="249"/>
      <c r="AI625" s="330"/>
      <c r="AJ625" s="343"/>
      <c r="AK625" s="249"/>
      <c r="AL625" s="330"/>
      <c r="AM625" s="343"/>
      <c r="AN625" s="249"/>
      <c r="AO625" s="330"/>
      <c r="AP625" s="343"/>
      <c r="AQ625" s="249"/>
      <c r="AR625" s="330"/>
      <c r="AS625" s="343"/>
      <c r="AT625" s="249"/>
      <c r="AU625" s="330"/>
    </row>
    <row r="626" spans="2:47">
      <c r="B626" s="247">
        <f>'Table S2 Compound Identifiers'!C628</f>
        <v>0</v>
      </c>
      <c r="C626" s="247">
        <f>COUNTIF($D$6:D626,"&lt;&gt;"&amp;"")</f>
        <v>621</v>
      </c>
      <c r="D626" s="247">
        <f>'Table S2 Compound Identifiers'!B628</f>
        <v>0</v>
      </c>
      <c r="E626" s="247"/>
      <c r="F626" s="248"/>
      <c r="G626" s="249"/>
      <c r="H626" s="330"/>
      <c r="I626" s="328"/>
      <c r="J626" s="249"/>
      <c r="K626" s="330"/>
      <c r="L626" s="250"/>
      <c r="M626" s="249"/>
      <c r="N626" s="330"/>
      <c r="O626" s="250"/>
      <c r="P626" s="249"/>
      <c r="Q626" s="330"/>
      <c r="R626" s="250"/>
      <c r="S626" s="249"/>
      <c r="T626" s="330"/>
      <c r="U626" s="250"/>
      <c r="V626" s="249"/>
      <c r="W626" s="330"/>
      <c r="X626" s="343"/>
      <c r="Y626" s="249"/>
      <c r="Z626" s="330"/>
      <c r="AA626" s="343"/>
      <c r="AB626" s="249"/>
      <c r="AC626" s="330"/>
      <c r="AD626" s="343"/>
      <c r="AE626" s="249"/>
      <c r="AF626" s="330"/>
      <c r="AG626" s="343"/>
      <c r="AH626" s="249"/>
      <c r="AI626" s="330"/>
      <c r="AJ626" s="343"/>
      <c r="AK626" s="249"/>
      <c r="AL626" s="330"/>
      <c r="AM626" s="343"/>
      <c r="AN626" s="249"/>
      <c r="AO626" s="330"/>
      <c r="AP626" s="343"/>
      <c r="AQ626" s="249"/>
      <c r="AR626" s="330"/>
      <c r="AS626" s="343"/>
      <c r="AT626" s="249"/>
      <c r="AU626" s="330"/>
    </row>
    <row r="627" spans="2:47">
      <c r="B627" s="247">
        <f>'Table S2 Compound Identifiers'!C629</f>
        <v>0</v>
      </c>
      <c r="C627" s="247">
        <f>COUNTIF($D$6:D627,"&lt;&gt;"&amp;"")</f>
        <v>622</v>
      </c>
      <c r="D627" s="247">
        <f>'Table S2 Compound Identifiers'!B629</f>
        <v>0</v>
      </c>
      <c r="E627" s="247"/>
      <c r="F627" s="248"/>
      <c r="G627" s="249"/>
      <c r="H627" s="330"/>
      <c r="I627" s="328"/>
      <c r="J627" s="249"/>
      <c r="K627" s="330"/>
      <c r="L627" s="250"/>
      <c r="M627" s="249"/>
      <c r="N627" s="330"/>
      <c r="O627" s="250"/>
      <c r="P627" s="249"/>
      <c r="Q627" s="330"/>
      <c r="R627" s="250"/>
      <c r="S627" s="249"/>
      <c r="T627" s="330"/>
      <c r="U627" s="250"/>
      <c r="V627" s="249"/>
      <c r="W627" s="330"/>
      <c r="X627" s="343"/>
      <c r="Y627" s="249"/>
      <c r="Z627" s="330"/>
      <c r="AA627" s="343"/>
      <c r="AB627" s="249"/>
      <c r="AC627" s="330"/>
      <c r="AD627" s="343"/>
      <c r="AE627" s="249"/>
      <c r="AF627" s="330"/>
      <c r="AG627" s="343"/>
      <c r="AH627" s="249"/>
      <c r="AI627" s="330"/>
      <c r="AJ627" s="343"/>
      <c r="AK627" s="249"/>
      <c r="AL627" s="330"/>
      <c r="AM627" s="343"/>
      <c r="AN627" s="249"/>
      <c r="AO627" s="330"/>
      <c r="AP627" s="343"/>
      <c r="AQ627" s="249"/>
      <c r="AR627" s="330"/>
      <c r="AS627" s="343"/>
      <c r="AT627" s="249"/>
      <c r="AU627" s="330"/>
    </row>
    <row r="628" spans="2:47">
      <c r="B628" s="247">
        <f>'Table S2 Compound Identifiers'!C630</f>
        <v>0</v>
      </c>
      <c r="C628" s="247">
        <f>COUNTIF($D$6:D628,"&lt;&gt;"&amp;"")</f>
        <v>623</v>
      </c>
      <c r="D628" s="247">
        <f>'Table S2 Compound Identifiers'!B630</f>
        <v>0</v>
      </c>
      <c r="E628" s="247"/>
      <c r="F628" s="248"/>
      <c r="G628" s="249"/>
      <c r="H628" s="330"/>
      <c r="I628" s="328"/>
      <c r="J628" s="249"/>
      <c r="K628" s="330"/>
      <c r="L628" s="250"/>
      <c r="M628" s="249"/>
      <c r="N628" s="330"/>
      <c r="O628" s="250"/>
      <c r="P628" s="249"/>
      <c r="Q628" s="330"/>
      <c r="R628" s="250"/>
      <c r="S628" s="249"/>
      <c r="T628" s="330"/>
      <c r="U628" s="250"/>
      <c r="V628" s="249"/>
      <c r="W628" s="330"/>
      <c r="X628" s="343"/>
      <c r="Y628" s="249"/>
      <c r="Z628" s="330"/>
      <c r="AA628" s="343"/>
      <c r="AB628" s="249"/>
      <c r="AC628" s="330"/>
      <c r="AD628" s="343"/>
      <c r="AE628" s="249"/>
      <c r="AF628" s="330"/>
      <c r="AG628" s="343"/>
      <c r="AH628" s="249"/>
      <c r="AI628" s="330"/>
      <c r="AJ628" s="343"/>
      <c r="AK628" s="249"/>
      <c r="AL628" s="330"/>
      <c r="AM628" s="343"/>
      <c r="AN628" s="249"/>
      <c r="AO628" s="330"/>
      <c r="AP628" s="343"/>
      <c r="AQ628" s="249"/>
      <c r="AR628" s="330"/>
      <c r="AS628" s="343"/>
      <c r="AT628" s="249"/>
      <c r="AU628" s="330"/>
    </row>
    <row r="629" spans="2:47">
      <c r="B629" s="247">
        <f>'Table S2 Compound Identifiers'!C631</f>
        <v>0</v>
      </c>
      <c r="C629" s="247">
        <f>COUNTIF($D$6:D629,"&lt;&gt;"&amp;"")</f>
        <v>624</v>
      </c>
      <c r="D629" s="247">
        <f>'Table S2 Compound Identifiers'!B631</f>
        <v>0</v>
      </c>
      <c r="E629" s="247"/>
      <c r="F629" s="248"/>
      <c r="G629" s="249"/>
      <c r="H629" s="330"/>
      <c r="I629" s="328"/>
      <c r="J629" s="249"/>
      <c r="K629" s="330"/>
      <c r="L629" s="250"/>
      <c r="M629" s="249"/>
      <c r="N629" s="330"/>
      <c r="O629" s="250"/>
      <c r="P629" s="249"/>
      <c r="Q629" s="330"/>
      <c r="R629" s="250"/>
      <c r="S629" s="249"/>
      <c r="T629" s="330"/>
      <c r="U629" s="250"/>
      <c r="V629" s="249"/>
      <c r="W629" s="330"/>
      <c r="X629" s="343"/>
      <c r="Y629" s="249"/>
      <c r="Z629" s="330"/>
      <c r="AA629" s="343"/>
      <c r="AB629" s="249"/>
      <c r="AC629" s="330"/>
      <c r="AD629" s="343"/>
      <c r="AE629" s="249"/>
      <c r="AF629" s="330"/>
      <c r="AG629" s="343"/>
      <c r="AH629" s="249"/>
      <c r="AI629" s="330"/>
      <c r="AJ629" s="343"/>
      <c r="AK629" s="249"/>
      <c r="AL629" s="330"/>
      <c r="AM629" s="343"/>
      <c r="AN629" s="249"/>
      <c r="AO629" s="330"/>
      <c r="AP629" s="343"/>
      <c r="AQ629" s="249"/>
      <c r="AR629" s="330"/>
      <c r="AS629" s="343"/>
      <c r="AT629" s="249"/>
      <c r="AU629" s="330"/>
    </row>
    <row r="630" spans="2:47">
      <c r="B630" s="247">
        <f>'Table S2 Compound Identifiers'!C632</f>
        <v>0</v>
      </c>
      <c r="C630" s="247">
        <f>COUNTIF($D$6:D630,"&lt;&gt;"&amp;"")</f>
        <v>625</v>
      </c>
      <c r="D630" s="247">
        <f>'Table S2 Compound Identifiers'!B632</f>
        <v>0</v>
      </c>
      <c r="E630" s="247"/>
      <c r="F630" s="248"/>
      <c r="G630" s="249"/>
      <c r="H630" s="330"/>
      <c r="I630" s="328"/>
      <c r="J630" s="249"/>
      <c r="K630" s="330"/>
      <c r="L630" s="250"/>
      <c r="M630" s="249"/>
      <c r="N630" s="330"/>
      <c r="O630" s="250"/>
      <c r="P630" s="249"/>
      <c r="Q630" s="330"/>
      <c r="R630" s="250"/>
      <c r="S630" s="249"/>
      <c r="T630" s="330"/>
      <c r="U630" s="250"/>
      <c r="V630" s="249"/>
      <c r="W630" s="330"/>
      <c r="X630" s="343"/>
      <c r="Y630" s="249"/>
      <c r="Z630" s="330"/>
      <c r="AA630" s="343"/>
      <c r="AB630" s="249"/>
      <c r="AC630" s="330"/>
      <c r="AD630" s="343"/>
      <c r="AE630" s="249"/>
      <c r="AF630" s="330"/>
      <c r="AG630" s="343"/>
      <c r="AH630" s="249"/>
      <c r="AI630" s="330"/>
      <c r="AJ630" s="343"/>
      <c r="AK630" s="249"/>
      <c r="AL630" s="330"/>
      <c r="AM630" s="343"/>
      <c r="AN630" s="249"/>
      <c r="AO630" s="330"/>
      <c r="AP630" s="343"/>
      <c r="AQ630" s="249"/>
      <c r="AR630" s="330"/>
      <c r="AS630" s="343"/>
      <c r="AT630" s="249"/>
      <c r="AU630" s="330"/>
    </row>
    <row r="631" spans="2:47">
      <c r="B631" s="247">
        <f>'Table S2 Compound Identifiers'!C633</f>
        <v>0</v>
      </c>
      <c r="C631" s="247">
        <f>COUNTIF($D$6:D631,"&lt;&gt;"&amp;"")</f>
        <v>626</v>
      </c>
      <c r="D631" s="247">
        <f>'Table S2 Compound Identifiers'!B633</f>
        <v>0</v>
      </c>
      <c r="E631" s="247"/>
      <c r="F631" s="248"/>
      <c r="G631" s="249"/>
      <c r="H631" s="330"/>
      <c r="I631" s="328"/>
      <c r="J631" s="249"/>
      <c r="K631" s="330"/>
      <c r="L631" s="250"/>
      <c r="M631" s="249"/>
      <c r="N631" s="330"/>
      <c r="O631" s="250"/>
      <c r="P631" s="249"/>
      <c r="Q631" s="330"/>
      <c r="R631" s="250"/>
      <c r="S631" s="249"/>
      <c r="T631" s="330"/>
      <c r="U631" s="250"/>
      <c r="V631" s="249"/>
      <c r="W631" s="330"/>
      <c r="X631" s="343"/>
      <c r="Y631" s="249"/>
      <c r="Z631" s="330"/>
      <c r="AA631" s="343"/>
      <c r="AB631" s="249"/>
      <c r="AC631" s="330"/>
      <c r="AD631" s="343"/>
      <c r="AE631" s="249"/>
      <c r="AF631" s="330"/>
      <c r="AG631" s="343"/>
      <c r="AH631" s="249"/>
      <c r="AI631" s="330"/>
      <c r="AJ631" s="343"/>
      <c r="AK631" s="249"/>
      <c r="AL631" s="330"/>
      <c r="AM631" s="343"/>
      <c r="AN631" s="249"/>
      <c r="AO631" s="330"/>
      <c r="AP631" s="343"/>
      <c r="AQ631" s="249"/>
      <c r="AR631" s="330"/>
      <c r="AS631" s="343"/>
      <c r="AT631" s="249"/>
      <c r="AU631" s="330"/>
    </row>
    <row r="632" spans="2:47">
      <c r="B632" s="247">
        <f>'Table S2 Compound Identifiers'!C634</f>
        <v>0</v>
      </c>
      <c r="C632" s="247">
        <f>COUNTIF($D$6:D632,"&lt;&gt;"&amp;"")</f>
        <v>627</v>
      </c>
      <c r="D632" s="247">
        <f>'Table S2 Compound Identifiers'!B634</f>
        <v>0</v>
      </c>
      <c r="E632" s="247"/>
      <c r="F632" s="248"/>
      <c r="G632" s="249"/>
      <c r="H632" s="330"/>
      <c r="I632" s="328"/>
      <c r="J632" s="249"/>
      <c r="K632" s="330"/>
      <c r="L632" s="250"/>
      <c r="M632" s="249"/>
      <c r="N632" s="330"/>
      <c r="O632" s="250"/>
      <c r="P632" s="249"/>
      <c r="Q632" s="330"/>
      <c r="R632" s="250"/>
      <c r="S632" s="249"/>
      <c r="T632" s="330"/>
      <c r="U632" s="250"/>
      <c r="V632" s="249"/>
      <c r="W632" s="330"/>
      <c r="X632" s="343"/>
      <c r="Y632" s="249"/>
      <c r="Z632" s="330"/>
      <c r="AA632" s="343"/>
      <c r="AB632" s="249"/>
      <c r="AC632" s="330"/>
      <c r="AD632" s="343"/>
      <c r="AE632" s="249"/>
      <c r="AF632" s="330"/>
      <c r="AG632" s="343"/>
      <c r="AH632" s="249"/>
      <c r="AI632" s="330"/>
      <c r="AJ632" s="343"/>
      <c r="AK632" s="249"/>
      <c r="AL632" s="330"/>
      <c r="AM632" s="343"/>
      <c r="AN632" s="249"/>
      <c r="AO632" s="330"/>
      <c r="AP632" s="343"/>
      <c r="AQ632" s="249"/>
      <c r="AR632" s="330"/>
      <c r="AS632" s="343"/>
      <c r="AT632" s="249"/>
      <c r="AU632" s="330"/>
    </row>
    <row r="633" spans="2:47">
      <c r="B633" s="247">
        <f>'Table S2 Compound Identifiers'!C635</f>
        <v>0</v>
      </c>
      <c r="C633" s="247">
        <f>COUNTIF($D$6:D633,"&lt;&gt;"&amp;"")</f>
        <v>628</v>
      </c>
      <c r="D633" s="247">
        <f>'Table S2 Compound Identifiers'!B635</f>
        <v>0</v>
      </c>
      <c r="E633" s="247"/>
      <c r="F633" s="248"/>
      <c r="G633" s="249"/>
      <c r="H633" s="330"/>
      <c r="I633" s="328"/>
      <c r="J633" s="249"/>
      <c r="K633" s="330"/>
      <c r="L633" s="250"/>
      <c r="M633" s="249"/>
      <c r="N633" s="330"/>
      <c r="O633" s="250"/>
      <c r="P633" s="249"/>
      <c r="Q633" s="330"/>
      <c r="R633" s="250"/>
      <c r="S633" s="249"/>
      <c r="T633" s="330"/>
      <c r="U633" s="250"/>
      <c r="V633" s="249"/>
      <c r="W633" s="330"/>
      <c r="X633" s="343"/>
      <c r="Y633" s="249"/>
      <c r="Z633" s="330"/>
      <c r="AA633" s="343"/>
      <c r="AB633" s="249"/>
      <c r="AC633" s="330"/>
      <c r="AD633" s="343"/>
      <c r="AE633" s="249"/>
      <c r="AF633" s="330"/>
      <c r="AG633" s="343"/>
      <c r="AH633" s="249"/>
      <c r="AI633" s="330"/>
      <c r="AJ633" s="343"/>
      <c r="AK633" s="249"/>
      <c r="AL633" s="330"/>
      <c r="AM633" s="343"/>
      <c r="AN633" s="249"/>
      <c r="AO633" s="330"/>
      <c r="AP633" s="343"/>
      <c r="AQ633" s="249"/>
      <c r="AR633" s="330"/>
      <c r="AS633" s="343"/>
      <c r="AT633" s="249"/>
      <c r="AU633" s="330"/>
    </row>
    <row r="634" spans="2:47">
      <c r="B634" s="247">
        <f>'Table S2 Compound Identifiers'!C636</f>
        <v>0</v>
      </c>
      <c r="C634" s="247">
        <f>COUNTIF($D$6:D634,"&lt;&gt;"&amp;"")</f>
        <v>629</v>
      </c>
      <c r="D634" s="247">
        <f>'Table S2 Compound Identifiers'!B636</f>
        <v>0</v>
      </c>
      <c r="E634" s="247"/>
      <c r="F634" s="248"/>
      <c r="G634" s="249"/>
      <c r="H634" s="330"/>
      <c r="I634" s="328"/>
      <c r="J634" s="249"/>
      <c r="K634" s="330"/>
      <c r="L634" s="250"/>
      <c r="M634" s="249"/>
      <c r="N634" s="330"/>
      <c r="O634" s="250"/>
      <c r="P634" s="249"/>
      <c r="Q634" s="330"/>
      <c r="R634" s="250"/>
      <c r="S634" s="249"/>
      <c r="T634" s="330"/>
      <c r="U634" s="250"/>
      <c r="V634" s="249"/>
      <c r="W634" s="330"/>
      <c r="X634" s="343"/>
      <c r="Y634" s="249"/>
      <c r="Z634" s="330"/>
      <c r="AA634" s="343"/>
      <c r="AB634" s="249"/>
      <c r="AC634" s="330"/>
      <c r="AD634" s="343"/>
      <c r="AE634" s="249"/>
      <c r="AF634" s="330"/>
      <c r="AG634" s="343"/>
      <c r="AH634" s="249"/>
      <c r="AI634" s="330"/>
      <c r="AJ634" s="343"/>
      <c r="AK634" s="249"/>
      <c r="AL634" s="330"/>
      <c r="AM634" s="343"/>
      <c r="AN634" s="249"/>
      <c r="AO634" s="330"/>
      <c r="AP634" s="343"/>
      <c r="AQ634" s="249"/>
      <c r="AR634" s="330"/>
      <c r="AS634" s="343"/>
      <c r="AT634" s="249"/>
      <c r="AU634" s="330"/>
    </row>
    <row r="635" spans="2:47">
      <c r="B635" s="247">
        <f>'Table S2 Compound Identifiers'!C637</f>
        <v>0</v>
      </c>
      <c r="C635" s="247">
        <f>COUNTIF($D$6:D635,"&lt;&gt;"&amp;"")</f>
        <v>630</v>
      </c>
      <c r="D635" s="247">
        <f>'Table S2 Compound Identifiers'!B637</f>
        <v>0</v>
      </c>
      <c r="E635" s="247"/>
      <c r="F635" s="248"/>
      <c r="G635" s="249"/>
      <c r="H635" s="330"/>
      <c r="I635" s="328"/>
      <c r="J635" s="249"/>
      <c r="K635" s="330"/>
      <c r="L635" s="250"/>
      <c r="M635" s="249"/>
      <c r="N635" s="330"/>
      <c r="O635" s="250"/>
      <c r="P635" s="249"/>
      <c r="Q635" s="330"/>
      <c r="R635" s="250"/>
      <c r="S635" s="249"/>
      <c r="T635" s="330"/>
      <c r="U635" s="250"/>
      <c r="V635" s="249"/>
      <c r="W635" s="330"/>
      <c r="X635" s="343"/>
      <c r="Y635" s="249"/>
      <c r="Z635" s="330"/>
      <c r="AA635" s="343"/>
      <c r="AB635" s="249"/>
      <c r="AC635" s="330"/>
      <c r="AD635" s="343"/>
      <c r="AE635" s="249"/>
      <c r="AF635" s="330"/>
      <c r="AG635" s="343"/>
      <c r="AH635" s="249"/>
      <c r="AI635" s="330"/>
      <c r="AJ635" s="343"/>
      <c r="AK635" s="249"/>
      <c r="AL635" s="330"/>
      <c r="AM635" s="343"/>
      <c r="AN635" s="249"/>
      <c r="AO635" s="330"/>
      <c r="AP635" s="343"/>
      <c r="AQ635" s="249"/>
      <c r="AR635" s="330"/>
      <c r="AS635" s="343"/>
      <c r="AT635" s="249"/>
      <c r="AU635" s="330"/>
    </row>
    <row r="636" spans="2:47">
      <c r="B636" s="247">
        <f>'Table S2 Compound Identifiers'!C638</f>
        <v>0</v>
      </c>
      <c r="C636" s="247">
        <f>COUNTIF($D$6:D636,"&lt;&gt;"&amp;"")</f>
        <v>631</v>
      </c>
      <c r="D636" s="247">
        <f>'Table S2 Compound Identifiers'!B638</f>
        <v>0</v>
      </c>
      <c r="E636" s="247"/>
      <c r="F636" s="248"/>
      <c r="G636" s="249"/>
      <c r="H636" s="330"/>
      <c r="I636" s="328"/>
      <c r="J636" s="249"/>
      <c r="K636" s="330"/>
      <c r="L636" s="250"/>
      <c r="M636" s="249"/>
      <c r="N636" s="330"/>
      <c r="O636" s="250"/>
      <c r="P636" s="249"/>
      <c r="Q636" s="330"/>
      <c r="R636" s="250"/>
      <c r="S636" s="249"/>
      <c r="T636" s="330"/>
      <c r="U636" s="250"/>
      <c r="V636" s="249"/>
      <c r="W636" s="330"/>
      <c r="X636" s="343"/>
      <c r="Y636" s="249"/>
      <c r="Z636" s="330"/>
      <c r="AA636" s="343"/>
      <c r="AB636" s="249"/>
      <c r="AC636" s="330"/>
      <c r="AD636" s="343"/>
      <c r="AE636" s="249"/>
      <c r="AF636" s="330"/>
      <c r="AG636" s="343"/>
      <c r="AH636" s="249"/>
      <c r="AI636" s="330"/>
      <c r="AJ636" s="343"/>
      <c r="AK636" s="249"/>
      <c r="AL636" s="330"/>
      <c r="AM636" s="343"/>
      <c r="AN636" s="249"/>
      <c r="AO636" s="330"/>
      <c r="AP636" s="343"/>
      <c r="AQ636" s="249"/>
      <c r="AR636" s="330"/>
      <c r="AS636" s="343"/>
      <c r="AT636" s="249"/>
      <c r="AU636" s="330"/>
    </row>
    <row r="637" spans="2:47">
      <c r="B637" s="247">
        <f>'Table S2 Compound Identifiers'!C639</f>
        <v>0</v>
      </c>
      <c r="C637" s="247">
        <f>COUNTIF($D$6:D637,"&lt;&gt;"&amp;"")</f>
        <v>632</v>
      </c>
      <c r="D637" s="247">
        <f>'Table S2 Compound Identifiers'!B639</f>
        <v>0</v>
      </c>
      <c r="E637" s="247"/>
      <c r="F637" s="248"/>
      <c r="G637" s="249"/>
      <c r="H637" s="330"/>
      <c r="I637" s="328"/>
      <c r="J637" s="249"/>
      <c r="K637" s="330"/>
      <c r="L637" s="250"/>
      <c r="M637" s="249"/>
      <c r="N637" s="330"/>
      <c r="O637" s="250"/>
      <c r="P637" s="249"/>
      <c r="Q637" s="330"/>
      <c r="R637" s="250"/>
      <c r="S637" s="249"/>
      <c r="T637" s="330"/>
      <c r="U637" s="250"/>
      <c r="V637" s="249"/>
      <c r="W637" s="330"/>
      <c r="X637" s="343"/>
      <c r="Y637" s="249"/>
      <c r="Z637" s="330"/>
      <c r="AA637" s="343"/>
      <c r="AB637" s="249"/>
      <c r="AC637" s="330"/>
      <c r="AD637" s="343"/>
      <c r="AE637" s="249"/>
      <c r="AF637" s="330"/>
      <c r="AG637" s="343"/>
      <c r="AH637" s="249"/>
      <c r="AI637" s="330"/>
      <c r="AJ637" s="343"/>
      <c r="AK637" s="249"/>
      <c r="AL637" s="330"/>
      <c r="AM637" s="343"/>
      <c r="AN637" s="249"/>
      <c r="AO637" s="330"/>
      <c r="AP637" s="343"/>
      <c r="AQ637" s="249"/>
      <c r="AR637" s="330"/>
      <c r="AS637" s="343"/>
      <c r="AT637" s="249"/>
      <c r="AU637" s="330"/>
    </row>
    <row r="638" spans="2:47">
      <c r="B638" s="247">
        <f>'Table S2 Compound Identifiers'!C640</f>
        <v>0</v>
      </c>
      <c r="C638" s="247">
        <f>COUNTIF($D$6:D638,"&lt;&gt;"&amp;"")</f>
        <v>633</v>
      </c>
      <c r="D638" s="247">
        <f>'Table S2 Compound Identifiers'!B640</f>
        <v>0</v>
      </c>
      <c r="E638" s="247"/>
      <c r="F638" s="248"/>
      <c r="G638" s="249"/>
      <c r="H638" s="330"/>
      <c r="I638" s="328"/>
      <c r="J638" s="249"/>
      <c r="K638" s="330"/>
      <c r="L638" s="250"/>
      <c r="M638" s="249"/>
      <c r="N638" s="330"/>
      <c r="O638" s="250"/>
      <c r="P638" s="249"/>
      <c r="Q638" s="330"/>
      <c r="R638" s="250"/>
      <c r="S638" s="249"/>
      <c r="T638" s="330"/>
      <c r="U638" s="250"/>
      <c r="V638" s="249"/>
      <c r="W638" s="330"/>
      <c r="X638" s="343"/>
      <c r="Y638" s="249"/>
      <c r="Z638" s="330"/>
      <c r="AA638" s="343"/>
      <c r="AB638" s="249"/>
      <c r="AC638" s="330"/>
      <c r="AD638" s="343"/>
      <c r="AE638" s="249"/>
      <c r="AF638" s="330"/>
      <c r="AG638" s="343"/>
      <c r="AH638" s="249"/>
      <c r="AI638" s="330"/>
      <c r="AJ638" s="343"/>
      <c r="AK638" s="249"/>
      <c r="AL638" s="330"/>
      <c r="AM638" s="343"/>
      <c r="AN638" s="249"/>
      <c r="AO638" s="330"/>
      <c r="AP638" s="343"/>
      <c r="AQ638" s="249"/>
      <c r="AR638" s="330"/>
      <c r="AS638" s="343"/>
      <c r="AT638" s="249"/>
      <c r="AU638" s="330"/>
    </row>
    <row r="639" spans="2:47">
      <c r="B639" s="247">
        <f>'Table S2 Compound Identifiers'!C641</f>
        <v>0</v>
      </c>
      <c r="C639" s="247">
        <f>COUNTIF($D$6:D639,"&lt;&gt;"&amp;"")</f>
        <v>634</v>
      </c>
      <c r="D639" s="247">
        <f>'Table S2 Compound Identifiers'!B641</f>
        <v>0</v>
      </c>
      <c r="E639" s="247"/>
      <c r="F639" s="248"/>
      <c r="G639" s="249"/>
      <c r="H639" s="330"/>
      <c r="I639" s="328"/>
      <c r="J639" s="249"/>
      <c r="K639" s="330"/>
      <c r="L639" s="250"/>
      <c r="M639" s="249"/>
      <c r="N639" s="330"/>
      <c r="O639" s="250"/>
      <c r="P639" s="249"/>
      <c r="Q639" s="330"/>
      <c r="R639" s="250"/>
      <c r="S639" s="249"/>
      <c r="T639" s="330"/>
      <c r="U639" s="250"/>
      <c r="V639" s="249"/>
      <c r="W639" s="330"/>
      <c r="X639" s="343"/>
      <c r="Y639" s="249"/>
      <c r="Z639" s="330"/>
      <c r="AA639" s="343"/>
      <c r="AB639" s="249"/>
      <c r="AC639" s="330"/>
      <c r="AD639" s="343"/>
      <c r="AE639" s="249"/>
      <c r="AF639" s="330"/>
      <c r="AG639" s="343"/>
      <c r="AH639" s="249"/>
      <c r="AI639" s="330"/>
      <c r="AJ639" s="343"/>
      <c r="AK639" s="249"/>
      <c r="AL639" s="330"/>
      <c r="AM639" s="343"/>
      <c r="AN639" s="249"/>
      <c r="AO639" s="330"/>
      <c r="AP639" s="343"/>
      <c r="AQ639" s="249"/>
      <c r="AR639" s="330"/>
      <c r="AS639" s="343"/>
      <c r="AT639" s="249"/>
      <c r="AU639" s="330"/>
    </row>
    <row r="640" spans="2:47">
      <c r="B640" s="247">
        <f>'Table S2 Compound Identifiers'!C642</f>
        <v>0</v>
      </c>
      <c r="C640" s="247">
        <f>COUNTIF($D$6:D640,"&lt;&gt;"&amp;"")</f>
        <v>635</v>
      </c>
      <c r="D640" s="247">
        <f>'Table S2 Compound Identifiers'!B642</f>
        <v>0</v>
      </c>
      <c r="E640" s="247"/>
      <c r="F640" s="248"/>
      <c r="G640" s="249"/>
      <c r="H640" s="330"/>
      <c r="I640" s="328"/>
      <c r="J640" s="249"/>
      <c r="K640" s="330"/>
      <c r="L640" s="250"/>
      <c r="M640" s="249"/>
      <c r="N640" s="330"/>
      <c r="O640" s="250"/>
      <c r="P640" s="249"/>
      <c r="Q640" s="330"/>
      <c r="R640" s="250"/>
      <c r="S640" s="249"/>
      <c r="T640" s="330"/>
      <c r="U640" s="250"/>
      <c r="V640" s="249"/>
      <c r="W640" s="330"/>
      <c r="X640" s="343"/>
      <c r="Y640" s="249"/>
      <c r="Z640" s="330"/>
      <c r="AA640" s="343"/>
      <c r="AB640" s="249"/>
      <c r="AC640" s="330"/>
      <c r="AD640" s="343"/>
      <c r="AE640" s="249"/>
      <c r="AF640" s="330"/>
      <c r="AG640" s="343"/>
      <c r="AH640" s="249"/>
      <c r="AI640" s="330"/>
      <c r="AJ640" s="343"/>
      <c r="AK640" s="249"/>
      <c r="AL640" s="330"/>
      <c r="AM640" s="343"/>
      <c r="AN640" s="249"/>
      <c r="AO640" s="330"/>
      <c r="AP640" s="343"/>
      <c r="AQ640" s="249"/>
      <c r="AR640" s="330"/>
      <c r="AS640" s="343"/>
      <c r="AT640" s="249"/>
      <c r="AU640" s="330"/>
    </row>
    <row r="641" spans="2:47">
      <c r="B641" s="247">
        <f>'Table S2 Compound Identifiers'!C643</f>
        <v>0</v>
      </c>
      <c r="C641" s="247">
        <f>COUNTIF($D$6:D641,"&lt;&gt;"&amp;"")</f>
        <v>636</v>
      </c>
      <c r="D641" s="247">
        <f>'Table S2 Compound Identifiers'!B643</f>
        <v>0</v>
      </c>
      <c r="E641" s="247"/>
      <c r="F641" s="248"/>
      <c r="G641" s="249"/>
      <c r="H641" s="330"/>
      <c r="I641" s="328"/>
      <c r="J641" s="249"/>
      <c r="K641" s="330"/>
      <c r="L641" s="250"/>
      <c r="M641" s="249"/>
      <c r="N641" s="330"/>
      <c r="O641" s="250"/>
      <c r="P641" s="249"/>
      <c r="Q641" s="330"/>
      <c r="R641" s="250"/>
      <c r="S641" s="249"/>
      <c r="T641" s="330"/>
      <c r="U641" s="250"/>
      <c r="V641" s="249"/>
      <c r="W641" s="330"/>
      <c r="X641" s="343"/>
      <c r="Y641" s="249"/>
      <c r="Z641" s="330"/>
      <c r="AA641" s="343"/>
      <c r="AB641" s="249"/>
      <c r="AC641" s="330"/>
      <c r="AD641" s="343"/>
      <c r="AE641" s="249"/>
      <c r="AF641" s="330"/>
      <c r="AG641" s="343"/>
      <c r="AH641" s="249"/>
      <c r="AI641" s="330"/>
      <c r="AJ641" s="343"/>
      <c r="AK641" s="249"/>
      <c r="AL641" s="330"/>
      <c r="AM641" s="343"/>
      <c r="AN641" s="249"/>
      <c r="AO641" s="330"/>
      <c r="AP641" s="343"/>
      <c r="AQ641" s="249"/>
      <c r="AR641" s="330"/>
      <c r="AS641" s="343"/>
      <c r="AT641" s="249"/>
      <c r="AU641" s="330"/>
    </row>
    <row r="642" spans="2:47">
      <c r="B642" s="247">
        <f>'Table S2 Compound Identifiers'!C644</f>
        <v>0</v>
      </c>
      <c r="C642" s="247">
        <f>COUNTIF($D$6:D642,"&lt;&gt;"&amp;"")</f>
        <v>637</v>
      </c>
      <c r="D642" s="247">
        <f>'Table S2 Compound Identifiers'!B644</f>
        <v>0</v>
      </c>
      <c r="E642" s="247"/>
      <c r="F642" s="248"/>
      <c r="G642" s="249"/>
      <c r="H642" s="330"/>
      <c r="I642" s="328"/>
      <c r="J642" s="249"/>
      <c r="K642" s="330"/>
      <c r="L642" s="250"/>
      <c r="M642" s="249"/>
      <c r="N642" s="330"/>
      <c r="O642" s="250"/>
      <c r="P642" s="249"/>
      <c r="Q642" s="330"/>
      <c r="R642" s="250"/>
      <c r="S642" s="249"/>
      <c r="T642" s="330"/>
      <c r="U642" s="250"/>
      <c r="V642" s="249"/>
      <c r="W642" s="330"/>
      <c r="X642" s="343"/>
      <c r="Y642" s="249"/>
      <c r="Z642" s="330"/>
      <c r="AA642" s="343"/>
      <c r="AB642" s="249"/>
      <c r="AC642" s="330"/>
      <c r="AD642" s="343"/>
      <c r="AE642" s="249"/>
      <c r="AF642" s="330"/>
      <c r="AG642" s="343"/>
      <c r="AH642" s="249"/>
      <c r="AI642" s="330"/>
      <c r="AJ642" s="343"/>
      <c r="AK642" s="249"/>
      <c r="AL642" s="330"/>
      <c r="AM642" s="343"/>
      <c r="AN642" s="249"/>
      <c r="AO642" s="330"/>
      <c r="AP642" s="343"/>
      <c r="AQ642" s="249"/>
      <c r="AR642" s="330"/>
      <c r="AS642" s="343"/>
      <c r="AT642" s="249"/>
      <c r="AU642" s="330"/>
    </row>
    <row r="643" spans="2:47">
      <c r="B643" s="247">
        <f>'Table S2 Compound Identifiers'!C645</f>
        <v>0</v>
      </c>
      <c r="C643" s="247">
        <f>COUNTIF($D$6:D643,"&lt;&gt;"&amp;"")</f>
        <v>638</v>
      </c>
      <c r="D643" s="247">
        <f>'Table S2 Compound Identifiers'!B645</f>
        <v>0</v>
      </c>
      <c r="E643" s="247"/>
      <c r="F643" s="248"/>
      <c r="G643" s="249"/>
      <c r="H643" s="330"/>
      <c r="I643" s="328"/>
      <c r="J643" s="249"/>
      <c r="K643" s="330"/>
      <c r="L643" s="250"/>
      <c r="M643" s="249"/>
      <c r="N643" s="330"/>
      <c r="O643" s="250"/>
      <c r="P643" s="249"/>
      <c r="Q643" s="330"/>
      <c r="R643" s="250"/>
      <c r="S643" s="249"/>
      <c r="T643" s="330"/>
      <c r="U643" s="250"/>
      <c r="V643" s="249"/>
      <c r="W643" s="330"/>
      <c r="X643" s="343"/>
      <c r="Y643" s="249"/>
      <c r="Z643" s="330"/>
      <c r="AA643" s="343"/>
      <c r="AB643" s="249"/>
      <c r="AC643" s="330"/>
      <c r="AD643" s="343"/>
      <c r="AE643" s="249"/>
      <c r="AF643" s="330"/>
      <c r="AG643" s="343"/>
      <c r="AH643" s="249"/>
      <c r="AI643" s="330"/>
      <c r="AJ643" s="343"/>
      <c r="AK643" s="249"/>
      <c r="AL643" s="330"/>
      <c r="AM643" s="343"/>
      <c r="AN643" s="249"/>
      <c r="AO643" s="330"/>
      <c r="AP643" s="343"/>
      <c r="AQ643" s="249"/>
      <c r="AR643" s="330"/>
      <c r="AS643" s="343"/>
      <c r="AT643" s="249"/>
      <c r="AU643" s="330"/>
    </row>
    <row r="644" spans="2:47">
      <c r="B644" s="247">
        <f>'Table S2 Compound Identifiers'!C646</f>
        <v>0</v>
      </c>
      <c r="C644" s="247">
        <f>COUNTIF($D$6:D644,"&lt;&gt;"&amp;"")</f>
        <v>639</v>
      </c>
      <c r="D644" s="247">
        <f>'Table S2 Compound Identifiers'!B646</f>
        <v>0</v>
      </c>
      <c r="E644" s="247"/>
      <c r="F644" s="248"/>
      <c r="G644" s="249"/>
      <c r="H644" s="330"/>
      <c r="I644" s="328"/>
      <c r="J644" s="249"/>
      <c r="K644" s="330"/>
      <c r="L644" s="250"/>
      <c r="M644" s="249"/>
      <c r="N644" s="330"/>
      <c r="O644" s="250"/>
      <c r="P644" s="249"/>
      <c r="Q644" s="330"/>
      <c r="R644" s="250"/>
      <c r="S644" s="249"/>
      <c r="T644" s="330"/>
      <c r="U644" s="250"/>
      <c r="V644" s="249"/>
      <c r="W644" s="330"/>
      <c r="X644" s="343"/>
      <c r="Y644" s="249"/>
      <c r="Z644" s="330"/>
      <c r="AA644" s="343"/>
      <c r="AB644" s="249"/>
      <c r="AC644" s="330"/>
      <c r="AD644" s="343"/>
      <c r="AE644" s="249"/>
      <c r="AF644" s="330"/>
      <c r="AG644" s="343"/>
      <c r="AH644" s="249"/>
      <c r="AI644" s="330"/>
      <c r="AJ644" s="343"/>
      <c r="AK644" s="249"/>
      <c r="AL644" s="330"/>
      <c r="AM644" s="343"/>
      <c r="AN644" s="249"/>
      <c r="AO644" s="330"/>
      <c r="AP644" s="343"/>
      <c r="AQ644" s="249"/>
      <c r="AR644" s="330"/>
      <c r="AS644" s="343"/>
      <c r="AT644" s="249"/>
      <c r="AU644" s="330"/>
    </row>
    <row r="645" spans="2:47">
      <c r="B645" s="247">
        <f>'Table S2 Compound Identifiers'!C647</f>
        <v>0</v>
      </c>
      <c r="C645" s="247">
        <f>COUNTIF($D$6:D645,"&lt;&gt;"&amp;"")</f>
        <v>640</v>
      </c>
      <c r="D645" s="247">
        <f>'Table S2 Compound Identifiers'!B647</f>
        <v>0</v>
      </c>
      <c r="E645" s="247"/>
      <c r="F645" s="248"/>
      <c r="G645" s="249"/>
      <c r="H645" s="330"/>
      <c r="I645" s="328"/>
      <c r="J645" s="249"/>
      <c r="K645" s="330"/>
      <c r="L645" s="250"/>
      <c r="M645" s="249"/>
      <c r="N645" s="330"/>
      <c r="O645" s="250"/>
      <c r="P645" s="249"/>
      <c r="Q645" s="330"/>
      <c r="R645" s="250"/>
      <c r="S645" s="249"/>
      <c r="T645" s="330"/>
      <c r="U645" s="250"/>
      <c r="V645" s="249"/>
      <c r="W645" s="330"/>
      <c r="X645" s="343"/>
      <c r="Y645" s="249"/>
      <c r="Z645" s="330"/>
      <c r="AA645" s="343"/>
      <c r="AB645" s="249"/>
      <c r="AC645" s="330"/>
      <c r="AD645" s="343"/>
      <c r="AE645" s="249"/>
      <c r="AF645" s="330"/>
      <c r="AG645" s="343"/>
      <c r="AH645" s="249"/>
      <c r="AI645" s="330"/>
      <c r="AJ645" s="343"/>
      <c r="AK645" s="249"/>
      <c r="AL645" s="330"/>
      <c r="AM645" s="343"/>
      <c r="AN645" s="249"/>
      <c r="AO645" s="330"/>
      <c r="AP645" s="343"/>
      <c r="AQ645" s="249"/>
      <c r="AR645" s="330"/>
      <c r="AS645" s="343"/>
      <c r="AT645" s="249"/>
      <c r="AU645" s="330"/>
    </row>
    <row r="646" spans="2:47">
      <c r="B646" s="247">
        <f>'Table S2 Compound Identifiers'!C648</f>
        <v>0</v>
      </c>
      <c r="C646" s="247">
        <f>COUNTIF($D$6:D646,"&lt;&gt;"&amp;"")</f>
        <v>641</v>
      </c>
      <c r="D646" s="247">
        <f>'Table S2 Compound Identifiers'!B648</f>
        <v>0</v>
      </c>
      <c r="E646" s="247"/>
      <c r="F646" s="248"/>
      <c r="G646" s="249"/>
      <c r="H646" s="330"/>
      <c r="I646" s="328"/>
      <c r="J646" s="249"/>
      <c r="K646" s="330"/>
      <c r="L646" s="250"/>
      <c r="M646" s="249"/>
      <c r="N646" s="330"/>
      <c r="O646" s="250"/>
      <c r="P646" s="249"/>
      <c r="Q646" s="330"/>
      <c r="R646" s="250"/>
      <c r="S646" s="249"/>
      <c r="T646" s="330"/>
      <c r="U646" s="250"/>
      <c r="V646" s="249"/>
      <c r="W646" s="330"/>
      <c r="X646" s="343"/>
      <c r="Y646" s="249"/>
      <c r="Z646" s="330"/>
      <c r="AA646" s="343"/>
      <c r="AB646" s="249"/>
      <c r="AC646" s="330"/>
      <c r="AD646" s="343"/>
      <c r="AE646" s="249"/>
      <c r="AF646" s="330"/>
      <c r="AG646" s="343"/>
      <c r="AH646" s="249"/>
      <c r="AI646" s="330"/>
      <c r="AJ646" s="343"/>
      <c r="AK646" s="249"/>
      <c r="AL646" s="330"/>
      <c r="AM646" s="343"/>
      <c r="AN646" s="249"/>
      <c r="AO646" s="330"/>
      <c r="AP646" s="343"/>
      <c r="AQ646" s="249"/>
      <c r="AR646" s="330"/>
      <c r="AS646" s="343"/>
      <c r="AT646" s="249"/>
      <c r="AU646" s="330"/>
    </row>
    <row r="647" spans="2:47">
      <c r="B647" s="247">
        <f>'Table S2 Compound Identifiers'!C649</f>
        <v>0</v>
      </c>
      <c r="C647" s="247">
        <f>COUNTIF($D$6:D647,"&lt;&gt;"&amp;"")</f>
        <v>642</v>
      </c>
      <c r="D647" s="247">
        <f>'Table S2 Compound Identifiers'!B649</f>
        <v>0</v>
      </c>
      <c r="E647" s="247"/>
      <c r="F647" s="248"/>
      <c r="G647" s="249"/>
      <c r="H647" s="330"/>
      <c r="I647" s="328"/>
      <c r="J647" s="249"/>
      <c r="K647" s="330"/>
      <c r="L647" s="250"/>
      <c r="M647" s="249"/>
      <c r="N647" s="330"/>
      <c r="O647" s="250"/>
      <c r="P647" s="249"/>
      <c r="Q647" s="330"/>
      <c r="R647" s="250"/>
      <c r="S647" s="249"/>
      <c r="T647" s="330"/>
      <c r="U647" s="250"/>
      <c r="V647" s="249"/>
      <c r="W647" s="330"/>
      <c r="X647" s="343"/>
      <c r="Y647" s="249"/>
      <c r="Z647" s="330"/>
      <c r="AA647" s="343"/>
      <c r="AB647" s="249"/>
      <c r="AC647" s="330"/>
      <c r="AD647" s="343"/>
      <c r="AE647" s="249"/>
      <c r="AF647" s="330"/>
      <c r="AG647" s="343"/>
      <c r="AH647" s="249"/>
      <c r="AI647" s="330"/>
      <c r="AJ647" s="343"/>
      <c r="AK647" s="249"/>
      <c r="AL647" s="330"/>
      <c r="AM647" s="343"/>
      <c r="AN647" s="249"/>
      <c r="AO647" s="330"/>
      <c r="AP647" s="343"/>
      <c r="AQ647" s="249"/>
      <c r="AR647" s="330"/>
      <c r="AS647" s="343"/>
      <c r="AT647" s="249"/>
      <c r="AU647" s="330"/>
    </row>
    <row r="648" spans="2:47">
      <c r="B648" s="247">
        <f>'Table S2 Compound Identifiers'!C650</f>
        <v>0</v>
      </c>
      <c r="C648" s="247">
        <f>COUNTIF($D$6:D648,"&lt;&gt;"&amp;"")</f>
        <v>643</v>
      </c>
      <c r="D648" s="247">
        <f>'Table S2 Compound Identifiers'!B650</f>
        <v>0</v>
      </c>
      <c r="E648" s="247"/>
      <c r="F648" s="248"/>
      <c r="G648" s="249"/>
      <c r="H648" s="330"/>
      <c r="I648" s="328"/>
      <c r="J648" s="249"/>
      <c r="K648" s="330"/>
      <c r="L648" s="250"/>
      <c r="M648" s="249"/>
      <c r="N648" s="330"/>
      <c r="O648" s="250"/>
      <c r="P648" s="249"/>
      <c r="Q648" s="330"/>
      <c r="R648" s="250"/>
      <c r="S648" s="249"/>
      <c r="T648" s="330"/>
      <c r="U648" s="250"/>
      <c r="V648" s="249"/>
      <c r="W648" s="330"/>
      <c r="X648" s="343"/>
      <c r="Y648" s="249"/>
      <c r="Z648" s="330"/>
      <c r="AA648" s="343"/>
      <c r="AB648" s="249"/>
      <c r="AC648" s="330"/>
      <c r="AD648" s="343"/>
      <c r="AE648" s="249"/>
      <c r="AF648" s="330"/>
      <c r="AG648" s="343"/>
      <c r="AH648" s="249"/>
      <c r="AI648" s="330"/>
      <c r="AJ648" s="343"/>
      <c r="AK648" s="249"/>
      <c r="AL648" s="330"/>
      <c r="AM648" s="343"/>
      <c r="AN648" s="249"/>
      <c r="AO648" s="330"/>
      <c r="AP648" s="343"/>
      <c r="AQ648" s="249"/>
      <c r="AR648" s="330"/>
      <c r="AS648" s="343"/>
      <c r="AT648" s="249"/>
      <c r="AU648" s="330"/>
    </row>
    <row r="649" spans="2:47">
      <c r="B649" s="247">
        <f>'Table S2 Compound Identifiers'!C651</f>
        <v>0</v>
      </c>
      <c r="C649" s="247">
        <f>COUNTIF($D$6:D649,"&lt;&gt;"&amp;"")</f>
        <v>644</v>
      </c>
      <c r="D649" s="247">
        <f>'Table S2 Compound Identifiers'!B651</f>
        <v>0</v>
      </c>
      <c r="E649" s="247"/>
      <c r="F649" s="248"/>
      <c r="G649" s="249"/>
      <c r="H649" s="330"/>
      <c r="I649" s="328"/>
      <c r="J649" s="249"/>
      <c r="K649" s="330"/>
      <c r="L649" s="250"/>
      <c r="M649" s="249"/>
      <c r="N649" s="330"/>
      <c r="O649" s="250"/>
      <c r="P649" s="249"/>
      <c r="Q649" s="330"/>
      <c r="R649" s="250"/>
      <c r="S649" s="249"/>
      <c r="T649" s="330"/>
      <c r="U649" s="250"/>
      <c r="V649" s="249"/>
      <c r="W649" s="330"/>
      <c r="X649" s="343"/>
      <c r="Y649" s="249"/>
      <c r="Z649" s="330"/>
      <c r="AA649" s="343"/>
      <c r="AB649" s="249"/>
      <c r="AC649" s="330"/>
      <c r="AD649" s="343"/>
      <c r="AE649" s="249"/>
      <c r="AF649" s="330"/>
      <c r="AG649" s="343"/>
      <c r="AH649" s="249"/>
      <c r="AI649" s="330"/>
      <c r="AJ649" s="343"/>
      <c r="AK649" s="249"/>
      <c r="AL649" s="330"/>
      <c r="AM649" s="343"/>
      <c r="AN649" s="249"/>
      <c r="AO649" s="330"/>
      <c r="AP649" s="343"/>
      <c r="AQ649" s="249"/>
      <c r="AR649" s="330"/>
      <c r="AS649" s="343"/>
      <c r="AT649" s="249"/>
      <c r="AU649" s="330"/>
    </row>
    <row r="650" spans="2:47">
      <c r="B650" s="247">
        <f>'Table S2 Compound Identifiers'!C652</f>
        <v>0</v>
      </c>
      <c r="C650" s="247">
        <f>COUNTIF($D$6:D650,"&lt;&gt;"&amp;"")</f>
        <v>645</v>
      </c>
      <c r="D650" s="247">
        <f>'Table S2 Compound Identifiers'!B652</f>
        <v>0</v>
      </c>
      <c r="E650" s="247"/>
      <c r="F650" s="248"/>
      <c r="G650" s="249"/>
      <c r="H650" s="330"/>
      <c r="I650" s="328"/>
      <c r="J650" s="249"/>
      <c r="K650" s="330"/>
      <c r="L650" s="250"/>
      <c r="M650" s="249"/>
      <c r="N650" s="330"/>
      <c r="O650" s="250"/>
      <c r="P650" s="249"/>
      <c r="Q650" s="330"/>
      <c r="R650" s="250"/>
      <c r="S650" s="249"/>
      <c r="T650" s="330"/>
      <c r="U650" s="250"/>
      <c r="V650" s="249"/>
      <c r="W650" s="330"/>
      <c r="X650" s="343"/>
      <c r="Y650" s="249"/>
      <c r="Z650" s="330"/>
      <c r="AA650" s="343"/>
      <c r="AB650" s="249"/>
      <c r="AC650" s="330"/>
      <c r="AD650" s="343"/>
      <c r="AE650" s="249"/>
      <c r="AF650" s="330"/>
      <c r="AG650" s="343"/>
      <c r="AH650" s="249"/>
      <c r="AI650" s="330"/>
      <c r="AJ650" s="343"/>
      <c r="AK650" s="249"/>
      <c r="AL650" s="330"/>
      <c r="AM650" s="343"/>
      <c r="AN650" s="249"/>
      <c r="AO650" s="330"/>
      <c r="AP650" s="343"/>
      <c r="AQ650" s="249"/>
      <c r="AR650" s="330"/>
      <c r="AS650" s="343"/>
      <c r="AT650" s="249"/>
      <c r="AU650" s="330"/>
    </row>
    <row r="651" spans="2:47">
      <c r="B651" s="247">
        <f>'Table S2 Compound Identifiers'!C653</f>
        <v>0</v>
      </c>
      <c r="C651" s="247">
        <f>COUNTIF($D$6:D651,"&lt;&gt;"&amp;"")</f>
        <v>646</v>
      </c>
      <c r="D651" s="247">
        <f>'Table S2 Compound Identifiers'!B653</f>
        <v>0</v>
      </c>
      <c r="E651" s="247"/>
      <c r="F651" s="248"/>
      <c r="G651" s="249"/>
      <c r="H651" s="330"/>
      <c r="I651" s="328"/>
      <c r="J651" s="249"/>
      <c r="K651" s="330"/>
      <c r="L651" s="250"/>
      <c r="M651" s="249"/>
      <c r="N651" s="330"/>
      <c r="O651" s="250"/>
      <c r="P651" s="249"/>
      <c r="Q651" s="330"/>
      <c r="R651" s="250"/>
      <c r="S651" s="249"/>
      <c r="T651" s="330"/>
      <c r="U651" s="250"/>
      <c r="V651" s="249"/>
      <c r="W651" s="330"/>
      <c r="X651" s="343"/>
      <c r="Y651" s="249"/>
      <c r="Z651" s="330"/>
      <c r="AA651" s="343"/>
      <c r="AB651" s="249"/>
      <c r="AC651" s="330"/>
      <c r="AD651" s="343"/>
      <c r="AE651" s="249"/>
      <c r="AF651" s="330"/>
      <c r="AG651" s="343"/>
      <c r="AH651" s="249"/>
      <c r="AI651" s="330"/>
      <c r="AJ651" s="343"/>
      <c r="AK651" s="249"/>
      <c r="AL651" s="330"/>
      <c r="AM651" s="343"/>
      <c r="AN651" s="249"/>
      <c r="AO651" s="330"/>
      <c r="AP651" s="343"/>
      <c r="AQ651" s="249"/>
      <c r="AR651" s="330"/>
      <c r="AS651" s="343"/>
      <c r="AT651" s="249"/>
      <c r="AU651" s="330"/>
    </row>
    <row r="652" spans="2:47">
      <c r="B652" s="247">
        <f>'Table S2 Compound Identifiers'!C654</f>
        <v>0</v>
      </c>
      <c r="C652" s="247">
        <f>COUNTIF($D$6:D652,"&lt;&gt;"&amp;"")</f>
        <v>647</v>
      </c>
      <c r="D652" s="247">
        <f>'Table S2 Compound Identifiers'!B654</f>
        <v>0</v>
      </c>
      <c r="E652" s="247"/>
      <c r="F652" s="248"/>
      <c r="G652" s="249"/>
      <c r="H652" s="330"/>
      <c r="I652" s="328"/>
      <c r="J652" s="249"/>
      <c r="K652" s="330"/>
      <c r="L652" s="250"/>
      <c r="M652" s="249"/>
      <c r="N652" s="330"/>
      <c r="O652" s="250"/>
      <c r="P652" s="249"/>
      <c r="Q652" s="330"/>
      <c r="R652" s="250"/>
      <c r="S652" s="249"/>
      <c r="T652" s="330"/>
      <c r="U652" s="250"/>
      <c r="V652" s="249"/>
      <c r="W652" s="330"/>
      <c r="X652" s="343"/>
      <c r="Y652" s="249"/>
      <c r="Z652" s="330"/>
      <c r="AA652" s="343"/>
      <c r="AB652" s="249"/>
      <c r="AC652" s="330"/>
      <c r="AD652" s="343"/>
      <c r="AE652" s="249"/>
      <c r="AF652" s="330"/>
      <c r="AG652" s="343"/>
      <c r="AH652" s="249"/>
      <c r="AI652" s="330"/>
      <c r="AJ652" s="343"/>
      <c r="AK652" s="249"/>
      <c r="AL652" s="330"/>
      <c r="AM652" s="343"/>
      <c r="AN652" s="249"/>
      <c r="AO652" s="330"/>
      <c r="AP652" s="343"/>
      <c r="AQ652" s="249"/>
      <c r="AR652" s="330"/>
      <c r="AS652" s="343"/>
      <c r="AT652" s="249"/>
      <c r="AU652" s="330"/>
    </row>
    <row r="653" spans="2:47">
      <c r="B653" s="247">
        <f>'Table S2 Compound Identifiers'!C655</f>
        <v>0</v>
      </c>
      <c r="C653" s="247">
        <f>COUNTIF($D$6:D653,"&lt;&gt;"&amp;"")</f>
        <v>648</v>
      </c>
      <c r="D653" s="247">
        <f>'Table S2 Compound Identifiers'!B655</f>
        <v>0</v>
      </c>
      <c r="E653" s="247"/>
      <c r="F653" s="248"/>
      <c r="G653" s="249"/>
      <c r="H653" s="330"/>
      <c r="I653" s="328"/>
      <c r="J653" s="249"/>
      <c r="K653" s="330"/>
      <c r="L653" s="250"/>
      <c r="M653" s="249"/>
      <c r="N653" s="330"/>
      <c r="O653" s="250"/>
      <c r="P653" s="249"/>
      <c r="Q653" s="330"/>
      <c r="R653" s="250"/>
      <c r="S653" s="249"/>
      <c r="T653" s="330"/>
      <c r="U653" s="250"/>
      <c r="V653" s="249"/>
      <c r="W653" s="330"/>
      <c r="X653" s="343"/>
      <c r="Y653" s="249"/>
      <c r="Z653" s="330"/>
      <c r="AA653" s="343"/>
      <c r="AB653" s="249"/>
      <c r="AC653" s="330"/>
      <c r="AD653" s="343"/>
      <c r="AE653" s="249"/>
      <c r="AF653" s="330"/>
      <c r="AG653" s="343"/>
      <c r="AH653" s="249"/>
      <c r="AI653" s="330"/>
      <c r="AJ653" s="343"/>
      <c r="AK653" s="249"/>
      <c r="AL653" s="330"/>
      <c r="AM653" s="343"/>
      <c r="AN653" s="249"/>
      <c r="AO653" s="330"/>
      <c r="AP653" s="343"/>
      <c r="AQ653" s="249"/>
      <c r="AR653" s="330"/>
      <c r="AS653" s="343"/>
      <c r="AT653" s="249"/>
      <c r="AU653" s="330"/>
    </row>
    <row r="654" spans="2:47">
      <c r="B654" s="247">
        <f>'Table S2 Compound Identifiers'!C656</f>
        <v>0</v>
      </c>
      <c r="C654" s="247">
        <f>COUNTIF($D$6:D654,"&lt;&gt;"&amp;"")</f>
        <v>649</v>
      </c>
      <c r="D654" s="432">
        <f>'Table S2 Compound Identifiers'!B656</f>
        <v>0</v>
      </c>
      <c r="E654" s="247"/>
      <c r="F654" s="248"/>
      <c r="G654" s="249"/>
      <c r="H654" s="330"/>
      <c r="I654" s="328"/>
      <c r="J654" s="249"/>
      <c r="K654" s="330"/>
      <c r="L654" s="250"/>
      <c r="M654" s="249"/>
      <c r="N654" s="330"/>
      <c r="O654" s="250"/>
      <c r="P654" s="249"/>
      <c r="Q654" s="330"/>
      <c r="R654" s="250"/>
      <c r="S654" s="249"/>
      <c r="T654" s="330"/>
      <c r="U654" s="250"/>
      <c r="V654" s="249"/>
      <c r="W654" s="330"/>
      <c r="X654" s="343"/>
      <c r="Y654" s="249"/>
      <c r="Z654" s="330"/>
      <c r="AA654" s="343"/>
      <c r="AB654" s="249"/>
      <c r="AC654" s="330"/>
      <c r="AD654" s="343"/>
      <c r="AE654" s="249"/>
      <c r="AF654" s="330"/>
      <c r="AG654" s="343"/>
      <c r="AH654" s="249"/>
      <c r="AI654" s="330"/>
      <c r="AJ654" s="343"/>
      <c r="AK654" s="249"/>
      <c r="AL654" s="330"/>
      <c r="AM654" s="343"/>
      <c r="AN654" s="249"/>
      <c r="AO654" s="330"/>
      <c r="AP654" s="343"/>
      <c r="AQ654" s="249"/>
      <c r="AR654" s="330"/>
      <c r="AS654" s="343"/>
      <c r="AT654" s="249"/>
      <c r="AU654" s="330"/>
    </row>
    <row r="655" spans="2:47">
      <c r="B655" s="247">
        <f>'Table S2 Compound Identifiers'!C657</f>
        <v>0</v>
      </c>
      <c r="C655" s="247">
        <f>COUNTIF($D$6:D655,"&lt;&gt;"&amp;"")</f>
        <v>650</v>
      </c>
      <c r="D655" s="432">
        <f>'Table S2 Compound Identifiers'!B657</f>
        <v>0</v>
      </c>
      <c r="E655" s="247"/>
      <c r="F655" s="248"/>
      <c r="G655" s="249"/>
      <c r="H655" s="330"/>
      <c r="I655" s="328"/>
      <c r="J655" s="249"/>
      <c r="K655" s="330"/>
      <c r="L655" s="250"/>
      <c r="M655" s="249"/>
      <c r="N655" s="330"/>
      <c r="O655" s="250"/>
      <c r="P655" s="249"/>
      <c r="Q655" s="330"/>
      <c r="R655" s="250"/>
      <c r="S655" s="249"/>
      <c r="T655" s="330"/>
      <c r="U655" s="250"/>
      <c r="V655" s="249"/>
      <c r="W655" s="330"/>
      <c r="X655" s="343"/>
      <c r="Y655" s="249"/>
      <c r="Z655" s="330"/>
      <c r="AA655" s="343"/>
      <c r="AB655" s="249"/>
      <c r="AC655" s="330"/>
      <c r="AD655" s="343"/>
      <c r="AE655" s="249"/>
      <c r="AF655" s="330"/>
      <c r="AG655" s="343"/>
      <c r="AH655" s="249"/>
      <c r="AI655" s="330"/>
      <c r="AJ655" s="343"/>
      <c r="AK655" s="249"/>
      <c r="AL655" s="330"/>
      <c r="AM655" s="343"/>
      <c r="AN655" s="249"/>
      <c r="AO655" s="330"/>
      <c r="AP655" s="343"/>
      <c r="AQ655" s="249"/>
      <c r="AR655" s="330"/>
      <c r="AS655" s="343"/>
      <c r="AT655" s="249"/>
      <c r="AU655" s="330"/>
    </row>
    <row r="656" spans="2:47">
      <c r="B656" s="247">
        <f>'Table S2 Compound Identifiers'!C658</f>
        <v>0</v>
      </c>
      <c r="C656" s="247">
        <f>COUNTIF($D$6:D656,"&lt;&gt;"&amp;"")</f>
        <v>651</v>
      </c>
      <c r="D656" s="432">
        <f>'Table S2 Compound Identifiers'!B658</f>
        <v>0</v>
      </c>
      <c r="E656" s="247"/>
      <c r="F656" s="248"/>
      <c r="G656" s="249"/>
      <c r="H656" s="330"/>
      <c r="I656" s="328"/>
      <c r="J656" s="249"/>
      <c r="K656" s="330"/>
      <c r="L656" s="250"/>
      <c r="M656" s="249"/>
      <c r="N656" s="330"/>
      <c r="O656" s="250"/>
      <c r="P656" s="249"/>
      <c r="Q656" s="330"/>
      <c r="R656" s="250"/>
      <c r="S656" s="249"/>
      <c r="T656" s="330"/>
      <c r="U656" s="250"/>
      <c r="V656" s="249"/>
      <c r="W656" s="330"/>
      <c r="X656" s="343"/>
      <c r="Y656" s="249"/>
      <c r="Z656" s="330"/>
      <c r="AA656" s="343"/>
      <c r="AB656" s="249"/>
      <c r="AC656" s="330"/>
      <c r="AD656" s="343"/>
      <c r="AE656" s="249"/>
      <c r="AF656" s="330"/>
      <c r="AG656" s="343"/>
      <c r="AH656" s="249"/>
      <c r="AI656" s="330"/>
      <c r="AJ656" s="343"/>
      <c r="AK656" s="249"/>
      <c r="AL656" s="330"/>
      <c r="AM656" s="343"/>
      <c r="AN656" s="249"/>
      <c r="AO656" s="330"/>
      <c r="AP656" s="343"/>
      <c r="AQ656" s="249"/>
      <c r="AR656" s="330"/>
      <c r="AS656" s="343"/>
      <c r="AT656" s="249"/>
      <c r="AU656" s="330"/>
    </row>
    <row r="657" spans="2:47">
      <c r="B657" s="247">
        <f>'Table S2 Compound Identifiers'!C659</f>
        <v>0</v>
      </c>
      <c r="C657" s="247">
        <f>COUNTIF($D$6:D657,"&lt;&gt;"&amp;"")</f>
        <v>652</v>
      </c>
      <c r="D657" s="432">
        <f>'Table S2 Compound Identifiers'!B659</f>
        <v>0</v>
      </c>
      <c r="E657" s="247"/>
      <c r="F657" s="248"/>
      <c r="G657" s="249"/>
      <c r="H657" s="330"/>
      <c r="I657" s="328"/>
      <c r="J657" s="249"/>
      <c r="K657" s="330"/>
      <c r="L657" s="250"/>
      <c r="M657" s="249"/>
      <c r="N657" s="330"/>
      <c r="O657" s="250"/>
      <c r="P657" s="249"/>
      <c r="Q657" s="330"/>
      <c r="R657" s="250"/>
      <c r="S657" s="249"/>
      <c r="T657" s="330"/>
      <c r="U657" s="250"/>
      <c r="V657" s="249"/>
      <c r="W657" s="330"/>
      <c r="X657" s="343"/>
      <c r="Y657" s="249"/>
      <c r="Z657" s="330"/>
      <c r="AA657" s="343"/>
      <c r="AB657" s="249"/>
      <c r="AC657" s="330"/>
      <c r="AD657" s="343"/>
      <c r="AE657" s="249"/>
      <c r="AF657" s="330"/>
      <c r="AG657" s="343"/>
      <c r="AH657" s="249"/>
      <c r="AI657" s="330"/>
      <c r="AJ657" s="343"/>
      <c r="AK657" s="249"/>
      <c r="AL657" s="330"/>
      <c r="AM657" s="343"/>
      <c r="AN657" s="249"/>
      <c r="AO657" s="330"/>
      <c r="AP657" s="343"/>
      <c r="AQ657" s="249"/>
      <c r="AR657" s="330"/>
      <c r="AS657" s="343"/>
      <c r="AT657" s="249"/>
      <c r="AU657" s="330"/>
    </row>
    <row r="658" spans="2:47">
      <c r="B658" s="247">
        <f>'Table S2 Compound Identifiers'!C660</f>
        <v>0</v>
      </c>
      <c r="C658" s="247">
        <f>COUNTIF($D$6:D658,"&lt;&gt;"&amp;"")</f>
        <v>653</v>
      </c>
      <c r="D658" s="432">
        <f>'Table S2 Compound Identifiers'!B660</f>
        <v>0</v>
      </c>
      <c r="E658" s="247"/>
      <c r="F658" s="248"/>
      <c r="G658" s="249"/>
      <c r="H658" s="330"/>
      <c r="I658" s="328"/>
      <c r="J658" s="249"/>
      <c r="K658" s="330"/>
      <c r="L658" s="250"/>
      <c r="M658" s="249"/>
      <c r="N658" s="330"/>
      <c r="O658" s="250"/>
      <c r="P658" s="249"/>
      <c r="Q658" s="330"/>
      <c r="R658" s="250"/>
      <c r="S658" s="249"/>
      <c r="T658" s="330"/>
      <c r="U658" s="250"/>
      <c r="V658" s="249"/>
      <c r="W658" s="330"/>
      <c r="X658" s="343"/>
      <c r="Y658" s="249"/>
      <c r="Z658" s="330"/>
      <c r="AA658" s="343"/>
      <c r="AB658" s="249"/>
      <c r="AC658" s="330"/>
      <c r="AD658" s="343"/>
      <c r="AE658" s="249"/>
      <c r="AF658" s="330"/>
      <c r="AG658" s="343"/>
      <c r="AH658" s="249"/>
      <c r="AI658" s="330"/>
      <c r="AJ658" s="343"/>
      <c r="AK658" s="249"/>
      <c r="AL658" s="330"/>
      <c r="AM658" s="343"/>
      <c r="AN658" s="249"/>
      <c r="AO658" s="330"/>
      <c r="AP658" s="343"/>
      <c r="AQ658" s="249"/>
      <c r="AR658" s="330"/>
      <c r="AS658" s="343"/>
      <c r="AT658" s="249"/>
      <c r="AU658" s="330"/>
    </row>
    <row r="659" spans="2:47">
      <c r="B659" s="247">
        <f>'Table S2 Compound Identifiers'!C661</f>
        <v>0</v>
      </c>
      <c r="C659" s="247">
        <f>COUNTIF($D$6:D659,"&lt;&gt;"&amp;"")</f>
        <v>654</v>
      </c>
      <c r="D659" s="432">
        <f>'Table S2 Compound Identifiers'!B661</f>
        <v>0</v>
      </c>
      <c r="E659" s="247"/>
      <c r="F659" s="248"/>
      <c r="G659" s="249"/>
      <c r="H659" s="330"/>
      <c r="I659" s="328"/>
      <c r="J659" s="249"/>
      <c r="K659" s="330"/>
      <c r="L659" s="250"/>
      <c r="M659" s="249"/>
      <c r="N659" s="330"/>
      <c r="O659" s="250"/>
      <c r="P659" s="249"/>
      <c r="Q659" s="330"/>
      <c r="R659" s="250"/>
      <c r="S659" s="249"/>
      <c r="T659" s="330"/>
      <c r="U659" s="250"/>
      <c r="V659" s="249"/>
      <c r="W659" s="330"/>
      <c r="X659" s="343"/>
      <c r="Y659" s="249"/>
      <c r="Z659" s="330"/>
      <c r="AA659" s="343"/>
      <c r="AB659" s="249"/>
      <c r="AC659" s="330"/>
      <c r="AD659" s="343"/>
      <c r="AE659" s="249"/>
      <c r="AF659" s="330"/>
      <c r="AG659" s="343"/>
      <c r="AH659" s="249"/>
      <c r="AI659" s="330"/>
      <c r="AJ659" s="343"/>
      <c r="AK659" s="249"/>
      <c r="AL659" s="330"/>
      <c r="AM659" s="343"/>
      <c r="AN659" s="249"/>
      <c r="AO659" s="330"/>
      <c r="AP659" s="343"/>
      <c r="AQ659" s="249"/>
      <c r="AR659" s="330"/>
      <c r="AS659" s="343"/>
      <c r="AT659" s="249"/>
      <c r="AU659" s="330"/>
    </row>
    <row r="660" spans="2:47">
      <c r="B660" s="247">
        <f>'Table S2 Compound Identifiers'!C662</f>
        <v>0</v>
      </c>
      <c r="C660" s="247">
        <f>COUNTIF($D$6:D660,"&lt;&gt;"&amp;"")</f>
        <v>655</v>
      </c>
      <c r="D660" s="432">
        <f>'Table S2 Compound Identifiers'!B662</f>
        <v>0</v>
      </c>
      <c r="E660" s="247"/>
      <c r="F660" s="248"/>
      <c r="G660" s="249"/>
      <c r="H660" s="330"/>
      <c r="I660" s="328"/>
      <c r="J660" s="249"/>
      <c r="K660" s="330"/>
      <c r="L660" s="250"/>
      <c r="M660" s="249"/>
      <c r="N660" s="330"/>
      <c r="O660" s="250"/>
      <c r="P660" s="249"/>
      <c r="Q660" s="330"/>
      <c r="R660" s="250"/>
      <c r="S660" s="249"/>
      <c r="T660" s="330"/>
      <c r="U660" s="250"/>
      <c r="V660" s="249"/>
      <c r="W660" s="330"/>
      <c r="X660" s="343"/>
      <c r="Y660" s="249"/>
      <c r="Z660" s="330"/>
      <c r="AA660" s="343"/>
      <c r="AB660" s="249"/>
      <c r="AC660" s="330"/>
      <c r="AD660" s="343"/>
      <c r="AE660" s="249"/>
      <c r="AF660" s="330"/>
      <c r="AG660" s="343"/>
      <c r="AH660" s="249"/>
      <c r="AI660" s="330"/>
      <c r="AJ660" s="343"/>
      <c r="AK660" s="249"/>
      <c r="AL660" s="330"/>
      <c r="AM660" s="343"/>
      <c r="AN660" s="249"/>
      <c r="AO660" s="330"/>
      <c r="AP660" s="343"/>
      <c r="AQ660" s="249"/>
      <c r="AR660" s="330"/>
      <c r="AS660" s="343"/>
      <c r="AT660" s="249"/>
      <c r="AU660" s="330"/>
    </row>
    <row r="661" spans="2:47">
      <c r="B661" s="247">
        <f>'Table S2 Compound Identifiers'!C663</f>
        <v>0</v>
      </c>
      <c r="C661" s="247">
        <f>COUNTIF($D$6:D661,"&lt;&gt;"&amp;"")</f>
        <v>656</v>
      </c>
      <c r="D661" s="432">
        <f>'Table S2 Compound Identifiers'!B663</f>
        <v>0</v>
      </c>
      <c r="E661" s="247"/>
      <c r="F661" s="248"/>
      <c r="G661" s="249"/>
      <c r="H661" s="330"/>
      <c r="I661" s="328"/>
      <c r="J661" s="249"/>
      <c r="K661" s="330"/>
      <c r="L661" s="250"/>
      <c r="M661" s="249"/>
      <c r="N661" s="330"/>
      <c r="O661" s="250"/>
      <c r="P661" s="249"/>
      <c r="Q661" s="330"/>
      <c r="R661" s="250"/>
      <c r="S661" s="249"/>
      <c r="T661" s="330"/>
      <c r="U661" s="250"/>
      <c r="V661" s="249"/>
      <c r="W661" s="330"/>
      <c r="X661" s="343"/>
      <c r="Y661" s="249"/>
      <c r="Z661" s="330"/>
      <c r="AA661" s="343"/>
      <c r="AB661" s="249"/>
      <c r="AC661" s="330"/>
      <c r="AD661" s="343"/>
      <c r="AE661" s="249"/>
      <c r="AF661" s="330"/>
      <c r="AG661" s="343"/>
      <c r="AH661" s="249"/>
      <c r="AI661" s="330"/>
      <c r="AJ661" s="343"/>
      <c r="AK661" s="249"/>
      <c r="AL661" s="330"/>
      <c r="AM661" s="343"/>
      <c r="AN661" s="249"/>
      <c r="AO661" s="330"/>
      <c r="AP661" s="343"/>
      <c r="AQ661" s="249"/>
      <c r="AR661" s="330"/>
      <c r="AS661" s="343"/>
      <c r="AT661" s="249"/>
      <c r="AU661" s="330"/>
    </row>
    <row r="662" spans="2:47">
      <c r="B662" s="247">
        <f>'Table S2 Compound Identifiers'!C664</f>
        <v>0</v>
      </c>
      <c r="C662" s="247">
        <f>COUNTIF($D$6:D662,"&lt;&gt;"&amp;"")</f>
        <v>657</v>
      </c>
      <c r="D662" s="432">
        <f>'Table S2 Compound Identifiers'!B664</f>
        <v>0</v>
      </c>
      <c r="E662" s="247"/>
      <c r="F662" s="248"/>
      <c r="G662" s="249"/>
      <c r="H662" s="330"/>
      <c r="I662" s="328"/>
      <c r="J662" s="249"/>
      <c r="K662" s="330"/>
      <c r="L662" s="250"/>
      <c r="M662" s="249"/>
      <c r="N662" s="330"/>
      <c r="O662" s="250"/>
      <c r="P662" s="249"/>
      <c r="Q662" s="330"/>
      <c r="R662" s="250"/>
      <c r="S662" s="249"/>
      <c r="T662" s="330"/>
      <c r="U662" s="250"/>
      <c r="V662" s="249"/>
      <c r="W662" s="330"/>
      <c r="X662" s="343"/>
      <c r="Y662" s="249"/>
      <c r="Z662" s="330"/>
      <c r="AA662" s="343"/>
      <c r="AB662" s="249"/>
      <c r="AC662" s="330"/>
      <c r="AD662" s="343"/>
      <c r="AE662" s="249"/>
      <c r="AF662" s="330"/>
      <c r="AG662" s="343"/>
      <c r="AH662" s="249"/>
      <c r="AI662" s="330"/>
      <c r="AJ662" s="343"/>
      <c r="AK662" s="249"/>
      <c r="AL662" s="330"/>
      <c r="AM662" s="343"/>
      <c r="AN662" s="249"/>
      <c r="AO662" s="330"/>
      <c r="AP662" s="343"/>
      <c r="AQ662" s="249"/>
      <c r="AR662" s="330"/>
      <c r="AS662" s="343"/>
      <c r="AT662" s="249"/>
      <c r="AU662" s="330"/>
    </row>
    <row r="663" spans="2:47">
      <c r="B663" s="247">
        <f>'Table S2 Compound Identifiers'!C665</f>
        <v>0</v>
      </c>
      <c r="C663" s="247">
        <f>COUNTIF($D$6:D663,"&lt;&gt;"&amp;"")</f>
        <v>658</v>
      </c>
      <c r="D663" s="432">
        <f>'Table S2 Compound Identifiers'!B665</f>
        <v>0</v>
      </c>
      <c r="E663" s="247"/>
      <c r="F663" s="248"/>
      <c r="G663" s="249"/>
      <c r="H663" s="330"/>
      <c r="I663" s="328"/>
      <c r="J663" s="249"/>
      <c r="K663" s="330"/>
      <c r="L663" s="250"/>
      <c r="M663" s="249"/>
      <c r="N663" s="330"/>
      <c r="O663" s="250"/>
      <c r="P663" s="249"/>
      <c r="Q663" s="330"/>
      <c r="R663" s="250"/>
      <c r="S663" s="249"/>
      <c r="T663" s="330"/>
      <c r="U663" s="250"/>
      <c r="V663" s="249"/>
      <c r="W663" s="330"/>
      <c r="X663" s="343"/>
      <c r="Y663" s="249"/>
      <c r="Z663" s="330"/>
      <c r="AA663" s="343"/>
      <c r="AB663" s="249"/>
      <c r="AC663" s="330"/>
      <c r="AD663" s="343"/>
      <c r="AE663" s="249"/>
      <c r="AF663" s="330"/>
      <c r="AG663" s="343"/>
      <c r="AH663" s="249"/>
      <c r="AI663" s="330"/>
      <c r="AJ663" s="343"/>
      <c r="AK663" s="249"/>
      <c r="AL663" s="330"/>
      <c r="AM663" s="343"/>
      <c r="AN663" s="249"/>
      <c r="AO663" s="330"/>
      <c r="AP663" s="343"/>
      <c r="AQ663" s="249"/>
      <c r="AR663" s="330"/>
      <c r="AS663" s="343"/>
      <c r="AT663" s="249"/>
      <c r="AU663" s="330"/>
    </row>
    <row r="664" spans="2:47">
      <c r="B664" s="247">
        <f>'Table S2 Compound Identifiers'!C666</f>
        <v>0</v>
      </c>
      <c r="C664" s="247">
        <f>COUNTIF($D$6:D664,"&lt;&gt;"&amp;"")</f>
        <v>659</v>
      </c>
      <c r="D664" s="247">
        <f>'Table S2 Compound Identifiers'!B666</f>
        <v>0</v>
      </c>
      <c r="E664" s="247"/>
      <c r="F664" s="248"/>
      <c r="G664" s="249"/>
      <c r="H664" s="330"/>
      <c r="I664" s="328"/>
      <c r="J664" s="249"/>
      <c r="K664" s="330"/>
      <c r="L664" s="250"/>
      <c r="M664" s="249"/>
      <c r="N664" s="330"/>
      <c r="O664" s="250"/>
      <c r="P664" s="249"/>
      <c r="Q664" s="330"/>
      <c r="R664" s="250"/>
      <c r="S664" s="249"/>
      <c r="T664" s="330"/>
      <c r="U664" s="250"/>
      <c r="V664" s="249"/>
      <c r="W664" s="330"/>
      <c r="X664" s="343"/>
      <c r="Y664" s="249"/>
      <c r="Z664" s="330"/>
      <c r="AA664" s="343"/>
      <c r="AB664" s="249"/>
      <c r="AC664" s="330"/>
      <c r="AD664" s="343"/>
      <c r="AE664" s="249"/>
      <c r="AF664" s="330"/>
      <c r="AG664" s="343"/>
      <c r="AH664" s="249"/>
      <c r="AI664" s="330"/>
      <c r="AJ664" s="343"/>
      <c r="AK664" s="249"/>
      <c r="AL664" s="330"/>
      <c r="AM664" s="343"/>
      <c r="AN664" s="249"/>
      <c r="AO664" s="330"/>
      <c r="AP664" s="343"/>
      <c r="AQ664" s="249"/>
      <c r="AR664" s="330"/>
      <c r="AS664" s="343"/>
      <c r="AT664" s="249"/>
      <c r="AU664" s="330"/>
    </row>
    <row r="665" spans="2:47">
      <c r="B665" s="247">
        <f>'Table S2 Compound Identifiers'!C667</f>
        <v>0</v>
      </c>
      <c r="C665" s="247">
        <f>COUNTIF($D$6:D665,"&lt;&gt;"&amp;"")</f>
        <v>660</v>
      </c>
      <c r="D665" s="247">
        <f>'Table S2 Compound Identifiers'!B667</f>
        <v>0</v>
      </c>
      <c r="E665" s="247"/>
      <c r="F665" s="248"/>
      <c r="G665" s="249"/>
      <c r="H665" s="330"/>
      <c r="I665" s="328"/>
      <c r="J665" s="249"/>
      <c r="K665" s="330"/>
      <c r="L665" s="250"/>
      <c r="M665" s="249"/>
      <c r="N665" s="330"/>
      <c r="O665" s="250"/>
      <c r="P665" s="249"/>
      <c r="Q665" s="330"/>
      <c r="R665" s="250"/>
      <c r="S665" s="249"/>
      <c r="T665" s="330"/>
      <c r="U665" s="250"/>
      <c r="V665" s="249"/>
      <c r="W665" s="330"/>
      <c r="X665" s="343"/>
      <c r="Y665" s="249"/>
      <c r="Z665" s="330"/>
      <c r="AA665" s="343"/>
      <c r="AB665" s="249"/>
      <c r="AC665" s="330"/>
      <c r="AD665" s="343"/>
      <c r="AE665" s="249"/>
      <c r="AF665" s="330"/>
      <c r="AG665" s="343"/>
      <c r="AH665" s="249"/>
      <c r="AI665" s="330"/>
      <c r="AJ665" s="343"/>
      <c r="AK665" s="249"/>
      <c r="AL665" s="330"/>
      <c r="AM665" s="343"/>
      <c r="AN665" s="249"/>
      <c r="AO665" s="330"/>
      <c r="AP665" s="343"/>
      <c r="AQ665" s="249"/>
      <c r="AR665" s="330"/>
      <c r="AS665" s="343"/>
      <c r="AT665" s="249"/>
      <c r="AU665" s="330"/>
    </row>
    <row r="666" spans="2:47">
      <c r="B666" s="247">
        <f>'Table S2 Compound Identifiers'!C668</f>
        <v>0</v>
      </c>
      <c r="C666" s="247">
        <f>COUNTIF($D$6:D666,"&lt;&gt;"&amp;"")</f>
        <v>661</v>
      </c>
      <c r="D666" s="247">
        <f>'Table S2 Compound Identifiers'!B668</f>
        <v>0</v>
      </c>
      <c r="E666" s="247"/>
      <c r="F666" s="248"/>
      <c r="G666" s="249"/>
      <c r="H666" s="330"/>
      <c r="I666" s="328"/>
      <c r="J666" s="249"/>
      <c r="K666" s="330"/>
      <c r="L666" s="250"/>
      <c r="M666" s="249"/>
      <c r="N666" s="330"/>
      <c r="O666" s="250"/>
      <c r="P666" s="249"/>
      <c r="Q666" s="330"/>
      <c r="R666" s="250"/>
      <c r="S666" s="249"/>
      <c r="T666" s="330"/>
      <c r="U666" s="250"/>
      <c r="V666" s="249"/>
      <c r="W666" s="330"/>
      <c r="X666" s="343"/>
      <c r="Y666" s="249"/>
      <c r="Z666" s="330"/>
      <c r="AA666" s="343"/>
      <c r="AB666" s="249"/>
      <c r="AC666" s="330"/>
      <c r="AD666" s="343"/>
      <c r="AE666" s="249"/>
      <c r="AF666" s="330"/>
      <c r="AG666" s="343"/>
      <c r="AH666" s="249"/>
      <c r="AI666" s="330"/>
      <c r="AJ666" s="343"/>
      <c r="AK666" s="249"/>
      <c r="AL666" s="330"/>
      <c r="AM666" s="343"/>
      <c r="AN666" s="249"/>
      <c r="AO666" s="330"/>
      <c r="AP666" s="343"/>
      <c r="AQ666" s="249"/>
      <c r="AR666" s="330"/>
      <c r="AS666" s="343"/>
      <c r="AT666" s="249"/>
      <c r="AU666" s="330"/>
    </row>
    <row r="667" spans="2:47">
      <c r="B667" s="247">
        <f>'Table S2 Compound Identifiers'!C669</f>
        <v>0</v>
      </c>
      <c r="C667" s="247">
        <f>COUNTIF($D$6:D667,"&lt;&gt;"&amp;"")</f>
        <v>662</v>
      </c>
      <c r="D667" s="247">
        <f>'Table S2 Compound Identifiers'!B669</f>
        <v>0</v>
      </c>
      <c r="E667" s="247"/>
      <c r="F667" s="248"/>
      <c r="G667" s="249"/>
      <c r="H667" s="330"/>
      <c r="I667" s="328"/>
      <c r="J667" s="249"/>
      <c r="K667" s="330"/>
      <c r="L667" s="250"/>
      <c r="M667" s="249"/>
      <c r="N667" s="330"/>
      <c r="O667" s="250"/>
      <c r="P667" s="249"/>
      <c r="Q667" s="330"/>
      <c r="R667" s="250"/>
      <c r="S667" s="249"/>
      <c r="T667" s="330"/>
      <c r="U667" s="250"/>
      <c r="V667" s="249"/>
      <c r="W667" s="330"/>
      <c r="X667" s="343"/>
      <c r="Y667" s="249"/>
      <c r="Z667" s="330"/>
      <c r="AA667" s="343"/>
      <c r="AB667" s="249"/>
      <c r="AC667" s="330"/>
      <c r="AD667" s="343"/>
      <c r="AE667" s="249"/>
      <c r="AF667" s="330"/>
      <c r="AG667" s="343"/>
      <c r="AH667" s="249"/>
      <c r="AI667" s="330"/>
      <c r="AJ667" s="343"/>
      <c r="AK667" s="249"/>
      <c r="AL667" s="330"/>
      <c r="AM667" s="343"/>
      <c r="AN667" s="249"/>
      <c r="AO667" s="330"/>
      <c r="AP667" s="343"/>
      <c r="AQ667" s="249"/>
      <c r="AR667" s="330"/>
      <c r="AS667" s="343"/>
      <c r="AT667" s="249"/>
      <c r="AU667" s="330"/>
    </row>
    <row r="668" spans="2:47">
      <c r="B668" s="247">
        <f>'Table S2 Compound Identifiers'!C670</f>
        <v>0</v>
      </c>
      <c r="C668" s="247">
        <f>COUNTIF($D$6:D668,"&lt;&gt;"&amp;"")</f>
        <v>663</v>
      </c>
      <c r="D668" s="247">
        <f>'Table S2 Compound Identifiers'!B670</f>
        <v>0</v>
      </c>
      <c r="E668" s="247"/>
      <c r="F668" s="248"/>
      <c r="G668" s="249"/>
      <c r="H668" s="330"/>
      <c r="I668" s="328"/>
      <c r="J668" s="249"/>
      <c r="K668" s="330"/>
      <c r="L668" s="250"/>
      <c r="M668" s="249"/>
      <c r="N668" s="330"/>
      <c r="O668" s="250"/>
      <c r="P668" s="249"/>
      <c r="Q668" s="330"/>
      <c r="R668" s="250"/>
      <c r="S668" s="249"/>
      <c r="T668" s="330"/>
      <c r="U668" s="250"/>
      <c r="V668" s="249"/>
      <c r="W668" s="330"/>
      <c r="X668" s="343"/>
      <c r="Y668" s="249"/>
      <c r="Z668" s="330"/>
      <c r="AA668" s="343"/>
      <c r="AB668" s="249"/>
      <c r="AC668" s="330"/>
      <c r="AD668" s="343"/>
      <c r="AE668" s="249"/>
      <c r="AF668" s="330"/>
      <c r="AG668" s="343"/>
      <c r="AH668" s="249"/>
      <c r="AI668" s="330"/>
      <c r="AJ668" s="343"/>
      <c r="AK668" s="249"/>
      <c r="AL668" s="330"/>
      <c r="AM668" s="343"/>
      <c r="AN668" s="249"/>
      <c r="AO668" s="330"/>
      <c r="AP668" s="343"/>
      <c r="AQ668" s="249"/>
      <c r="AR668" s="330"/>
      <c r="AS668" s="343"/>
      <c r="AT668" s="249"/>
      <c r="AU668" s="330"/>
    </row>
    <row r="669" spans="2:47">
      <c r="B669" s="247">
        <f>'Table S2 Compound Identifiers'!C671</f>
        <v>0</v>
      </c>
      <c r="C669" s="247">
        <f>COUNTIF($D$6:D669,"&lt;&gt;"&amp;"")</f>
        <v>664</v>
      </c>
      <c r="D669" s="247">
        <f>'Table S2 Compound Identifiers'!B671</f>
        <v>0</v>
      </c>
      <c r="E669" s="247"/>
      <c r="F669" s="248"/>
      <c r="G669" s="249"/>
      <c r="H669" s="330"/>
      <c r="I669" s="328"/>
      <c r="J669" s="249"/>
      <c r="K669" s="330"/>
      <c r="L669" s="250"/>
      <c r="M669" s="249"/>
      <c r="N669" s="330"/>
      <c r="O669" s="250"/>
      <c r="P669" s="249"/>
      <c r="Q669" s="330"/>
      <c r="R669" s="250"/>
      <c r="S669" s="249"/>
      <c r="T669" s="330"/>
      <c r="U669" s="250"/>
      <c r="V669" s="249"/>
      <c r="W669" s="330"/>
      <c r="X669" s="343"/>
      <c r="Y669" s="249"/>
      <c r="Z669" s="330"/>
      <c r="AA669" s="343"/>
      <c r="AB669" s="249"/>
      <c r="AC669" s="330"/>
      <c r="AD669" s="343"/>
      <c r="AE669" s="249"/>
      <c r="AF669" s="330"/>
      <c r="AG669" s="343"/>
      <c r="AH669" s="249"/>
      <c r="AI669" s="330"/>
      <c r="AJ669" s="343"/>
      <c r="AK669" s="249"/>
      <c r="AL669" s="330"/>
      <c r="AM669" s="343"/>
      <c r="AN669" s="249"/>
      <c r="AO669" s="330"/>
      <c r="AP669" s="343"/>
      <c r="AQ669" s="249"/>
      <c r="AR669" s="330"/>
      <c r="AS669" s="343"/>
      <c r="AT669" s="249"/>
      <c r="AU669" s="330"/>
    </row>
    <row r="670" spans="2:47">
      <c r="B670" s="247">
        <f>'Table S2 Compound Identifiers'!C672</f>
        <v>0</v>
      </c>
      <c r="C670" s="247">
        <f>COUNTIF($D$6:D670,"&lt;&gt;"&amp;"")</f>
        <v>665</v>
      </c>
      <c r="D670" s="247">
        <f>'Table S2 Compound Identifiers'!B672</f>
        <v>0</v>
      </c>
      <c r="E670" s="247"/>
      <c r="F670" s="248"/>
      <c r="G670" s="249"/>
      <c r="H670" s="330"/>
      <c r="I670" s="328"/>
      <c r="J670" s="249"/>
      <c r="K670" s="330"/>
      <c r="L670" s="250"/>
      <c r="M670" s="249"/>
      <c r="N670" s="330"/>
      <c r="O670" s="251"/>
      <c r="P670" s="252"/>
      <c r="Q670" s="330"/>
      <c r="R670" s="251"/>
      <c r="S670" s="252"/>
      <c r="T670" s="330"/>
      <c r="U670" s="251"/>
      <c r="V670" s="252"/>
      <c r="W670" s="330"/>
      <c r="X670" s="343"/>
      <c r="Y670" s="249"/>
      <c r="Z670" s="330"/>
      <c r="AA670" s="343"/>
      <c r="AB670" s="249"/>
      <c r="AC670" s="330"/>
      <c r="AD670" s="343"/>
      <c r="AE670" s="249"/>
      <c r="AF670" s="330"/>
      <c r="AG670" s="343"/>
      <c r="AH670" s="249"/>
      <c r="AI670" s="330"/>
      <c r="AJ670" s="343"/>
      <c r="AK670" s="249"/>
      <c r="AL670" s="330"/>
      <c r="AM670" s="343"/>
      <c r="AN670" s="249"/>
      <c r="AO670" s="330"/>
      <c r="AP670" s="343"/>
      <c r="AQ670" s="249"/>
      <c r="AR670" s="330"/>
      <c r="AS670" s="343"/>
      <c r="AT670" s="249"/>
      <c r="AU670" s="330"/>
    </row>
    <row r="671" spans="2:47">
      <c r="B671" s="247">
        <f>'Table S2 Compound Identifiers'!C673</f>
        <v>0</v>
      </c>
      <c r="C671" s="253">
        <f>COUNTIF($D$6:D671,"&lt;&gt;"&amp;"")</f>
        <v>666</v>
      </c>
      <c r="D671" s="253">
        <f>'Table S2 Compound Identifiers'!B673</f>
        <v>0</v>
      </c>
      <c r="E671" s="253"/>
      <c r="F671" s="254"/>
      <c r="G671" s="252"/>
      <c r="H671" s="330"/>
      <c r="I671" s="333"/>
      <c r="J671" s="252"/>
      <c r="K671" s="330"/>
      <c r="L671" s="251"/>
      <c r="M671" s="252"/>
      <c r="N671" s="330"/>
      <c r="O671" s="251"/>
      <c r="P671" s="252"/>
      <c r="Q671" s="330"/>
      <c r="R671" s="251"/>
      <c r="S671" s="252"/>
      <c r="T671" s="330"/>
      <c r="U671" s="251"/>
      <c r="V671" s="252"/>
      <c r="W671" s="330"/>
      <c r="X671" s="343"/>
      <c r="Y671" s="249"/>
      <c r="Z671" s="330"/>
      <c r="AA671" s="343"/>
      <c r="AB671" s="249"/>
      <c r="AC671" s="330"/>
      <c r="AD671" s="343"/>
      <c r="AE671" s="249"/>
      <c r="AF671" s="330"/>
      <c r="AG671" s="343"/>
      <c r="AH671" s="249"/>
      <c r="AI671" s="330"/>
      <c r="AJ671" s="343"/>
      <c r="AK671" s="249"/>
      <c r="AL671" s="330"/>
      <c r="AM671" s="343"/>
      <c r="AN671" s="249"/>
      <c r="AO671" s="330"/>
      <c r="AP671" s="343"/>
      <c r="AQ671" s="249"/>
      <c r="AR671" s="330"/>
      <c r="AS671" s="343"/>
      <c r="AT671" s="249"/>
      <c r="AU671" s="330"/>
    </row>
    <row r="672" spans="2:47">
      <c r="B672" s="247">
        <f>'Table S2 Compound Identifiers'!C674</f>
        <v>0</v>
      </c>
      <c r="C672" s="247">
        <f>COUNTIF($D$6:D672,"&lt;&gt;"&amp;"")</f>
        <v>667</v>
      </c>
      <c r="D672" s="247">
        <f>'Table S2 Compound Identifiers'!B674</f>
        <v>0</v>
      </c>
      <c r="E672" s="247"/>
      <c r="F672" s="248"/>
      <c r="G672" s="250"/>
      <c r="H672" s="330"/>
      <c r="I672" s="343"/>
      <c r="J672" s="249"/>
      <c r="K672" s="327"/>
      <c r="L672" s="343"/>
      <c r="M672" s="249"/>
      <c r="N672" s="327"/>
      <c r="O672" s="343"/>
      <c r="P672" s="249"/>
      <c r="Q672" s="327"/>
      <c r="R672" s="343"/>
      <c r="S672" s="249"/>
      <c r="T672" s="327"/>
      <c r="U672" s="343"/>
      <c r="V672" s="249"/>
      <c r="W672" s="327"/>
      <c r="X672" s="343"/>
      <c r="Y672" s="249"/>
      <c r="Z672" s="327"/>
      <c r="AA672" s="343"/>
      <c r="AB672" s="249"/>
      <c r="AC672" s="343"/>
      <c r="AD672" s="343"/>
      <c r="AE672" s="249"/>
      <c r="AF672" s="249"/>
      <c r="AG672" s="343"/>
      <c r="AH672" s="249"/>
      <c r="AI672" s="343"/>
      <c r="AJ672" s="343"/>
      <c r="AK672" s="249"/>
      <c r="AL672" s="249"/>
      <c r="AM672" s="343"/>
      <c r="AN672" s="249"/>
      <c r="AO672" s="343"/>
      <c r="AP672" s="343"/>
      <c r="AQ672" s="249"/>
      <c r="AR672" s="249"/>
      <c r="AS672" s="343"/>
      <c r="AT672" s="249"/>
      <c r="AU672" s="343"/>
    </row>
    <row r="673" spans="2:47">
      <c r="B673" s="247">
        <f>'Table S2 Compound Identifiers'!C675</f>
        <v>0</v>
      </c>
      <c r="C673" s="247">
        <f>COUNTIF($D$6:D673,"&lt;&gt;"&amp;"")</f>
        <v>668</v>
      </c>
      <c r="D673" s="247">
        <f>'Table S2 Compound Identifiers'!B675</f>
        <v>0</v>
      </c>
      <c r="E673" s="247"/>
      <c r="F673" s="248"/>
      <c r="G673" s="249"/>
      <c r="H673" s="330"/>
      <c r="I673" s="332"/>
      <c r="J673" s="330"/>
      <c r="K673" s="330"/>
      <c r="L673" s="330"/>
      <c r="M673" s="330"/>
      <c r="N673" s="330"/>
      <c r="O673" s="330"/>
      <c r="P673" s="330"/>
      <c r="Q673" s="330"/>
      <c r="R673" s="330"/>
      <c r="S673" s="330"/>
      <c r="T673" s="330"/>
      <c r="U673" s="330"/>
      <c r="V673" s="330"/>
      <c r="W673" s="330"/>
      <c r="X673" s="343"/>
      <c r="Y673" s="249"/>
      <c r="Z673" s="330"/>
      <c r="AA673" s="343"/>
      <c r="AB673" s="249"/>
      <c r="AC673" s="330"/>
      <c r="AD673" s="343"/>
      <c r="AE673" s="249"/>
      <c r="AF673" s="330"/>
      <c r="AG673" s="343"/>
      <c r="AH673" s="249"/>
      <c r="AI673" s="330"/>
      <c r="AJ673" s="343"/>
      <c r="AK673" s="249"/>
      <c r="AL673" s="330"/>
      <c r="AM673" s="343"/>
      <c r="AN673" s="249"/>
      <c r="AO673" s="330"/>
      <c r="AP673" s="343"/>
      <c r="AQ673" s="249"/>
      <c r="AR673" s="330"/>
      <c r="AS673" s="343"/>
      <c r="AT673" s="249"/>
      <c r="AU673" s="330"/>
    </row>
    <row r="674" spans="2:47">
      <c r="B674" s="247">
        <f>'Table S2 Compound Identifiers'!C676</f>
        <v>0</v>
      </c>
      <c r="C674" s="247">
        <f>COUNTIF($D$6:D674,"&lt;&gt;"&amp;"")</f>
        <v>669</v>
      </c>
      <c r="D674" s="247">
        <f>'Table S2 Compound Identifiers'!B676</f>
        <v>0</v>
      </c>
      <c r="E674" s="247"/>
      <c r="F674" s="248"/>
      <c r="G674" s="249"/>
      <c r="H674" s="330"/>
      <c r="I674" s="332"/>
      <c r="J674" s="330"/>
      <c r="K674" s="330"/>
      <c r="L674" s="330"/>
      <c r="M674" s="330"/>
      <c r="N674" s="330"/>
      <c r="O674" s="330"/>
      <c r="P674" s="330"/>
      <c r="Q674" s="330"/>
      <c r="R674" s="330"/>
      <c r="S674" s="330"/>
      <c r="T674" s="330"/>
      <c r="U674" s="330"/>
      <c r="V674" s="330"/>
      <c r="W674" s="330"/>
      <c r="X674" s="343"/>
      <c r="Y674" s="249"/>
      <c r="Z674" s="330"/>
      <c r="AA674" s="343"/>
      <c r="AB674" s="249"/>
      <c r="AC674" s="330"/>
      <c r="AD674" s="343"/>
      <c r="AE674" s="249"/>
      <c r="AF674" s="330"/>
      <c r="AG674" s="343"/>
      <c r="AH674" s="249"/>
      <c r="AI674" s="330"/>
      <c r="AJ674" s="343"/>
      <c r="AK674" s="249"/>
      <c r="AL674" s="330"/>
      <c r="AM674" s="343"/>
      <c r="AN674" s="249"/>
      <c r="AO674" s="330"/>
      <c r="AP674" s="343"/>
      <c r="AQ674" s="249"/>
      <c r="AR674" s="330"/>
      <c r="AS674" s="343"/>
      <c r="AT674" s="249"/>
      <c r="AU674" s="330"/>
    </row>
    <row r="675" spans="2:47">
      <c r="B675" s="247">
        <f>'Table S2 Compound Identifiers'!C677</f>
        <v>0</v>
      </c>
      <c r="C675" s="247">
        <f>COUNTIF($D$6:D675,"&lt;&gt;"&amp;"")</f>
        <v>670</v>
      </c>
      <c r="D675" s="247">
        <f>'Table S2 Compound Identifiers'!B677</f>
        <v>0</v>
      </c>
      <c r="E675" s="247"/>
      <c r="F675" s="248"/>
      <c r="G675" s="249"/>
      <c r="H675" s="330"/>
      <c r="I675" s="332"/>
      <c r="J675" s="330"/>
      <c r="K675" s="330"/>
      <c r="L675" s="330"/>
      <c r="M675" s="330"/>
      <c r="N675" s="330"/>
      <c r="O675" s="330"/>
      <c r="P675" s="330"/>
      <c r="Q675" s="330"/>
      <c r="R675" s="330"/>
      <c r="S675" s="330"/>
      <c r="T675" s="330"/>
      <c r="U675" s="330"/>
      <c r="V675" s="330"/>
      <c r="W675" s="330"/>
      <c r="X675" s="343"/>
      <c r="Y675" s="249"/>
      <c r="Z675" s="330"/>
      <c r="AA675" s="343"/>
      <c r="AB675" s="249"/>
      <c r="AC675" s="330"/>
      <c r="AD675" s="343"/>
      <c r="AE675" s="249"/>
      <c r="AF675" s="330"/>
      <c r="AG675" s="343"/>
      <c r="AH675" s="249"/>
      <c r="AI675" s="330"/>
      <c r="AJ675" s="343"/>
      <c r="AK675" s="249"/>
      <c r="AL675" s="330"/>
      <c r="AM675" s="343"/>
      <c r="AN675" s="249"/>
      <c r="AO675" s="330"/>
      <c r="AP675" s="343"/>
      <c r="AQ675" s="249"/>
      <c r="AR675" s="330"/>
      <c r="AS675" s="343"/>
      <c r="AT675" s="249"/>
      <c r="AU675" s="330"/>
    </row>
    <row r="676" spans="2:47">
      <c r="B676" s="247">
        <f>'Table S2 Compound Identifiers'!C678</f>
        <v>0</v>
      </c>
      <c r="C676" s="247">
        <f>COUNTIF($D$6:D676,"&lt;&gt;"&amp;"")</f>
        <v>671</v>
      </c>
      <c r="D676" s="247">
        <f>'Table S2 Compound Identifiers'!B678</f>
        <v>0</v>
      </c>
      <c r="E676" s="247"/>
      <c r="F676" s="248"/>
      <c r="G676" s="249"/>
      <c r="H676" s="330"/>
      <c r="I676" s="328"/>
      <c r="J676" s="249"/>
      <c r="K676" s="330"/>
      <c r="L676" s="250"/>
      <c r="M676" s="249"/>
      <c r="N676" s="330"/>
      <c r="O676" s="250"/>
      <c r="P676" s="249"/>
      <c r="Q676" s="330"/>
      <c r="R676" s="250"/>
      <c r="S676" s="249"/>
      <c r="T676" s="330"/>
      <c r="U676" s="250"/>
      <c r="V676" s="249"/>
      <c r="W676" s="330"/>
      <c r="X676" s="343"/>
      <c r="Y676" s="249"/>
      <c r="Z676" s="330"/>
      <c r="AA676" s="343"/>
      <c r="AB676" s="249"/>
      <c r="AC676" s="330"/>
      <c r="AD676" s="343"/>
      <c r="AE676" s="249"/>
      <c r="AF676" s="330"/>
      <c r="AG676" s="343"/>
      <c r="AH676" s="249"/>
      <c r="AI676" s="330"/>
      <c r="AJ676" s="343"/>
      <c r="AK676" s="249"/>
      <c r="AL676" s="330"/>
      <c r="AM676" s="343"/>
      <c r="AN676" s="249"/>
      <c r="AO676" s="330"/>
      <c r="AP676" s="343"/>
      <c r="AQ676" s="249"/>
      <c r="AR676" s="330"/>
      <c r="AS676" s="343"/>
      <c r="AT676" s="249"/>
      <c r="AU676" s="330"/>
    </row>
    <row r="677" spans="2:47">
      <c r="B677" s="247">
        <f>'Table S2 Compound Identifiers'!C679</f>
        <v>0</v>
      </c>
      <c r="C677" s="247">
        <f>COUNTIF($D$6:D677,"&lt;&gt;"&amp;"")</f>
        <v>672</v>
      </c>
      <c r="D677" s="247">
        <f>'Table S2 Compound Identifiers'!B679</f>
        <v>0</v>
      </c>
      <c r="E677" s="247"/>
      <c r="F677" s="248"/>
      <c r="G677" s="249"/>
      <c r="H677" s="330"/>
      <c r="I677" s="328"/>
      <c r="J677" s="249"/>
      <c r="K677" s="330"/>
      <c r="L677" s="250"/>
      <c r="M677" s="249"/>
      <c r="N677" s="330"/>
      <c r="O677" s="250"/>
      <c r="P677" s="249"/>
      <c r="Q677" s="330"/>
      <c r="R677" s="250"/>
      <c r="S677" s="249"/>
      <c r="T677" s="330"/>
      <c r="U677" s="250"/>
      <c r="V677" s="249"/>
      <c r="W677" s="330"/>
      <c r="X677" s="343"/>
      <c r="Y677" s="249"/>
      <c r="Z677" s="330"/>
      <c r="AA677" s="343"/>
      <c r="AB677" s="249"/>
      <c r="AC677" s="330"/>
      <c r="AD677" s="343"/>
      <c r="AE677" s="249"/>
      <c r="AF677" s="330"/>
      <c r="AG677" s="343"/>
      <c r="AH677" s="249"/>
      <c r="AI677" s="330"/>
      <c r="AJ677" s="343"/>
      <c r="AK677" s="249"/>
      <c r="AL677" s="330"/>
      <c r="AM677" s="343"/>
      <c r="AN677" s="249"/>
      <c r="AO677" s="330"/>
      <c r="AP677" s="343"/>
      <c r="AQ677" s="249"/>
      <c r="AR677" s="330"/>
      <c r="AS677" s="343"/>
      <c r="AT677" s="249"/>
      <c r="AU677" s="330"/>
    </row>
    <row r="678" spans="2:47">
      <c r="B678" s="247">
        <f>'Table S2 Compound Identifiers'!C680</f>
        <v>0</v>
      </c>
      <c r="C678" s="247">
        <f>COUNTIF($D$6:D678,"&lt;&gt;"&amp;"")</f>
        <v>673</v>
      </c>
      <c r="D678" s="247">
        <f>'Table S2 Compound Identifiers'!B680</f>
        <v>0</v>
      </c>
      <c r="E678" s="247"/>
      <c r="F678" s="248"/>
      <c r="G678" s="249"/>
      <c r="H678" s="330"/>
      <c r="I678" s="328"/>
      <c r="J678" s="249"/>
      <c r="K678" s="330"/>
      <c r="L678" s="250"/>
      <c r="M678" s="249"/>
      <c r="N678" s="330"/>
      <c r="O678" s="250"/>
      <c r="P678" s="249"/>
      <c r="Q678" s="330"/>
      <c r="R678" s="250"/>
      <c r="S678" s="249"/>
      <c r="T678" s="330"/>
      <c r="U678" s="250"/>
      <c r="V678" s="249"/>
      <c r="W678" s="330"/>
      <c r="X678" s="343"/>
      <c r="Y678" s="249"/>
      <c r="Z678" s="330"/>
      <c r="AA678" s="343"/>
      <c r="AB678" s="249"/>
      <c r="AC678" s="330"/>
      <c r="AD678" s="343"/>
      <c r="AE678" s="249"/>
      <c r="AF678" s="330"/>
      <c r="AG678" s="343"/>
      <c r="AH678" s="249"/>
      <c r="AI678" s="330"/>
      <c r="AJ678" s="343"/>
      <c r="AK678" s="249"/>
      <c r="AL678" s="330"/>
      <c r="AM678" s="343"/>
      <c r="AN678" s="249"/>
      <c r="AO678" s="330"/>
      <c r="AP678" s="343"/>
      <c r="AQ678" s="249"/>
      <c r="AR678" s="330"/>
      <c r="AS678" s="343"/>
      <c r="AT678" s="249"/>
      <c r="AU678" s="330"/>
    </row>
    <row r="679" spans="2:47">
      <c r="B679" s="247">
        <f>'Table S2 Compound Identifiers'!C681</f>
        <v>0</v>
      </c>
      <c r="C679" s="247">
        <f>COUNTIF($D$6:D679,"&lt;&gt;"&amp;"")</f>
        <v>674</v>
      </c>
      <c r="D679" s="247">
        <f>'Table S2 Compound Identifiers'!B681</f>
        <v>0</v>
      </c>
      <c r="E679" s="247"/>
      <c r="F679" s="248"/>
      <c r="G679" s="249"/>
      <c r="H679" s="330"/>
      <c r="I679" s="328"/>
      <c r="J679" s="249"/>
      <c r="K679" s="330"/>
      <c r="L679" s="250"/>
      <c r="M679" s="249"/>
      <c r="N679" s="330"/>
      <c r="O679" s="250"/>
      <c r="P679" s="249"/>
      <c r="Q679" s="330"/>
      <c r="R679" s="250"/>
      <c r="S679" s="249"/>
      <c r="T679" s="330"/>
      <c r="U679" s="250"/>
      <c r="V679" s="249"/>
      <c r="W679" s="330"/>
      <c r="X679" s="343"/>
      <c r="Y679" s="249"/>
      <c r="Z679" s="330"/>
      <c r="AA679" s="343"/>
      <c r="AB679" s="249"/>
      <c r="AC679" s="330"/>
      <c r="AD679" s="343"/>
      <c r="AE679" s="249"/>
      <c r="AF679" s="330"/>
      <c r="AG679" s="343"/>
      <c r="AH679" s="249"/>
      <c r="AI679" s="330"/>
      <c r="AJ679" s="343"/>
      <c r="AK679" s="249"/>
      <c r="AL679" s="330"/>
      <c r="AM679" s="343"/>
      <c r="AN679" s="249"/>
      <c r="AO679" s="330"/>
      <c r="AP679" s="343"/>
      <c r="AQ679" s="249"/>
      <c r="AR679" s="330"/>
      <c r="AS679" s="343"/>
      <c r="AT679" s="249"/>
      <c r="AU679" s="330"/>
    </row>
    <row r="680" spans="2:47">
      <c r="B680" s="247">
        <f>'Table S2 Compound Identifiers'!C682</f>
        <v>0</v>
      </c>
      <c r="C680" s="247">
        <f>COUNTIF($D$6:D680,"&lt;&gt;"&amp;"")</f>
        <v>675</v>
      </c>
      <c r="D680" s="247">
        <f>'Table S2 Compound Identifiers'!B682</f>
        <v>0</v>
      </c>
      <c r="E680" s="247"/>
      <c r="F680" s="248"/>
      <c r="G680" s="249"/>
      <c r="H680" s="330"/>
      <c r="I680" s="328"/>
      <c r="J680" s="249"/>
      <c r="K680" s="330"/>
      <c r="L680" s="250"/>
      <c r="M680" s="249"/>
      <c r="N680" s="330"/>
      <c r="O680" s="250"/>
      <c r="P680" s="249"/>
      <c r="Q680" s="330"/>
      <c r="R680" s="250"/>
      <c r="S680" s="249"/>
      <c r="T680" s="330"/>
      <c r="U680" s="250"/>
      <c r="V680" s="249"/>
      <c r="W680" s="330"/>
      <c r="X680" s="343"/>
      <c r="Y680" s="249"/>
      <c r="Z680" s="330"/>
      <c r="AA680" s="343"/>
      <c r="AB680" s="249"/>
      <c r="AC680" s="330"/>
      <c r="AD680" s="343"/>
      <c r="AE680" s="249"/>
      <c r="AF680" s="330"/>
      <c r="AG680" s="343"/>
      <c r="AH680" s="249"/>
      <c r="AI680" s="330"/>
      <c r="AJ680" s="343"/>
      <c r="AK680" s="249"/>
      <c r="AL680" s="330"/>
      <c r="AM680" s="343"/>
      <c r="AN680" s="249"/>
      <c r="AO680" s="330"/>
      <c r="AP680" s="343"/>
      <c r="AQ680" s="249"/>
      <c r="AR680" s="330"/>
      <c r="AS680" s="343"/>
      <c r="AT680" s="249"/>
      <c r="AU680" s="330"/>
    </row>
    <row r="681" spans="2:47">
      <c r="B681" s="247">
        <f>'Table S2 Compound Identifiers'!C683</f>
        <v>0</v>
      </c>
      <c r="C681" s="247">
        <f>COUNTIF($D$6:D681,"&lt;&gt;"&amp;"")</f>
        <v>676</v>
      </c>
      <c r="D681" s="247">
        <f>'Table S2 Compound Identifiers'!B683</f>
        <v>0</v>
      </c>
      <c r="E681" s="247"/>
      <c r="F681" s="248"/>
      <c r="G681" s="249"/>
      <c r="H681" s="330"/>
      <c r="I681" s="328"/>
      <c r="J681" s="249"/>
      <c r="K681" s="330"/>
      <c r="L681" s="250"/>
      <c r="M681" s="249"/>
      <c r="N681" s="330"/>
      <c r="O681" s="250"/>
      <c r="P681" s="249"/>
      <c r="Q681" s="330"/>
      <c r="R681" s="250"/>
      <c r="S681" s="249"/>
      <c r="T681" s="330"/>
      <c r="U681" s="250"/>
      <c r="V681" s="249"/>
      <c r="W681" s="330"/>
      <c r="X681" s="343"/>
      <c r="Y681" s="249"/>
      <c r="Z681" s="330"/>
      <c r="AA681" s="343"/>
      <c r="AB681" s="249"/>
      <c r="AC681" s="330"/>
      <c r="AD681" s="343"/>
      <c r="AE681" s="249"/>
      <c r="AF681" s="330"/>
      <c r="AG681" s="343"/>
      <c r="AH681" s="249"/>
      <c r="AI681" s="330"/>
      <c r="AJ681" s="343"/>
      <c r="AK681" s="249"/>
      <c r="AL681" s="330"/>
      <c r="AM681" s="343"/>
      <c r="AN681" s="249"/>
      <c r="AO681" s="330"/>
      <c r="AP681" s="343"/>
      <c r="AQ681" s="249"/>
      <c r="AR681" s="330"/>
      <c r="AS681" s="343"/>
      <c r="AT681" s="249"/>
      <c r="AU681" s="330"/>
    </row>
    <row r="682" spans="2:47">
      <c r="B682" s="247">
        <f>'Table S2 Compound Identifiers'!C684</f>
        <v>0</v>
      </c>
      <c r="C682" s="247">
        <f>COUNTIF($D$6:D682,"&lt;&gt;"&amp;"")</f>
        <v>677</v>
      </c>
      <c r="D682" s="247">
        <f>'Table S2 Compound Identifiers'!B684</f>
        <v>0</v>
      </c>
      <c r="E682" s="247"/>
      <c r="F682" s="248"/>
      <c r="G682" s="249"/>
      <c r="H682" s="330"/>
      <c r="I682" s="328"/>
      <c r="J682" s="249"/>
      <c r="K682" s="330"/>
      <c r="L682" s="250"/>
      <c r="M682" s="249"/>
      <c r="N682" s="330"/>
      <c r="O682" s="250"/>
      <c r="P682" s="249"/>
      <c r="Q682" s="330"/>
      <c r="R682" s="250"/>
      <c r="S682" s="249"/>
      <c r="T682" s="330"/>
      <c r="U682" s="250"/>
      <c r="V682" s="249"/>
      <c r="W682" s="330"/>
      <c r="X682" s="343"/>
      <c r="Y682" s="249"/>
      <c r="Z682" s="330"/>
      <c r="AA682" s="343"/>
      <c r="AB682" s="249"/>
      <c r="AC682" s="330"/>
      <c r="AD682" s="343"/>
      <c r="AE682" s="249"/>
      <c r="AF682" s="330"/>
      <c r="AG682" s="343"/>
      <c r="AH682" s="249"/>
      <c r="AI682" s="330"/>
      <c r="AJ682" s="343"/>
      <c r="AK682" s="249"/>
      <c r="AL682" s="330"/>
      <c r="AM682" s="343"/>
      <c r="AN682" s="249"/>
      <c r="AO682" s="330"/>
      <c r="AP682" s="343"/>
      <c r="AQ682" s="249"/>
      <c r="AR682" s="330"/>
      <c r="AS682" s="343"/>
      <c r="AT682" s="249"/>
      <c r="AU682" s="330"/>
    </row>
    <row r="683" spans="2:47">
      <c r="B683" s="247">
        <f>'Table S2 Compound Identifiers'!C685</f>
        <v>0</v>
      </c>
      <c r="C683" s="247">
        <f>COUNTIF($D$6:D683,"&lt;&gt;"&amp;"")</f>
        <v>678</v>
      </c>
      <c r="D683" s="247">
        <f>'Table S2 Compound Identifiers'!B685</f>
        <v>0</v>
      </c>
      <c r="E683" s="247"/>
      <c r="F683" s="248"/>
      <c r="G683" s="249"/>
      <c r="H683" s="330"/>
      <c r="I683" s="328"/>
      <c r="J683" s="249"/>
      <c r="K683" s="330"/>
      <c r="L683" s="250"/>
      <c r="M683" s="249"/>
      <c r="N683" s="330"/>
      <c r="O683" s="250"/>
      <c r="P683" s="249"/>
      <c r="Q683" s="330"/>
      <c r="R683" s="250"/>
      <c r="S683" s="249"/>
      <c r="T683" s="330"/>
      <c r="U683" s="250"/>
      <c r="V683" s="249"/>
      <c r="W683" s="330"/>
      <c r="X683" s="343"/>
      <c r="Y683" s="249"/>
      <c r="Z683" s="330"/>
      <c r="AA683" s="343"/>
      <c r="AB683" s="249"/>
      <c r="AC683" s="330"/>
      <c r="AD683" s="343"/>
      <c r="AE683" s="249"/>
      <c r="AF683" s="330"/>
      <c r="AG683" s="343"/>
      <c r="AH683" s="249"/>
      <c r="AI683" s="330"/>
      <c r="AJ683" s="343"/>
      <c r="AK683" s="249"/>
      <c r="AL683" s="330"/>
      <c r="AM683" s="343"/>
      <c r="AN683" s="249"/>
      <c r="AO683" s="330"/>
      <c r="AP683" s="343"/>
      <c r="AQ683" s="249"/>
      <c r="AR683" s="330"/>
      <c r="AS683" s="343"/>
      <c r="AT683" s="249"/>
      <c r="AU683" s="330"/>
    </row>
    <row r="684" spans="2:47">
      <c r="B684" s="247">
        <f>'Table S2 Compound Identifiers'!C686</f>
        <v>0</v>
      </c>
      <c r="C684" s="247">
        <f>COUNTIF($D$6:D684,"&lt;&gt;"&amp;"")</f>
        <v>679</v>
      </c>
      <c r="D684" s="247">
        <f>'Table S2 Compound Identifiers'!B686</f>
        <v>0</v>
      </c>
      <c r="E684" s="247"/>
      <c r="F684" s="248"/>
      <c r="G684" s="249"/>
      <c r="H684" s="330"/>
      <c r="I684" s="328"/>
      <c r="J684" s="249"/>
      <c r="K684" s="330"/>
      <c r="L684" s="250"/>
      <c r="M684" s="249"/>
      <c r="N684" s="330"/>
      <c r="O684" s="250"/>
      <c r="P684" s="249"/>
      <c r="Q684" s="330"/>
      <c r="R684" s="250"/>
      <c r="S684" s="249"/>
      <c r="T684" s="330"/>
      <c r="U684" s="250"/>
      <c r="V684" s="249"/>
      <c r="W684" s="330"/>
      <c r="X684" s="343"/>
      <c r="Y684" s="249"/>
      <c r="Z684" s="330"/>
      <c r="AA684" s="343"/>
      <c r="AB684" s="249"/>
      <c r="AC684" s="330"/>
      <c r="AD684" s="343"/>
      <c r="AE684" s="249"/>
      <c r="AF684" s="330"/>
      <c r="AG684" s="343"/>
      <c r="AH684" s="249"/>
      <c r="AI684" s="330"/>
      <c r="AJ684" s="343"/>
      <c r="AK684" s="249"/>
      <c r="AL684" s="330"/>
      <c r="AM684" s="343"/>
      <c r="AN684" s="249"/>
      <c r="AO684" s="330"/>
      <c r="AP684" s="343"/>
      <c r="AQ684" s="249"/>
      <c r="AR684" s="330"/>
      <c r="AS684" s="343"/>
      <c r="AT684" s="249"/>
      <c r="AU684" s="330"/>
    </row>
    <row r="685" spans="2:47">
      <c r="B685" s="247">
        <f>'Table S2 Compound Identifiers'!C687</f>
        <v>0</v>
      </c>
      <c r="C685" s="247">
        <f>COUNTIF($D$6:D685,"&lt;&gt;"&amp;"")</f>
        <v>680</v>
      </c>
      <c r="D685" s="247">
        <f>'Table S2 Compound Identifiers'!B687</f>
        <v>0</v>
      </c>
      <c r="E685" s="247"/>
      <c r="F685" s="248"/>
      <c r="G685" s="249"/>
      <c r="H685" s="330"/>
      <c r="I685" s="328"/>
      <c r="J685" s="249"/>
      <c r="K685" s="330"/>
      <c r="L685" s="250"/>
      <c r="M685" s="249"/>
      <c r="N685" s="330"/>
      <c r="O685" s="250"/>
      <c r="P685" s="249"/>
      <c r="Q685" s="330"/>
      <c r="R685" s="250"/>
      <c r="S685" s="249"/>
      <c r="T685" s="330"/>
      <c r="U685" s="250"/>
      <c r="V685" s="249"/>
      <c r="W685" s="330"/>
      <c r="X685" s="343"/>
      <c r="Y685" s="249"/>
      <c r="Z685" s="330"/>
      <c r="AA685" s="343"/>
      <c r="AB685" s="249"/>
      <c r="AC685" s="330"/>
      <c r="AD685" s="343"/>
      <c r="AE685" s="249"/>
      <c r="AF685" s="330"/>
      <c r="AG685" s="343"/>
      <c r="AH685" s="249"/>
      <c r="AI685" s="330"/>
      <c r="AJ685" s="343"/>
      <c r="AK685" s="249"/>
      <c r="AL685" s="330"/>
      <c r="AM685" s="343"/>
      <c r="AN685" s="249"/>
      <c r="AO685" s="330"/>
      <c r="AP685" s="343"/>
      <c r="AQ685" s="249"/>
      <c r="AR685" s="330"/>
      <c r="AS685" s="343"/>
      <c r="AT685" s="249"/>
      <c r="AU685" s="330"/>
    </row>
    <row r="686" spans="2:47">
      <c r="B686" s="247">
        <f>'Table S2 Compound Identifiers'!C688</f>
        <v>0</v>
      </c>
      <c r="C686" s="247">
        <f>COUNTIF($D$6:D686,"&lt;&gt;"&amp;"")</f>
        <v>681</v>
      </c>
      <c r="D686" s="247">
        <f>'Table S2 Compound Identifiers'!B688</f>
        <v>0</v>
      </c>
      <c r="E686" s="247"/>
      <c r="F686" s="248"/>
      <c r="G686" s="249"/>
      <c r="H686" s="330"/>
      <c r="I686" s="328"/>
      <c r="J686" s="249"/>
      <c r="K686" s="330"/>
      <c r="L686" s="250"/>
      <c r="M686" s="249"/>
      <c r="N686" s="330"/>
      <c r="O686" s="250"/>
      <c r="P686" s="249"/>
      <c r="Q686" s="330"/>
      <c r="R686" s="250"/>
      <c r="S686" s="249"/>
      <c r="T686" s="330"/>
      <c r="U686" s="250"/>
      <c r="V686" s="249"/>
      <c r="W686" s="330"/>
      <c r="X686" s="343"/>
      <c r="Y686" s="249"/>
      <c r="Z686" s="330"/>
      <c r="AA686" s="343"/>
      <c r="AB686" s="249"/>
      <c r="AC686" s="330"/>
      <c r="AD686" s="343"/>
      <c r="AE686" s="249"/>
      <c r="AF686" s="330"/>
      <c r="AG686" s="343"/>
      <c r="AH686" s="249"/>
      <c r="AI686" s="330"/>
      <c r="AJ686" s="343"/>
      <c r="AK686" s="249"/>
      <c r="AL686" s="330"/>
      <c r="AM686" s="343"/>
      <c r="AN686" s="249"/>
      <c r="AO686" s="330"/>
      <c r="AP686" s="343"/>
      <c r="AQ686" s="249"/>
      <c r="AR686" s="330"/>
      <c r="AS686" s="343"/>
      <c r="AT686" s="249"/>
      <c r="AU686" s="330"/>
    </row>
    <row r="687" spans="2:47">
      <c r="B687" s="247">
        <f>'Table S2 Compound Identifiers'!C689</f>
        <v>0</v>
      </c>
      <c r="C687" s="247">
        <f>COUNTIF($D$6:D687,"&lt;&gt;"&amp;"")</f>
        <v>682</v>
      </c>
      <c r="D687" s="247">
        <f>'Table S2 Compound Identifiers'!B689</f>
        <v>0</v>
      </c>
      <c r="E687" s="247"/>
      <c r="F687" s="248"/>
      <c r="G687" s="249"/>
      <c r="H687" s="330"/>
      <c r="I687" s="328"/>
      <c r="J687" s="249"/>
      <c r="K687" s="330"/>
      <c r="L687" s="250"/>
      <c r="M687" s="249"/>
      <c r="N687" s="330"/>
      <c r="O687" s="250"/>
      <c r="P687" s="249"/>
      <c r="Q687" s="330"/>
      <c r="R687" s="250"/>
      <c r="S687" s="249"/>
      <c r="T687" s="330"/>
      <c r="U687" s="250"/>
      <c r="V687" s="249"/>
      <c r="W687" s="330"/>
      <c r="X687" s="343"/>
      <c r="Y687" s="249"/>
      <c r="Z687" s="330"/>
      <c r="AA687" s="343"/>
      <c r="AB687" s="249"/>
      <c r="AC687" s="330"/>
      <c r="AD687" s="343"/>
      <c r="AE687" s="249"/>
      <c r="AF687" s="330"/>
      <c r="AG687" s="343"/>
      <c r="AH687" s="249"/>
      <c r="AI687" s="330"/>
      <c r="AJ687" s="343"/>
      <c r="AK687" s="249"/>
      <c r="AL687" s="330"/>
      <c r="AM687" s="343"/>
      <c r="AN687" s="249"/>
      <c r="AO687" s="330"/>
      <c r="AP687" s="343"/>
      <c r="AQ687" s="249"/>
      <c r="AR687" s="330"/>
      <c r="AS687" s="343"/>
      <c r="AT687" s="249"/>
      <c r="AU687" s="330"/>
    </row>
    <row r="688" spans="2:47">
      <c r="B688" s="247">
        <f>'Table S2 Compound Identifiers'!C690</f>
        <v>0</v>
      </c>
      <c r="C688" s="247">
        <f>COUNTIF($D$6:D688,"&lt;&gt;"&amp;"")</f>
        <v>683</v>
      </c>
      <c r="D688" s="247">
        <f>'Table S2 Compound Identifiers'!B690</f>
        <v>0</v>
      </c>
      <c r="E688" s="247"/>
      <c r="F688" s="248"/>
      <c r="G688" s="249"/>
      <c r="H688" s="330"/>
      <c r="I688" s="328"/>
      <c r="J688" s="249"/>
      <c r="K688" s="330"/>
      <c r="L688" s="250"/>
      <c r="M688" s="249"/>
      <c r="N688" s="330"/>
      <c r="O688" s="250"/>
      <c r="P688" s="249"/>
      <c r="Q688" s="330"/>
      <c r="R688" s="250"/>
      <c r="S688" s="249"/>
      <c r="T688" s="330"/>
      <c r="U688" s="250"/>
      <c r="V688" s="249"/>
      <c r="W688" s="330"/>
      <c r="X688" s="343"/>
      <c r="Y688" s="249"/>
      <c r="Z688" s="330"/>
      <c r="AA688" s="343"/>
      <c r="AB688" s="249"/>
      <c r="AC688" s="330"/>
      <c r="AD688" s="343"/>
      <c r="AE688" s="249"/>
      <c r="AF688" s="330"/>
      <c r="AG688" s="343"/>
      <c r="AH688" s="249"/>
      <c r="AI688" s="330"/>
      <c r="AJ688" s="343"/>
      <c r="AK688" s="249"/>
      <c r="AL688" s="330"/>
      <c r="AM688" s="343"/>
      <c r="AN688" s="249"/>
      <c r="AO688" s="330"/>
      <c r="AP688" s="343"/>
      <c r="AQ688" s="249"/>
      <c r="AR688" s="330"/>
      <c r="AS688" s="343"/>
      <c r="AT688" s="249"/>
      <c r="AU688" s="330"/>
    </row>
    <row r="689" spans="2:47">
      <c r="B689" s="247">
        <f>'Table S2 Compound Identifiers'!C691</f>
        <v>0</v>
      </c>
      <c r="C689" s="247">
        <f>COUNTIF($D$6:D689,"&lt;&gt;"&amp;"")</f>
        <v>684</v>
      </c>
      <c r="D689" s="247">
        <f>'Table S2 Compound Identifiers'!B691</f>
        <v>0</v>
      </c>
      <c r="E689" s="247"/>
      <c r="F689" s="248"/>
      <c r="G689" s="249"/>
      <c r="H689" s="330"/>
      <c r="I689" s="328"/>
      <c r="J689" s="249"/>
      <c r="K689" s="330"/>
      <c r="L689" s="250"/>
      <c r="M689" s="249"/>
      <c r="N689" s="330"/>
      <c r="O689" s="250"/>
      <c r="P689" s="249"/>
      <c r="Q689" s="330"/>
      <c r="R689" s="250"/>
      <c r="S689" s="249"/>
      <c r="T689" s="330"/>
      <c r="U689" s="250"/>
      <c r="V689" s="249"/>
      <c r="W689" s="330"/>
      <c r="X689" s="343"/>
      <c r="Y689" s="249"/>
      <c r="Z689" s="330"/>
      <c r="AA689" s="343"/>
      <c r="AB689" s="249"/>
      <c r="AC689" s="330"/>
      <c r="AD689" s="343"/>
      <c r="AE689" s="249"/>
      <c r="AF689" s="330"/>
      <c r="AG689" s="343"/>
      <c r="AH689" s="249"/>
      <c r="AI689" s="330"/>
      <c r="AJ689" s="343"/>
      <c r="AK689" s="249"/>
      <c r="AL689" s="330"/>
      <c r="AM689" s="343"/>
      <c r="AN689" s="249"/>
      <c r="AO689" s="330"/>
      <c r="AP689" s="343"/>
      <c r="AQ689" s="249"/>
      <c r="AR689" s="330"/>
      <c r="AS689" s="343"/>
      <c r="AT689" s="249"/>
      <c r="AU689" s="330"/>
    </row>
    <row r="690" spans="2:47">
      <c r="B690" s="247">
        <f>'Table S2 Compound Identifiers'!C692</f>
        <v>0</v>
      </c>
      <c r="C690" s="247">
        <f>COUNTIF($D$6:D690,"&lt;&gt;"&amp;"")</f>
        <v>685</v>
      </c>
      <c r="D690" s="247">
        <f>'Table S2 Compound Identifiers'!B692</f>
        <v>0</v>
      </c>
      <c r="E690" s="247"/>
      <c r="F690" s="248"/>
      <c r="G690" s="249"/>
      <c r="H690" s="330"/>
      <c r="I690" s="328"/>
      <c r="J690" s="249"/>
      <c r="K690" s="330"/>
      <c r="L690" s="250"/>
      <c r="M690" s="249"/>
      <c r="N690" s="330"/>
      <c r="O690" s="250"/>
      <c r="P690" s="249"/>
      <c r="Q690" s="330"/>
      <c r="R690" s="250"/>
      <c r="S690" s="249"/>
      <c r="T690" s="330"/>
      <c r="U690" s="250"/>
      <c r="V690" s="249"/>
      <c r="W690" s="330"/>
      <c r="X690" s="343"/>
      <c r="Y690" s="249"/>
      <c r="Z690" s="330"/>
      <c r="AA690" s="343"/>
      <c r="AB690" s="249"/>
      <c r="AC690" s="330"/>
      <c r="AD690" s="343"/>
      <c r="AE690" s="249"/>
      <c r="AF690" s="330"/>
      <c r="AG690" s="343"/>
      <c r="AH690" s="249"/>
      <c r="AI690" s="330"/>
      <c r="AJ690" s="343"/>
      <c r="AK690" s="249"/>
      <c r="AL690" s="330"/>
      <c r="AM690" s="343"/>
      <c r="AN690" s="249"/>
      <c r="AO690" s="330"/>
      <c r="AP690" s="343"/>
      <c r="AQ690" s="249"/>
      <c r="AR690" s="330"/>
      <c r="AS690" s="343"/>
      <c r="AT690" s="249"/>
      <c r="AU690" s="330"/>
    </row>
    <row r="691" spans="2:47">
      <c r="B691" s="247">
        <f>'Table S2 Compound Identifiers'!C693</f>
        <v>0</v>
      </c>
      <c r="C691" s="247">
        <f>COUNTIF($D$6:D691,"&lt;&gt;"&amp;"")</f>
        <v>686</v>
      </c>
      <c r="D691" s="247">
        <f>'Table S2 Compound Identifiers'!B693</f>
        <v>0</v>
      </c>
      <c r="E691" s="247"/>
      <c r="F691" s="248"/>
      <c r="G691" s="249"/>
      <c r="H691" s="330"/>
      <c r="I691" s="328"/>
      <c r="J691" s="249"/>
      <c r="K691" s="330"/>
      <c r="L691" s="250"/>
      <c r="M691" s="249"/>
      <c r="N691" s="330"/>
      <c r="O691" s="250"/>
      <c r="P691" s="249"/>
      <c r="Q691" s="330"/>
      <c r="R691" s="250"/>
      <c r="S691" s="249"/>
      <c r="T691" s="330"/>
      <c r="U691" s="250"/>
      <c r="V691" s="249"/>
      <c r="W691" s="330"/>
      <c r="X691" s="343"/>
      <c r="Y691" s="249"/>
      <c r="Z691" s="330"/>
      <c r="AA691" s="343"/>
      <c r="AB691" s="249"/>
      <c r="AC691" s="330"/>
      <c r="AD691" s="343"/>
      <c r="AE691" s="249"/>
      <c r="AF691" s="330"/>
      <c r="AG691" s="343"/>
      <c r="AH691" s="249"/>
      <c r="AI691" s="330"/>
      <c r="AJ691" s="343"/>
      <c r="AK691" s="249"/>
      <c r="AL691" s="330"/>
      <c r="AM691" s="343"/>
      <c r="AN691" s="249"/>
      <c r="AO691" s="330"/>
      <c r="AP691" s="343"/>
      <c r="AQ691" s="249"/>
      <c r="AR691" s="330"/>
      <c r="AS691" s="343"/>
      <c r="AT691" s="249"/>
      <c r="AU691" s="330"/>
    </row>
    <row r="692" spans="2:47">
      <c r="B692" s="247">
        <f>'Table S2 Compound Identifiers'!C694</f>
        <v>0</v>
      </c>
      <c r="C692" s="247">
        <f>COUNTIF($D$6:D692,"&lt;&gt;"&amp;"")</f>
        <v>687</v>
      </c>
      <c r="D692" s="247">
        <f>'Table S2 Compound Identifiers'!B694</f>
        <v>0</v>
      </c>
      <c r="E692" s="247"/>
      <c r="F692" s="248"/>
      <c r="G692" s="249"/>
      <c r="H692" s="330"/>
      <c r="I692" s="328"/>
      <c r="J692" s="249"/>
      <c r="K692" s="330"/>
      <c r="L692" s="250"/>
      <c r="M692" s="249"/>
      <c r="N692" s="330"/>
      <c r="O692" s="250"/>
      <c r="P692" s="249"/>
      <c r="Q692" s="330"/>
      <c r="R692" s="250"/>
      <c r="S692" s="249"/>
      <c r="T692" s="330"/>
      <c r="U692" s="250"/>
      <c r="V692" s="249"/>
      <c r="W692" s="330"/>
      <c r="X692" s="343"/>
      <c r="Y692" s="249"/>
      <c r="Z692" s="330"/>
      <c r="AA692" s="343"/>
      <c r="AB692" s="249"/>
      <c r="AC692" s="330"/>
      <c r="AD692" s="343"/>
      <c r="AE692" s="249"/>
      <c r="AF692" s="330"/>
      <c r="AG692" s="343"/>
      <c r="AH692" s="249"/>
      <c r="AI692" s="330"/>
      <c r="AJ692" s="343"/>
      <c r="AK692" s="249"/>
      <c r="AL692" s="330"/>
      <c r="AM692" s="343"/>
      <c r="AN692" s="249"/>
      <c r="AO692" s="330"/>
      <c r="AP692" s="343"/>
      <c r="AQ692" s="249"/>
      <c r="AR692" s="330"/>
      <c r="AS692" s="343"/>
      <c r="AT692" s="249"/>
      <c r="AU692" s="330"/>
    </row>
    <row r="693" spans="2:47">
      <c r="B693" s="247">
        <f>'Table S2 Compound Identifiers'!C695</f>
        <v>0</v>
      </c>
      <c r="C693" s="247">
        <f>COUNTIF($D$6:D693,"&lt;&gt;"&amp;"")</f>
        <v>688</v>
      </c>
      <c r="D693" s="247">
        <f>'Table S2 Compound Identifiers'!B695</f>
        <v>0</v>
      </c>
      <c r="E693" s="247"/>
      <c r="F693" s="248"/>
      <c r="G693" s="249"/>
      <c r="H693" s="330"/>
      <c r="I693" s="328"/>
      <c r="J693" s="249"/>
      <c r="K693" s="330"/>
      <c r="L693" s="250"/>
      <c r="M693" s="249"/>
      <c r="N693" s="330"/>
      <c r="O693" s="250"/>
      <c r="P693" s="249"/>
      <c r="Q693" s="330"/>
      <c r="R693" s="250"/>
      <c r="S693" s="249"/>
      <c r="T693" s="330"/>
      <c r="U693" s="250"/>
      <c r="V693" s="249"/>
      <c r="W693" s="330"/>
      <c r="X693" s="343"/>
      <c r="Y693" s="249"/>
      <c r="Z693" s="330"/>
      <c r="AA693" s="343"/>
      <c r="AB693" s="249"/>
      <c r="AC693" s="330"/>
      <c r="AD693" s="343"/>
      <c r="AE693" s="249"/>
      <c r="AF693" s="330"/>
      <c r="AG693" s="343"/>
      <c r="AH693" s="249"/>
      <c r="AI693" s="330"/>
      <c r="AJ693" s="343"/>
      <c r="AK693" s="249"/>
      <c r="AL693" s="330"/>
      <c r="AM693" s="343"/>
      <c r="AN693" s="249"/>
      <c r="AO693" s="330"/>
      <c r="AP693" s="343"/>
      <c r="AQ693" s="249"/>
      <c r="AR693" s="330"/>
      <c r="AS693" s="343"/>
      <c r="AT693" s="249"/>
      <c r="AU693" s="330"/>
    </row>
    <row r="694" spans="2:47">
      <c r="B694" s="247">
        <f>'Table S2 Compound Identifiers'!C696</f>
        <v>0</v>
      </c>
      <c r="C694" s="247">
        <f>COUNTIF($D$6:D694,"&lt;&gt;"&amp;"")</f>
        <v>689</v>
      </c>
      <c r="D694" s="247">
        <f>'Table S2 Compound Identifiers'!B696</f>
        <v>0</v>
      </c>
      <c r="E694" s="247"/>
      <c r="F694" s="248"/>
      <c r="G694" s="249"/>
      <c r="H694" s="330"/>
      <c r="I694" s="328"/>
      <c r="J694" s="249"/>
      <c r="K694" s="330"/>
      <c r="L694" s="250"/>
      <c r="M694" s="249"/>
      <c r="N694" s="330"/>
      <c r="O694" s="250"/>
      <c r="P694" s="249"/>
      <c r="Q694" s="330"/>
      <c r="R694" s="250"/>
      <c r="S694" s="249"/>
      <c r="T694" s="330"/>
      <c r="U694" s="250"/>
      <c r="V694" s="249"/>
      <c r="W694" s="330"/>
      <c r="X694" s="343"/>
      <c r="Y694" s="249"/>
      <c r="Z694" s="330"/>
      <c r="AA694" s="343"/>
      <c r="AB694" s="249"/>
      <c r="AC694" s="330"/>
      <c r="AD694" s="343"/>
      <c r="AE694" s="249"/>
      <c r="AF694" s="330"/>
      <c r="AG694" s="343"/>
      <c r="AH694" s="249"/>
      <c r="AI694" s="330"/>
      <c r="AJ694" s="343"/>
      <c r="AK694" s="249"/>
      <c r="AL694" s="330"/>
      <c r="AM694" s="343"/>
      <c r="AN694" s="249"/>
      <c r="AO694" s="330"/>
      <c r="AP694" s="343"/>
      <c r="AQ694" s="249"/>
      <c r="AR694" s="330"/>
      <c r="AS694" s="343"/>
      <c r="AT694" s="249"/>
      <c r="AU694" s="330"/>
    </row>
    <row r="695" spans="2:47">
      <c r="B695" s="247">
        <f>'Table S2 Compound Identifiers'!C697</f>
        <v>0</v>
      </c>
      <c r="C695" s="247">
        <f>COUNTIF($D$6:D695,"&lt;&gt;"&amp;"")</f>
        <v>690</v>
      </c>
      <c r="D695" s="247">
        <f>'Table S2 Compound Identifiers'!B697</f>
        <v>0</v>
      </c>
      <c r="E695" s="247"/>
      <c r="F695" s="248"/>
      <c r="G695" s="249"/>
      <c r="H695" s="330"/>
      <c r="I695" s="328"/>
      <c r="J695" s="249"/>
      <c r="K695" s="330"/>
      <c r="L695" s="250"/>
      <c r="M695" s="249"/>
      <c r="N695" s="330"/>
      <c r="O695" s="250"/>
      <c r="P695" s="249"/>
      <c r="Q695" s="330"/>
      <c r="R695" s="250"/>
      <c r="S695" s="249"/>
      <c r="T695" s="330"/>
      <c r="U695" s="250"/>
      <c r="V695" s="249"/>
      <c r="W695" s="330"/>
      <c r="X695" s="343"/>
      <c r="Y695" s="249"/>
      <c r="Z695" s="330"/>
      <c r="AA695" s="343"/>
      <c r="AB695" s="249"/>
      <c r="AC695" s="330"/>
      <c r="AD695" s="343"/>
      <c r="AE695" s="249"/>
      <c r="AF695" s="330"/>
      <c r="AG695" s="343"/>
      <c r="AH695" s="249"/>
      <c r="AI695" s="330"/>
      <c r="AJ695" s="343"/>
      <c r="AK695" s="249"/>
      <c r="AL695" s="330"/>
      <c r="AM695" s="343"/>
      <c r="AN695" s="249"/>
      <c r="AO695" s="330"/>
      <c r="AP695" s="343"/>
      <c r="AQ695" s="249"/>
      <c r="AR695" s="330"/>
      <c r="AS695" s="343"/>
      <c r="AT695" s="249"/>
      <c r="AU695" s="330"/>
    </row>
    <row r="696" spans="2:47">
      <c r="B696" s="247">
        <f>'Table S2 Compound Identifiers'!C698</f>
        <v>0</v>
      </c>
      <c r="C696" s="247">
        <f>COUNTIF($D$6:D696,"&lt;&gt;"&amp;"")</f>
        <v>691</v>
      </c>
      <c r="D696" s="247">
        <f>'Table S2 Compound Identifiers'!B698</f>
        <v>0</v>
      </c>
      <c r="E696" s="247"/>
      <c r="F696" s="248"/>
      <c r="G696" s="249"/>
      <c r="H696" s="330"/>
      <c r="I696" s="328"/>
      <c r="J696" s="249"/>
      <c r="K696" s="330"/>
      <c r="L696" s="250"/>
      <c r="M696" s="249"/>
      <c r="N696" s="330"/>
      <c r="O696" s="250"/>
      <c r="P696" s="249"/>
      <c r="Q696" s="330"/>
      <c r="R696" s="250"/>
      <c r="S696" s="249"/>
      <c r="T696" s="330"/>
      <c r="U696" s="250"/>
      <c r="V696" s="249"/>
      <c r="W696" s="330"/>
      <c r="X696" s="343"/>
      <c r="Y696" s="249"/>
      <c r="Z696" s="330"/>
      <c r="AA696" s="343"/>
      <c r="AB696" s="249"/>
      <c r="AC696" s="330"/>
      <c r="AD696" s="343"/>
      <c r="AE696" s="249"/>
      <c r="AF696" s="330"/>
      <c r="AG696" s="343"/>
      <c r="AH696" s="249"/>
      <c r="AI696" s="330"/>
      <c r="AJ696" s="343"/>
      <c r="AK696" s="249"/>
      <c r="AL696" s="330"/>
      <c r="AM696" s="343"/>
      <c r="AN696" s="249"/>
      <c r="AO696" s="330"/>
      <c r="AP696" s="343"/>
      <c r="AQ696" s="249"/>
      <c r="AR696" s="330"/>
      <c r="AS696" s="343"/>
      <c r="AT696" s="249"/>
      <c r="AU696" s="330"/>
    </row>
    <row r="697" spans="2:47">
      <c r="B697" s="247">
        <f>'Table S2 Compound Identifiers'!C699</f>
        <v>0</v>
      </c>
      <c r="C697" s="247">
        <f>COUNTIF($D$6:D697,"&lt;&gt;"&amp;"")</f>
        <v>692</v>
      </c>
      <c r="D697" s="247">
        <f>'Table S2 Compound Identifiers'!B699</f>
        <v>0</v>
      </c>
      <c r="E697" s="247"/>
      <c r="F697" s="248"/>
      <c r="G697" s="249"/>
      <c r="H697" s="330"/>
      <c r="I697" s="328"/>
      <c r="J697" s="249"/>
      <c r="K697" s="330"/>
      <c r="L697" s="250"/>
      <c r="M697" s="249"/>
      <c r="N697" s="330"/>
      <c r="O697" s="250"/>
      <c r="P697" s="249"/>
      <c r="Q697" s="330"/>
      <c r="R697" s="250"/>
      <c r="S697" s="249"/>
      <c r="T697" s="330"/>
      <c r="U697" s="250"/>
      <c r="V697" s="249"/>
      <c r="W697" s="330"/>
      <c r="X697" s="343"/>
      <c r="Y697" s="249"/>
      <c r="Z697" s="330"/>
      <c r="AA697" s="343"/>
      <c r="AB697" s="249"/>
      <c r="AC697" s="330"/>
      <c r="AD697" s="343"/>
      <c r="AE697" s="249"/>
      <c r="AF697" s="330"/>
      <c r="AG697" s="343"/>
      <c r="AH697" s="249"/>
      <c r="AI697" s="330"/>
      <c r="AJ697" s="343"/>
      <c r="AK697" s="249"/>
      <c r="AL697" s="330"/>
      <c r="AM697" s="343"/>
      <c r="AN697" s="249"/>
      <c r="AO697" s="330"/>
      <c r="AP697" s="343"/>
      <c r="AQ697" s="249"/>
      <c r="AR697" s="330"/>
      <c r="AS697" s="343"/>
      <c r="AT697" s="249"/>
      <c r="AU697" s="330"/>
    </row>
    <row r="698" spans="2:47">
      <c r="B698" s="247">
        <f>'Table S2 Compound Identifiers'!C700</f>
        <v>0</v>
      </c>
      <c r="C698" s="247">
        <f>COUNTIF($D$6:D698,"&lt;&gt;"&amp;"")</f>
        <v>693</v>
      </c>
      <c r="D698" s="247">
        <f>'Table S2 Compound Identifiers'!B700</f>
        <v>0</v>
      </c>
      <c r="E698" s="247"/>
      <c r="F698" s="248"/>
      <c r="G698" s="249"/>
      <c r="H698" s="330"/>
      <c r="I698" s="328"/>
      <c r="J698" s="249"/>
      <c r="K698" s="330"/>
      <c r="L698" s="250"/>
      <c r="M698" s="249"/>
      <c r="N698" s="330"/>
      <c r="O698" s="250"/>
      <c r="P698" s="249"/>
      <c r="Q698" s="330"/>
      <c r="R698" s="250"/>
      <c r="S698" s="249"/>
      <c r="T698" s="330"/>
      <c r="U698" s="250"/>
      <c r="V698" s="249"/>
      <c r="W698" s="330"/>
      <c r="X698" s="343"/>
      <c r="Y698" s="249"/>
      <c r="Z698" s="330"/>
      <c r="AA698" s="343"/>
      <c r="AB698" s="249"/>
      <c r="AC698" s="330"/>
      <c r="AD698" s="343"/>
      <c r="AE698" s="249"/>
      <c r="AF698" s="330"/>
      <c r="AG698" s="343"/>
      <c r="AH698" s="249"/>
      <c r="AI698" s="330"/>
      <c r="AJ698" s="343"/>
      <c r="AK698" s="249"/>
      <c r="AL698" s="330"/>
      <c r="AM698" s="343"/>
      <c r="AN698" s="249"/>
      <c r="AO698" s="330"/>
      <c r="AP698" s="343"/>
      <c r="AQ698" s="249"/>
      <c r="AR698" s="330"/>
      <c r="AS698" s="343"/>
      <c r="AT698" s="249"/>
      <c r="AU698" s="330"/>
    </row>
    <row r="699" spans="2:47">
      <c r="B699" s="247">
        <f>'Table S2 Compound Identifiers'!C701</f>
        <v>0</v>
      </c>
      <c r="C699" s="247">
        <f>COUNTIF($D$6:D699,"&lt;&gt;"&amp;"")</f>
        <v>694</v>
      </c>
      <c r="D699" s="247">
        <f>'Table S2 Compound Identifiers'!B701</f>
        <v>0</v>
      </c>
      <c r="E699" s="247"/>
      <c r="F699" s="248"/>
      <c r="G699" s="249"/>
      <c r="H699" s="330"/>
      <c r="I699" s="328"/>
      <c r="J699" s="249"/>
      <c r="K699" s="330"/>
      <c r="L699" s="250"/>
      <c r="M699" s="249"/>
      <c r="N699" s="330"/>
      <c r="O699" s="250"/>
      <c r="P699" s="249"/>
      <c r="Q699" s="330"/>
      <c r="R699" s="250"/>
      <c r="S699" s="249"/>
      <c r="T699" s="330"/>
      <c r="U699" s="250"/>
      <c r="V699" s="249"/>
      <c r="W699" s="330"/>
      <c r="X699" s="343"/>
      <c r="Y699" s="249"/>
      <c r="Z699" s="330"/>
      <c r="AA699" s="343"/>
      <c r="AB699" s="249"/>
      <c r="AC699" s="330"/>
      <c r="AD699" s="343"/>
      <c r="AE699" s="249"/>
      <c r="AF699" s="330"/>
      <c r="AG699" s="343"/>
      <c r="AH699" s="249"/>
      <c r="AI699" s="330"/>
      <c r="AJ699" s="343"/>
      <c r="AK699" s="249"/>
      <c r="AL699" s="330"/>
      <c r="AM699" s="343"/>
      <c r="AN699" s="249"/>
      <c r="AO699" s="330"/>
      <c r="AP699" s="343"/>
      <c r="AQ699" s="249"/>
      <c r="AR699" s="330"/>
      <c r="AS699" s="343"/>
      <c r="AT699" s="249"/>
      <c r="AU699" s="330"/>
    </row>
    <row r="700" spans="2:47">
      <c r="B700" s="247">
        <f>'Table S2 Compound Identifiers'!C702</f>
        <v>0</v>
      </c>
      <c r="C700" s="247">
        <f>COUNTIF($D$6:D700,"&lt;&gt;"&amp;"")</f>
        <v>695</v>
      </c>
      <c r="D700" s="247">
        <f>'Table S2 Compound Identifiers'!B702</f>
        <v>0</v>
      </c>
      <c r="E700" s="247"/>
      <c r="F700" s="248"/>
      <c r="G700" s="249"/>
      <c r="H700" s="330"/>
      <c r="I700" s="328"/>
      <c r="J700" s="249"/>
      <c r="K700" s="330"/>
      <c r="L700" s="250"/>
      <c r="M700" s="249"/>
      <c r="N700" s="330"/>
      <c r="O700" s="250"/>
      <c r="P700" s="249"/>
      <c r="Q700" s="330"/>
      <c r="R700" s="250"/>
      <c r="S700" s="249"/>
      <c r="T700" s="330"/>
      <c r="U700" s="250"/>
      <c r="V700" s="249"/>
      <c r="W700" s="330"/>
      <c r="X700" s="343"/>
      <c r="Y700" s="249"/>
      <c r="Z700" s="330"/>
      <c r="AA700" s="343"/>
      <c r="AB700" s="249"/>
      <c r="AC700" s="330"/>
      <c r="AD700" s="343"/>
      <c r="AE700" s="249"/>
      <c r="AF700" s="330"/>
      <c r="AG700" s="343"/>
      <c r="AH700" s="249"/>
      <c r="AI700" s="330"/>
      <c r="AJ700" s="343"/>
      <c r="AK700" s="249"/>
      <c r="AL700" s="330"/>
      <c r="AM700" s="343"/>
      <c r="AN700" s="249"/>
      <c r="AO700" s="330"/>
      <c r="AP700" s="343"/>
      <c r="AQ700" s="249"/>
      <c r="AR700" s="330"/>
      <c r="AS700" s="343"/>
      <c r="AT700" s="249"/>
      <c r="AU700" s="330"/>
    </row>
    <row r="701" spans="2:47">
      <c r="B701" s="247">
        <f>'Table S2 Compound Identifiers'!C703</f>
        <v>0</v>
      </c>
      <c r="C701" s="247">
        <f>COUNTIF($D$6:D701,"&lt;&gt;"&amp;"")</f>
        <v>696</v>
      </c>
      <c r="D701" s="247">
        <f>'Table S2 Compound Identifiers'!B703</f>
        <v>0</v>
      </c>
      <c r="E701" s="247"/>
      <c r="F701" s="248"/>
      <c r="G701" s="249"/>
      <c r="H701" s="330"/>
      <c r="I701" s="328"/>
      <c r="J701" s="249"/>
      <c r="K701" s="330"/>
      <c r="L701" s="250"/>
      <c r="M701" s="249"/>
      <c r="N701" s="330"/>
      <c r="O701" s="250"/>
      <c r="P701" s="249"/>
      <c r="Q701" s="330"/>
      <c r="R701" s="250"/>
      <c r="S701" s="249"/>
      <c r="T701" s="330"/>
      <c r="U701" s="250"/>
      <c r="V701" s="249"/>
      <c r="W701" s="330"/>
      <c r="X701" s="343"/>
      <c r="Y701" s="249"/>
      <c r="Z701" s="330"/>
      <c r="AA701" s="343"/>
      <c r="AB701" s="249"/>
      <c r="AC701" s="330"/>
      <c r="AD701" s="343"/>
      <c r="AE701" s="249"/>
      <c r="AF701" s="330"/>
      <c r="AG701" s="343"/>
      <c r="AH701" s="249"/>
      <c r="AI701" s="330"/>
      <c r="AJ701" s="343"/>
      <c r="AK701" s="249"/>
      <c r="AL701" s="330"/>
      <c r="AM701" s="343"/>
      <c r="AN701" s="249"/>
      <c r="AO701" s="330"/>
      <c r="AP701" s="343"/>
      <c r="AQ701" s="249"/>
      <c r="AR701" s="330"/>
      <c r="AS701" s="343"/>
      <c r="AT701" s="249"/>
      <c r="AU701" s="330"/>
    </row>
    <row r="702" spans="2:47">
      <c r="B702" s="247">
        <f>'Table S2 Compound Identifiers'!C704</f>
        <v>0</v>
      </c>
      <c r="C702" s="247">
        <f>COUNTIF($D$6:D702,"&lt;&gt;"&amp;"")</f>
        <v>697</v>
      </c>
      <c r="D702" s="247">
        <f>'Table S2 Compound Identifiers'!B704</f>
        <v>0</v>
      </c>
      <c r="E702" s="247"/>
      <c r="F702" s="248"/>
      <c r="G702" s="249"/>
      <c r="H702" s="330"/>
      <c r="I702" s="328"/>
      <c r="J702" s="249"/>
      <c r="K702" s="330"/>
      <c r="L702" s="250"/>
      <c r="M702" s="249"/>
      <c r="N702" s="330"/>
      <c r="O702" s="250"/>
      <c r="P702" s="249"/>
      <c r="Q702" s="330"/>
      <c r="R702" s="250"/>
      <c r="S702" s="249"/>
      <c r="T702" s="330"/>
      <c r="U702" s="250"/>
      <c r="V702" s="249"/>
      <c r="W702" s="330"/>
      <c r="X702" s="343"/>
      <c r="Y702" s="249"/>
      <c r="Z702" s="330"/>
      <c r="AA702" s="343"/>
      <c r="AB702" s="249"/>
      <c r="AC702" s="330"/>
      <c r="AD702" s="343"/>
      <c r="AE702" s="249"/>
      <c r="AF702" s="330"/>
      <c r="AG702" s="343"/>
      <c r="AH702" s="249"/>
      <c r="AI702" s="330"/>
      <c r="AJ702" s="343"/>
      <c r="AK702" s="249"/>
      <c r="AL702" s="330"/>
      <c r="AM702" s="343"/>
      <c r="AN702" s="249"/>
      <c r="AO702" s="330"/>
      <c r="AP702" s="343"/>
      <c r="AQ702" s="249"/>
      <c r="AR702" s="330"/>
      <c r="AS702" s="343"/>
      <c r="AT702" s="249"/>
      <c r="AU702" s="330"/>
    </row>
    <row r="703" spans="2:47">
      <c r="B703" s="247">
        <f>'Table S2 Compound Identifiers'!C705</f>
        <v>0</v>
      </c>
      <c r="C703" s="247">
        <f>COUNTIF($D$6:D703,"&lt;&gt;"&amp;"")</f>
        <v>698</v>
      </c>
      <c r="D703" s="247">
        <f>'Table S2 Compound Identifiers'!B705</f>
        <v>0</v>
      </c>
      <c r="E703" s="247"/>
      <c r="F703" s="248"/>
      <c r="G703" s="249"/>
      <c r="H703" s="330"/>
      <c r="I703" s="328"/>
      <c r="J703" s="249"/>
      <c r="K703" s="330"/>
      <c r="L703" s="250"/>
      <c r="M703" s="249"/>
      <c r="N703" s="330"/>
      <c r="O703" s="250"/>
      <c r="P703" s="249"/>
      <c r="Q703" s="330"/>
      <c r="R703" s="250"/>
      <c r="S703" s="249"/>
      <c r="T703" s="330"/>
      <c r="U703" s="250"/>
      <c r="V703" s="249"/>
      <c r="W703" s="330"/>
      <c r="X703" s="343"/>
      <c r="Y703" s="249"/>
      <c r="Z703" s="330"/>
      <c r="AA703" s="343"/>
      <c r="AB703" s="249"/>
      <c r="AC703" s="330"/>
      <c r="AD703" s="343"/>
      <c r="AE703" s="249"/>
      <c r="AF703" s="330"/>
      <c r="AG703" s="343"/>
      <c r="AH703" s="249"/>
      <c r="AI703" s="330"/>
      <c r="AJ703" s="343"/>
      <c r="AK703" s="249"/>
      <c r="AL703" s="330"/>
      <c r="AM703" s="343"/>
      <c r="AN703" s="249"/>
      <c r="AO703" s="330"/>
      <c r="AP703" s="343"/>
      <c r="AQ703" s="249"/>
      <c r="AR703" s="330"/>
      <c r="AS703" s="343"/>
      <c r="AT703" s="249"/>
      <c r="AU703" s="330"/>
    </row>
    <row r="704" spans="2:47">
      <c r="B704" s="247">
        <f>'Table S2 Compound Identifiers'!C706</f>
        <v>0</v>
      </c>
      <c r="C704" s="247">
        <f>COUNTIF($D$6:D704,"&lt;&gt;"&amp;"")</f>
        <v>699</v>
      </c>
      <c r="D704" s="247">
        <f>'Table S2 Compound Identifiers'!B706</f>
        <v>0</v>
      </c>
      <c r="E704" s="247"/>
      <c r="F704" s="248"/>
      <c r="G704" s="249"/>
      <c r="H704" s="330"/>
      <c r="I704" s="328"/>
      <c r="J704" s="249"/>
      <c r="K704" s="330"/>
      <c r="L704" s="250"/>
      <c r="M704" s="249"/>
      <c r="N704" s="330"/>
      <c r="O704" s="250"/>
      <c r="P704" s="249"/>
      <c r="Q704" s="330"/>
      <c r="R704" s="250"/>
      <c r="S704" s="249"/>
      <c r="T704" s="330"/>
      <c r="U704" s="250"/>
      <c r="V704" s="249"/>
      <c r="W704" s="330"/>
      <c r="X704" s="343"/>
      <c r="Y704" s="249"/>
      <c r="Z704" s="330"/>
      <c r="AA704" s="343"/>
      <c r="AB704" s="249"/>
      <c r="AC704" s="330"/>
      <c r="AD704" s="343"/>
      <c r="AE704" s="249"/>
      <c r="AF704" s="330"/>
      <c r="AG704" s="343"/>
      <c r="AH704" s="249"/>
      <c r="AI704" s="330"/>
      <c r="AJ704" s="343"/>
      <c r="AK704" s="249"/>
      <c r="AL704" s="330"/>
      <c r="AM704" s="343"/>
      <c r="AN704" s="249"/>
      <c r="AO704" s="330"/>
      <c r="AP704" s="343"/>
      <c r="AQ704" s="249"/>
      <c r="AR704" s="330"/>
      <c r="AS704" s="343"/>
      <c r="AT704" s="249"/>
      <c r="AU704" s="330"/>
    </row>
    <row r="705" spans="2:47">
      <c r="B705" s="247">
        <f>'Table S2 Compound Identifiers'!C707</f>
        <v>0</v>
      </c>
      <c r="C705" s="247">
        <f>COUNTIF($D$6:D705,"&lt;&gt;"&amp;"")</f>
        <v>700</v>
      </c>
      <c r="D705" s="247">
        <f>'Table S2 Compound Identifiers'!B707</f>
        <v>0</v>
      </c>
      <c r="E705" s="247"/>
      <c r="F705" s="248"/>
      <c r="G705" s="249"/>
      <c r="H705" s="330"/>
      <c r="I705" s="328"/>
      <c r="J705" s="249"/>
      <c r="K705" s="330"/>
      <c r="L705" s="250"/>
      <c r="M705" s="249"/>
      <c r="N705" s="330"/>
      <c r="O705" s="250"/>
      <c r="P705" s="249"/>
      <c r="Q705" s="330"/>
      <c r="R705" s="250"/>
      <c r="S705" s="249"/>
      <c r="T705" s="330"/>
      <c r="U705" s="250"/>
      <c r="V705" s="249"/>
      <c r="W705" s="330"/>
      <c r="X705" s="343"/>
      <c r="Y705" s="249"/>
      <c r="Z705" s="330"/>
      <c r="AA705" s="343"/>
      <c r="AB705" s="249"/>
      <c r="AC705" s="330"/>
      <c r="AD705" s="343"/>
      <c r="AE705" s="249"/>
      <c r="AF705" s="330"/>
      <c r="AG705" s="343"/>
      <c r="AH705" s="249"/>
      <c r="AI705" s="330"/>
      <c r="AJ705" s="343"/>
      <c r="AK705" s="249"/>
      <c r="AL705" s="330"/>
      <c r="AM705" s="343"/>
      <c r="AN705" s="249"/>
      <c r="AO705" s="330"/>
      <c r="AP705" s="343"/>
      <c r="AQ705" s="249"/>
      <c r="AR705" s="330"/>
      <c r="AS705" s="343"/>
      <c r="AT705" s="249"/>
      <c r="AU705" s="330"/>
    </row>
    <row r="706" spans="2:47">
      <c r="B706" s="247">
        <f>'Table S2 Compound Identifiers'!C708</f>
        <v>0</v>
      </c>
      <c r="C706" s="247">
        <f>COUNTIF($D$6:D706,"&lt;&gt;"&amp;"")</f>
        <v>701</v>
      </c>
      <c r="D706" s="247">
        <f>'Table S2 Compound Identifiers'!B708</f>
        <v>0</v>
      </c>
      <c r="E706" s="247"/>
      <c r="F706" s="248"/>
      <c r="G706" s="249"/>
      <c r="H706" s="330"/>
      <c r="I706" s="328"/>
      <c r="J706" s="249"/>
      <c r="K706" s="330"/>
      <c r="L706" s="250"/>
      <c r="M706" s="249"/>
      <c r="N706" s="330"/>
      <c r="O706" s="250"/>
      <c r="P706" s="249"/>
      <c r="Q706" s="330"/>
      <c r="R706" s="250"/>
      <c r="S706" s="249"/>
      <c r="T706" s="330"/>
      <c r="U706" s="250"/>
      <c r="V706" s="249"/>
      <c r="W706" s="330"/>
      <c r="X706" s="343"/>
      <c r="Y706" s="249"/>
      <c r="Z706" s="330"/>
      <c r="AA706" s="343"/>
      <c r="AB706" s="249"/>
      <c r="AC706" s="330"/>
      <c r="AD706" s="343"/>
      <c r="AE706" s="249"/>
      <c r="AF706" s="330"/>
      <c r="AG706" s="343"/>
      <c r="AH706" s="249"/>
      <c r="AI706" s="330"/>
      <c r="AJ706" s="343"/>
      <c r="AK706" s="249"/>
      <c r="AL706" s="330"/>
      <c r="AM706" s="343"/>
      <c r="AN706" s="249"/>
      <c r="AO706" s="330"/>
      <c r="AP706" s="343"/>
      <c r="AQ706" s="249"/>
      <c r="AR706" s="330"/>
      <c r="AS706" s="343"/>
      <c r="AT706" s="249"/>
      <c r="AU706" s="330"/>
    </row>
    <row r="707" spans="2:47">
      <c r="B707" s="247">
        <f>'Table S2 Compound Identifiers'!C709</f>
        <v>0</v>
      </c>
      <c r="C707" s="247">
        <f>COUNTIF($D$6:D707,"&lt;&gt;"&amp;"")</f>
        <v>702</v>
      </c>
      <c r="D707" s="247">
        <f>'Table S2 Compound Identifiers'!B709</f>
        <v>0</v>
      </c>
      <c r="E707" s="247"/>
      <c r="F707" s="248"/>
      <c r="G707" s="249"/>
      <c r="H707" s="330"/>
      <c r="I707" s="328"/>
      <c r="J707" s="249"/>
      <c r="K707" s="330"/>
      <c r="L707" s="250"/>
      <c r="M707" s="249"/>
      <c r="N707" s="330"/>
      <c r="O707" s="250"/>
      <c r="P707" s="249"/>
      <c r="Q707" s="330"/>
      <c r="R707" s="250"/>
      <c r="S707" s="249"/>
      <c r="T707" s="330"/>
      <c r="U707" s="250"/>
      <c r="V707" s="249"/>
      <c r="W707" s="330"/>
      <c r="X707" s="343"/>
      <c r="Y707" s="249"/>
      <c r="Z707" s="330"/>
      <c r="AA707" s="343"/>
      <c r="AB707" s="249"/>
      <c r="AC707" s="330"/>
      <c r="AD707" s="343"/>
      <c r="AE707" s="249"/>
      <c r="AF707" s="330"/>
      <c r="AG707" s="343"/>
      <c r="AH707" s="249"/>
      <c r="AI707" s="330"/>
      <c r="AJ707" s="343"/>
      <c r="AK707" s="249"/>
      <c r="AL707" s="330"/>
      <c r="AM707" s="343"/>
      <c r="AN707" s="249"/>
      <c r="AO707" s="330"/>
      <c r="AP707" s="343"/>
      <c r="AQ707" s="249"/>
      <c r="AR707" s="330"/>
      <c r="AS707" s="343"/>
      <c r="AT707" s="249"/>
      <c r="AU707" s="330"/>
    </row>
    <row r="708" spans="2:47">
      <c r="B708" s="247">
        <f>'Table S2 Compound Identifiers'!C710</f>
        <v>0</v>
      </c>
      <c r="C708" s="247">
        <f>COUNTIF($D$6:D708,"&lt;&gt;"&amp;"")</f>
        <v>703</v>
      </c>
      <c r="D708" s="247">
        <f>'Table S2 Compound Identifiers'!B710</f>
        <v>0</v>
      </c>
      <c r="E708" s="247"/>
      <c r="F708" s="248"/>
      <c r="G708" s="249"/>
      <c r="H708" s="330"/>
      <c r="I708" s="328"/>
      <c r="J708" s="249"/>
      <c r="K708" s="330"/>
      <c r="L708" s="250"/>
      <c r="M708" s="249"/>
      <c r="N708" s="330"/>
      <c r="O708" s="250"/>
      <c r="P708" s="249"/>
      <c r="Q708" s="330"/>
      <c r="R708" s="250"/>
      <c r="S708" s="249"/>
      <c r="T708" s="330"/>
      <c r="U708" s="250"/>
      <c r="V708" s="249"/>
      <c r="W708" s="330"/>
      <c r="X708" s="343"/>
      <c r="Y708" s="249"/>
      <c r="Z708" s="330"/>
      <c r="AA708" s="343"/>
      <c r="AB708" s="249"/>
      <c r="AC708" s="330"/>
      <c r="AD708" s="343"/>
      <c r="AE708" s="249"/>
      <c r="AF708" s="330"/>
      <c r="AG708" s="343"/>
      <c r="AH708" s="249"/>
      <c r="AI708" s="330"/>
      <c r="AJ708" s="343"/>
      <c r="AK708" s="249"/>
      <c r="AL708" s="330"/>
      <c r="AM708" s="343"/>
      <c r="AN708" s="249"/>
      <c r="AO708" s="330"/>
      <c r="AP708" s="343"/>
      <c r="AQ708" s="249"/>
      <c r="AR708" s="330"/>
      <c r="AS708" s="343"/>
      <c r="AT708" s="249"/>
      <c r="AU708" s="330"/>
    </row>
    <row r="709" spans="2:47">
      <c r="B709" s="247">
        <f>'Table S2 Compound Identifiers'!C711</f>
        <v>0</v>
      </c>
      <c r="C709" s="247">
        <f>COUNTIF($D$6:D709,"&lt;&gt;"&amp;"")</f>
        <v>704</v>
      </c>
      <c r="D709" s="247">
        <f>'Table S2 Compound Identifiers'!B711</f>
        <v>0</v>
      </c>
      <c r="E709" s="247"/>
      <c r="F709" s="248"/>
      <c r="G709" s="249"/>
      <c r="H709" s="330"/>
      <c r="I709" s="328"/>
      <c r="J709" s="249"/>
      <c r="K709" s="330"/>
      <c r="L709" s="250"/>
      <c r="M709" s="249"/>
      <c r="N709" s="330"/>
      <c r="O709" s="250"/>
      <c r="P709" s="249"/>
      <c r="Q709" s="330"/>
      <c r="R709" s="250"/>
      <c r="S709" s="249"/>
      <c r="T709" s="330"/>
      <c r="U709" s="250"/>
      <c r="V709" s="249"/>
      <c r="W709" s="330"/>
      <c r="X709" s="343"/>
      <c r="Y709" s="249"/>
      <c r="Z709" s="330"/>
      <c r="AA709" s="343"/>
      <c r="AB709" s="249"/>
      <c r="AC709" s="330"/>
      <c r="AD709" s="343"/>
      <c r="AE709" s="249"/>
      <c r="AF709" s="330"/>
      <c r="AG709" s="343"/>
      <c r="AH709" s="249"/>
      <c r="AI709" s="330"/>
      <c r="AJ709" s="343"/>
      <c r="AK709" s="249"/>
      <c r="AL709" s="330"/>
      <c r="AM709" s="343"/>
      <c r="AN709" s="249"/>
      <c r="AO709" s="330"/>
      <c r="AP709" s="343"/>
      <c r="AQ709" s="249"/>
      <c r="AR709" s="330"/>
      <c r="AS709" s="343"/>
      <c r="AT709" s="249"/>
      <c r="AU709" s="330"/>
    </row>
    <row r="710" spans="2:47">
      <c r="B710" s="247">
        <f>'Table S2 Compound Identifiers'!C712</f>
        <v>0</v>
      </c>
      <c r="C710" s="247">
        <f>COUNTIF($D$6:D710,"&lt;&gt;"&amp;"")</f>
        <v>705</v>
      </c>
      <c r="D710" s="247">
        <f>'Table S2 Compound Identifiers'!B712</f>
        <v>0</v>
      </c>
      <c r="E710" s="247"/>
      <c r="F710" s="248"/>
      <c r="G710" s="249"/>
      <c r="H710" s="330"/>
      <c r="I710" s="328"/>
      <c r="J710" s="249"/>
      <c r="K710" s="330"/>
      <c r="L710" s="250"/>
      <c r="M710" s="249"/>
      <c r="N710" s="330"/>
      <c r="O710" s="250"/>
      <c r="P710" s="249"/>
      <c r="Q710" s="330"/>
      <c r="R710" s="250"/>
      <c r="S710" s="249"/>
      <c r="T710" s="330"/>
      <c r="U710" s="250"/>
      <c r="V710" s="249"/>
      <c r="W710" s="330"/>
      <c r="X710" s="343"/>
      <c r="Y710" s="249"/>
      <c r="Z710" s="330"/>
      <c r="AA710" s="343"/>
      <c r="AB710" s="249"/>
      <c r="AC710" s="330"/>
      <c r="AD710" s="343"/>
      <c r="AE710" s="249"/>
      <c r="AF710" s="330"/>
      <c r="AG710" s="343"/>
      <c r="AH710" s="249"/>
      <c r="AI710" s="330"/>
      <c r="AJ710" s="343"/>
      <c r="AK710" s="249"/>
      <c r="AL710" s="330"/>
      <c r="AM710" s="343"/>
      <c r="AN710" s="249"/>
      <c r="AO710" s="330"/>
      <c r="AP710" s="343"/>
      <c r="AQ710" s="249"/>
      <c r="AR710" s="330"/>
      <c r="AS710" s="343"/>
      <c r="AT710" s="249"/>
      <c r="AU710" s="330"/>
    </row>
    <row r="711" spans="2:47">
      <c r="B711" s="247">
        <f>'Table S2 Compound Identifiers'!C713</f>
        <v>0</v>
      </c>
      <c r="C711" s="247">
        <f>COUNTIF($D$6:D711,"&lt;&gt;"&amp;"")</f>
        <v>706</v>
      </c>
      <c r="D711" s="247">
        <f>'Table S2 Compound Identifiers'!B713</f>
        <v>0</v>
      </c>
      <c r="E711" s="247"/>
      <c r="F711" s="248"/>
      <c r="G711" s="249"/>
      <c r="H711" s="330"/>
      <c r="I711" s="328"/>
      <c r="J711" s="249"/>
      <c r="K711" s="330"/>
      <c r="L711" s="250"/>
      <c r="M711" s="249"/>
      <c r="N711" s="330"/>
      <c r="O711" s="250"/>
      <c r="P711" s="249"/>
      <c r="Q711" s="330"/>
      <c r="R711" s="250"/>
      <c r="S711" s="249"/>
      <c r="T711" s="330"/>
      <c r="U711" s="250"/>
      <c r="V711" s="249"/>
      <c r="W711" s="330"/>
      <c r="X711" s="343"/>
      <c r="Y711" s="249"/>
      <c r="Z711" s="330"/>
      <c r="AA711" s="343"/>
      <c r="AB711" s="249"/>
      <c r="AC711" s="330"/>
      <c r="AD711" s="343"/>
      <c r="AE711" s="249"/>
      <c r="AF711" s="330"/>
      <c r="AG711" s="343"/>
      <c r="AH711" s="249"/>
      <c r="AI711" s="330"/>
      <c r="AJ711" s="343"/>
      <c r="AK711" s="249"/>
      <c r="AL711" s="330"/>
      <c r="AM711" s="343"/>
      <c r="AN711" s="249"/>
      <c r="AO711" s="330"/>
      <c r="AP711" s="343"/>
      <c r="AQ711" s="249"/>
      <c r="AR711" s="330"/>
      <c r="AS711" s="343"/>
      <c r="AT711" s="249"/>
      <c r="AU711" s="330"/>
    </row>
    <row r="712" spans="2:47">
      <c r="B712" s="247">
        <f>'Table S2 Compound Identifiers'!C714</f>
        <v>0</v>
      </c>
      <c r="C712" s="247">
        <f>COUNTIF($D$6:D712,"&lt;&gt;"&amp;"")</f>
        <v>707</v>
      </c>
      <c r="D712" s="247">
        <f>'Table S2 Compound Identifiers'!B714</f>
        <v>0</v>
      </c>
      <c r="E712" s="247"/>
      <c r="F712" s="248"/>
      <c r="G712" s="249"/>
      <c r="H712" s="330"/>
      <c r="I712" s="328"/>
      <c r="J712" s="249"/>
      <c r="K712" s="330"/>
      <c r="L712" s="250"/>
      <c r="M712" s="249"/>
      <c r="N712" s="330"/>
      <c r="O712" s="250"/>
      <c r="P712" s="249"/>
      <c r="Q712" s="330"/>
      <c r="R712" s="250"/>
      <c r="S712" s="249"/>
      <c r="T712" s="330"/>
      <c r="U712" s="250"/>
      <c r="V712" s="249"/>
      <c r="W712" s="330"/>
      <c r="X712" s="343"/>
      <c r="Y712" s="249"/>
      <c r="Z712" s="330"/>
      <c r="AA712" s="343"/>
      <c r="AB712" s="249"/>
      <c r="AC712" s="330"/>
      <c r="AD712" s="343"/>
      <c r="AE712" s="249"/>
      <c r="AF712" s="330"/>
      <c r="AG712" s="343"/>
      <c r="AH712" s="249"/>
      <c r="AI712" s="330"/>
      <c r="AJ712" s="343"/>
      <c r="AK712" s="249"/>
      <c r="AL712" s="330"/>
      <c r="AM712" s="343"/>
      <c r="AN712" s="249"/>
      <c r="AO712" s="330"/>
      <c r="AP712" s="343"/>
      <c r="AQ712" s="249"/>
      <c r="AR712" s="330"/>
      <c r="AS712" s="343"/>
      <c r="AT712" s="249"/>
      <c r="AU712" s="330"/>
    </row>
    <row r="713" spans="2:47">
      <c r="B713" s="247">
        <f>'Table S2 Compound Identifiers'!C715</f>
        <v>0</v>
      </c>
      <c r="C713" s="247">
        <f>COUNTIF($D$6:D713,"&lt;&gt;"&amp;"")</f>
        <v>708</v>
      </c>
      <c r="D713" s="247">
        <f>'Table S2 Compound Identifiers'!B715</f>
        <v>0</v>
      </c>
      <c r="E713" s="247"/>
      <c r="F713" s="248"/>
      <c r="G713" s="249"/>
      <c r="H713" s="330"/>
      <c r="I713" s="328"/>
      <c r="J713" s="249"/>
      <c r="K713" s="330"/>
      <c r="L713" s="250"/>
      <c r="M713" s="249"/>
      <c r="N713" s="330"/>
      <c r="O713" s="250"/>
      <c r="P713" s="249"/>
      <c r="Q713" s="330"/>
      <c r="R713" s="250"/>
      <c r="S713" s="249"/>
      <c r="T713" s="330"/>
      <c r="U713" s="250"/>
      <c r="V713" s="249"/>
      <c r="W713" s="330"/>
      <c r="X713" s="343"/>
      <c r="Y713" s="249"/>
      <c r="Z713" s="330"/>
      <c r="AA713" s="343"/>
      <c r="AB713" s="249"/>
      <c r="AC713" s="330"/>
      <c r="AD713" s="343"/>
      <c r="AE713" s="249"/>
      <c r="AF713" s="330"/>
      <c r="AG713" s="343"/>
      <c r="AH713" s="249"/>
      <c r="AI713" s="330"/>
      <c r="AJ713" s="343"/>
      <c r="AK713" s="249"/>
      <c r="AL713" s="330"/>
      <c r="AM713" s="343"/>
      <c r="AN713" s="249"/>
      <c r="AO713" s="330"/>
      <c r="AP713" s="343"/>
      <c r="AQ713" s="249"/>
      <c r="AR713" s="330"/>
      <c r="AS713" s="343"/>
      <c r="AT713" s="249"/>
      <c r="AU713" s="330"/>
    </row>
    <row r="714" spans="2:47">
      <c r="B714" s="247">
        <f>'Table S2 Compound Identifiers'!C716</f>
        <v>0</v>
      </c>
      <c r="C714" s="247">
        <f>COUNTIF($D$6:D714,"&lt;&gt;"&amp;"")</f>
        <v>709</v>
      </c>
      <c r="D714" s="247">
        <f>'Table S2 Compound Identifiers'!B716</f>
        <v>0</v>
      </c>
      <c r="E714" s="247"/>
      <c r="F714" s="248"/>
      <c r="G714" s="249"/>
      <c r="H714" s="330"/>
      <c r="I714" s="328"/>
      <c r="J714" s="249"/>
      <c r="K714" s="330"/>
      <c r="L714" s="250"/>
      <c r="M714" s="249"/>
      <c r="N714" s="330"/>
      <c r="O714" s="250"/>
      <c r="P714" s="249"/>
      <c r="Q714" s="330"/>
      <c r="R714" s="250"/>
      <c r="S714" s="249"/>
      <c r="T714" s="330"/>
      <c r="U714" s="250"/>
      <c r="V714" s="249"/>
      <c r="W714" s="330"/>
      <c r="X714" s="343"/>
      <c r="Y714" s="249"/>
      <c r="Z714" s="330"/>
      <c r="AA714" s="343"/>
      <c r="AB714" s="249"/>
      <c r="AC714" s="330"/>
      <c r="AD714" s="343"/>
      <c r="AE714" s="249"/>
      <c r="AF714" s="330"/>
      <c r="AG714" s="343"/>
      <c r="AH714" s="249"/>
      <c r="AI714" s="330"/>
      <c r="AJ714" s="343"/>
      <c r="AK714" s="249"/>
      <c r="AL714" s="330"/>
      <c r="AM714" s="343"/>
      <c r="AN714" s="249"/>
      <c r="AO714" s="330"/>
      <c r="AP714" s="343"/>
      <c r="AQ714" s="249"/>
      <c r="AR714" s="330"/>
      <c r="AS714" s="343"/>
      <c r="AT714" s="249"/>
      <c r="AU714" s="330"/>
    </row>
    <row r="715" spans="2:47">
      <c r="B715" s="247">
        <f>'Table S2 Compound Identifiers'!C717</f>
        <v>0</v>
      </c>
      <c r="C715" s="247">
        <f>COUNTIF($D$6:D715,"&lt;&gt;"&amp;"")</f>
        <v>710</v>
      </c>
      <c r="D715" s="247">
        <f>'Table S2 Compound Identifiers'!B717</f>
        <v>0</v>
      </c>
      <c r="E715" s="247"/>
      <c r="F715" s="248"/>
      <c r="G715" s="249"/>
      <c r="H715" s="330"/>
      <c r="I715" s="328"/>
      <c r="J715" s="249"/>
      <c r="K715" s="330"/>
      <c r="L715" s="250"/>
      <c r="M715" s="249"/>
      <c r="N715" s="330"/>
      <c r="O715" s="250"/>
      <c r="P715" s="249"/>
      <c r="Q715" s="330"/>
      <c r="R715" s="250"/>
      <c r="S715" s="249"/>
      <c r="T715" s="330"/>
      <c r="U715" s="250"/>
      <c r="V715" s="249"/>
      <c r="W715" s="330"/>
      <c r="X715" s="343"/>
      <c r="Y715" s="249"/>
      <c r="Z715" s="330"/>
      <c r="AA715" s="343"/>
      <c r="AB715" s="249"/>
      <c r="AC715" s="330"/>
      <c r="AD715" s="343"/>
      <c r="AE715" s="249"/>
      <c r="AF715" s="330"/>
      <c r="AG715" s="343"/>
      <c r="AH715" s="249"/>
      <c r="AI715" s="330"/>
      <c r="AJ715" s="343"/>
      <c r="AK715" s="249"/>
      <c r="AL715" s="330"/>
      <c r="AM715" s="343"/>
      <c r="AN715" s="249"/>
      <c r="AO715" s="330"/>
      <c r="AP715" s="343"/>
      <c r="AQ715" s="249"/>
      <c r="AR715" s="330"/>
      <c r="AS715" s="343"/>
      <c r="AT715" s="249"/>
      <c r="AU715" s="330"/>
    </row>
    <row r="716" spans="2:47">
      <c r="B716" s="247">
        <f>'Table S2 Compound Identifiers'!C718</f>
        <v>0</v>
      </c>
      <c r="C716" s="247">
        <f>COUNTIF($D$6:D716,"&lt;&gt;"&amp;"")</f>
        <v>711</v>
      </c>
      <c r="D716" s="247">
        <f>'Table S2 Compound Identifiers'!B718</f>
        <v>0</v>
      </c>
      <c r="E716" s="247"/>
      <c r="F716" s="248"/>
      <c r="G716" s="249"/>
      <c r="H716" s="330"/>
      <c r="I716" s="328"/>
      <c r="J716" s="249"/>
      <c r="K716" s="330"/>
      <c r="L716" s="250"/>
      <c r="M716" s="249"/>
      <c r="N716" s="330"/>
      <c r="O716" s="250"/>
      <c r="P716" s="249"/>
      <c r="Q716" s="330"/>
      <c r="R716" s="250"/>
      <c r="S716" s="249"/>
      <c r="T716" s="330"/>
      <c r="U716" s="250"/>
      <c r="V716" s="249"/>
      <c r="W716" s="330"/>
      <c r="X716" s="343"/>
      <c r="Y716" s="249"/>
      <c r="Z716" s="330"/>
      <c r="AA716" s="343"/>
      <c r="AB716" s="249"/>
      <c r="AC716" s="330"/>
      <c r="AD716" s="343"/>
      <c r="AE716" s="249"/>
      <c r="AF716" s="330"/>
      <c r="AG716" s="343"/>
      <c r="AH716" s="249"/>
      <c r="AI716" s="330"/>
      <c r="AJ716" s="343"/>
      <c r="AK716" s="249"/>
      <c r="AL716" s="330"/>
      <c r="AM716" s="343"/>
      <c r="AN716" s="249"/>
      <c r="AO716" s="330"/>
      <c r="AP716" s="343"/>
      <c r="AQ716" s="249"/>
      <c r="AR716" s="330"/>
      <c r="AS716" s="343"/>
      <c r="AT716" s="249"/>
      <c r="AU716" s="330"/>
    </row>
    <row r="717" spans="2:47">
      <c r="B717" s="247">
        <f>'Table S2 Compound Identifiers'!C719</f>
        <v>0</v>
      </c>
      <c r="C717" s="247">
        <f>COUNTIF($D$6:D717,"&lt;&gt;"&amp;"")</f>
        <v>712</v>
      </c>
      <c r="D717" s="247">
        <f>'Table S2 Compound Identifiers'!B719</f>
        <v>0</v>
      </c>
      <c r="E717" s="247"/>
      <c r="F717" s="248"/>
      <c r="G717" s="249"/>
      <c r="H717" s="330"/>
      <c r="I717" s="328"/>
      <c r="J717" s="249"/>
      <c r="K717" s="330"/>
      <c r="L717" s="250"/>
      <c r="M717" s="249"/>
      <c r="N717" s="330"/>
      <c r="O717" s="250"/>
      <c r="P717" s="249"/>
      <c r="Q717" s="330"/>
      <c r="R717" s="250"/>
      <c r="S717" s="249"/>
      <c r="T717" s="330"/>
      <c r="U717" s="250"/>
      <c r="V717" s="249"/>
      <c r="W717" s="330"/>
      <c r="X717" s="343"/>
      <c r="Y717" s="249"/>
      <c r="Z717" s="330"/>
      <c r="AA717" s="343"/>
      <c r="AB717" s="249"/>
      <c r="AC717" s="330"/>
      <c r="AD717" s="343"/>
      <c r="AE717" s="249"/>
      <c r="AF717" s="330"/>
      <c r="AG717" s="343"/>
      <c r="AH717" s="249"/>
      <c r="AI717" s="330"/>
      <c r="AJ717" s="343"/>
      <c r="AK717" s="249"/>
      <c r="AL717" s="330"/>
      <c r="AM717" s="343"/>
      <c r="AN717" s="249"/>
      <c r="AO717" s="330"/>
      <c r="AP717" s="343"/>
      <c r="AQ717" s="249"/>
      <c r="AR717" s="330"/>
      <c r="AS717" s="343"/>
      <c r="AT717" s="249"/>
      <c r="AU717" s="330"/>
    </row>
    <row r="718" spans="2:47">
      <c r="B718" s="247">
        <f>'Table S2 Compound Identifiers'!C720</f>
        <v>0</v>
      </c>
      <c r="C718" s="247">
        <f>COUNTIF($D$6:D718,"&lt;&gt;"&amp;"")</f>
        <v>713</v>
      </c>
      <c r="D718" s="247">
        <f>'Table S2 Compound Identifiers'!B720</f>
        <v>0</v>
      </c>
      <c r="E718" s="247"/>
      <c r="F718" s="248"/>
      <c r="G718" s="249"/>
      <c r="H718" s="330"/>
      <c r="I718" s="328"/>
      <c r="J718" s="249"/>
      <c r="K718" s="330"/>
      <c r="L718" s="250"/>
      <c r="M718" s="249"/>
      <c r="N718" s="330"/>
      <c r="O718" s="250"/>
      <c r="P718" s="249"/>
      <c r="Q718" s="330"/>
      <c r="R718" s="250"/>
      <c r="S718" s="249"/>
      <c r="T718" s="330"/>
      <c r="U718" s="250"/>
      <c r="V718" s="249"/>
      <c r="W718" s="330"/>
      <c r="X718" s="343"/>
      <c r="Y718" s="249"/>
      <c r="Z718" s="330"/>
      <c r="AA718" s="343"/>
      <c r="AB718" s="249"/>
      <c r="AC718" s="330"/>
      <c r="AD718" s="343"/>
      <c r="AE718" s="249"/>
      <c r="AF718" s="330"/>
      <c r="AG718" s="343"/>
      <c r="AH718" s="249"/>
      <c r="AI718" s="330"/>
      <c r="AJ718" s="343"/>
      <c r="AK718" s="249"/>
      <c r="AL718" s="330"/>
      <c r="AM718" s="343"/>
      <c r="AN718" s="249"/>
      <c r="AO718" s="330"/>
      <c r="AP718" s="343"/>
      <c r="AQ718" s="249"/>
      <c r="AR718" s="330"/>
      <c r="AS718" s="343"/>
      <c r="AT718" s="249"/>
      <c r="AU718" s="330"/>
    </row>
    <row r="719" spans="2:47">
      <c r="B719" s="247">
        <f>'Table S2 Compound Identifiers'!C721</f>
        <v>0</v>
      </c>
      <c r="C719" s="247">
        <f>COUNTIF($D$6:D719,"&lt;&gt;"&amp;"")</f>
        <v>714</v>
      </c>
      <c r="D719" s="247">
        <f>'Table S2 Compound Identifiers'!B721</f>
        <v>0</v>
      </c>
      <c r="E719" s="247"/>
      <c r="F719" s="248"/>
      <c r="G719" s="249"/>
      <c r="H719" s="330"/>
      <c r="I719" s="328"/>
      <c r="J719" s="249"/>
      <c r="K719" s="330"/>
      <c r="L719" s="250"/>
      <c r="M719" s="249"/>
      <c r="N719" s="330"/>
      <c r="O719" s="250"/>
      <c r="P719" s="249"/>
      <c r="Q719" s="330"/>
      <c r="R719" s="250"/>
      <c r="S719" s="249"/>
      <c r="T719" s="330"/>
      <c r="U719" s="250"/>
      <c r="V719" s="249"/>
      <c r="W719" s="330"/>
      <c r="X719" s="343"/>
      <c r="Y719" s="249"/>
      <c r="Z719" s="330"/>
      <c r="AA719" s="343"/>
      <c r="AB719" s="249"/>
      <c r="AC719" s="330"/>
      <c r="AD719" s="343"/>
      <c r="AE719" s="249"/>
      <c r="AF719" s="330"/>
      <c r="AG719" s="343"/>
      <c r="AH719" s="249"/>
      <c r="AI719" s="330"/>
      <c r="AJ719" s="343"/>
      <c r="AK719" s="249"/>
      <c r="AL719" s="330"/>
      <c r="AM719" s="343"/>
      <c r="AN719" s="249"/>
      <c r="AO719" s="330"/>
      <c r="AP719" s="343"/>
      <c r="AQ719" s="249"/>
      <c r="AR719" s="330"/>
      <c r="AS719" s="343"/>
      <c r="AT719" s="249"/>
      <c r="AU719" s="330"/>
    </row>
    <row r="720" spans="2:47">
      <c r="B720" s="247">
        <f>'Table S2 Compound Identifiers'!C722</f>
        <v>0</v>
      </c>
      <c r="C720" s="247">
        <f>COUNTIF($D$6:D720,"&lt;&gt;"&amp;"")</f>
        <v>715</v>
      </c>
      <c r="D720" s="247">
        <f>'Table S2 Compound Identifiers'!B722</f>
        <v>0</v>
      </c>
      <c r="E720" s="247"/>
      <c r="F720" s="248"/>
      <c r="G720" s="249"/>
      <c r="H720" s="330"/>
      <c r="I720" s="328"/>
      <c r="J720" s="249"/>
      <c r="K720" s="330"/>
      <c r="L720" s="250"/>
      <c r="M720" s="249"/>
      <c r="N720" s="330"/>
      <c r="O720" s="250"/>
      <c r="P720" s="249"/>
      <c r="Q720" s="330"/>
      <c r="R720" s="250"/>
      <c r="S720" s="249"/>
      <c r="T720" s="330"/>
      <c r="U720" s="250"/>
      <c r="V720" s="249"/>
      <c r="W720" s="330"/>
      <c r="X720" s="343"/>
      <c r="Y720" s="249"/>
      <c r="Z720" s="330"/>
      <c r="AA720" s="343"/>
      <c r="AB720" s="249"/>
      <c r="AC720" s="330"/>
      <c r="AD720" s="343"/>
      <c r="AE720" s="249"/>
      <c r="AF720" s="330"/>
      <c r="AG720" s="343"/>
      <c r="AH720" s="249"/>
      <c r="AI720" s="330"/>
      <c r="AJ720" s="343"/>
      <c r="AK720" s="249"/>
      <c r="AL720" s="330"/>
      <c r="AM720" s="343"/>
      <c r="AN720" s="249"/>
      <c r="AO720" s="330"/>
      <c r="AP720" s="343"/>
      <c r="AQ720" s="249"/>
      <c r="AR720" s="330"/>
      <c r="AS720" s="343"/>
      <c r="AT720" s="249"/>
      <c r="AU720" s="330"/>
    </row>
    <row r="721" spans="2:47">
      <c r="B721" s="247">
        <f>'Table S2 Compound Identifiers'!C723</f>
        <v>0</v>
      </c>
      <c r="C721" s="247">
        <f>COUNTIF($D$6:D721,"&lt;&gt;"&amp;"")</f>
        <v>716</v>
      </c>
      <c r="D721" s="247">
        <f>'Table S2 Compound Identifiers'!B723</f>
        <v>0</v>
      </c>
      <c r="E721" s="247"/>
      <c r="F721" s="248"/>
      <c r="G721" s="249"/>
      <c r="H721" s="330"/>
      <c r="I721" s="328"/>
      <c r="J721" s="249"/>
      <c r="K721" s="330"/>
      <c r="L721" s="250"/>
      <c r="M721" s="249"/>
      <c r="N721" s="330"/>
      <c r="O721" s="250"/>
      <c r="P721" s="249"/>
      <c r="Q721" s="330"/>
      <c r="R721" s="250"/>
      <c r="S721" s="249"/>
      <c r="T721" s="330"/>
      <c r="U721" s="250"/>
      <c r="V721" s="249"/>
      <c r="W721" s="330"/>
      <c r="X721" s="343"/>
      <c r="Y721" s="249"/>
      <c r="Z721" s="330"/>
      <c r="AA721" s="343"/>
      <c r="AB721" s="249"/>
      <c r="AC721" s="330"/>
      <c r="AD721" s="343"/>
      <c r="AE721" s="249"/>
      <c r="AF721" s="330"/>
      <c r="AG721" s="343"/>
      <c r="AH721" s="249"/>
      <c r="AI721" s="330"/>
      <c r="AJ721" s="343"/>
      <c r="AK721" s="249"/>
      <c r="AL721" s="330"/>
      <c r="AM721" s="343"/>
      <c r="AN721" s="249"/>
      <c r="AO721" s="330"/>
      <c r="AP721" s="343"/>
      <c r="AQ721" s="249"/>
      <c r="AR721" s="330"/>
      <c r="AS721" s="343"/>
      <c r="AT721" s="249"/>
      <c r="AU721" s="330"/>
    </row>
    <row r="722" spans="2:47">
      <c r="B722" s="247">
        <f>'Table S2 Compound Identifiers'!C724</f>
        <v>0</v>
      </c>
      <c r="C722" s="247">
        <f>COUNTIF($D$6:D722,"&lt;&gt;"&amp;"")</f>
        <v>717</v>
      </c>
      <c r="D722" s="247">
        <f>'Table S2 Compound Identifiers'!B724</f>
        <v>0</v>
      </c>
      <c r="E722" s="247"/>
      <c r="F722" s="248"/>
      <c r="G722" s="249"/>
      <c r="H722" s="330"/>
      <c r="I722" s="328"/>
      <c r="J722" s="249"/>
      <c r="K722" s="330"/>
      <c r="L722" s="250"/>
      <c r="M722" s="249"/>
      <c r="N722" s="330"/>
      <c r="O722" s="250"/>
      <c r="P722" s="249"/>
      <c r="Q722" s="330"/>
      <c r="R722" s="250"/>
      <c r="S722" s="249"/>
      <c r="T722" s="330"/>
      <c r="U722" s="250"/>
      <c r="V722" s="249"/>
      <c r="W722" s="330"/>
      <c r="X722" s="343"/>
      <c r="Y722" s="249"/>
      <c r="Z722" s="330"/>
      <c r="AA722" s="343"/>
      <c r="AB722" s="249"/>
      <c r="AC722" s="330"/>
      <c r="AD722" s="343"/>
      <c r="AE722" s="249"/>
      <c r="AF722" s="330"/>
      <c r="AG722" s="343"/>
      <c r="AH722" s="249"/>
      <c r="AI722" s="330"/>
      <c r="AJ722" s="343"/>
      <c r="AK722" s="249"/>
      <c r="AL722" s="330"/>
      <c r="AM722" s="343"/>
      <c r="AN722" s="249"/>
      <c r="AO722" s="330"/>
      <c r="AP722" s="343"/>
      <c r="AQ722" s="249"/>
      <c r="AR722" s="330"/>
      <c r="AS722" s="343"/>
      <c r="AT722" s="249"/>
      <c r="AU722" s="330"/>
    </row>
    <row r="723" spans="2:47">
      <c r="B723" s="247">
        <f>'Table S2 Compound Identifiers'!C725</f>
        <v>0</v>
      </c>
      <c r="C723" s="247">
        <f>COUNTIF($D$6:D723,"&lt;&gt;"&amp;"")</f>
        <v>718</v>
      </c>
      <c r="D723" s="247">
        <f>'Table S2 Compound Identifiers'!B725</f>
        <v>0</v>
      </c>
      <c r="E723" s="247"/>
      <c r="F723" s="248"/>
      <c r="G723" s="249"/>
      <c r="H723" s="330"/>
      <c r="I723" s="328"/>
      <c r="J723" s="249"/>
      <c r="K723" s="330"/>
      <c r="L723" s="250"/>
      <c r="M723" s="249"/>
      <c r="N723" s="330"/>
      <c r="O723" s="250"/>
      <c r="P723" s="249"/>
      <c r="Q723" s="330"/>
      <c r="R723" s="250"/>
      <c r="S723" s="249"/>
      <c r="T723" s="330"/>
      <c r="U723" s="250"/>
      <c r="V723" s="249"/>
      <c r="W723" s="330"/>
      <c r="X723" s="343"/>
      <c r="Y723" s="249"/>
      <c r="Z723" s="330"/>
      <c r="AA723" s="343"/>
      <c r="AB723" s="249"/>
      <c r="AC723" s="330"/>
      <c r="AD723" s="343"/>
      <c r="AE723" s="249"/>
      <c r="AF723" s="330"/>
      <c r="AG723" s="343"/>
      <c r="AH723" s="249"/>
      <c r="AI723" s="330"/>
      <c r="AJ723" s="343"/>
      <c r="AK723" s="249"/>
      <c r="AL723" s="330"/>
      <c r="AM723" s="343"/>
      <c r="AN723" s="249"/>
      <c r="AO723" s="330"/>
      <c r="AP723" s="343"/>
      <c r="AQ723" s="249"/>
      <c r="AR723" s="330"/>
      <c r="AS723" s="343"/>
      <c r="AT723" s="249"/>
      <c r="AU723" s="330"/>
    </row>
    <row r="724" spans="2:47">
      <c r="B724" s="247">
        <f>'Table S2 Compound Identifiers'!C726</f>
        <v>0</v>
      </c>
      <c r="C724" s="247">
        <f>COUNTIF($D$6:D724,"&lt;&gt;"&amp;"")</f>
        <v>719</v>
      </c>
      <c r="D724" s="247">
        <f>'Table S2 Compound Identifiers'!B726</f>
        <v>0</v>
      </c>
      <c r="E724" s="247"/>
      <c r="F724" s="248"/>
      <c r="G724" s="249"/>
      <c r="H724" s="330"/>
      <c r="I724" s="328"/>
      <c r="J724" s="249"/>
      <c r="K724" s="330"/>
      <c r="L724" s="250"/>
      <c r="M724" s="249"/>
      <c r="N724" s="330"/>
      <c r="O724" s="250"/>
      <c r="P724" s="249"/>
      <c r="Q724" s="330"/>
      <c r="R724" s="250"/>
      <c r="S724" s="249"/>
      <c r="T724" s="330"/>
      <c r="U724" s="250"/>
      <c r="V724" s="249"/>
      <c r="W724" s="330"/>
      <c r="X724" s="343"/>
      <c r="Y724" s="249"/>
      <c r="Z724" s="330"/>
      <c r="AA724" s="343"/>
      <c r="AB724" s="249"/>
      <c r="AC724" s="330"/>
      <c r="AD724" s="343"/>
      <c r="AE724" s="249"/>
      <c r="AF724" s="330"/>
      <c r="AG724" s="343"/>
      <c r="AH724" s="249"/>
      <c r="AI724" s="330"/>
      <c r="AJ724" s="343"/>
      <c r="AK724" s="249"/>
      <c r="AL724" s="330"/>
      <c r="AM724" s="343"/>
      <c r="AN724" s="249"/>
      <c r="AO724" s="330"/>
      <c r="AP724" s="343"/>
      <c r="AQ724" s="249"/>
      <c r="AR724" s="330"/>
      <c r="AS724" s="343"/>
      <c r="AT724" s="249"/>
      <c r="AU724" s="330"/>
    </row>
    <row r="725" spans="2:47">
      <c r="B725" s="247">
        <f>'Table S2 Compound Identifiers'!C727</f>
        <v>0</v>
      </c>
      <c r="C725" s="247">
        <f>COUNTIF($D$6:D725,"&lt;&gt;"&amp;"")</f>
        <v>720</v>
      </c>
      <c r="D725" s="247">
        <f>'Table S2 Compound Identifiers'!B727</f>
        <v>0</v>
      </c>
      <c r="E725" s="247"/>
      <c r="F725" s="248"/>
      <c r="G725" s="249"/>
      <c r="H725" s="330"/>
      <c r="I725" s="328"/>
      <c r="J725" s="249"/>
      <c r="K725" s="330"/>
      <c r="L725" s="250"/>
      <c r="M725" s="249"/>
      <c r="N725" s="330"/>
      <c r="O725" s="250"/>
      <c r="P725" s="249"/>
      <c r="Q725" s="330"/>
      <c r="R725" s="250"/>
      <c r="S725" s="249"/>
      <c r="T725" s="330"/>
      <c r="U725" s="250"/>
      <c r="V725" s="249"/>
      <c r="W725" s="330"/>
      <c r="X725" s="343"/>
      <c r="Y725" s="249"/>
      <c r="Z725" s="330"/>
      <c r="AA725" s="343"/>
      <c r="AB725" s="249"/>
      <c r="AC725" s="330"/>
      <c r="AD725" s="343"/>
      <c r="AE725" s="249"/>
      <c r="AF725" s="330"/>
      <c r="AG725" s="343"/>
      <c r="AH725" s="249"/>
      <c r="AI725" s="330"/>
      <c r="AJ725" s="343"/>
      <c r="AK725" s="249"/>
      <c r="AL725" s="330"/>
      <c r="AM725" s="343"/>
      <c r="AN725" s="249"/>
      <c r="AO725" s="330"/>
      <c r="AP725" s="343"/>
      <c r="AQ725" s="249"/>
      <c r="AR725" s="330"/>
      <c r="AS725" s="343"/>
      <c r="AT725" s="249"/>
      <c r="AU725" s="330"/>
    </row>
    <row r="726" spans="2:47">
      <c r="B726" s="247">
        <f>'Table S2 Compound Identifiers'!C728</f>
        <v>0</v>
      </c>
      <c r="C726" s="247">
        <f>COUNTIF($D$6:D726,"&lt;&gt;"&amp;"")</f>
        <v>721</v>
      </c>
      <c r="D726" s="247">
        <f>'Table S2 Compound Identifiers'!B728</f>
        <v>0</v>
      </c>
      <c r="E726" s="247"/>
      <c r="F726" s="248"/>
      <c r="G726" s="249"/>
      <c r="H726" s="330"/>
      <c r="I726" s="328"/>
      <c r="J726" s="249"/>
      <c r="K726" s="330"/>
      <c r="L726" s="250"/>
      <c r="M726" s="249"/>
      <c r="N726" s="330"/>
      <c r="O726" s="250"/>
      <c r="P726" s="249"/>
      <c r="Q726" s="330"/>
      <c r="R726" s="250"/>
      <c r="S726" s="249"/>
      <c r="T726" s="330"/>
      <c r="U726" s="250"/>
      <c r="V726" s="249"/>
      <c r="W726" s="330"/>
      <c r="X726" s="343"/>
      <c r="Y726" s="249"/>
      <c r="Z726" s="330"/>
      <c r="AA726" s="343"/>
      <c r="AB726" s="249"/>
      <c r="AC726" s="330"/>
      <c r="AD726" s="343"/>
      <c r="AE726" s="249"/>
      <c r="AF726" s="330"/>
      <c r="AG726" s="343"/>
      <c r="AH726" s="249"/>
      <c r="AI726" s="330"/>
      <c r="AJ726" s="343"/>
      <c r="AK726" s="249"/>
      <c r="AL726" s="330"/>
      <c r="AM726" s="343"/>
      <c r="AN726" s="249"/>
      <c r="AO726" s="330"/>
      <c r="AP726" s="343"/>
      <c r="AQ726" s="249"/>
      <c r="AR726" s="330"/>
      <c r="AS726" s="343"/>
      <c r="AT726" s="249"/>
      <c r="AU726" s="330"/>
    </row>
    <row r="727" spans="2:47">
      <c r="B727" s="247">
        <f>'Table S2 Compound Identifiers'!C729</f>
        <v>0</v>
      </c>
      <c r="C727" s="247">
        <f>COUNTIF($D$6:D727,"&lt;&gt;"&amp;"")</f>
        <v>722</v>
      </c>
      <c r="D727" s="247">
        <f>'Table S2 Compound Identifiers'!B729</f>
        <v>0</v>
      </c>
      <c r="E727" s="247"/>
      <c r="F727" s="248"/>
      <c r="G727" s="249"/>
      <c r="H727" s="330"/>
      <c r="I727" s="328"/>
      <c r="J727" s="249"/>
      <c r="K727" s="330"/>
      <c r="L727" s="250"/>
      <c r="M727" s="249"/>
      <c r="N727" s="330"/>
      <c r="O727" s="250"/>
      <c r="P727" s="249"/>
      <c r="Q727" s="330"/>
      <c r="R727" s="250"/>
      <c r="S727" s="249"/>
      <c r="T727" s="330"/>
      <c r="U727" s="250"/>
      <c r="V727" s="249"/>
      <c r="W727" s="330"/>
      <c r="X727" s="343"/>
      <c r="Y727" s="249"/>
      <c r="Z727" s="330"/>
      <c r="AA727" s="343"/>
      <c r="AB727" s="249"/>
      <c r="AC727" s="330"/>
      <c r="AD727" s="343"/>
      <c r="AE727" s="249"/>
      <c r="AF727" s="330"/>
      <c r="AG727" s="343"/>
      <c r="AH727" s="249"/>
      <c r="AI727" s="330"/>
      <c r="AJ727" s="343"/>
      <c r="AK727" s="249"/>
      <c r="AL727" s="330"/>
      <c r="AM727" s="343"/>
      <c r="AN727" s="249"/>
      <c r="AO727" s="330"/>
      <c r="AP727" s="343"/>
      <c r="AQ727" s="249"/>
      <c r="AR727" s="330"/>
      <c r="AS727" s="343"/>
      <c r="AT727" s="249"/>
      <c r="AU727" s="330"/>
    </row>
    <row r="728" spans="2:47">
      <c r="B728" s="247">
        <f>'Table S2 Compound Identifiers'!C730</f>
        <v>0</v>
      </c>
      <c r="C728" s="247">
        <f>COUNTIF($D$6:D728,"&lt;&gt;"&amp;"")</f>
        <v>723</v>
      </c>
      <c r="D728" s="432">
        <f>'Table S2 Compound Identifiers'!B730</f>
        <v>0</v>
      </c>
      <c r="E728" s="247"/>
      <c r="F728" s="248"/>
      <c r="G728" s="249"/>
      <c r="H728" s="330"/>
      <c r="I728" s="328"/>
      <c r="J728" s="249"/>
      <c r="K728" s="330"/>
      <c r="L728" s="250"/>
      <c r="M728" s="249"/>
      <c r="N728" s="330"/>
      <c r="O728" s="250"/>
      <c r="P728" s="249"/>
      <c r="Q728" s="330"/>
      <c r="R728" s="250"/>
      <c r="S728" s="249"/>
      <c r="T728" s="330"/>
      <c r="U728" s="250"/>
      <c r="V728" s="249"/>
      <c r="W728" s="330"/>
      <c r="X728" s="343"/>
      <c r="Y728" s="249"/>
      <c r="Z728" s="330"/>
      <c r="AA728" s="343"/>
      <c r="AB728" s="249"/>
      <c r="AC728" s="330"/>
      <c r="AD728" s="343"/>
      <c r="AE728" s="249"/>
      <c r="AF728" s="330"/>
      <c r="AG728" s="343"/>
      <c r="AH728" s="249"/>
      <c r="AI728" s="330"/>
      <c r="AJ728" s="343"/>
      <c r="AK728" s="249"/>
      <c r="AL728" s="330"/>
      <c r="AM728" s="343"/>
      <c r="AN728" s="249"/>
      <c r="AO728" s="330"/>
      <c r="AP728" s="343"/>
      <c r="AQ728" s="249"/>
      <c r="AR728" s="330"/>
      <c r="AS728" s="343"/>
      <c r="AT728" s="249"/>
      <c r="AU728" s="330"/>
    </row>
    <row r="729" spans="2:47">
      <c r="B729" s="247">
        <f>'Table S2 Compound Identifiers'!C731</f>
        <v>0</v>
      </c>
      <c r="C729" s="247">
        <f>COUNTIF($D$6:D729,"&lt;&gt;"&amp;"")</f>
        <v>724</v>
      </c>
      <c r="D729" s="432">
        <f>'Table S2 Compound Identifiers'!B731</f>
        <v>0</v>
      </c>
      <c r="E729" s="247"/>
      <c r="F729" s="248"/>
      <c r="G729" s="249"/>
      <c r="H729" s="330"/>
      <c r="I729" s="328"/>
      <c r="J729" s="249"/>
      <c r="K729" s="330"/>
      <c r="L729" s="250"/>
      <c r="M729" s="249"/>
      <c r="N729" s="330"/>
      <c r="O729" s="250"/>
      <c r="P729" s="249"/>
      <c r="Q729" s="330"/>
      <c r="R729" s="250"/>
      <c r="S729" s="249"/>
      <c r="T729" s="330"/>
      <c r="U729" s="250"/>
      <c r="V729" s="249"/>
      <c r="W729" s="330"/>
      <c r="X729" s="343"/>
      <c r="Y729" s="249"/>
      <c r="Z729" s="330"/>
      <c r="AA729" s="343"/>
      <c r="AB729" s="249"/>
      <c r="AC729" s="330"/>
      <c r="AD729" s="343"/>
      <c r="AE729" s="249"/>
      <c r="AF729" s="330"/>
      <c r="AG729" s="343"/>
      <c r="AH729" s="249"/>
      <c r="AI729" s="330"/>
      <c r="AJ729" s="343"/>
      <c r="AK729" s="249"/>
      <c r="AL729" s="330"/>
      <c r="AM729" s="343"/>
      <c r="AN729" s="249"/>
      <c r="AO729" s="330"/>
      <c r="AP729" s="343"/>
      <c r="AQ729" s="249"/>
      <c r="AR729" s="330"/>
      <c r="AS729" s="343"/>
      <c r="AT729" s="249"/>
      <c r="AU729" s="330"/>
    </row>
    <row r="730" spans="2:47">
      <c r="B730" s="247">
        <f>'Table S2 Compound Identifiers'!C732</f>
        <v>0</v>
      </c>
      <c r="C730" s="247">
        <f>COUNTIF($D$6:D730,"&lt;&gt;"&amp;"")</f>
        <v>725</v>
      </c>
      <c r="D730" s="432">
        <f>'Table S2 Compound Identifiers'!B732</f>
        <v>0</v>
      </c>
      <c r="E730" s="247"/>
      <c r="F730" s="248"/>
      <c r="G730" s="249"/>
      <c r="H730" s="330"/>
      <c r="I730" s="328"/>
      <c r="J730" s="249"/>
      <c r="K730" s="330"/>
      <c r="L730" s="250"/>
      <c r="M730" s="249"/>
      <c r="N730" s="330"/>
      <c r="O730" s="250"/>
      <c r="P730" s="249"/>
      <c r="Q730" s="330"/>
      <c r="R730" s="250"/>
      <c r="S730" s="249"/>
      <c r="T730" s="330"/>
      <c r="U730" s="250"/>
      <c r="V730" s="249"/>
      <c r="W730" s="330"/>
      <c r="X730" s="343"/>
      <c r="Y730" s="249"/>
      <c r="Z730" s="330"/>
      <c r="AA730" s="343"/>
      <c r="AB730" s="249"/>
      <c r="AC730" s="330"/>
      <c r="AD730" s="343"/>
      <c r="AE730" s="249"/>
      <c r="AF730" s="330"/>
      <c r="AG730" s="343"/>
      <c r="AH730" s="249"/>
      <c r="AI730" s="330"/>
      <c r="AJ730" s="343"/>
      <c r="AK730" s="249"/>
      <c r="AL730" s="330"/>
      <c r="AM730" s="343"/>
      <c r="AN730" s="249"/>
      <c r="AO730" s="330"/>
      <c r="AP730" s="343"/>
      <c r="AQ730" s="249"/>
      <c r="AR730" s="330"/>
      <c r="AS730" s="343"/>
      <c r="AT730" s="249"/>
      <c r="AU730" s="330"/>
    </row>
    <row r="731" spans="2:47">
      <c r="B731" s="247">
        <f>'Table S2 Compound Identifiers'!C733</f>
        <v>0</v>
      </c>
      <c r="C731" s="247">
        <f>COUNTIF($D$6:D731,"&lt;&gt;"&amp;"")</f>
        <v>726</v>
      </c>
      <c r="D731" s="432">
        <f>'Table S2 Compound Identifiers'!B733</f>
        <v>0</v>
      </c>
      <c r="E731" s="247"/>
      <c r="F731" s="248"/>
      <c r="G731" s="249"/>
      <c r="H731" s="330"/>
      <c r="I731" s="328"/>
      <c r="J731" s="249"/>
      <c r="K731" s="330"/>
      <c r="L731" s="250"/>
      <c r="M731" s="249"/>
      <c r="N731" s="330"/>
      <c r="O731" s="250"/>
      <c r="P731" s="249"/>
      <c r="Q731" s="330"/>
      <c r="R731" s="250"/>
      <c r="S731" s="249"/>
      <c r="T731" s="330"/>
      <c r="U731" s="250"/>
      <c r="V731" s="249"/>
      <c r="W731" s="330"/>
      <c r="X731" s="343"/>
      <c r="Y731" s="249"/>
      <c r="Z731" s="330"/>
      <c r="AA731" s="343"/>
      <c r="AB731" s="249"/>
      <c r="AC731" s="330"/>
      <c r="AD731" s="343"/>
      <c r="AE731" s="249"/>
      <c r="AF731" s="330"/>
      <c r="AG731" s="343"/>
      <c r="AH731" s="249"/>
      <c r="AI731" s="330"/>
      <c r="AJ731" s="343"/>
      <c r="AK731" s="249"/>
      <c r="AL731" s="330"/>
      <c r="AM731" s="343"/>
      <c r="AN731" s="249"/>
      <c r="AO731" s="330"/>
      <c r="AP731" s="343"/>
      <c r="AQ731" s="249"/>
      <c r="AR731" s="330"/>
      <c r="AS731" s="343"/>
      <c r="AT731" s="249"/>
      <c r="AU731" s="330"/>
    </row>
    <row r="732" spans="2:47">
      <c r="B732" s="247">
        <f>'Table S2 Compound Identifiers'!C734</f>
        <v>0</v>
      </c>
      <c r="C732" s="247">
        <f>COUNTIF($D$6:D732,"&lt;&gt;"&amp;"")</f>
        <v>727</v>
      </c>
      <c r="D732" s="432">
        <f>'Table S2 Compound Identifiers'!B734</f>
        <v>0</v>
      </c>
      <c r="E732" s="247"/>
      <c r="F732" s="248"/>
      <c r="G732" s="249"/>
      <c r="H732" s="330"/>
      <c r="I732" s="328"/>
      <c r="J732" s="249"/>
      <c r="K732" s="330"/>
      <c r="L732" s="250"/>
      <c r="M732" s="249"/>
      <c r="N732" s="330"/>
      <c r="O732" s="250"/>
      <c r="P732" s="249"/>
      <c r="Q732" s="330"/>
      <c r="R732" s="250"/>
      <c r="S732" s="249"/>
      <c r="T732" s="330"/>
      <c r="U732" s="250"/>
      <c r="V732" s="249"/>
      <c r="W732" s="330"/>
      <c r="X732" s="343"/>
      <c r="Y732" s="249"/>
      <c r="Z732" s="330"/>
      <c r="AA732" s="343"/>
      <c r="AB732" s="249"/>
      <c r="AC732" s="330"/>
      <c r="AD732" s="343"/>
      <c r="AE732" s="249"/>
      <c r="AF732" s="330"/>
      <c r="AG732" s="343"/>
      <c r="AH732" s="249"/>
      <c r="AI732" s="330"/>
      <c r="AJ732" s="343"/>
      <c r="AK732" s="249"/>
      <c r="AL732" s="330"/>
      <c r="AM732" s="343"/>
      <c r="AN732" s="249"/>
      <c r="AO732" s="330"/>
      <c r="AP732" s="343"/>
      <c r="AQ732" s="249"/>
      <c r="AR732" s="330"/>
      <c r="AS732" s="343"/>
      <c r="AT732" s="249"/>
      <c r="AU732" s="330"/>
    </row>
    <row r="733" spans="2:47">
      <c r="B733" s="247">
        <f>'Table S2 Compound Identifiers'!C735</f>
        <v>0</v>
      </c>
      <c r="C733" s="247">
        <f>COUNTIF($D$6:D733,"&lt;&gt;"&amp;"")</f>
        <v>728</v>
      </c>
      <c r="D733" s="432">
        <f>'Table S2 Compound Identifiers'!B735</f>
        <v>0</v>
      </c>
      <c r="E733" s="247"/>
      <c r="F733" s="248"/>
      <c r="G733" s="249"/>
      <c r="H733" s="330"/>
      <c r="I733" s="328"/>
      <c r="J733" s="249"/>
      <c r="K733" s="330"/>
      <c r="L733" s="250"/>
      <c r="M733" s="249"/>
      <c r="N733" s="330"/>
      <c r="O733" s="250"/>
      <c r="P733" s="249"/>
      <c r="Q733" s="330"/>
      <c r="R733" s="250"/>
      <c r="S733" s="249"/>
      <c r="T733" s="330"/>
      <c r="U733" s="250"/>
      <c r="V733" s="249"/>
      <c r="W733" s="330"/>
      <c r="X733" s="343"/>
      <c r="Y733" s="249"/>
      <c r="Z733" s="330"/>
      <c r="AA733" s="343"/>
      <c r="AB733" s="249"/>
      <c r="AC733" s="330"/>
      <c r="AD733" s="343"/>
      <c r="AE733" s="249"/>
      <c r="AF733" s="330"/>
      <c r="AG733" s="343"/>
      <c r="AH733" s="249"/>
      <c r="AI733" s="330"/>
      <c r="AJ733" s="343"/>
      <c r="AK733" s="249"/>
      <c r="AL733" s="330"/>
      <c r="AM733" s="343"/>
      <c r="AN733" s="249"/>
      <c r="AO733" s="330"/>
      <c r="AP733" s="343"/>
      <c r="AQ733" s="249"/>
      <c r="AR733" s="330"/>
      <c r="AS733" s="343"/>
      <c r="AT733" s="249"/>
      <c r="AU733" s="330"/>
    </row>
    <row r="734" spans="2:47">
      <c r="B734" s="247">
        <f>'Table S2 Compound Identifiers'!C736</f>
        <v>0</v>
      </c>
      <c r="C734" s="247">
        <f>COUNTIF($D$6:D734,"&lt;&gt;"&amp;"")</f>
        <v>729</v>
      </c>
      <c r="D734" s="432">
        <f>'Table S2 Compound Identifiers'!B736</f>
        <v>0</v>
      </c>
      <c r="E734" s="247"/>
      <c r="F734" s="248"/>
      <c r="G734" s="249"/>
      <c r="H734" s="330"/>
      <c r="I734" s="328"/>
      <c r="J734" s="249"/>
      <c r="K734" s="330"/>
      <c r="L734" s="250"/>
      <c r="M734" s="249"/>
      <c r="N734" s="330"/>
      <c r="O734" s="250"/>
      <c r="P734" s="249"/>
      <c r="Q734" s="330"/>
      <c r="R734" s="250"/>
      <c r="S734" s="249"/>
      <c r="T734" s="330"/>
      <c r="U734" s="250"/>
      <c r="V734" s="249"/>
      <c r="W734" s="330"/>
      <c r="X734" s="343"/>
      <c r="Y734" s="249"/>
      <c r="Z734" s="330"/>
      <c r="AA734" s="343"/>
      <c r="AB734" s="249"/>
      <c r="AC734" s="330"/>
      <c r="AD734" s="343"/>
      <c r="AE734" s="249"/>
      <c r="AF734" s="330"/>
      <c r="AG734" s="343"/>
      <c r="AH734" s="249"/>
      <c r="AI734" s="330"/>
      <c r="AJ734" s="343"/>
      <c r="AK734" s="249"/>
      <c r="AL734" s="330"/>
      <c r="AM734" s="343"/>
      <c r="AN734" s="249"/>
      <c r="AO734" s="330"/>
      <c r="AP734" s="343"/>
      <c r="AQ734" s="249"/>
      <c r="AR734" s="330"/>
      <c r="AS734" s="343"/>
      <c r="AT734" s="249"/>
      <c r="AU734" s="330"/>
    </row>
    <row r="735" spans="2:47">
      <c r="B735" s="247">
        <f>'Table S2 Compound Identifiers'!C737</f>
        <v>0</v>
      </c>
      <c r="C735" s="247">
        <f>COUNTIF($D$6:D735,"&lt;&gt;"&amp;"")</f>
        <v>730</v>
      </c>
      <c r="D735" s="432">
        <f>'Table S2 Compound Identifiers'!B737</f>
        <v>0</v>
      </c>
      <c r="E735" s="247"/>
      <c r="F735" s="248"/>
      <c r="G735" s="249"/>
      <c r="H735" s="330"/>
      <c r="I735" s="328"/>
      <c r="J735" s="249"/>
      <c r="K735" s="330"/>
      <c r="L735" s="250"/>
      <c r="M735" s="249"/>
      <c r="N735" s="330"/>
      <c r="O735" s="250"/>
      <c r="P735" s="249"/>
      <c r="Q735" s="330"/>
      <c r="R735" s="250"/>
      <c r="S735" s="249"/>
      <c r="T735" s="330"/>
      <c r="U735" s="250"/>
      <c r="V735" s="249"/>
      <c r="W735" s="330"/>
      <c r="X735" s="343"/>
      <c r="Y735" s="249"/>
      <c r="Z735" s="330"/>
      <c r="AA735" s="343"/>
      <c r="AB735" s="249"/>
      <c r="AC735" s="330"/>
      <c r="AD735" s="343"/>
      <c r="AE735" s="249"/>
      <c r="AF735" s="330"/>
      <c r="AG735" s="343"/>
      <c r="AH735" s="249"/>
      <c r="AI735" s="330"/>
      <c r="AJ735" s="343"/>
      <c r="AK735" s="249"/>
      <c r="AL735" s="330"/>
      <c r="AM735" s="343"/>
      <c r="AN735" s="249"/>
      <c r="AO735" s="330"/>
      <c r="AP735" s="343"/>
      <c r="AQ735" s="249"/>
      <c r="AR735" s="330"/>
      <c r="AS735" s="343"/>
      <c r="AT735" s="249"/>
      <c r="AU735" s="330"/>
    </row>
    <row r="736" spans="2:47">
      <c r="B736" s="247">
        <f>'Table S2 Compound Identifiers'!C738</f>
        <v>0</v>
      </c>
      <c r="C736" s="247">
        <f>COUNTIF($D$6:D736,"&lt;&gt;"&amp;"")</f>
        <v>731</v>
      </c>
      <c r="D736" s="432">
        <f>'Table S2 Compound Identifiers'!B738</f>
        <v>0</v>
      </c>
      <c r="E736" s="247"/>
      <c r="F736" s="248"/>
      <c r="G736" s="249"/>
      <c r="H736" s="330"/>
      <c r="I736" s="328"/>
      <c r="J736" s="249"/>
      <c r="K736" s="330"/>
      <c r="L736" s="250"/>
      <c r="M736" s="249"/>
      <c r="N736" s="330"/>
      <c r="O736" s="250"/>
      <c r="P736" s="249"/>
      <c r="Q736" s="330"/>
      <c r="R736" s="250"/>
      <c r="S736" s="249"/>
      <c r="T736" s="330"/>
      <c r="U736" s="250"/>
      <c r="V736" s="249"/>
      <c r="W736" s="330"/>
      <c r="X736" s="343"/>
      <c r="Y736" s="249"/>
      <c r="Z736" s="330"/>
      <c r="AA736" s="343"/>
      <c r="AB736" s="249"/>
      <c r="AC736" s="330"/>
      <c r="AD736" s="343"/>
      <c r="AE736" s="249"/>
      <c r="AF736" s="330"/>
      <c r="AG736" s="343"/>
      <c r="AH736" s="249"/>
      <c r="AI736" s="330"/>
      <c r="AJ736" s="343"/>
      <c r="AK736" s="249"/>
      <c r="AL736" s="330"/>
      <c r="AM736" s="343"/>
      <c r="AN736" s="249"/>
      <c r="AO736" s="330"/>
      <c r="AP736" s="343"/>
      <c r="AQ736" s="249"/>
      <c r="AR736" s="330"/>
      <c r="AS736" s="343"/>
      <c r="AT736" s="249"/>
      <c r="AU736" s="330"/>
    </row>
    <row r="737" spans="2:47">
      <c r="B737" s="247">
        <f>'Table S2 Compound Identifiers'!C739</f>
        <v>0</v>
      </c>
      <c r="C737" s="247">
        <f>COUNTIF($D$6:D737,"&lt;&gt;"&amp;"")</f>
        <v>732</v>
      </c>
      <c r="D737" s="432">
        <f>'Table S2 Compound Identifiers'!B739</f>
        <v>0</v>
      </c>
      <c r="E737" s="247"/>
      <c r="F737" s="248"/>
      <c r="G737" s="249"/>
      <c r="H737" s="330"/>
      <c r="I737" s="328"/>
      <c r="J737" s="249"/>
      <c r="K737" s="330"/>
      <c r="L737" s="250"/>
      <c r="M737" s="249"/>
      <c r="N737" s="330"/>
      <c r="O737" s="250"/>
      <c r="P737" s="249"/>
      <c r="Q737" s="330"/>
      <c r="R737" s="250"/>
      <c r="S737" s="249"/>
      <c r="T737" s="330"/>
      <c r="U737" s="250"/>
      <c r="V737" s="249"/>
      <c r="W737" s="330"/>
      <c r="X737" s="343"/>
      <c r="Y737" s="249"/>
      <c r="Z737" s="330"/>
      <c r="AA737" s="343"/>
      <c r="AB737" s="249"/>
      <c r="AC737" s="330"/>
      <c r="AD737" s="343"/>
      <c r="AE737" s="249"/>
      <c r="AF737" s="330"/>
      <c r="AG737" s="343"/>
      <c r="AH737" s="249"/>
      <c r="AI737" s="330"/>
      <c r="AJ737" s="343"/>
      <c r="AK737" s="249"/>
      <c r="AL737" s="330"/>
      <c r="AM737" s="343"/>
      <c r="AN737" s="249"/>
      <c r="AO737" s="330"/>
      <c r="AP737" s="343"/>
      <c r="AQ737" s="249"/>
      <c r="AR737" s="330"/>
      <c r="AS737" s="343"/>
      <c r="AT737" s="249"/>
      <c r="AU737" s="330"/>
    </row>
    <row r="738" spans="2:47">
      <c r="B738" s="247">
        <f>'Table S2 Compound Identifiers'!C740</f>
        <v>0</v>
      </c>
      <c r="C738" s="247">
        <f>COUNTIF($D$6:D738,"&lt;&gt;"&amp;"")</f>
        <v>733</v>
      </c>
      <c r="D738" s="247">
        <f>'Table S2 Compound Identifiers'!B740</f>
        <v>0</v>
      </c>
      <c r="E738" s="247"/>
      <c r="F738" s="248"/>
      <c r="G738" s="249"/>
      <c r="H738" s="330"/>
      <c r="I738" s="328"/>
      <c r="J738" s="249"/>
      <c r="K738" s="330"/>
      <c r="L738" s="250"/>
      <c r="M738" s="249"/>
      <c r="N738" s="330"/>
      <c r="O738" s="250"/>
      <c r="P738" s="249"/>
      <c r="Q738" s="330"/>
      <c r="R738" s="250"/>
      <c r="S738" s="249"/>
      <c r="T738" s="330"/>
      <c r="U738" s="250"/>
      <c r="V738" s="249"/>
      <c r="W738" s="330"/>
      <c r="X738" s="343"/>
      <c r="Y738" s="249"/>
      <c r="Z738" s="330"/>
      <c r="AA738" s="343"/>
      <c r="AB738" s="249"/>
      <c r="AC738" s="330"/>
      <c r="AD738" s="343"/>
      <c r="AE738" s="249"/>
      <c r="AF738" s="330"/>
      <c r="AG738" s="343"/>
      <c r="AH738" s="249"/>
      <c r="AI738" s="330"/>
      <c r="AJ738" s="343"/>
      <c r="AK738" s="249"/>
      <c r="AL738" s="330"/>
      <c r="AM738" s="343"/>
      <c r="AN738" s="249"/>
      <c r="AO738" s="330"/>
      <c r="AP738" s="343"/>
      <c r="AQ738" s="249"/>
      <c r="AR738" s="330"/>
      <c r="AS738" s="343"/>
      <c r="AT738" s="249"/>
      <c r="AU738" s="330"/>
    </row>
    <row r="739" spans="2:47">
      <c r="B739" s="247">
        <f>'Table S2 Compound Identifiers'!C741</f>
        <v>0</v>
      </c>
      <c r="C739" s="247">
        <f>COUNTIF($D$6:D739,"&lt;&gt;"&amp;"")</f>
        <v>734</v>
      </c>
      <c r="D739" s="247">
        <f>'Table S2 Compound Identifiers'!B741</f>
        <v>0</v>
      </c>
      <c r="E739" s="247"/>
      <c r="F739" s="248"/>
      <c r="G739" s="249"/>
      <c r="H739" s="330"/>
      <c r="I739" s="328"/>
      <c r="J739" s="249"/>
      <c r="K739" s="330"/>
      <c r="L739" s="250"/>
      <c r="M739" s="249"/>
      <c r="N739" s="330"/>
      <c r="O739" s="250"/>
      <c r="P739" s="249"/>
      <c r="Q739" s="330"/>
      <c r="R739" s="250"/>
      <c r="S739" s="249"/>
      <c r="T739" s="330"/>
      <c r="U739" s="250"/>
      <c r="V739" s="249"/>
      <c r="W739" s="330"/>
      <c r="X739" s="343"/>
      <c r="Y739" s="249"/>
      <c r="Z739" s="330"/>
      <c r="AA739" s="343"/>
      <c r="AB739" s="249"/>
      <c r="AC739" s="330"/>
      <c r="AD739" s="343"/>
      <c r="AE739" s="249"/>
      <c r="AF739" s="330"/>
      <c r="AG739" s="343"/>
      <c r="AH739" s="249"/>
      <c r="AI739" s="330"/>
      <c r="AJ739" s="343"/>
      <c r="AK739" s="249"/>
      <c r="AL739" s="330"/>
      <c r="AM739" s="343"/>
      <c r="AN739" s="249"/>
      <c r="AO739" s="330"/>
      <c r="AP739" s="343"/>
      <c r="AQ739" s="249"/>
      <c r="AR739" s="330"/>
      <c r="AS739" s="343"/>
      <c r="AT739" s="249"/>
      <c r="AU739" s="330"/>
    </row>
    <row r="740" spans="2:47">
      <c r="B740" s="247">
        <f>'Table S2 Compound Identifiers'!C742</f>
        <v>0</v>
      </c>
      <c r="C740" s="247">
        <f>COUNTIF($D$6:D740,"&lt;&gt;"&amp;"")</f>
        <v>735</v>
      </c>
      <c r="D740" s="247">
        <f>'Table S2 Compound Identifiers'!B742</f>
        <v>0</v>
      </c>
      <c r="E740" s="247"/>
      <c r="F740" s="248"/>
      <c r="G740" s="249"/>
      <c r="H740" s="330"/>
      <c r="I740" s="328"/>
      <c r="J740" s="249"/>
      <c r="K740" s="330"/>
      <c r="L740" s="250"/>
      <c r="M740" s="249"/>
      <c r="N740" s="330"/>
      <c r="O740" s="250"/>
      <c r="P740" s="249"/>
      <c r="Q740" s="330"/>
      <c r="R740" s="250"/>
      <c r="S740" s="249"/>
      <c r="T740" s="330"/>
      <c r="U740" s="250"/>
      <c r="V740" s="249"/>
      <c r="W740" s="330"/>
      <c r="X740" s="343"/>
      <c r="Y740" s="249"/>
      <c r="Z740" s="330"/>
      <c r="AA740" s="343"/>
      <c r="AB740" s="249"/>
      <c r="AC740" s="330"/>
      <c r="AD740" s="343"/>
      <c r="AE740" s="249"/>
      <c r="AF740" s="330"/>
      <c r="AG740" s="343"/>
      <c r="AH740" s="249"/>
      <c r="AI740" s="330"/>
      <c r="AJ740" s="343"/>
      <c r="AK740" s="249"/>
      <c r="AL740" s="330"/>
      <c r="AM740" s="343"/>
      <c r="AN740" s="249"/>
      <c r="AO740" s="330"/>
      <c r="AP740" s="343"/>
      <c r="AQ740" s="249"/>
      <c r="AR740" s="330"/>
      <c r="AS740" s="343"/>
      <c r="AT740" s="249"/>
      <c r="AU740" s="330"/>
    </row>
    <row r="741" spans="2:47">
      <c r="B741" s="247">
        <f>'Table S2 Compound Identifiers'!C743</f>
        <v>0</v>
      </c>
      <c r="C741" s="247">
        <f>COUNTIF($D$6:D741,"&lt;&gt;"&amp;"")</f>
        <v>736</v>
      </c>
      <c r="D741" s="247">
        <f>'Table S2 Compound Identifiers'!B743</f>
        <v>0</v>
      </c>
      <c r="E741" s="247"/>
      <c r="F741" s="248"/>
      <c r="G741" s="249"/>
      <c r="H741" s="330"/>
      <c r="I741" s="328"/>
      <c r="J741" s="249"/>
      <c r="K741" s="330"/>
      <c r="L741" s="250"/>
      <c r="M741" s="249"/>
      <c r="N741" s="330"/>
      <c r="O741" s="250"/>
      <c r="P741" s="249"/>
      <c r="Q741" s="330"/>
      <c r="R741" s="250"/>
      <c r="S741" s="249"/>
      <c r="T741" s="330"/>
      <c r="U741" s="250"/>
      <c r="V741" s="249"/>
      <c r="W741" s="330"/>
      <c r="X741" s="343"/>
      <c r="Y741" s="249"/>
      <c r="Z741" s="330"/>
      <c r="AA741" s="343"/>
      <c r="AB741" s="249"/>
      <c r="AC741" s="330"/>
      <c r="AD741" s="343"/>
      <c r="AE741" s="249"/>
      <c r="AF741" s="330"/>
      <c r="AG741" s="343"/>
      <c r="AH741" s="249"/>
      <c r="AI741" s="330"/>
      <c r="AJ741" s="343"/>
      <c r="AK741" s="249"/>
      <c r="AL741" s="330"/>
      <c r="AM741" s="343"/>
      <c r="AN741" s="249"/>
      <c r="AO741" s="330"/>
      <c r="AP741" s="343"/>
      <c r="AQ741" s="249"/>
      <c r="AR741" s="330"/>
      <c r="AS741" s="343"/>
      <c r="AT741" s="249"/>
      <c r="AU741" s="330"/>
    </row>
    <row r="742" spans="2:47">
      <c r="B742" s="247">
        <f>'Table S2 Compound Identifiers'!C744</f>
        <v>0</v>
      </c>
      <c r="C742" s="247">
        <f>COUNTIF($D$6:D742,"&lt;&gt;"&amp;"")</f>
        <v>737</v>
      </c>
      <c r="D742" s="247">
        <f>'Table S2 Compound Identifiers'!B744</f>
        <v>0</v>
      </c>
      <c r="E742" s="247"/>
      <c r="F742" s="248"/>
      <c r="G742" s="249"/>
      <c r="H742" s="330"/>
      <c r="I742" s="328"/>
      <c r="J742" s="249"/>
      <c r="K742" s="330"/>
      <c r="L742" s="250"/>
      <c r="M742" s="249"/>
      <c r="N742" s="330"/>
      <c r="O742" s="250"/>
      <c r="P742" s="249"/>
      <c r="Q742" s="330"/>
      <c r="R742" s="250"/>
      <c r="S742" s="249"/>
      <c r="T742" s="330"/>
      <c r="U742" s="250"/>
      <c r="V742" s="249"/>
      <c r="W742" s="330"/>
      <c r="X742" s="343"/>
      <c r="Y742" s="249"/>
      <c r="Z742" s="330"/>
      <c r="AA742" s="343"/>
      <c r="AB742" s="249"/>
      <c r="AC742" s="330"/>
      <c r="AD742" s="343"/>
      <c r="AE742" s="249"/>
      <c r="AF742" s="330"/>
      <c r="AG742" s="343"/>
      <c r="AH742" s="249"/>
      <c r="AI742" s="330"/>
      <c r="AJ742" s="343"/>
      <c r="AK742" s="249"/>
      <c r="AL742" s="330"/>
      <c r="AM742" s="343"/>
      <c r="AN742" s="249"/>
      <c r="AO742" s="330"/>
      <c r="AP742" s="343"/>
      <c r="AQ742" s="249"/>
      <c r="AR742" s="330"/>
      <c r="AS742" s="343"/>
      <c r="AT742" s="249"/>
      <c r="AU742" s="330"/>
    </row>
    <row r="743" spans="2:47">
      <c r="B743" s="247">
        <f>'Table S2 Compound Identifiers'!C745</f>
        <v>0</v>
      </c>
      <c r="C743" s="247">
        <f>COUNTIF($D$6:D743,"&lt;&gt;"&amp;"")</f>
        <v>738</v>
      </c>
      <c r="D743" s="247">
        <f>'Table S2 Compound Identifiers'!B745</f>
        <v>0</v>
      </c>
      <c r="E743" s="247"/>
      <c r="F743" s="248"/>
      <c r="G743" s="249"/>
      <c r="H743" s="330"/>
      <c r="I743" s="328"/>
      <c r="J743" s="249"/>
      <c r="K743" s="330"/>
      <c r="L743" s="250"/>
      <c r="M743" s="249"/>
      <c r="N743" s="330"/>
      <c r="O743" s="250"/>
      <c r="P743" s="249"/>
      <c r="Q743" s="330"/>
      <c r="R743" s="250"/>
      <c r="S743" s="249"/>
      <c r="T743" s="330"/>
      <c r="U743" s="250"/>
      <c r="V743" s="249"/>
      <c r="W743" s="330"/>
      <c r="X743" s="343"/>
      <c r="Y743" s="249"/>
      <c r="Z743" s="330"/>
      <c r="AA743" s="343"/>
      <c r="AB743" s="249"/>
      <c r="AC743" s="330"/>
      <c r="AD743" s="343"/>
      <c r="AE743" s="249"/>
      <c r="AF743" s="330"/>
      <c r="AG743" s="343"/>
      <c r="AH743" s="249"/>
      <c r="AI743" s="330"/>
      <c r="AJ743" s="343"/>
      <c r="AK743" s="249"/>
      <c r="AL743" s="330"/>
      <c r="AM743" s="343"/>
      <c r="AN743" s="249"/>
      <c r="AO743" s="330"/>
      <c r="AP743" s="343"/>
      <c r="AQ743" s="249"/>
      <c r="AR743" s="330"/>
      <c r="AS743" s="343"/>
      <c r="AT743" s="249"/>
      <c r="AU743" s="330"/>
    </row>
    <row r="744" spans="2:47">
      <c r="B744" s="247">
        <f>'Table S2 Compound Identifiers'!C746</f>
        <v>0</v>
      </c>
      <c r="C744" s="247">
        <f>COUNTIF($D$6:D744,"&lt;&gt;"&amp;"")</f>
        <v>739</v>
      </c>
      <c r="D744" s="247">
        <f>'Table S2 Compound Identifiers'!B746</f>
        <v>0</v>
      </c>
      <c r="E744" s="247"/>
      <c r="F744" s="248"/>
      <c r="G744" s="249"/>
      <c r="H744" s="330"/>
      <c r="I744" s="328"/>
      <c r="J744" s="249"/>
      <c r="K744" s="330"/>
      <c r="L744" s="250"/>
      <c r="M744" s="249"/>
      <c r="N744" s="330"/>
      <c r="O744" s="251"/>
      <c r="P744" s="252"/>
      <c r="Q744" s="330"/>
      <c r="R744" s="251"/>
      <c r="S744" s="252"/>
      <c r="T744" s="330"/>
      <c r="U744" s="251"/>
      <c r="V744" s="252"/>
      <c r="W744" s="330"/>
      <c r="X744" s="343"/>
      <c r="Y744" s="249"/>
      <c r="Z744" s="330"/>
      <c r="AA744" s="343"/>
      <c r="AB744" s="249"/>
      <c r="AC744" s="330"/>
      <c r="AD744" s="343"/>
      <c r="AE744" s="249"/>
      <c r="AF744" s="330"/>
      <c r="AG744" s="343"/>
      <c r="AH744" s="249"/>
      <c r="AI744" s="330"/>
      <c r="AJ744" s="343"/>
      <c r="AK744" s="249"/>
      <c r="AL744" s="330"/>
      <c r="AM744" s="343"/>
      <c r="AN744" s="249"/>
      <c r="AO744" s="330"/>
      <c r="AP744" s="343"/>
      <c r="AQ744" s="249"/>
      <c r="AR744" s="330"/>
      <c r="AS744" s="343"/>
      <c r="AT744" s="249"/>
      <c r="AU744" s="330"/>
    </row>
    <row r="745" spans="2:47">
      <c r="B745" s="247">
        <f>'Table S2 Compound Identifiers'!C747</f>
        <v>0</v>
      </c>
      <c r="C745" s="253">
        <f>COUNTIF($D$6:D745,"&lt;&gt;"&amp;"")</f>
        <v>740</v>
      </c>
      <c r="D745" s="253">
        <f>'Table S2 Compound Identifiers'!B747</f>
        <v>0</v>
      </c>
      <c r="E745" s="253"/>
      <c r="F745" s="254"/>
      <c r="G745" s="252"/>
      <c r="H745" s="330"/>
      <c r="I745" s="333"/>
      <c r="J745" s="252"/>
      <c r="K745" s="330"/>
      <c r="L745" s="251"/>
      <c r="M745" s="252"/>
      <c r="N745" s="330"/>
      <c r="O745" s="251"/>
      <c r="P745" s="252"/>
      <c r="Q745" s="330"/>
      <c r="R745" s="251"/>
      <c r="S745" s="252"/>
      <c r="T745" s="330"/>
      <c r="U745" s="251"/>
      <c r="V745" s="252"/>
      <c r="W745" s="330"/>
      <c r="X745" s="343"/>
      <c r="Y745" s="249"/>
      <c r="Z745" s="330"/>
      <c r="AA745" s="343"/>
      <c r="AB745" s="249"/>
      <c r="AC745" s="330"/>
      <c r="AD745" s="343"/>
      <c r="AE745" s="249"/>
      <c r="AF745" s="330"/>
      <c r="AG745" s="343"/>
      <c r="AH745" s="249"/>
      <c r="AI745" s="330"/>
      <c r="AJ745" s="343"/>
      <c r="AK745" s="249"/>
      <c r="AL745" s="330"/>
      <c r="AM745" s="343"/>
      <c r="AN745" s="249"/>
      <c r="AO745" s="330"/>
      <c r="AP745" s="343"/>
      <c r="AQ745" s="249"/>
      <c r="AR745" s="330"/>
      <c r="AS745" s="343"/>
      <c r="AT745" s="249"/>
      <c r="AU745" s="330"/>
    </row>
    <row r="746" spans="2:47">
      <c r="B746" s="247">
        <f>'Table S2 Compound Identifiers'!C748</f>
        <v>0</v>
      </c>
      <c r="C746" s="247">
        <f>COUNTIF($D$6:D746,"&lt;&gt;"&amp;"")</f>
        <v>741</v>
      </c>
      <c r="D746" s="247">
        <f>'Table S2 Compound Identifiers'!B748</f>
        <v>0</v>
      </c>
      <c r="E746" s="247"/>
      <c r="F746" s="248"/>
      <c r="G746" s="250"/>
      <c r="H746" s="330"/>
      <c r="I746" s="343"/>
      <c r="J746" s="249"/>
      <c r="K746" s="327"/>
      <c r="L746" s="343"/>
      <c r="M746" s="249"/>
      <c r="N746" s="327"/>
      <c r="O746" s="343"/>
      <c r="P746" s="249"/>
      <c r="Q746" s="327"/>
      <c r="R746" s="343"/>
      <c r="S746" s="249"/>
      <c r="T746" s="327"/>
      <c r="U746" s="343"/>
      <c r="V746" s="249"/>
      <c r="W746" s="327"/>
      <c r="X746" s="343"/>
      <c r="Y746" s="249"/>
      <c r="Z746" s="327"/>
      <c r="AA746" s="343"/>
      <c r="AB746" s="249"/>
      <c r="AC746" s="343"/>
      <c r="AD746" s="343"/>
      <c r="AE746" s="249"/>
      <c r="AF746" s="249"/>
      <c r="AG746" s="343"/>
      <c r="AH746" s="249"/>
      <c r="AI746" s="343"/>
      <c r="AJ746" s="343"/>
      <c r="AK746" s="249"/>
      <c r="AL746" s="249"/>
      <c r="AM746" s="343"/>
      <c r="AN746" s="249"/>
      <c r="AO746" s="343"/>
      <c r="AP746" s="343"/>
      <c r="AQ746" s="249"/>
      <c r="AR746" s="249"/>
      <c r="AS746" s="343"/>
      <c r="AT746" s="249"/>
      <c r="AU746" s="343"/>
    </row>
    <row r="747" spans="2:47">
      <c r="B747" s="247">
        <f>'Table S2 Compound Identifiers'!C749</f>
        <v>0</v>
      </c>
      <c r="C747" s="247">
        <f>COUNTIF($D$6:D747,"&lt;&gt;"&amp;"")</f>
        <v>742</v>
      </c>
      <c r="D747" s="247">
        <f>'Table S2 Compound Identifiers'!B749</f>
        <v>0</v>
      </c>
      <c r="E747" s="247"/>
      <c r="F747" s="248"/>
      <c r="G747" s="249"/>
      <c r="H747" s="330"/>
      <c r="I747" s="332"/>
      <c r="J747" s="330"/>
      <c r="K747" s="330"/>
      <c r="L747" s="330"/>
      <c r="M747" s="330"/>
      <c r="N747" s="330"/>
      <c r="O747" s="330"/>
      <c r="P747" s="330"/>
      <c r="Q747" s="330"/>
      <c r="R747" s="330"/>
      <c r="S747" s="330"/>
      <c r="T747" s="330"/>
      <c r="U747" s="330"/>
      <c r="V747" s="330"/>
      <c r="W747" s="330"/>
      <c r="X747" s="343"/>
      <c r="Y747" s="249"/>
      <c r="Z747" s="330"/>
      <c r="AA747" s="343"/>
      <c r="AB747" s="249"/>
      <c r="AC747" s="330"/>
      <c r="AD747" s="343"/>
      <c r="AE747" s="249"/>
      <c r="AF747" s="330"/>
      <c r="AG747" s="343"/>
      <c r="AH747" s="249"/>
      <c r="AI747" s="330"/>
      <c r="AJ747" s="343"/>
      <c r="AK747" s="249"/>
      <c r="AL747" s="330"/>
      <c r="AM747" s="343"/>
      <c r="AN747" s="249"/>
      <c r="AO747" s="330"/>
      <c r="AP747" s="343"/>
      <c r="AQ747" s="249"/>
      <c r="AR747" s="330"/>
      <c r="AS747" s="343"/>
      <c r="AT747" s="249"/>
      <c r="AU747" s="330"/>
    </row>
    <row r="748" spans="2:47">
      <c r="B748" s="247">
        <f>'Table S2 Compound Identifiers'!C750</f>
        <v>0</v>
      </c>
      <c r="C748" s="247">
        <f>COUNTIF($D$6:D748,"&lt;&gt;"&amp;"")</f>
        <v>743</v>
      </c>
      <c r="D748" s="247">
        <f>'Table S2 Compound Identifiers'!B750</f>
        <v>0</v>
      </c>
      <c r="E748" s="247"/>
      <c r="F748" s="248"/>
      <c r="G748" s="249"/>
      <c r="H748" s="330"/>
      <c r="I748" s="332"/>
      <c r="J748" s="330"/>
      <c r="K748" s="330"/>
      <c r="L748" s="330"/>
      <c r="M748" s="330"/>
      <c r="N748" s="330"/>
      <c r="O748" s="330"/>
      <c r="P748" s="330"/>
      <c r="Q748" s="330"/>
      <c r="R748" s="330"/>
      <c r="S748" s="330"/>
      <c r="T748" s="330"/>
      <c r="U748" s="330"/>
      <c r="V748" s="330"/>
      <c r="W748" s="330"/>
      <c r="X748" s="343"/>
      <c r="Y748" s="249"/>
      <c r="Z748" s="330"/>
      <c r="AA748" s="343"/>
      <c r="AB748" s="249"/>
      <c r="AC748" s="330"/>
      <c r="AD748" s="343"/>
      <c r="AE748" s="249"/>
      <c r="AF748" s="330"/>
      <c r="AG748" s="343"/>
      <c r="AH748" s="249"/>
      <c r="AI748" s="330"/>
      <c r="AJ748" s="343"/>
      <c r="AK748" s="249"/>
      <c r="AL748" s="330"/>
      <c r="AM748" s="343"/>
      <c r="AN748" s="249"/>
      <c r="AO748" s="330"/>
      <c r="AP748" s="343"/>
      <c r="AQ748" s="249"/>
      <c r="AR748" s="330"/>
      <c r="AS748" s="343"/>
      <c r="AT748" s="249"/>
      <c r="AU748" s="330"/>
    </row>
    <row r="749" spans="2:47">
      <c r="B749" s="247">
        <f>'Table S2 Compound Identifiers'!C751</f>
        <v>0</v>
      </c>
      <c r="C749" s="247">
        <f>COUNTIF($D$6:D749,"&lt;&gt;"&amp;"")</f>
        <v>744</v>
      </c>
      <c r="D749" s="247">
        <f>'Table S2 Compound Identifiers'!B751</f>
        <v>0</v>
      </c>
      <c r="E749" s="247"/>
      <c r="F749" s="248"/>
      <c r="G749" s="249"/>
      <c r="H749" s="330"/>
      <c r="I749" s="332"/>
      <c r="J749" s="330"/>
      <c r="K749" s="330"/>
      <c r="L749" s="330"/>
      <c r="M749" s="330"/>
      <c r="N749" s="330"/>
      <c r="O749" s="330"/>
      <c r="P749" s="330"/>
      <c r="Q749" s="330"/>
      <c r="R749" s="330"/>
      <c r="S749" s="330"/>
      <c r="T749" s="330"/>
      <c r="U749" s="330"/>
      <c r="V749" s="330"/>
      <c r="W749" s="330"/>
      <c r="X749" s="343"/>
      <c r="Y749" s="249"/>
      <c r="Z749" s="330"/>
      <c r="AA749" s="343"/>
      <c r="AB749" s="249"/>
      <c r="AC749" s="330"/>
      <c r="AD749" s="343"/>
      <c r="AE749" s="249"/>
      <c r="AF749" s="330"/>
      <c r="AG749" s="343"/>
      <c r="AH749" s="249"/>
      <c r="AI749" s="330"/>
      <c r="AJ749" s="343"/>
      <c r="AK749" s="249"/>
      <c r="AL749" s="330"/>
      <c r="AM749" s="343"/>
      <c r="AN749" s="249"/>
      <c r="AO749" s="330"/>
      <c r="AP749" s="343"/>
      <c r="AQ749" s="249"/>
      <c r="AR749" s="330"/>
      <c r="AS749" s="343"/>
      <c r="AT749" s="249"/>
      <c r="AU749" s="330"/>
    </row>
    <row r="750" spans="2:47">
      <c r="B750" s="247">
        <f>'Table S2 Compound Identifiers'!C752</f>
        <v>0</v>
      </c>
      <c r="C750" s="247">
        <f>COUNTIF($D$6:D750,"&lt;&gt;"&amp;"")</f>
        <v>745</v>
      </c>
      <c r="D750" s="247">
        <f>'Table S2 Compound Identifiers'!B752</f>
        <v>0</v>
      </c>
      <c r="E750" s="247"/>
      <c r="F750" s="248"/>
      <c r="G750" s="249"/>
      <c r="H750" s="330"/>
      <c r="I750" s="328"/>
      <c r="J750" s="249"/>
      <c r="K750" s="330"/>
      <c r="L750" s="250"/>
      <c r="M750" s="249"/>
      <c r="N750" s="330"/>
      <c r="O750" s="250"/>
      <c r="P750" s="249"/>
      <c r="Q750" s="330"/>
      <c r="R750" s="250"/>
      <c r="S750" s="249"/>
      <c r="T750" s="330"/>
      <c r="U750" s="250"/>
      <c r="V750" s="249"/>
      <c r="W750" s="330"/>
      <c r="X750" s="343"/>
      <c r="Y750" s="249"/>
      <c r="Z750" s="330"/>
      <c r="AA750" s="343"/>
      <c r="AB750" s="249"/>
      <c r="AC750" s="330"/>
      <c r="AD750" s="343"/>
      <c r="AE750" s="249"/>
      <c r="AF750" s="330"/>
      <c r="AG750" s="343"/>
      <c r="AH750" s="249"/>
      <c r="AI750" s="330"/>
      <c r="AJ750" s="343"/>
      <c r="AK750" s="249"/>
      <c r="AL750" s="330"/>
      <c r="AM750" s="343"/>
      <c r="AN750" s="249"/>
      <c r="AO750" s="330"/>
      <c r="AP750" s="343"/>
      <c r="AQ750" s="249"/>
      <c r="AR750" s="330"/>
      <c r="AS750" s="343"/>
      <c r="AT750" s="249"/>
      <c r="AU750" s="330"/>
    </row>
    <row r="751" spans="2:47">
      <c r="B751" s="247">
        <f>'Table S2 Compound Identifiers'!C753</f>
        <v>0</v>
      </c>
      <c r="C751" s="247">
        <f>COUNTIF($D$6:D751,"&lt;&gt;"&amp;"")</f>
        <v>746</v>
      </c>
      <c r="D751" s="247">
        <f>'Table S2 Compound Identifiers'!B753</f>
        <v>0</v>
      </c>
      <c r="E751" s="247"/>
      <c r="F751" s="248"/>
      <c r="G751" s="249"/>
      <c r="H751" s="330"/>
      <c r="I751" s="328"/>
      <c r="J751" s="249"/>
      <c r="K751" s="330"/>
      <c r="L751" s="250"/>
      <c r="M751" s="249"/>
      <c r="N751" s="330"/>
      <c r="O751" s="250"/>
      <c r="P751" s="249"/>
      <c r="Q751" s="330"/>
      <c r="R751" s="250"/>
      <c r="S751" s="249"/>
      <c r="T751" s="330"/>
      <c r="U751" s="250"/>
      <c r="V751" s="249"/>
      <c r="W751" s="330"/>
      <c r="X751" s="343"/>
      <c r="Y751" s="249"/>
      <c r="Z751" s="330"/>
      <c r="AA751" s="343"/>
      <c r="AB751" s="249"/>
      <c r="AC751" s="330"/>
      <c r="AD751" s="343"/>
      <c r="AE751" s="249"/>
      <c r="AF751" s="330"/>
      <c r="AG751" s="343"/>
      <c r="AH751" s="249"/>
      <c r="AI751" s="330"/>
      <c r="AJ751" s="343"/>
      <c r="AK751" s="249"/>
      <c r="AL751" s="330"/>
      <c r="AM751" s="343"/>
      <c r="AN751" s="249"/>
      <c r="AO751" s="330"/>
      <c r="AP751" s="343"/>
      <c r="AQ751" s="249"/>
      <c r="AR751" s="330"/>
      <c r="AS751" s="343"/>
      <c r="AT751" s="249"/>
      <c r="AU751" s="330"/>
    </row>
    <row r="752" spans="2:47">
      <c r="B752" s="247">
        <f>'Table S2 Compound Identifiers'!C754</f>
        <v>0</v>
      </c>
      <c r="C752" s="247">
        <f>COUNTIF($D$6:D752,"&lt;&gt;"&amp;"")</f>
        <v>747</v>
      </c>
      <c r="D752" s="247">
        <f>'Table S2 Compound Identifiers'!B754</f>
        <v>0</v>
      </c>
      <c r="E752" s="247"/>
      <c r="F752" s="248"/>
      <c r="G752" s="249"/>
      <c r="H752" s="330"/>
      <c r="I752" s="328"/>
      <c r="J752" s="249"/>
      <c r="K752" s="330"/>
      <c r="L752" s="250"/>
      <c r="M752" s="249"/>
      <c r="N752" s="330"/>
      <c r="O752" s="250"/>
      <c r="P752" s="249"/>
      <c r="Q752" s="330"/>
      <c r="R752" s="250"/>
      <c r="S752" s="249"/>
      <c r="T752" s="330"/>
      <c r="U752" s="250"/>
      <c r="V752" s="249"/>
      <c r="W752" s="330"/>
      <c r="X752" s="343"/>
      <c r="Y752" s="249"/>
      <c r="Z752" s="330"/>
      <c r="AA752" s="343"/>
      <c r="AB752" s="249"/>
      <c r="AC752" s="330"/>
      <c r="AD752" s="343"/>
      <c r="AE752" s="249"/>
      <c r="AF752" s="330"/>
      <c r="AG752" s="343"/>
      <c r="AH752" s="249"/>
      <c r="AI752" s="330"/>
      <c r="AJ752" s="343"/>
      <c r="AK752" s="249"/>
      <c r="AL752" s="330"/>
      <c r="AM752" s="343"/>
      <c r="AN752" s="249"/>
      <c r="AO752" s="330"/>
      <c r="AP752" s="343"/>
      <c r="AQ752" s="249"/>
      <c r="AR752" s="330"/>
      <c r="AS752" s="343"/>
      <c r="AT752" s="249"/>
      <c r="AU752" s="330"/>
    </row>
    <row r="753" spans="2:47">
      <c r="B753" s="247">
        <f>'Table S2 Compound Identifiers'!C755</f>
        <v>0</v>
      </c>
      <c r="C753" s="247">
        <f>COUNTIF($D$6:D753,"&lt;&gt;"&amp;"")</f>
        <v>748</v>
      </c>
      <c r="D753" s="247">
        <f>'Table S2 Compound Identifiers'!B755</f>
        <v>0</v>
      </c>
      <c r="E753" s="247"/>
      <c r="F753" s="248"/>
      <c r="G753" s="249"/>
      <c r="H753" s="330"/>
      <c r="I753" s="328"/>
      <c r="J753" s="249"/>
      <c r="K753" s="330"/>
      <c r="L753" s="250"/>
      <c r="M753" s="249"/>
      <c r="N753" s="330"/>
      <c r="O753" s="250"/>
      <c r="P753" s="249"/>
      <c r="Q753" s="330"/>
      <c r="R753" s="250"/>
      <c r="S753" s="249"/>
      <c r="T753" s="330"/>
      <c r="U753" s="250"/>
      <c r="V753" s="249"/>
      <c r="W753" s="330"/>
      <c r="X753" s="343"/>
      <c r="Y753" s="249"/>
      <c r="Z753" s="330"/>
      <c r="AA753" s="343"/>
      <c r="AB753" s="249"/>
      <c r="AC753" s="330"/>
      <c r="AD753" s="343"/>
      <c r="AE753" s="249"/>
      <c r="AF753" s="330"/>
      <c r="AG753" s="343"/>
      <c r="AH753" s="249"/>
      <c r="AI753" s="330"/>
      <c r="AJ753" s="343"/>
      <c r="AK753" s="249"/>
      <c r="AL753" s="330"/>
      <c r="AM753" s="343"/>
      <c r="AN753" s="249"/>
      <c r="AO753" s="330"/>
      <c r="AP753" s="343"/>
      <c r="AQ753" s="249"/>
      <c r="AR753" s="330"/>
      <c r="AS753" s="343"/>
      <c r="AT753" s="249"/>
      <c r="AU753" s="330"/>
    </row>
    <row r="754" spans="2:47">
      <c r="B754" s="247">
        <f>'Table S2 Compound Identifiers'!C756</f>
        <v>0</v>
      </c>
      <c r="C754" s="247">
        <f>COUNTIF($D$6:D754,"&lt;&gt;"&amp;"")</f>
        <v>749</v>
      </c>
      <c r="D754" s="247">
        <f>'Table S2 Compound Identifiers'!B756</f>
        <v>0</v>
      </c>
      <c r="E754" s="247"/>
      <c r="F754" s="248"/>
      <c r="G754" s="249"/>
      <c r="H754" s="330"/>
      <c r="I754" s="328"/>
      <c r="J754" s="249"/>
      <c r="K754" s="330"/>
      <c r="L754" s="250"/>
      <c r="M754" s="249"/>
      <c r="N754" s="330"/>
      <c r="O754" s="250"/>
      <c r="P754" s="249"/>
      <c r="Q754" s="330"/>
      <c r="R754" s="250"/>
      <c r="S754" s="249"/>
      <c r="T754" s="330"/>
      <c r="U754" s="250"/>
      <c r="V754" s="249"/>
      <c r="W754" s="330"/>
      <c r="X754" s="343"/>
      <c r="Y754" s="249"/>
      <c r="Z754" s="330"/>
      <c r="AA754" s="343"/>
      <c r="AB754" s="249"/>
      <c r="AC754" s="330"/>
      <c r="AD754" s="343"/>
      <c r="AE754" s="249"/>
      <c r="AF754" s="330"/>
      <c r="AG754" s="343"/>
      <c r="AH754" s="249"/>
      <c r="AI754" s="330"/>
      <c r="AJ754" s="343"/>
      <c r="AK754" s="249"/>
      <c r="AL754" s="330"/>
      <c r="AM754" s="343"/>
      <c r="AN754" s="249"/>
      <c r="AO754" s="330"/>
      <c r="AP754" s="343"/>
      <c r="AQ754" s="249"/>
      <c r="AR754" s="330"/>
      <c r="AS754" s="343"/>
      <c r="AT754" s="249"/>
      <c r="AU754" s="330"/>
    </row>
    <row r="755" spans="2:47">
      <c r="B755" s="247">
        <f>'Table S2 Compound Identifiers'!C757</f>
        <v>0</v>
      </c>
      <c r="C755" s="247">
        <f>COUNTIF($D$6:D755,"&lt;&gt;"&amp;"")</f>
        <v>750</v>
      </c>
      <c r="D755" s="247">
        <f>'Table S2 Compound Identifiers'!B757</f>
        <v>0</v>
      </c>
      <c r="E755" s="247"/>
      <c r="F755" s="248"/>
      <c r="G755" s="249"/>
      <c r="H755" s="330"/>
      <c r="I755" s="328"/>
      <c r="J755" s="249"/>
      <c r="K755" s="330"/>
      <c r="L755" s="250"/>
      <c r="M755" s="249"/>
      <c r="N755" s="330"/>
      <c r="O755" s="250"/>
      <c r="P755" s="249"/>
      <c r="Q755" s="330"/>
      <c r="R755" s="250"/>
      <c r="S755" s="249"/>
      <c r="T755" s="330"/>
      <c r="U755" s="250"/>
      <c r="V755" s="249"/>
      <c r="W755" s="330"/>
      <c r="X755" s="343"/>
      <c r="Y755" s="249"/>
      <c r="Z755" s="330"/>
      <c r="AA755" s="343"/>
      <c r="AB755" s="249"/>
      <c r="AC755" s="330"/>
      <c r="AD755" s="343"/>
      <c r="AE755" s="249"/>
      <c r="AF755" s="330"/>
      <c r="AG755" s="343"/>
      <c r="AH755" s="249"/>
      <c r="AI755" s="330"/>
      <c r="AJ755" s="343"/>
      <c r="AK755" s="249"/>
      <c r="AL755" s="330"/>
      <c r="AM755" s="343"/>
      <c r="AN755" s="249"/>
      <c r="AO755" s="330"/>
      <c r="AP755" s="343"/>
      <c r="AQ755" s="249"/>
      <c r="AR755" s="330"/>
      <c r="AS755" s="343"/>
      <c r="AT755" s="249"/>
      <c r="AU755" s="330"/>
    </row>
    <row r="756" spans="2:47">
      <c r="B756" s="247">
        <f>'Table S2 Compound Identifiers'!C758</f>
        <v>0</v>
      </c>
      <c r="C756" s="247">
        <f>COUNTIF($D$6:D756,"&lt;&gt;"&amp;"")</f>
        <v>751</v>
      </c>
      <c r="D756" s="247">
        <f>'Table S2 Compound Identifiers'!B758</f>
        <v>0</v>
      </c>
      <c r="E756" s="247"/>
      <c r="F756" s="248"/>
      <c r="G756" s="249"/>
      <c r="H756" s="330"/>
      <c r="I756" s="328"/>
      <c r="J756" s="249"/>
      <c r="K756" s="330"/>
      <c r="L756" s="250"/>
      <c r="M756" s="249"/>
      <c r="N756" s="330"/>
      <c r="O756" s="250"/>
      <c r="P756" s="249"/>
      <c r="Q756" s="330"/>
      <c r="R756" s="250"/>
      <c r="S756" s="249"/>
      <c r="T756" s="330"/>
      <c r="U756" s="250"/>
      <c r="V756" s="249"/>
      <c r="W756" s="330"/>
      <c r="X756" s="343"/>
      <c r="Y756" s="249"/>
      <c r="Z756" s="330"/>
      <c r="AA756" s="343"/>
      <c r="AB756" s="249"/>
      <c r="AC756" s="330"/>
      <c r="AD756" s="343"/>
      <c r="AE756" s="249"/>
      <c r="AF756" s="330"/>
      <c r="AG756" s="343"/>
      <c r="AH756" s="249"/>
      <c r="AI756" s="330"/>
      <c r="AJ756" s="343"/>
      <c r="AK756" s="249"/>
      <c r="AL756" s="330"/>
      <c r="AM756" s="343"/>
      <c r="AN756" s="249"/>
      <c r="AO756" s="330"/>
      <c r="AP756" s="343"/>
      <c r="AQ756" s="249"/>
      <c r="AR756" s="330"/>
      <c r="AS756" s="343"/>
      <c r="AT756" s="249"/>
      <c r="AU756" s="330"/>
    </row>
    <row r="757" spans="2:47">
      <c r="B757" s="247">
        <f>'Table S2 Compound Identifiers'!C759</f>
        <v>0</v>
      </c>
      <c r="C757" s="247">
        <f>COUNTIF($D$6:D757,"&lt;&gt;"&amp;"")</f>
        <v>752</v>
      </c>
      <c r="D757" s="247">
        <f>'Table S2 Compound Identifiers'!B759</f>
        <v>0</v>
      </c>
      <c r="E757" s="247"/>
      <c r="F757" s="248"/>
      <c r="G757" s="249"/>
      <c r="H757" s="330"/>
      <c r="I757" s="328"/>
      <c r="J757" s="249"/>
      <c r="K757" s="330"/>
      <c r="L757" s="250"/>
      <c r="M757" s="249"/>
      <c r="N757" s="330"/>
      <c r="O757" s="250"/>
      <c r="P757" s="249"/>
      <c r="Q757" s="330"/>
      <c r="R757" s="250"/>
      <c r="S757" s="249"/>
      <c r="T757" s="330"/>
      <c r="U757" s="250"/>
      <c r="V757" s="249"/>
      <c r="W757" s="330"/>
      <c r="X757" s="343"/>
      <c r="Y757" s="249"/>
      <c r="Z757" s="330"/>
      <c r="AA757" s="343"/>
      <c r="AB757" s="249"/>
      <c r="AC757" s="330"/>
      <c r="AD757" s="343"/>
      <c r="AE757" s="249"/>
      <c r="AF757" s="330"/>
      <c r="AG757" s="343"/>
      <c r="AH757" s="249"/>
      <c r="AI757" s="330"/>
      <c r="AJ757" s="343"/>
      <c r="AK757" s="249"/>
      <c r="AL757" s="330"/>
      <c r="AM757" s="343"/>
      <c r="AN757" s="249"/>
      <c r="AO757" s="330"/>
      <c r="AP757" s="343"/>
      <c r="AQ757" s="249"/>
      <c r="AR757" s="330"/>
      <c r="AS757" s="343"/>
      <c r="AT757" s="249"/>
      <c r="AU757" s="330"/>
    </row>
    <row r="758" spans="2:47">
      <c r="B758" s="247">
        <f>'Table S2 Compound Identifiers'!C760</f>
        <v>0</v>
      </c>
      <c r="C758" s="247">
        <f>COUNTIF($D$6:D758,"&lt;&gt;"&amp;"")</f>
        <v>753</v>
      </c>
      <c r="D758" s="247">
        <f>'Table S2 Compound Identifiers'!B760</f>
        <v>0</v>
      </c>
      <c r="E758" s="247"/>
      <c r="F758" s="248"/>
      <c r="G758" s="249"/>
      <c r="H758" s="330"/>
      <c r="I758" s="328"/>
      <c r="J758" s="249"/>
      <c r="K758" s="330"/>
      <c r="L758" s="250"/>
      <c r="M758" s="249"/>
      <c r="N758" s="330"/>
      <c r="O758" s="250"/>
      <c r="P758" s="249"/>
      <c r="Q758" s="330"/>
      <c r="R758" s="250"/>
      <c r="S758" s="249"/>
      <c r="T758" s="330"/>
      <c r="U758" s="250"/>
      <c r="V758" s="249"/>
      <c r="W758" s="330"/>
      <c r="X758" s="343"/>
      <c r="Y758" s="249"/>
      <c r="Z758" s="330"/>
      <c r="AA758" s="343"/>
      <c r="AB758" s="249"/>
      <c r="AC758" s="330"/>
      <c r="AD758" s="343"/>
      <c r="AE758" s="249"/>
      <c r="AF758" s="330"/>
      <c r="AG758" s="343"/>
      <c r="AH758" s="249"/>
      <c r="AI758" s="330"/>
      <c r="AJ758" s="343"/>
      <c r="AK758" s="249"/>
      <c r="AL758" s="330"/>
      <c r="AM758" s="343"/>
      <c r="AN758" s="249"/>
      <c r="AO758" s="330"/>
      <c r="AP758" s="343"/>
      <c r="AQ758" s="249"/>
      <c r="AR758" s="330"/>
      <c r="AS758" s="343"/>
      <c r="AT758" s="249"/>
      <c r="AU758" s="330"/>
    </row>
    <row r="759" spans="2:47">
      <c r="B759" s="247">
        <f>'Table S2 Compound Identifiers'!C761</f>
        <v>0</v>
      </c>
      <c r="C759" s="247">
        <f>COUNTIF($D$6:D759,"&lt;&gt;"&amp;"")</f>
        <v>754</v>
      </c>
      <c r="D759" s="247">
        <f>'Table S2 Compound Identifiers'!B761</f>
        <v>0</v>
      </c>
      <c r="E759" s="247"/>
      <c r="F759" s="248"/>
      <c r="G759" s="249"/>
      <c r="H759" s="330"/>
      <c r="I759" s="328"/>
      <c r="J759" s="249"/>
      <c r="K759" s="330"/>
      <c r="L759" s="250"/>
      <c r="M759" s="249"/>
      <c r="N759" s="330"/>
      <c r="O759" s="250"/>
      <c r="P759" s="249"/>
      <c r="Q759" s="330"/>
      <c r="R759" s="250"/>
      <c r="S759" s="249"/>
      <c r="T759" s="330"/>
      <c r="U759" s="250"/>
      <c r="V759" s="249"/>
      <c r="W759" s="330"/>
      <c r="X759" s="343"/>
      <c r="Y759" s="249"/>
      <c r="Z759" s="330"/>
      <c r="AA759" s="343"/>
      <c r="AB759" s="249"/>
      <c r="AC759" s="330"/>
      <c r="AD759" s="343"/>
      <c r="AE759" s="249"/>
      <c r="AF759" s="330"/>
      <c r="AG759" s="343"/>
      <c r="AH759" s="249"/>
      <c r="AI759" s="330"/>
      <c r="AJ759" s="343"/>
      <c r="AK759" s="249"/>
      <c r="AL759" s="330"/>
      <c r="AM759" s="343"/>
      <c r="AN759" s="249"/>
      <c r="AO759" s="330"/>
      <c r="AP759" s="343"/>
      <c r="AQ759" s="249"/>
      <c r="AR759" s="330"/>
      <c r="AS759" s="343"/>
      <c r="AT759" s="249"/>
      <c r="AU759" s="330"/>
    </row>
    <row r="760" spans="2:47">
      <c r="B760" s="247">
        <f>'Table S2 Compound Identifiers'!C762</f>
        <v>0</v>
      </c>
      <c r="C760" s="247">
        <f>COUNTIF($D$6:D760,"&lt;&gt;"&amp;"")</f>
        <v>755</v>
      </c>
      <c r="D760" s="247">
        <f>'Table S2 Compound Identifiers'!B762</f>
        <v>0</v>
      </c>
      <c r="E760" s="247"/>
      <c r="F760" s="248"/>
      <c r="G760" s="249"/>
      <c r="H760" s="330"/>
      <c r="I760" s="328"/>
      <c r="J760" s="249"/>
      <c r="K760" s="330"/>
      <c r="L760" s="250"/>
      <c r="M760" s="249"/>
      <c r="N760" s="330"/>
      <c r="O760" s="250"/>
      <c r="P760" s="249"/>
      <c r="Q760" s="330"/>
      <c r="R760" s="250"/>
      <c r="S760" s="249"/>
      <c r="T760" s="330"/>
      <c r="U760" s="250"/>
      <c r="V760" s="249"/>
      <c r="W760" s="330"/>
      <c r="X760" s="343"/>
      <c r="Y760" s="249"/>
      <c r="Z760" s="330"/>
      <c r="AA760" s="343"/>
      <c r="AB760" s="249"/>
      <c r="AC760" s="330"/>
      <c r="AD760" s="343"/>
      <c r="AE760" s="249"/>
      <c r="AF760" s="330"/>
      <c r="AG760" s="343"/>
      <c r="AH760" s="249"/>
      <c r="AI760" s="330"/>
      <c r="AJ760" s="343"/>
      <c r="AK760" s="249"/>
      <c r="AL760" s="330"/>
      <c r="AM760" s="343"/>
      <c r="AN760" s="249"/>
      <c r="AO760" s="330"/>
      <c r="AP760" s="343"/>
      <c r="AQ760" s="249"/>
      <c r="AR760" s="330"/>
      <c r="AS760" s="343"/>
      <c r="AT760" s="249"/>
      <c r="AU760" s="330"/>
    </row>
    <row r="761" spans="2:47">
      <c r="B761" s="247">
        <f>'Table S2 Compound Identifiers'!C763</f>
        <v>0</v>
      </c>
      <c r="C761" s="247">
        <f>COUNTIF($D$6:D761,"&lt;&gt;"&amp;"")</f>
        <v>756</v>
      </c>
      <c r="D761" s="247">
        <f>'Table S2 Compound Identifiers'!B763</f>
        <v>0</v>
      </c>
      <c r="E761" s="247"/>
      <c r="F761" s="248"/>
      <c r="G761" s="249"/>
      <c r="H761" s="330"/>
      <c r="I761" s="328"/>
      <c r="J761" s="249"/>
      <c r="K761" s="330"/>
      <c r="L761" s="250"/>
      <c r="M761" s="249"/>
      <c r="N761" s="330"/>
      <c r="O761" s="250"/>
      <c r="P761" s="249"/>
      <c r="Q761" s="330"/>
      <c r="R761" s="250"/>
      <c r="S761" s="249"/>
      <c r="T761" s="330"/>
      <c r="U761" s="250"/>
      <c r="V761" s="249"/>
      <c r="W761" s="330"/>
      <c r="X761" s="343"/>
      <c r="Y761" s="249"/>
      <c r="Z761" s="330"/>
      <c r="AA761" s="343"/>
      <c r="AB761" s="249"/>
      <c r="AC761" s="330"/>
      <c r="AD761" s="343"/>
      <c r="AE761" s="249"/>
      <c r="AF761" s="330"/>
      <c r="AG761" s="343"/>
      <c r="AH761" s="249"/>
      <c r="AI761" s="330"/>
      <c r="AJ761" s="343"/>
      <c r="AK761" s="249"/>
      <c r="AL761" s="330"/>
      <c r="AM761" s="343"/>
      <c r="AN761" s="249"/>
      <c r="AO761" s="330"/>
      <c r="AP761" s="343"/>
      <c r="AQ761" s="249"/>
      <c r="AR761" s="330"/>
      <c r="AS761" s="343"/>
      <c r="AT761" s="249"/>
      <c r="AU761" s="330"/>
    </row>
    <row r="762" spans="2:47">
      <c r="B762" s="247">
        <f>'Table S2 Compound Identifiers'!C764</f>
        <v>0</v>
      </c>
      <c r="C762" s="247">
        <f>COUNTIF($D$6:D762,"&lt;&gt;"&amp;"")</f>
        <v>757</v>
      </c>
      <c r="D762" s="247">
        <f>'Table S2 Compound Identifiers'!B764</f>
        <v>0</v>
      </c>
      <c r="E762" s="247"/>
      <c r="F762" s="248"/>
      <c r="G762" s="249"/>
      <c r="H762" s="330"/>
      <c r="I762" s="328"/>
      <c r="J762" s="249"/>
      <c r="K762" s="330"/>
      <c r="L762" s="250"/>
      <c r="M762" s="249"/>
      <c r="N762" s="330"/>
      <c r="O762" s="250"/>
      <c r="P762" s="249"/>
      <c r="Q762" s="330"/>
      <c r="R762" s="250"/>
      <c r="S762" s="249"/>
      <c r="T762" s="330"/>
      <c r="U762" s="250"/>
      <c r="V762" s="249"/>
      <c r="W762" s="330"/>
      <c r="X762" s="343"/>
      <c r="Y762" s="249"/>
      <c r="Z762" s="330"/>
      <c r="AA762" s="343"/>
      <c r="AB762" s="249"/>
      <c r="AC762" s="330"/>
      <c r="AD762" s="343"/>
      <c r="AE762" s="249"/>
      <c r="AF762" s="330"/>
      <c r="AG762" s="343"/>
      <c r="AH762" s="249"/>
      <c r="AI762" s="330"/>
      <c r="AJ762" s="343"/>
      <c r="AK762" s="249"/>
      <c r="AL762" s="330"/>
      <c r="AM762" s="343"/>
      <c r="AN762" s="249"/>
      <c r="AO762" s="330"/>
      <c r="AP762" s="343"/>
      <c r="AQ762" s="249"/>
      <c r="AR762" s="330"/>
      <c r="AS762" s="343"/>
      <c r="AT762" s="249"/>
      <c r="AU762" s="330"/>
    </row>
    <row r="763" spans="2:47">
      <c r="B763" s="247">
        <f>'Table S2 Compound Identifiers'!C765</f>
        <v>0</v>
      </c>
      <c r="C763" s="247">
        <f>COUNTIF($D$6:D763,"&lt;&gt;"&amp;"")</f>
        <v>758</v>
      </c>
      <c r="D763" s="247">
        <f>'Table S2 Compound Identifiers'!B765</f>
        <v>0</v>
      </c>
      <c r="E763" s="247"/>
      <c r="F763" s="248"/>
      <c r="G763" s="249"/>
      <c r="H763" s="330"/>
      <c r="I763" s="328"/>
      <c r="J763" s="249"/>
      <c r="K763" s="330"/>
      <c r="L763" s="250"/>
      <c r="M763" s="249"/>
      <c r="N763" s="330"/>
      <c r="O763" s="250"/>
      <c r="P763" s="249"/>
      <c r="Q763" s="330"/>
      <c r="R763" s="250"/>
      <c r="S763" s="249"/>
      <c r="T763" s="330"/>
      <c r="U763" s="250"/>
      <c r="V763" s="249"/>
      <c r="W763" s="330"/>
      <c r="X763" s="343"/>
      <c r="Y763" s="249"/>
      <c r="Z763" s="330"/>
      <c r="AA763" s="343"/>
      <c r="AB763" s="249"/>
      <c r="AC763" s="330"/>
      <c r="AD763" s="343"/>
      <c r="AE763" s="249"/>
      <c r="AF763" s="330"/>
      <c r="AG763" s="343"/>
      <c r="AH763" s="249"/>
      <c r="AI763" s="330"/>
      <c r="AJ763" s="343"/>
      <c r="AK763" s="249"/>
      <c r="AL763" s="330"/>
      <c r="AM763" s="343"/>
      <c r="AN763" s="249"/>
      <c r="AO763" s="330"/>
      <c r="AP763" s="343"/>
      <c r="AQ763" s="249"/>
      <c r="AR763" s="330"/>
      <c r="AS763" s="343"/>
      <c r="AT763" s="249"/>
      <c r="AU763" s="330"/>
    </row>
    <row r="764" spans="2:47">
      <c r="B764" s="247">
        <f>'Table S2 Compound Identifiers'!C766</f>
        <v>0</v>
      </c>
      <c r="C764" s="247">
        <f>COUNTIF($D$6:D764,"&lt;&gt;"&amp;"")</f>
        <v>759</v>
      </c>
      <c r="D764" s="247">
        <f>'Table S2 Compound Identifiers'!B766</f>
        <v>0</v>
      </c>
      <c r="E764" s="247"/>
      <c r="F764" s="248"/>
      <c r="G764" s="249"/>
      <c r="H764" s="330"/>
      <c r="I764" s="328"/>
      <c r="J764" s="249"/>
      <c r="K764" s="330"/>
      <c r="L764" s="250"/>
      <c r="M764" s="249"/>
      <c r="N764" s="330"/>
      <c r="O764" s="250"/>
      <c r="P764" s="249"/>
      <c r="Q764" s="330"/>
      <c r="R764" s="250"/>
      <c r="S764" s="249"/>
      <c r="T764" s="330"/>
      <c r="U764" s="250"/>
      <c r="V764" s="249"/>
      <c r="W764" s="330"/>
      <c r="X764" s="343"/>
      <c r="Y764" s="249"/>
      <c r="Z764" s="330"/>
      <c r="AA764" s="343"/>
      <c r="AB764" s="249"/>
      <c r="AC764" s="330"/>
      <c r="AD764" s="343"/>
      <c r="AE764" s="249"/>
      <c r="AF764" s="330"/>
      <c r="AG764" s="343"/>
      <c r="AH764" s="249"/>
      <c r="AI764" s="330"/>
      <c r="AJ764" s="343"/>
      <c r="AK764" s="249"/>
      <c r="AL764" s="330"/>
      <c r="AM764" s="343"/>
      <c r="AN764" s="249"/>
      <c r="AO764" s="330"/>
      <c r="AP764" s="343"/>
      <c r="AQ764" s="249"/>
      <c r="AR764" s="330"/>
      <c r="AS764" s="343"/>
      <c r="AT764" s="249"/>
      <c r="AU764" s="330"/>
    </row>
    <row r="765" spans="2:47">
      <c r="B765" s="247">
        <f>'Table S2 Compound Identifiers'!C767</f>
        <v>0</v>
      </c>
      <c r="C765" s="247">
        <f>COUNTIF($D$6:D765,"&lt;&gt;"&amp;"")</f>
        <v>760</v>
      </c>
      <c r="D765" s="247">
        <f>'Table S2 Compound Identifiers'!B767</f>
        <v>0</v>
      </c>
      <c r="E765" s="247"/>
      <c r="F765" s="248"/>
      <c r="G765" s="249"/>
      <c r="H765" s="330"/>
      <c r="I765" s="328"/>
      <c r="J765" s="249"/>
      <c r="K765" s="330"/>
      <c r="L765" s="250"/>
      <c r="M765" s="249"/>
      <c r="N765" s="330"/>
      <c r="O765" s="250"/>
      <c r="P765" s="249"/>
      <c r="Q765" s="330"/>
      <c r="R765" s="250"/>
      <c r="S765" s="249"/>
      <c r="T765" s="330"/>
      <c r="U765" s="250"/>
      <c r="V765" s="249"/>
      <c r="W765" s="330"/>
      <c r="X765" s="343"/>
      <c r="Y765" s="249"/>
      <c r="Z765" s="330"/>
      <c r="AA765" s="343"/>
      <c r="AB765" s="249"/>
      <c r="AC765" s="330"/>
      <c r="AD765" s="343"/>
      <c r="AE765" s="249"/>
      <c r="AF765" s="330"/>
      <c r="AG765" s="343"/>
      <c r="AH765" s="249"/>
      <c r="AI765" s="330"/>
      <c r="AJ765" s="343"/>
      <c r="AK765" s="249"/>
      <c r="AL765" s="330"/>
      <c r="AM765" s="343"/>
      <c r="AN765" s="249"/>
      <c r="AO765" s="330"/>
      <c r="AP765" s="343"/>
      <c r="AQ765" s="249"/>
      <c r="AR765" s="330"/>
      <c r="AS765" s="343"/>
      <c r="AT765" s="249"/>
      <c r="AU765" s="330"/>
    </row>
    <row r="766" spans="2:47">
      <c r="B766" s="247">
        <f>'Table S2 Compound Identifiers'!C768</f>
        <v>0</v>
      </c>
      <c r="C766" s="247">
        <f>COUNTIF($D$6:D766,"&lt;&gt;"&amp;"")</f>
        <v>761</v>
      </c>
      <c r="D766" s="247">
        <f>'Table S2 Compound Identifiers'!B768</f>
        <v>0</v>
      </c>
      <c r="E766" s="247"/>
      <c r="F766" s="248"/>
      <c r="G766" s="249"/>
      <c r="H766" s="330"/>
      <c r="I766" s="328"/>
      <c r="J766" s="249"/>
      <c r="K766" s="330"/>
      <c r="L766" s="250"/>
      <c r="M766" s="249"/>
      <c r="N766" s="330"/>
      <c r="O766" s="250"/>
      <c r="P766" s="249"/>
      <c r="Q766" s="330"/>
      <c r="R766" s="250"/>
      <c r="S766" s="249"/>
      <c r="T766" s="330"/>
      <c r="U766" s="250"/>
      <c r="V766" s="249"/>
      <c r="W766" s="330"/>
      <c r="X766" s="343"/>
      <c r="Y766" s="249"/>
      <c r="Z766" s="330"/>
      <c r="AA766" s="343"/>
      <c r="AB766" s="249"/>
      <c r="AC766" s="330"/>
      <c r="AD766" s="343"/>
      <c r="AE766" s="249"/>
      <c r="AF766" s="330"/>
      <c r="AG766" s="343"/>
      <c r="AH766" s="249"/>
      <c r="AI766" s="330"/>
      <c r="AJ766" s="343"/>
      <c r="AK766" s="249"/>
      <c r="AL766" s="330"/>
      <c r="AM766" s="343"/>
      <c r="AN766" s="249"/>
      <c r="AO766" s="330"/>
      <c r="AP766" s="343"/>
      <c r="AQ766" s="249"/>
      <c r="AR766" s="330"/>
      <c r="AS766" s="343"/>
      <c r="AT766" s="249"/>
      <c r="AU766" s="330"/>
    </row>
    <row r="767" spans="2:47">
      <c r="B767" s="247">
        <f>'Table S2 Compound Identifiers'!C769</f>
        <v>0</v>
      </c>
      <c r="C767" s="247">
        <f>COUNTIF($D$6:D767,"&lt;&gt;"&amp;"")</f>
        <v>762</v>
      </c>
      <c r="D767" s="247">
        <f>'Table S2 Compound Identifiers'!B769</f>
        <v>0</v>
      </c>
      <c r="E767" s="247"/>
      <c r="F767" s="248"/>
      <c r="G767" s="249"/>
      <c r="H767" s="330"/>
      <c r="I767" s="328"/>
      <c r="J767" s="249"/>
      <c r="K767" s="330"/>
      <c r="L767" s="250"/>
      <c r="M767" s="249"/>
      <c r="N767" s="330"/>
      <c r="O767" s="250"/>
      <c r="P767" s="249"/>
      <c r="Q767" s="330"/>
      <c r="R767" s="250"/>
      <c r="S767" s="249"/>
      <c r="T767" s="330"/>
      <c r="U767" s="250"/>
      <c r="V767" s="249"/>
      <c r="W767" s="330"/>
      <c r="X767" s="343"/>
      <c r="Y767" s="249"/>
      <c r="Z767" s="330"/>
      <c r="AA767" s="343"/>
      <c r="AB767" s="249"/>
      <c r="AC767" s="330"/>
      <c r="AD767" s="343"/>
      <c r="AE767" s="249"/>
      <c r="AF767" s="330"/>
      <c r="AG767" s="343"/>
      <c r="AH767" s="249"/>
      <c r="AI767" s="330"/>
      <c r="AJ767" s="343"/>
      <c r="AK767" s="249"/>
      <c r="AL767" s="330"/>
      <c r="AM767" s="343"/>
      <c r="AN767" s="249"/>
      <c r="AO767" s="330"/>
      <c r="AP767" s="343"/>
      <c r="AQ767" s="249"/>
      <c r="AR767" s="330"/>
      <c r="AS767" s="343"/>
      <c r="AT767" s="249"/>
      <c r="AU767" s="330"/>
    </row>
    <row r="768" spans="2:47">
      <c r="B768" s="247">
        <f>'Table S2 Compound Identifiers'!C770</f>
        <v>0</v>
      </c>
      <c r="C768" s="247">
        <f>COUNTIF($D$6:D768,"&lt;&gt;"&amp;"")</f>
        <v>763</v>
      </c>
      <c r="D768" s="247">
        <f>'Table S2 Compound Identifiers'!B770</f>
        <v>0</v>
      </c>
      <c r="E768" s="247"/>
      <c r="F768" s="248"/>
      <c r="G768" s="249"/>
      <c r="H768" s="330"/>
      <c r="I768" s="328"/>
      <c r="J768" s="249"/>
      <c r="K768" s="330"/>
      <c r="L768" s="250"/>
      <c r="M768" s="249"/>
      <c r="N768" s="330"/>
      <c r="O768" s="250"/>
      <c r="P768" s="249"/>
      <c r="Q768" s="330"/>
      <c r="R768" s="250"/>
      <c r="S768" s="249"/>
      <c r="T768" s="330"/>
      <c r="U768" s="250"/>
      <c r="V768" s="249"/>
      <c r="W768" s="330"/>
      <c r="X768" s="343"/>
      <c r="Y768" s="249"/>
      <c r="Z768" s="330"/>
      <c r="AA768" s="343"/>
      <c r="AB768" s="249"/>
      <c r="AC768" s="330"/>
      <c r="AD768" s="343"/>
      <c r="AE768" s="249"/>
      <c r="AF768" s="330"/>
      <c r="AG768" s="343"/>
      <c r="AH768" s="249"/>
      <c r="AI768" s="330"/>
      <c r="AJ768" s="343"/>
      <c r="AK768" s="249"/>
      <c r="AL768" s="330"/>
      <c r="AM768" s="343"/>
      <c r="AN768" s="249"/>
      <c r="AO768" s="330"/>
      <c r="AP768" s="343"/>
      <c r="AQ768" s="249"/>
      <c r="AR768" s="330"/>
      <c r="AS768" s="343"/>
      <c r="AT768" s="249"/>
      <c r="AU768" s="330"/>
    </row>
    <row r="769" spans="2:47">
      <c r="B769" s="247">
        <f>'Table S2 Compound Identifiers'!C771</f>
        <v>0</v>
      </c>
      <c r="C769" s="247">
        <f>COUNTIF($D$6:D769,"&lt;&gt;"&amp;"")</f>
        <v>764</v>
      </c>
      <c r="D769" s="247">
        <f>'Table S2 Compound Identifiers'!B771</f>
        <v>0</v>
      </c>
      <c r="E769" s="247"/>
      <c r="F769" s="248"/>
      <c r="G769" s="249"/>
      <c r="H769" s="330"/>
      <c r="I769" s="328"/>
      <c r="J769" s="249"/>
      <c r="K769" s="330"/>
      <c r="L769" s="250"/>
      <c r="M769" s="249"/>
      <c r="N769" s="330"/>
      <c r="O769" s="250"/>
      <c r="P769" s="249"/>
      <c r="Q769" s="330"/>
      <c r="R769" s="250"/>
      <c r="S769" s="249"/>
      <c r="T769" s="330"/>
      <c r="U769" s="250"/>
      <c r="V769" s="249"/>
      <c r="W769" s="330"/>
      <c r="X769" s="343"/>
      <c r="Y769" s="249"/>
      <c r="Z769" s="330"/>
      <c r="AA769" s="343"/>
      <c r="AB769" s="249"/>
      <c r="AC769" s="330"/>
      <c r="AD769" s="343"/>
      <c r="AE769" s="249"/>
      <c r="AF769" s="330"/>
      <c r="AG769" s="343"/>
      <c r="AH769" s="249"/>
      <c r="AI769" s="330"/>
      <c r="AJ769" s="343"/>
      <c r="AK769" s="249"/>
      <c r="AL769" s="330"/>
      <c r="AM769" s="343"/>
      <c r="AN769" s="249"/>
      <c r="AO769" s="330"/>
      <c r="AP769" s="343"/>
      <c r="AQ769" s="249"/>
      <c r="AR769" s="330"/>
      <c r="AS769" s="343"/>
      <c r="AT769" s="249"/>
      <c r="AU769" s="330"/>
    </row>
    <row r="770" spans="2:47">
      <c r="B770" s="247">
        <f>'Table S2 Compound Identifiers'!C772</f>
        <v>0</v>
      </c>
      <c r="C770" s="247">
        <f>COUNTIF($D$6:D770,"&lt;&gt;"&amp;"")</f>
        <v>765</v>
      </c>
      <c r="D770" s="247">
        <f>'Table S2 Compound Identifiers'!B772</f>
        <v>0</v>
      </c>
      <c r="E770" s="247"/>
      <c r="F770" s="248"/>
      <c r="G770" s="249"/>
      <c r="H770" s="330"/>
      <c r="I770" s="328"/>
      <c r="J770" s="249"/>
      <c r="K770" s="330"/>
      <c r="L770" s="250"/>
      <c r="M770" s="249"/>
      <c r="N770" s="330"/>
      <c r="O770" s="250"/>
      <c r="P770" s="249"/>
      <c r="Q770" s="330"/>
      <c r="R770" s="250"/>
      <c r="S770" s="249"/>
      <c r="T770" s="330"/>
      <c r="U770" s="250"/>
      <c r="V770" s="249"/>
      <c r="W770" s="330"/>
      <c r="X770" s="343"/>
      <c r="Y770" s="249"/>
      <c r="Z770" s="330"/>
      <c r="AA770" s="343"/>
      <c r="AB770" s="249"/>
      <c r="AC770" s="330"/>
      <c r="AD770" s="343"/>
      <c r="AE770" s="249"/>
      <c r="AF770" s="330"/>
      <c r="AG770" s="343"/>
      <c r="AH770" s="249"/>
      <c r="AI770" s="330"/>
      <c r="AJ770" s="343"/>
      <c r="AK770" s="249"/>
      <c r="AL770" s="330"/>
      <c r="AM770" s="343"/>
      <c r="AN770" s="249"/>
      <c r="AO770" s="330"/>
      <c r="AP770" s="343"/>
      <c r="AQ770" s="249"/>
      <c r="AR770" s="330"/>
      <c r="AS770" s="343"/>
      <c r="AT770" s="249"/>
      <c r="AU770" s="330"/>
    </row>
    <row r="771" spans="2:47">
      <c r="B771" s="247">
        <f>'Table S2 Compound Identifiers'!C773</f>
        <v>0</v>
      </c>
      <c r="C771" s="247">
        <f>COUNTIF($D$6:D771,"&lt;&gt;"&amp;"")</f>
        <v>766</v>
      </c>
      <c r="D771" s="247">
        <f>'Table S2 Compound Identifiers'!B773</f>
        <v>0</v>
      </c>
      <c r="E771" s="247"/>
      <c r="F771" s="248"/>
      <c r="G771" s="249"/>
      <c r="H771" s="330"/>
      <c r="I771" s="328"/>
      <c r="J771" s="249"/>
      <c r="K771" s="330"/>
      <c r="L771" s="250"/>
      <c r="M771" s="249"/>
      <c r="N771" s="330"/>
      <c r="O771" s="250"/>
      <c r="P771" s="249"/>
      <c r="Q771" s="330"/>
      <c r="R771" s="250"/>
      <c r="S771" s="249"/>
      <c r="T771" s="330"/>
      <c r="U771" s="250"/>
      <c r="V771" s="249"/>
      <c r="W771" s="330"/>
      <c r="X771" s="343"/>
      <c r="Y771" s="249"/>
      <c r="Z771" s="330"/>
      <c r="AA771" s="343"/>
      <c r="AB771" s="249"/>
      <c r="AC771" s="330"/>
      <c r="AD771" s="343"/>
      <c r="AE771" s="249"/>
      <c r="AF771" s="330"/>
      <c r="AG771" s="343"/>
      <c r="AH771" s="249"/>
      <c r="AI771" s="330"/>
      <c r="AJ771" s="343"/>
      <c r="AK771" s="249"/>
      <c r="AL771" s="330"/>
      <c r="AM771" s="343"/>
      <c r="AN771" s="249"/>
      <c r="AO771" s="330"/>
      <c r="AP771" s="343"/>
      <c r="AQ771" s="249"/>
      <c r="AR771" s="330"/>
      <c r="AS771" s="343"/>
      <c r="AT771" s="249"/>
      <c r="AU771" s="330"/>
    </row>
    <row r="772" spans="2:47">
      <c r="B772" s="247">
        <f>'Table S2 Compound Identifiers'!C774</f>
        <v>0</v>
      </c>
      <c r="C772" s="247">
        <f>COUNTIF($D$6:D772,"&lt;&gt;"&amp;"")</f>
        <v>767</v>
      </c>
      <c r="D772" s="247">
        <f>'Table S2 Compound Identifiers'!B774</f>
        <v>0</v>
      </c>
      <c r="E772" s="247"/>
      <c r="F772" s="248"/>
      <c r="G772" s="249"/>
      <c r="H772" s="330"/>
      <c r="I772" s="328"/>
      <c r="J772" s="249"/>
      <c r="K772" s="330"/>
      <c r="L772" s="250"/>
      <c r="M772" s="249"/>
      <c r="N772" s="330"/>
      <c r="O772" s="250"/>
      <c r="P772" s="249"/>
      <c r="Q772" s="330"/>
      <c r="R772" s="250"/>
      <c r="S772" s="249"/>
      <c r="T772" s="330"/>
      <c r="U772" s="250"/>
      <c r="V772" s="249"/>
      <c r="W772" s="330"/>
      <c r="X772" s="343"/>
      <c r="Y772" s="249"/>
      <c r="Z772" s="330"/>
      <c r="AA772" s="343"/>
      <c r="AB772" s="249"/>
      <c r="AC772" s="330"/>
      <c r="AD772" s="343"/>
      <c r="AE772" s="249"/>
      <c r="AF772" s="330"/>
      <c r="AG772" s="343"/>
      <c r="AH772" s="249"/>
      <c r="AI772" s="330"/>
      <c r="AJ772" s="343"/>
      <c r="AK772" s="249"/>
      <c r="AL772" s="330"/>
      <c r="AM772" s="343"/>
      <c r="AN772" s="249"/>
      <c r="AO772" s="330"/>
      <c r="AP772" s="343"/>
      <c r="AQ772" s="249"/>
      <c r="AR772" s="330"/>
      <c r="AS772" s="343"/>
      <c r="AT772" s="249"/>
      <c r="AU772" s="330"/>
    </row>
    <row r="773" spans="2:47">
      <c r="B773" s="247">
        <f>'Table S2 Compound Identifiers'!C775</f>
        <v>0</v>
      </c>
      <c r="C773" s="247">
        <f>COUNTIF($D$6:D773,"&lt;&gt;"&amp;"")</f>
        <v>768</v>
      </c>
      <c r="D773" s="247">
        <f>'Table S2 Compound Identifiers'!B775</f>
        <v>0</v>
      </c>
      <c r="E773" s="247"/>
      <c r="F773" s="248"/>
      <c r="G773" s="249"/>
      <c r="H773" s="330"/>
      <c r="I773" s="328"/>
      <c r="J773" s="249"/>
      <c r="K773" s="330"/>
      <c r="L773" s="250"/>
      <c r="M773" s="249"/>
      <c r="N773" s="330"/>
      <c r="O773" s="250"/>
      <c r="P773" s="249"/>
      <c r="Q773" s="330"/>
      <c r="R773" s="250"/>
      <c r="S773" s="249"/>
      <c r="T773" s="330"/>
      <c r="U773" s="250"/>
      <c r="V773" s="249"/>
      <c r="W773" s="330"/>
      <c r="X773" s="343"/>
      <c r="Y773" s="249"/>
      <c r="Z773" s="330"/>
      <c r="AA773" s="343"/>
      <c r="AB773" s="249"/>
      <c r="AC773" s="330"/>
      <c r="AD773" s="343"/>
      <c r="AE773" s="249"/>
      <c r="AF773" s="330"/>
      <c r="AG773" s="343"/>
      <c r="AH773" s="249"/>
      <c r="AI773" s="330"/>
      <c r="AJ773" s="343"/>
      <c r="AK773" s="249"/>
      <c r="AL773" s="330"/>
      <c r="AM773" s="343"/>
      <c r="AN773" s="249"/>
      <c r="AO773" s="330"/>
      <c r="AP773" s="343"/>
      <c r="AQ773" s="249"/>
      <c r="AR773" s="330"/>
      <c r="AS773" s="343"/>
      <c r="AT773" s="249"/>
      <c r="AU773" s="330"/>
    </row>
    <row r="774" spans="2:47">
      <c r="B774" s="247">
        <f>'Table S2 Compound Identifiers'!C776</f>
        <v>0</v>
      </c>
      <c r="C774" s="247">
        <f>COUNTIF($D$6:D774,"&lt;&gt;"&amp;"")</f>
        <v>769</v>
      </c>
      <c r="D774" s="247">
        <f>'Table S2 Compound Identifiers'!B776</f>
        <v>0</v>
      </c>
      <c r="E774" s="247"/>
      <c r="F774" s="248"/>
      <c r="G774" s="249"/>
      <c r="H774" s="330"/>
      <c r="I774" s="328"/>
      <c r="J774" s="249"/>
      <c r="K774" s="330"/>
      <c r="L774" s="250"/>
      <c r="M774" s="249"/>
      <c r="N774" s="330"/>
      <c r="O774" s="250"/>
      <c r="P774" s="249"/>
      <c r="Q774" s="330"/>
      <c r="R774" s="250"/>
      <c r="S774" s="249"/>
      <c r="T774" s="330"/>
      <c r="U774" s="250"/>
      <c r="V774" s="249"/>
      <c r="W774" s="330"/>
      <c r="X774" s="343"/>
      <c r="Y774" s="249"/>
      <c r="Z774" s="330"/>
      <c r="AA774" s="343"/>
      <c r="AB774" s="249"/>
      <c r="AC774" s="330"/>
      <c r="AD774" s="343"/>
      <c r="AE774" s="249"/>
      <c r="AF774" s="330"/>
      <c r="AG774" s="343"/>
      <c r="AH774" s="249"/>
      <c r="AI774" s="330"/>
      <c r="AJ774" s="343"/>
      <c r="AK774" s="249"/>
      <c r="AL774" s="330"/>
      <c r="AM774" s="343"/>
      <c r="AN774" s="249"/>
      <c r="AO774" s="330"/>
      <c r="AP774" s="343"/>
      <c r="AQ774" s="249"/>
      <c r="AR774" s="330"/>
      <c r="AS774" s="343"/>
      <c r="AT774" s="249"/>
      <c r="AU774" s="330"/>
    </row>
    <row r="775" spans="2:47">
      <c r="B775" s="247">
        <f>'Table S2 Compound Identifiers'!C777</f>
        <v>0</v>
      </c>
      <c r="C775" s="247">
        <f>COUNTIF($D$6:D775,"&lt;&gt;"&amp;"")</f>
        <v>770</v>
      </c>
      <c r="D775" s="247">
        <f>'Table S2 Compound Identifiers'!B777</f>
        <v>0</v>
      </c>
      <c r="E775" s="247"/>
      <c r="F775" s="248"/>
      <c r="G775" s="249"/>
      <c r="H775" s="330"/>
      <c r="I775" s="328"/>
      <c r="J775" s="249"/>
      <c r="K775" s="330"/>
      <c r="L775" s="250"/>
      <c r="M775" s="249"/>
      <c r="N775" s="330"/>
      <c r="O775" s="250"/>
      <c r="P775" s="249"/>
      <c r="Q775" s="330"/>
      <c r="R775" s="250"/>
      <c r="S775" s="249"/>
      <c r="T775" s="330"/>
      <c r="U775" s="250"/>
      <c r="V775" s="249"/>
      <c r="W775" s="330"/>
      <c r="X775" s="343"/>
      <c r="Y775" s="249"/>
      <c r="Z775" s="330"/>
      <c r="AA775" s="343"/>
      <c r="AB775" s="249"/>
      <c r="AC775" s="330"/>
      <c r="AD775" s="343"/>
      <c r="AE775" s="249"/>
      <c r="AF775" s="330"/>
      <c r="AG775" s="343"/>
      <c r="AH775" s="249"/>
      <c r="AI775" s="330"/>
      <c r="AJ775" s="343"/>
      <c r="AK775" s="249"/>
      <c r="AL775" s="330"/>
      <c r="AM775" s="343"/>
      <c r="AN775" s="249"/>
      <c r="AO775" s="330"/>
      <c r="AP775" s="343"/>
      <c r="AQ775" s="249"/>
      <c r="AR775" s="330"/>
      <c r="AS775" s="343"/>
      <c r="AT775" s="249"/>
      <c r="AU775" s="330"/>
    </row>
    <row r="776" spans="2:47">
      <c r="B776" s="247">
        <f>'Table S2 Compound Identifiers'!C778</f>
        <v>0</v>
      </c>
      <c r="C776" s="247">
        <f>COUNTIF($D$6:D776,"&lt;&gt;"&amp;"")</f>
        <v>771</v>
      </c>
      <c r="D776" s="247">
        <f>'Table S2 Compound Identifiers'!B778</f>
        <v>0</v>
      </c>
      <c r="E776" s="247"/>
      <c r="F776" s="248"/>
      <c r="G776" s="249"/>
      <c r="H776" s="330"/>
      <c r="I776" s="328"/>
      <c r="J776" s="249"/>
      <c r="K776" s="330"/>
      <c r="L776" s="250"/>
      <c r="M776" s="249"/>
      <c r="N776" s="330"/>
      <c r="O776" s="250"/>
      <c r="P776" s="249"/>
      <c r="Q776" s="330"/>
      <c r="R776" s="250"/>
      <c r="S776" s="249"/>
      <c r="T776" s="330"/>
      <c r="U776" s="250"/>
      <c r="V776" s="249"/>
      <c r="W776" s="330"/>
      <c r="X776" s="343"/>
      <c r="Y776" s="249"/>
      <c r="Z776" s="330"/>
      <c r="AA776" s="343"/>
      <c r="AB776" s="249"/>
      <c r="AC776" s="330"/>
      <c r="AD776" s="343"/>
      <c r="AE776" s="249"/>
      <c r="AF776" s="330"/>
      <c r="AG776" s="343"/>
      <c r="AH776" s="249"/>
      <c r="AI776" s="330"/>
      <c r="AJ776" s="343"/>
      <c r="AK776" s="249"/>
      <c r="AL776" s="330"/>
      <c r="AM776" s="343"/>
      <c r="AN776" s="249"/>
      <c r="AO776" s="330"/>
      <c r="AP776" s="343"/>
      <c r="AQ776" s="249"/>
      <c r="AR776" s="330"/>
      <c r="AS776" s="343"/>
      <c r="AT776" s="249"/>
      <c r="AU776" s="330"/>
    </row>
    <row r="777" spans="2:47">
      <c r="B777" s="247">
        <f>'Table S2 Compound Identifiers'!C779</f>
        <v>0</v>
      </c>
      <c r="C777" s="247">
        <f>COUNTIF($D$6:D777,"&lt;&gt;"&amp;"")</f>
        <v>772</v>
      </c>
      <c r="D777" s="247">
        <f>'Table S2 Compound Identifiers'!B779</f>
        <v>0</v>
      </c>
      <c r="E777" s="247"/>
      <c r="F777" s="248"/>
      <c r="G777" s="249"/>
      <c r="H777" s="330"/>
      <c r="I777" s="328"/>
      <c r="J777" s="249"/>
      <c r="K777" s="330"/>
      <c r="L777" s="250"/>
      <c r="M777" s="249"/>
      <c r="N777" s="330"/>
      <c r="O777" s="250"/>
      <c r="P777" s="249"/>
      <c r="Q777" s="330"/>
      <c r="R777" s="250"/>
      <c r="S777" s="249"/>
      <c r="T777" s="330"/>
      <c r="U777" s="250"/>
      <c r="V777" s="249"/>
      <c r="W777" s="330"/>
      <c r="X777" s="343"/>
      <c r="Y777" s="249"/>
      <c r="Z777" s="330"/>
      <c r="AA777" s="343"/>
      <c r="AB777" s="249"/>
      <c r="AC777" s="330"/>
      <c r="AD777" s="343"/>
      <c r="AE777" s="249"/>
      <c r="AF777" s="330"/>
      <c r="AG777" s="343"/>
      <c r="AH777" s="249"/>
      <c r="AI777" s="330"/>
      <c r="AJ777" s="343"/>
      <c r="AK777" s="249"/>
      <c r="AL777" s="330"/>
      <c r="AM777" s="343"/>
      <c r="AN777" s="249"/>
      <c r="AO777" s="330"/>
      <c r="AP777" s="343"/>
      <c r="AQ777" s="249"/>
      <c r="AR777" s="330"/>
      <c r="AS777" s="343"/>
      <c r="AT777" s="249"/>
      <c r="AU777" s="330"/>
    </row>
    <row r="778" spans="2:47">
      <c r="B778" s="247">
        <f>'Table S2 Compound Identifiers'!C780</f>
        <v>0</v>
      </c>
      <c r="C778" s="247">
        <f>COUNTIF($D$6:D778,"&lt;&gt;"&amp;"")</f>
        <v>773</v>
      </c>
      <c r="D778" s="247">
        <f>'Table S2 Compound Identifiers'!B780</f>
        <v>0</v>
      </c>
      <c r="E778" s="247"/>
      <c r="F778" s="248"/>
      <c r="G778" s="249"/>
      <c r="H778" s="330"/>
      <c r="I778" s="328"/>
      <c r="J778" s="249"/>
      <c r="K778" s="330"/>
      <c r="L778" s="250"/>
      <c r="M778" s="249"/>
      <c r="N778" s="330"/>
      <c r="O778" s="250"/>
      <c r="P778" s="249"/>
      <c r="Q778" s="330"/>
      <c r="R778" s="250"/>
      <c r="S778" s="249"/>
      <c r="T778" s="330"/>
      <c r="U778" s="250"/>
      <c r="V778" s="249"/>
      <c r="W778" s="330"/>
      <c r="X778" s="343"/>
      <c r="Y778" s="249"/>
      <c r="Z778" s="330"/>
      <c r="AA778" s="343"/>
      <c r="AB778" s="249"/>
      <c r="AC778" s="330"/>
      <c r="AD778" s="343"/>
      <c r="AE778" s="249"/>
      <c r="AF778" s="330"/>
      <c r="AG778" s="343"/>
      <c r="AH778" s="249"/>
      <c r="AI778" s="330"/>
      <c r="AJ778" s="343"/>
      <c r="AK778" s="249"/>
      <c r="AL778" s="330"/>
      <c r="AM778" s="343"/>
      <c r="AN778" s="249"/>
      <c r="AO778" s="330"/>
      <c r="AP778" s="343"/>
      <c r="AQ778" s="249"/>
      <c r="AR778" s="330"/>
      <c r="AS778" s="343"/>
      <c r="AT778" s="249"/>
      <c r="AU778" s="330"/>
    </row>
    <row r="779" spans="2:47">
      <c r="B779" s="247">
        <f>'Table S2 Compound Identifiers'!C781</f>
        <v>0</v>
      </c>
      <c r="C779" s="247">
        <f>COUNTIF($D$6:D779,"&lt;&gt;"&amp;"")</f>
        <v>774</v>
      </c>
      <c r="D779" s="247">
        <f>'Table S2 Compound Identifiers'!B781</f>
        <v>0</v>
      </c>
      <c r="E779" s="247"/>
      <c r="F779" s="248"/>
      <c r="G779" s="249"/>
      <c r="H779" s="330"/>
      <c r="I779" s="328"/>
      <c r="J779" s="249"/>
      <c r="K779" s="330"/>
      <c r="L779" s="250"/>
      <c r="M779" s="249"/>
      <c r="N779" s="330"/>
      <c r="O779" s="250"/>
      <c r="P779" s="249"/>
      <c r="Q779" s="330"/>
      <c r="R779" s="250"/>
      <c r="S779" s="249"/>
      <c r="T779" s="330"/>
      <c r="U779" s="250"/>
      <c r="V779" s="249"/>
      <c r="W779" s="330"/>
      <c r="X779" s="343"/>
      <c r="Y779" s="249"/>
      <c r="Z779" s="330"/>
      <c r="AA779" s="343"/>
      <c r="AB779" s="249"/>
      <c r="AC779" s="330"/>
      <c r="AD779" s="343"/>
      <c r="AE779" s="249"/>
      <c r="AF779" s="330"/>
      <c r="AG779" s="343"/>
      <c r="AH779" s="249"/>
      <c r="AI779" s="330"/>
      <c r="AJ779" s="343"/>
      <c r="AK779" s="249"/>
      <c r="AL779" s="330"/>
      <c r="AM779" s="343"/>
      <c r="AN779" s="249"/>
      <c r="AO779" s="330"/>
      <c r="AP779" s="343"/>
      <c r="AQ779" s="249"/>
      <c r="AR779" s="330"/>
      <c r="AS779" s="343"/>
      <c r="AT779" s="249"/>
      <c r="AU779" s="330"/>
    </row>
    <row r="780" spans="2:47">
      <c r="B780" s="247">
        <f>'Table S2 Compound Identifiers'!C782</f>
        <v>0</v>
      </c>
      <c r="C780" s="247">
        <f>COUNTIF($D$6:D780,"&lt;&gt;"&amp;"")</f>
        <v>775</v>
      </c>
      <c r="D780" s="247">
        <f>'Table S2 Compound Identifiers'!B782</f>
        <v>0</v>
      </c>
      <c r="E780" s="247"/>
      <c r="F780" s="248"/>
      <c r="G780" s="249"/>
      <c r="H780" s="330"/>
      <c r="I780" s="328"/>
      <c r="J780" s="249"/>
      <c r="K780" s="330"/>
      <c r="L780" s="250"/>
      <c r="M780" s="249"/>
      <c r="N780" s="330"/>
      <c r="O780" s="250"/>
      <c r="P780" s="249"/>
      <c r="Q780" s="330"/>
      <c r="R780" s="250"/>
      <c r="S780" s="249"/>
      <c r="T780" s="330"/>
      <c r="U780" s="250"/>
      <c r="V780" s="249"/>
      <c r="W780" s="330"/>
      <c r="X780" s="343"/>
      <c r="Y780" s="249"/>
      <c r="Z780" s="330"/>
      <c r="AA780" s="343"/>
      <c r="AB780" s="249"/>
      <c r="AC780" s="330"/>
      <c r="AD780" s="343"/>
      <c r="AE780" s="249"/>
      <c r="AF780" s="330"/>
      <c r="AG780" s="343"/>
      <c r="AH780" s="249"/>
      <c r="AI780" s="330"/>
      <c r="AJ780" s="343"/>
      <c r="AK780" s="249"/>
      <c r="AL780" s="330"/>
      <c r="AM780" s="343"/>
      <c r="AN780" s="249"/>
      <c r="AO780" s="330"/>
      <c r="AP780" s="343"/>
      <c r="AQ780" s="249"/>
      <c r="AR780" s="330"/>
      <c r="AS780" s="343"/>
      <c r="AT780" s="249"/>
      <c r="AU780" s="330"/>
    </row>
    <row r="781" spans="2:47">
      <c r="B781" s="247">
        <f>'Table S2 Compound Identifiers'!C783</f>
        <v>0</v>
      </c>
      <c r="C781" s="247">
        <f>COUNTIF($D$6:D781,"&lt;&gt;"&amp;"")</f>
        <v>776</v>
      </c>
      <c r="D781" s="247">
        <f>'Table S2 Compound Identifiers'!B783</f>
        <v>0</v>
      </c>
      <c r="E781" s="247"/>
      <c r="F781" s="248"/>
      <c r="G781" s="249"/>
      <c r="H781" s="330"/>
      <c r="I781" s="328"/>
      <c r="J781" s="249"/>
      <c r="K781" s="330"/>
      <c r="L781" s="250"/>
      <c r="M781" s="249"/>
      <c r="N781" s="330"/>
      <c r="O781" s="250"/>
      <c r="P781" s="249"/>
      <c r="Q781" s="330"/>
      <c r="R781" s="250"/>
      <c r="S781" s="249"/>
      <c r="T781" s="330"/>
      <c r="U781" s="250"/>
      <c r="V781" s="249"/>
      <c r="W781" s="330"/>
      <c r="X781" s="343"/>
      <c r="Y781" s="249"/>
      <c r="Z781" s="330"/>
      <c r="AA781" s="343"/>
      <c r="AB781" s="249"/>
      <c r="AC781" s="330"/>
      <c r="AD781" s="343"/>
      <c r="AE781" s="249"/>
      <c r="AF781" s="330"/>
      <c r="AG781" s="343"/>
      <c r="AH781" s="249"/>
      <c r="AI781" s="330"/>
      <c r="AJ781" s="343"/>
      <c r="AK781" s="249"/>
      <c r="AL781" s="330"/>
      <c r="AM781" s="343"/>
      <c r="AN781" s="249"/>
      <c r="AO781" s="330"/>
      <c r="AP781" s="343"/>
      <c r="AQ781" s="249"/>
      <c r="AR781" s="330"/>
      <c r="AS781" s="343"/>
      <c r="AT781" s="249"/>
      <c r="AU781" s="330"/>
    </row>
    <row r="782" spans="2:47">
      <c r="B782" s="247">
        <f>'Table S2 Compound Identifiers'!C784</f>
        <v>0</v>
      </c>
      <c r="C782" s="247">
        <f>COUNTIF($D$6:D782,"&lt;&gt;"&amp;"")</f>
        <v>777</v>
      </c>
      <c r="D782" s="247">
        <f>'Table S2 Compound Identifiers'!B784</f>
        <v>0</v>
      </c>
      <c r="E782" s="247"/>
      <c r="F782" s="248"/>
      <c r="G782" s="249"/>
      <c r="H782" s="330"/>
      <c r="I782" s="328"/>
      <c r="J782" s="249"/>
      <c r="K782" s="330"/>
      <c r="L782" s="250"/>
      <c r="M782" s="249"/>
      <c r="N782" s="330"/>
      <c r="O782" s="250"/>
      <c r="P782" s="249"/>
      <c r="Q782" s="330"/>
      <c r="R782" s="250"/>
      <c r="S782" s="249"/>
      <c r="T782" s="330"/>
      <c r="U782" s="250"/>
      <c r="V782" s="249"/>
      <c r="W782" s="330"/>
      <c r="X782" s="343"/>
      <c r="Y782" s="249"/>
      <c r="Z782" s="330"/>
      <c r="AA782" s="343"/>
      <c r="AB782" s="249"/>
      <c r="AC782" s="330"/>
      <c r="AD782" s="343"/>
      <c r="AE782" s="249"/>
      <c r="AF782" s="330"/>
      <c r="AG782" s="343"/>
      <c r="AH782" s="249"/>
      <c r="AI782" s="330"/>
      <c r="AJ782" s="343"/>
      <c r="AK782" s="249"/>
      <c r="AL782" s="330"/>
      <c r="AM782" s="343"/>
      <c r="AN782" s="249"/>
      <c r="AO782" s="330"/>
      <c r="AP782" s="343"/>
      <c r="AQ782" s="249"/>
      <c r="AR782" s="330"/>
      <c r="AS782" s="343"/>
      <c r="AT782" s="249"/>
      <c r="AU782" s="330"/>
    </row>
    <row r="783" spans="2:47">
      <c r="B783" s="247">
        <f>'Table S2 Compound Identifiers'!C785</f>
        <v>0</v>
      </c>
      <c r="C783" s="247">
        <f>COUNTIF($D$6:D783,"&lt;&gt;"&amp;"")</f>
        <v>778</v>
      </c>
      <c r="D783" s="247">
        <f>'Table S2 Compound Identifiers'!B785</f>
        <v>0</v>
      </c>
      <c r="E783" s="247"/>
      <c r="F783" s="248"/>
      <c r="G783" s="249"/>
      <c r="H783" s="330"/>
      <c r="I783" s="328"/>
      <c r="J783" s="249"/>
      <c r="K783" s="330"/>
      <c r="L783" s="250"/>
      <c r="M783" s="249"/>
      <c r="N783" s="330"/>
      <c r="O783" s="250"/>
      <c r="P783" s="249"/>
      <c r="Q783" s="330"/>
      <c r="R783" s="250"/>
      <c r="S783" s="249"/>
      <c r="T783" s="330"/>
      <c r="U783" s="250"/>
      <c r="V783" s="249"/>
      <c r="W783" s="330"/>
      <c r="X783" s="343"/>
      <c r="Y783" s="249"/>
      <c r="Z783" s="330"/>
      <c r="AA783" s="343"/>
      <c r="AB783" s="249"/>
      <c r="AC783" s="330"/>
      <c r="AD783" s="343"/>
      <c r="AE783" s="249"/>
      <c r="AF783" s="330"/>
      <c r="AG783" s="343"/>
      <c r="AH783" s="249"/>
      <c r="AI783" s="330"/>
      <c r="AJ783" s="343"/>
      <c r="AK783" s="249"/>
      <c r="AL783" s="330"/>
      <c r="AM783" s="343"/>
      <c r="AN783" s="249"/>
      <c r="AO783" s="330"/>
      <c r="AP783" s="343"/>
      <c r="AQ783" s="249"/>
      <c r="AR783" s="330"/>
      <c r="AS783" s="343"/>
      <c r="AT783" s="249"/>
      <c r="AU783" s="330"/>
    </row>
    <row r="784" spans="2:47">
      <c r="B784" s="247">
        <f>'Table S2 Compound Identifiers'!C786</f>
        <v>0</v>
      </c>
      <c r="C784" s="247">
        <f>COUNTIF($D$6:D784,"&lt;&gt;"&amp;"")</f>
        <v>779</v>
      </c>
      <c r="D784" s="247">
        <f>'Table S2 Compound Identifiers'!B786</f>
        <v>0</v>
      </c>
      <c r="E784" s="247"/>
      <c r="F784" s="248"/>
      <c r="G784" s="249"/>
      <c r="H784" s="330"/>
      <c r="I784" s="328"/>
      <c r="J784" s="249"/>
      <c r="K784" s="330"/>
      <c r="L784" s="250"/>
      <c r="M784" s="249"/>
      <c r="N784" s="330"/>
      <c r="O784" s="250"/>
      <c r="P784" s="249"/>
      <c r="Q784" s="330"/>
      <c r="R784" s="250"/>
      <c r="S784" s="249"/>
      <c r="T784" s="330"/>
      <c r="U784" s="250"/>
      <c r="V784" s="249"/>
      <c r="W784" s="330"/>
      <c r="X784" s="343"/>
      <c r="Y784" s="249"/>
      <c r="Z784" s="330"/>
      <c r="AA784" s="343"/>
      <c r="AB784" s="249"/>
      <c r="AC784" s="330"/>
      <c r="AD784" s="343"/>
      <c r="AE784" s="249"/>
      <c r="AF784" s="330"/>
      <c r="AG784" s="343"/>
      <c r="AH784" s="249"/>
      <c r="AI784" s="330"/>
      <c r="AJ784" s="343"/>
      <c r="AK784" s="249"/>
      <c r="AL784" s="330"/>
      <c r="AM784" s="343"/>
      <c r="AN784" s="249"/>
      <c r="AO784" s="330"/>
      <c r="AP784" s="343"/>
      <c r="AQ784" s="249"/>
      <c r="AR784" s="330"/>
      <c r="AS784" s="343"/>
      <c r="AT784" s="249"/>
      <c r="AU784" s="330"/>
    </row>
    <row r="785" spans="2:47">
      <c r="B785" s="247">
        <f>'Table S2 Compound Identifiers'!C787</f>
        <v>0</v>
      </c>
      <c r="C785" s="247">
        <f>COUNTIF($D$6:D785,"&lt;&gt;"&amp;"")</f>
        <v>780</v>
      </c>
      <c r="D785" s="247">
        <f>'Table S2 Compound Identifiers'!B787</f>
        <v>0</v>
      </c>
      <c r="E785" s="247"/>
      <c r="F785" s="248"/>
      <c r="G785" s="249"/>
      <c r="H785" s="330"/>
      <c r="I785" s="328"/>
      <c r="J785" s="249"/>
      <c r="K785" s="330"/>
      <c r="L785" s="250"/>
      <c r="M785" s="249"/>
      <c r="N785" s="330"/>
      <c r="O785" s="250"/>
      <c r="P785" s="249"/>
      <c r="Q785" s="330"/>
      <c r="R785" s="250"/>
      <c r="S785" s="249"/>
      <c r="T785" s="330"/>
      <c r="U785" s="250"/>
      <c r="V785" s="249"/>
      <c r="W785" s="330"/>
      <c r="X785" s="343"/>
      <c r="Y785" s="249"/>
      <c r="Z785" s="330"/>
      <c r="AA785" s="343"/>
      <c r="AB785" s="249"/>
      <c r="AC785" s="330"/>
      <c r="AD785" s="343"/>
      <c r="AE785" s="249"/>
      <c r="AF785" s="330"/>
      <c r="AG785" s="343"/>
      <c r="AH785" s="249"/>
      <c r="AI785" s="330"/>
      <c r="AJ785" s="343"/>
      <c r="AK785" s="249"/>
      <c r="AL785" s="330"/>
      <c r="AM785" s="343"/>
      <c r="AN785" s="249"/>
      <c r="AO785" s="330"/>
      <c r="AP785" s="343"/>
      <c r="AQ785" s="249"/>
      <c r="AR785" s="330"/>
      <c r="AS785" s="343"/>
      <c r="AT785" s="249"/>
      <c r="AU785" s="330"/>
    </row>
    <row r="786" spans="2:47">
      <c r="B786" s="247">
        <f>'Table S2 Compound Identifiers'!C788</f>
        <v>0</v>
      </c>
      <c r="C786" s="247">
        <f>COUNTIF($D$6:D786,"&lt;&gt;"&amp;"")</f>
        <v>781</v>
      </c>
      <c r="D786" s="247">
        <f>'Table S2 Compound Identifiers'!B788</f>
        <v>0</v>
      </c>
      <c r="E786" s="247"/>
      <c r="F786" s="248"/>
      <c r="G786" s="249"/>
      <c r="H786" s="330"/>
      <c r="I786" s="328"/>
      <c r="J786" s="249"/>
      <c r="K786" s="330"/>
      <c r="L786" s="250"/>
      <c r="M786" s="249"/>
      <c r="N786" s="330"/>
      <c r="O786" s="250"/>
      <c r="P786" s="249"/>
      <c r="Q786" s="330"/>
      <c r="R786" s="250"/>
      <c r="S786" s="249"/>
      <c r="T786" s="330"/>
      <c r="U786" s="250"/>
      <c r="V786" s="249"/>
      <c r="W786" s="330"/>
      <c r="X786" s="343"/>
      <c r="Y786" s="249"/>
      <c r="Z786" s="330"/>
      <c r="AA786" s="343"/>
      <c r="AB786" s="249"/>
      <c r="AC786" s="330"/>
      <c r="AD786" s="343"/>
      <c r="AE786" s="249"/>
      <c r="AF786" s="330"/>
      <c r="AG786" s="343"/>
      <c r="AH786" s="249"/>
      <c r="AI786" s="330"/>
      <c r="AJ786" s="343"/>
      <c r="AK786" s="249"/>
      <c r="AL786" s="330"/>
      <c r="AM786" s="343"/>
      <c r="AN786" s="249"/>
      <c r="AO786" s="330"/>
      <c r="AP786" s="343"/>
      <c r="AQ786" s="249"/>
      <c r="AR786" s="330"/>
      <c r="AS786" s="343"/>
      <c r="AT786" s="249"/>
      <c r="AU786" s="330"/>
    </row>
    <row r="787" spans="2:47">
      <c r="B787" s="247">
        <f>'Table S2 Compound Identifiers'!C789</f>
        <v>0</v>
      </c>
      <c r="C787" s="247">
        <f>COUNTIF($D$6:D787,"&lt;&gt;"&amp;"")</f>
        <v>782</v>
      </c>
      <c r="D787" s="247">
        <f>'Table S2 Compound Identifiers'!B789</f>
        <v>0</v>
      </c>
      <c r="E787" s="247"/>
      <c r="F787" s="248"/>
      <c r="G787" s="249"/>
      <c r="H787" s="330"/>
      <c r="I787" s="328"/>
      <c r="J787" s="249"/>
      <c r="K787" s="330"/>
      <c r="L787" s="250"/>
      <c r="M787" s="249"/>
      <c r="N787" s="330"/>
      <c r="O787" s="250"/>
      <c r="P787" s="249"/>
      <c r="Q787" s="330"/>
      <c r="R787" s="250"/>
      <c r="S787" s="249"/>
      <c r="T787" s="330"/>
      <c r="U787" s="250"/>
      <c r="V787" s="249"/>
      <c r="W787" s="330"/>
      <c r="X787" s="343"/>
      <c r="Y787" s="249"/>
      <c r="Z787" s="330"/>
      <c r="AA787" s="343"/>
      <c r="AB787" s="249"/>
      <c r="AC787" s="330"/>
      <c r="AD787" s="343"/>
      <c r="AE787" s="249"/>
      <c r="AF787" s="330"/>
      <c r="AG787" s="343"/>
      <c r="AH787" s="249"/>
      <c r="AI787" s="330"/>
      <c r="AJ787" s="343"/>
      <c r="AK787" s="249"/>
      <c r="AL787" s="330"/>
      <c r="AM787" s="343"/>
      <c r="AN787" s="249"/>
      <c r="AO787" s="330"/>
      <c r="AP787" s="343"/>
      <c r="AQ787" s="249"/>
      <c r="AR787" s="330"/>
      <c r="AS787" s="343"/>
      <c r="AT787" s="249"/>
      <c r="AU787" s="330"/>
    </row>
    <row r="788" spans="2:47">
      <c r="B788" s="247">
        <f>'Table S2 Compound Identifiers'!C790</f>
        <v>0</v>
      </c>
      <c r="C788" s="247">
        <f>COUNTIF($D$6:D788,"&lt;&gt;"&amp;"")</f>
        <v>783</v>
      </c>
      <c r="D788" s="247">
        <f>'Table S2 Compound Identifiers'!B790</f>
        <v>0</v>
      </c>
      <c r="E788" s="247"/>
      <c r="F788" s="248"/>
      <c r="G788" s="249"/>
      <c r="H788" s="330"/>
      <c r="I788" s="328"/>
      <c r="J788" s="249"/>
      <c r="K788" s="330"/>
      <c r="L788" s="250"/>
      <c r="M788" s="249"/>
      <c r="N788" s="330"/>
      <c r="O788" s="250"/>
      <c r="P788" s="249"/>
      <c r="Q788" s="330"/>
      <c r="R788" s="250"/>
      <c r="S788" s="249"/>
      <c r="T788" s="330"/>
      <c r="U788" s="250"/>
      <c r="V788" s="249"/>
      <c r="W788" s="330"/>
      <c r="X788" s="343"/>
      <c r="Y788" s="249"/>
      <c r="Z788" s="330"/>
      <c r="AA788" s="343"/>
      <c r="AB788" s="249"/>
      <c r="AC788" s="330"/>
      <c r="AD788" s="343"/>
      <c r="AE788" s="249"/>
      <c r="AF788" s="330"/>
      <c r="AG788" s="343"/>
      <c r="AH788" s="249"/>
      <c r="AI788" s="330"/>
      <c r="AJ788" s="343"/>
      <c r="AK788" s="249"/>
      <c r="AL788" s="330"/>
      <c r="AM788" s="343"/>
      <c r="AN788" s="249"/>
      <c r="AO788" s="330"/>
      <c r="AP788" s="343"/>
      <c r="AQ788" s="249"/>
      <c r="AR788" s="330"/>
      <c r="AS788" s="343"/>
      <c r="AT788" s="249"/>
      <c r="AU788" s="330"/>
    </row>
    <row r="789" spans="2:47">
      <c r="B789" s="247">
        <f>'Table S2 Compound Identifiers'!C791</f>
        <v>0</v>
      </c>
      <c r="C789" s="247">
        <f>COUNTIF($D$6:D789,"&lt;&gt;"&amp;"")</f>
        <v>784</v>
      </c>
      <c r="D789" s="247">
        <f>'Table S2 Compound Identifiers'!B791</f>
        <v>0</v>
      </c>
      <c r="E789" s="247"/>
      <c r="F789" s="248"/>
      <c r="G789" s="249"/>
      <c r="H789" s="330"/>
      <c r="I789" s="328"/>
      <c r="J789" s="249"/>
      <c r="K789" s="330"/>
      <c r="L789" s="250"/>
      <c r="M789" s="249"/>
      <c r="N789" s="330"/>
      <c r="O789" s="250"/>
      <c r="P789" s="249"/>
      <c r="Q789" s="330"/>
      <c r="R789" s="250"/>
      <c r="S789" s="249"/>
      <c r="T789" s="330"/>
      <c r="U789" s="250"/>
      <c r="V789" s="249"/>
      <c r="W789" s="330"/>
      <c r="X789" s="343"/>
      <c r="Y789" s="249"/>
      <c r="Z789" s="330"/>
      <c r="AA789" s="343"/>
      <c r="AB789" s="249"/>
      <c r="AC789" s="330"/>
      <c r="AD789" s="343"/>
      <c r="AE789" s="249"/>
      <c r="AF789" s="330"/>
      <c r="AG789" s="343"/>
      <c r="AH789" s="249"/>
      <c r="AI789" s="330"/>
      <c r="AJ789" s="343"/>
      <c r="AK789" s="249"/>
      <c r="AL789" s="330"/>
      <c r="AM789" s="343"/>
      <c r="AN789" s="249"/>
      <c r="AO789" s="330"/>
      <c r="AP789" s="343"/>
      <c r="AQ789" s="249"/>
      <c r="AR789" s="330"/>
      <c r="AS789" s="343"/>
      <c r="AT789" s="249"/>
      <c r="AU789" s="330"/>
    </row>
    <row r="790" spans="2:47">
      <c r="B790" s="247">
        <f>'Table S2 Compound Identifiers'!C792</f>
        <v>0</v>
      </c>
      <c r="C790" s="247">
        <f>COUNTIF($D$6:D790,"&lt;&gt;"&amp;"")</f>
        <v>785</v>
      </c>
      <c r="D790" s="247">
        <f>'Table S2 Compound Identifiers'!B792</f>
        <v>0</v>
      </c>
      <c r="E790" s="247"/>
      <c r="F790" s="248"/>
      <c r="G790" s="249"/>
      <c r="H790" s="330"/>
      <c r="I790" s="328"/>
      <c r="J790" s="249"/>
      <c r="K790" s="330"/>
      <c r="L790" s="250"/>
      <c r="M790" s="249"/>
      <c r="N790" s="330"/>
      <c r="O790" s="250"/>
      <c r="P790" s="249"/>
      <c r="Q790" s="330"/>
      <c r="R790" s="250"/>
      <c r="S790" s="249"/>
      <c r="T790" s="330"/>
      <c r="U790" s="250"/>
      <c r="V790" s="249"/>
      <c r="W790" s="330"/>
      <c r="X790" s="343"/>
      <c r="Y790" s="249"/>
      <c r="Z790" s="330"/>
      <c r="AA790" s="343"/>
      <c r="AB790" s="249"/>
      <c r="AC790" s="330"/>
      <c r="AD790" s="343"/>
      <c r="AE790" s="249"/>
      <c r="AF790" s="330"/>
      <c r="AG790" s="343"/>
      <c r="AH790" s="249"/>
      <c r="AI790" s="330"/>
      <c r="AJ790" s="343"/>
      <c r="AK790" s="249"/>
      <c r="AL790" s="330"/>
      <c r="AM790" s="343"/>
      <c r="AN790" s="249"/>
      <c r="AO790" s="330"/>
      <c r="AP790" s="343"/>
      <c r="AQ790" s="249"/>
      <c r="AR790" s="330"/>
      <c r="AS790" s="343"/>
      <c r="AT790" s="249"/>
      <c r="AU790" s="330"/>
    </row>
    <row r="791" spans="2:47">
      <c r="B791" s="247">
        <f>'Table S2 Compound Identifiers'!C793</f>
        <v>0</v>
      </c>
      <c r="C791" s="247">
        <f>COUNTIF($D$6:D791,"&lt;&gt;"&amp;"")</f>
        <v>786</v>
      </c>
      <c r="D791" s="247">
        <f>'Table S2 Compound Identifiers'!B793</f>
        <v>0</v>
      </c>
      <c r="E791" s="247"/>
      <c r="F791" s="248"/>
      <c r="G791" s="249"/>
      <c r="H791" s="330"/>
      <c r="I791" s="328"/>
      <c r="J791" s="249"/>
      <c r="K791" s="330"/>
      <c r="L791" s="250"/>
      <c r="M791" s="249"/>
      <c r="N791" s="330"/>
      <c r="O791" s="250"/>
      <c r="P791" s="249"/>
      <c r="Q791" s="330"/>
      <c r="R791" s="250"/>
      <c r="S791" s="249"/>
      <c r="T791" s="330"/>
      <c r="U791" s="250"/>
      <c r="V791" s="249"/>
      <c r="W791" s="330"/>
      <c r="X791" s="343"/>
      <c r="Y791" s="249"/>
      <c r="Z791" s="330"/>
      <c r="AA791" s="343"/>
      <c r="AB791" s="249"/>
      <c r="AC791" s="330"/>
      <c r="AD791" s="343"/>
      <c r="AE791" s="249"/>
      <c r="AF791" s="330"/>
      <c r="AG791" s="343"/>
      <c r="AH791" s="249"/>
      <c r="AI791" s="330"/>
      <c r="AJ791" s="343"/>
      <c r="AK791" s="249"/>
      <c r="AL791" s="330"/>
      <c r="AM791" s="343"/>
      <c r="AN791" s="249"/>
      <c r="AO791" s="330"/>
      <c r="AP791" s="343"/>
      <c r="AQ791" s="249"/>
      <c r="AR791" s="330"/>
      <c r="AS791" s="343"/>
      <c r="AT791" s="249"/>
      <c r="AU791" s="330"/>
    </row>
    <row r="792" spans="2:47">
      <c r="B792" s="247">
        <f>'Table S2 Compound Identifiers'!C794</f>
        <v>0</v>
      </c>
      <c r="C792" s="247">
        <f>COUNTIF($D$6:D792,"&lt;&gt;"&amp;"")</f>
        <v>787</v>
      </c>
      <c r="D792" s="247">
        <f>'Table S2 Compound Identifiers'!B794</f>
        <v>0</v>
      </c>
      <c r="E792" s="247"/>
      <c r="F792" s="248"/>
      <c r="G792" s="249"/>
      <c r="H792" s="330"/>
      <c r="I792" s="328"/>
      <c r="J792" s="249"/>
      <c r="K792" s="330"/>
      <c r="L792" s="250"/>
      <c r="M792" s="249"/>
      <c r="N792" s="330"/>
      <c r="O792" s="250"/>
      <c r="P792" s="249"/>
      <c r="Q792" s="330"/>
      <c r="R792" s="250"/>
      <c r="S792" s="249"/>
      <c r="T792" s="330"/>
      <c r="U792" s="250"/>
      <c r="V792" s="249"/>
      <c r="W792" s="330"/>
      <c r="X792" s="343"/>
      <c r="Y792" s="249"/>
      <c r="Z792" s="330"/>
      <c r="AA792" s="343"/>
      <c r="AB792" s="249"/>
      <c r="AC792" s="330"/>
      <c r="AD792" s="343"/>
      <c r="AE792" s="249"/>
      <c r="AF792" s="330"/>
      <c r="AG792" s="343"/>
      <c r="AH792" s="249"/>
      <c r="AI792" s="330"/>
      <c r="AJ792" s="343"/>
      <c r="AK792" s="249"/>
      <c r="AL792" s="330"/>
      <c r="AM792" s="343"/>
      <c r="AN792" s="249"/>
      <c r="AO792" s="330"/>
      <c r="AP792" s="343"/>
      <c r="AQ792" s="249"/>
      <c r="AR792" s="330"/>
      <c r="AS792" s="343"/>
      <c r="AT792" s="249"/>
      <c r="AU792" s="330"/>
    </row>
    <row r="793" spans="2:47">
      <c r="B793" s="247">
        <f>'Table S2 Compound Identifiers'!C795</f>
        <v>0</v>
      </c>
      <c r="C793" s="247">
        <f>COUNTIF($D$6:D793,"&lt;&gt;"&amp;"")</f>
        <v>788</v>
      </c>
      <c r="D793" s="247">
        <f>'Table S2 Compound Identifiers'!B795</f>
        <v>0</v>
      </c>
      <c r="E793" s="247"/>
      <c r="F793" s="248"/>
      <c r="G793" s="249"/>
      <c r="H793" s="330"/>
      <c r="I793" s="328"/>
      <c r="J793" s="249"/>
      <c r="K793" s="330"/>
      <c r="L793" s="250"/>
      <c r="M793" s="249"/>
      <c r="N793" s="330"/>
      <c r="O793" s="250"/>
      <c r="P793" s="249"/>
      <c r="Q793" s="330"/>
      <c r="R793" s="250"/>
      <c r="S793" s="249"/>
      <c r="T793" s="330"/>
      <c r="U793" s="250"/>
      <c r="V793" s="249"/>
      <c r="W793" s="330"/>
      <c r="X793" s="343"/>
      <c r="Y793" s="249"/>
      <c r="Z793" s="330"/>
      <c r="AA793" s="343"/>
      <c r="AB793" s="249"/>
      <c r="AC793" s="330"/>
      <c r="AD793" s="343"/>
      <c r="AE793" s="249"/>
      <c r="AF793" s="330"/>
      <c r="AG793" s="343"/>
      <c r="AH793" s="249"/>
      <c r="AI793" s="330"/>
      <c r="AJ793" s="343"/>
      <c r="AK793" s="249"/>
      <c r="AL793" s="330"/>
      <c r="AM793" s="343"/>
      <c r="AN793" s="249"/>
      <c r="AO793" s="330"/>
      <c r="AP793" s="343"/>
      <c r="AQ793" s="249"/>
      <c r="AR793" s="330"/>
      <c r="AS793" s="343"/>
      <c r="AT793" s="249"/>
      <c r="AU793" s="330"/>
    </row>
    <row r="794" spans="2:47">
      <c r="B794" s="247">
        <f>'Table S2 Compound Identifiers'!C796</f>
        <v>0</v>
      </c>
      <c r="C794" s="247">
        <f>COUNTIF($D$6:D794,"&lt;&gt;"&amp;"")</f>
        <v>789</v>
      </c>
      <c r="D794" s="247">
        <f>'Table S2 Compound Identifiers'!B796</f>
        <v>0</v>
      </c>
      <c r="E794" s="247"/>
      <c r="F794" s="248"/>
      <c r="G794" s="249"/>
      <c r="H794" s="330"/>
      <c r="I794" s="328"/>
      <c r="J794" s="249"/>
      <c r="K794" s="330"/>
      <c r="L794" s="250"/>
      <c r="M794" s="249"/>
      <c r="N794" s="330"/>
      <c r="O794" s="250"/>
      <c r="P794" s="249"/>
      <c r="Q794" s="330"/>
      <c r="R794" s="250"/>
      <c r="S794" s="249"/>
      <c r="T794" s="330"/>
      <c r="U794" s="250"/>
      <c r="V794" s="249"/>
      <c r="W794" s="330"/>
      <c r="X794" s="343"/>
      <c r="Y794" s="249"/>
      <c r="Z794" s="330"/>
      <c r="AA794" s="343"/>
      <c r="AB794" s="249"/>
      <c r="AC794" s="330"/>
      <c r="AD794" s="343"/>
      <c r="AE794" s="249"/>
      <c r="AF794" s="330"/>
      <c r="AG794" s="343"/>
      <c r="AH794" s="249"/>
      <c r="AI794" s="330"/>
      <c r="AJ794" s="343"/>
      <c r="AK794" s="249"/>
      <c r="AL794" s="330"/>
      <c r="AM794" s="343"/>
      <c r="AN794" s="249"/>
      <c r="AO794" s="330"/>
      <c r="AP794" s="343"/>
      <c r="AQ794" s="249"/>
      <c r="AR794" s="330"/>
      <c r="AS794" s="343"/>
      <c r="AT794" s="249"/>
      <c r="AU794" s="330"/>
    </row>
    <row r="795" spans="2:47">
      <c r="B795" s="247">
        <f>'Table S2 Compound Identifiers'!C797</f>
        <v>0</v>
      </c>
      <c r="C795" s="247">
        <f>COUNTIF($D$6:D795,"&lt;&gt;"&amp;"")</f>
        <v>790</v>
      </c>
      <c r="D795" s="247">
        <f>'Table S2 Compound Identifiers'!B797</f>
        <v>0</v>
      </c>
      <c r="E795" s="247"/>
      <c r="F795" s="248"/>
      <c r="G795" s="249"/>
      <c r="H795" s="330"/>
      <c r="I795" s="328"/>
      <c r="J795" s="249"/>
      <c r="K795" s="330"/>
      <c r="L795" s="250"/>
      <c r="M795" s="249"/>
      <c r="N795" s="330"/>
      <c r="O795" s="250"/>
      <c r="P795" s="249"/>
      <c r="Q795" s="330"/>
      <c r="R795" s="250"/>
      <c r="S795" s="249"/>
      <c r="T795" s="330"/>
      <c r="U795" s="250"/>
      <c r="V795" s="249"/>
      <c r="W795" s="330"/>
      <c r="X795" s="343"/>
      <c r="Y795" s="249"/>
      <c r="Z795" s="330"/>
      <c r="AA795" s="343"/>
      <c r="AB795" s="249"/>
      <c r="AC795" s="330"/>
      <c r="AD795" s="343"/>
      <c r="AE795" s="249"/>
      <c r="AF795" s="330"/>
      <c r="AG795" s="343"/>
      <c r="AH795" s="249"/>
      <c r="AI795" s="330"/>
      <c r="AJ795" s="343"/>
      <c r="AK795" s="249"/>
      <c r="AL795" s="330"/>
      <c r="AM795" s="343"/>
      <c r="AN795" s="249"/>
      <c r="AO795" s="330"/>
      <c r="AP795" s="343"/>
      <c r="AQ795" s="249"/>
      <c r="AR795" s="330"/>
      <c r="AS795" s="343"/>
      <c r="AT795" s="249"/>
      <c r="AU795" s="330"/>
    </row>
    <row r="796" spans="2:47">
      <c r="B796" s="247">
        <f>'Table S2 Compound Identifiers'!C798</f>
        <v>0</v>
      </c>
      <c r="C796" s="247">
        <f>COUNTIF($D$6:D796,"&lt;&gt;"&amp;"")</f>
        <v>791</v>
      </c>
      <c r="D796" s="247">
        <f>'Table S2 Compound Identifiers'!B798</f>
        <v>0</v>
      </c>
      <c r="E796" s="247"/>
      <c r="F796" s="248"/>
      <c r="G796" s="249"/>
      <c r="H796" s="330"/>
      <c r="I796" s="328"/>
      <c r="J796" s="249"/>
      <c r="K796" s="330"/>
      <c r="L796" s="250"/>
      <c r="M796" s="249"/>
      <c r="N796" s="330"/>
      <c r="O796" s="250"/>
      <c r="P796" s="249"/>
      <c r="Q796" s="330"/>
      <c r="R796" s="250"/>
      <c r="S796" s="249"/>
      <c r="T796" s="330"/>
      <c r="U796" s="250"/>
      <c r="V796" s="249"/>
      <c r="W796" s="330"/>
      <c r="X796" s="343"/>
      <c r="Y796" s="249"/>
      <c r="Z796" s="330"/>
      <c r="AA796" s="343"/>
      <c r="AB796" s="249"/>
      <c r="AC796" s="330"/>
      <c r="AD796" s="343"/>
      <c r="AE796" s="249"/>
      <c r="AF796" s="330"/>
      <c r="AG796" s="343"/>
      <c r="AH796" s="249"/>
      <c r="AI796" s="330"/>
      <c r="AJ796" s="343"/>
      <c r="AK796" s="249"/>
      <c r="AL796" s="330"/>
      <c r="AM796" s="343"/>
      <c r="AN796" s="249"/>
      <c r="AO796" s="330"/>
      <c r="AP796" s="343"/>
      <c r="AQ796" s="249"/>
      <c r="AR796" s="330"/>
      <c r="AS796" s="343"/>
      <c r="AT796" s="249"/>
      <c r="AU796" s="330"/>
    </row>
    <row r="797" spans="2:47">
      <c r="B797" s="247">
        <f>'Table S2 Compound Identifiers'!C799</f>
        <v>0</v>
      </c>
      <c r="C797" s="247">
        <f>COUNTIF($D$6:D797,"&lt;&gt;"&amp;"")</f>
        <v>792</v>
      </c>
      <c r="D797" s="247">
        <f>'Table S2 Compound Identifiers'!B799</f>
        <v>0</v>
      </c>
      <c r="E797" s="247"/>
      <c r="F797" s="248"/>
      <c r="G797" s="249"/>
      <c r="H797" s="330"/>
      <c r="I797" s="328"/>
      <c r="J797" s="249"/>
      <c r="K797" s="330"/>
      <c r="L797" s="250"/>
      <c r="M797" s="249"/>
      <c r="N797" s="330"/>
      <c r="O797" s="250"/>
      <c r="P797" s="249"/>
      <c r="Q797" s="330"/>
      <c r="R797" s="250"/>
      <c r="S797" s="249"/>
      <c r="T797" s="330"/>
      <c r="U797" s="250"/>
      <c r="V797" s="249"/>
      <c r="W797" s="330"/>
      <c r="X797" s="343"/>
      <c r="Y797" s="249"/>
      <c r="Z797" s="330"/>
      <c r="AA797" s="343"/>
      <c r="AB797" s="249"/>
      <c r="AC797" s="330"/>
      <c r="AD797" s="343"/>
      <c r="AE797" s="249"/>
      <c r="AF797" s="330"/>
      <c r="AG797" s="343"/>
      <c r="AH797" s="249"/>
      <c r="AI797" s="330"/>
      <c r="AJ797" s="343"/>
      <c r="AK797" s="249"/>
      <c r="AL797" s="330"/>
      <c r="AM797" s="343"/>
      <c r="AN797" s="249"/>
      <c r="AO797" s="330"/>
      <c r="AP797" s="343"/>
      <c r="AQ797" s="249"/>
      <c r="AR797" s="330"/>
      <c r="AS797" s="343"/>
      <c r="AT797" s="249"/>
      <c r="AU797" s="330"/>
    </row>
    <row r="798" spans="2:47">
      <c r="B798" s="247">
        <f>'Table S2 Compound Identifiers'!C800</f>
        <v>0</v>
      </c>
      <c r="C798" s="247">
        <f>COUNTIF($D$6:D798,"&lt;&gt;"&amp;"")</f>
        <v>793</v>
      </c>
      <c r="D798" s="247">
        <f>'Table S2 Compound Identifiers'!B800</f>
        <v>0</v>
      </c>
      <c r="E798" s="247"/>
      <c r="F798" s="248"/>
      <c r="G798" s="249"/>
      <c r="H798" s="330"/>
      <c r="I798" s="328"/>
      <c r="J798" s="249"/>
      <c r="K798" s="330"/>
      <c r="L798" s="250"/>
      <c r="M798" s="249"/>
      <c r="N798" s="330"/>
      <c r="O798" s="250"/>
      <c r="P798" s="249"/>
      <c r="Q798" s="330"/>
      <c r="R798" s="250"/>
      <c r="S798" s="249"/>
      <c r="T798" s="330"/>
      <c r="U798" s="250"/>
      <c r="V798" s="249"/>
      <c r="W798" s="330"/>
      <c r="X798" s="343"/>
      <c r="Y798" s="249"/>
      <c r="Z798" s="330"/>
      <c r="AA798" s="343"/>
      <c r="AB798" s="249"/>
      <c r="AC798" s="330"/>
      <c r="AD798" s="343"/>
      <c r="AE798" s="249"/>
      <c r="AF798" s="330"/>
      <c r="AG798" s="343"/>
      <c r="AH798" s="249"/>
      <c r="AI798" s="330"/>
      <c r="AJ798" s="343"/>
      <c r="AK798" s="249"/>
      <c r="AL798" s="330"/>
      <c r="AM798" s="343"/>
      <c r="AN798" s="249"/>
      <c r="AO798" s="330"/>
      <c r="AP798" s="343"/>
      <c r="AQ798" s="249"/>
      <c r="AR798" s="330"/>
      <c r="AS798" s="343"/>
      <c r="AT798" s="249"/>
      <c r="AU798" s="330"/>
    </row>
    <row r="799" spans="2:47">
      <c r="B799" s="247">
        <f>'Table S2 Compound Identifiers'!C801</f>
        <v>0</v>
      </c>
      <c r="C799" s="247">
        <f>COUNTIF($D$6:D799,"&lt;&gt;"&amp;"")</f>
        <v>794</v>
      </c>
      <c r="D799" s="247">
        <f>'Table S2 Compound Identifiers'!B801</f>
        <v>0</v>
      </c>
      <c r="E799" s="247"/>
      <c r="F799" s="248"/>
      <c r="G799" s="249"/>
      <c r="H799" s="330"/>
      <c r="I799" s="328"/>
      <c r="J799" s="249"/>
      <c r="K799" s="330"/>
      <c r="L799" s="250"/>
      <c r="M799" s="249"/>
      <c r="N799" s="330"/>
      <c r="O799" s="250"/>
      <c r="P799" s="249"/>
      <c r="Q799" s="330"/>
      <c r="R799" s="250"/>
      <c r="S799" s="249"/>
      <c r="T799" s="330"/>
      <c r="U799" s="250"/>
      <c r="V799" s="249"/>
      <c r="W799" s="330"/>
      <c r="X799" s="343"/>
      <c r="Y799" s="249"/>
      <c r="Z799" s="330"/>
      <c r="AA799" s="343"/>
      <c r="AB799" s="249"/>
      <c r="AC799" s="330"/>
      <c r="AD799" s="343"/>
      <c r="AE799" s="249"/>
      <c r="AF799" s="330"/>
      <c r="AG799" s="343"/>
      <c r="AH799" s="249"/>
      <c r="AI799" s="330"/>
      <c r="AJ799" s="343"/>
      <c r="AK799" s="249"/>
      <c r="AL799" s="330"/>
      <c r="AM799" s="343"/>
      <c r="AN799" s="249"/>
      <c r="AO799" s="330"/>
      <c r="AP799" s="343"/>
      <c r="AQ799" s="249"/>
      <c r="AR799" s="330"/>
      <c r="AS799" s="343"/>
      <c r="AT799" s="249"/>
      <c r="AU799" s="330"/>
    </row>
    <row r="800" spans="2:47">
      <c r="B800" s="247">
        <f>'Table S2 Compound Identifiers'!C802</f>
        <v>0</v>
      </c>
      <c r="C800" s="247">
        <f>COUNTIF($D$6:D800,"&lt;&gt;"&amp;"")</f>
        <v>795</v>
      </c>
      <c r="D800" s="247">
        <f>'Table S2 Compound Identifiers'!B802</f>
        <v>0</v>
      </c>
      <c r="E800" s="247"/>
      <c r="F800" s="248"/>
      <c r="G800" s="249"/>
      <c r="H800" s="330"/>
      <c r="I800" s="328"/>
      <c r="J800" s="249"/>
      <c r="K800" s="330"/>
      <c r="L800" s="250"/>
      <c r="M800" s="249"/>
      <c r="N800" s="330"/>
      <c r="O800" s="250"/>
      <c r="P800" s="249"/>
      <c r="Q800" s="330"/>
      <c r="R800" s="250"/>
      <c r="S800" s="249"/>
      <c r="T800" s="330"/>
      <c r="U800" s="250"/>
      <c r="V800" s="249"/>
      <c r="W800" s="330"/>
      <c r="X800" s="343"/>
      <c r="Y800" s="249"/>
      <c r="Z800" s="330"/>
      <c r="AA800" s="343"/>
      <c r="AB800" s="249"/>
      <c r="AC800" s="330"/>
      <c r="AD800" s="343"/>
      <c r="AE800" s="249"/>
      <c r="AF800" s="330"/>
      <c r="AG800" s="343"/>
      <c r="AH800" s="249"/>
      <c r="AI800" s="330"/>
      <c r="AJ800" s="343"/>
      <c r="AK800" s="249"/>
      <c r="AL800" s="330"/>
      <c r="AM800" s="343"/>
      <c r="AN800" s="249"/>
      <c r="AO800" s="330"/>
      <c r="AP800" s="343"/>
      <c r="AQ800" s="249"/>
      <c r="AR800" s="330"/>
      <c r="AS800" s="343"/>
      <c r="AT800" s="249"/>
      <c r="AU800" s="330"/>
    </row>
    <row r="801" spans="2:47">
      <c r="B801" s="247">
        <f>'Table S2 Compound Identifiers'!C803</f>
        <v>0</v>
      </c>
      <c r="C801" s="247">
        <f>COUNTIF($D$6:D801,"&lt;&gt;"&amp;"")</f>
        <v>796</v>
      </c>
      <c r="D801" s="247">
        <f>'Table S2 Compound Identifiers'!B803</f>
        <v>0</v>
      </c>
      <c r="E801" s="247"/>
      <c r="F801" s="248"/>
      <c r="G801" s="249"/>
      <c r="H801" s="330"/>
      <c r="I801" s="328"/>
      <c r="J801" s="249"/>
      <c r="K801" s="330"/>
      <c r="L801" s="250"/>
      <c r="M801" s="249"/>
      <c r="N801" s="330"/>
      <c r="O801" s="250"/>
      <c r="P801" s="249"/>
      <c r="Q801" s="330"/>
      <c r="R801" s="250"/>
      <c r="S801" s="249"/>
      <c r="T801" s="330"/>
      <c r="U801" s="250"/>
      <c r="V801" s="249"/>
      <c r="W801" s="330"/>
      <c r="X801" s="343"/>
      <c r="Y801" s="249"/>
      <c r="Z801" s="330"/>
      <c r="AA801" s="343"/>
      <c r="AB801" s="249"/>
      <c r="AC801" s="330"/>
      <c r="AD801" s="343"/>
      <c r="AE801" s="249"/>
      <c r="AF801" s="330"/>
      <c r="AG801" s="343"/>
      <c r="AH801" s="249"/>
      <c r="AI801" s="330"/>
      <c r="AJ801" s="343"/>
      <c r="AK801" s="249"/>
      <c r="AL801" s="330"/>
      <c r="AM801" s="343"/>
      <c r="AN801" s="249"/>
      <c r="AO801" s="330"/>
      <c r="AP801" s="343"/>
      <c r="AQ801" s="249"/>
      <c r="AR801" s="330"/>
      <c r="AS801" s="343"/>
      <c r="AT801" s="249"/>
      <c r="AU801" s="330"/>
    </row>
    <row r="802" spans="2:47">
      <c r="B802" s="247">
        <f>'Table S2 Compound Identifiers'!C804</f>
        <v>0</v>
      </c>
      <c r="C802" s="247">
        <f>COUNTIF($D$6:D802,"&lt;&gt;"&amp;"")</f>
        <v>797</v>
      </c>
      <c r="D802" s="432">
        <f>'Table S2 Compound Identifiers'!B804</f>
        <v>0</v>
      </c>
      <c r="E802" s="247"/>
      <c r="F802" s="248"/>
      <c r="G802" s="249"/>
      <c r="H802" s="330"/>
      <c r="I802" s="328"/>
      <c r="J802" s="249"/>
      <c r="K802" s="330"/>
      <c r="L802" s="250"/>
      <c r="M802" s="249"/>
      <c r="N802" s="330"/>
      <c r="O802" s="250"/>
      <c r="P802" s="249"/>
      <c r="Q802" s="330"/>
      <c r="R802" s="250"/>
      <c r="S802" s="249"/>
      <c r="T802" s="330"/>
      <c r="U802" s="250"/>
      <c r="V802" s="249"/>
      <c r="W802" s="330"/>
      <c r="X802" s="343"/>
      <c r="Y802" s="249"/>
      <c r="Z802" s="330"/>
      <c r="AA802" s="343"/>
      <c r="AB802" s="249"/>
      <c r="AC802" s="330"/>
      <c r="AD802" s="343"/>
      <c r="AE802" s="249"/>
      <c r="AF802" s="330"/>
      <c r="AG802" s="343"/>
      <c r="AH802" s="249"/>
      <c r="AI802" s="330"/>
      <c r="AJ802" s="343"/>
      <c r="AK802" s="249"/>
      <c r="AL802" s="330"/>
      <c r="AM802" s="343"/>
      <c r="AN802" s="249"/>
      <c r="AO802" s="330"/>
      <c r="AP802" s="343"/>
      <c r="AQ802" s="249"/>
      <c r="AR802" s="330"/>
      <c r="AS802" s="343"/>
      <c r="AT802" s="249"/>
      <c r="AU802" s="330"/>
    </row>
    <row r="803" spans="2:47">
      <c r="B803" s="247">
        <f>'Table S2 Compound Identifiers'!C805</f>
        <v>0</v>
      </c>
      <c r="C803" s="247">
        <f>COUNTIF($D$6:D803,"&lt;&gt;"&amp;"")</f>
        <v>798</v>
      </c>
      <c r="D803" s="432">
        <f>'Table S2 Compound Identifiers'!B805</f>
        <v>0</v>
      </c>
      <c r="E803" s="247"/>
      <c r="F803" s="248"/>
      <c r="G803" s="249"/>
      <c r="H803" s="330"/>
      <c r="I803" s="328"/>
      <c r="J803" s="249"/>
      <c r="K803" s="330"/>
      <c r="L803" s="250"/>
      <c r="M803" s="249"/>
      <c r="N803" s="330"/>
      <c r="O803" s="250"/>
      <c r="P803" s="249"/>
      <c r="Q803" s="330"/>
      <c r="R803" s="250"/>
      <c r="S803" s="249"/>
      <c r="T803" s="330"/>
      <c r="U803" s="250"/>
      <c r="V803" s="249"/>
      <c r="W803" s="330"/>
      <c r="X803" s="343"/>
      <c r="Y803" s="249"/>
      <c r="Z803" s="330"/>
      <c r="AA803" s="343"/>
      <c r="AB803" s="249"/>
      <c r="AC803" s="330"/>
      <c r="AD803" s="343"/>
      <c r="AE803" s="249"/>
      <c r="AF803" s="330"/>
      <c r="AG803" s="343"/>
      <c r="AH803" s="249"/>
      <c r="AI803" s="330"/>
      <c r="AJ803" s="343"/>
      <c r="AK803" s="249"/>
      <c r="AL803" s="330"/>
      <c r="AM803" s="343"/>
      <c r="AN803" s="249"/>
      <c r="AO803" s="330"/>
      <c r="AP803" s="343"/>
      <c r="AQ803" s="249"/>
      <c r="AR803" s="330"/>
      <c r="AS803" s="343"/>
      <c r="AT803" s="249"/>
      <c r="AU803" s="330"/>
    </row>
    <row r="804" spans="2:47">
      <c r="B804" s="247">
        <f>'Table S2 Compound Identifiers'!C806</f>
        <v>0</v>
      </c>
      <c r="C804" s="247">
        <f>COUNTIF($D$6:D804,"&lt;&gt;"&amp;"")</f>
        <v>799</v>
      </c>
      <c r="D804" s="432">
        <f>'Table S2 Compound Identifiers'!B806</f>
        <v>0</v>
      </c>
      <c r="E804" s="247"/>
      <c r="F804" s="248"/>
      <c r="G804" s="249"/>
      <c r="H804" s="330"/>
      <c r="I804" s="328"/>
      <c r="J804" s="249"/>
      <c r="K804" s="330"/>
      <c r="L804" s="250"/>
      <c r="M804" s="249"/>
      <c r="N804" s="330"/>
      <c r="O804" s="250"/>
      <c r="P804" s="249"/>
      <c r="Q804" s="330"/>
      <c r="R804" s="250"/>
      <c r="S804" s="249"/>
      <c r="T804" s="330"/>
      <c r="U804" s="250"/>
      <c r="V804" s="249"/>
      <c r="W804" s="330"/>
      <c r="X804" s="343"/>
      <c r="Y804" s="249"/>
      <c r="Z804" s="330"/>
      <c r="AA804" s="343"/>
      <c r="AB804" s="249"/>
      <c r="AC804" s="330"/>
      <c r="AD804" s="343"/>
      <c r="AE804" s="249"/>
      <c r="AF804" s="330"/>
      <c r="AG804" s="343"/>
      <c r="AH804" s="249"/>
      <c r="AI804" s="330"/>
      <c r="AJ804" s="343"/>
      <c r="AK804" s="249"/>
      <c r="AL804" s="330"/>
      <c r="AM804" s="343"/>
      <c r="AN804" s="249"/>
      <c r="AO804" s="330"/>
      <c r="AP804" s="343"/>
      <c r="AQ804" s="249"/>
      <c r="AR804" s="330"/>
      <c r="AS804" s="343"/>
      <c r="AT804" s="249"/>
      <c r="AU804" s="330"/>
    </row>
    <row r="805" spans="2:47">
      <c r="B805" s="247">
        <f>'Table S2 Compound Identifiers'!C807</f>
        <v>0</v>
      </c>
      <c r="C805" s="247">
        <f>COUNTIF($D$6:D805,"&lt;&gt;"&amp;"")</f>
        <v>800</v>
      </c>
      <c r="D805" s="432">
        <f>'Table S2 Compound Identifiers'!B807</f>
        <v>0</v>
      </c>
      <c r="E805" s="247"/>
      <c r="F805" s="248"/>
      <c r="G805" s="249"/>
      <c r="H805" s="330"/>
      <c r="I805" s="328"/>
      <c r="J805" s="249"/>
      <c r="K805" s="330"/>
      <c r="L805" s="250"/>
      <c r="M805" s="249"/>
      <c r="N805" s="330"/>
      <c r="O805" s="250"/>
      <c r="P805" s="249"/>
      <c r="Q805" s="330"/>
      <c r="R805" s="250"/>
      <c r="S805" s="249"/>
      <c r="T805" s="330"/>
      <c r="U805" s="250"/>
      <c r="V805" s="249"/>
      <c r="W805" s="330"/>
      <c r="X805" s="343"/>
      <c r="Y805" s="249"/>
      <c r="Z805" s="330"/>
      <c r="AA805" s="343"/>
      <c r="AB805" s="249"/>
      <c r="AC805" s="330"/>
      <c r="AD805" s="343"/>
      <c r="AE805" s="249"/>
      <c r="AF805" s="330"/>
      <c r="AG805" s="343"/>
      <c r="AH805" s="249"/>
      <c r="AI805" s="330"/>
      <c r="AJ805" s="343"/>
      <c r="AK805" s="249"/>
      <c r="AL805" s="330"/>
      <c r="AM805" s="343"/>
      <c r="AN805" s="249"/>
      <c r="AO805" s="330"/>
      <c r="AP805" s="343"/>
      <c r="AQ805" s="249"/>
      <c r="AR805" s="330"/>
      <c r="AS805" s="343"/>
      <c r="AT805" s="249"/>
      <c r="AU805" s="330"/>
    </row>
    <row r="806" spans="2:47">
      <c r="B806" s="247">
        <f>'Table S2 Compound Identifiers'!C808</f>
        <v>0</v>
      </c>
      <c r="C806" s="247">
        <f>COUNTIF($D$6:D806,"&lt;&gt;"&amp;"")</f>
        <v>801</v>
      </c>
      <c r="D806" s="432">
        <f>'Table S2 Compound Identifiers'!B808</f>
        <v>0</v>
      </c>
      <c r="E806" s="247"/>
      <c r="F806" s="248"/>
      <c r="G806" s="249"/>
      <c r="H806" s="330"/>
      <c r="I806" s="328"/>
      <c r="J806" s="249"/>
      <c r="K806" s="330"/>
      <c r="L806" s="250"/>
      <c r="M806" s="249"/>
      <c r="N806" s="330"/>
      <c r="O806" s="250"/>
      <c r="P806" s="249"/>
      <c r="Q806" s="330"/>
      <c r="R806" s="250"/>
      <c r="S806" s="249"/>
      <c r="T806" s="330"/>
      <c r="U806" s="250"/>
      <c r="V806" s="249"/>
      <c r="W806" s="330"/>
      <c r="X806" s="343"/>
      <c r="Y806" s="249"/>
      <c r="Z806" s="330"/>
      <c r="AA806" s="343"/>
      <c r="AB806" s="249"/>
      <c r="AC806" s="330"/>
      <c r="AD806" s="343"/>
      <c r="AE806" s="249"/>
      <c r="AF806" s="330"/>
      <c r="AG806" s="343"/>
      <c r="AH806" s="249"/>
      <c r="AI806" s="330"/>
      <c r="AJ806" s="343"/>
      <c r="AK806" s="249"/>
      <c r="AL806" s="330"/>
      <c r="AM806" s="343"/>
      <c r="AN806" s="249"/>
      <c r="AO806" s="330"/>
      <c r="AP806" s="343"/>
      <c r="AQ806" s="249"/>
      <c r="AR806" s="330"/>
      <c r="AS806" s="343"/>
      <c r="AT806" s="249"/>
      <c r="AU806" s="330"/>
    </row>
    <row r="807" spans="2:47">
      <c r="B807" s="247">
        <f>'Table S2 Compound Identifiers'!C809</f>
        <v>0</v>
      </c>
      <c r="C807" s="247">
        <f>COUNTIF($D$6:D807,"&lt;&gt;"&amp;"")</f>
        <v>802</v>
      </c>
      <c r="D807" s="432">
        <f>'Table S2 Compound Identifiers'!B809</f>
        <v>0</v>
      </c>
      <c r="E807" s="247"/>
      <c r="F807" s="248"/>
      <c r="G807" s="249"/>
      <c r="H807" s="330"/>
      <c r="I807" s="328"/>
      <c r="J807" s="249"/>
      <c r="K807" s="330"/>
      <c r="L807" s="250"/>
      <c r="M807" s="249"/>
      <c r="N807" s="330"/>
      <c r="O807" s="250"/>
      <c r="P807" s="249"/>
      <c r="Q807" s="330"/>
      <c r="R807" s="250"/>
      <c r="S807" s="249"/>
      <c r="T807" s="330"/>
      <c r="U807" s="250"/>
      <c r="V807" s="249"/>
      <c r="W807" s="330"/>
      <c r="X807" s="343"/>
      <c r="Y807" s="249"/>
      <c r="Z807" s="330"/>
      <c r="AA807" s="343"/>
      <c r="AB807" s="249"/>
      <c r="AC807" s="330"/>
      <c r="AD807" s="343"/>
      <c r="AE807" s="249"/>
      <c r="AF807" s="330"/>
      <c r="AG807" s="343"/>
      <c r="AH807" s="249"/>
      <c r="AI807" s="330"/>
      <c r="AJ807" s="343"/>
      <c r="AK807" s="249"/>
      <c r="AL807" s="330"/>
      <c r="AM807" s="343"/>
      <c r="AN807" s="249"/>
      <c r="AO807" s="330"/>
      <c r="AP807" s="343"/>
      <c r="AQ807" s="249"/>
      <c r="AR807" s="330"/>
      <c r="AS807" s="343"/>
      <c r="AT807" s="249"/>
      <c r="AU807" s="330"/>
    </row>
    <row r="808" spans="2:47">
      <c r="B808" s="247">
        <f>'Table S2 Compound Identifiers'!C810</f>
        <v>0</v>
      </c>
      <c r="C808" s="247">
        <f>COUNTIF($D$6:D808,"&lt;&gt;"&amp;"")</f>
        <v>803</v>
      </c>
      <c r="D808" s="432">
        <f>'Table S2 Compound Identifiers'!B810</f>
        <v>0</v>
      </c>
      <c r="E808" s="247"/>
      <c r="F808" s="248"/>
      <c r="G808" s="249"/>
      <c r="H808" s="330"/>
      <c r="I808" s="328"/>
      <c r="J808" s="249"/>
      <c r="K808" s="330"/>
      <c r="L808" s="250"/>
      <c r="M808" s="249"/>
      <c r="N808" s="330"/>
      <c r="O808" s="250"/>
      <c r="P808" s="249"/>
      <c r="Q808" s="330"/>
      <c r="R808" s="250"/>
      <c r="S808" s="249"/>
      <c r="T808" s="330"/>
      <c r="U808" s="250"/>
      <c r="V808" s="249"/>
      <c r="W808" s="330"/>
      <c r="X808" s="343"/>
      <c r="Y808" s="249"/>
      <c r="Z808" s="330"/>
      <c r="AA808" s="343"/>
      <c r="AB808" s="249"/>
      <c r="AC808" s="330"/>
      <c r="AD808" s="343"/>
      <c r="AE808" s="249"/>
      <c r="AF808" s="330"/>
      <c r="AG808" s="343"/>
      <c r="AH808" s="249"/>
      <c r="AI808" s="330"/>
      <c r="AJ808" s="343"/>
      <c r="AK808" s="249"/>
      <c r="AL808" s="330"/>
      <c r="AM808" s="343"/>
      <c r="AN808" s="249"/>
      <c r="AO808" s="330"/>
      <c r="AP808" s="343"/>
      <c r="AQ808" s="249"/>
      <c r="AR808" s="330"/>
      <c r="AS808" s="343"/>
      <c r="AT808" s="249"/>
      <c r="AU808" s="330"/>
    </row>
    <row r="809" spans="2:47">
      <c r="B809" s="247">
        <f>'Table S2 Compound Identifiers'!C811</f>
        <v>0</v>
      </c>
      <c r="C809" s="247">
        <f>COUNTIF($D$6:D809,"&lt;&gt;"&amp;"")</f>
        <v>804</v>
      </c>
      <c r="D809" s="432">
        <f>'Table S2 Compound Identifiers'!B811</f>
        <v>0</v>
      </c>
      <c r="E809" s="247"/>
      <c r="F809" s="248"/>
      <c r="G809" s="249"/>
      <c r="H809" s="330"/>
      <c r="I809" s="328"/>
      <c r="J809" s="249"/>
      <c r="K809" s="330"/>
      <c r="L809" s="250"/>
      <c r="M809" s="249"/>
      <c r="N809" s="330"/>
      <c r="O809" s="250"/>
      <c r="P809" s="249"/>
      <c r="Q809" s="330"/>
      <c r="R809" s="250"/>
      <c r="S809" s="249"/>
      <c r="T809" s="330"/>
      <c r="U809" s="250"/>
      <c r="V809" s="249"/>
      <c r="W809" s="330"/>
      <c r="X809" s="343"/>
      <c r="Y809" s="249"/>
      <c r="Z809" s="330"/>
      <c r="AA809" s="343"/>
      <c r="AB809" s="249"/>
      <c r="AC809" s="330"/>
      <c r="AD809" s="343"/>
      <c r="AE809" s="249"/>
      <c r="AF809" s="330"/>
      <c r="AG809" s="343"/>
      <c r="AH809" s="249"/>
      <c r="AI809" s="330"/>
      <c r="AJ809" s="343"/>
      <c r="AK809" s="249"/>
      <c r="AL809" s="330"/>
      <c r="AM809" s="343"/>
      <c r="AN809" s="249"/>
      <c r="AO809" s="330"/>
      <c r="AP809" s="343"/>
      <c r="AQ809" s="249"/>
      <c r="AR809" s="330"/>
      <c r="AS809" s="343"/>
      <c r="AT809" s="249"/>
      <c r="AU809" s="330"/>
    </row>
    <row r="810" spans="2:47">
      <c r="B810" s="247">
        <f>'Table S2 Compound Identifiers'!C812</f>
        <v>0</v>
      </c>
      <c r="C810" s="247">
        <f>COUNTIF($D$6:D810,"&lt;&gt;"&amp;"")</f>
        <v>805</v>
      </c>
      <c r="D810" s="432">
        <f>'Table S2 Compound Identifiers'!B812</f>
        <v>0</v>
      </c>
      <c r="E810" s="247"/>
      <c r="F810" s="248"/>
      <c r="G810" s="249"/>
      <c r="H810" s="330"/>
      <c r="I810" s="328"/>
      <c r="J810" s="249"/>
      <c r="K810" s="330"/>
      <c r="L810" s="250"/>
      <c r="M810" s="249"/>
      <c r="N810" s="330"/>
      <c r="O810" s="250"/>
      <c r="P810" s="249"/>
      <c r="Q810" s="330"/>
      <c r="R810" s="250"/>
      <c r="S810" s="249"/>
      <c r="T810" s="330"/>
      <c r="U810" s="250"/>
      <c r="V810" s="249"/>
      <c r="W810" s="330"/>
      <c r="X810" s="343"/>
      <c r="Y810" s="249"/>
      <c r="Z810" s="330"/>
      <c r="AA810" s="343"/>
      <c r="AB810" s="249"/>
      <c r="AC810" s="330"/>
      <c r="AD810" s="343"/>
      <c r="AE810" s="249"/>
      <c r="AF810" s="330"/>
      <c r="AG810" s="343"/>
      <c r="AH810" s="249"/>
      <c r="AI810" s="330"/>
      <c r="AJ810" s="343"/>
      <c r="AK810" s="249"/>
      <c r="AL810" s="330"/>
      <c r="AM810" s="343"/>
      <c r="AN810" s="249"/>
      <c r="AO810" s="330"/>
      <c r="AP810" s="343"/>
      <c r="AQ810" s="249"/>
      <c r="AR810" s="330"/>
      <c r="AS810" s="343"/>
      <c r="AT810" s="249"/>
      <c r="AU810" s="330"/>
    </row>
    <row r="811" spans="2:47">
      <c r="B811" s="247">
        <f>'Table S2 Compound Identifiers'!C813</f>
        <v>0</v>
      </c>
      <c r="C811" s="247">
        <f>COUNTIF($D$6:D811,"&lt;&gt;"&amp;"")</f>
        <v>806</v>
      </c>
      <c r="D811" s="432">
        <f>'Table S2 Compound Identifiers'!B813</f>
        <v>0</v>
      </c>
      <c r="E811" s="247"/>
      <c r="F811" s="248"/>
      <c r="G811" s="249"/>
      <c r="H811" s="330"/>
      <c r="I811" s="328"/>
      <c r="J811" s="249"/>
      <c r="K811" s="330"/>
      <c r="L811" s="250"/>
      <c r="M811" s="249"/>
      <c r="N811" s="330"/>
      <c r="O811" s="250"/>
      <c r="P811" s="249"/>
      <c r="Q811" s="330"/>
      <c r="R811" s="250"/>
      <c r="S811" s="249"/>
      <c r="T811" s="330"/>
      <c r="U811" s="250"/>
      <c r="V811" s="249"/>
      <c r="W811" s="330"/>
      <c r="X811" s="343"/>
      <c r="Y811" s="249"/>
      <c r="Z811" s="330"/>
      <c r="AA811" s="343"/>
      <c r="AB811" s="249"/>
      <c r="AC811" s="330"/>
      <c r="AD811" s="343"/>
      <c r="AE811" s="249"/>
      <c r="AF811" s="330"/>
      <c r="AG811" s="343"/>
      <c r="AH811" s="249"/>
      <c r="AI811" s="330"/>
      <c r="AJ811" s="343"/>
      <c r="AK811" s="249"/>
      <c r="AL811" s="330"/>
      <c r="AM811" s="343"/>
      <c r="AN811" s="249"/>
      <c r="AO811" s="330"/>
      <c r="AP811" s="343"/>
      <c r="AQ811" s="249"/>
      <c r="AR811" s="330"/>
      <c r="AS811" s="343"/>
      <c r="AT811" s="249"/>
      <c r="AU811" s="330"/>
    </row>
    <row r="812" spans="2:47">
      <c r="B812" s="247">
        <f>'Table S2 Compound Identifiers'!C814</f>
        <v>0</v>
      </c>
      <c r="C812" s="247">
        <f>COUNTIF($D$6:D812,"&lt;&gt;"&amp;"")</f>
        <v>807</v>
      </c>
      <c r="D812" s="247">
        <f>'Table S2 Compound Identifiers'!B814</f>
        <v>0</v>
      </c>
      <c r="E812" s="247"/>
      <c r="F812" s="248"/>
      <c r="G812" s="249"/>
      <c r="H812" s="330"/>
      <c r="I812" s="328"/>
      <c r="J812" s="249"/>
      <c r="K812" s="330"/>
      <c r="L812" s="250"/>
      <c r="M812" s="249"/>
      <c r="N812" s="330"/>
      <c r="O812" s="250"/>
      <c r="P812" s="249"/>
      <c r="Q812" s="330"/>
      <c r="R812" s="250"/>
      <c r="S812" s="249"/>
      <c r="T812" s="330"/>
      <c r="U812" s="250"/>
      <c r="V812" s="249"/>
      <c r="W812" s="330"/>
      <c r="X812" s="343"/>
      <c r="Y812" s="249"/>
      <c r="Z812" s="330"/>
      <c r="AA812" s="343"/>
      <c r="AB812" s="249"/>
      <c r="AC812" s="330"/>
      <c r="AD812" s="343"/>
      <c r="AE812" s="249"/>
      <c r="AF812" s="330"/>
      <c r="AG812" s="343"/>
      <c r="AH812" s="249"/>
      <c r="AI812" s="330"/>
      <c r="AJ812" s="343"/>
      <c r="AK812" s="249"/>
      <c r="AL812" s="330"/>
      <c r="AM812" s="343"/>
      <c r="AN812" s="249"/>
      <c r="AO812" s="330"/>
      <c r="AP812" s="343"/>
      <c r="AQ812" s="249"/>
      <c r="AR812" s="330"/>
      <c r="AS812" s="343"/>
      <c r="AT812" s="249"/>
      <c r="AU812" s="330"/>
    </row>
    <row r="813" spans="2:47">
      <c r="B813" s="247">
        <f>'Table S2 Compound Identifiers'!C815</f>
        <v>0</v>
      </c>
      <c r="C813" s="247">
        <f>COUNTIF($D$6:D813,"&lt;&gt;"&amp;"")</f>
        <v>808</v>
      </c>
      <c r="D813" s="247">
        <f>'Table S2 Compound Identifiers'!B815</f>
        <v>0</v>
      </c>
      <c r="E813" s="247"/>
      <c r="F813" s="248"/>
      <c r="G813" s="249"/>
      <c r="H813" s="330"/>
      <c r="I813" s="328"/>
      <c r="J813" s="249"/>
      <c r="K813" s="330"/>
      <c r="L813" s="250"/>
      <c r="M813" s="249"/>
      <c r="N813" s="330"/>
      <c r="O813" s="250"/>
      <c r="P813" s="249"/>
      <c r="Q813" s="330"/>
      <c r="R813" s="250"/>
      <c r="S813" s="249"/>
      <c r="T813" s="330"/>
      <c r="U813" s="250"/>
      <c r="V813" s="249"/>
      <c r="W813" s="330"/>
      <c r="X813" s="343"/>
      <c r="Y813" s="249"/>
      <c r="Z813" s="330"/>
      <c r="AA813" s="343"/>
      <c r="AB813" s="249"/>
      <c r="AC813" s="330"/>
      <c r="AD813" s="343"/>
      <c r="AE813" s="249"/>
      <c r="AF813" s="330"/>
      <c r="AG813" s="343"/>
      <c r="AH813" s="249"/>
      <c r="AI813" s="330"/>
      <c r="AJ813" s="343"/>
      <c r="AK813" s="249"/>
      <c r="AL813" s="330"/>
      <c r="AM813" s="343"/>
      <c r="AN813" s="249"/>
      <c r="AO813" s="330"/>
      <c r="AP813" s="343"/>
      <c r="AQ813" s="249"/>
      <c r="AR813" s="330"/>
      <c r="AS813" s="343"/>
      <c r="AT813" s="249"/>
      <c r="AU813" s="330"/>
    </row>
    <row r="814" spans="2:47">
      <c r="B814" s="247">
        <f>'Table S2 Compound Identifiers'!C816</f>
        <v>0</v>
      </c>
      <c r="C814" s="247">
        <f>COUNTIF($D$6:D814,"&lt;&gt;"&amp;"")</f>
        <v>809</v>
      </c>
      <c r="D814" s="247">
        <f>'Table S2 Compound Identifiers'!B816</f>
        <v>0</v>
      </c>
      <c r="E814" s="247"/>
      <c r="F814" s="248"/>
      <c r="G814" s="249"/>
      <c r="H814" s="330"/>
      <c r="I814" s="328"/>
      <c r="J814" s="249"/>
      <c r="K814" s="330"/>
      <c r="L814" s="250"/>
      <c r="M814" s="249"/>
      <c r="N814" s="330"/>
      <c r="O814" s="250"/>
      <c r="P814" s="249"/>
      <c r="Q814" s="330"/>
      <c r="R814" s="250"/>
      <c r="S814" s="249"/>
      <c r="T814" s="330"/>
      <c r="U814" s="250"/>
      <c r="V814" s="249"/>
      <c r="W814" s="330"/>
      <c r="X814" s="343"/>
      <c r="Y814" s="249"/>
      <c r="Z814" s="330"/>
      <c r="AA814" s="343"/>
      <c r="AB814" s="249"/>
      <c r="AC814" s="330"/>
      <c r="AD814" s="343"/>
      <c r="AE814" s="249"/>
      <c r="AF814" s="330"/>
      <c r="AG814" s="343"/>
      <c r="AH814" s="249"/>
      <c r="AI814" s="330"/>
      <c r="AJ814" s="343"/>
      <c r="AK814" s="249"/>
      <c r="AL814" s="330"/>
      <c r="AM814" s="343"/>
      <c r="AN814" s="249"/>
      <c r="AO814" s="330"/>
      <c r="AP814" s="343"/>
      <c r="AQ814" s="249"/>
      <c r="AR814" s="330"/>
      <c r="AS814" s="343"/>
      <c r="AT814" s="249"/>
      <c r="AU814" s="330"/>
    </row>
    <row r="815" spans="2:47">
      <c r="B815" s="247">
        <f>'Table S2 Compound Identifiers'!C817</f>
        <v>0</v>
      </c>
      <c r="C815" s="247">
        <f>COUNTIF($D$6:D815,"&lt;&gt;"&amp;"")</f>
        <v>810</v>
      </c>
      <c r="D815" s="247">
        <f>'Table S2 Compound Identifiers'!B817</f>
        <v>0</v>
      </c>
      <c r="E815" s="247"/>
      <c r="F815" s="248"/>
      <c r="G815" s="249"/>
      <c r="H815" s="330"/>
      <c r="I815" s="328"/>
      <c r="J815" s="249"/>
      <c r="K815" s="330"/>
      <c r="L815" s="250"/>
      <c r="M815" s="249"/>
      <c r="N815" s="330"/>
      <c r="O815" s="250"/>
      <c r="P815" s="249"/>
      <c r="Q815" s="330"/>
      <c r="R815" s="250"/>
      <c r="S815" s="249"/>
      <c r="T815" s="330"/>
      <c r="U815" s="250"/>
      <c r="V815" s="249"/>
      <c r="W815" s="330"/>
      <c r="X815" s="343"/>
      <c r="Y815" s="249"/>
      <c r="Z815" s="330"/>
      <c r="AA815" s="343"/>
      <c r="AB815" s="249"/>
      <c r="AC815" s="330"/>
      <c r="AD815" s="343"/>
      <c r="AE815" s="249"/>
      <c r="AF815" s="330"/>
      <c r="AG815" s="343"/>
      <c r="AH815" s="249"/>
      <c r="AI815" s="330"/>
      <c r="AJ815" s="343"/>
      <c r="AK815" s="249"/>
      <c r="AL815" s="330"/>
      <c r="AM815" s="343"/>
      <c r="AN815" s="249"/>
      <c r="AO815" s="330"/>
      <c r="AP815" s="343"/>
      <c r="AQ815" s="249"/>
      <c r="AR815" s="330"/>
      <c r="AS815" s="343"/>
      <c r="AT815" s="249"/>
      <c r="AU815" s="330"/>
    </row>
    <row r="816" spans="2:47">
      <c r="B816" s="247">
        <f>'Table S2 Compound Identifiers'!C818</f>
        <v>0</v>
      </c>
      <c r="C816" s="247">
        <f>COUNTIF($D$6:D816,"&lt;&gt;"&amp;"")</f>
        <v>811</v>
      </c>
      <c r="D816" s="247">
        <f>'Table S2 Compound Identifiers'!B818</f>
        <v>0</v>
      </c>
      <c r="E816" s="247"/>
      <c r="F816" s="248"/>
      <c r="G816" s="249"/>
      <c r="H816" s="330"/>
      <c r="I816" s="328"/>
      <c r="J816" s="249"/>
      <c r="K816" s="330"/>
      <c r="L816" s="250"/>
      <c r="M816" s="249"/>
      <c r="N816" s="330"/>
      <c r="O816" s="250"/>
      <c r="P816" s="249"/>
      <c r="Q816" s="330"/>
      <c r="R816" s="250"/>
      <c r="S816" s="249"/>
      <c r="T816" s="330"/>
      <c r="U816" s="250"/>
      <c r="V816" s="249"/>
      <c r="W816" s="330"/>
      <c r="X816" s="343"/>
      <c r="Y816" s="249"/>
      <c r="Z816" s="330"/>
      <c r="AA816" s="343"/>
      <c r="AB816" s="249"/>
      <c r="AC816" s="330"/>
      <c r="AD816" s="343"/>
      <c r="AE816" s="249"/>
      <c r="AF816" s="330"/>
      <c r="AG816" s="343"/>
      <c r="AH816" s="249"/>
      <c r="AI816" s="330"/>
      <c r="AJ816" s="343"/>
      <c r="AK816" s="249"/>
      <c r="AL816" s="330"/>
      <c r="AM816" s="343"/>
      <c r="AN816" s="249"/>
      <c r="AO816" s="330"/>
      <c r="AP816" s="343"/>
      <c r="AQ816" s="249"/>
      <c r="AR816" s="330"/>
      <c r="AS816" s="343"/>
      <c r="AT816" s="249"/>
      <c r="AU816" s="330"/>
    </row>
    <row r="817" spans="2:47">
      <c r="B817" s="247">
        <f>'Table S2 Compound Identifiers'!C819</f>
        <v>0</v>
      </c>
      <c r="C817" s="247">
        <f>COUNTIF($D$6:D817,"&lt;&gt;"&amp;"")</f>
        <v>812</v>
      </c>
      <c r="D817" s="247">
        <f>'Table S2 Compound Identifiers'!B819</f>
        <v>0</v>
      </c>
      <c r="E817" s="247"/>
      <c r="F817" s="248"/>
      <c r="G817" s="249"/>
      <c r="H817" s="330"/>
      <c r="I817" s="328"/>
      <c r="J817" s="249"/>
      <c r="K817" s="330"/>
      <c r="L817" s="250"/>
      <c r="M817" s="249"/>
      <c r="N817" s="330"/>
      <c r="O817" s="250"/>
      <c r="P817" s="249"/>
      <c r="Q817" s="330"/>
      <c r="R817" s="250"/>
      <c r="S817" s="249"/>
      <c r="T817" s="330"/>
      <c r="U817" s="250"/>
      <c r="V817" s="249"/>
      <c r="W817" s="330"/>
      <c r="X817" s="343"/>
      <c r="Y817" s="249"/>
      <c r="Z817" s="330"/>
      <c r="AA817" s="343"/>
      <c r="AB817" s="249"/>
      <c r="AC817" s="330"/>
      <c r="AD817" s="343"/>
      <c r="AE817" s="249"/>
      <c r="AF817" s="330"/>
      <c r="AG817" s="343"/>
      <c r="AH817" s="249"/>
      <c r="AI817" s="330"/>
      <c r="AJ817" s="343"/>
      <c r="AK817" s="249"/>
      <c r="AL817" s="330"/>
      <c r="AM817" s="343"/>
      <c r="AN817" s="249"/>
      <c r="AO817" s="330"/>
      <c r="AP817" s="343"/>
      <c r="AQ817" s="249"/>
      <c r="AR817" s="330"/>
      <c r="AS817" s="343"/>
      <c r="AT817" s="249"/>
      <c r="AU817" s="330"/>
    </row>
    <row r="818" spans="2:47">
      <c r="B818" s="247">
        <f>'Table S2 Compound Identifiers'!C820</f>
        <v>0</v>
      </c>
      <c r="C818" s="247">
        <f>COUNTIF($D$6:D818,"&lt;&gt;"&amp;"")</f>
        <v>813</v>
      </c>
      <c r="D818" s="247">
        <f>'Table S2 Compound Identifiers'!B820</f>
        <v>0</v>
      </c>
      <c r="E818" s="247"/>
      <c r="F818" s="248"/>
      <c r="G818" s="249"/>
      <c r="H818" s="330"/>
      <c r="I818" s="328"/>
      <c r="J818" s="249"/>
      <c r="K818" s="330"/>
      <c r="L818" s="250"/>
      <c r="M818" s="249"/>
      <c r="N818" s="330"/>
      <c r="O818" s="251"/>
      <c r="P818" s="252"/>
      <c r="Q818" s="330"/>
      <c r="R818" s="251"/>
      <c r="S818" s="252"/>
      <c r="T818" s="330"/>
      <c r="U818" s="251"/>
      <c r="V818" s="252"/>
      <c r="W818" s="330"/>
      <c r="X818" s="343"/>
      <c r="Y818" s="249"/>
      <c r="Z818" s="330"/>
      <c r="AA818" s="343"/>
      <c r="AB818" s="249"/>
      <c r="AC818" s="330"/>
      <c r="AD818" s="343"/>
      <c r="AE818" s="249"/>
      <c r="AF818" s="330"/>
      <c r="AG818" s="343"/>
      <c r="AH818" s="249"/>
      <c r="AI818" s="330"/>
      <c r="AJ818" s="343"/>
      <c r="AK818" s="249"/>
      <c r="AL818" s="330"/>
      <c r="AM818" s="343"/>
      <c r="AN818" s="249"/>
      <c r="AO818" s="330"/>
      <c r="AP818" s="343"/>
      <c r="AQ818" s="249"/>
      <c r="AR818" s="330"/>
      <c r="AS818" s="343"/>
      <c r="AT818" s="249"/>
      <c r="AU818" s="330"/>
    </row>
    <row r="819" spans="2:47">
      <c r="B819" s="247">
        <f>'Table S2 Compound Identifiers'!C821</f>
        <v>0</v>
      </c>
      <c r="C819" s="253">
        <f>COUNTIF($D$6:D819,"&lt;&gt;"&amp;"")</f>
        <v>814</v>
      </c>
      <c r="D819" s="253">
        <f>'Table S2 Compound Identifiers'!B821</f>
        <v>0</v>
      </c>
      <c r="E819" s="253"/>
      <c r="F819" s="254"/>
      <c r="G819" s="252"/>
      <c r="H819" s="330"/>
      <c r="I819" s="333"/>
      <c r="J819" s="252"/>
      <c r="K819" s="330"/>
      <c r="L819" s="251"/>
      <c r="M819" s="252"/>
      <c r="N819" s="330"/>
      <c r="O819" s="251"/>
      <c r="P819" s="252"/>
      <c r="Q819" s="330"/>
      <c r="R819" s="251"/>
      <c r="S819" s="252"/>
      <c r="T819" s="330"/>
      <c r="U819" s="251"/>
      <c r="V819" s="252"/>
      <c r="W819" s="330"/>
      <c r="X819" s="343"/>
      <c r="Y819" s="249"/>
      <c r="Z819" s="330"/>
      <c r="AA819" s="343"/>
      <c r="AB819" s="249"/>
      <c r="AC819" s="330"/>
      <c r="AD819" s="343"/>
      <c r="AE819" s="249"/>
      <c r="AF819" s="330"/>
      <c r="AG819" s="343"/>
      <c r="AH819" s="249"/>
      <c r="AI819" s="330"/>
      <c r="AJ819" s="343"/>
      <c r="AK819" s="249"/>
      <c r="AL819" s="330"/>
      <c r="AM819" s="343"/>
      <c r="AN819" s="249"/>
      <c r="AO819" s="330"/>
      <c r="AP819" s="343"/>
      <c r="AQ819" s="249"/>
      <c r="AR819" s="330"/>
      <c r="AS819" s="343"/>
      <c r="AT819" s="249"/>
      <c r="AU819" s="330"/>
    </row>
    <row r="820" spans="2:47">
      <c r="B820" s="247">
        <f>'Table S2 Compound Identifiers'!C822</f>
        <v>0</v>
      </c>
      <c r="C820" s="247">
        <f>COUNTIF($D$6:D820,"&lt;&gt;"&amp;"")</f>
        <v>815</v>
      </c>
      <c r="D820" s="247">
        <f>'Table S2 Compound Identifiers'!B822</f>
        <v>0</v>
      </c>
      <c r="E820" s="247"/>
      <c r="F820" s="248"/>
      <c r="G820" s="250"/>
      <c r="H820" s="330"/>
      <c r="I820" s="343"/>
      <c r="J820" s="249"/>
      <c r="K820" s="327"/>
      <c r="L820" s="343"/>
      <c r="M820" s="249"/>
      <c r="N820" s="327"/>
      <c r="O820" s="343"/>
      <c r="P820" s="249"/>
      <c r="Q820" s="327"/>
      <c r="R820" s="343"/>
      <c r="S820" s="249"/>
      <c r="T820" s="327"/>
      <c r="U820" s="343"/>
      <c r="V820" s="249"/>
      <c r="W820" s="327"/>
      <c r="X820" s="343"/>
      <c r="Y820" s="249"/>
      <c r="Z820" s="327"/>
      <c r="AA820" s="343"/>
      <c r="AB820" s="249"/>
      <c r="AC820" s="343"/>
      <c r="AD820" s="343"/>
      <c r="AE820" s="249"/>
      <c r="AF820" s="249"/>
      <c r="AG820" s="343"/>
      <c r="AH820" s="249"/>
      <c r="AI820" s="343"/>
      <c r="AJ820" s="343"/>
      <c r="AK820" s="249"/>
      <c r="AL820" s="249"/>
      <c r="AM820" s="343"/>
      <c r="AN820" s="249"/>
      <c r="AO820" s="343"/>
      <c r="AP820" s="343"/>
      <c r="AQ820" s="249"/>
      <c r="AR820" s="249"/>
      <c r="AS820" s="343"/>
      <c r="AT820" s="249"/>
      <c r="AU820" s="343"/>
    </row>
    <row r="821" spans="2:47">
      <c r="B821" s="247">
        <f>'Table S2 Compound Identifiers'!C823</f>
        <v>0</v>
      </c>
      <c r="C821" s="247">
        <f>COUNTIF($D$6:D821,"&lt;&gt;"&amp;"")</f>
        <v>816</v>
      </c>
      <c r="D821" s="247">
        <f>'Table S2 Compound Identifiers'!B823</f>
        <v>0</v>
      </c>
      <c r="E821" s="247"/>
      <c r="F821" s="248"/>
      <c r="G821" s="249"/>
      <c r="H821" s="330"/>
      <c r="I821" s="332"/>
      <c r="J821" s="330"/>
      <c r="K821" s="330"/>
      <c r="L821" s="330"/>
      <c r="M821" s="330"/>
      <c r="N821" s="330"/>
      <c r="O821" s="330"/>
      <c r="P821" s="330"/>
      <c r="Q821" s="330"/>
      <c r="R821" s="330"/>
      <c r="S821" s="330"/>
      <c r="T821" s="330"/>
      <c r="U821" s="330"/>
      <c r="V821" s="330"/>
      <c r="W821" s="330"/>
      <c r="X821" s="343"/>
      <c r="Y821" s="249"/>
      <c r="Z821" s="330"/>
      <c r="AA821" s="343"/>
      <c r="AB821" s="249"/>
      <c r="AC821" s="330"/>
      <c r="AD821" s="343"/>
      <c r="AE821" s="249"/>
      <c r="AF821" s="330"/>
      <c r="AG821" s="343"/>
      <c r="AH821" s="249"/>
      <c r="AI821" s="330"/>
      <c r="AJ821" s="343"/>
      <c r="AK821" s="249"/>
      <c r="AL821" s="330"/>
      <c r="AM821" s="343"/>
      <c r="AN821" s="249"/>
      <c r="AO821" s="330"/>
      <c r="AP821" s="343"/>
      <c r="AQ821" s="249"/>
      <c r="AR821" s="330"/>
      <c r="AS821" s="343"/>
      <c r="AT821" s="249"/>
      <c r="AU821" s="330"/>
    </row>
    <row r="822" spans="2:47">
      <c r="B822" s="247">
        <f>'Table S2 Compound Identifiers'!C824</f>
        <v>0</v>
      </c>
      <c r="C822" s="247">
        <f>COUNTIF($D$6:D822,"&lt;&gt;"&amp;"")</f>
        <v>817</v>
      </c>
      <c r="D822" s="247">
        <f>'Table S2 Compound Identifiers'!B824</f>
        <v>0</v>
      </c>
      <c r="E822" s="247"/>
      <c r="F822" s="248"/>
      <c r="G822" s="249"/>
      <c r="H822" s="330"/>
      <c r="I822" s="332"/>
      <c r="J822" s="330"/>
      <c r="K822" s="330"/>
      <c r="L822" s="330"/>
      <c r="M822" s="330"/>
      <c r="N822" s="330"/>
      <c r="O822" s="330"/>
      <c r="P822" s="330"/>
      <c r="Q822" s="330"/>
      <c r="R822" s="330"/>
      <c r="S822" s="330"/>
      <c r="T822" s="330"/>
      <c r="U822" s="330"/>
      <c r="V822" s="330"/>
      <c r="W822" s="330"/>
      <c r="X822" s="343"/>
      <c r="Y822" s="249"/>
      <c r="Z822" s="330"/>
      <c r="AA822" s="343"/>
      <c r="AB822" s="249"/>
      <c r="AC822" s="330"/>
      <c r="AD822" s="343"/>
      <c r="AE822" s="249"/>
      <c r="AF822" s="330"/>
      <c r="AG822" s="343"/>
      <c r="AH822" s="249"/>
      <c r="AI822" s="330"/>
      <c r="AJ822" s="343"/>
      <c r="AK822" s="249"/>
      <c r="AL822" s="330"/>
      <c r="AM822" s="343"/>
      <c r="AN822" s="249"/>
      <c r="AO822" s="330"/>
      <c r="AP822" s="343"/>
      <c r="AQ822" s="249"/>
      <c r="AR822" s="330"/>
      <c r="AS822" s="343"/>
      <c r="AT822" s="249"/>
      <c r="AU822" s="330"/>
    </row>
    <row r="823" spans="2:47">
      <c r="B823" s="247">
        <f>'Table S2 Compound Identifiers'!C825</f>
        <v>0</v>
      </c>
      <c r="C823" s="247">
        <f>COUNTIF($D$6:D823,"&lt;&gt;"&amp;"")</f>
        <v>818</v>
      </c>
      <c r="D823" s="247">
        <f>'Table S2 Compound Identifiers'!B825</f>
        <v>0</v>
      </c>
      <c r="E823" s="247"/>
      <c r="F823" s="248"/>
      <c r="G823" s="249"/>
      <c r="H823" s="330"/>
      <c r="I823" s="332"/>
      <c r="J823" s="330"/>
      <c r="K823" s="330"/>
      <c r="L823" s="330"/>
      <c r="M823" s="330"/>
      <c r="N823" s="330"/>
      <c r="O823" s="330"/>
      <c r="P823" s="330"/>
      <c r="Q823" s="330"/>
      <c r="R823" s="330"/>
      <c r="S823" s="330"/>
      <c r="T823" s="330"/>
      <c r="U823" s="330"/>
      <c r="V823" s="330"/>
      <c r="W823" s="330"/>
      <c r="X823" s="343"/>
      <c r="Y823" s="249"/>
      <c r="Z823" s="330"/>
      <c r="AA823" s="343"/>
      <c r="AB823" s="249"/>
      <c r="AC823" s="330"/>
      <c r="AD823" s="343"/>
      <c r="AE823" s="249"/>
      <c r="AF823" s="330"/>
      <c r="AG823" s="343"/>
      <c r="AH823" s="249"/>
      <c r="AI823" s="330"/>
      <c r="AJ823" s="343"/>
      <c r="AK823" s="249"/>
      <c r="AL823" s="330"/>
      <c r="AM823" s="343"/>
      <c r="AN823" s="249"/>
      <c r="AO823" s="330"/>
      <c r="AP823" s="343"/>
      <c r="AQ823" s="249"/>
      <c r="AR823" s="330"/>
      <c r="AS823" s="343"/>
      <c r="AT823" s="249"/>
      <c r="AU823" s="330"/>
    </row>
    <row r="824" spans="2:47">
      <c r="B824" s="247">
        <f>'Table S2 Compound Identifiers'!C826</f>
        <v>0</v>
      </c>
      <c r="C824" s="247">
        <f>COUNTIF($D$6:D824,"&lt;&gt;"&amp;"")</f>
        <v>819</v>
      </c>
      <c r="D824" s="247">
        <f>'Table S2 Compound Identifiers'!B826</f>
        <v>0</v>
      </c>
      <c r="E824" s="247"/>
      <c r="F824" s="248"/>
      <c r="G824" s="249"/>
      <c r="H824" s="330"/>
      <c r="I824" s="328"/>
      <c r="J824" s="249"/>
      <c r="K824" s="330"/>
      <c r="L824" s="250"/>
      <c r="M824" s="249"/>
      <c r="N824" s="330"/>
      <c r="O824" s="250"/>
      <c r="P824" s="249"/>
      <c r="Q824" s="330"/>
      <c r="R824" s="250"/>
      <c r="S824" s="249"/>
      <c r="T824" s="330"/>
      <c r="U824" s="250"/>
      <c r="V824" s="249"/>
      <c r="W824" s="330"/>
      <c r="X824" s="343"/>
      <c r="Y824" s="249"/>
      <c r="Z824" s="330"/>
      <c r="AA824" s="343"/>
      <c r="AB824" s="249"/>
      <c r="AC824" s="330"/>
      <c r="AD824" s="343"/>
      <c r="AE824" s="249"/>
      <c r="AF824" s="330"/>
      <c r="AG824" s="343"/>
      <c r="AH824" s="249"/>
      <c r="AI824" s="330"/>
      <c r="AJ824" s="343"/>
      <c r="AK824" s="249"/>
      <c r="AL824" s="330"/>
      <c r="AM824" s="343"/>
      <c r="AN824" s="249"/>
      <c r="AO824" s="330"/>
      <c r="AP824" s="343"/>
      <c r="AQ824" s="249"/>
      <c r="AR824" s="330"/>
      <c r="AS824" s="343"/>
      <c r="AT824" s="249"/>
      <c r="AU824" s="330"/>
    </row>
    <row r="825" spans="2:47">
      <c r="B825" s="247">
        <f>'Table S2 Compound Identifiers'!C827</f>
        <v>0</v>
      </c>
      <c r="C825" s="247">
        <f>COUNTIF($D$6:D825,"&lt;&gt;"&amp;"")</f>
        <v>820</v>
      </c>
      <c r="D825" s="247">
        <f>'Table S2 Compound Identifiers'!B827</f>
        <v>0</v>
      </c>
      <c r="E825" s="247"/>
      <c r="F825" s="248"/>
      <c r="G825" s="249"/>
      <c r="H825" s="330"/>
      <c r="I825" s="328"/>
      <c r="J825" s="249"/>
      <c r="K825" s="330"/>
      <c r="L825" s="250"/>
      <c r="M825" s="249"/>
      <c r="N825" s="330"/>
      <c r="O825" s="250"/>
      <c r="P825" s="249"/>
      <c r="Q825" s="330"/>
      <c r="R825" s="250"/>
      <c r="S825" s="249"/>
      <c r="T825" s="330"/>
      <c r="U825" s="250"/>
      <c r="V825" s="249"/>
      <c r="W825" s="330"/>
      <c r="X825" s="343"/>
      <c r="Y825" s="249"/>
      <c r="Z825" s="330"/>
      <c r="AA825" s="343"/>
      <c r="AB825" s="249"/>
      <c r="AC825" s="330"/>
      <c r="AD825" s="343"/>
      <c r="AE825" s="249"/>
      <c r="AF825" s="330"/>
      <c r="AG825" s="343"/>
      <c r="AH825" s="249"/>
      <c r="AI825" s="330"/>
      <c r="AJ825" s="343"/>
      <c r="AK825" s="249"/>
      <c r="AL825" s="330"/>
      <c r="AM825" s="343"/>
      <c r="AN825" s="249"/>
      <c r="AO825" s="330"/>
      <c r="AP825" s="343"/>
      <c r="AQ825" s="249"/>
      <c r="AR825" s="330"/>
      <c r="AS825" s="343"/>
      <c r="AT825" s="249"/>
      <c r="AU825" s="330"/>
    </row>
    <row r="826" spans="2:47">
      <c r="B826" s="247">
        <f>'Table S2 Compound Identifiers'!C828</f>
        <v>0</v>
      </c>
      <c r="C826" s="247">
        <f>COUNTIF($D$6:D826,"&lt;&gt;"&amp;"")</f>
        <v>821</v>
      </c>
      <c r="D826" s="247">
        <f>'Table S2 Compound Identifiers'!B828</f>
        <v>0</v>
      </c>
      <c r="E826" s="247"/>
      <c r="F826" s="248"/>
      <c r="G826" s="249"/>
      <c r="H826" s="330"/>
      <c r="I826" s="328"/>
      <c r="J826" s="249"/>
      <c r="K826" s="330"/>
      <c r="L826" s="250"/>
      <c r="M826" s="249"/>
      <c r="N826" s="330"/>
      <c r="O826" s="250"/>
      <c r="P826" s="249"/>
      <c r="Q826" s="330"/>
      <c r="R826" s="250"/>
      <c r="S826" s="249"/>
      <c r="T826" s="330"/>
      <c r="U826" s="250"/>
      <c r="V826" s="249"/>
      <c r="W826" s="330"/>
      <c r="X826" s="343"/>
      <c r="Y826" s="249"/>
      <c r="Z826" s="330"/>
      <c r="AA826" s="343"/>
      <c r="AB826" s="249"/>
      <c r="AC826" s="330"/>
      <c r="AD826" s="343"/>
      <c r="AE826" s="249"/>
      <c r="AF826" s="330"/>
      <c r="AG826" s="343"/>
      <c r="AH826" s="249"/>
      <c r="AI826" s="330"/>
      <c r="AJ826" s="343"/>
      <c r="AK826" s="249"/>
      <c r="AL826" s="330"/>
      <c r="AM826" s="343"/>
      <c r="AN826" s="249"/>
      <c r="AO826" s="330"/>
      <c r="AP826" s="343"/>
      <c r="AQ826" s="249"/>
      <c r="AR826" s="330"/>
      <c r="AS826" s="343"/>
      <c r="AT826" s="249"/>
      <c r="AU826" s="330"/>
    </row>
    <row r="827" spans="2:47">
      <c r="B827" s="247">
        <f>'Table S2 Compound Identifiers'!C829</f>
        <v>0</v>
      </c>
      <c r="C827" s="247">
        <f>COUNTIF($D$6:D827,"&lt;&gt;"&amp;"")</f>
        <v>822</v>
      </c>
      <c r="D827" s="247">
        <f>'Table S2 Compound Identifiers'!B829</f>
        <v>0</v>
      </c>
      <c r="E827" s="247"/>
      <c r="F827" s="248"/>
      <c r="G827" s="249"/>
      <c r="H827" s="330"/>
      <c r="I827" s="328"/>
      <c r="J827" s="249"/>
      <c r="K827" s="330"/>
      <c r="L827" s="250"/>
      <c r="M827" s="249"/>
      <c r="N827" s="330"/>
      <c r="O827" s="250"/>
      <c r="P827" s="249"/>
      <c r="Q827" s="330"/>
      <c r="R827" s="250"/>
      <c r="S827" s="249"/>
      <c r="T827" s="330"/>
      <c r="U827" s="250"/>
      <c r="V827" s="249"/>
      <c r="W827" s="330"/>
      <c r="X827" s="343"/>
      <c r="Y827" s="249"/>
      <c r="Z827" s="330"/>
      <c r="AA827" s="343"/>
      <c r="AB827" s="249"/>
      <c r="AC827" s="330"/>
      <c r="AD827" s="343"/>
      <c r="AE827" s="249"/>
      <c r="AF827" s="330"/>
      <c r="AG827" s="343"/>
      <c r="AH827" s="249"/>
      <c r="AI827" s="330"/>
      <c r="AJ827" s="343"/>
      <c r="AK827" s="249"/>
      <c r="AL827" s="330"/>
      <c r="AM827" s="343"/>
      <c r="AN827" s="249"/>
      <c r="AO827" s="330"/>
      <c r="AP827" s="343"/>
      <c r="AQ827" s="249"/>
      <c r="AR827" s="330"/>
      <c r="AS827" s="343"/>
      <c r="AT827" s="249"/>
      <c r="AU827" s="330"/>
    </row>
    <row r="828" spans="2:47">
      <c r="B828" s="247">
        <f>'Table S2 Compound Identifiers'!C830</f>
        <v>0</v>
      </c>
      <c r="C828" s="247">
        <f>COUNTIF($D$6:D828,"&lt;&gt;"&amp;"")</f>
        <v>823</v>
      </c>
      <c r="D828" s="247">
        <f>'Table S2 Compound Identifiers'!B830</f>
        <v>0</v>
      </c>
      <c r="E828" s="247"/>
      <c r="F828" s="248"/>
      <c r="G828" s="249"/>
      <c r="H828" s="330"/>
      <c r="I828" s="328"/>
      <c r="J828" s="249"/>
      <c r="K828" s="330"/>
      <c r="L828" s="250"/>
      <c r="M828" s="249"/>
      <c r="N828" s="330"/>
      <c r="O828" s="250"/>
      <c r="P828" s="249"/>
      <c r="Q828" s="330"/>
      <c r="R828" s="250"/>
      <c r="S828" s="249"/>
      <c r="T828" s="330"/>
      <c r="U828" s="250"/>
      <c r="V828" s="249"/>
      <c r="W828" s="330"/>
      <c r="X828" s="343"/>
      <c r="Y828" s="249"/>
      <c r="Z828" s="330"/>
      <c r="AA828" s="343"/>
      <c r="AB828" s="249"/>
      <c r="AC828" s="330"/>
      <c r="AD828" s="343"/>
      <c r="AE828" s="249"/>
      <c r="AF828" s="330"/>
      <c r="AG828" s="343"/>
      <c r="AH828" s="249"/>
      <c r="AI828" s="330"/>
      <c r="AJ828" s="343"/>
      <c r="AK828" s="249"/>
      <c r="AL828" s="330"/>
      <c r="AM828" s="343"/>
      <c r="AN828" s="249"/>
      <c r="AO828" s="330"/>
      <c r="AP828" s="343"/>
      <c r="AQ828" s="249"/>
      <c r="AR828" s="330"/>
      <c r="AS828" s="343"/>
      <c r="AT828" s="249"/>
      <c r="AU828" s="330"/>
    </row>
    <row r="829" spans="2:47">
      <c r="B829" s="247">
        <f>'Table S2 Compound Identifiers'!C831</f>
        <v>0</v>
      </c>
      <c r="C829" s="247">
        <f>COUNTIF($D$6:D829,"&lt;&gt;"&amp;"")</f>
        <v>824</v>
      </c>
      <c r="D829" s="247">
        <f>'Table S2 Compound Identifiers'!B831</f>
        <v>0</v>
      </c>
      <c r="E829" s="247"/>
      <c r="F829" s="248"/>
      <c r="G829" s="249"/>
      <c r="H829" s="330"/>
      <c r="I829" s="328"/>
      <c r="J829" s="249"/>
      <c r="K829" s="330"/>
      <c r="L829" s="250"/>
      <c r="M829" s="249"/>
      <c r="N829" s="330"/>
      <c r="O829" s="250"/>
      <c r="P829" s="249"/>
      <c r="Q829" s="330"/>
      <c r="R829" s="250"/>
      <c r="S829" s="249"/>
      <c r="T829" s="330"/>
      <c r="U829" s="250"/>
      <c r="V829" s="249"/>
      <c r="W829" s="330"/>
      <c r="X829" s="343"/>
      <c r="Y829" s="249"/>
      <c r="Z829" s="330"/>
      <c r="AA829" s="343"/>
      <c r="AB829" s="249"/>
      <c r="AC829" s="330"/>
      <c r="AD829" s="343"/>
      <c r="AE829" s="249"/>
      <c r="AF829" s="330"/>
      <c r="AG829" s="343"/>
      <c r="AH829" s="249"/>
      <c r="AI829" s="330"/>
      <c r="AJ829" s="343"/>
      <c r="AK829" s="249"/>
      <c r="AL829" s="330"/>
      <c r="AM829" s="343"/>
      <c r="AN829" s="249"/>
      <c r="AO829" s="330"/>
      <c r="AP829" s="343"/>
      <c r="AQ829" s="249"/>
      <c r="AR829" s="330"/>
      <c r="AS829" s="343"/>
      <c r="AT829" s="249"/>
      <c r="AU829" s="330"/>
    </row>
    <row r="830" spans="2:47">
      <c r="B830" s="247">
        <f>'Table S2 Compound Identifiers'!C832</f>
        <v>0</v>
      </c>
      <c r="C830" s="247">
        <f>COUNTIF($D$6:D830,"&lt;&gt;"&amp;"")</f>
        <v>825</v>
      </c>
      <c r="D830" s="247">
        <f>'Table S2 Compound Identifiers'!B832</f>
        <v>0</v>
      </c>
      <c r="E830" s="247"/>
      <c r="F830" s="248"/>
      <c r="G830" s="249"/>
      <c r="H830" s="330"/>
      <c r="I830" s="328"/>
      <c r="J830" s="249"/>
      <c r="K830" s="330"/>
      <c r="L830" s="250"/>
      <c r="M830" s="249"/>
      <c r="N830" s="330"/>
      <c r="O830" s="250"/>
      <c r="P830" s="249"/>
      <c r="Q830" s="330"/>
      <c r="R830" s="250"/>
      <c r="S830" s="249"/>
      <c r="T830" s="330"/>
      <c r="U830" s="250"/>
      <c r="V830" s="249"/>
      <c r="W830" s="330"/>
      <c r="X830" s="343"/>
      <c r="Y830" s="249"/>
      <c r="Z830" s="330"/>
      <c r="AA830" s="343"/>
      <c r="AB830" s="249"/>
      <c r="AC830" s="330"/>
      <c r="AD830" s="343"/>
      <c r="AE830" s="249"/>
      <c r="AF830" s="330"/>
      <c r="AG830" s="343"/>
      <c r="AH830" s="249"/>
      <c r="AI830" s="330"/>
      <c r="AJ830" s="343"/>
      <c r="AK830" s="249"/>
      <c r="AL830" s="330"/>
      <c r="AM830" s="343"/>
      <c r="AN830" s="249"/>
      <c r="AO830" s="330"/>
      <c r="AP830" s="343"/>
      <c r="AQ830" s="249"/>
      <c r="AR830" s="330"/>
      <c r="AS830" s="343"/>
      <c r="AT830" s="249"/>
      <c r="AU830" s="330"/>
    </row>
    <row r="831" spans="2:47">
      <c r="B831" s="247">
        <f>'Table S2 Compound Identifiers'!C833</f>
        <v>0</v>
      </c>
      <c r="C831" s="247">
        <f>COUNTIF($D$6:D831,"&lt;&gt;"&amp;"")</f>
        <v>826</v>
      </c>
      <c r="D831" s="247">
        <f>'Table S2 Compound Identifiers'!B833</f>
        <v>0</v>
      </c>
      <c r="E831" s="247"/>
      <c r="F831" s="248"/>
      <c r="G831" s="249"/>
      <c r="H831" s="330"/>
      <c r="I831" s="328"/>
      <c r="J831" s="249"/>
      <c r="K831" s="330"/>
      <c r="L831" s="250"/>
      <c r="M831" s="249"/>
      <c r="N831" s="330"/>
      <c r="O831" s="250"/>
      <c r="P831" s="249"/>
      <c r="Q831" s="330"/>
      <c r="R831" s="250"/>
      <c r="S831" s="249"/>
      <c r="T831" s="330"/>
      <c r="U831" s="250"/>
      <c r="V831" s="249"/>
      <c r="W831" s="330"/>
      <c r="X831" s="343"/>
      <c r="Y831" s="249"/>
      <c r="Z831" s="330"/>
      <c r="AA831" s="343"/>
      <c r="AB831" s="249"/>
      <c r="AC831" s="330"/>
      <c r="AD831" s="343"/>
      <c r="AE831" s="249"/>
      <c r="AF831" s="330"/>
      <c r="AG831" s="343"/>
      <c r="AH831" s="249"/>
      <c r="AI831" s="330"/>
      <c r="AJ831" s="343"/>
      <c r="AK831" s="249"/>
      <c r="AL831" s="330"/>
      <c r="AM831" s="343"/>
      <c r="AN831" s="249"/>
      <c r="AO831" s="330"/>
      <c r="AP831" s="343"/>
      <c r="AQ831" s="249"/>
      <c r="AR831" s="330"/>
      <c r="AS831" s="343"/>
      <c r="AT831" s="249"/>
      <c r="AU831" s="330"/>
    </row>
    <row r="832" spans="2:47">
      <c r="B832" s="247">
        <f>'Table S2 Compound Identifiers'!C834</f>
        <v>0</v>
      </c>
      <c r="C832" s="247">
        <f>COUNTIF($D$6:D832,"&lt;&gt;"&amp;"")</f>
        <v>827</v>
      </c>
      <c r="D832" s="247">
        <f>'Table S2 Compound Identifiers'!B834</f>
        <v>0</v>
      </c>
      <c r="E832" s="247"/>
      <c r="F832" s="248"/>
      <c r="G832" s="249"/>
      <c r="H832" s="330"/>
      <c r="I832" s="328"/>
      <c r="J832" s="249"/>
      <c r="K832" s="330"/>
      <c r="L832" s="250"/>
      <c r="M832" s="249"/>
      <c r="N832" s="330"/>
      <c r="O832" s="250"/>
      <c r="P832" s="249"/>
      <c r="Q832" s="330"/>
      <c r="R832" s="250"/>
      <c r="S832" s="249"/>
      <c r="T832" s="330"/>
      <c r="U832" s="250"/>
      <c r="V832" s="249"/>
      <c r="W832" s="330"/>
      <c r="X832" s="343"/>
      <c r="Y832" s="249"/>
      <c r="Z832" s="330"/>
      <c r="AA832" s="343"/>
      <c r="AB832" s="249"/>
      <c r="AC832" s="330"/>
      <c r="AD832" s="343"/>
      <c r="AE832" s="249"/>
      <c r="AF832" s="330"/>
      <c r="AG832" s="343"/>
      <c r="AH832" s="249"/>
      <c r="AI832" s="330"/>
      <c r="AJ832" s="343"/>
      <c r="AK832" s="249"/>
      <c r="AL832" s="330"/>
      <c r="AM832" s="343"/>
      <c r="AN832" s="249"/>
      <c r="AO832" s="330"/>
      <c r="AP832" s="343"/>
      <c r="AQ832" s="249"/>
      <c r="AR832" s="330"/>
      <c r="AS832" s="343"/>
      <c r="AT832" s="249"/>
      <c r="AU832" s="330"/>
    </row>
    <row r="833" spans="2:47">
      <c r="B833" s="247">
        <f>'Table S2 Compound Identifiers'!C835</f>
        <v>0</v>
      </c>
      <c r="C833" s="247">
        <f>COUNTIF($D$6:D833,"&lt;&gt;"&amp;"")</f>
        <v>828</v>
      </c>
      <c r="D833" s="247">
        <f>'Table S2 Compound Identifiers'!B835</f>
        <v>0</v>
      </c>
      <c r="E833" s="247"/>
      <c r="F833" s="248"/>
      <c r="G833" s="249"/>
      <c r="H833" s="330"/>
      <c r="I833" s="328"/>
      <c r="J833" s="249"/>
      <c r="K833" s="330"/>
      <c r="L833" s="250"/>
      <c r="M833" s="249"/>
      <c r="N833" s="330"/>
      <c r="O833" s="250"/>
      <c r="P833" s="249"/>
      <c r="Q833" s="330"/>
      <c r="R833" s="250"/>
      <c r="S833" s="249"/>
      <c r="T833" s="330"/>
      <c r="U833" s="250"/>
      <c r="V833" s="249"/>
      <c r="W833" s="330"/>
      <c r="X833" s="343"/>
      <c r="Y833" s="249"/>
      <c r="Z833" s="330"/>
      <c r="AA833" s="343"/>
      <c r="AB833" s="249"/>
      <c r="AC833" s="330"/>
      <c r="AD833" s="343"/>
      <c r="AE833" s="249"/>
      <c r="AF833" s="330"/>
      <c r="AG833" s="343"/>
      <c r="AH833" s="249"/>
      <c r="AI833" s="330"/>
      <c r="AJ833" s="343"/>
      <c r="AK833" s="249"/>
      <c r="AL833" s="330"/>
      <c r="AM833" s="343"/>
      <c r="AN833" s="249"/>
      <c r="AO833" s="330"/>
      <c r="AP833" s="343"/>
      <c r="AQ833" s="249"/>
      <c r="AR833" s="330"/>
      <c r="AS833" s="343"/>
      <c r="AT833" s="249"/>
      <c r="AU833" s="330"/>
    </row>
    <row r="834" spans="2:47">
      <c r="B834" s="247">
        <f>'Table S2 Compound Identifiers'!C836</f>
        <v>0</v>
      </c>
      <c r="C834" s="247">
        <f>COUNTIF($D$6:D834,"&lt;&gt;"&amp;"")</f>
        <v>829</v>
      </c>
      <c r="D834" s="247">
        <f>'Table S2 Compound Identifiers'!B836</f>
        <v>0</v>
      </c>
      <c r="E834" s="247"/>
      <c r="F834" s="248"/>
      <c r="G834" s="249"/>
      <c r="H834" s="330"/>
      <c r="I834" s="328"/>
      <c r="J834" s="249"/>
      <c r="K834" s="330"/>
      <c r="L834" s="250"/>
      <c r="M834" s="249"/>
      <c r="N834" s="330"/>
      <c r="O834" s="250"/>
      <c r="P834" s="249"/>
      <c r="Q834" s="330"/>
      <c r="R834" s="250"/>
      <c r="S834" s="249"/>
      <c r="T834" s="330"/>
      <c r="U834" s="250"/>
      <c r="V834" s="249"/>
      <c r="W834" s="330"/>
      <c r="X834" s="343"/>
      <c r="Y834" s="249"/>
      <c r="Z834" s="330"/>
      <c r="AA834" s="343"/>
      <c r="AB834" s="249"/>
      <c r="AC834" s="330"/>
      <c r="AD834" s="343"/>
      <c r="AE834" s="249"/>
      <c r="AF834" s="330"/>
      <c r="AG834" s="343"/>
      <c r="AH834" s="249"/>
      <c r="AI834" s="330"/>
      <c r="AJ834" s="343"/>
      <c r="AK834" s="249"/>
      <c r="AL834" s="330"/>
      <c r="AM834" s="343"/>
      <c r="AN834" s="249"/>
      <c r="AO834" s="330"/>
      <c r="AP834" s="343"/>
      <c r="AQ834" s="249"/>
      <c r="AR834" s="330"/>
      <c r="AS834" s="343"/>
      <c r="AT834" s="249"/>
      <c r="AU834" s="330"/>
    </row>
    <row r="835" spans="2:47">
      <c r="B835" s="247">
        <f>'Table S2 Compound Identifiers'!C837</f>
        <v>0</v>
      </c>
      <c r="C835" s="247">
        <f>COUNTIF($D$6:D835,"&lt;&gt;"&amp;"")</f>
        <v>830</v>
      </c>
      <c r="D835" s="247">
        <f>'Table S2 Compound Identifiers'!B837</f>
        <v>0</v>
      </c>
      <c r="E835" s="247"/>
      <c r="F835" s="248"/>
      <c r="G835" s="249"/>
      <c r="H835" s="330"/>
      <c r="I835" s="328"/>
      <c r="J835" s="249"/>
      <c r="K835" s="330"/>
      <c r="L835" s="250"/>
      <c r="M835" s="249"/>
      <c r="N835" s="330"/>
      <c r="O835" s="250"/>
      <c r="P835" s="249"/>
      <c r="Q835" s="330"/>
      <c r="R835" s="250"/>
      <c r="S835" s="249"/>
      <c r="T835" s="330"/>
      <c r="U835" s="250"/>
      <c r="V835" s="249"/>
      <c r="W835" s="330"/>
      <c r="X835" s="343"/>
      <c r="Y835" s="249"/>
      <c r="Z835" s="330"/>
      <c r="AA835" s="343"/>
      <c r="AB835" s="249"/>
      <c r="AC835" s="330"/>
      <c r="AD835" s="343"/>
      <c r="AE835" s="249"/>
      <c r="AF835" s="330"/>
      <c r="AG835" s="343"/>
      <c r="AH835" s="249"/>
      <c r="AI835" s="330"/>
      <c r="AJ835" s="343"/>
      <c r="AK835" s="249"/>
      <c r="AL835" s="330"/>
      <c r="AM835" s="343"/>
      <c r="AN835" s="249"/>
      <c r="AO835" s="330"/>
      <c r="AP835" s="343"/>
      <c r="AQ835" s="249"/>
      <c r="AR835" s="330"/>
      <c r="AS835" s="343"/>
      <c r="AT835" s="249"/>
      <c r="AU835" s="330"/>
    </row>
    <row r="836" spans="2:47">
      <c r="B836" s="247">
        <f>'Table S2 Compound Identifiers'!C838</f>
        <v>0</v>
      </c>
      <c r="C836" s="247">
        <f>COUNTIF($D$6:D836,"&lt;&gt;"&amp;"")</f>
        <v>831</v>
      </c>
      <c r="D836" s="247">
        <f>'Table S2 Compound Identifiers'!B838</f>
        <v>0</v>
      </c>
      <c r="E836" s="247"/>
      <c r="F836" s="248"/>
      <c r="G836" s="249"/>
      <c r="H836" s="330"/>
      <c r="I836" s="328"/>
      <c r="J836" s="249"/>
      <c r="K836" s="330"/>
      <c r="L836" s="250"/>
      <c r="M836" s="249"/>
      <c r="N836" s="330"/>
      <c r="O836" s="250"/>
      <c r="P836" s="249"/>
      <c r="Q836" s="330"/>
      <c r="R836" s="250"/>
      <c r="S836" s="249"/>
      <c r="T836" s="330"/>
      <c r="U836" s="250"/>
      <c r="V836" s="249"/>
      <c r="W836" s="330"/>
      <c r="X836" s="343"/>
      <c r="Y836" s="249"/>
      <c r="Z836" s="330"/>
      <c r="AA836" s="343"/>
      <c r="AB836" s="249"/>
      <c r="AC836" s="330"/>
      <c r="AD836" s="343"/>
      <c r="AE836" s="249"/>
      <c r="AF836" s="330"/>
      <c r="AG836" s="343"/>
      <c r="AH836" s="249"/>
      <c r="AI836" s="330"/>
      <c r="AJ836" s="343"/>
      <c r="AK836" s="249"/>
      <c r="AL836" s="330"/>
      <c r="AM836" s="343"/>
      <c r="AN836" s="249"/>
      <c r="AO836" s="330"/>
      <c r="AP836" s="343"/>
      <c r="AQ836" s="249"/>
      <c r="AR836" s="330"/>
      <c r="AS836" s="343"/>
      <c r="AT836" s="249"/>
      <c r="AU836" s="330"/>
    </row>
    <row r="837" spans="2:47">
      <c r="B837" s="247">
        <f>'Table S2 Compound Identifiers'!C839</f>
        <v>0</v>
      </c>
      <c r="C837" s="247">
        <f>COUNTIF($D$6:D837,"&lt;&gt;"&amp;"")</f>
        <v>832</v>
      </c>
      <c r="D837" s="247">
        <f>'Table S2 Compound Identifiers'!B839</f>
        <v>0</v>
      </c>
      <c r="E837" s="247"/>
      <c r="F837" s="248"/>
      <c r="G837" s="249"/>
      <c r="H837" s="330"/>
      <c r="I837" s="328"/>
      <c r="J837" s="249"/>
      <c r="K837" s="330"/>
      <c r="L837" s="250"/>
      <c r="M837" s="249"/>
      <c r="N837" s="330"/>
      <c r="O837" s="250"/>
      <c r="P837" s="249"/>
      <c r="Q837" s="330"/>
      <c r="R837" s="250"/>
      <c r="S837" s="249"/>
      <c r="T837" s="330"/>
      <c r="U837" s="250"/>
      <c r="V837" s="249"/>
      <c r="W837" s="330"/>
      <c r="X837" s="343"/>
      <c r="Y837" s="249"/>
      <c r="Z837" s="330"/>
      <c r="AA837" s="343"/>
      <c r="AB837" s="249"/>
      <c r="AC837" s="330"/>
      <c r="AD837" s="343"/>
      <c r="AE837" s="249"/>
      <c r="AF837" s="330"/>
      <c r="AG837" s="343"/>
      <c r="AH837" s="249"/>
      <c r="AI837" s="330"/>
      <c r="AJ837" s="343"/>
      <c r="AK837" s="249"/>
      <c r="AL837" s="330"/>
      <c r="AM837" s="343"/>
      <c r="AN837" s="249"/>
      <c r="AO837" s="330"/>
      <c r="AP837" s="343"/>
      <c r="AQ837" s="249"/>
      <c r="AR837" s="330"/>
      <c r="AS837" s="343"/>
      <c r="AT837" s="249"/>
      <c r="AU837" s="330"/>
    </row>
    <row r="838" spans="2:47">
      <c r="B838" s="247">
        <f>'Table S2 Compound Identifiers'!C840</f>
        <v>0</v>
      </c>
      <c r="C838" s="247">
        <f>COUNTIF($D$6:D838,"&lt;&gt;"&amp;"")</f>
        <v>833</v>
      </c>
      <c r="D838" s="247">
        <f>'Table S2 Compound Identifiers'!B840</f>
        <v>0</v>
      </c>
      <c r="E838" s="247"/>
      <c r="F838" s="248"/>
      <c r="G838" s="249"/>
      <c r="H838" s="330"/>
      <c r="I838" s="328"/>
      <c r="J838" s="249"/>
      <c r="K838" s="330"/>
      <c r="L838" s="250"/>
      <c r="M838" s="249"/>
      <c r="N838" s="330"/>
      <c r="O838" s="250"/>
      <c r="P838" s="249"/>
      <c r="Q838" s="330"/>
      <c r="R838" s="250"/>
      <c r="S838" s="249"/>
      <c r="T838" s="330"/>
      <c r="U838" s="250"/>
      <c r="V838" s="249"/>
      <c r="W838" s="330"/>
      <c r="X838" s="343"/>
      <c r="Y838" s="249"/>
      <c r="Z838" s="330"/>
      <c r="AA838" s="343"/>
      <c r="AB838" s="249"/>
      <c r="AC838" s="330"/>
      <c r="AD838" s="343"/>
      <c r="AE838" s="249"/>
      <c r="AF838" s="330"/>
      <c r="AG838" s="343"/>
      <c r="AH838" s="249"/>
      <c r="AI838" s="330"/>
      <c r="AJ838" s="343"/>
      <c r="AK838" s="249"/>
      <c r="AL838" s="330"/>
      <c r="AM838" s="343"/>
      <c r="AN838" s="249"/>
      <c r="AO838" s="330"/>
      <c r="AP838" s="343"/>
      <c r="AQ838" s="249"/>
      <c r="AR838" s="330"/>
      <c r="AS838" s="343"/>
      <c r="AT838" s="249"/>
      <c r="AU838" s="330"/>
    </row>
    <row r="839" spans="2:47">
      <c r="B839" s="247">
        <f>'Table S2 Compound Identifiers'!C841</f>
        <v>0</v>
      </c>
      <c r="C839" s="247">
        <f>COUNTIF($D$6:D839,"&lt;&gt;"&amp;"")</f>
        <v>834</v>
      </c>
      <c r="D839" s="247">
        <f>'Table S2 Compound Identifiers'!B841</f>
        <v>0</v>
      </c>
      <c r="E839" s="247"/>
      <c r="F839" s="248"/>
      <c r="G839" s="249"/>
      <c r="H839" s="330"/>
      <c r="I839" s="328"/>
      <c r="J839" s="249"/>
      <c r="K839" s="330"/>
      <c r="L839" s="250"/>
      <c r="M839" s="249"/>
      <c r="N839" s="330"/>
      <c r="O839" s="250"/>
      <c r="P839" s="249"/>
      <c r="Q839" s="330"/>
      <c r="R839" s="250"/>
      <c r="S839" s="249"/>
      <c r="T839" s="330"/>
      <c r="U839" s="250"/>
      <c r="V839" s="249"/>
      <c r="W839" s="330"/>
      <c r="X839" s="343"/>
      <c r="Y839" s="249"/>
      <c r="Z839" s="330"/>
      <c r="AA839" s="343"/>
      <c r="AB839" s="249"/>
      <c r="AC839" s="330"/>
      <c r="AD839" s="343"/>
      <c r="AE839" s="249"/>
      <c r="AF839" s="330"/>
      <c r="AG839" s="343"/>
      <c r="AH839" s="249"/>
      <c r="AI839" s="330"/>
      <c r="AJ839" s="343"/>
      <c r="AK839" s="249"/>
      <c r="AL839" s="330"/>
      <c r="AM839" s="343"/>
      <c r="AN839" s="249"/>
      <c r="AO839" s="330"/>
      <c r="AP839" s="343"/>
      <c r="AQ839" s="249"/>
      <c r="AR839" s="330"/>
      <c r="AS839" s="343"/>
      <c r="AT839" s="249"/>
      <c r="AU839" s="330"/>
    </row>
    <row r="840" spans="2:47">
      <c r="B840" s="247">
        <f>'Table S2 Compound Identifiers'!C842</f>
        <v>0</v>
      </c>
      <c r="C840" s="247">
        <f>COUNTIF($D$6:D840,"&lt;&gt;"&amp;"")</f>
        <v>835</v>
      </c>
      <c r="D840" s="247">
        <f>'Table S2 Compound Identifiers'!B842</f>
        <v>0</v>
      </c>
      <c r="E840" s="247"/>
      <c r="F840" s="248"/>
      <c r="G840" s="249"/>
      <c r="H840" s="330"/>
      <c r="I840" s="328"/>
      <c r="J840" s="249"/>
      <c r="K840" s="330"/>
      <c r="L840" s="250"/>
      <c r="M840" s="249"/>
      <c r="N840" s="330"/>
      <c r="O840" s="250"/>
      <c r="P840" s="249"/>
      <c r="Q840" s="330"/>
      <c r="R840" s="250"/>
      <c r="S840" s="249"/>
      <c r="T840" s="330"/>
      <c r="U840" s="250"/>
      <c r="V840" s="249"/>
      <c r="W840" s="330"/>
      <c r="X840" s="343"/>
      <c r="Y840" s="249"/>
      <c r="Z840" s="330"/>
      <c r="AA840" s="343"/>
      <c r="AB840" s="249"/>
      <c r="AC840" s="330"/>
      <c r="AD840" s="343"/>
      <c r="AE840" s="249"/>
      <c r="AF840" s="330"/>
      <c r="AG840" s="343"/>
      <c r="AH840" s="249"/>
      <c r="AI840" s="330"/>
      <c r="AJ840" s="343"/>
      <c r="AK840" s="249"/>
      <c r="AL840" s="330"/>
      <c r="AM840" s="343"/>
      <c r="AN840" s="249"/>
      <c r="AO840" s="330"/>
      <c r="AP840" s="343"/>
      <c r="AQ840" s="249"/>
      <c r="AR840" s="330"/>
      <c r="AS840" s="343"/>
      <c r="AT840" s="249"/>
      <c r="AU840" s="330"/>
    </row>
    <row r="841" spans="2:47">
      <c r="B841" s="247">
        <f>'Table S2 Compound Identifiers'!C843</f>
        <v>0</v>
      </c>
      <c r="C841" s="247">
        <f>COUNTIF($D$6:D841,"&lt;&gt;"&amp;"")</f>
        <v>836</v>
      </c>
      <c r="D841" s="247">
        <f>'Table S2 Compound Identifiers'!B843</f>
        <v>0</v>
      </c>
      <c r="E841" s="247"/>
      <c r="F841" s="248"/>
      <c r="G841" s="249"/>
      <c r="H841" s="330"/>
      <c r="I841" s="328"/>
      <c r="J841" s="249"/>
      <c r="K841" s="330"/>
      <c r="L841" s="250"/>
      <c r="M841" s="249"/>
      <c r="N841" s="330"/>
      <c r="O841" s="250"/>
      <c r="P841" s="249"/>
      <c r="Q841" s="330"/>
      <c r="R841" s="250"/>
      <c r="S841" s="249"/>
      <c r="T841" s="330"/>
      <c r="U841" s="250"/>
      <c r="V841" s="249"/>
      <c r="W841" s="330"/>
      <c r="X841" s="343"/>
      <c r="Y841" s="249"/>
      <c r="Z841" s="330"/>
      <c r="AA841" s="343"/>
      <c r="AB841" s="249"/>
      <c r="AC841" s="330"/>
      <c r="AD841" s="343"/>
      <c r="AE841" s="249"/>
      <c r="AF841" s="330"/>
      <c r="AG841" s="343"/>
      <c r="AH841" s="249"/>
      <c r="AI841" s="330"/>
      <c r="AJ841" s="343"/>
      <c r="AK841" s="249"/>
      <c r="AL841" s="330"/>
      <c r="AM841" s="343"/>
      <c r="AN841" s="249"/>
      <c r="AO841" s="330"/>
      <c r="AP841" s="343"/>
      <c r="AQ841" s="249"/>
      <c r="AR841" s="330"/>
      <c r="AS841" s="343"/>
      <c r="AT841" s="249"/>
      <c r="AU841" s="330"/>
    </row>
    <row r="842" spans="2:47">
      <c r="B842" s="247">
        <f>'Table S2 Compound Identifiers'!C844</f>
        <v>0</v>
      </c>
      <c r="C842" s="247">
        <f>COUNTIF($D$6:D842,"&lt;&gt;"&amp;"")</f>
        <v>837</v>
      </c>
      <c r="D842" s="247">
        <f>'Table S2 Compound Identifiers'!B844</f>
        <v>0</v>
      </c>
      <c r="E842" s="247"/>
      <c r="F842" s="248"/>
      <c r="G842" s="249"/>
      <c r="H842" s="330"/>
      <c r="I842" s="328"/>
      <c r="J842" s="249"/>
      <c r="K842" s="330"/>
      <c r="L842" s="250"/>
      <c r="M842" s="249"/>
      <c r="N842" s="330"/>
      <c r="O842" s="250"/>
      <c r="P842" s="249"/>
      <c r="Q842" s="330"/>
      <c r="R842" s="250"/>
      <c r="S842" s="249"/>
      <c r="T842" s="330"/>
      <c r="U842" s="250"/>
      <c r="V842" s="249"/>
      <c r="W842" s="330"/>
      <c r="X842" s="343"/>
      <c r="Y842" s="249"/>
      <c r="Z842" s="330"/>
      <c r="AA842" s="343"/>
      <c r="AB842" s="249"/>
      <c r="AC842" s="330"/>
      <c r="AD842" s="343"/>
      <c r="AE842" s="249"/>
      <c r="AF842" s="330"/>
      <c r="AG842" s="343"/>
      <c r="AH842" s="249"/>
      <c r="AI842" s="330"/>
      <c r="AJ842" s="343"/>
      <c r="AK842" s="249"/>
      <c r="AL842" s="330"/>
      <c r="AM842" s="343"/>
      <c r="AN842" s="249"/>
      <c r="AO842" s="330"/>
      <c r="AP842" s="343"/>
      <c r="AQ842" s="249"/>
      <c r="AR842" s="330"/>
      <c r="AS842" s="343"/>
      <c r="AT842" s="249"/>
      <c r="AU842" s="330"/>
    </row>
    <row r="843" spans="2:47">
      <c r="B843" s="247">
        <f>'Table S2 Compound Identifiers'!C845</f>
        <v>0</v>
      </c>
      <c r="C843" s="247">
        <f>COUNTIF($D$6:D843,"&lt;&gt;"&amp;"")</f>
        <v>838</v>
      </c>
      <c r="D843" s="247">
        <f>'Table S2 Compound Identifiers'!B845</f>
        <v>0</v>
      </c>
      <c r="E843" s="247"/>
      <c r="F843" s="248"/>
      <c r="G843" s="249"/>
      <c r="H843" s="330"/>
      <c r="I843" s="328"/>
      <c r="J843" s="249"/>
      <c r="K843" s="330"/>
      <c r="L843" s="250"/>
      <c r="M843" s="249"/>
      <c r="N843" s="330"/>
      <c r="O843" s="250"/>
      <c r="P843" s="249"/>
      <c r="Q843" s="330"/>
      <c r="R843" s="250"/>
      <c r="S843" s="249"/>
      <c r="T843" s="330"/>
      <c r="U843" s="250"/>
      <c r="V843" s="249"/>
      <c r="W843" s="330"/>
      <c r="X843" s="343"/>
      <c r="Y843" s="249"/>
      <c r="Z843" s="330"/>
      <c r="AA843" s="343"/>
      <c r="AB843" s="249"/>
      <c r="AC843" s="330"/>
      <c r="AD843" s="343"/>
      <c r="AE843" s="249"/>
      <c r="AF843" s="330"/>
      <c r="AG843" s="343"/>
      <c r="AH843" s="249"/>
      <c r="AI843" s="330"/>
      <c r="AJ843" s="343"/>
      <c r="AK843" s="249"/>
      <c r="AL843" s="330"/>
      <c r="AM843" s="343"/>
      <c r="AN843" s="249"/>
      <c r="AO843" s="330"/>
      <c r="AP843" s="343"/>
      <c r="AQ843" s="249"/>
      <c r="AR843" s="330"/>
      <c r="AS843" s="343"/>
      <c r="AT843" s="249"/>
      <c r="AU843" s="330"/>
    </row>
    <row r="844" spans="2:47">
      <c r="B844" s="247">
        <f>'Table S2 Compound Identifiers'!C846</f>
        <v>0</v>
      </c>
      <c r="C844" s="247">
        <f>COUNTIF($D$6:D844,"&lt;&gt;"&amp;"")</f>
        <v>839</v>
      </c>
      <c r="D844" s="247">
        <f>'Table S2 Compound Identifiers'!B846</f>
        <v>0</v>
      </c>
      <c r="E844" s="247"/>
      <c r="F844" s="248"/>
      <c r="G844" s="249"/>
      <c r="H844" s="330"/>
      <c r="I844" s="328"/>
      <c r="J844" s="249"/>
      <c r="K844" s="330"/>
      <c r="L844" s="250"/>
      <c r="M844" s="249"/>
      <c r="N844" s="330"/>
      <c r="O844" s="250"/>
      <c r="P844" s="249"/>
      <c r="Q844" s="330"/>
      <c r="R844" s="250"/>
      <c r="S844" s="249"/>
      <c r="T844" s="330"/>
      <c r="U844" s="250"/>
      <c r="V844" s="249"/>
      <c r="W844" s="330"/>
      <c r="X844" s="343"/>
      <c r="Y844" s="249"/>
      <c r="Z844" s="330"/>
      <c r="AA844" s="343"/>
      <c r="AB844" s="249"/>
      <c r="AC844" s="330"/>
      <c r="AD844" s="343"/>
      <c r="AE844" s="249"/>
      <c r="AF844" s="330"/>
      <c r="AG844" s="343"/>
      <c r="AH844" s="249"/>
      <c r="AI844" s="330"/>
      <c r="AJ844" s="343"/>
      <c r="AK844" s="249"/>
      <c r="AL844" s="330"/>
      <c r="AM844" s="343"/>
      <c r="AN844" s="249"/>
      <c r="AO844" s="330"/>
      <c r="AP844" s="343"/>
      <c r="AQ844" s="249"/>
      <c r="AR844" s="330"/>
      <c r="AS844" s="343"/>
      <c r="AT844" s="249"/>
      <c r="AU844" s="330"/>
    </row>
    <row r="845" spans="2:47">
      <c r="B845" s="247">
        <f>'Table S2 Compound Identifiers'!C847</f>
        <v>0</v>
      </c>
      <c r="C845" s="247">
        <f>COUNTIF($D$6:D845,"&lt;&gt;"&amp;"")</f>
        <v>840</v>
      </c>
      <c r="D845" s="247">
        <f>'Table S2 Compound Identifiers'!B847</f>
        <v>0</v>
      </c>
      <c r="E845" s="247"/>
      <c r="F845" s="248"/>
      <c r="G845" s="249"/>
      <c r="H845" s="330"/>
      <c r="I845" s="328"/>
      <c r="J845" s="249"/>
      <c r="K845" s="330"/>
      <c r="L845" s="250"/>
      <c r="M845" s="249"/>
      <c r="N845" s="330"/>
      <c r="O845" s="250"/>
      <c r="P845" s="249"/>
      <c r="Q845" s="330"/>
      <c r="R845" s="250"/>
      <c r="S845" s="249"/>
      <c r="T845" s="330"/>
      <c r="U845" s="250"/>
      <c r="V845" s="249"/>
      <c r="W845" s="330"/>
      <c r="X845" s="343"/>
      <c r="Y845" s="249"/>
      <c r="Z845" s="330"/>
      <c r="AA845" s="343"/>
      <c r="AB845" s="249"/>
      <c r="AC845" s="330"/>
      <c r="AD845" s="343"/>
      <c r="AE845" s="249"/>
      <c r="AF845" s="330"/>
      <c r="AG845" s="343"/>
      <c r="AH845" s="249"/>
      <c r="AI845" s="330"/>
      <c r="AJ845" s="343"/>
      <c r="AK845" s="249"/>
      <c r="AL845" s="330"/>
      <c r="AM845" s="343"/>
      <c r="AN845" s="249"/>
      <c r="AO845" s="330"/>
      <c r="AP845" s="343"/>
      <c r="AQ845" s="249"/>
      <c r="AR845" s="330"/>
      <c r="AS845" s="343"/>
      <c r="AT845" s="249"/>
      <c r="AU845" s="330"/>
    </row>
    <row r="846" spans="2:47">
      <c r="B846" s="247">
        <f>'Table S2 Compound Identifiers'!C848</f>
        <v>0</v>
      </c>
      <c r="C846" s="247">
        <f>COUNTIF($D$6:D846,"&lt;&gt;"&amp;"")</f>
        <v>841</v>
      </c>
      <c r="D846" s="247">
        <f>'Table S2 Compound Identifiers'!B848</f>
        <v>0</v>
      </c>
      <c r="E846" s="247"/>
      <c r="F846" s="248"/>
      <c r="G846" s="249"/>
      <c r="H846" s="330"/>
      <c r="I846" s="328"/>
      <c r="J846" s="249"/>
      <c r="K846" s="330"/>
      <c r="L846" s="250"/>
      <c r="M846" s="249"/>
      <c r="N846" s="330"/>
      <c r="O846" s="250"/>
      <c r="P846" s="249"/>
      <c r="Q846" s="330"/>
      <c r="R846" s="250"/>
      <c r="S846" s="249"/>
      <c r="T846" s="330"/>
      <c r="U846" s="250"/>
      <c r="V846" s="249"/>
      <c r="W846" s="330"/>
      <c r="X846" s="343"/>
      <c r="Y846" s="249"/>
      <c r="Z846" s="330"/>
      <c r="AA846" s="343"/>
      <c r="AB846" s="249"/>
      <c r="AC846" s="330"/>
      <c r="AD846" s="343"/>
      <c r="AE846" s="249"/>
      <c r="AF846" s="330"/>
      <c r="AG846" s="343"/>
      <c r="AH846" s="249"/>
      <c r="AI846" s="330"/>
      <c r="AJ846" s="343"/>
      <c r="AK846" s="249"/>
      <c r="AL846" s="330"/>
      <c r="AM846" s="343"/>
      <c r="AN846" s="249"/>
      <c r="AO846" s="330"/>
      <c r="AP846" s="343"/>
      <c r="AQ846" s="249"/>
      <c r="AR846" s="330"/>
      <c r="AS846" s="343"/>
      <c r="AT846" s="249"/>
      <c r="AU846" s="330"/>
    </row>
    <row r="847" spans="2:47">
      <c r="B847" s="247">
        <f>'Table S2 Compound Identifiers'!C849</f>
        <v>0</v>
      </c>
      <c r="C847" s="247">
        <f>COUNTIF($D$6:D847,"&lt;&gt;"&amp;"")</f>
        <v>842</v>
      </c>
      <c r="D847" s="247">
        <f>'Table S2 Compound Identifiers'!B849</f>
        <v>0</v>
      </c>
      <c r="E847" s="247"/>
      <c r="F847" s="248"/>
      <c r="G847" s="249"/>
      <c r="H847" s="330"/>
      <c r="I847" s="328"/>
      <c r="J847" s="249"/>
      <c r="K847" s="330"/>
      <c r="L847" s="250"/>
      <c r="M847" s="249"/>
      <c r="N847" s="330"/>
      <c r="O847" s="250"/>
      <c r="P847" s="249"/>
      <c r="Q847" s="330"/>
      <c r="R847" s="250"/>
      <c r="S847" s="249"/>
      <c r="T847" s="330"/>
      <c r="U847" s="250"/>
      <c r="V847" s="249"/>
      <c r="W847" s="330"/>
      <c r="X847" s="343"/>
      <c r="Y847" s="249"/>
      <c r="Z847" s="330"/>
      <c r="AA847" s="343"/>
      <c r="AB847" s="249"/>
      <c r="AC847" s="330"/>
      <c r="AD847" s="343"/>
      <c r="AE847" s="249"/>
      <c r="AF847" s="330"/>
      <c r="AG847" s="343"/>
      <c r="AH847" s="249"/>
      <c r="AI847" s="330"/>
      <c r="AJ847" s="343"/>
      <c r="AK847" s="249"/>
      <c r="AL847" s="330"/>
      <c r="AM847" s="343"/>
      <c r="AN847" s="249"/>
      <c r="AO847" s="330"/>
      <c r="AP847" s="343"/>
      <c r="AQ847" s="249"/>
      <c r="AR847" s="330"/>
      <c r="AS847" s="343"/>
      <c r="AT847" s="249"/>
      <c r="AU847" s="330"/>
    </row>
    <row r="848" spans="2:47">
      <c r="B848" s="247">
        <f>'Table S2 Compound Identifiers'!C850</f>
        <v>0</v>
      </c>
      <c r="C848" s="247">
        <f>COUNTIF($D$6:D848,"&lt;&gt;"&amp;"")</f>
        <v>843</v>
      </c>
      <c r="D848" s="247">
        <f>'Table S2 Compound Identifiers'!B850</f>
        <v>0</v>
      </c>
      <c r="E848" s="247"/>
      <c r="F848" s="248"/>
      <c r="G848" s="249"/>
      <c r="H848" s="330"/>
      <c r="I848" s="328"/>
      <c r="J848" s="249"/>
      <c r="K848" s="330"/>
      <c r="L848" s="250"/>
      <c r="M848" s="249"/>
      <c r="N848" s="330"/>
      <c r="O848" s="250"/>
      <c r="P848" s="249"/>
      <c r="Q848" s="330"/>
      <c r="R848" s="250"/>
      <c r="S848" s="249"/>
      <c r="T848" s="330"/>
      <c r="U848" s="250"/>
      <c r="V848" s="249"/>
      <c r="W848" s="330"/>
      <c r="X848" s="343"/>
      <c r="Y848" s="249"/>
      <c r="Z848" s="330"/>
      <c r="AA848" s="343"/>
      <c r="AB848" s="249"/>
      <c r="AC848" s="330"/>
      <c r="AD848" s="343"/>
      <c r="AE848" s="249"/>
      <c r="AF848" s="330"/>
      <c r="AG848" s="343"/>
      <c r="AH848" s="249"/>
      <c r="AI848" s="330"/>
      <c r="AJ848" s="343"/>
      <c r="AK848" s="249"/>
      <c r="AL848" s="330"/>
      <c r="AM848" s="343"/>
      <c r="AN848" s="249"/>
      <c r="AO848" s="330"/>
      <c r="AP848" s="343"/>
      <c r="AQ848" s="249"/>
      <c r="AR848" s="330"/>
      <c r="AS848" s="343"/>
      <c r="AT848" s="249"/>
      <c r="AU848" s="330"/>
    </row>
    <row r="849" spans="2:47">
      <c r="B849" s="247">
        <f>'Table S2 Compound Identifiers'!C851</f>
        <v>0</v>
      </c>
      <c r="C849" s="247">
        <f>COUNTIF($D$6:D849,"&lt;&gt;"&amp;"")</f>
        <v>844</v>
      </c>
      <c r="D849" s="247">
        <f>'Table S2 Compound Identifiers'!B851</f>
        <v>0</v>
      </c>
      <c r="E849" s="247"/>
      <c r="F849" s="248"/>
      <c r="G849" s="249"/>
      <c r="H849" s="330"/>
      <c r="I849" s="328"/>
      <c r="J849" s="249"/>
      <c r="K849" s="330"/>
      <c r="L849" s="250"/>
      <c r="M849" s="249"/>
      <c r="N849" s="330"/>
      <c r="O849" s="250"/>
      <c r="P849" s="249"/>
      <c r="Q849" s="330"/>
      <c r="R849" s="250"/>
      <c r="S849" s="249"/>
      <c r="T849" s="330"/>
      <c r="U849" s="250"/>
      <c r="V849" s="249"/>
      <c r="W849" s="330"/>
      <c r="X849" s="343"/>
      <c r="Y849" s="249"/>
      <c r="Z849" s="330"/>
      <c r="AA849" s="343"/>
      <c r="AB849" s="249"/>
      <c r="AC849" s="330"/>
      <c r="AD849" s="343"/>
      <c r="AE849" s="249"/>
      <c r="AF849" s="330"/>
      <c r="AG849" s="343"/>
      <c r="AH849" s="249"/>
      <c r="AI849" s="330"/>
      <c r="AJ849" s="343"/>
      <c r="AK849" s="249"/>
      <c r="AL849" s="330"/>
      <c r="AM849" s="343"/>
      <c r="AN849" s="249"/>
      <c r="AO849" s="330"/>
      <c r="AP849" s="343"/>
      <c r="AQ849" s="249"/>
      <c r="AR849" s="330"/>
      <c r="AS849" s="343"/>
      <c r="AT849" s="249"/>
      <c r="AU849" s="330"/>
    </row>
    <row r="850" spans="2:47">
      <c r="B850" s="247">
        <f>'Table S2 Compound Identifiers'!C852</f>
        <v>0</v>
      </c>
      <c r="C850" s="247">
        <f>COUNTIF($D$6:D850,"&lt;&gt;"&amp;"")</f>
        <v>845</v>
      </c>
      <c r="D850" s="247">
        <f>'Table S2 Compound Identifiers'!B852</f>
        <v>0</v>
      </c>
      <c r="E850" s="247"/>
      <c r="F850" s="248"/>
      <c r="G850" s="249"/>
      <c r="H850" s="330"/>
      <c r="I850" s="328"/>
      <c r="J850" s="249"/>
      <c r="K850" s="330"/>
      <c r="L850" s="250"/>
      <c r="M850" s="249"/>
      <c r="N850" s="330"/>
      <c r="O850" s="250"/>
      <c r="P850" s="249"/>
      <c r="Q850" s="330"/>
      <c r="R850" s="250"/>
      <c r="S850" s="249"/>
      <c r="T850" s="330"/>
      <c r="U850" s="250"/>
      <c r="V850" s="249"/>
      <c r="W850" s="330"/>
      <c r="X850" s="343"/>
      <c r="Y850" s="249"/>
      <c r="Z850" s="330"/>
      <c r="AA850" s="343"/>
      <c r="AB850" s="249"/>
      <c r="AC850" s="330"/>
      <c r="AD850" s="343"/>
      <c r="AE850" s="249"/>
      <c r="AF850" s="330"/>
      <c r="AG850" s="343"/>
      <c r="AH850" s="249"/>
      <c r="AI850" s="330"/>
      <c r="AJ850" s="343"/>
      <c r="AK850" s="249"/>
      <c r="AL850" s="330"/>
      <c r="AM850" s="343"/>
      <c r="AN850" s="249"/>
      <c r="AO850" s="330"/>
      <c r="AP850" s="343"/>
      <c r="AQ850" s="249"/>
      <c r="AR850" s="330"/>
      <c r="AS850" s="343"/>
      <c r="AT850" s="249"/>
      <c r="AU850" s="330"/>
    </row>
    <row r="851" spans="2:47">
      <c r="B851" s="247">
        <f>'Table S2 Compound Identifiers'!C853</f>
        <v>0</v>
      </c>
      <c r="C851" s="247">
        <f>COUNTIF($D$6:D851,"&lt;&gt;"&amp;"")</f>
        <v>846</v>
      </c>
      <c r="D851" s="247">
        <f>'Table S2 Compound Identifiers'!B853</f>
        <v>0</v>
      </c>
      <c r="E851" s="247"/>
      <c r="F851" s="248"/>
      <c r="G851" s="249"/>
      <c r="H851" s="330"/>
      <c r="I851" s="328"/>
      <c r="J851" s="249"/>
      <c r="K851" s="330"/>
      <c r="L851" s="250"/>
      <c r="M851" s="249"/>
      <c r="N851" s="330"/>
      <c r="O851" s="250"/>
      <c r="P851" s="249"/>
      <c r="Q851" s="330"/>
      <c r="R851" s="250"/>
      <c r="S851" s="249"/>
      <c r="T851" s="330"/>
      <c r="U851" s="250"/>
      <c r="V851" s="249"/>
      <c r="W851" s="330"/>
      <c r="X851" s="343"/>
      <c r="Y851" s="249"/>
      <c r="Z851" s="330"/>
      <c r="AA851" s="343"/>
      <c r="AB851" s="249"/>
      <c r="AC851" s="330"/>
      <c r="AD851" s="343"/>
      <c r="AE851" s="249"/>
      <c r="AF851" s="330"/>
      <c r="AG851" s="343"/>
      <c r="AH851" s="249"/>
      <c r="AI851" s="330"/>
      <c r="AJ851" s="343"/>
      <c r="AK851" s="249"/>
      <c r="AL851" s="330"/>
      <c r="AM851" s="343"/>
      <c r="AN851" s="249"/>
      <c r="AO851" s="330"/>
      <c r="AP851" s="343"/>
      <c r="AQ851" s="249"/>
      <c r="AR851" s="330"/>
      <c r="AS851" s="343"/>
      <c r="AT851" s="249"/>
      <c r="AU851" s="330"/>
    </row>
    <row r="852" spans="2:47">
      <c r="B852" s="247">
        <f>'Table S2 Compound Identifiers'!C854</f>
        <v>0</v>
      </c>
      <c r="C852" s="247">
        <f>COUNTIF($D$6:D852,"&lt;&gt;"&amp;"")</f>
        <v>847</v>
      </c>
      <c r="D852" s="247">
        <f>'Table S2 Compound Identifiers'!B854</f>
        <v>0</v>
      </c>
      <c r="E852" s="247"/>
      <c r="F852" s="248"/>
      <c r="G852" s="249"/>
      <c r="H852" s="330"/>
      <c r="I852" s="328"/>
      <c r="J852" s="249"/>
      <c r="K852" s="330"/>
      <c r="L852" s="250"/>
      <c r="M852" s="249"/>
      <c r="N852" s="330"/>
      <c r="O852" s="250"/>
      <c r="P852" s="249"/>
      <c r="Q852" s="330"/>
      <c r="R852" s="250"/>
      <c r="S852" s="249"/>
      <c r="T852" s="330"/>
      <c r="U852" s="250"/>
      <c r="V852" s="249"/>
      <c r="W852" s="330"/>
      <c r="X852" s="343"/>
      <c r="Y852" s="249"/>
      <c r="Z852" s="330"/>
      <c r="AA852" s="343"/>
      <c r="AB852" s="249"/>
      <c r="AC852" s="330"/>
      <c r="AD852" s="343"/>
      <c r="AE852" s="249"/>
      <c r="AF852" s="330"/>
      <c r="AG852" s="343"/>
      <c r="AH852" s="249"/>
      <c r="AI852" s="330"/>
      <c r="AJ852" s="343"/>
      <c r="AK852" s="249"/>
      <c r="AL852" s="330"/>
      <c r="AM852" s="343"/>
      <c r="AN852" s="249"/>
      <c r="AO852" s="330"/>
      <c r="AP852" s="343"/>
      <c r="AQ852" s="249"/>
      <c r="AR852" s="330"/>
      <c r="AS852" s="343"/>
      <c r="AT852" s="249"/>
      <c r="AU852" s="330"/>
    </row>
    <row r="853" spans="2:47">
      <c r="B853" s="247">
        <f>'Table S2 Compound Identifiers'!C855</f>
        <v>0</v>
      </c>
      <c r="C853" s="247">
        <f>COUNTIF($D$6:D853,"&lt;&gt;"&amp;"")</f>
        <v>848</v>
      </c>
      <c r="D853" s="247">
        <f>'Table S2 Compound Identifiers'!B855</f>
        <v>0</v>
      </c>
      <c r="E853" s="247"/>
      <c r="F853" s="248"/>
      <c r="G853" s="249"/>
      <c r="H853" s="330"/>
      <c r="I853" s="328"/>
      <c r="J853" s="249"/>
      <c r="K853" s="330"/>
      <c r="L853" s="250"/>
      <c r="M853" s="249"/>
      <c r="N853" s="330"/>
      <c r="O853" s="250"/>
      <c r="P853" s="249"/>
      <c r="Q853" s="330"/>
      <c r="R853" s="250"/>
      <c r="S853" s="249"/>
      <c r="T853" s="330"/>
      <c r="U853" s="250"/>
      <c r="V853" s="249"/>
      <c r="W853" s="330"/>
      <c r="X853" s="343"/>
      <c r="Y853" s="249"/>
      <c r="Z853" s="330"/>
      <c r="AA853" s="343"/>
      <c r="AB853" s="249"/>
      <c r="AC853" s="330"/>
      <c r="AD853" s="343"/>
      <c r="AE853" s="249"/>
      <c r="AF853" s="330"/>
      <c r="AG853" s="343"/>
      <c r="AH853" s="249"/>
      <c r="AI853" s="330"/>
      <c r="AJ853" s="343"/>
      <c r="AK853" s="249"/>
      <c r="AL853" s="330"/>
      <c r="AM853" s="343"/>
      <c r="AN853" s="249"/>
      <c r="AO853" s="330"/>
      <c r="AP853" s="343"/>
      <c r="AQ853" s="249"/>
      <c r="AR853" s="330"/>
      <c r="AS853" s="343"/>
      <c r="AT853" s="249"/>
      <c r="AU853" s="330"/>
    </row>
    <row r="854" spans="2:47">
      <c r="B854" s="247">
        <f>'Table S2 Compound Identifiers'!C856</f>
        <v>0</v>
      </c>
      <c r="C854" s="247">
        <f>COUNTIF($D$6:D854,"&lt;&gt;"&amp;"")</f>
        <v>849</v>
      </c>
      <c r="D854" s="247">
        <f>'Table S2 Compound Identifiers'!B856</f>
        <v>0</v>
      </c>
      <c r="E854" s="247"/>
      <c r="F854" s="248"/>
      <c r="G854" s="249"/>
      <c r="H854" s="330"/>
      <c r="I854" s="328"/>
      <c r="J854" s="249"/>
      <c r="K854" s="330"/>
      <c r="L854" s="250"/>
      <c r="M854" s="249"/>
      <c r="N854" s="330"/>
      <c r="O854" s="250"/>
      <c r="P854" s="249"/>
      <c r="Q854" s="330"/>
      <c r="R854" s="250"/>
      <c r="S854" s="249"/>
      <c r="T854" s="330"/>
      <c r="U854" s="250"/>
      <c r="V854" s="249"/>
      <c r="W854" s="330"/>
      <c r="X854" s="343"/>
      <c r="Y854" s="249"/>
      <c r="Z854" s="330"/>
      <c r="AA854" s="343"/>
      <c r="AB854" s="249"/>
      <c r="AC854" s="330"/>
      <c r="AD854" s="343"/>
      <c r="AE854" s="249"/>
      <c r="AF854" s="330"/>
      <c r="AG854" s="343"/>
      <c r="AH854" s="249"/>
      <c r="AI854" s="330"/>
      <c r="AJ854" s="343"/>
      <c r="AK854" s="249"/>
      <c r="AL854" s="330"/>
      <c r="AM854" s="343"/>
      <c r="AN854" s="249"/>
      <c r="AO854" s="330"/>
      <c r="AP854" s="343"/>
      <c r="AQ854" s="249"/>
      <c r="AR854" s="330"/>
      <c r="AS854" s="343"/>
      <c r="AT854" s="249"/>
      <c r="AU854" s="330"/>
    </row>
    <row r="855" spans="2:47">
      <c r="B855" s="247">
        <f>'Table S2 Compound Identifiers'!C857</f>
        <v>0</v>
      </c>
      <c r="C855" s="247">
        <f>COUNTIF($D$6:D855,"&lt;&gt;"&amp;"")</f>
        <v>850</v>
      </c>
      <c r="D855" s="247">
        <f>'Table S2 Compound Identifiers'!B857</f>
        <v>0</v>
      </c>
      <c r="E855" s="247"/>
      <c r="F855" s="248"/>
      <c r="G855" s="249"/>
      <c r="H855" s="330"/>
      <c r="I855" s="328"/>
      <c r="J855" s="249"/>
      <c r="K855" s="330"/>
      <c r="L855" s="250"/>
      <c r="M855" s="249"/>
      <c r="N855" s="330"/>
      <c r="O855" s="250"/>
      <c r="P855" s="249"/>
      <c r="Q855" s="330"/>
      <c r="R855" s="250"/>
      <c r="S855" s="249"/>
      <c r="T855" s="330"/>
      <c r="U855" s="250"/>
      <c r="V855" s="249"/>
      <c r="W855" s="330"/>
      <c r="X855" s="343"/>
      <c r="Y855" s="249"/>
      <c r="Z855" s="330"/>
      <c r="AA855" s="343"/>
      <c r="AB855" s="249"/>
      <c r="AC855" s="330"/>
      <c r="AD855" s="343"/>
      <c r="AE855" s="249"/>
      <c r="AF855" s="330"/>
      <c r="AG855" s="343"/>
      <c r="AH855" s="249"/>
      <c r="AI855" s="330"/>
      <c r="AJ855" s="343"/>
      <c r="AK855" s="249"/>
      <c r="AL855" s="330"/>
      <c r="AM855" s="343"/>
      <c r="AN855" s="249"/>
      <c r="AO855" s="330"/>
      <c r="AP855" s="343"/>
      <c r="AQ855" s="249"/>
      <c r="AR855" s="330"/>
      <c r="AS855" s="343"/>
      <c r="AT855" s="249"/>
      <c r="AU855" s="330"/>
    </row>
    <row r="856" spans="2:47">
      <c r="B856" s="247">
        <f>'Table S2 Compound Identifiers'!C858</f>
        <v>0</v>
      </c>
      <c r="C856" s="247">
        <f>COUNTIF($D$6:D856,"&lt;&gt;"&amp;"")</f>
        <v>851</v>
      </c>
      <c r="D856" s="247">
        <f>'Table S2 Compound Identifiers'!B858</f>
        <v>0</v>
      </c>
      <c r="E856" s="247"/>
      <c r="F856" s="248"/>
      <c r="G856" s="249"/>
      <c r="H856" s="330"/>
      <c r="I856" s="328"/>
      <c r="J856" s="249"/>
      <c r="K856" s="330"/>
      <c r="L856" s="250"/>
      <c r="M856" s="249"/>
      <c r="N856" s="330"/>
      <c r="O856" s="250"/>
      <c r="P856" s="249"/>
      <c r="Q856" s="330"/>
      <c r="R856" s="250"/>
      <c r="S856" s="249"/>
      <c r="T856" s="330"/>
      <c r="U856" s="250"/>
      <c r="V856" s="249"/>
      <c r="W856" s="330"/>
      <c r="X856" s="343"/>
      <c r="Y856" s="249"/>
      <c r="Z856" s="330"/>
      <c r="AA856" s="343"/>
      <c r="AB856" s="249"/>
      <c r="AC856" s="330"/>
      <c r="AD856" s="343"/>
      <c r="AE856" s="249"/>
      <c r="AF856" s="330"/>
      <c r="AG856" s="343"/>
      <c r="AH856" s="249"/>
      <c r="AI856" s="330"/>
      <c r="AJ856" s="343"/>
      <c r="AK856" s="249"/>
      <c r="AL856" s="330"/>
      <c r="AM856" s="343"/>
      <c r="AN856" s="249"/>
      <c r="AO856" s="330"/>
      <c r="AP856" s="343"/>
      <c r="AQ856" s="249"/>
      <c r="AR856" s="330"/>
      <c r="AS856" s="343"/>
      <c r="AT856" s="249"/>
      <c r="AU856" s="330"/>
    </row>
    <row r="857" spans="2:47">
      <c r="B857" s="247">
        <f>'Table S2 Compound Identifiers'!C859</f>
        <v>0</v>
      </c>
      <c r="C857" s="247">
        <f>COUNTIF($D$6:D857,"&lt;&gt;"&amp;"")</f>
        <v>852</v>
      </c>
      <c r="D857" s="247">
        <f>'Table S2 Compound Identifiers'!B859</f>
        <v>0</v>
      </c>
      <c r="E857" s="247"/>
      <c r="F857" s="248"/>
      <c r="G857" s="249"/>
      <c r="H857" s="330"/>
      <c r="I857" s="328"/>
      <c r="J857" s="249"/>
      <c r="K857" s="330"/>
      <c r="L857" s="250"/>
      <c r="M857" s="249"/>
      <c r="N857" s="330"/>
      <c r="O857" s="250"/>
      <c r="P857" s="249"/>
      <c r="Q857" s="330"/>
      <c r="R857" s="250"/>
      <c r="S857" s="249"/>
      <c r="T857" s="330"/>
      <c r="U857" s="250"/>
      <c r="V857" s="249"/>
      <c r="W857" s="330"/>
      <c r="X857" s="343"/>
      <c r="Y857" s="249"/>
      <c r="Z857" s="330"/>
      <c r="AA857" s="343"/>
      <c r="AB857" s="249"/>
      <c r="AC857" s="330"/>
      <c r="AD857" s="343"/>
      <c r="AE857" s="249"/>
      <c r="AF857" s="330"/>
      <c r="AG857" s="343"/>
      <c r="AH857" s="249"/>
      <c r="AI857" s="330"/>
      <c r="AJ857" s="343"/>
      <c r="AK857" s="249"/>
      <c r="AL857" s="330"/>
      <c r="AM857" s="343"/>
      <c r="AN857" s="249"/>
      <c r="AO857" s="330"/>
      <c r="AP857" s="343"/>
      <c r="AQ857" s="249"/>
      <c r="AR857" s="330"/>
      <c r="AS857" s="343"/>
      <c r="AT857" s="249"/>
      <c r="AU857" s="330"/>
    </row>
    <row r="858" spans="2:47">
      <c r="B858" s="247">
        <f>'Table S2 Compound Identifiers'!C860</f>
        <v>0</v>
      </c>
      <c r="C858" s="247">
        <f>COUNTIF($D$6:D858,"&lt;&gt;"&amp;"")</f>
        <v>853</v>
      </c>
      <c r="D858" s="247">
        <f>'Table S2 Compound Identifiers'!B860</f>
        <v>0</v>
      </c>
      <c r="E858" s="247"/>
      <c r="F858" s="248"/>
      <c r="G858" s="249"/>
      <c r="H858" s="330"/>
      <c r="I858" s="328"/>
      <c r="J858" s="249"/>
      <c r="K858" s="330"/>
      <c r="L858" s="250"/>
      <c r="M858" s="249"/>
      <c r="N858" s="330"/>
      <c r="O858" s="250"/>
      <c r="P858" s="249"/>
      <c r="Q858" s="330"/>
      <c r="R858" s="250"/>
      <c r="S858" s="249"/>
      <c r="T858" s="330"/>
      <c r="U858" s="250"/>
      <c r="V858" s="249"/>
      <c r="W858" s="330"/>
      <c r="X858" s="343"/>
      <c r="Y858" s="249"/>
      <c r="Z858" s="330"/>
      <c r="AA858" s="343"/>
      <c r="AB858" s="249"/>
      <c r="AC858" s="330"/>
      <c r="AD858" s="343"/>
      <c r="AE858" s="249"/>
      <c r="AF858" s="330"/>
      <c r="AG858" s="343"/>
      <c r="AH858" s="249"/>
      <c r="AI858" s="330"/>
      <c r="AJ858" s="343"/>
      <c r="AK858" s="249"/>
      <c r="AL858" s="330"/>
      <c r="AM858" s="343"/>
      <c r="AN858" s="249"/>
      <c r="AO858" s="330"/>
      <c r="AP858" s="343"/>
      <c r="AQ858" s="249"/>
      <c r="AR858" s="330"/>
      <c r="AS858" s="343"/>
      <c r="AT858" s="249"/>
      <c r="AU858" s="330"/>
    </row>
    <row r="859" spans="2:47">
      <c r="B859" s="247">
        <f>'Table S2 Compound Identifiers'!C861</f>
        <v>0</v>
      </c>
      <c r="C859" s="247">
        <f>COUNTIF($D$6:D859,"&lt;&gt;"&amp;"")</f>
        <v>854</v>
      </c>
      <c r="D859" s="247">
        <f>'Table S2 Compound Identifiers'!B861</f>
        <v>0</v>
      </c>
      <c r="E859" s="247"/>
      <c r="F859" s="248"/>
      <c r="G859" s="249"/>
      <c r="H859" s="330"/>
      <c r="I859" s="328"/>
      <c r="J859" s="249"/>
      <c r="K859" s="330"/>
      <c r="L859" s="250"/>
      <c r="M859" s="249"/>
      <c r="N859" s="330"/>
      <c r="O859" s="250"/>
      <c r="P859" s="249"/>
      <c r="Q859" s="330"/>
      <c r="R859" s="250"/>
      <c r="S859" s="249"/>
      <c r="T859" s="330"/>
      <c r="U859" s="250"/>
      <c r="V859" s="249"/>
      <c r="W859" s="330"/>
      <c r="X859" s="343"/>
      <c r="Y859" s="249"/>
      <c r="Z859" s="330"/>
      <c r="AA859" s="343"/>
      <c r="AB859" s="249"/>
      <c r="AC859" s="330"/>
      <c r="AD859" s="343"/>
      <c r="AE859" s="249"/>
      <c r="AF859" s="330"/>
      <c r="AG859" s="343"/>
      <c r="AH859" s="249"/>
      <c r="AI859" s="330"/>
      <c r="AJ859" s="343"/>
      <c r="AK859" s="249"/>
      <c r="AL859" s="330"/>
      <c r="AM859" s="343"/>
      <c r="AN859" s="249"/>
      <c r="AO859" s="330"/>
      <c r="AP859" s="343"/>
      <c r="AQ859" s="249"/>
      <c r="AR859" s="330"/>
      <c r="AS859" s="343"/>
      <c r="AT859" s="249"/>
      <c r="AU859" s="330"/>
    </row>
    <row r="860" spans="2:47">
      <c r="B860" s="247">
        <f>'Table S2 Compound Identifiers'!C862</f>
        <v>0</v>
      </c>
      <c r="C860" s="247">
        <f>COUNTIF($D$6:D860,"&lt;&gt;"&amp;"")</f>
        <v>855</v>
      </c>
      <c r="D860" s="247">
        <f>'Table S2 Compound Identifiers'!B862</f>
        <v>0</v>
      </c>
      <c r="E860" s="247"/>
      <c r="F860" s="248"/>
      <c r="G860" s="249"/>
      <c r="H860" s="330"/>
      <c r="I860" s="328"/>
      <c r="J860" s="249"/>
      <c r="K860" s="330"/>
      <c r="L860" s="250"/>
      <c r="M860" s="249"/>
      <c r="N860" s="330"/>
      <c r="O860" s="250"/>
      <c r="P860" s="249"/>
      <c r="Q860" s="330"/>
      <c r="R860" s="250"/>
      <c r="S860" s="249"/>
      <c r="T860" s="330"/>
      <c r="U860" s="250"/>
      <c r="V860" s="249"/>
      <c r="W860" s="330"/>
      <c r="X860" s="343"/>
      <c r="Y860" s="249"/>
      <c r="Z860" s="330"/>
      <c r="AA860" s="343"/>
      <c r="AB860" s="249"/>
      <c r="AC860" s="330"/>
      <c r="AD860" s="343"/>
      <c r="AE860" s="249"/>
      <c r="AF860" s="330"/>
      <c r="AG860" s="343"/>
      <c r="AH860" s="249"/>
      <c r="AI860" s="330"/>
      <c r="AJ860" s="343"/>
      <c r="AK860" s="249"/>
      <c r="AL860" s="330"/>
      <c r="AM860" s="343"/>
      <c r="AN860" s="249"/>
      <c r="AO860" s="330"/>
      <c r="AP860" s="343"/>
      <c r="AQ860" s="249"/>
      <c r="AR860" s="330"/>
      <c r="AS860" s="343"/>
      <c r="AT860" s="249"/>
      <c r="AU860" s="330"/>
    </row>
    <row r="861" spans="2:47">
      <c r="B861" s="247">
        <f>'Table S2 Compound Identifiers'!C863</f>
        <v>0</v>
      </c>
      <c r="C861" s="247">
        <f>COUNTIF($D$6:D861,"&lt;&gt;"&amp;"")</f>
        <v>856</v>
      </c>
      <c r="D861" s="247">
        <f>'Table S2 Compound Identifiers'!B863</f>
        <v>0</v>
      </c>
      <c r="E861" s="247"/>
      <c r="F861" s="248"/>
      <c r="G861" s="249"/>
      <c r="H861" s="330"/>
      <c r="I861" s="328"/>
      <c r="J861" s="249"/>
      <c r="K861" s="330"/>
      <c r="L861" s="250"/>
      <c r="M861" s="249"/>
      <c r="N861" s="330"/>
      <c r="O861" s="250"/>
      <c r="P861" s="249"/>
      <c r="Q861" s="330"/>
      <c r="R861" s="250"/>
      <c r="S861" s="249"/>
      <c r="T861" s="330"/>
      <c r="U861" s="250"/>
      <c r="V861" s="249"/>
      <c r="W861" s="330"/>
      <c r="X861" s="343"/>
      <c r="Y861" s="249"/>
      <c r="Z861" s="330"/>
      <c r="AA861" s="343"/>
      <c r="AB861" s="249"/>
      <c r="AC861" s="330"/>
      <c r="AD861" s="343"/>
      <c r="AE861" s="249"/>
      <c r="AF861" s="330"/>
      <c r="AG861" s="343"/>
      <c r="AH861" s="249"/>
      <c r="AI861" s="330"/>
      <c r="AJ861" s="343"/>
      <c r="AK861" s="249"/>
      <c r="AL861" s="330"/>
      <c r="AM861" s="343"/>
      <c r="AN861" s="249"/>
      <c r="AO861" s="330"/>
      <c r="AP861" s="343"/>
      <c r="AQ861" s="249"/>
      <c r="AR861" s="330"/>
      <c r="AS861" s="343"/>
      <c r="AT861" s="249"/>
      <c r="AU861" s="330"/>
    </row>
    <row r="862" spans="2:47">
      <c r="B862" s="247">
        <f>'Table S2 Compound Identifiers'!C864</f>
        <v>0</v>
      </c>
      <c r="C862" s="247">
        <f>COUNTIF($D$6:D862,"&lt;&gt;"&amp;"")</f>
        <v>857</v>
      </c>
      <c r="D862" s="247">
        <f>'Table S2 Compound Identifiers'!B864</f>
        <v>0</v>
      </c>
      <c r="E862" s="247"/>
      <c r="F862" s="248"/>
      <c r="G862" s="249"/>
      <c r="H862" s="330"/>
      <c r="I862" s="328"/>
      <c r="J862" s="249"/>
      <c r="K862" s="330"/>
      <c r="L862" s="250"/>
      <c r="M862" s="249"/>
      <c r="N862" s="330"/>
      <c r="O862" s="250"/>
      <c r="P862" s="249"/>
      <c r="Q862" s="330"/>
      <c r="R862" s="250"/>
      <c r="S862" s="249"/>
      <c r="T862" s="330"/>
      <c r="U862" s="250"/>
      <c r="V862" s="249"/>
      <c r="W862" s="330"/>
      <c r="X862" s="343"/>
      <c r="Y862" s="249"/>
      <c r="Z862" s="330"/>
      <c r="AA862" s="343"/>
      <c r="AB862" s="249"/>
      <c r="AC862" s="330"/>
      <c r="AD862" s="343"/>
      <c r="AE862" s="249"/>
      <c r="AF862" s="330"/>
      <c r="AG862" s="343"/>
      <c r="AH862" s="249"/>
      <c r="AI862" s="330"/>
      <c r="AJ862" s="343"/>
      <c r="AK862" s="249"/>
      <c r="AL862" s="330"/>
      <c r="AM862" s="343"/>
      <c r="AN862" s="249"/>
      <c r="AO862" s="330"/>
      <c r="AP862" s="343"/>
      <c r="AQ862" s="249"/>
      <c r="AR862" s="330"/>
      <c r="AS862" s="343"/>
      <c r="AT862" s="249"/>
      <c r="AU862" s="330"/>
    </row>
    <row r="863" spans="2:47">
      <c r="B863" s="247">
        <f>'Table S2 Compound Identifiers'!C865</f>
        <v>0</v>
      </c>
      <c r="C863" s="247">
        <f>COUNTIF($D$6:D863,"&lt;&gt;"&amp;"")</f>
        <v>858</v>
      </c>
      <c r="D863" s="247">
        <f>'Table S2 Compound Identifiers'!B865</f>
        <v>0</v>
      </c>
      <c r="E863" s="247"/>
      <c r="F863" s="248"/>
      <c r="G863" s="249"/>
      <c r="H863" s="330"/>
      <c r="I863" s="328"/>
      <c r="J863" s="249"/>
      <c r="K863" s="330"/>
      <c r="L863" s="250"/>
      <c r="M863" s="249"/>
      <c r="N863" s="330"/>
      <c r="O863" s="250"/>
      <c r="P863" s="249"/>
      <c r="Q863" s="330"/>
      <c r="R863" s="250"/>
      <c r="S863" s="249"/>
      <c r="T863" s="330"/>
      <c r="U863" s="250"/>
      <c r="V863" s="249"/>
      <c r="W863" s="330"/>
      <c r="X863" s="343"/>
      <c r="Y863" s="249"/>
      <c r="Z863" s="330"/>
      <c r="AA863" s="343"/>
      <c r="AB863" s="249"/>
      <c r="AC863" s="330"/>
      <c r="AD863" s="343"/>
      <c r="AE863" s="249"/>
      <c r="AF863" s="330"/>
      <c r="AG863" s="343"/>
      <c r="AH863" s="249"/>
      <c r="AI863" s="330"/>
      <c r="AJ863" s="343"/>
      <c r="AK863" s="249"/>
      <c r="AL863" s="330"/>
      <c r="AM863" s="343"/>
      <c r="AN863" s="249"/>
      <c r="AO863" s="330"/>
      <c r="AP863" s="343"/>
      <c r="AQ863" s="249"/>
      <c r="AR863" s="330"/>
      <c r="AS863" s="343"/>
      <c r="AT863" s="249"/>
      <c r="AU863" s="330"/>
    </row>
    <row r="864" spans="2:47">
      <c r="B864" s="247">
        <f>'Table S2 Compound Identifiers'!C866</f>
        <v>0</v>
      </c>
      <c r="C864" s="247">
        <f>COUNTIF($D$6:D864,"&lt;&gt;"&amp;"")</f>
        <v>859</v>
      </c>
      <c r="D864" s="247">
        <f>'Table S2 Compound Identifiers'!B866</f>
        <v>0</v>
      </c>
      <c r="E864" s="247"/>
      <c r="F864" s="248"/>
      <c r="G864" s="249"/>
      <c r="H864" s="330"/>
      <c r="I864" s="328"/>
      <c r="J864" s="249"/>
      <c r="K864" s="330"/>
      <c r="L864" s="250"/>
      <c r="M864" s="249"/>
      <c r="N864" s="330"/>
      <c r="O864" s="250"/>
      <c r="P864" s="249"/>
      <c r="Q864" s="330"/>
      <c r="R864" s="250"/>
      <c r="S864" s="249"/>
      <c r="T864" s="330"/>
      <c r="U864" s="250"/>
      <c r="V864" s="249"/>
      <c r="W864" s="330"/>
      <c r="X864" s="343"/>
      <c r="Y864" s="249"/>
      <c r="Z864" s="330"/>
      <c r="AA864" s="343"/>
      <c r="AB864" s="249"/>
      <c r="AC864" s="330"/>
      <c r="AD864" s="343"/>
      <c r="AE864" s="249"/>
      <c r="AF864" s="330"/>
      <c r="AG864" s="343"/>
      <c r="AH864" s="249"/>
      <c r="AI864" s="330"/>
      <c r="AJ864" s="343"/>
      <c r="AK864" s="249"/>
      <c r="AL864" s="330"/>
      <c r="AM864" s="343"/>
      <c r="AN864" s="249"/>
      <c r="AO864" s="330"/>
      <c r="AP864" s="343"/>
      <c r="AQ864" s="249"/>
      <c r="AR864" s="330"/>
      <c r="AS864" s="343"/>
      <c r="AT864" s="249"/>
      <c r="AU864" s="330"/>
    </row>
    <row r="865" spans="2:47">
      <c r="B865" s="247">
        <f>'Table S2 Compound Identifiers'!C867</f>
        <v>0</v>
      </c>
      <c r="C865" s="247">
        <f>COUNTIF($D$6:D865,"&lt;&gt;"&amp;"")</f>
        <v>860</v>
      </c>
      <c r="D865" s="247">
        <f>'Table S2 Compound Identifiers'!B867</f>
        <v>0</v>
      </c>
      <c r="E865" s="247"/>
      <c r="F865" s="248"/>
      <c r="G865" s="249"/>
      <c r="H865" s="330"/>
      <c r="I865" s="328"/>
      <c r="J865" s="249"/>
      <c r="K865" s="330"/>
      <c r="L865" s="250"/>
      <c r="M865" s="249"/>
      <c r="N865" s="330"/>
      <c r="O865" s="250"/>
      <c r="P865" s="249"/>
      <c r="Q865" s="330"/>
      <c r="R865" s="250"/>
      <c r="S865" s="249"/>
      <c r="T865" s="330"/>
      <c r="U865" s="250"/>
      <c r="V865" s="249"/>
      <c r="W865" s="330"/>
      <c r="X865" s="343"/>
      <c r="Y865" s="249"/>
      <c r="Z865" s="330"/>
      <c r="AA865" s="343"/>
      <c r="AB865" s="249"/>
      <c r="AC865" s="330"/>
      <c r="AD865" s="343"/>
      <c r="AE865" s="249"/>
      <c r="AF865" s="330"/>
      <c r="AG865" s="343"/>
      <c r="AH865" s="249"/>
      <c r="AI865" s="330"/>
      <c r="AJ865" s="343"/>
      <c r="AK865" s="249"/>
      <c r="AL865" s="330"/>
      <c r="AM865" s="343"/>
      <c r="AN865" s="249"/>
      <c r="AO865" s="330"/>
      <c r="AP865" s="343"/>
      <c r="AQ865" s="249"/>
      <c r="AR865" s="330"/>
      <c r="AS865" s="343"/>
      <c r="AT865" s="249"/>
      <c r="AU865" s="330"/>
    </row>
    <row r="866" spans="2:47">
      <c r="B866" s="247">
        <f>'Table S2 Compound Identifiers'!C868</f>
        <v>0</v>
      </c>
      <c r="C866" s="247">
        <f>COUNTIF($D$6:D866,"&lt;&gt;"&amp;"")</f>
        <v>861</v>
      </c>
      <c r="D866" s="247">
        <f>'Table S2 Compound Identifiers'!B868</f>
        <v>0</v>
      </c>
      <c r="E866" s="247"/>
      <c r="F866" s="248"/>
      <c r="G866" s="249"/>
      <c r="H866" s="330"/>
      <c r="I866" s="328"/>
      <c r="J866" s="249"/>
      <c r="K866" s="330"/>
      <c r="L866" s="250"/>
      <c r="M866" s="249"/>
      <c r="N866" s="330"/>
      <c r="O866" s="250"/>
      <c r="P866" s="249"/>
      <c r="Q866" s="330"/>
      <c r="R866" s="250"/>
      <c r="S866" s="249"/>
      <c r="T866" s="330"/>
      <c r="U866" s="250"/>
      <c r="V866" s="249"/>
      <c r="W866" s="330"/>
      <c r="X866" s="343"/>
      <c r="Y866" s="249"/>
      <c r="Z866" s="330"/>
      <c r="AA866" s="343"/>
      <c r="AB866" s="249"/>
      <c r="AC866" s="330"/>
      <c r="AD866" s="343"/>
      <c r="AE866" s="249"/>
      <c r="AF866" s="330"/>
      <c r="AG866" s="343"/>
      <c r="AH866" s="249"/>
      <c r="AI866" s="330"/>
      <c r="AJ866" s="343"/>
      <c r="AK866" s="249"/>
      <c r="AL866" s="330"/>
      <c r="AM866" s="343"/>
      <c r="AN866" s="249"/>
      <c r="AO866" s="330"/>
      <c r="AP866" s="343"/>
      <c r="AQ866" s="249"/>
      <c r="AR866" s="330"/>
      <c r="AS866" s="343"/>
      <c r="AT866" s="249"/>
      <c r="AU866" s="330"/>
    </row>
    <row r="867" spans="2:47">
      <c r="B867" s="247">
        <f>'Table S2 Compound Identifiers'!C869</f>
        <v>0</v>
      </c>
      <c r="C867" s="247">
        <f>COUNTIF($D$6:D867,"&lt;&gt;"&amp;"")</f>
        <v>862</v>
      </c>
      <c r="D867" s="247">
        <f>'Table S2 Compound Identifiers'!B869</f>
        <v>0</v>
      </c>
      <c r="E867" s="247"/>
      <c r="F867" s="248"/>
      <c r="G867" s="249"/>
      <c r="H867" s="330"/>
      <c r="I867" s="328"/>
      <c r="J867" s="249"/>
      <c r="K867" s="330"/>
      <c r="L867" s="250"/>
      <c r="M867" s="249"/>
      <c r="N867" s="330"/>
      <c r="O867" s="250"/>
      <c r="P867" s="249"/>
      <c r="Q867" s="330"/>
      <c r="R867" s="250"/>
      <c r="S867" s="249"/>
      <c r="T867" s="330"/>
      <c r="U867" s="250"/>
      <c r="V867" s="249"/>
      <c r="W867" s="330"/>
      <c r="X867" s="343"/>
      <c r="Y867" s="249"/>
      <c r="Z867" s="330"/>
      <c r="AA867" s="343"/>
      <c r="AB867" s="249"/>
      <c r="AC867" s="330"/>
      <c r="AD867" s="343"/>
      <c r="AE867" s="249"/>
      <c r="AF867" s="330"/>
      <c r="AG867" s="343"/>
      <c r="AH867" s="249"/>
      <c r="AI867" s="330"/>
      <c r="AJ867" s="343"/>
      <c r="AK867" s="249"/>
      <c r="AL867" s="330"/>
      <c r="AM867" s="343"/>
      <c r="AN867" s="249"/>
      <c r="AO867" s="330"/>
      <c r="AP867" s="343"/>
      <c r="AQ867" s="249"/>
      <c r="AR867" s="330"/>
      <c r="AS867" s="343"/>
      <c r="AT867" s="249"/>
      <c r="AU867" s="330"/>
    </row>
    <row r="868" spans="2:47">
      <c r="B868" s="247">
        <f>'Table S2 Compound Identifiers'!C870</f>
        <v>0</v>
      </c>
      <c r="C868" s="247">
        <f>COUNTIF($D$6:D868,"&lt;&gt;"&amp;"")</f>
        <v>863</v>
      </c>
      <c r="D868" s="247">
        <f>'Table S2 Compound Identifiers'!B870</f>
        <v>0</v>
      </c>
      <c r="E868" s="247"/>
      <c r="F868" s="248"/>
      <c r="G868" s="249"/>
      <c r="H868" s="330"/>
      <c r="I868" s="328"/>
      <c r="J868" s="249"/>
      <c r="K868" s="330"/>
      <c r="L868" s="250"/>
      <c r="M868" s="249"/>
      <c r="N868" s="330"/>
      <c r="O868" s="250"/>
      <c r="P868" s="249"/>
      <c r="Q868" s="330"/>
      <c r="R868" s="250"/>
      <c r="S868" s="249"/>
      <c r="T868" s="330"/>
      <c r="U868" s="250"/>
      <c r="V868" s="249"/>
      <c r="W868" s="330"/>
      <c r="X868" s="343"/>
      <c r="Y868" s="249"/>
      <c r="Z868" s="330"/>
      <c r="AA868" s="343"/>
      <c r="AB868" s="249"/>
      <c r="AC868" s="330"/>
      <c r="AD868" s="343"/>
      <c r="AE868" s="249"/>
      <c r="AF868" s="330"/>
      <c r="AG868" s="343"/>
      <c r="AH868" s="249"/>
      <c r="AI868" s="330"/>
      <c r="AJ868" s="343"/>
      <c r="AK868" s="249"/>
      <c r="AL868" s="330"/>
      <c r="AM868" s="343"/>
      <c r="AN868" s="249"/>
      <c r="AO868" s="330"/>
      <c r="AP868" s="343"/>
      <c r="AQ868" s="249"/>
      <c r="AR868" s="330"/>
      <c r="AS868" s="343"/>
      <c r="AT868" s="249"/>
      <c r="AU868" s="330"/>
    </row>
    <row r="869" spans="2:47">
      <c r="B869" s="247">
        <f>'Table S2 Compound Identifiers'!C871</f>
        <v>0</v>
      </c>
      <c r="C869" s="247">
        <f>COUNTIF($D$6:D869,"&lt;&gt;"&amp;"")</f>
        <v>864</v>
      </c>
      <c r="D869" s="247">
        <f>'Table S2 Compound Identifiers'!B871</f>
        <v>0</v>
      </c>
      <c r="E869" s="247"/>
      <c r="F869" s="248"/>
      <c r="G869" s="249"/>
      <c r="H869" s="330"/>
      <c r="I869" s="328"/>
      <c r="J869" s="249"/>
      <c r="K869" s="330"/>
      <c r="L869" s="250"/>
      <c r="M869" s="249"/>
      <c r="N869" s="330"/>
      <c r="O869" s="250"/>
      <c r="P869" s="249"/>
      <c r="Q869" s="330"/>
      <c r="R869" s="250"/>
      <c r="S869" s="249"/>
      <c r="T869" s="330"/>
      <c r="U869" s="250"/>
      <c r="V869" s="249"/>
      <c r="W869" s="330"/>
      <c r="X869" s="343"/>
      <c r="Y869" s="249"/>
      <c r="Z869" s="330"/>
      <c r="AA869" s="343"/>
      <c r="AB869" s="249"/>
      <c r="AC869" s="330"/>
      <c r="AD869" s="343"/>
      <c r="AE869" s="249"/>
      <c r="AF869" s="330"/>
      <c r="AG869" s="343"/>
      <c r="AH869" s="249"/>
      <c r="AI869" s="330"/>
      <c r="AJ869" s="343"/>
      <c r="AK869" s="249"/>
      <c r="AL869" s="330"/>
      <c r="AM869" s="343"/>
      <c r="AN869" s="249"/>
      <c r="AO869" s="330"/>
      <c r="AP869" s="343"/>
      <c r="AQ869" s="249"/>
      <c r="AR869" s="330"/>
      <c r="AS869" s="343"/>
      <c r="AT869" s="249"/>
      <c r="AU869" s="330"/>
    </row>
    <row r="870" spans="2:47">
      <c r="B870" s="247">
        <f>'Table S2 Compound Identifiers'!C872</f>
        <v>0</v>
      </c>
      <c r="C870" s="247">
        <f>COUNTIF($D$6:D870,"&lt;&gt;"&amp;"")</f>
        <v>865</v>
      </c>
      <c r="D870" s="247">
        <f>'Table S2 Compound Identifiers'!B872</f>
        <v>0</v>
      </c>
      <c r="E870" s="247"/>
      <c r="F870" s="248"/>
      <c r="G870" s="249"/>
      <c r="H870" s="330"/>
      <c r="I870" s="328"/>
      <c r="J870" s="249"/>
      <c r="K870" s="330"/>
      <c r="L870" s="250"/>
      <c r="M870" s="249"/>
      <c r="N870" s="330"/>
      <c r="O870" s="250"/>
      <c r="P870" s="249"/>
      <c r="Q870" s="330"/>
      <c r="R870" s="250"/>
      <c r="S870" s="249"/>
      <c r="T870" s="330"/>
      <c r="U870" s="250"/>
      <c r="V870" s="249"/>
      <c r="W870" s="330"/>
      <c r="X870" s="343"/>
      <c r="Y870" s="249"/>
      <c r="Z870" s="330"/>
      <c r="AA870" s="343"/>
      <c r="AB870" s="249"/>
      <c r="AC870" s="330"/>
      <c r="AD870" s="343"/>
      <c r="AE870" s="249"/>
      <c r="AF870" s="330"/>
      <c r="AG870" s="343"/>
      <c r="AH870" s="249"/>
      <c r="AI870" s="330"/>
      <c r="AJ870" s="343"/>
      <c r="AK870" s="249"/>
      <c r="AL870" s="330"/>
      <c r="AM870" s="343"/>
      <c r="AN870" s="249"/>
      <c r="AO870" s="330"/>
      <c r="AP870" s="343"/>
      <c r="AQ870" s="249"/>
      <c r="AR870" s="330"/>
      <c r="AS870" s="343"/>
      <c r="AT870" s="249"/>
      <c r="AU870" s="330"/>
    </row>
    <row r="871" spans="2:47">
      <c r="B871" s="247">
        <f>'Table S2 Compound Identifiers'!C873</f>
        <v>0</v>
      </c>
      <c r="C871" s="247">
        <f>COUNTIF($D$6:D871,"&lt;&gt;"&amp;"")</f>
        <v>866</v>
      </c>
      <c r="D871" s="247">
        <f>'Table S2 Compound Identifiers'!B873</f>
        <v>0</v>
      </c>
      <c r="E871" s="247"/>
      <c r="F871" s="248"/>
      <c r="G871" s="249"/>
      <c r="H871" s="330"/>
      <c r="I871" s="328"/>
      <c r="J871" s="249"/>
      <c r="K871" s="330"/>
      <c r="L871" s="250"/>
      <c r="M871" s="249"/>
      <c r="N871" s="330"/>
      <c r="O871" s="250"/>
      <c r="P871" s="249"/>
      <c r="Q871" s="330"/>
      <c r="R871" s="250"/>
      <c r="S871" s="249"/>
      <c r="T871" s="330"/>
      <c r="U871" s="250"/>
      <c r="V871" s="249"/>
      <c r="W871" s="330"/>
      <c r="X871" s="343"/>
      <c r="Y871" s="249"/>
      <c r="Z871" s="330"/>
      <c r="AA871" s="343"/>
      <c r="AB871" s="249"/>
      <c r="AC871" s="330"/>
      <c r="AD871" s="343"/>
      <c r="AE871" s="249"/>
      <c r="AF871" s="330"/>
      <c r="AG871" s="343"/>
      <c r="AH871" s="249"/>
      <c r="AI871" s="330"/>
      <c r="AJ871" s="343"/>
      <c r="AK871" s="249"/>
      <c r="AL871" s="330"/>
      <c r="AM871" s="343"/>
      <c r="AN871" s="249"/>
      <c r="AO871" s="330"/>
      <c r="AP871" s="343"/>
      <c r="AQ871" s="249"/>
      <c r="AR871" s="330"/>
      <c r="AS871" s="343"/>
      <c r="AT871" s="249"/>
      <c r="AU871" s="330"/>
    </row>
    <row r="872" spans="2:47">
      <c r="B872" s="247">
        <f>'Table S2 Compound Identifiers'!C874</f>
        <v>0</v>
      </c>
      <c r="C872" s="247">
        <f>COUNTIF($D$6:D872,"&lt;&gt;"&amp;"")</f>
        <v>867</v>
      </c>
      <c r="D872" s="247">
        <f>'Table S2 Compound Identifiers'!B874</f>
        <v>0</v>
      </c>
      <c r="E872" s="247"/>
      <c r="F872" s="248"/>
      <c r="G872" s="249"/>
      <c r="H872" s="330"/>
      <c r="I872" s="328"/>
      <c r="J872" s="249"/>
      <c r="K872" s="330"/>
      <c r="L872" s="250"/>
      <c r="M872" s="249"/>
      <c r="N872" s="330"/>
      <c r="O872" s="250"/>
      <c r="P872" s="249"/>
      <c r="Q872" s="330"/>
      <c r="R872" s="250"/>
      <c r="S872" s="249"/>
      <c r="T872" s="330"/>
      <c r="U872" s="250"/>
      <c r="V872" s="249"/>
      <c r="W872" s="330"/>
      <c r="X872" s="343"/>
      <c r="Y872" s="249"/>
      <c r="Z872" s="330"/>
      <c r="AA872" s="343"/>
      <c r="AB872" s="249"/>
      <c r="AC872" s="330"/>
      <c r="AD872" s="343"/>
      <c r="AE872" s="249"/>
      <c r="AF872" s="330"/>
      <c r="AG872" s="343"/>
      <c r="AH872" s="249"/>
      <c r="AI872" s="330"/>
      <c r="AJ872" s="343"/>
      <c r="AK872" s="249"/>
      <c r="AL872" s="330"/>
      <c r="AM872" s="343"/>
      <c r="AN872" s="249"/>
      <c r="AO872" s="330"/>
      <c r="AP872" s="343"/>
      <c r="AQ872" s="249"/>
      <c r="AR872" s="330"/>
      <c r="AS872" s="343"/>
      <c r="AT872" s="249"/>
      <c r="AU872" s="330"/>
    </row>
    <row r="873" spans="2:47">
      <c r="B873" s="247">
        <f>'Table S2 Compound Identifiers'!C875</f>
        <v>0</v>
      </c>
      <c r="C873" s="247">
        <f>COUNTIF($D$6:D873,"&lt;&gt;"&amp;"")</f>
        <v>868</v>
      </c>
      <c r="D873" s="247">
        <f>'Table S2 Compound Identifiers'!B875</f>
        <v>0</v>
      </c>
      <c r="E873" s="247"/>
      <c r="F873" s="248"/>
      <c r="G873" s="249"/>
      <c r="H873" s="330"/>
      <c r="I873" s="328"/>
      <c r="J873" s="249"/>
      <c r="K873" s="330"/>
      <c r="L873" s="250"/>
      <c r="M873" s="249"/>
      <c r="N873" s="330"/>
      <c r="O873" s="250"/>
      <c r="P873" s="249"/>
      <c r="Q873" s="330"/>
      <c r="R873" s="250"/>
      <c r="S873" s="249"/>
      <c r="T873" s="330"/>
      <c r="U873" s="250"/>
      <c r="V873" s="249"/>
      <c r="W873" s="330"/>
      <c r="X873" s="343"/>
      <c r="Y873" s="249"/>
      <c r="Z873" s="330"/>
      <c r="AA873" s="343"/>
      <c r="AB873" s="249"/>
      <c r="AC873" s="330"/>
      <c r="AD873" s="343"/>
      <c r="AE873" s="249"/>
      <c r="AF873" s="330"/>
      <c r="AG873" s="343"/>
      <c r="AH873" s="249"/>
      <c r="AI873" s="330"/>
      <c r="AJ873" s="343"/>
      <c r="AK873" s="249"/>
      <c r="AL873" s="330"/>
      <c r="AM873" s="343"/>
      <c r="AN873" s="249"/>
      <c r="AO873" s="330"/>
      <c r="AP873" s="343"/>
      <c r="AQ873" s="249"/>
      <c r="AR873" s="330"/>
      <c r="AS873" s="343"/>
      <c r="AT873" s="249"/>
      <c r="AU873" s="330"/>
    </row>
    <row r="874" spans="2:47">
      <c r="B874" s="247">
        <f>'Table S2 Compound Identifiers'!C876</f>
        <v>0</v>
      </c>
      <c r="C874" s="247">
        <f>COUNTIF($D$6:D874,"&lt;&gt;"&amp;"")</f>
        <v>869</v>
      </c>
      <c r="D874" s="247">
        <f>'Table S2 Compound Identifiers'!B876</f>
        <v>0</v>
      </c>
      <c r="E874" s="247"/>
      <c r="F874" s="248"/>
      <c r="G874" s="249"/>
      <c r="H874" s="330"/>
      <c r="I874" s="328"/>
      <c r="J874" s="249"/>
      <c r="K874" s="330"/>
      <c r="L874" s="250"/>
      <c r="M874" s="249"/>
      <c r="N874" s="330"/>
      <c r="O874" s="250"/>
      <c r="P874" s="249"/>
      <c r="Q874" s="330"/>
      <c r="R874" s="250"/>
      <c r="S874" s="249"/>
      <c r="T874" s="330"/>
      <c r="U874" s="250"/>
      <c r="V874" s="249"/>
      <c r="W874" s="330"/>
      <c r="X874" s="343"/>
      <c r="Y874" s="249"/>
      <c r="Z874" s="330"/>
      <c r="AA874" s="343"/>
      <c r="AB874" s="249"/>
      <c r="AC874" s="330"/>
      <c r="AD874" s="343"/>
      <c r="AE874" s="249"/>
      <c r="AF874" s="330"/>
      <c r="AG874" s="343"/>
      <c r="AH874" s="249"/>
      <c r="AI874" s="330"/>
      <c r="AJ874" s="343"/>
      <c r="AK874" s="249"/>
      <c r="AL874" s="330"/>
      <c r="AM874" s="343"/>
      <c r="AN874" s="249"/>
      <c r="AO874" s="330"/>
      <c r="AP874" s="343"/>
      <c r="AQ874" s="249"/>
      <c r="AR874" s="330"/>
      <c r="AS874" s="343"/>
      <c r="AT874" s="249"/>
      <c r="AU874" s="330"/>
    </row>
    <row r="875" spans="2:47">
      <c r="B875" s="247">
        <f>'Table S2 Compound Identifiers'!C877</f>
        <v>0</v>
      </c>
      <c r="C875" s="247">
        <f>COUNTIF($D$6:D875,"&lt;&gt;"&amp;"")</f>
        <v>870</v>
      </c>
      <c r="D875" s="247">
        <f>'Table S2 Compound Identifiers'!B877</f>
        <v>0</v>
      </c>
      <c r="E875" s="247"/>
      <c r="F875" s="248"/>
      <c r="G875" s="249"/>
      <c r="H875" s="330"/>
      <c r="I875" s="328"/>
      <c r="J875" s="249"/>
      <c r="K875" s="330"/>
      <c r="L875" s="250"/>
      <c r="M875" s="249"/>
      <c r="N875" s="330"/>
      <c r="O875" s="250"/>
      <c r="P875" s="249"/>
      <c r="Q875" s="330"/>
      <c r="R875" s="250"/>
      <c r="S875" s="249"/>
      <c r="T875" s="330"/>
      <c r="U875" s="250"/>
      <c r="V875" s="249"/>
      <c r="W875" s="330"/>
      <c r="X875" s="343"/>
      <c r="Y875" s="249"/>
      <c r="Z875" s="330"/>
      <c r="AA875" s="343"/>
      <c r="AB875" s="249"/>
      <c r="AC875" s="330"/>
      <c r="AD875" s="343"/>
      <c r="AE875" s="249"/>
      <c r="AF875" s="330"/>
      <c r="AG875" s="343"/>
      <c r="AH875" s="249"/>
      <c r="AI875" s="330"/>
      <c r="AJ875" s="343"/>
      <c r="AK875" s="249"/>
      <c r="AL875" s="330"/>
      <c r="AM875" s="343"/>
      <c r="AN875" s="249"/>
      <c r="AO875" s="330"/>
      <c r="AP875" s="343"/>
      <c r="AQ875" s="249"/>
      <c r="AR875" s="330"/>
      <c r="AS875" s="343"/>
      <c r="AT875" s="249"/>
      <c r="AU875" s="330"/>
    </row>
    <row r="876" spans="2:47">
      <c r="B876" s="247">
        <f>'Table S2 Compound Identifiers'!C878</f>
        <v>0</v>
      </c>
      <c r="C876" s="247">
        <f>COUNTIF($D$6:D876,"&lt;&gt;"&amp;"")</f>
        <v>871</v>
      </c>
      <c r="D876" s="432">
        <f>'Table S2 Compound Identifiers'!B878</f>
        <v>0</v>
      </c>
      <c r="E876" s="247"/>
      <c r="F876" s="248"/>
      <c r="G876" s="249"/>
      <c r="H876" s="330"/>
      <c r="I876" s="328"/>
      <c r="J876" s="249"/>
      <c r="K876" s="330"/>
      <c r="L876" s="250"/>
      <c r="M876" s="249"/>
      <c r="N876" s="330"/>
      <c r="O876" s="250"/>
      <c r="P876" s="249"/>
      <c r="Q876" s="330"/>
      <c r="R876" s="250"/>
      <c r="S876" s="249"/>
      <c r="T876" s="330"/>
      <c r="U876" s="250"/>
      <c r="V876" s="249"/>
      <c r="W876" s="330"/>
      <c r="X876" s="343"/>
      <c r="Y876" s="249"/>
      <c r="Z876" s="330"/>
      <c r="AA876" s="343"/>
      <c r="AB876" s="249"/>
      <c r="AC876" s="330"/>
      <c r="AD876" s="343"/>
      <c r="AE876" s="249"/>
      <c r="AF876" s="330"/>
      <c r="AG876" s="343"/>
      <c r="AH876" s="249"/>
      <c r="AI876" s="330"/>
      <c r="AJ876" s="343"/>
      <c r="AK876" s="249"/>
      <c r="AL876" s="330"/>
      <c r="AM876" s="343"/>
      <c r="AN876" s="249"/>
      <c r="AO876" s="330"/>
      <c r="AP876" s="343"/>
      <c r="AQ876" s="249"/>
      <c r="AR876" s="330"/>
      <c r="AS876" s="343"/>
      <c r="AT876" s="249"/>
      <c r="AU876" s="330"/>
    </row>
    <row r="877" spans="2:47">
      <c r="B877" s="247">
        <f>'Table S2 Compound Identifiers'!C879</f>
        <v>0</v>
      </c>
      <c r="C877" s="247">
        <f>COUNTIF($D$6:D877,"&lt;&gt;"&amp;"")</f>
        <v>872</v>
      </c>
      <c r="D877" s="432">
        <f>'Table S2 Compound Identifiers'!B879</f>
        <v>0</v>
      </c>
      <c r="E877" s="247"/>
      <c r="F877" s="248"/>
      <c r="G877" s="249"/>
      <c r="H877" s="330"/>
      <c r="I877" s="328"/>
      <c r="J877" s="249"/>
      <c r="K877" s="330"/>
      <c r="L877" s="250"/>
      <c r="M877" s="249"/>
      <c r="N877" s="330"/>
      <c r="O877" s="250"/>
      <c r="P877" s="249"/>
      <c r="Q877" s="330"/>
      <c r="R877" s="250"/>
      <c r="S877" s="249"/>
      <c r="T877" s="330"/>
      <c r="U877" s="250"/>
      <c r="V877" s="249"/>
      <c r="W877" s="330"/>
      <c r="X877" s="343"/>
      <c r="Y877" s="249"/>
      <c r="Z877" s="330"/>
      <c r="AA877" s="343"/>
      <c r="AB877" s="249"/>
      <c r="AC877" s="330"/>
      <c r="AD877" s="343"/>
      <c r="AE877" s="249"/>
      <c r="AF877" s="330"/>
      <c r="AG877" s="343"/>
      <c r="AH877" s="249"/>
      <c r="AI877" s="330"/>
      <c r="AJ877" s="343"/>
      <c r="AK877" s="249"/>
      <c r="AL877" s="330"/>
      <c r="AM877" s="343"/>
      <c r="AN877" s="249"/>
      <c r="AO877" s="330"/>
      <c r="AP877" s="343"/>
      <c r="AQ877" s="249"/>
      <c r="AR877" s="330"/>
      <c r="AS877" s="343"/>
      <c r="AT877" s="249"/>
      <c r="AU877" s="330"/>
    </row>
    <row r="878" spans="2:47">
      <c r="B878" s="247">
        <f>'Table S2 Compound Identifiers'!C880</f>
        <v>0</v>
      </c>
      <c r="C878" s="247">
        <f>COUNTIF($D$6:D878,"&lt;&gt;"&amp;"")</f>
        <v>873</v>
      </c>
      <c r="D878" s="432">
        <f>'Table S2 Compound Identifiers'!B880</f>
        <v>0</v>
      </c>
      <c r="E878" s="247"/>
      <c r="F878" s="248"/>
      <c r="G878" s="249"/>
      <c r="H878" s="330"/>
      <c r="I878" s="328"/>
      <c r="J878" s="249"/>
      <c r="K878" s="330"/>
      <c r="L878" s="250"/>
      <c r="M878" s="249"/>
      <c r="N878" s="330"/>
      <c r="O878" s="250"/>
      <c r="P878" s="249"/>
      <c r="Q878" s="330"/>
      <c r="R878" s="250"/>
      <c r="S878" s="249"/>
      <c r="T878" s="330"/>
      <c r="U878" s="250"/>
      <c r="V878" s="249"/>
      <c r="W878" s="330"/>
      <c r="X878" s="343"/>
      <c r="Y878" s="249"/>
      <c r="Z878" s="330"/>
      <c r="AA878" s="343"/>
      <c r="AB878" s="249"/>
      <c r="AC878" s="330"/>
      <c r="AD878" s="343"/>
      <c r="AE878" s="249"/>
      <c r="AF878" s="330"/>
      <c r="AG878" s="343"/>
      <c r="AH878" s="249"/>
      <c r="AI878" s="330"/>
      <c r="AJ878" s="343"/>
      <c r="AK878" s="249"/>
      <c r="AL878" s="330"/>
      <c r="AM878" s="343"/>
      <c r="AN878" s="249"/>
      <c r="AO878" s="330"/>
      <c r="AP878" s="343"/>
      <c r="AQ878" s="249"/>
      <c r="AR878" s="330"/>
      <c r="AS878" s="343"/>
      <c r="AT878" s="249"/>
      <c r="AU878" s="330"/>
    </row>
    <row r="879" spans="2:47">
      <c r="B879" s="247">
        <f>'Table S2 Compound Identifiers'!C881</f>
        <v>0</v>
      </c>
      <c r="C879" s="247">
        <f>COUNTIF($D$6:D879,"&lt;&gt;"&amp;"")</f>
        <v>874</v>
      </c>
      <c r="D879" s="432">
        <f>'Table S2 Compound Identifiers'!B881</f>
        <v>0</v>
      </c>
      <c r="E879" s="247"/>
      <c r="F879" s="248"/>
      <c r="G879" s="249"/>
      <c r="H879" s="330"/>
      <c r="I879" s="328"/>
      <c r="J879" s="249"/>
      <c r="K879" s="330"/>
      <c r="L879" s="250"/>
      <c r="M879" s="249"/>
      <c r="N879" s="330"/>
      <c r="O879" s="250"/>
      <c r="P879" s="249"/>
      <c r="Q879" s="330"/>
      <c r="R879" s="250"/>
      <c r="S879" s="249"/>
      <c r="T879" s="330"/>
      <c r="U879" s="250"/>
      <c r="V879" s="249"/>
      <c r="W879" s="330"/>
      <c r="X879" s="343"/>
      <c r="Y879" s="249"/>
      <c r="Z879" s="330"/>
      <c r="AA879" s="343"/>
      <c r="AB879" s="249"/>
      <c r="AC879" s="330"/>
      <c r="AD879" s="343"/>
      <c r="AE879" s="249"/>
      <c r="AF879" s="330"/>
      <c r="AG879" s="343"/>
      <c r="AH879" s="249"/>
      <c r="AI879" s="330"/>
      <c r="AJ879" s="343"/>
      <c r="AK879" s="249"/>
      <c r="AL879" s="330"/>
      <c r="AM879" s="343"/>
      <c r="AN879" s="249"/>
      <c r="AO879" s="330"/>
      <c r="AP879" s="343"/>
      <c r="AQ879" s="249"/>
      <c r="AR879" s="330"/>
      <c r="AS879" s="343"/>
      <c r="AT879" s="249"/>
      <c r="AU879" s="330"/>
    </row>
    <row r="880" spans="2:47">
      <c r="B880" s="247">
        <f>'Table S2 Compound Identifiers'!C882</f>
        <v>0</v>
      </c>
      <c r="C880" s="247">
        <f>COUNTIF($D$6:D880,"&lt;&gt;"&amp;"")</f>
        <v>875</v>
      </c>
      <c r="D880" s="432">
        <f>'Table S2 Compound Identifiers'!B882</f>
        <v>0</v>
      </c>
      <c r="E880" s="247"/>
      <c r="F880" s="248"/>
      <c r="G880" s="249"/>
      <c r="H880" s="330"/>
      <c r="I880" s="328"/>
      <c r="J880" s="249"/>
      <c r="K880" s="330"/>
      <c r="L880" s="250"/>
      <c r="M880" s="249"/>
      <c r="N880" s="330"/>
      <c r="O880" s="250"/>
      <c r="P880" s="249"/>
      <c r="Q880" s="330"/>
      <c r="R880" s="250"/>
      <c r="S880" s="249"/>
      <c r="T880" s="330"/>
      <c r="U880" s="250"/>
      <c r="V880" s="249"/>
      <c r="W880" s="330"/>
      <c r="X880" s="343"/>
      <c r="Y880" s="249"/>
      <c r="Z880" s="330"/>
      <c r="AA880" s="343"/>
      <c r="AB880" s="249"/>
      <c r="AC880" s="330"/>
      <c r="AD880" s="343"/>
      <c r="AE880" s="249"/>
      <c r="AF880" s="330"/>
      <c r="AG880" s="343"/>
      <c r="AH880" s="249"/>
      <c r="AI880" s="330"/>
      <c r="AJ880" s="343"/>
      <c r="AK880" s="249"/>
      <c r="AL880" s="330"/>
      <c r="AM880" s="343"/>
      <c r="AN880" s="249"/>
      <c r="AO880" s="330"/>
      <c r="AP880" s="343"/>
      <c r="AQ880" s="249"/>
      <c r="AR880" s="330"/>
      <c r="AS880" s="343"/>
      <c r="AT880" s="249"/>
      <c r="AU880" s="330"/>
    </row>
    <row r="881" spans="2:47">
      <c r="B881" s="247">
        <f>'Table S2 Compound Identifiers'!C883</f>
        <v>0</v>
      </c>
      <c r="C881" s="247">
        <f>COUNTIF($D$6:D881,"&lt;&gt;"&amp;"")</f>
        <v>876</v>
      </c>
      <c r="D881" s="432">
        <f>'Table S2 Compound Identifiers'!B883</f>
        <v>0</v>
      </c>
      <c r="E881" s="247"/>
      <c r="F881" s="248"/>
      <c r="G881" s="249"/>
      <c r="H881" s="330"/>
      <c r="I881" s="328"/>
      <c r="J881" s="249"/>
      <c r="K881" s="330"/>
      <c r="L881" s="250"/>
      <c r="M881" s="249"/>
      <c r="N881" s="330"/>
      <c r="O881" s="250"/>
      <c r="P881" s="249"/>
      <c r="Q881" s="330"/>
      <c r="R881" s="250"/>
      <c r="S881" s="249"/>
      <c r="T881" s="330"/>
      <c r="U881" s="250"/>
      <c r="V881" s="249"/>
      <c r="W881" s="330"/>
      <c r="X881" s="343"/>
      <c r="Y881" s="249"/>
      <c r="Z881" s="330"/>
      <c r="AA881" s="343"/>
      <c r="AB881" s="249"/>
      <c r="AC881" s="330"/>
      <c r="AD881" s="343"/>
      <c r="AE881" s="249"/>
      <c r="AF881" s="330"/>
      <c r="AG881" s="343"/>
      <c r="AH881" s="249"/>
      <c r="AI881" s="330"/>
      <c r="AJ881" s="343"/>
      <c r="AK881" s="249"/>
      <c r="AL881" s="330"/>
      <c r="AM881" s="343"/>
      <c r="AN881" s="249"/>
      <c r="AO881" s="330"/>
      <c r="AP881" s="343"/>
      <c r="AQ881" s="249"/>
      <c r="AR881" s="330"/>
      <c r="AS881" s="343"/>
      <c r="AT881" s="249"/>
      <c r="AU881" s="330"/>
    </row>
    <row r="882" spans="2:47">
      <c r="B882" s="247">
        <f>'Table S2 Compound Identifiers'!C884</f>
        <v>0</v>
      </c>
      <c r="C882" s="247">
        <f>COUNTIF($D$6:D882,"&lt;&gt;"&amp;"")</f>
        <v>877</v>
      </c>
      <c r="D882" s="432">
        <f>'Table S2 Compound Identifiers'!B884</f>
        <v>0</v>
      </c>
      <c r="E882" s="247"/>
      <c r="F882" s="248"/>
      <c r="G882" s="249"/>
      <c r="H882" s="330"/>
      <c r="I882" s="328"/>
      <c r="J882" s="249"/>
      <c r="K882" s="330"/>
      <c r="L882" s="250"/>
      <c r="M882" s="249"/>
      <c r="N882" s="330"/>
      <c r="O882" s="250"/>
      <c r="P882" s="249"/>
      <c r="Q882" s="330"/>
      <c r="R882" s="250"/>
      <c r="S882" s="249"/>
      <c r="T882" s="330"/>
      <c r="U882" s="250"/>
      <c r="V882" s="249"/>
      <c r="W882" s="330"/>
      <c r="X882" s="343"/>
      <c r="Y882" s="249"/>
      <c r="Z882" s="330"/>
      <c r="AA882" s="343"/>
      <c r="AB882" s="249"/>
      <c r="AC882" s="330"/>
      <c r="AD882" s="343"/>
      <c r="AE882" s="249"/>
      <c r="AF882" s="330"/>
      <c r="AG882" s="343"/>
      <c r="AH882" s="249"/>
      <c r="AI882" s="330"/>
      <c r="AJ882" s="343"/>
      <c r="AK882" s="249"/>
      <c r="AL882" s="330"/>
      <c r="AM882" s="343"/>
      <c r="AN882" s="249"/>
      <c r="AO882" s="330"/>
      <c r="AP882" s="343"/>
      <c r="AQ882" s="249"/>
      <c r="AR882" s="330"/>
      <c r="AS882" s="343"/>
      <c r="AT882" s="249"/>
      <c r="AU882" s="330"/>
    </row>
    <row r="883" spans="2:47">
      <c r="B883" s="247">
        <f>'Table S2 Compound Identifiers'!C885</f>
        <v>0</v>
      </c>
      <c r="C883" s="247">
        <f>COUNTIF($D$6:D883,"&lt;&gt;"&amp;"")</f>
        <v>878</v>
      </c>
      <c r="D883" s="432">
        <f>'Table S2 Compound Identifiers'!B885</f>
        <v>0</v>
      </c>
      <c r="E883" s="247"/>
      <c r="F883" s="248"/>
      <c r="G883" s="249"/>
      <c r="H883" s="330"/>
      <c r="I883" s="328"/>
      <c r="J883" s="249"/>
      <c r="K883" s="330"/>
      <c r="L883" s="250"/>
      <c r="M883" s="249"/>
      <c r="N883" s="330"/>
      <c r="O883" s="250"/>
      <c r="P883" s="249"/>
      <c r="Q883" s="330"/>
      <c r="R883" s="250"/>
      <c r="S883" s="249"/>
      <c r="T883" s="330"/>
      <c r="U883" s="250"/>
      <c r="V883" s="249"/>
      <c r="W883" s="330"/>
      <c r="X883" s="343"/>
      <c r="Y883" s="249"/>
      <c r="Z883" s="330"/>
      <c r="AA883" s="343"/>
      <c r="AB883" s="249"/>
      <c r="AC883" s="330"/>
      <c r="AD883" s="343"/>
      <c r="AE883" s="249"/>
      <c r="AF883" s="330"/>
      <c r="AG883" s="343"/>
      <c r="AH883" s="249"/>
      <c r="AI883" s="330"/>
      <c r="AJ883" s="343"/>
      <c r="AK883" s="249"/>
      <c r="AL883" s="330"/>
      <c r="AM883" s="343"/>
      <c r="AN883" s="249"/>
      <c r="AO883" s="330"/>
      <c r="AP883" s="343"/>
      <c r="AQ883" s="249"/>
      <c r="AR883" s="330"/>
      <c r="AS883" s="343"/>
      <c r="AT883" s="249"/>
      <c r="AU883" s="330"/>
    </row>
    <row r="884" spans="2:47">
      <c r="B884" s="247">
        <f>'Table S2 Compound Identifiers'!C886</f>
        <v>0</v>
      </c>
      <c r="C884" s="247">
        <f>COUNTIF($D$6:D884,"&lt;&gt;"&amp;"")</f>
        <v>879</v>
      </c>
      <c r="D884" s="432">
        <f>'Table S2 Compound Identifiers'!B886</f>
        <v>0</v>
      </c>
      <c r="E884" s="247"/>
      <c r="F884" s="248"/>
      <c r="G884" s="249"/>
      <c r="H884" s="330"/>
      <c r="I884" s="328"/>
      <c r="J884" s="249"/>
      <c r="K884" s="330"/>
      <c r="L884" s="250"/>
      <c r="M884" s="249"/>
      <c r="N884" s="330"/>
      <c r="O884" s="250"/>
      <c r="P884" s="249"/>
      <c r="Q884" s="330"/>
      <c r="R884" s="250"/>
      <c r="S884" s="249"/>
      <c r="T884" s="330"/>
      <c r="U884" s="250"/>
      <c r="V884" s="249"/>
      <c r="W884" s="330"/>
      <c r="X884" s="343"/>
      <c r="Y884" s="249"/>
      <c r="Z884" s="330"/>
      <c r="AA884" s="343"/>
      <c r="AB884" s="249"/>
      <c r="AC884" s="330"/>
      <c r="AD884" s="343"/>
      <c r="AE884" s="249"/>
      <c r="AF884" s="330"/>
      <c r="AG884" s="343"/>
      <c r="AH884" s="249"/>
      <c r="AI884" s="330"/>
      <c r="AJ884" s="343"/>
      <c r="AK884" s="249"/>
      <c r="AL884" s="330"/>
      <c r="AM884" s="343"/>
      <c r="AN884" s="249"/>
      <c r="AO884" s="330"/>
      <c r="AP884" s="343"/>
      <c r="AQ884" s="249"/>
      <c r="AR884" s="330"/>
      <c r="AS884" s="343"/>
      <c r="AT884" s="249"/>
      <c r="AU884" s="330"/>
    </row>
    <row r="885" spans="2:47">
      <c r="B885" s="247">
        <f>'Table S2 Compound Identifiers'!C887</f>
        <v>0</v>
      </c>
      <c r="C885" s="247">
        <f>COUNTIF($D$6:D885,"&lt;&gt;"&amp;"")</f>
        <v>880</v>
      </c>
      <c r="D885" s="432">
        <f>'Table S2 Compound Identifiers'!B887</f>
        <v>0</v>
      </c>
      <c r="E885" s="247"/>
      <c r="F885" s="248"/>
      <c r="G885" s="249"/>
      <c r="H885" s="330"/>
      <c r="I885" s="328"/>
      <c r="J885" s="249"/>
      <c r="K885" s="330"/>
      <c r="L885" s="250"/>
      <c r="M885" s="249"/>
      <c r="N885" s="330"/>
      <c r="O885" s="250"/>
      <c r="P885" s="249"/>
      <c r="Q885" s="330"/>
      <c r="R885" s="250"/>
      <c r="S885" s="249"/>
      <c r="T885" s="330"/>
      <c r="U885" s="250"/>
      <c r="V885" s="249"/>
      <c r="W885" s="330"/>
      <c r="X885" s="343"/>
      <c r="Y885" s="249"/>
      <c r="Z885" s="330"/>
      <c r="AA885" s="343"/>
      <c r="AB885" s="249"/>
      <c r="AC885" s="330"/>
      <c r="AD885" s="343"/>
      <c r="AE885" s="249"/>
      <c r="AF885" s="330"/>
      <c r="AG885" s="343"/>
      <c r="AH885" s="249"/>
      <c r="AI885" s="330"/>
      <c r="AJ885" s="343"/>
      <c r="AK885" s="249"/>
      <c r="AL885" s="330"/>
      <c r="AM885" s="343"/>
      <c r="AN885" s="249"/>
      <c r="AO885" s="330"/>
      <c r="AP885" s="343"/>
      <c r="AQ885" s="249"/>
      <c r="AR885" s="330"/>
      <c r="AS885" s="343"/>
      <c r="AT885" s="249"/>
      <c r="AU885" s="330"/>
    </row>
    <row r="886" spans="2:47">
      <c r="B886" s="247">
        <f>'Table S2 Compound Identifiers'!C888</f>
        <v>0</v>
      </c>
      <c r="C886" s="247">
        <f>COUNTIF($D$6:D886,"&lt;&gt;"&amp;"")</f>
        <v>881</v>
      </c>
      <c r="D886" s="247">
        <f>'Table S2 Compound Identifiers'!B888</f>
        <v>0</v>
      </c>
      <c r="E886" s="247"/>
      <c r="F886" s="248"/>
      <c r="G886" s="249"/>
      <c r="H886" s="330"/>
      <c r="I886" s="328"/>
      <c r="J886" s="249"/>
      <c r="K886" s="330"/>
      <c r="L886" s="250"/>
      <c r="M886" s="249"/>
      <c r="N886" s="330"/>
      <c r="O886" s="250"/>
      <c r="P886" s="249"/>
      <c r="Q886" s="330"/>
      <c r="R886" s="250"/>
      <c r="S886" s="249"/>
      <c r="T886" s="330"/>
      <c r="U886" s="250"/>
      <c r="V886" s="249"/>
      <c r="W886" s="330"/>
      <c r="X886" s="343"/>
      <c r="Y886" s="249"/>
      <c r="Z886" s="330"/>
      <c r="AA886" s="343"/>
      <c r="AB886" s="249"/>
      <c r="AC886" s="330"/>
      <c r="AD886" s="343"/>
      <c r="AE886" s="249"/>
      <c r="AF886" s="330"/>
      <c r="AG886" s="343"/>
      <c r="AH886" s="249"/>
      <c r="AI886" s="330"/>
      <c r="AJ886" s="343"/>
      <c r="AK886" s="249"/>
      <c r="AL886" s="330"/>
      <c r="AM886" s="343"/>
      <c r="AN886" s="249"/>
      <c r="AO886" s="330"/>
      <c r="AP886" s="343"/>
      <c r="AQ886" s="249"/>
      <c r="AR886" s="330"/>
      <c r="AS886" s="343"/>
      <c r="AT886" s="249"/>
      <c r="AU886" s="330"/>
    </row>
    <row r="887" spans="2:47">
      <c r="B887" s="247">
        <f>'Table S2 Compound Identifiers'!C889</f>
        <v>0</v>
      </c>
      <c r="C887" s="247">
        <f>COUNTIF($D$6:D887,"&lt;&gt;"&amp;"")</f>
        <v>882</v>
      </c>
      <c r="D887" s="247">
        <f>'Table S2 Compound Identifiers'!B889</f>
        <v>0</v>
      </c>
      <c r="E887" s="247"/>
      <c r="F887" s="248"/>
      <c r="G887" s="249"/>
      <c r="H887" s="330"/>
      <c r="I887" s="328"/>
      <c r="J887" s="249"/>
      <c r="K887" s="330"/>
      <c r="L887" s="250"/>
      <c r="M887" s="249"/>
      <c r="N887" s="330"/>
      <c r="O887" s="250"/>
      <c r="P887" s="249"/>
      <c r="Q887" s="330"/>
      <c r="R887" s="250"/>
      <c r="S887" s="249"/>
      <c r="T887" s="330"/>
      <c r="U887" s="250"/>
      <c r="V887" s="249"/>
      <c r="W887" s="330"/>
      <c r="X887" s="343"/>
      <c r="Y887" s="249"/>
      <c r="Z887" s="330"/>
      <c r="AA887" s="343"/>
      <c r="AB887" s="249"/>
      <c r="AC887" s="330"/>
      <c r="AD887" s="343"/>
      <c r="AE887" s="249"/>
      <c r="AF887" s="330"/>
      <c r="AG887" s="343"/>
      <c r="AH887" s="249"/>
      <c r="AI887" s="330"/>
      <c r="AJ887" s="343"/>
      <c r="AK887" s="249"/>
      <c r="AL887" s="330"/>
      <c r="AM887" s="343"/>
      <c r="AN887" s="249"/>
      <c r="AO887" s="330"/>
      <c r="AP887" s="343"/>
      <c r="AQ887" s="249"/>
      <c r="AR887" s="330"/>
      <c r="AS887" s="343"/>
      <c r="AT887" s="249"/>
      <c r="AU887" s="330"/>
    </row>
    <row r="888" spans="2:47">
      <c r="B888" s="247">
        <f>'Table S2 Compound Identifiers'!C890</f>
        <v>0</v>
      </c>
      <c r="C888" s="247">
        <f>COUNTIF($D$6:D888,"&lt;&gt;"&amp;"")</f>
        <v>883</v>
      </c>
      <c r="D888" s="247">
        <f>'Table S2 Compound Identifiers'!B890</f>
        <v>0</v>
      </c>
      <c r="E888" s="247"/>
      <c r="F888" s="248"/>
      <c r="G888" s="249"/>
      <c r="H888" s="330"/>
      <c r="I888" s="328"/>
      <c r="J888" s="249"/>
      <c r="K888" s="330"/>
      <c r="L888" s="250"/>
      <c r="M888" s="249"/>
      <c r="N888" s="330"/>
      <c r="O888" s="250"/>
      <c r="P888" s="249"/>
      <c r="Q888" s="330"/>
      <c r="R888" s="250"/>
      <c r="S888" s="249"/>
      <c r="T888" s="330"/>
      <c r="U888" s="250"/>
      <c r="V888" s="249"/>
      <c r="W888" s="330"/>
      <c r="X888" s="343"/>
      <c r="Y888" s="249"/>
      <c r="Z888" s="330"/>
      <c r="AA888" s="343"/>
      <c r="AB888" s="249"/>
      <c r="AC888" s="330"/>
      <c r="AD888" s="343"/>
      <c r="AE888" s="249"/>
      <c r="AF888" s="330"/>
      <c r="AG888" s="343"/>
      <c r="AH888" s="249"/>
      <c r="AI888" s="330"/>
      <c r="AJ888" s="343"/>
      <c r="AK888" s="249"/>
      <c r="AL888" s="330"/>
      <c r="AM888" s="343"/>
      <c r="AN888" s="249"/>
      <c r="AO888" s="330"/>
      <c r="AP888" s="343"/>
      <c r="AQ888" s="249"/>
      <c r="AR888" s="330"/>
      <c r="AS888" s="343"/>
      <c r="AT888" s="249"/>
      <c r="AU888" s="330"/>
    </row>
    <row r="889" spans="2:47">
      <c r="B889" s="247">
        <f>'Table S2 Compound Identifiers'!C891</f>
        <v>0</v>
      </c>
      <c r="C889" s="247">
        <f>COUNTIF($D$6:D889,"&lt;&gt;"&amp;"")</f>
        <v>884</v>
      </c>
      <c r="D889" s="247">
        <f>'Table S2 Compound Identifiers'!B891</f>
        <v>0</v>
      </c>
      <c r="E889" s="247"/>
      <c r="F889" s="248"/>
      <c r="G889" s="249"/>
      <c r="H889" s="330"/>
      <c r="I889" s="328"/>
      <c r="J889" s="249"/>
      <c r="K889" s="330"/>
      <c r="L889" s="250"/>
      <c r="M889" s="249"/>
      <c r="N889" s="330"/>
      <c r="O889" s="250"/>
      <c r="P889" s="249"/>
      <c r="Q889" s="330"/>
      <c r="R889" s="250"/>
      <c r="S889" s="249"/>
      <c r="T889" s="330"/>
      <c r="U889" s="250"/>
      <c r="V889" s="249"/>
      <c r="W889" s="330"/>
      <c r="X889" s="343"/>
      <c r="Y889" s="249"/>
      <c r="Z889" s="330"/>
      <c r="AA889" s="343"/>
      <c r="AB889" s="249"/>
      <c r="AC889" s="330"/>
      <c r="AD889" s="343"/>
      <c r="AE889" s="249"/>
      <c r="AF889" s="330"/>
      <c r="AG889" s="343"/>
      <c r="AH889" s="249"/>
      <c r="AI889" s="330"/>
      <c r="AJ889" s="343"/>
      <c r="AK889" s="249"/>
      <c r="AL889" s="330"/>
      <c r="AM889" s="343"/>
      <c r="AN889" s="249"/>
      <c r="AO889" s="330"/>
      <c r="AP889" s="343"/>
      <c r="AQ889" s="249"/>
      <c r="AR889" s="330"/>
      <c r="AS889" s="343"/>
      <c r="AT889" s="249"/>
      <c r="AU889" s="330"/>
    </row>
    <row r="890" spans="2:47">
      <c r="B890" s="247">
        <f>'Table S2 Compound Identifiers'!C892</f>
        <v>0</v>
      </c>
      <c r="C890" s="247">
        <f>COUNTIF($D$6:D890,"&lt;&gt;"&amp;"")</f>
        <v>885</v>
      </c>
      <c r="D890" s="247">
        <f>'Table S2 Compound Identifiers'!B892</f>
        <v>0</v>
      </c>
      <c r="E890" s="247"/>
      <c r="F890" s="248"/>
      <c r="G890" s="249"/>
      <c r="H890" s="330"/>
      <c r="I890" s="328"/>
      <c r="J890" s="249"/>
      <c r="K890" s="330"/>
      <c r="L890" s="250"/>
      <c r="M890" s="249"/>
      <c r="N890" s="330"/>
      <c r="O890" s="250"/>
      <c r="P890" s="249"/>
      <c r="Q890" s="330"/>
      <c r="R890" s="250"/>
      <c r="S890" s="249"/>
      <c r="T890" s="330"/>
      <c r="U890" s="250"/>
      <c r="V890" s="249"/>
      <c r="W890" s="330"/>
      <c r="X890" s="343"/>
      <c r="Y890" s="249"/>
      <c r="Z890" s="330"/>
      <c r="AA890" s="343"/>
      <c r="AB890" s="249"/>
      <c r="AC890" s="330"/>
      <c r="AD890" s="343"/>
      <c r="AE890" s="249"/>
      <c r="AF890" s="330"/>
      <c r="AG890" s="343"/>
      <c r="AH890" s="249"/>
      <c r="AI890" s="330"/>
      <c r="AJ890" s="343"/>
      <c r="AK890" s="249"/>
      <c r="AL890" s="330"/>
      <c r="AM890" s="343"/>
      <c r="AN890" s="249"/>
      <c r="AO890" s="330"/>
      <c r="AP890" s="343"/>
      <c r="AQ890" s="249"/>
      <c r="AR890" s="330"/>
      <c r="AS890" s="343"/>
      <c r="AT890" s="249"/>
      <c r="AU890" s="330"/>
    </row>
    <row r="891" spans="2:47">
      <c r="B891" s="247">
        <f>'Table S2 Compound Identifiers'!C893</f>
        <v>0</v>
      </c>
      <c r="C891" s="247">
        <f>COUNTIF($D$6:D891,"&lt;&gt;"&amp;"")</f>
        <v>886</v>
      </c>
      <c r="D891" s="247">
        <f>'Table S2 Compound Identifiers'!B893</f>
        <v>0</v>
      </c>
      <c r="E891" s="247"/>
      <c r="F891" s="248"/>
      <c r="G891" s="249"/>
      <c r="H891" s="330"/>
      <c r="I891" s="328"/>
      <c r="J891" s="249"/>
      <c r="K891" s="330"/>
      <c r="L891" s="250"/>
      <c r="M891" s="249"/>
      <c r="N891" s="330"/>
      <c r="O891" s="250"/>
      <c r="P891" s="249"/>
      <c r="Q891" s="330"/>
      <c r="R891" s="250"/>
      <c r="S891" s="249"/>
      <c r="T891" s="330"/>
      <c r="U891" s="250"/>
      <c r="V891" s="249"/>
      <c r="W891" s="330"/>
      <c r="X891" s="343"/>
      <c r="Y891" s="249"/>
      <c r="Z891" s="330"/>
      <c r="AA891" s="343"/>
      <c r="AB891" s="249"/>
      <c r="AC891" s="330"/>
      <c r="AD891" s="343"/>
      <c r="AE891" s="249"/>
      <c r="AF891" s="330"/>
      <c r="AG891" s="343"/>
      <c r="AH891" s="249"/>
      <c r="AI891" s="330"/>
      <c r="AJ891" s="343"/>
      <c r="AK891" s="249"/>
      <c r="AL891" s="330"/>
      <c r="AM891" s="343"/>
      <c r="AN891" s="249"/>
      <c r="AO891" s="330"/>
      <c r="AP891" s="343"/>
      <c r="AQ891" s="249"/>
      <c r="AR891" s="330"/>
      <c r="AS891" s="343"/>
      <c r="AT891" s="249"/>
      <c r="AU891" s="330"/>
    </row>
    <row r="892" spans="2:47">
      <c r="B892" s="247">
        <f>'Table S2 Compound Identifiers'!C894</f>
        <v>0</v>
      </c>
      <c r="C892" s="247">
        <f>COUNTIF($D$6:D892,"&lt;&gt;"&amp;"")</f>
        <v>887</v>
      </c>
      <c r="D892" s="247">
        <f>'Table S2 Compound Identifiers'!B894</f>
        <v>0</v>
      </c>
      <c r="E892" s="247"/>
      <c r="F892" s="248"/>
      <c r="G892" s="249"/>
      <c r="H892" s="330"/>
      <c r="I892" s="328"/>
      <c r="J892" s="249"/>
      <c r="K892" s="330"/>
      <c r="L892" s="250"/>
      <c r="M892" s="249"/>
      <c r="N892" s="330"/>
      <c r="O892" s="251"/>
      <c r="P892" s="252"/>
      <c r="Q892" s="330"/>
      <c r="R892" s="251"/>
      <c r="S892" s="252"/>
      <c r="T892" s="330"/>
      <c r="U892" s="251"/>
      <c r="V892" s="252"/>
      <c r="W892" s="330"/>
      <c r="X892" s="343"/>
      <c r="Y892" s="249"/>
      <c r="Z892" s="330"/>
      <c r="AA892" s="343"/>
      <c r="AB892" s="249"/>
      <c r="AC892" s="330"/>
      <c r="AD892" s="343"/>
      <c r="AE892" s="249"/>
      <c r="AF892" s="330"/>
      <c r="AG892" s="343"/>
      <c r="AH892" s="249"/>
      <c r="AI892" s="330"/>
      <c r="AJ892" s="343"/>
      <c r="AK892" s="249"/>
      <c r="AL892" s="330"/>
      <c r="AM892" s="343"/>
      <c r="AN892" s="249"/>
      <c r="AO892" s="330"/>
      <c r="AP892" s="343"/>
      <c r="AQ892" s="249"/>
      <c r="AR892" s="330"/>
      <c r="AS892" s="343"/>
      <c r="AT892" s="249"/>
      <c r="AU892" s="330"/>
    </row>
    <row r="893" spans="2:47">
      <c r="B893" s="247">
        <f>'Table S2 Compound Identifiers'!C895</f>
        <v>0</v>
      </c>
      <c r="C893" s="253">
        <f>COUNTIF($D$6:D893,"&lt;&gt;"&amp;"")</f>
        <v>888</v>
      </c>
      <c r="D893" s="253">
        <f>'Table S2 Compound Identifiers'!B895</f>
        <v>0</v>
      </c>
      <c r="E893" s="253"/>
      <c r="F893" s="254"/>
      <c r="G893" s="252"/>
      <c r="H893" s="330"/>
      <c r="I893" s="333"/>
      <c r="J893" s="252"/>
      <c r="K893" s="330"/>
      <c r="L893" s="251"/>
      <c r="M893" s="252"/>
      <c r="N893" s="330"/>
      <c r="O893" s="251"/>
      <c r="P893" s="252"/>
      <c r="Q893" s="330"/>
      <c r="R893" s="251"/>
      <c r="S893" s="252"/>
      <c r="T893" s="330"/>
      <c r="U893" s="251"/>
      <c r="V893" s="252"/>
      <c r="W893" s="330"/>
      <c r="X893" s="343"/>
      <c r="Y893" s="249"/>
      <c r="Z893" s="330"/>
      <c r="AA893" s="343"/>
      <c r="AB893" s="249"/>
      <c r="AC893" s="330"/>
      <c r="AD893" s="343"/>
      <c r="AE893" s="249"/>
      <c r="AF893" s="330"/>
      <c r="AG893" s="343"/>
      <c r="AH893" s="249"/>
      <c r="AI893" s="330"/>
      <c r="AJ893" s="343"/>
      <c r="AK893" s="249"/>
      <c r="AL893" s="330"/>
      <c r="AM893" s="343"/>
      <c r="AN893" s="249"/>
      <c r="AO893" s="330"/>
      <c r="AP893" s="343"/>
      <c r="AQ893" s="249"/>
      <c r="AR893" s="330"/>
      <c r="AS893" s="343"/>
      <c r="AT893" s="249"/>
      <c r="AU893" s="330"/>
    </row>
    <row r="894" spans="2:47">
      <c r="B894" s="247">
        <f>'Table S2 Compound Identifiers'!C896</f>
        <v>0</v>
      </c>
      <c r="C894" s="247">
        <f>COUNTIF($D$6:D894,"&lt;&gt;"&amp;"")</f>
        <v>889</v>
      </c>
      <c r="D894" s="247">
        <f>'Table S2 Compound Identifiers'!B896</f>
        <v>0</v>
      </c>
      <c r="E894" s="247"/>
      <c r="F894" s="248"/>
      <c r="G894" s="250"/>
      <c r="H894" s="330"/>
      <c r="I894" s="343"/>
      <c r="J894" s="249"/>
      <c r="K894" s="327"/>
      <c r="L894" s="343"/>
      <c r="M894" s="249"/>
      <c r="N894" s="327"/>
      <c r="O894" s="343"/>
      <c r="P894" s="249"/>
      <c r="Q894" s="327"/>
      <c r="R894" s="343"/>
      <c r="S894" s="249"/>
      <c r="T894" s="327"/>
      <c r="U894" s="343"/>
      <c r="V894" s="249"/>
      <c r="W894" s="327"/>
      <c r="X894" s="343"/>
      <c r="Y894" s="249"/>
      <c r="Z894" s="327"/>
      <c r="AA894" s="343"/>
      <c r="AB894" s="249"/>
      <c r="AC894" s="343"/>
      <c r="AD894" s="343"/>
      <c r="AE894" s="249"/>
      <c r="AF894" s="249"/>
      <c r="AG894" s="343"/>
      <c r="AH894" s="249"/>
      <c r="AI894" s="343"/>
      <c r="AJ894" s="343"/>
      <c r="AK894" s="249"/>
      <c r="AL894" s="249"/>
      <c r="AM894" s="343"/>
      <c r="AN894" s="249"/>
      <c r="AO894" s="343"/>
      <c r="AP894" s="343"/>
      <c r="AQ894" s="249"/>
      <c r="AR894" s="249"/>
      <c r="AS894" s="343"/>
      <c r="AT894" s="249"/>
      <c r="AU894" s="343"/>
    </row>
    <row r="895" spans="2:47">
      <c r="B895" s="247">
        <f>'Table S2 Compound Identifiers'!C897</f>
        <v>0</v>
      </c>
      <c r="C895" s="247">
        <f>COUNTIF($D$6:D895,"&lt;&gt;"&amp;"")</f>
        <v>890</v>
      </c>
      <c r="D895" s="247">
        <f>'Table S2 Compound Identifiers'!B897</f>
        <v>0</v>
      </c>
      <c r="E895" s="247"/>
      <c r="F895" s="248"/>
      <c r="G895" s="249"/>
      <c r="H895" s="330"/>
      <c r="I895" s="332"/>
      <c r="J895" s="330"/>
      <c r="K895" s="330"/>
      <c r="L895" s="330"/>
      <c r="M895" s="330"/>
      <c r="N895" s="330"/>
      <c r="O895" s="330"/>
      <c r="P895" s="330"/>
      <c r="Q895" s="330"/>
      <c r="R895" s="330"/>
      <c r="S895" s="330"/>
      <c r="T895" s="330"/>
      <c r="U895" s="330"/>
      <c r="V895" s="330"/>
      <c r="W895" s="330"/>
      <c r="X895" s="343"/>
      <c r="Y895" s="249"/>
      <c r="Z895" s="330"/>
      <c r="AA895" s="343"/>
      <c r="AB895" s="249"/>
      <c r="AC895" s="330"/>
      <c r="AD895" s="343"/>
      <c r="AE895" s="249"/>
      <c r="AF895" s="330"/>
      <c r="AG895" s="343"/>
      <c r="AH895" s="249"/>
      <c r="AI895" s="330"/>
      <c r="AJ895" s="343"/>
      <c r="AK895" s="249"/>
      <c r="AL895" s="330"/>
      <c r="AM895" s="343"/>
      <c r="AN895" s="249"/>
      <c r="AO895" s="330"/>
      <c r="AP895" s="343"/>
      <c r="AQ895" s="249"/>
      <c r="AR895" s="330"/>
      <c r="AS895" s="343"/>
      <c r="AT895" s="249"/>
      <c r="AU895" s="330"/>
    </row>
    <row r="896" spans="2:47">
      <c r="B896" s="247">
        <f>'Table S2 Compound Identifiers'!C898</f>
        <v>0</v>
      </c>
      <c r="C896" s="247">
        <f>COUNTIF($D$6:D896,"&lt;&gt;"&amp;"")</f>
        <v>891</v>
      </c>
      <c r="D896" s="247">
        <f>'Table S2 Compound Identifiers'!B898</f>
        <v>0</v>
      </c>
      <c r="E896" s="247"/>
      <c r="F896" s="248"/>
      <c r="G896" s="249"/>
      <c r="H896" s="330"/>
      <c r="I896" s="332"/>
      <c r="J896" s="330"/>
      <c r="K896" s="330"/>
      <c r="L896" s="330"/>
      <c r="M896" s="330"/>
      <c r="N896" s="330"/>
      <c r="O896" s="330"/>
      <c r="P896" s="330"/>
      <c r="Q896" s="330"/>
      <c r="R896" s="330"/>
      <c r="S896" s="330"/>
      <c r="T896" s="330"/>
      <c r="U896" s="330"/>
      <c r="V896" s="330"/>
      <c r="W896" s="330"/>
      <c r="X896" s="343"/>
      <c r="Y896" s="249"/>
      <c r="Z896" s="330"/>
      <c r="AA896" s="343"/>
      <c r="AB896" s="249"/>
      <c r="AC896" s="330"/>
      <c r="AD896" s="343"/>
      <c r="AE896" s="249"/>
      <c r="AF896" s="330"/>
      <c r="AG896" s="343"/>
      <c r="AH896" s="249"/>
      <c r="AI896" s="330"/>
      <c r="AJ896" s="343"/>
      <c r="AK896" s="249"/>
      <c r="AL896" s="330"/>
      <c r="AM896" s="343"/>
      <c r="AN896" s="249"/>
      <c r="AO896" s="330"/>
      <c r="AP896" s="343"/>
      <c r="AQ896" s="249"/>
      <c r="AR896" s="330"/>
      <c r="AS896" s="343"/>
      <c r="AT896" s="249"/>
      <c r="AU896" s="330"/>
    </row>
    <row r="897" spans="2:47">
      <c r="B897" s="247">
        <f>'Table S2 Compound Identifiers'!C899</f>
        <v>0</v>
      </c>
      <c r="C897" s="247">
        <f>COUNTIF($D$6:D897,"&lt;&gt;"&amp;"")</f>
        <v>892</v>
      </c>
      <c r="D897" s="247">
        <f>'Table S2 Compound Identifiers'!B899</f>
        <v>0</v>
      </c>
      <c r="E897" s="247"/>
      <c r="F897" s="248"/>
      <c r="G897" s="249"/>
      <c r="H897" s="330"/>
      <c r="I897" s="332"/>
      <c r="J897" s="330"/>
      <c r="K897" s="330"/>
      <c r="L897" s="330"/>
      <c r="M897" s="330"/>
      <c r="N897" s="330"/>
      <c r="O897" s="330"/>
      <c r="P897" s="330"/>
      <c r="Q897" s="330"/>
      <c r="R897" s="330"/>
      <c r="S897" s="330"/>
      <c r="T897" s="330"/>
      <c r="U897" s="330"/>
      <c r="V897" s="330"/>
      <c r="W897" s="330"/>
      <c r="X897" s="343"/>
      <c r="Y897" s="249"/>
      <c r="Z897" s="330"/>
      <c r="AA897" s="343"/>
      <c r="AB897" s="249"/>
      <c r="AC897" s="330"/>
      <c r="AD897" s="343"/>
      <c r="AE897" s="249"/>
      <c r="AF897" s="330"/>
      <c r="AG897" s="343"/>
      <c r="AH897" s="249"/>
      <c r="AI897" s="330"/>
      <c r="AJ897" s="343"/>
      <c r="AK897" s="249"/>
      <c r="AL897" s="330"/>
      <c r="AM897" s="343"/>
      <c r="AN897" s="249"/>
      <c r="AO897" s="330"/>
      <c r="AP897" s="343"/>
      <c r="AQ897" s="249"/>
      <c r="AR897" s="330"/>
      <c r="AS897" s="343"/>
      <c r="AT897" s="249"/>
      <c r="AU897" s="330"/>
    </row>
    <row r="898" spans="2:47">
      <c r="B898" s="247">
        <f>'Table S2 Compound Identifiers'!C900</f>
        <v>0</v>
      </c>
      <c r="C898" s="247">
        <f>COUNTIF($D$6:D898,"&lt;&gt;"&amp;"")</f>
        <v>893</v>
      </c>
      <c r="D898" s="247">
        <f>'Table S2 Compound Identifiers'!B900</f>
        <v>0</v>
      </c>
      <c r="E898" s="247"/>
      <c r="F898" s="248"/>
      <c r="G898" s="249"/>
      <c r="H898" s="330"/>
      <c r="I898" s="328"/>
      <c r="J898" s="249"/>
      <c r="K898" s="330"/>
      <c r="L898" s="250"/>
      <c r="M898" s="249"/>
      <c r="N898" s="330"/>
      <c r="O898" s="250"/>
      <c r="P898" s="249"/>
      <c r="Q898" s="330"/>
      <c r="R898" s="250"/>
      <c r="S898" s="249"/>
      <c r="T898" s="330"/>
      <c r="U898" s="250"/>
      <c r="V898" s="249"/>
      <c r="W898" s="330"/>
      <c r="X898" s="343"/>
      <c r="Y898" s="249"/>
      <c r="Z898" s="330"/>
      <c r="AA898" s="343"/>
      <c r="AB898" s="249"/>
      <c r="AC898" s="330"/>
      <c r="AD898" s="343"/>
      <c r="AE898" s="249"/>
      <c r="AF898" s="330"/>
      <c r="AG898" s="343"/>
      <c r="AH898" s="249"/>
      <c r="AI898" s="330"/>
      <c r="AJ898" s="343"/>
      <c r="AK898" s="249"/>
      <c r="AL898" s="330"/>
      <c r="AM898" s="343"/>
      <c r="AN898" s="249"/>
      <c r="AO898" s="330"/>
      <c r="AP898" s="343"/>
      <c r="AQ898" s="249"/>
      <c r="AR898" s="330"/>
      <c r="AS898" s="343"/>
      <c r="AT898" s="249"/>
      <c r="AU898" s="330"/>
    </row>
    <row r="899" spans="2:47">
      <c r="B899" s="247">
        <f>'Table S2 Compound Identifiers'!C901</f>
        <v>0</v>
      </c>
      <c r="C899" s="247">
        <f>COUNTIF($D$6:D899,"&lt;&gt;"&amp;"")</f>
        <v>894</v>
      </c>
      <c r="D899" s="247">
        <f>'Table S2 Compound Identifiers'!B901</f>
        <v>0</v>
      </c>
      <c r="E899" s="247"/>
      <c r="F899" s="248"/>
      <c r="G899" s="249"/>
      <c r="H899" s="330"/>
      <c r="I899" s="328"/>
      <c r="J899" s="249"/>
      <c r="K899" s="330"/>
      <c r="L899" s="250"/>
      <c r="M899" s="249"/>
      <c r="N899" s="330"/>
      <c r="O899" s="250"/>
      <c r="P899" s="249"/>
      <c r="Q899" s="330"/>
      <c r="R899" s="250"/>
      <c r="S899" s="249"/>
      <c r="T899" s="330"/>
      <c r="U899" s="250"/>
      <c r="V899" s="249"/>
      <c r="W899" s="330"/>
      <c r="X899" s="343"/>
      <c r="Y899" s="249"/>
      <c r="Z899" s="330"/>
      <c r="AA899" s="343"/>
      <c r="AB899" s="249"/>
      <c r="AC899" s="330"/>
      <c r="AD899" s="343"/>
      <c r="AE899" s="249"/>
      <c r="AF899" s="330"/>
      <c r="AG899" s="343"/>
      <c r="AH899" s="249"/>
      <c r="AI899" s="330"/>
      <c r="AJ899" s="343"/>
      <c r="AK899" s="249"/>
      <c r="AL899" s="330"/>
      <c r="AM899" s="343"/>
      <c r="AN899" s="249"/>
      <c r="AO899" s="330"/>
      <c r="AP899" s="343"/>
      <c r="AQ899" s="249"/>
      <c r="AR899" s="330"/>
      <c r="AS899" s="343"/>
      <c r="AT899" s="249"/>
      <c r="AU899" s="330"/>
    </row>
    <row r="900" spans="2:47">
      <c r="B900" s="247">
        <f>'Table S2 Compound Identifiers'!C902</f>
        <v>0</v>
      </c>
      <c r="C900" s="247">
        <f>COUNTIF($D$6:D900,"&lt;&gt;"&amp;"")</f>
        <v>895</v>
      </c>
      <c r="D900" s="247">
        <f>'Table S2 Compound Identifiers'!B902</f>
        <v>0</v>
      </c>
      <c r="E900" s="247"/>
      <c r="F900" s="248"/>
      <c r="G900" s="249"/>
      <c r="H900" s="330"/>
      <c r="I900" s="328"/>
      <c r="J900" s="249"/>
      <c r="K900" s="330"/>
      <c r="L900" s="250"/>
      <c r="M900" s="249"/>
      <c r="N900" s="330"/>
      <c r="O900" s="250"/>
      <c r="P900" s="249"/>
      <c r="Q900" s="330"/>
      <c r="R900" s="250"/>
      <c r="S900" s="249"/>
      <c r="T900" s="330"/>
      <c r="U900" s="250"/>
      <c r="V900" s="249"/>
      <c r="W900" s="330"/>
      <c r="X900" s="343"/>
      <c r="Y900" s="249"/>
      <c r="Z900" s="330"/>
      <c r="AA900" s="343"/>
      <c r="AB900" s="249"/>
      <c r="AC900" s="330"/>
      <c r="AD900" s="343"/>
      <c r="AE900" s="249"/>
      <c r="AF900" s="330"/>
      <c r="AG900" s="343"/>
      <c r="AH900" s="249"/>
      <c r="AI900" s="330"/>
      <c r="AJ900" s="343"/>
      <c r="AK900" s="249"/>
      <c r="AL900" s="330"/>
      <c r="AM900" s="343"/>
      <c r="AN900" s="249"/>
      <c r="AO900" s="330"/>
      <c r="AP900" s="343"/>
      <c r="AQ900" s="249"/>
      <c r="AR900" s="330"/>
      <c r="AS900" s="343"/>
      <c r="AT900" s="249"/>
      <c r="AU900" s="330"/>
    </row>
    <row r="901" spans="2:47">
      <c r="B901" s="247">
        <f>'Table S2 Compound Identifiers'!C903</f>
        <v>0</v>
      </c>
      <c r="C901" s="247">
        <f>COUNTIF($D$6:D901,"&lt;&gt;"&amp;"")</f>
        <v>896</v>
      </c>
      <c r="D901" s="247">
        <f>'Table S2 Compound Identifiers'!B903</f>
        <v>0</v>
      </c>
      <c r="E901" s="247"/>
      <c r="F901" s="248"/>
      <c r="G901" s="249"/>
      <c r="H901" s="330"/>
      <c r="I901" s="328"/>
      <c r="J901" s="249"/>
      <c r="K901" s="330"/>
      <c r="L901" s="250"/>
      <c r="M901" s="249"/>
      <c r="N901" s="330"/>
      <c r="O901" s="250"/>
      <c r="P901" s="249"/>
      <c r="Q901" s="330"/>
      <c r="R901" s="250"/>
      <c r="S901" s="249"/>
      <c r="T901" s="330"/>
      <c r="U901" s="250"/>
      <c r="V901" s="249"/>
      <c r="W901" s="330"/>
      <c r="X901" s="343"/>
      <c r="Y901" s="249"/>
      <c r="Z901" s="330"/>
      <c r="AA901" s="343"/>
      <c r="AB901" s="249"/>
      <c r="AC901" s="330"/>
      <c r="AD901" s="343"/>
      <c r="AE901" s="249"/>
      <c r="AF901" s="330"/>
      <c r="AG901" s="343"/>
      <c r="AH901" s="249"/>
      <c r="AI901" s="330"/>
      <c r="AJ901" s="343"/>
      <c r="AK901" s="249"/>
      <c r="AL901" s="330"/>
      <c r="AM901" s="343"/>
      <c r="AN901" s="249"/>
      <c r="AO901" s="330"/>
      <c r="AP901" s="343"/>
      <c r="AQ901" s="249"/>
      <c r="AR901" s="330"/>
      <c r="AS901" s="343"/>
      <c r="AT901" s="249"/>
      <c r="AU901" s="330"/>
    </row>
    <row r="902" spans="2:47">
      <c r="B902" s="247">
        <f>'Table S2 Compound Identifiers'!C904</f>
        <v>0</v>
      </c>
      <c r="C902" s="247">
        <f>COUNTIF($D$6:D902,"&lt;&gt;"&amp;"")</f>
        <v>897</v>
      </c>
      <c r="D902" s="247">
        <f>'Table S2 Compound Identifiers'!B904</f>
        <v>0</v>
      </c>
      <c r="E902" s="247"/>
      <c r="F902" s="248"/>
      <c r="G902" s="249"/>
      <c r="H902" s="330"/>
      <c r="I902" s="328"/>
      <c r="J902" s="249"/>
      <c r="K902" s="330"/>
      <c r="L902" s="250"/>
      <c r="M902" s="249"/>
      <c r="N902" s="330"/>
      <c r="O902" s="250"/>
      <c r="P902" s="249"/>
      <c r="Q902" s="330"/>
      <c r="R902" s="250"/>
      <c r="S902" s="249"/>
      <c r="T902" s="330"/>
      <c r="U902" s="250"/>
      <c r="V902" s="249"/>
      <c r="W902" s="330"/>
      <c r="X902" s="343"/>
      <c r="Y902" s="249"/>
      <c r="Z902" s="330"/>
      <c r="AA902" s="343"/>
      <c r="AB902" s="249"/>
      <c r="AC902" s="330"/>
      <c r="AD902" s="343"/>
      <c r="AE902" s="249"/>
      <c r="AF902" s="330"/>
      <c r="AG902" s="343"/>
      <c r="AH902" s="249"/>
      <c r="AI902" s="330"/>
      <c r="AJ902" s="343"/>
      <c r="AK902" s="249"/>
      <c r="AL902" s="330"/>
      <c r="AM902" s="343"/>
      <c r="AN902" s="249"/>
      <c r="AO902" s="330"/>
      <c r="AP902" s="343"/>
      <c r="AQ902" s="249"/>
      <c r="AR902" s="330"/>
      <c r="AS902" s="343"/>
      <c r="AT902" s="249"/>
      <c r="AU902" s="330"/>
    </row>
    <row r="903" spans="2:47">
      <c r="B903" s="247">
        <f>'Table S2 Compound Identifiers'!C905</f>
        <v>0</v>
      </c>
      <c r="C903" s="247">
        <f>COUNTIF($D$6:D903,"&lt;&gt;"&amp;"")</f>
        <v>898</v>
      </c>
      <c r="D903" s="247">
        <f>'Table S2 Compound Identifiers'!B905</f>
        <v>0</v>
      </c>
      <c r="E903" s="247"/>
      <c r="F903" s="248"/>
      <c r="G903" s="249"/>
      <c r="H903" s="330"/>
      <c r="I903" s="328"/>
      <c r="J903" s="249"/>
      <c r="K903" s="330"/>
      <c r="L903" s="250"/>
      <c r="M903" s="249"/>
      <c r="N903" s="330"/>
      <c r="O903" s="250"/>
      <c r="P903" s="249"/>
      <c r="Q903" s="330"/>
      <c r="R903" s="250"/>
      <c r="S903" s="249"/>
      <c r="T903" s="330"/>
      <c r="U903" s="250"/>
      <c r="V903" s="249"/>
      <c r="W903" s="330"/>
      <c r="X903" s="343"/>
      <c r="Y903" s="249"/>
      <c r="Z903" s="330"/>
      <c r="AA903" s="343"/>
      <c r="AB903" s="249"/>
      <c r="AC903" s="330"/>
      <c r="AD903" s="343"/>
      <c r="AE903" s="249"/>
      <c r="AF903" s="330"/>
      <c r="AG903" s="343"/>
      <c r="AH903" s="249"/>
      <c r="AI903" s="330"/>
      <c r="AJ903" s="343"/>
      <c r="AK903" s="249"/>
      <c r="AL903" s="330"/>
      <c r="AM903" s="343"/>
      <c r="AN903" s="249"/>
      <c r="AO903" s="330"/>
      <c r="AP903" s="343"/>
      <c r="AQ903" s="249"/>
      <c r="AR903" s="330"/>
      <c r="AS903" s="343"/>
      <c r="AT903" s="249"/>
      <c r="AU903" s="330"/>
    </row>
    <row r="904" spans="2:47">
      <c r="B904" s="247">
        <f>'Table S2 Compound Identifiers'!C906</f>
        <v>0</v>
      </c>
      <c r="C904" s="247">
        <f>COUNTIF($D$6:D904,"&lt;&gt;"&amp;"")</f>
        <v>899</v>
      </c>
      <c r="D904" s="247">
        <f>'Table S2 Compound Identifiers'!B906</f>
        <v>0</v>
      </c>
      <c r="E904" s="247"/>
      <c r="F904" s="248"/>
      <c r="G904" s="249"/>
      <c r="H904" s="330"/>
      <c r="I904" s="328"/>
      <c r="J904" s="249"/>
      <c r="K904" s="330"/>
      <c r="L904" s="250"/>
      <c r="M904" s="249"/>
      <c r="N904" s="330"/>
      <c r="O904" s="250"/>
      <c r="P904" s="249"/>
      <c r="Q904" s="330"/>
      <c r="R904" s="250"/>
      <c r="S904" s="249"/>
      <c r="T904" s="330"/>
      <c r="U904" s="250"/>
      <c r="V904" s="249"/>
      <c r="W904" s="330"/>
      <c r="X904" s="343"/>
      <c r="Y904" s="249"/>
      <c r="Z904" s="330"/>
      <c r="AA904" s="343"/>
      <c r="AB904" s="249"/>
      <c r="AC904" s="330"/>
      <c r="AD904" s="343"/>
      <c r="AE904" s="249"/>
      <c r="AF904" s="330"/>
      <c r="AG904" s="343"/>
      <c r="AH904" s="249"/>
      <c r="AI904" s="330"/>
      <c r="AJ904" s="343"/>
      <c r="AK904" s="249"/>
      <c r="AL904" s="330"/>
      <c r="AM904" s="343"/>
      <c r="AN904" s="249"/>
      <c r="AO904" s="330"/>
      <c r="AP904" s="343"/>
      <c r="AQ904" s="249"/>
      <c r="AR904" s="330"/>
      <c r="AS904" s="343"/>
      <c r="AT904" s="249"/>
      <c r="AU904" s="330"/>
    </row>
    <row r="905" spans="2:47">
      <c r="B905" s="247">
        <f>'Table S2 Compound Identifiers'!C907</f>
        <v>0</v>
      </c>
      <c r="C905" s="247">
        <f>COUNTIF($D$6:D905,"&lt;&gt;"&amp;"")</f>
        <v>900</v>
      </c>
      <c r="D905" s="247">
        <f>'Table S2 Compound Identifiers'!B907</f>
        <v>0</v>
      </c>
      <c r="E905" s="247"/>
      <c r="F905" s="248"/>
      <c r="G905" s="249"/>
      <c r="H905" s="330"/>
      <c r="I905" s="328"/>
      <c r="J905" s="249"/>
      <c r="K905" s="330"/>
      <c r="L905" s="250"/>
      <c r="M905" s="249"/>
      <c r="N905" s="330"/>
      <c r="O905" s="250"/>
      <c r="P905" s="249"/>
      <c r="Q905" s="330"/>
      <c r="R905" s="250"/>
      <c r="S905" s="249"/>
      <c r="T905" s="330"/>
      <c r="U905" s="250"/>
      <c r="V905" s="249"/>
      <c r="W905" s="330"/>
      <c r="X905" s="343"/>
      <c r="Y905" s="249"/>
      <c r="Z905" s="330"/>
      <c r="AA905" s="343"/>
      <c r="AB905" s="249"/>
      <c r="AC905" s="330"/>
      <c r="AD905" s="343"/>
      <c r="AE905" s="249"/>
      <c r="AF905" s="330"/>
      <c r="AG905" s="343"/>
      <c r="AH905" s="249"/>
      <c r="AI905" s="330"/>
      <c r="AJ905" s="343"/>
      <c r="AK905" s="249"/>
      <c r="AL905" s="330"/>
      <c r="AM905" s="343"/>
      <c r="AN905" s="249"/>
      <c r="AO905" s="330"/>
      <c r="AP905" s="343"/>
      <c r="AQ905" s="249"/>
      <c r="AR905" s="330"/>
      <c r="AS905" s="343"/>
      <c r="AT905" s="249"/>
      <c r="AU905" s="330"/>
    </row>
    <row r="906" spans="2:47">
      <c r="B906" s="247">
        <f>'Table S2 Compound Identifiers'!C908</f>
        <v>0</v>
      </c>
      <c r="C906" s="247">
        <f>COUNTIF($D$6:D906,"&lt;&gt;"&amp;"")</f>
        <v>901</v>
      </c>
      <c r="D906" s="247">
        <f>'Table S2 Compound Identifiers'!B908</f>
        <v>0</v>
      </c>
      <c r="E906" s="247"/>
      <c r="F906" s="248"/>
      <c r="G906" s="249"/>
      <c r="H906" s="330"/>
      <c r="I906" s="328"/>
      <c r="J906" s="249"/>
      <c r="K906" s="330"/>
      <c r="L906" s="250"/>
      <c r="M906" s="249"/>
      <c r="N906" s="330"/>
      <c r="O906" s="250"/>
      <c r="P906" s="249"/>
      <c r="Q906" s="330"/>
      <c r="R906" s="250"/>
      <c r="S906" s="249"/>
      <c r="T906" s="330"/>
      <c r="U906" s="250"/>
      <c r="V906" s="249"/>
      <c r="W906" s="330"/>
      <c r="X906" s="343"/>
      <c r="Y906" s="249"/>
      <c r="Z906" s="330"/>
      <c r="AA906" s="343"/>
      <c r="AB906" s="249"/>
      <c r="AC906" s="330"/>
      <c r="AD906" s="343"/>
      <c r="AE906" s="249"/>
      <c r="AF906" s="330"/>
      <c r="AG906" s="343"/>
      <c r="AH906" s="249"/>
      <c r="AI906" s="330"/>
      <c r="AJ906" s="343"/>
      <c r="AK906" s="249"/>
      <c r="AL906" s="330"/>
      <c r="AM906" s="343"/>
      <c r="AN906" s="249"/>
      <c r="AO906" s="330"/>
      <c r="AP906" s="343"/>
      <c r="AQ906" s="249"/>
      <c r="AR906" s="330"/>
      <c r="AS906" s="343"/>
      <c r="AT906" s="249"/>
      <c r="AU906" s="330"/>
    </row>
    <row r="907" spans="2:47">
      <c r="B907" s="247">
        <f>'Table S2 Compound Identifiers'!C909</f>
        <v>0</v>
      </c>
      <c r="C907" s="247">
        <f>COUNTIF($D$6:D907,"&lt;&gt;"&amp;"")</f>
        <v>902</v>
      </c>
      <c r="D907" s="247">
        <f>'Table S2 Compound Identifiers'!B909</f>
        <v>0</v>
      </c>
      <c r="E907" s="247"/>
      <c r="F907" s="248"/>
      <c r="G907" s="249"/>
      <c r="H907" s="330"/>
      <c r="I907" s="328"/>
      <c r="J907" s="249"/>
      <c r="K907" s="330"/>
      <c r="L907" s="250"/>
      <c r="M907" s="249"/>
      <c r="N907" s="330"/>
      <c r="O907" s="250"/>
      <c r="P907" s="249"/>
      <c r="Q907" s="330"/>
      <c r="R907" s="250"/>
      <c r="S907" s="249"/>
      <c r="T907" s="330"/>
      <c r="U907" s="250"/>
      <c r="V907" s="249"/>
      <c r="W907" s="330"/>
      <c r="X907" s="343"/>
      <c r="Y907" s="249"/>
      <c r="Z907" s="330"/>
      <c r="AA907" s="343"/>
      <c r="AB907" s="249"/>
      <c r="AC907" s="330"/>
      <c r="AD907" s="343"/>
      <c r="AE907" s="249"/>
      <c r="AF907" s="330"/>
      <c r="AG907" s="343"/>
      <c r="AH907" s="249"/>
      <c r="AI907" s="330"/>
      <c r="AJ907" s="343"/>
      <c r="AK907" s="249"/>
      <c r="AL907" s="330"/>
      <c r="AM907" s="343"/>
      <c r="AN907" s="249"/>
      <c r="AO907" s="330"/>
      <c r="AP907" s="343"/>
      <c r="AQ907" s="249"/>
      <c r="AR907" s="330"/>
      <c r="AS907" s="343"/>
      <c r="AT907" s="249"/>
      <c r="AU907" s="330"/>
    </row>
    <row r="908" spans="2:47">
      <c r="B908" s="247">
        <f>'Table S2 Compound Identifiers'!C910</f>
        <v>0</v>
      </c>
      <c r="C908" s="247">
        <f>COUNTIF($D$6:D908,"&lt;&gt;"&amp;"")</f>
        <v>903</v>
      </c>
      <c r="D908" s="247">
        <f>'Table S2 Compound Identifiers'!B910</f>
        <v>0</v>
      </c>
      <c r="E908" s="247"/>
      <c r="F908" s="248"/>
      <c r="G908" s="249"/>
      <c r="H908" s="330"/>
      <c r="I908" s="328"/>
      <c r="J908" s="249"/>
      <c r="K908" s="330"/>
      <c r="L908" s="250"/>
      <c r="M908" s="249"/>
      <c r="N908" s="330"/>
      <c r="O908" s="250"/>
      <c r="P908" s="249"/>
      <c r="Q908" s="330"/>
      <c r="R908" s="250"/>
      <c r="S908" s="249"/>
      <c r="T908" s="330"/>
      <c r="U908" s="250"/>
      <c r="V908" s="249"/>
      <c r="W908" s="330"/>
      <c r="X908" s="343"/>
      <c r="Y908" s="249"/>
      <c r="Z908" s="330"/>
      <c r="AA908" s="343"/>
      <c r="AB908" s="249"/>
      <c r="AC908" s="330"/>
      <c r="AD908" s="343"/>
      <c r="AE908" s="249"/>
      <c r="AF908" s="330"/>
      <c r="AG908" s="343"/>
      <c r="AH908" s="249"/>
      <c r="AI908" s="330"/>
      <c r="AJ908" s="343"/>
      <c r="AK908" s="249"/>
      <c r="AL908" s="330"/>
      <c r="AM908" s="343"/>
      <c r="AN908" s="249"/>
      <c r="AO908" s="330"/>
      <c r="AP908" s="343"/>
      <c r="AQ908" s="249"/>
      <c r="AR908" s="330"/>
      <c r="AS908" s="343"/>
      <c r="AT908" s="249"/>
      <c r="AU908" s="330"/>
    </row>
    <row r="909" spans="2:47">
      <c r="B909" s="247">
        <f>'Table S2 Compound Identifiers'!C911</f>
        <v>0</v>
      </c>
      <c r="C909" s="247">
        <f>COUNTIF($D$6:D909,"&lt;&gt;"&amp;"")</f>
        <v>904</v>
      </c>
      <c r="D909" s="247">
        <f>'Table S2 Compound Identifiers'!B911</f>
        <v>0</v>
      </c>
      <c r="E909" s="247"/>
      <c r="F909" s="248"/>
      <c r="G909" s="249"/>
      <c r="H909" s="330"/>
      <c r="I909" s="328"/>
      <c r="J909" s="249"/>
      <c r="K909" s="330"/>
      <c r="L909" s="250"/>
      <c r="M909" s="249"/>
      <c r="N909" s="330"/>
      <c r="O909" s="250"/>
      <c r="P909" s="249"/>
      <c r="Q909" s="330"/>
      <c r="R909" s="250"/>
      <c r="S909" s="249"/>
      <c r="T909" s="330"/>
      <c r="U909" s="250"/>
      <c r="V909" s="249"/>
      <c r="W909" s="330"/>
      <c r="X909" s="343"/>
      <c r="Y909" s="249"/>
      <c r="Z909" s="330"/>
      <c r="AA909" s="343"/>
      <c r="AB909" s="249"/>
      <c r="AC909" s="330"/>
      <c r="AD909" s="343"/>
      <c r="AE909" s="249"/>
      <c r="AF909" s="330"/>
      <c r="AG909" s="343"/>
      <c r="AH909" s="249"/>
      <c r="AI909" s="330"/>
      <c r="AJ909" s="343"/>
      <c r="AK909" s="249"/>
      <c r="AL909" s="330"/>
      <c r="AM909" s="343"/>
      <c r="AN909" s="249"/>
      <c r="AO909" s="330"/>
      <c r="AP909" s="343"/>
      <c r="AQ909" s="249"/>
      <c r="AR909" s="330"/>
      <c r="AS909" s="343"/>
      <c r="AT909" s="249"/>
      <c r="AU909" s="330"/>
    </row>
    <row r="910" spans="2:47">
      <c r="B910" s="247">
        <f>'Table S2 Compound Identifiers'!C912</f>
        <v>0</v>
      </c>
      <c r="C910" s="247">
        <f>COUNTIF($D$6:D910,"&lt;&gt;"&amp;"")</f>
        <v>905</v>
      </c>
      <c r="D910" s="247">
        <f>'Table S2 Compound Identifiers'!B912</f>
        <v>0</v>
      </c>
      <c r="E910" s="247"/>
      <c r="F910" s="248"/>
      <c r="G910" s="249"/>
      <c r="H910" s="330"/>
      <c r="I910" s="328"/>
      <c r="J910" s="249"/>
      <c r="K910" s="330"/>
      <c r="L910" s="250"/>
      <c r="M910" s="249"/>
      <c r="N910" s="330"/>
      <c r="O910" s="250"/>
      <c r="P910" s="249"/>
      <c r="Q910" s="330"/>
      <c r="R910" s="250"/>
      <c r="S910" s="249"/>
      <c r="T910" s="330"/>
      <c r="U910" s="250"/>
      <c r="V910" s="249"/>
      <c r="W910" s="330"/>
      <c r="X910" s="343"/>
      <c r="Y910" s="249"/>
      <c r="Z910" s="330"/>
      <c r="AA910" s="343"/>
      <c r="AB910" s="249"/>
      <c r="AC910" s="330"/>
      <c r="AD910" s="343"/>
      <c r="AE910" s="249"/>
      <c r="AF910" s="330"/>
      <c r="AG910" s="343"/>
      <c r="AH910" s="249"/>
      <c r="AI910" s="330"/>
      <c r="AJ910" s="343"/>
      <c r="AK910" s="249"/>
      <c r="AL910" s="330"/>
      <c r="AM910" s="343"/>
      <c r="AN910" s="249"/>
      <c r="AO910" s="330"/>
      <c r="AP910" s="343"/>
      <c r="AQ910" s="249"/>
      <c r="AR910" s="330"/>
      <c r="AS910" s="343"/>
      <c r="AT910" s="249"/>
      <c r="AU910" s="330"/>
    </row>
    <row r="911" spans="2:47">
      <c r="B911" s="247">
        <f>'Table S2 Compound Identifiers'!C913</f>
        <v>0</v>
      </c>
      <c r="C911" s="247">
        <f>COUNTIF($D$6:D911,"&lt;&gt;"&amp;"")</f>
        <v>906</v>
      </c>
      <c r="D911" s="247">
        <f>'Table S2 Compound Identifiers'!B913</f>
        <v>0</v>
      </c>
      <c r="E911" s="247"/>
      <c r="F911" s="248"/>
      <c r="G911" s="249"/>
      <c r="H911" s="330"/>
      <c r="I911" s="328"/>
      <c r="J911" s="249"/>
      <c r="K911" s="330"/>
      <c r="L911" s="250"/>
      <c r="M911" s="249"/>
      <c r="N911" s="330"/>
      <c r="O911" s="250"/>
      <c r="P911" s="249"/>
      <c r="Q911" s="330"/>
      <c r="R911" s="250"/>
      <c r="S911" s="249"/>
      <c r="T911" s="330"/>
      <c r="U911" s="250"/>
      <c r="V911" s="249"/>
      <c r="W911" s="330"/>
      <c r="X911" s="343"/>
      <c r="Y911" s="249"/>
      <c r="Z911" s="330"/>
      <c r="AA911" s="343"/>
      <c r="AB911" s="249"/>
      <c r="AC911" s="330"/>
      <c r="AD911" s="343"/>
      <c r="AE911" s="249"/>
      <c r="AF911" s="330"/>
      <c r="AG911" s="343"/>
      <c r="AH911" s="249"/>
      <c r="AI911" s="330"/>
      <c r="AJ911" s="343"/>
      <c r="AK911" s="249"/>
      <c r="AL911" s="330"/>
      <c r="AM911" s="343"/>
      <c r="AN911" s="249"/>
      <c r="AO911" s="330"/>
      <c r="AP911" s="343"/>
      <c r="AQ911" s="249"/>
      <c r="AR911" s="330"/>
      <c r="AS911" s="343"/>
      <c r="AT911" s="249"/>
      <c r="AU911" s="330"/>
    </row>
    <row r="912" spans="2:47">
      <c r="B912" s="247">
        <f>'Table S2 Compound Identifiers'!C914</f>
        <v>0</v>
      </c>
      <c r="C912" s="247">
        <f>COUNTIF($D$6:D912,"&lt;&gt;"&amp;"")</f>
        <v>907</v>
      </c>
      <c r="D912" s="247">
        <f>'Table S2 Compound Identifiers'!B914</f>
        <v>0</v>
      </c>
      <c r="E912" s="247"/>
      <c r="F912" s="248"/>
      <c r="G912" s="249"/>
      <c r="H912" s="330"/>
      <c r="I912" s="328"/>
      <c r="J912" s="249"/>
      <c r="K912" s="330"/>
      <c r="L912" s="250"/>
      <c r="M912" s="249"/>
      <c r="N912" s="330"/>
      <c r="O912" s="250"/>
      <c r="P912" s="249"/>
      <c r="Q912" s="330"/>
      <c r="R912" s="250"/>
      <c r="S912" s="249"/>
      <c r="T912" s="330"/>
      <c r="U912" s="250"/>
      <c r="V912" s="249"/>
      <c r="W912" s="330"/>
      <c r="X912" s="343"/>
      <c r="Y912" s="249"/>
      <c r="Z912" s="330"/>
      <c r="AA912" s="343"/>
      <c r="AB912" s="249"/>
      <c r="AC912" s="330"/>
      <c r="AD912" s="343"/>
      <c r="AE912" s="249"/>
      <c r="AF912" s="330"/>
      <c r="AG912" s="343"/>
      <c r="AH912" s="249"/>
      <c r="AI912" s="330"/>
      <c r="AJ912" s="343"/>
      <c r="AK912" s="249"/>
      <c r="AL912" s="330"/>
      <c r="AM912" s="343"/>
      <c r="AN912" s="249"/>
      <c r="AO912" s="330"/>
      <c r="AP912" s="343"/>
      <c r="AQ912" s="249"/>
      <c r="AR912" s="330"/>
      <c r="AS912" s="343"/>
      <c r="AT912" s="249"/>
      <c r="AU912" s="330"/>
    </row>
    <row r="913" spans="2:47">
      <c r="B913" s="247">
        <f>'Table S2 Compound Identifiers'!C915</f>
        <v>0</v>
      </c>
      <c r="C913" s="247">
        <f>COUNTIF($D$6:D913,"&lt;&gt;"&amp;"")</f>
        <v>908</v>
      </c>
      <c r="D913" s="247">
        <f>'Table S2 Compound Identifiers'!B915</f>
        <v>0</v>
      </c>
      <c r="E913" s="247"/>
      <c r="F913" s="248"/>
      <c r="G913" s="249"/>
      <c r="H913" s="330"/>
      <c r="I913" s="328"/>
      <c r="J913" s="249"/>
      <c r="K913" s="330"/>
      <c r="L913" s="250"/>
      <c r="M913" s="249"/>
      <c r="N913" s="330"/>
      <c r="O913" s="250"/>
      <c r="P913" s="249"/>
      <c r="Q913" s="330"/>
      <c r="R913" s="250"/>
      <c r="S913" s="249"/>
      <c r="T913" s="330"/>
      <c r="U913" s="250"/>
      <c r="V913" s="249"/>
      <c r="W913" s="330"/>
      <c r="X913" s="343"/>
      <c r="Y913" s="249"/>
      <c r="Z913" s="330"/>
      <c r="AA913" s="343"/>
      <c r="AB913" s="249"/>
      <c r="AC913" s="330"/>
      <c r="AD913" s="343"/>
      <c r="AE913" s="249"/>
      <c r="AF913" s="330"/>
      <c r="AG913" s="343"/>
      <c r="AH913" s="249"/>
      <c r="AI913" s="330"/>
      <c r="AJ913" s="343"/>
      <c r="AK913" s="249"/>
      <c r="AL913" s="330"/>
      <c r="AM913" s="343"/>
      <c r="AN913" s="249"/>
      <c r="AO913" s="330"/>
      <c r="AP913" s="343"/>
      <c r="AQ913" s="249"/>
      <c r="AR913" s="330"/>
      <c r="AS913" s="343"/>
      <c r="AT913" s="249"/>
      <c r="AU913" s="330"/>
    </row>
    <row r="914" spans="2:47">
      <c r="B914" s="247">
        <f>'Table S2 Compound Identifiers'!C916</f>
        <v>0</v>
      </c>
      <c r="C914" s="247">
        <f>COUNTIF($D$6:D914,"&lt;&gt;"&amp;"")</f>
        <v>909</v>
      </c>
      <c r="D914" s="247">
        <f>'Table S2 Compound Identifiers'!B916</f>
        <v>0</v>
      </c>
      <c r="E914" s="247"/>
      <c r="F914" s="248"/>
      <c r="G914" s="249"/>
      <c r="H914" s="330"/>
      <c r="I914" s="328"/>
      <c r="J914" s="249"/>
      <c r="K914" s="330"/>
      <c r="L914" s="250"/>
      <c r="M914" s="249"/>
      <c r="N914" s="330"/>
      <c r="O914" s="250"/>
      <c r="P914" s="249"/>
      <c r="Q914" s="330"/>
      <c r="R914" s="250"/>
      <c r="S914" s="249"/>
      <c r="T914" s="330"/>
      <c r="U914" s="250"/>
      <c r="V914" s="249"/>
      <c r="W914" s="330"/>
      <c r="X914" s="343"/>
      <c r="Y914" s="249"/>
      <c r="Z914" s="330"/>
      <c r="AA914" s="343"/>
      <c r="AB914" s="249"/>
      <c r="AC914" s="330"/>
      <c r="AD914" s="343"/>
      <c r="AE914" s="249"/>
      <c r="AF914" s="330"/>
      <c r="AG914" s="343"/>
      <c r="AH914" s="249"/>
      <c r="AI914" s="330"/>
      <c r="AJ914" s="343"/>
      <c r="AK914" s="249"/>
      <c r="AL914" s="330"/>
      <c r="AM914" s="343"/>
      <c r="AN914" s="249"/>
      <c r="AO914" s="330"/>
      <c r="AP914" s="343"/>
      <c r="AQ914" s="249"/>
      <c r="AR914" s="330"/>
      <c r="AS914" s="343"/>
      <c r="AT914" s="249"/>
      <c r="AU914" s="330"/>
    </row>
    <row r="915" spans="2:47">
      <c r="B915" s="247">
        <f>'Table S2 Compound Identifiers'!C917</f>
        <v>0</v>
      </c>
      <c r="C915" s="247">
        <f>COUNTIF($D$6:D915,"&lt;&gt;"&amp;"")</f>
        <v>910</v>
      </c>
      <c r="D915" s="247">
        <f>'Table S2 Compound Identifiers'!B917</f>
        <v>0</v>
      </c>
      <c r="E915" s="247"/>
      <c r="F915" s="248"/>
      <c r="G915" s="249"/>
      <c r="H915" s="330"/>
      <c r="I915" s="328"/>
      <c r="J915" s="249"/>
      <c r="K915" s="330"/>
      <c r="L915" s="250"/>
      <c r="M915" s="249"/>
      <c r="N915" s="330"/>
      <c r="O915" s="250"/>
      <c r="P915" s="249"/>
      <c r="Q915" s="330"/>
      <c r="R915" s="250"/>
      <c r="S915" s="249"/>
      <c r="T915" s="330"/>
      <c r="U915" s="250"/>
      <c r="V915" s="249"/>
      <c r="W915" s="330"/>
      <c r="X915" s="343"/>
      <c r="Y915" s="249"/>
      <c r="Z915" s="330"/>
      <c r="AA915" s="343"/>
      <c r="AB915" s="249"/>
      <c r="AC915" s="330"/>
      <c r="AD915" s="343"/>
      <c r="AE915" s="249"/>
      <c r="AF915" s="330"/>
      <c r="AG915" s="343"/>
      <c r="AH915" s="249"/>
      <c r="AI915" s="330"/>
      <c r="AJ915" s="343"/>
      <c r="AK915" s="249"/>
      <c r="AL915" s="330"/>
      <c r="AM915" s="343"/>
      <c r="AN915" s="249"/>
      <c r="AO915" s="330"/>
      <c r="AP915" s="343"/>
      <c r="AQ915" s="249"/>
      <c r="AR915" s="330"/>
      <c r="AS915" s="343"/>
      <c r="AT915" s="249"/>
      <c r="AU915" s="330"/>
    </row>
    <row r="916" spans="2:47">
      <c r="B916" s="247">
        <f>'Table S2 Compound Identifiers'!C918</f>
        <v>0</v>
      </c>
      <c r="C916" s="247">
        <f>COUNTIF($D$6:D916,"&lt;&gt;"&amp;"")</f>
        <v>911</v>
      </c>
      <c r="D916" s="247">
        <f>'Table S2 Compound Identifiers'!B918</f>
        <v>0</v>
      </c>
      <c r="E916" s="247"/>
      <c r="F916" s="248"/>
      <c r="G916" s="249"/>
      <c r="H916" s="330"/>
      <c r="I916" s="328"/>
      <c r="J916" s="249"/>
      <c r="K916" s="330"/>
      <c r="L916" s="250"/>
      <c r="M916" s="249"/>
      <c r="N916" s="330"/>
      <c r="O916" s="250"/>
      <c r="P916" s="249"/>
      <c r="Q916" s="330"/>
      <c r="R916" s="250"/>
      <c r="S916" s="249"/>
      <c r="T916" s="330"/>
      <c r="U916" s="250"/>
      <c r="V916" s="249"/>
      <c r="W916" s="330"/>
      <c r="X916" s="343"/>
      <c r="Y916" s="249"/>
      <c r="Z916" s="330"/>
      <c r="AA916" s="343"/>
      <c r="AB916" s="249"/>
      <c r="AC916" s="330"/>
      <c r="AD916" s="343"/>
      <c r="AE916" s="249"/>
      <c r="AF916" s="330"/>
      <c r="AG916" s="343"/>
      <c r="AH916" s="249"/>
      <c r="AI916" s="330"/>
      <c r="AJ916" s="343"/>
      <c r="AK916" s="249"/>
      <c r="AL916" s="330"/>
      <c r="AM916" s="343"/>
      <c r="AN916" s="249"/>
      <c r="AO916" s="330"/>
      <c r="AP916" s="343"/>
      <c r="AQ916" s="249"/>
      <c r="AR916" s="330"/>
      <c r="AS916" s="343"/>
      <c r="AT916" s="249"/>
      <c r="AU916" s="330"/>
    </row>
    <row r="917" spans="2:47">
      <c r="B917" s="247">
        <f>'Table S2 Compound Identifiers'!C919</f>
        <v>0</v>
      </c>
      <c r="C917" s="247">
        <f>COUNTIF($D$6:D917,"&lt;&gt;"&amp;"")</f>
        <v>912</v>
      </c>
      <c r="D917" s="247">
        <f>'Table S2 Compound Identifiers'!B919</f>
        <v>0</v>
      </c>
      <c r="E917" s="247"/>
      <c r="F917" s="248"/>
      <c r="G917" s="249"/>
      <c r="H917" s="330"/>
      <c r="I917" s="328"/>
      <c r="J917" s="249"/>
      <c r="K917" s="330"/>
      <c r="L917" s="250"/>
      <c r="M917" s="249"/>
      <c r="N917" s="330"/>
      <c r="O917" s="250"/>
      <c r="P917" s="249"/>
      <c r="Q917" s="330"/>
      <c r="R917" s="250"/>
      <c r="S917" s="249"/>
      <c r="T917" s="330"/>
      <c r="U917" s="250"/>
      <c r="V917" s="249"/>
      <c r="W917" s="330"/>
      <c r="X917" s="343"/>
      <c r="Y917" s="249"/>
      <c r="Z917" s="330"/>
      <c r="AA917" s="343"/>
      <c r="AB917" s="249"/>
      <c r="AC917" s="330"/>
      <c r="AD917" s="343"/>
      <c r="AE917" s="249"/>
      <c r="AF917" s="330"/>
      <c r="AG917" s="343"/>
      <c r="AH917" s="249"/>
      <c r="AI917" s="330"/>
      <c r="AJ917" s="343"/>
      <c r="AK917" s="249"/>
      <c r="AL917" s="330"/>
      <c r="AM917" s="343"/>
      <c r="AN917" s="249"/>
      <c r="AO917" s="330"/>
      <c r="AP917" s="343"/>
      <c r="AQ917" s="249"/>
      <c r="AR917" s="330"/>
      <c r="AS917" s="343"/>
      <c r="AT917" s="249"/>
      <c r="AU917" s="330"/>
    </row>
    <row r="918" spans="2:47">
      <c r="B918" s="247">
        <f>'Table S2 Compound Identifiers'!C920</f>
        <v>0</v>
      </c>
      <c r="C918" s="247">
        <f>COUNTIF($D$6:D918,"&lt;&gt;"&amp;"")</f>
        <v>913</v>
      </c>
      <c r="D918" s="247">
        <f>'Table S2 Compound Identifiers'!B920</f>
        <v>0</v>
      </c>
      <c r="E918" s="247"/>
      <c r="F918" s="248"/>
      <c r="G918" s="249"/>
      <c r="H918" s="330"/>
      <c r="I918" s="328"/>
      <c r="J918" s="249"/>
      <c r="K918" s="330"/>
      <c r="L918" s="250"/>
      <c r="M918" s="249"/>
      <c r="N918" s="330"/>
      <c r="O918" s="250"/>
      <c r="P918" s="249"/>
      <c r="Q918" s="330"/>
      <c r="R918" s="250"/>
      <c r="S918" s="249"/>
      <c r="T918" s="330"/>
      <c r="U918" s="250"/>
      <c r="V918" s="249"/>
      <c r="W918" s="330"/>
      <c r="X918" s="343"/>
      <c r="Y918" s="249"/>
      <c r="Z918" s="330"/>
      <c r="AA918" s="343"/>
      <c r="AB918" s="249"/>
      <c r="AC918" s="330"/>
      <c r="AD918" s="343"/>
      <c r="AE918" s="249"/>
      <c r="AF918" s="330"/>
      <c r="AG918" s="343"/>
      <c r="AH918" s="249"/>
      <c r="AI918" s="330"/>
      <c r="AJ918" s="343"/>
      <c r="AK918" s="249"/>
      <c r="AL918" s="330"/>
      <c r="AM918" s="343"/>
      <c r="AN918" s="249"/>
      <c r="AO918" s="330"/>
      <c r="AP918" s="343"/>
      <c r="AQ918" s="249"/>
      <c r="AR918" s="330"/>
      <c r="AS918" s="343"/>
      <c r="AT918" s="249"/>
      <c r="AU918" s="330"/>
    </row>
    <row r="919" spans="2:47">
      <c r="B919" s="247">
        <f>'Table S2 Compound Identifiers'!C921</f>
        <v>0</v>
      </c>
      <c r="C919" s="247">
        <f>COUNTIF($D$6:D919,"&lt;&gt;"&amp;"")</f>
        <v>914</v>
      </c>
      <c r="D919" s="247">
        <f>'Table S2 Compound Identifiers'!B921</f>
        <v>0</v>
      </c>
      <c r="E919" s="247"/>
      <c r="F919" s="248"/>
      <c r="G919" s="249"/>
      <c r="H919" s="330"/>
      <c r="I919" s="328"/>
      <c r="J919" s="249"/>
      <c r="K919" s="330"/>
      <c r="L919" s="250"/>
      <c r="M919" s="249"/>
      <c r="N919" s="330"/>
      <c r="O919" s="250"/>
      <c r="P919" s="249"/>
      <c r="Q919" s="330"/>
      <c r="R919" s="250"/>
      <c r="S919" s="249"/>
      <c r="T919" s="330"/>
      <c r="U919" s="250"/>
      <c r="V919" s="249"/>
      <c r="W919" s="330"/>
      <c r="X919" s="343"/>
      <c r="Y919" s="249"/>
      <c r="Z919" s="330"/>
      <c r="AA919" s="343"/>
      <c r="AB919" s="249"/>
      <c r="AC919" s="330"/>
      <c r="AD919" s="343"/>
      <c r="AE919" s="249"/>
      <c r="AF919" s="330"/>
      <c r="AG919" s="343"/>
      <c r="AH919" s="249"/>
      <c r="AI919" s="330"/>
      <c r="AJ919" s="343"/>
      <c r="AK919" s="249"/>
      <c r="AL919" s="330"/>
      <c r="AM919" s="343"/>
      <c r="AN919" s="249"/>
      <c r="AO919" s="330"/>
      <c r="AP919" s="343"/>
      <c r="AQ919" s="249"/>
      <c r="AR919" s="330"/>
      <c r="AS919" s="343"/>
      <c r="AT919" s="249"/>
      <c r="AU919" s="330"/>
    </row>
    <row r="920" spans="2:47">
      <c r="B920" s="247">
        <f>'Table S2 Compound Identifiers'!C922</f>
        <v>0</v>
      </c>
      <c r="C920" s="247">
        <f>COUNTIF($D$6:D920,"&lt;&gt;"&amp;"")</f>
        <v>915</v>
      </c>
      <c r="D920" s="247">
        <f>'Table S2 Compound Identifiers'!B922</f>
        <v>0</v>
      </c>
      <c r="E920" s="247"/>
      <c r="F920" s="248"/>
      <c r="G920" s="249"/>
      <c r="H920" s="330"/>
      <c r="I920" s="328"/>
      <c r="J920" s="249"/>
      <c r="K920" s="330"/>
      <c r="L920" s="250"/>
      <c r="M920" s="249"/>
      <c r="N920" s="330"/>
      <c r="O920" s="250"/>
      <c r="P920" s="249"/>
      <c r="Q920" s="330"/>
      <c r="R920" s="250"/>
      <c r="S920" s="249"/>
      <c r="T920" s="330"/>
      <c r="U920" s="250"/>
      <c r="V920" s="249"/>
      <c r="W920" s="330"/>
      <c r="X920" s="343"/>
      <c r="Y920" s="249"/>
      <c r="Z920" s="330"/>
      <c r="AA920" s="343"/>
      <c r="AB920" s="249"/>
      <c r="AC920" s="330"/>
      <c r="AD920" s="343"/>
      <c r="AE920" s="249"/>
      <c r="AF920" s="330"/>
      <c r="AG920" s="343"/>
      <c r="AH920" s="249"/>
      <c r="AI920" s="330"/>
      <c r="AJ920" s="343"/>
      <c r="AK920" s="249"/>
      <c r="AL920" s="330"/>
      <c r="AM920" s="343"/>
      <c r="AN920" s="249"/>
      <c r="AO920" s="330"/>
      <c r="AP920" s="343"/>
      <c r="AQ920" s="249"/>
      <c r="AR920" s="330"/>
      <c r="AS920" s="343"/>
      <c r="AT920" s="249"/>
      <c r="AU920" s="330"/>
    </row>
    <row r="921" spans="2:47">
      <c r="B921" s="247">
        <f>'Table S2 Compound Identifiers'!C923</f>
        <v>0</v>
      </c>
      <c r="C921" s="247">
        <f>COUNTIF($D$6:D921,"&lt;&gt;"&amp;"")</f>
        <v>916</v>
      </c>
      <c r="D921" s="247">
        <f>'Table S2 Compound Identifiers'!B923</f>
        <v>0</v>
      </c>
      <c r="E921" s="247"/>
      <c r="F921" s="248"/>
      <c r="G921" s="249"/>
      <c r="H921" s="330"/>
      <c r="I921" s="328"/>
      <c r="J921" s="249"/>
      <c r="K921" s="330"/>
      <c r="L921" s="250"/>
      <c r="M921" s="249"/>
      <c r="N921" s="330"/>
      <c r="O921" s="250"/>
      <c r="P921" s="249"/>
      <c r="Q921" s="330"/>
      <c r="R921" s="250"/>
      <c r="S921" s="249"/>
      <c r="T921" s="330"/>
      <c r="U921" s="250"/>
      <c r="V921" s="249"/>
      <c r="W921" s="330"/>
      <c r="X921" s="343"/>
      <c r="Y921" s="249"/>
      <c r="Z921" s="330"/>
      <c r="AA921" s="343"/>
      <c r="AB921" s="249"/>
      <c r="AC921" s="330"/>
      <c r="AD921" s="343"/>
      <c r="AE921" s="249"/>
      <c r="AF921" s="330"/>
      <c r="AG921" s="343"/>
      <c r="AH921" s="249"/>
      <c r="AI921" s="330"/>
      <c r="AJ921" s="343"/>
      <c r="AK921" s="249"/>
      <c r="AL921" s="330"/>
      <c r="AM921" s="343"/>
      <c r="AN921" s="249"/>
      <c r="AO921" s="330"/>
      <c r="AP921" s="343"/>
      <c r="AQ921" s="249"/>
      <c r="AR921" s="330"/>
      <c r="AS921" s="343"/>
      <c r="AT921" s="249"/>
      <c r="AU921" s="330"/>
    </row>
    <row r="922" spans="2:47">
      <c r="B922" s="247">
        <f>'Table S2 Compound Identifiers'!C924</f>
        <v>0</v>
      </c>
      <c r="C922" s="247">
        <f>COUNTIF($D$6:D922,"&lt;&gt;"&amp;"")</f>
        <v>917</v>
      </c>
      <c r="D922" s="247">
        <f>'Table S2 Compound Identifiers'!B924</f>
        <v>0</v>
      </c>
      <c r="E922" s="247"/>
      <c r="F922" s="248"/>
      <c r="G922" s="249"/>
      <c r="H922" s="330"/>
      <c r="I922" s="328"/>
      <c r="J922" s="249"/>
      <c r="K922" s="330"/>
      <c r="L922" s="250"/>
      <c r="M922" s="249"/>
      <c r="N922" s="330"/>
      <c r="O922" s="250"/>
      <c r="P922" s="249"/>
      <c r="Q922" s="330"/>
      <c r="R922" s="250"/>
      <c r="S922" s="249"/>
      <c r="T922" s="330"/>
      <c r="U922" s="250"/>
      <c r="V922" s="249"/>
      <c r="W922" s="330"/>
      <c r="X922" s="343"/>
      <c r="Y922" s="249"/>
      <c r="Z922" s="330"/>
      <c r="AA922" s="343"/>
      <c r="AB922" s="249"/>
      <c r="AC922" s="330"/>
      <c r="AD922" s="343"/>
      <c r="AE922" s="249"/>
      <c r="AF922" s="330"/>
      <c r="AG922" s="343"/>
      <c r="AH922" s="249"/>
      <c r="AI922" s="330"/>
      <c r="AJ922" s="343"/>
      <c r="AK922" s="249"/>
      <c r="AL922" s="330"/>
      <c r="AM922" s="343"/>
      <c r="AN922" s="249"/>
      <c r="AO922" s="330"/>
      <c r="AP922" s="343"/>
      <c r="AQ922" s="249"/>
      <c r="AR922" s="330"/>
      <c r="AS922" s="343"/>
      <c r="AT922" s="249"/>
      <c r="AU922" s="330"/>
    </row>
    <row r="923" spans="2:47">
      <c r="B923" s="247">
        <f>'Table S2 Compound Identifiers'!C925</f>
        <v>0</v>
      </c>
      <c r="C923" s="247">
        <f>COUNTIF($D$6:D923,"&lt;&gt;"&amp;"")</f>
        <v>918</v>
      </c>
      <c r="D923" s="247">
        <f>'Table S2 Compound Identifiers'!B925</f>
        <v>0</v>
      </c>
      <c r="E923" s="247"/>
      <c r="F923" s="248"/>
      <c r="G923" s="249"/>
      <c r="H923" s="330"/>
      <c r="I923" s="328"/>
      <c r="J923" s="249"/>
      <c r="K923" s="330"/>
      <c r="L923" s="250"/>
      <c r="M923" s="249"/>
      <c r="N923" s="330"/>
      <c r="O923" s="250"/>
      <c r="P923" s="249"/>
      <c r="Q923" s="330"/>
      <c r="R923" s="250"/>
      <c r="S923" s="249"/>
      <c r="T923" s="330"/>
      <c r="U923" s="250"/>
      <c r="V923" s="249"/>
      <c r="W923" s="330"/>
      <c r="X923" s="343"/>
      <c r="Y923" s="249"/>
      <c r="Z923" s="330"/>
      <c r="AA923" s="343"/>
      <c r="AB923" s="249"/>
      <c r="AC923" s="330"/>
      <c r="AD923" s="343"/>
      <c r="AE923" s="249"/>
      <c r="AF923" s="330"/>
      <c r="AG923" s="343"/>
      <c r="AH923" s="249"/>
      <c r="AI923" s="330"/>
      <c r="AJ923" s="343"/>
      <c r="AK923" s="249"/>
      <c r="AL923" s="330"/>
      <c r="AM923" s="343"/>
      <c r="AN923" s="249"/>
      <c r="AO923" s="330"/>
      <c r="AP923" s="343"/>
      <c r="AQ923" s="249"/>
      <c r="AR923" s="330"/>
      <c r="AS923" s="343"/>
      <c r="AT923" s="249"/>
      <c r="AU923" s="330"/>
    </row>
    <row r="924" spans="2:47">
      <c r="B924" s="247">
        <f>'Table S2 Compound Identifiers'!C926</f>
        <v>0</v>
      </c>
      <c r="C924" s="247">
        <f>COUNTIF($D$6:D924,"&lt;&gt;"&amp;"")</f>
        <v>919</v>
      </c>
      <c r="D924" s="247">
        <f>'Table S2 Compound Identifiers'!B926</f>
        <v>0</v>
      </c>
      <c r="E924" s="247"/>
      <c r="F924" s="248"/>
      <c r="G924" s="249"/>
      <c r="H924" s="330"/>
      <c r="I924" s="328"/>
      <c r="J924" s="249"/>
      <c r="K924" s="330"/>
      <c r="L924" s="250"/>
      <c r="M924" s="249"/>
      <c r="N924" s="330"/>
      <c r="O924" s="250"/>
      <c r="P924" s="249"/>
      <c r="Q924" s="330"/>
      <c r="R924" s="250"/>
      <c r="S924" s="249"/>
      <c r="T924" s="330"/>
      <c r="U924" s="250"/>
      <c r="V924" s="249"/>
      <c r="W924" s="330"/>
      <c r="X924" s="343"/>
      <c r="Y924" s="249"/>
      <c r="Z924" s="330"/>
      <c r="AA924" s="343"/>
      <c r="AB924" s="249"/>
      <c r="AC924" s="330"/>
      <c r="AD924" s="343"/>
      <c r="AE924" s="249"/>
      <c r="AF924" s="330"/>
      <c r="AG924" s="343"/>
      <c r="AH924" s="249"/>
      <c r="AI924" s="330"/>
      <c r="AJ924" s="343"/>
      <c r="AK924" s="249"/>
      <c r="AL924" s="330"/>
      <c r="AM924" s="343"/>
      <c r="AN924" s="249"/>
      <c r="AO924" s="330"/>
      <c r="AP924" s="343"/>
      <c r="AQ924" s="249"/>
      <c r="AR924" s="330"/>
      <c r="AS924" s="343"/>
      <c r="AT924" s="249"/>
      <c r="AU924" s="330"/>
    </row>
    <row r="925" spans="2:47">
      <c r="B925" s="247">
        <f>'Table S2 Compound Identifiers'!C927</f>
        <v>0</v>
      </c>
      <c r="C925" s="247">
        <f>COUNTIF($D$6:D925,"&lt;&gt;"&amp;"")</f>
        <v>920</v>
      </c>
      <c r="D925" s="247">
        <f>'Table S2 Compound Identifiers'!B927</f>
        <v>0</v>
      </c>
      <c r="E925" s="247"/>
      <c r="F925" s="248"/>
      <c r="G925" s="249"/>
      <c r="H925" s="330"/>
      <c r="I925" s="328"/>
      <c r="J925" s="249"/>
      <c r="K925" s="330"/>
      <c r="L925" s="250"/>
      <c r="M925" s="249"/>
      <c r="N925" s="330"/>
      <c r="O925" s="250"/>
      <c r="P925" s="249"/>
      <c r="Q925" s="330"/>
      <c r="R925" s="250"/>
      <c r="S925" s="249"/>
      <c r="T925" s="330"/>
      <c r="U925" s="250"/>
      <c r="V925" s="249"/>
      <c r="W925" s="330"/>
      <c r="X925" s="343"/>
      <c r="Y925" s="249"/>
      <c r="Z925" s="330"/>
      <c r="AA925" s="343"/>
      <c r="AB925" s="249"/>
      <c r="AC925" s="330"/>
      <c r="AD925" s="343"/>
      <c r="AE925" s="249"/>
      <c r="AF925" s="330"/>
      <c r="AG925" s="343"/>
      <c r="AH925" s="249"/>
      <c r="AI925" s="330"/>
      <c r="AJ925" s="343"/>
      <c r="AK925" s="249"/>
      <c r="AL925" s="330"/>
      <c r="AM925" s="343"/>
      <c r="AN925" s="249"/>
      <c r="AO925" s="330"/>
      <c r="AP925" s="343"/>
      <c r="AQ925" s="249"/>
      <c r="AR925" s="330"/>
      <c r="AS925" s="343"/>
      <c r="AT925" s="249"/>
      <c r="AU925" s="330"/>
    </row>
    <row r="926" spans="2:47">
      <c r="B926" s="247">
        <f>'Table S2 Compound Identifiers'!C928</f>
        <v>0</v>
      </c>
      <c r="C926" s="247">
        <f>COUNTIF($D$6:D926,"&lt;&gt;"&amp;"")</f>
        <v>921</v>
      </c>
      <c r="D926" s="247">
        <f>'Table S2 Compound Identifiers'!B928</f>
        <v>0</v>
      </c>
      <c r="E926" s="247"/>
      <c r="F926" s="248"/>
      <c r="G926" s="249"/>
      <c r="H926" s="330"/>
      <c r="I926" s="328"/>
      <c r="J926" s="249"/>
      <c r="K926" s="330"/>
      <c r="L926" s="250"/>
      <c r="M926" s="249"/>
      <c r="N926" s="330"/>
      <c r="O926" s="250"/>
      <c r="P926" s="249"/>
      <c r="Q926" s="330"/>
      <c r="R926" s="250"/>
      <c r="S926" s="249"/>
      <c r="T926" s="330"/>
      <c r="U926" s="250"/>
      <c r="V926" s="249"/>
      <c r="W926" s="330"/>
      <c r="X926" s="343"/>
      <c r="Y926" s="249"/>
      <c r="Z926" s="330"/>
      <c r="AA926" s="343"/>
      <c r="AB926" s="249"/>
      <c r="AC926" s="330"/>
      <c r="AD926" s="343"/>
      <c r="AE926" s="249"/>
      <c r="AF926" s="330"/>
      <c r="AG926" s="343"/>
      <c r="AH926" s="249"/>
      <c r="AI926" s="330"/>
      <c r="AJ926" s="343"/>
      <c r="AK926" s="249"/>
      <c r="AL926" s="330"/>
      <c r="AM926" s="343"/>
      <c r="AN926" s="249"/>
      <c r="AO926" s="330"/>
      <c r="AP926" s="343"/>
      <c r="AQ926" s="249"/>
      <c r="AR926" s="330"/>
      <c r="AS926" s="343"/>
      <c r="AT926" s="249"/>
      <c r="AU926" s="330"/>
    </row>
    <row r="927" spans="2:47">
      <c r="B927" s="247">
        <f>'Table S2 Compound Identifiers'!C929</f>
        <v>0</v>
      </c>
      <c r="C927" s="247">
        <f>COUNTIF($D$6:D927,"&lt;&gt;"&amp;"")</f>
        <v>922</v>
      </c>
      <c r="D927" s="247">
        <f>'Table S2 Compound Identifiers'!B929</f>
        <v>0</v>
      </c>
      <c r="E927" s="247"/>
      <c r="F927" s="248"/>
      <c r="G927" s="249"/>
      <c r="H927" s="330"/>
      <c r="I927" s="328"/>
      <c r="J927" s="249"/>
      <c r="K927" s="330"/>
      <c r="L927" s="250"/>
      <c r="M927" s="249"/>
      <c r="N927" s="330"/>
      <c r="O927" s="250"/>
      <c r="P927" s="249"/>
      <c r="Q927" s="330"/>
      <c r="R927" s="250"/>
      <c r="S927" s="249"/>
      <c r="T927" s="330"/>
      <c r="U927" s="250"/>
      <c r="V927" s="249"/>
      <c r="W927" s="330"/>
      <c r="X927" s="343"/>
      <c r="Y927" s="249"/>
      <c r="Z927" s="330"/>
      <c r="AA927" s="343"/>
      <c r="AB927" s="249"/>
      <c r="AC927" s="330"/>
      <c r="AD927" s="343"/>
      <c r="AE927" s="249"/>
      <c r="AF927" s="330"/>
      <c r="AG927" s="343"/>
      <c r="AH927" s="249"/>
      <c r="AI927" s="330"/>
      <c r="AJ927" s="343"/>
      <c r="AK927" s="249"/>
      <c r="AL927" s="330"/>
      <c r="AM927" s="343"/>
      <c r="AN927" s="249"/>
      <c r="AO927" s="330"/>
      <c r="AP927" s="343"/>
      <c r="AQ927" s="249"/>
      <c r="AR927" s="330"/>
      <c r="AS927" s="343"/>
      <c r="AT927" s="249"/>
      <c r="AU927" s="330"/>
    </row>
    <row r="928" spans="2:47">
      <c r="B928" s="247">
        <f>'Table S2 Compound Identifiers'!C930</f>
        <v>0</v>
      </c>
      <c r="C928" s="247">
        <f>COUNTIF($D$6:D928,"&lt;&gt;"&amp;"")</f>
        <v>923</v>
      </c>
      <c r="D928" s="247">
        <f>'Table S2 Compound Identifiers'!B930</f>
        <v>0</v>
      </c>
      <c r="E928" s="247"/>
      <c r="F928" s="248"/>
      <c r="G928" s="249"/>
      <c r="H928" s="330"/>
      <c r="I928" s="328"/>
      <c r="J928" s="249"/>
      <c r="K928" s="330"/>
      <c r="L928" s="250"/>
      <c r="M928" s="249"/>
      <c r="N928" s="330"/>
      <c r="O928" s="250"/>
      <c r="P928" s="249"/>
      <c r="Q928" s="330"/>
      <c r="R928" s="250"/>
      <c r="S928" s="249"/>
      <c r="T928" s="330"/>
      <c r="U928" s="250"/>
      <c r="V928" s="249"/>
      <c r="W928" s="330"/>
      <c r="X928" s="343"/>
      <c r="Y928" s="249"/>
      <c r="Z928" s="330"/>
      <c r="AA928" s="343"/>
      <c r="AB928" s="249"/>
      <c r="AC928" s="330"/>
      <c r="AD928" s="343"/>
      <c r="AE928" s="249"/>
      <c r="AF928" s="330"/>
      <c r="AG928" s="343"/>
      <c r="AH928" s="249"/>
      <c r="AI928" s="330"/>
      <c r="AJ928" s="343"/>
      <c r="AK928" s="249"/>
      <c r="AL928" s="330"/>
      <c r="AM928" s="343"/>
      <c r="AN928" s="249"/>
      <c r="AO928" s="330"/>
      <c r="AP928" s="343"/>
      <c r="AQ928" s="249"/>
      <c r="AR928" s="330"/>
      <c r="AS928" s="343"/>
      <c r="AT928" s="249"/>
      <c r="AU928" s="330"/>
    </row>
    <row r="929" spans="2:47">
      <c r="B929" s="247">
        <f>'Table S2 Compound Identifiers'!C931</f>
        <v>0</v>
      </c>
      <c r="C929" s="247">
        <f>COUNTIF($D$6:D929,"&lt;&gt;"&amp;"")</f>
        <v>924</v>
      </c>
      <c r="D929" s="247">
        <f>'Table S2 Compound Identifiers'!B931</f>
        <v>0</v>
      </c>
      <c r="E929" s="247"/>
      <c r="F929" s="248"/>
      <c r="G929" s="249"/>
      <c r="H929" s="330"/>
      <c r="I929" s="328"/>
      <c r="J929" s="249"/>
      <c r="K929" s="330"/>
      <c r="L929" s="250"/>
      <c r="M929" s="249"/>
      <c r="N929" s="330"/>
      <c r="O929" s="250"/>
      <c r="P929" s="249"/>
      <c r="Q929" s="330"/>
      <c r="R929" s="250"/>
      <c r="S929" s="249"/>
      <c r="T929" s="330"/>
      <c r="U929" s="250"/>
      <c r="V929" s="249"/>
      <c r="W929" s="330"/>
      <c r="X929" s="343"/>
      <c r="Y929" s="249"/>
      <c r="Z929" s="330"/>
      <c r="AA929" s="343"/>
      <c r="AB929" s="249"/>
      <c r="AC929" s="330"/>
      <c r="AD929" s="343"/>
      <c r="AE929" s="249"/>
      <c r="AF929" s="330"/>
      <c r="AG929" s="343"/>
      <c r="AH929" s="249"/>
      <c r="AI929" s="330"/>
      <c r="AJ929" s="343"/>
      <c r="AK929" s="249"/>
      <c r="AL929" s="330"/>
      <c r="AM929" s="343"/>
      <c r="AN929" s="249"/>
      <c r="AO929" s="330"/>
      <c r="AP929" s="343"/>
      <c r="AQ929" s="249"/>
      <c r="AR929" s="330"/>
      <c r="AS929" s="343"/>
      <c r="AT929" s="249"/>
      <c r="AU929" s="330"/>
    </row>
    <row r="930" spans="2:47">
      <c r="B930" s="247">
        <f>'Table S2 Compound Identifiers'!C932</f>
        <v>0</v>
      </c>
      <c r="C930" s="247">
        <f>COUNTIF($D$6:D930,"&lt;&gt;"&amp;"")</f>
        <v>925</v>
      </c>
      <c r="D930" s="247">
        <f>'Table S2 Compound Identifiers'!B932</f>
        <v>0</v>
      </c>
      <c r="E930" s="247"/>
      <c r="F930" s="248"/>
      <c r="G930" s="249"/>
      <c r="H930" s="330"/>
      <c r="I930" s="328"/>
      <c r="J930" s="249"/>
      <c r="K930" s="330"/>
      <c r="L930" s="250"/>
      <c r="M930" s="249"/>
      <c r="N930" s="330"/>
      <c r="O930" s="250"/>
      <c r="P930" s="249"/>
      <c r="Q930" s="330"/>
      <c r="R930" s="250"/>
      <c r="S930" s="249"/>
      <c r="T930" s="330"/>
      <c r="U930" s="250"/>
      <c r="V930" s="249"/>
      <c r="W930" s="330"/>
      <c r="X930" s="343"/>
      <c r="Y930" s="249"/>
      <c r="Z930" s="330"/>
      <c r="AA930" s="343"/>
      <c r="AB930" s="249"/>
      <c r="AC930" s="330"/>
      <c r="AD930" s="343"/>
      <c r="AE930" s="249"/>
      <c r="AF930" s="330"/>
      <c r="AG930" s="343"/>
      <c r="AH930" s="249"/>
      <c r="AI930" s="330"/>
      <c r="AJ930" s="343"/>
      <c r="AK930" s="249"/>
      <c r="AL930" s="330"/>
      <c r="AM930" s="343"/>
      <c r="AN930" s="249"/>
      <c r="AO930" s="330"/>
      <c r="AP930" s="343"/>
      <c r="AQ930" s="249"/>
      <c r="AR930" s="330"/>
      <c r="AS930" s="343"/>
      <c r="AT930" s="249"/>
      <c r="AU930" s="330"/>
    </row>
    <row r="931" spans="2:47">
      <c r="B931" s="247">
        <f>'Table S2 Compound Identifiers'!C933</f>
        <v>0</v>
      </c>
      <c r="C931" s="247">
        <f>COUNTIF($D$6:D931,"&lt;&gt;"&amp;"")</f>
        <v>926</v>
      </c>
      <c r="D931" s="247">
        <f>'Table S2 Compound Identifiers'!B933</f>
        <v>0</v>
      </c>
      <c r="E931" s="247"/>
      <c r="F931" s="248"/>
      <c r="G931" s="249"/>
      <c r="H931" s="330"/>
      <c r="I931" s="328"/>
      <c r="J931" s="249"/>
      <c r="K931" s="330"/>
      <c r="L931" s="250"/>
      <c r="M931" s="249"/>
      <c r="N931" s="330"/>
      <c r="O931" s="250"/>
      <c r="P931" s="249"/>
      <c r="Q931" s="330"/>
      <c r="R931" s="250"/>
      <c r="S931" s="249"/>
      <c r="T931" s="330"/>
      <c r="U931" s="250"/>
      <c r="V931" s="249"/>
      <c r="W931" s="330"/>
      <c r="X931" s="343"/>
      <c r="Y931" s="249"/>
      <c r="Z931" s="330"/>
      <c r="AA931" s="343"/>
      <c r="AB931" s="249"/>
      <c r="AC931" s="330"/>
      <c r="AD931" s="343"/>
      <c r="AE931" s="249"/>
      <c r="AF931" s="330"/>
      <c r="AG931" s="343"/>
      <c r="AH931" s="249"/>
      <c r="AI931" s="330"/>
      <c r="AJ931" s="343"/>
      <c r="AK931" s="249"/>
      <c r="AL931" s="330"/>
      <c r="AM931" s="343"/>
      <c r="AN931" s="249"/>
      <c r="AO931" s="330"/>
      <c r="AP931" s="343"/>
      <c r="AQ931" s="249"/>
      <c r="AR931" s="330"/>
      <c r="AS931" s="343"/>
      <c r="AT931" s="249"/>
      <c r="AU931" s="330"/>
    </row>
    <row r="932" spans="2:47">
      <c r="B932" s="247">
        <f>'Table S2 Compound Identifiers'!C934</f>
        <v>0</v>
      </c>
      <c r="C932" s="247">
        <f>COUNTIF($D$6:D932,"&lt;&gt;"&amp;"")</f>
        <v>927</v>
      </c>
      <c r="D932" s="247">
        <f>'Table S2 Compound Identifiers'!B934</f>
        <v>0</v>
      </c>
      <c r="E932" s="247"/>
      <c r="F932" s="248"/>
      <c r="G932" s="249"/>
      <c r="H932" s="330"/>
      <c r="I932" s="328"/>
      <c r="J932" s="249"/>
      <c r="K932" s="330"/>
      <c r="L932" s="250"/>
      <c r="M932" s="249"/>
      <c r="N932" s="330"/>
      <c r="O932" s="250"/>
      <c r="P932" s="249"/>
      <c r="Q932" s="330"/>
      <c r="R932" s="250"/>
      <c r="S932" s="249"/>
      <c r="T932" s="330"/>
      <c r="U932" s="250"/>
      <c r="V932" s="249"/>
      <c r="W932" s="330"/>
      <c r="X932" s="343"/>
      <c r="Y932" s="249"/>
      <c r="Z932" s="330"/>
      <c r="AA932" s="343"/>
      <c r="AB932" s="249"/>
      <c r="AC932" s="330"/>
      <c r="AD932" s="343"/>
      <c r="AE932" s="249"/>
      <c r="AF932" s="330"/>
      <c r="AG932" s="343"/>
      <c r="AH932" s="249"/>
      <c r="AI932" s="330"/>
      <c r="AJ932" s="343"/>
      <c r="AK932" s="249"/>
      <c r="AL932" s="330"/>
      <c r="AM932" s="343"/>
      <c r="AN932" s="249"/>
      <c r="AO932" s="330"/>
      <c r="AP932" s="343"/>
      <c r="AQ932" s="249"/>
      <c r="AR932" s="330"/>
      <c r="AS932" s="343"/>
      <c r="AT932" s="249"/>
      <c r="AU932" s="330"/>
    </row>
    <row r="933" spans="2:47">
      <c r="B933" s="247">
        <f>'Table S2 Compound Identifiers'!C935</f>
        <v>0</v>
      </c>
      <c r="C933" s="247">
        <f>COUNTIF($D$6:D933,"&lt;&gt;"&amp;"")</f>
        <v>928</v>
      </c>
      <c r="D933" s="247">
        <f>'Table S2 Compound Identifiers'!B935</f>
        <v>0</v>
      </c>
      <c r="E933" s="247"/>
      <c r="F933" s="248"/>
      <c r="G933" s="249"/>
      <c r="H933" s="330"/>
      <c r="I933" s="328"/>
      <c r="J933" s="249"/>
      <c r="K933" s="330"/>
      <c r="L933" s="250"/>
      <c r="M933" s="249"/>
      <c r="N933" s="330"/>
      <c r="O933" s="250"/>
      <c r="P933" s="249"/>
      <c r="Q933" s="330"/>
      <c r="R933" s="250"/>
      <c r="S933" s="249"/>
      <c r="T933" s="330"/>
      <c r="U933" s="250"/>
      <c r="V933" s="249"/>
      <c r="W933" s="330"/>
      <c r="X933" s="343"/>
      <c r="Y933" s="249"/>
      <c r="Z933" s="330"/>
      <c r="AA933" s="343"/>
      <c r="AB933" s="249"/>
      <c r="AC933" s="330"/>
      <c r="AD933" s="343"/>
      <c r="AE933" s="249"/>
      <c r="AF933" s="330"/>
      <c r="AG933" s="343"/>
      <c r="AH933" s="249"/>
      <c r="AI933" s="330"/>
      <c r="AJ933" s="343"/>
      <c r="AK933" s="249"/>
      <c r="AL933" s="330"/>
      <c r="AM933" s="343"/>
      <c r="AN933" s="249"/>
      <c r="AO933" s="330"/>
      <c r="AP933" s="343"/>
      <c r="AQ933" s="249"/>
      <c r="AR933" s="330"/>
      <c r="AS933" s="343"/>
      <c r="AT933" s="249"/>
      <c r="AU933" s="330"/>
    </row>
    <row r="934" spans="2:47">
      <c r="B934" s="247">
        <f>'Table S2 Compound Identifiers'!C936</f>
        <v>0</v>
      </c>
      <c r="C934" s="247">
        <f>COUNTIF($D$6:D934,"&lt;&gt;"&amp;"")</f>
        <v>929</v>
      </c>
      <c r="D934" s="247">
        <f>'Table S2 Compound Identifiers'!B936</f>
        <v>0</v>
      </c>
      <c r="E934" s="247"/>
      <c r="F934" s="248"/>
      <c r="G934" s="249"/>
      <c r="H934" s="330"/>
      <c r="I934" s="328"/>
      <c r="J934" s="249"/>
      <c r="K934" s="330"/>
      <c r="L934" s="250"/>
      <c r="M934" s="249"/>
      <c r="N934" s="330"/>
      <c r="O934" s="250"/>
      <c r="P934" s="249"/>
      <c r="Q934" s="330"/>
      <c r="R934" s="250"/>
      <c r="S934" s="249"/>
      <c r="T934" s="330"/>
      <c r="U934" s="250"/>
      <c r="V934" s="249"/>
      <c r="W934" s="330"/>
      <c r="X934" s="343"/>
      <c r="Y934" s="249"/>
      <c r="Z934" s="330"/>
      <c r="AA934" s="343"/>
      <c r="AB934" s="249"/>
      <c r="AC934" s="330"/>
      <c r="AD934" s="343"/>
      <c r="AE934" s="249"/>
      <c r="AF934" s="330"/>
      <c r="AG934" s="343"/>
      <c r="AH934" s="249"/>
      <c r="AI934" s="330"/>
      <c r="AJ934" s="343"/>
      <c r="AK934" s="249"/>
      <c r="AL934" s="330"/>
      <c r="AM934" s="343"/>
      <c r="AN934" s="249"/>
      <c r="AO934" s="330"/>
      <c r="AP934" s="343"/>
      <c r="AQ934" s="249"/>
      <c r="AR934" s="330"/>
      <c r="AS934" s="343"/>
      <c r="AT934" s="249"/>
      <c r="AU934" s="330"/>
    </row>
    <row r="935" spans="2:47">
      <c r="B935" s="247">
        <f>'Table S2 Compound Identifiers'!C937</f>
        <v>0</v>
      </c>
      <c r="C935" s="247">
        <f>COUNTIF($D$6:D935,"&lt;&gt;"&amp;"")</f>
        <v>930</v>
      </c>
      <c r="D935" s="247">
        <f>'Table S2 Compound Identifiers'!B937</f>
        <v>0</v>
      </c>
      <c r="E935" s="247"/>
      <c r="F935" s="248"/>
      <c r="G935" s="249"/>
      <c r="H935" s="330"/>
      <c r="I935" s="328"/>
      <c r="J935" s="249"/>
      <c r="K935" s="330"/>
      <c r="L935" s="250"/>
      <c r="M935" s="249"/>
      <c r="N935" s="330"/>
      <c r="O935" s="250"/>
      <c r="P935" s="249"/>
      <c r="Q935" s="330"/>
      <c r="R935" s="250"/>
      <c r="S935" s="249"/>
      <c r="T935" s="330"/>
      <c r="U935" s="250"/>
      <c r="V935" s="249"/>
      <c r="W935" s="330"/>
      <c r="X935" s="343"/>
      <c r="Y935" s="249"/>
      <c r="Z935" s="330"/>
      <c r="AA935" s="343"/>
      <c r="AB935" s="249"/>
      <c r="AC935" s="330"/>
      <c r="AD935" s="343"/>
      <c r="AE935" s="249"/>
      <c r="AF935" s="330"/>
      <c r="AG935" s="343"/>
      <c r="AH935" s="249"/>
      <c r="AI935" s="330"/>
      <c r="AJ935" s="343"/>
      <c r="AK935" s="249"/>
      <c r="AL935" s="330"/>
      <c r="AM935" s="343"/>
      <c r="AN935" s="249"/>
      <c r="AO935" s="330"/>
      <c r="AP935" s="343"/>
      <c r="AQ935" s="249"/>
      <c r="AR935" s="330"/>
      <c r="AS935" s="343"/>
      <c r="AT935" s="249"/>
      <c r="AU935" s="330"/>
    </row>
    <row r="936" spans="2:47">
      <c r="B936" s="247">
        <f>'Table S2 Compound Identifiers'!C938</f>
        <v>0</v>
      </c>
      <c r="C936" s="247">
        <f>COUNTIF($D$6:D936,"&lt;&gt;"&amp;"")</f>
        <v>931</v>
      </c>
      <c r="D936" s="247">
        <f>'Table S2 Compound Identifiers'!B938</f>
        <v>0</v>
      </c>
      <c r="E936" s="247"/>
      <c r="F936" s="248"/>
      <c r="G936" s="249"/>
      <c r="H936" s="330"/>
      <c r="I936" s="328"/>
      <c r="J936" s="249"/>
      <c r="K936" s="330"/>
      <c r="L936" s="250"/>
      <c r="M936" s="249"/>
      <c r="N936" s="330"/>
      <c r="O936" s="250"/>
      <c r="P936" s="249"/>
      <c r="Q936" s="330"/>
      <c r="R936" s="250"/>
      <c r="S936" s="249"/>
      <c r="T936" s="330"/>
      <c r="U936" s="250"/>
      <c r="V936" s="249"/>
      <c r="W936" s="330"/>
      <c r="X936" s="343"/>
      <c r="Y936" s="249"/>
      <c r="Z936" s="330"/>
      <c r="AA936" s="343"/>
      <c r="AB936" s="249"/>
      <c r="AC936" s="330"/>
      <c r="AD936" s="343"/>
      <c r="AE936" s="249"/>
      <c r="AF936" s="330"/>
      <c r="AG936" s="343"/>
      <c r="AH936" s="249"/>
      <c r="AI936" s="330"/>
      <c r="AJ936" s="343"/>
      <c r="AK936" s="249"/>
      <c r="AL936" s="330"/>
      <c r="AM936" s="343"/>
      <c r="AN936" s="249"/>
      <c r="AO936" s="330"/>
      <c r="AP936" s="343"/>
      <c r="AQ936" s="249"/>
      <c r="AR936" s="330"/>
      <c r="AS936" s="343"/>
      <c r="AT936" s="249"/>
      <c r="AU936" s="330"/>
    </row>
    <row r="937" spans="2:47">
      <c r="B937" s="247">
        <f>'Table S2 Compound Identifiers'!C939</f>
        <v>0</v>
      </c>
      <c r="C937" s="247">
        <f>COUNTIF($D$6:D937,"&lt;&gt;"&amp;"")</f>
        <v>932</v>
      </c>
      <c r="D937" s="247">
        <f>'Table S2 Compound Identifiers'!B939</f>
        <v>0</v>
      </c>
      <c r="E937" s="247"/>
      <c r="F937" s="248"/>
      <c r="G937" s="249"/>
      <c r="H937" s="330"/>
      <c r="I937" s="328"/>
      <c r="J937" s="249"/>
      <c r="K937" s="330"/>
      <c r="L937" s="250"/>
      <c r="M937" s="249"/>
      <c r="N937" s="330"/>
      <c r="O937" s="250"/>
      <c r="P937" s="249"/>
      <c r="Q937" s="330"/>
      <c r="R937" s="250"/>
      <c r="S937" s="249"/>
      <c r="T937" s="330"/>
      <c r="U937" s="250"/>
      <c r="V937" s="249"/>
      <c r="W937" s="330"/>
      <c r="X937" s="343"/>
      <c r="Y937" s="249"/>
      <c r="Z937" s="330"/>
      <c r="AA937" s="343"/>
      <c r="AB937" s="249"/>
      <c r="AC937" s="330"/>
      <c r="AD937" s="343"/>
      <c r="AE937" s="249"/>
      <c r="AF937" s="330"/>
      <c r="AG937" s="343"/>
      <c r="AH937" s="249"/>
      <c r="AI937" s="330"/>
      <c r="AJ937" s="343"/>
      <c r="AK937" s="249"/>
      <c r="AL937" s="330"/>
      <c r="AM937" s="343"/>
      <c r="AN937" s="249"/>
      <c r="AO937" s="330"/>
      <c r="AP937" s="343"/>
      <c r="AQ937" s="249"/>
      <c r="AR937" s="330"/>
      <c r="AS937" s="343"/>
      <c r="AT937" s="249"/>
      <c r="AU937" s="330"/>
    </row>
    <row r="938" spans="2:47">
      <c r="B938" s="247">
        <f>'Table S2 Compound Identifiers'!C940</f>
        <v>0</v>
      </c>
      <c r="C938" s="247">
        <f>COUNTIF($D$6:D938,"&lt;&gt;"&amp;"")</f>
        <v>933</v>
      </c>
      <c r="D938" s="247">
        <f>'Table S2 Compound Identifiers'!B940</f>
        <v>0</v>
      </c>
      <c r="E938" s="247"/>
      <c r="F938" s="248"/>
      <c r="G938" s="249"/>
      <c r="H938" s="330"/>
      <c r="I938" s="328"/>
      <c r="J938" s="249"/>
      <c r="K938" s="330"/>
      <c r="L938" s="250"/>
      <c r="M938" s="249"/>
      <c r="N938" s="330"/>
      <c r="O938" s="250"/>
      <c r="P938" s="249"/>
      <c r="Q938" s="330"/>
      <c r="R938" s="250"/>
      <c r="S938" s="249"/>
      <c r="T938" s="330"/>
      <c r="U938" s="250"/>
      <c r="V938" s="249"/>
      <c r="W938" s="330"/>
      <c r="X938" s="343"/>
      <c r="Y938" s="249"/>
      <c r="Z938" s="330"/>
      <c r="AA938" s="343"/>
      <c r="AB938" s="249"/>
      <c r="AC938" s="330"/>
      <c r="AD938" s="343"/>
      <c r="AE938" s="249"/>
      <c r="AF938" s="330"/>
      <c r="AG938" s="343"/>
      <c r="AH938" s="249"/>
      <c r="AI938" s="330"/>
      <c r="AJ938" s="343"/>
      <c r="AK938" s="249"/>
      <c r="AL938" s="330"/>
      <c r="AM938" s="343"/>
      <c r="AN938" s="249"/>
      <c r="AO938" s="330"/>
      <c r="AP938" s="343"/>
      <c r="AQ938" s="249"/>
      <c r="AR938" s="330"/>
      <c r="AS938" s="343"/>
      <c r="AT938" s="249"/>
      <c r="AU938" s="330"/>
    </row>
    <row r="939" spans="2:47">
      <c r="B939" s="247">
        <f>'Table S2 Compound Identifiers'!C941</f>
        <v>0</v>
      </c>
      <c r="C939" s="247">
        <f>COUNTIF($D$6:D939,"&lt;&gt;"&amp;"")</f>
        <v>934</v>
      </c>
      <c r="D939" s="247">
        <f>'Table S2 Compound Identifiers'!B941</f>
        <v>0</v>
      </c>
      <c r="E939" s="247"/>
      <c r="F939" s="248"/>
      <c r="G939" s="249"/>
      <c r="H939" s="330"/>
      <c r="I939" s="328"/>
      <c r="J939" s="249"/>
      <c r="K939" s="330"/>
      <c r="L939" s="250"/>
      <c r="M939" s="249"/>
      <c r="N939" s="330"/>
      <c r="O939" s="250"/>
      <c r="P939" s="249"/>
      <c r="Q939" s="330"/>
      <c r="R939" s="250"/>
      <c r="S939" s="249"/>
      <c r="T939" s="330"/>
      <c r="U939" s="250"/>
      <c r="V939" s="249"/>
      <c r="W939" s="330"/>
      <c r="X939" s="343"/>
      <c r="Y939" s="249"/>
      <c r="Z939" s="330"/>
      <c r="AA939" s="343"/>
      <c r="AB939" s="249"/>
      <c r="AC939" s="330"/>
      <c r="AD939" s="343"/>
      <c r="AE939" s="249"/>
      <c r="AF939" s="330"/>
      <c r="AG939" s="343"/>
      <c r="AH939" s="249"/>
      <c r="AI939" s="330"/>
      <c r="AJ939" s="343"/>
      <c r="AK939" s="249"/>
      <c r="AL939" s="330"/>
      <c r="AM939" s="343"/>
      <c r="AN939" s="249"/>
      <c r="AO939" s="330"/>
      <c r="AP939" s="343"/>
      <c r="AQ939" s="249"/>
      <c r="AR939" s="330"/>
      <c r="AS939" s="343"/>
      <c r="AT939" s="249"/>
      <c r="AU939" s="330"/>
    </row>
    <row r="940" spans="2:47">
      <c r="B940" s="247">
        <f>'Table S2 Compound Identifiers'!C942</f>
        <v>0</v>
      </c>
      <c r="C940" s="247">
        <f>COUNTIF($D$6:D940,"&lt;&gt;"&amp;"")</f>
        <v>935</v>
      </c>
      <c r="D940" s="247">
        <f>'Table S2 Compound Identifiers'!B942</f>
        <v>0</v>
      </c>
      <c r="E940" s="247"/>
      <c r="F940" s="248"/>
      <c r="G940" s="249"/>
      <c r="H940" s="330"/>
      <c r="I940" s="328"/>
      <c r="J940" s="249"/>
      <c r="K940" s="330"/>
      <c r="L940" s="250"/>
      <c r="M940" s="249"/>
      <c r="N940" s="330"/>
      <c r="O940" s="250"/>
      <c r="P940" s="249"/>
      <c r="Q940" s="330"/>
      <c r="R940" s="250"/>
      <c r="S940" s="249"/>
      <c r="T940" s="330"/>
      <c r="U940" s="250"/>
      <c r="V940" s="249"/>
      <c r="W940" s="330"/>
      <c r="X940" s="343"/>
      <c r="Y940" s="249"/>
      <c r="Z940" s="330"/>
      <c r="AA940" s="343"/>
      <c r="AB940" s="249"/>
      <c r="AC940" s="330"/>
      <c r="AD940" s="343"/>
      <c r="AE940" s="249"/>
      <c r="AF940" s="330"/>
      <c r="AG940" s="343"/>
      <c r="AH940" s="249"/>
      <c r="AI940" s="330"/>
      <c r="AJ940" s="343"/>
      <c r="AK940" s="249"/>
      <c r="AL940" s="330"/>
      <c r="AM940" s="343"/>
      <c r="AN940" s="249"/>
      <c r="AO940" s="330"/>
      <c r="AP940" s="343"/>
      <c r="AQ940" s="249"/>
      <c r="AR940" s="330"/>
      <c r="AS940" s="343"/>
      <c r="AT940" s="249"/>
      <c r="AU940" s="330"/>
    </row>
    <row r="941" spans="2:47">
      <c r="B941" s="247">
        <f>'Table S2 Compound Identifiers'!C943</f>
        <v>0</v>
      </c>
      <c r="C941" s="247">
        <f>COUNTIF($D$6:D941,"&lt;&gt;"&amp;"")</f>
        <v>936</v>
      </c>
      <c r="D941" s="247">
        <f>'Table S2 Compound Identifiers'!B943</f>
        <v>0</v>
      </c>
      <c r="E941" s="247"/>
      <c r="F941" s="248"/>
      <c r="G941" s="249"/>
      <c r="H941" s="330"/>
      <c r="I941" s="328"/>
      <c r="J941" s="249"/>
      <c r="K941" s="330"/>
      <c r="L941" s="250"/>
      <c r="M941" s="249"/>
      <c r="N941" s="330"/>
      <c r="O941" s="250"/>
      <c r="P941" s="249"/>
      <c r="Q941" s="330"/>
      <c r="R941" s="250"/>
      <c r="S941" s="249"/>
      <c r="T941" s="330"/>
      <c r="U941" s="250"/>
      <c r="V941" s="249"/>
      <c r="W941" s="330"/>
      <c r="X941" s="343"/>
      <c r="Y941" s="249"/>
      <c r="Z941" s="330"/>
      <c r="AA941" s="343"/>
      <c r="AB941" s="249"/>
      <c r="AC941" s="330"/>
      <c r="AD941" s="343"/>
      <c r="AE941" s="249"/>
      <c r="AF941" s="330"/>
      <c r="AG941" s="343"/>
      <c r="AH941" s="249"/>
      <c r="AI941" s="330"/>
      <c r="AJ941" s="343"/>
      <c r="AK941" s="249"/>
      <c r="AL941" s="330"/>
      <c r="AM941" s="343"/>
      <c r="AN941" s="249"/>
      <c r="AO941" s="330"/>
      <c r="AP941" s="343"/>
      <c r="AQ941" s="249"/>
      <c r="AR941" s="330"/>
      <c r="AS941" s="343"/>
      <c r="AT941" s="249"/>
      <c r="AU941" s="330"/>
    </row>
    <row r="942" spans="2:47">
      <c r="B942" s="247">
        <f>'Table S2 Compound Identifiers'!C944</f>
        <v>0</v>
      </c>
      <c r="C942" s="247">
        <f>COUNTIF($D$6:D942,"&lt;&gt;"&amp;"")</f>
        <v>937</v>
      </c>
      <c r="D942" s="247">
        <f>'Table S2 Compound Identifiers'!B944</f>
        <v>0</v>
      </c>
      <c r="E942" s="247"/>
      <c r="F942" s="248"/>
      <c r="G942" s="249"/>
      <c r="H942" s="330"/>
      <c r="I942" s="328"/>
      <c r="J942" s="249"/>
      <c r="K942" s="330"/>
      <c r="L942" s="250"/>
      <c r="M942" s="249"/>
      <c r="N942" s="330"/>
      <c r="O942" s="250"/>
      <c r="P942" s="249"/>
      <c r="Q942" s="330"/>
      <c r="R942" s="250"/>
      <c r="S942" s="249"/>
      <c r="T942" s="330"/>
      <c r="U942" s="250"/>
      <c r="V942" s="249"/>
      <c r="W942" s="330"/>
      <c r="X942" s="343"/>
      <c r="Y942" s="249"/>
      <c r="Z942" s="330"/>
      <c r="AA942" s="343"/>
      <c r="AB942" s="249"/>
      <c r="AC942" s="330"/>
      <c r="AD942" s="343"/>
      <c r="AE942" s="249"/>
      <c r="AF942" s="330"/>
      <c r="AG942" s="343"/>
      <c r="AH942" s="249"/>
      <c r="AI942" s="330"/>
      <c r="AJ942" s="343"/>
      <c r="AK942" s="249"/>
      <c r="AL942" s="330"/>
      <c r="AM942" s="343"/>
      <c r="AN942" s="249"/>
      <c r="AO942" s="330"/>
      <c r="AP942" s="343"/>
      <c r="AQ942" s="249"/>
      <c r="AR942" s="330"/>
      <c r="AS942" s="343"/>
      <c r="AT942" s="249"/>
      <c r="AU942" s="330"/>
    </row>
    <row r="943" spans="2:47">
      <c r="B943" s="247">
        <f>'Table S2 Compound Identifiers'!C945</f>
        <v>0</v>
      </c>
      <c r="C943" s="247">
        <f>COUNTIF($D$6:D943,"&lt;&gt;"&amp;"")</f>
        <v>938</v>
      </c>
      <c r="D943" s="247">
        <f>'Table S2 Compound Identifiers'!B945</f>
        <v>0</v>
      </c>
      <c r="E943" s="247"/>
      <c r="F943" s="248"/>
      <c r="G943" s="249"/>
      <c r="H943" s="330"/>
      <c r="I943" s="328"/>
      <c r="J943" s="249"/>
      <c r="K943" s="330"/>
      <c r="L943" s="250"/>
      <c r="M943" s="249"/>
      <c r="N943" s="330"/>
      <c r="O943" s="250"/>
      <c r="P943" s="249"/>
      <c r="Q943" s="330"/>
      <c r="R943" s="250"/>
      <c r="S943" s="249"/>
      <c r="T943" s="330"/>
      <c r="U943" s="250"/>
      <c r="V943" s="249"/>
      <c r="W943" s="330"/>
      <c r="X943" s="343"/>
      <c r="Y943" s="249"/>
      <c r="Z943" s="330"/>
      <c r="AA943" s="343"/>
      <c r="AB943" s="249"/>
      <c r="AC943" s="330"/>
      <c r="AD943" s="343"/>
      <c r="AE943" s="249"/>
      <c r="AF943" s="330"/>
      <c r="AG943" s="343"/>
      <c r="AH943" s="249"/>
      <c r="AI943" s="330"/>
      <c r="AJ943" s="343"/>
      <c r="AK943" s="249"/>
      <c r="AL943" s="330"/>
      <c r="AM943" s="343"/>
      <c r="AN943" s="249"/>
      <c r="AO943" s="330"/>
      <c r="AP943" s="343"/>
      <c r="AQ943" s="249"/>
      <c r="AR943" s="330"/>
      <c r="AS943" s="343"/>
      <c r="AT943" s="249"/>
      <c r="AU943" s="330"/>
    </row>
    <row r="944" spans="2:47">
      <c r="B944" s="247">
        <f>'Table S2 Compound Identifiers'!C946</f>
        <v>0</v>
      </c>
      <c r="C944" s="247">
        <f>COUNTIF($D$6:D944,"&lt;&gt;"&amp;"")</f>
        <v>939</v>
      </c>
      <c r="D944" s="247">
        <f>'Table S2 Compound Identifiers'!B946</f>
        <v>0</v>
      </c>
      <c r="E944" s="247"/>
      <c r="F944" s="248"/>
      <c r="G944" s="249"/>
      <c r="H944" s="330"/>
      <c r="I944" s="328"/>
      <c r="J944" s="249"/>
      <c r="K944" s="330"/>
      <c r="L944" s="250"/>
      <c r="M944" s="249"/>
      <c r="N944" s="330"/>
      <c r="O944" s="250"/>
      <c r="P944" s="249"/>
      <c r="Q944" s="330"/>
      <c r="R944" s="250"/>
      <c r="S944" s="249"/>
      <c r="T944" s="330"/>
      <c r="U944" s="250"/>
      <c r="V944" s="249"/>
      <c r="W944" s="330"/>
      <c r="X944" s="343"/>
      <c r="Y944" s="249"/>
      <c r="Z944" s="330"/>
      <c r="AA944" s="343"/>
      <c r="AB944" s="249"/>
      <c r="AC944" s="330"/>
      <c r="AD944" s="343"/>
      <c r="AE944" s="249"/>
      <c r="AF944" s="330"/>
      <c r="AG944" s="343"/>
      <c r="AH944" s="249"/>
      <c r="AI944" s="330"/>
      <c r="AJ944" s="343"/>
      <c r="AK944" s="249"/>
      <c r="AL944" s="330"/>
      <c r="AM944" s="343"/>
      <c r="AN944" s="249"/>
      <c r="AO944" s="330"/>
      <c r="AP944" s="343"/>
      <c r="AQ944" s="249"/>
      <c r="AR944" s="330"/>
      <c r="AS944" s="343"/>
      <c r="AT944" s="249"/>
      <c r="AU944" s="330"/>
    </row>
    <row r="945" spans="2:47">
      <c r="B945" s="247">
        <f>'Table S2 Compound Identifiers'!C947</f>
        <v>0</v>
      </c>
      <c r="C945" s="247">
        <f>COUNTIF($D$6:D945,"&lt;&gt;"&amp;"")</f>
        <v>940</v>
      </c>
      <c r="D945" s="247">
        <f>'Table S2 Compound Identifiers'!B947</f>
        <v>0</v>
      </c>
      <c r="E945" s="247"/>
      <c r="F945" s="248"/>
      <c r="G945" s="249"/>
      <c r="H945" s="330"/>
      <c r="I945" s="328"/>
      <c r="J945" s="249"/>
      <c r="K945" s="330"/>
      <c r="L945" s="250"/>
      <c r="M945" s="249"/>
      <c r="N945" s="330"/>
      <c r="O945" s="250"/>
      <c r="P945" s="249"/>
      <c r="Q945" s="330"/>
      <c r="R945" s="250"/>
      <c r="S945" s="249"/>
      <c r="T945" s="330"/>
      <c r="U945" s="250"/>
      <c r="V945" s="249"/>
      <c r="W945" s="330"/>
      <c r="X945" s="343"/>
      <c r="Y945" s="249"/>
      <c r="Z945" s="330"/>
      <c r="AA945" s="343"/>
      <c r="AB945" s="249"/>
      <c r="AC945" s="330"/>
      <c r="AD945" s="343"/>
      <c r="AE945" s="249"/>
      <c r="AF945" s="330"/>
      <c r="AG945" s="343"/>
      <c r="AH945" s="249"/>
      <c r="AI945" s="330"/>
      <c r="AJ945" s="343"/>
      <c r="AK945" s="249"/>
      <c r="AL945" s="330"/>
      <c r="AM945" s="343"/>
      <c r="AN945" s="249"/>
      <c r="AO945" s="330"/>
      <c r="AP945" s="343"/>
      <c r="AQ945" s="249"/>
      <c r="AR945" s="330"/>
      <c r="AS945" s="343"/>
      <c r="AT945" s="249"/>
      <c r="AU945" s="330"/>
    </row>
    <row r="946" spans="2:47">
      <c r="B946" s="247">
        <f>'Table S2 Compound Identifiers'!C948</f>
        <v>0</v>
      </c>
      <c r="C946" s="247">
        <f>COUNTIF($D$6:D946,"&lt;&gt;"&amp;"")</f>
        <v>941</v>
      </c>
      <c r="D946" s="247">
        <f>'Table S2 Compound Identifiers'!B948</f>
        <v>0</v>
      </c>
      <c r="E946" s="247"/>
      <c r="F946" s="248"/>
      <c r="G946" s="249"/>
      <c r="H946" s="330"/>
      <c r="I946" s="328"/>
      <c r="J946" s="249"/>
      <c r="K946" s="330"/>
      <c r="L946" s="250"/>
      <c r="M946" s="249"/>
      <c r="N946" s="330"/>
      <c r="O946" s="250"/>
      <c r="P946" s="249"/>
      <c r="Q946" s="330"/>
      <c r="R946" s="250"/>
      <c r="S946" s="249"/>
      <c r="T946" s="330"/>
      <c r="U946" s="250"/>
      <c r="V946" s="249"/>
      <c r="W946" s="330"/>
      <c r="X946" s="343"/>
      <c r="Y946" s="249"/>
      <c r="Z946" s="330"/>
      <c r="AA946" s="343"/>
      <c r="AB946" s="249"/>
      <c r="AC946" s="330"/>
      <c r="AD946" s="343"/>
      <c r="AE946" s="249"/>
      <c r="AF946" s="330"/>
      <c r="AG946" s="343"/>
      <c r="AH946" s="249"/>
      <c r="AI946" s="330"/>
      <c r="AJ946" s="343"/>
      <c r="AK946" s="249"/>
      <c r="AL946" s="330"/>
      <c r="AM946" s="343"/>
      <c r="AN946" s="249"/>
      <c r="AO946" s="330"/>
      <c r="AP946" s="343"/>
      <c r="AQ946" s="249"/>
      <c r="AR946" s="330"/>
      <c r="AS946" s="343"/>
      <c r="AT946" s="249"/>
      <c r="AU946" s="330"/>
    </row>
    <row r="947" spans="2:47">
      <c r="B947" s="247">
        <f>'Table S2 Compound Identifiers'!C949</f>
        <v>0</v>
      </c>
      <c r="C947" s="247">
        <f>COUNTIF($D$6:D947,"&lt;&gt;"&amp;"")</f>
        <v>942</v>
      </c>
      <c r="D947" s="247">
        <f>'Table S2 Compound Identifiers'!B949</f>
        <v>0</v>
      </c>
      <c r="E947" s="247"/>
      <c r="F947" s="248"/>
      <c r="G947" s="249"/>
      <c r="H947" s="330"/>
      <c r="I947" s="328"/>
      <c r="J947" s="249"/>
      <c r="K947" s="330"/>
      <c r="L947" s="250"/>
      <c r="M947" s="249"/>
      <c r="N947" s="330"/>
      <c r="O947" s="250"/>
      <c r="P947" s="249"/>
      <c r="Q947" s="330"/>
      <c r="R947" s="250"/>
      <c r="S947" s="249"/>
      <c r="T947" s="330"/>
      <c r="U947" s="250"/>
      <c r="V947" s="249"/>
      <c r="W947" s="330"/>
      <c r="X947" s="343"/>
      <c r="Y947" s="249"/>
      <c r="Z947" s="330"/>
      <c r="AA947" s="343"/>
      <c r="AB947" s="249"/>
      <c r="AC947" s="330"/>
      <c r="AD947" s="343"/>
      <c r="AE947" s="249"/>
      <c r="AF947" s="330"/>
      <c r="AG947" s="343"/>
      <c r="AH947" s="249"/>
      <c r="AI947" s="330"/>
      <c r="AJ947" s="343"/>
      <c r="AK947" s="249"/>
      <c r="AL947" s="330"/>
      <c r="AM947" s="343"/>
      <c r="AN947" s="249"/>
      <c r="AO947" s="330"/>
      <c r="AP947" s="343"/>
      <c r="AQ947" s="249"/>
      <c r="AR947" s="330"/>
      <c r="AS947" s="343"/>
      <c r="AT947" s="249"/>
      <c r="AU947" s="330"/>
    </row>
    <row r="948" spans="2:47">
      <c r="B948" s="247">
        <f>'Table S2 Compound Identifiers'!C950</f>
        <v>0</v>
      </c>
      <c r="C948" s="247">
        <f>COUNTIF($D$6:D948,"&lt;&gt;"&amp;"")</f>
        <v>943</v>
      </c>
      <c r="D948" s="247">
        <f>'Table S2 Compound Identifiers'!B950</f>
        <v>0</v>
      </c>
      <c r="E948" s="247"/>
      <c r="F948" s="248"/>
      <c r="G948" s="249"/>
      <c r="H948" s="330"/>
      <c r="I948" s="328"/>
      <c r="J948" s="249"/>
      <c r="K948" s="330"/>
      <c r="L948" s="250"/>
      <c r="M948" s="249"/>
      <c r="N948" s="330"/>
      <c r="O948" s="250"/>
      <c r="P948" s="249"/>
      <c r="Q948" s="330"/>
      <c r="R948" s="250"/>
      <c r="S948" s="249"/>
      <c r="T948" s="330"/>
      <c r="U948" s="250"/>
      <c r="V948" s="249"/>
      <c r="W948" s="330"/>
      <c r="X948" s="343"/>
      <c r="Y948" s="249"/>
      <c r="Z948" s="330"/>
      <c r="AA948" s="343"/>
      <c r="AB948" s="249"/>
      <c r="AC948" s="330"/>
      <c r="AD948" s="343"/>
      <c r="AE948" s="249"/>
      <c r="AF948" s="330"/>
      <c r="AG948" s="343"/>
      <c r="AH948" s="249"/>
      <c r="AI948" s="330"/>
      <c r="AJ948" s="343"/>
      <c r="AK948" s="249"/>
      <c r="AL948" s="330"/>
      <c r="AM948" s="343"/>
      <c r="AN948" s="249"/>
      <c r="AO948" s="330"/>
      <c r="AP948" s="343"/>
      <c r="AQ948" s="249"/>
      <c r="AR948" s="330"/>
      <c r="AS948" s="343"/>
      <c r="AT948" s="249"/>
      <c r="AU948" s="330"/>
    </row>
    <row r="949" spans="2:47">
      <c r="B949" s="247">
        <f>'Table S2 Compound Identifiers'!C951</f>
        <v>0</v>
      </c>
      <c r="C949" s="247">
        <f>COUNTIF($D$6:D949,"&lt;&gt;"&amp;"")</f>
        <v>944</v>
      </c>
      <c r="D949" s="247">
        <f>'Table S2 Compound Identifiers'!B951</f>
        <v>0</v>
      </c>
      <c r="E949" s="247"/>
      <c r="F949" s="248"/>
      <c r="G949" s="249"/>
      <c r="H949" s="330"/>
      <c r="I949" s="328"/>
      <c r="J949" s="249"/>
      <c r="K949" s="330"/>
      <c r="L949" s="250"/>
      <c r="M949" s="249"/>
      <c r="N949" s="330"/>
      <c r="O949" s="250"/>
      <c r="P949" s="249"/>
      <c r="Q949" s="330"/>
      <c r="R949" s="250"/>
      <c r="S949" s="249"/>
      <c r="T949" s="330"/>
      <c r="U949" s="250"/>
      <c r="V949" s="249"/>
      <c r="W949" s="330"/>
      <c r="X949" s="343"/>
      <c r="Y949" s="249"/>
      <c r="Z949" s="330"/>
      <c r="AA949" s="343"/>
      <c r="AB949" s="249"/>
      <c r="AC949" s="330"/>
      <c r="AD949" s="343"/>
      <c r="AE949" s="249"/>
      <c r="AF949" s="330"/>
      <c r="AG949" s="343"/>
      <c r="AH949" s="249"/>
      <c r="AI949" s="330"/>
      <c r="AJ949" s="343"/>
      <c r="AK949" s="249"/>
      <c r="AL949" s="330"/>
      <c r="AM949" s="343"/>
      <c r="AN949" s="249"/>
      <c r="AO949" s="330"/>
      <c r="AP949" s="343"/>
      <c r="AQ949" s="249"/>
      <c r="AR949" s="330"/>
      <c r="AS949" s="343"/>
      <c r="AT949" s="249"/>
      <c r="AU949" s="330"/>
    </row>
    <row r="950" spans="2:47">
      <c r="B950" s="247">
        <f>'Table S2 Compound Identifiers'!C952</f>
        <v>0</v>
      </c>
      <c r="C950" s="247">
        <f>COUNTIF($D$6:D950,"&lt;&gt;"&amp;"")</f>
        <v>945</v>
      </c>
      <c r="D950" s="432">
        <f>'Table S2 Compound Identifiers'!B952</f>
        <v>0</v>
      </c>
      <c r="E950" s="247"/>
      <c r="F950" s="248"/>
      <c r="G950" s="249"/>
      <c r="H950" s="330"/>
      <c r="I950" s="328"/>
      <c r="J950" s="249"/>
      <c r="K950" s="330"/>
      <c r="L950" s="250"/>
      <c r="M950" s="249"/>
      <c r="N950" s="330"/>
      <c r="O950" s="250"/>
      <c r="P950" s="249"/>
      <c r="Q950" s="330"/>
      <c r="R950" s="250"/>
      <c r="S950" s="249"/>
      <c r="T950" s="330"/>
      <c r="U950" s="250"/>
      <c r="V950" s="249"/>
      <c r="W950" s="330"/>
      <c r="X950" s="343"/>
      <c r="Y950" s="249"/>
      <c r="Z950" s="330"/>
      <c r="AA950" s="343"/>
      <c r="AB950" s="249"/>
      <c r="AC950" s="330"/>
      <c r="AD950" s="343"/>
      <c r="AE950" s="249"/>
      <c r="AF950" s="330"/>
      <c r="AG950" s="343"/>
      <c r="AH950" s="249"/>
      <c r="AI950" s="330"/>
      <c r="AJ950" s="343"/>
      <c r="AK950" s="249"/>
      <c r="AL950" s="330"/>
      <c r="AM950" s="343"/>
      <c r="AN950" s="249"/>
      <c r="AO950" s="330"/>
      <c r="AP950" s="343"/>
      <c r="AQ950" s="249"/>
      <c r="AR950" s="330"/>
      <c r="AS950" s="343"/>
      <c r="AT950" s="249"/>
      <c r="AU950" s="330"/>
    </row>
    <row r="951" spans="2:47">
      <c r="B951" s="247">
        <f>'Table S2 Compound Identifiers'!C953</f>
        <v>0</v>
      </c>
      <c r="C951" s="247">
        <f>COUNTIF($D$6:D951,"&lt;&gt;"&amp;"")</f>
        <v>946</v>
      </c>
      <c r="D951" s="432">
        <f>'Table S2 Compound Identifiers'!B953</f>
        <v>0</v>
      </c>
      <c r="E951" s="247"/>
      <c r="F951" s="248"/>
      <c r="G951" s="249"/>
      <c r="H951" s="330"/>
      <c r="I951" s="328"/>
      <c r="J951" s="249"/>
      <c r="K951" s="330"/>
      <c r="L951" s="250"/>
      <c r="M951" s="249"/>
      <c r="N951" s="330"/>
      <c r="O951" s="250"/>
      <c r="P951" s="249"/>
      <c r="Q951" s="330"/>
      <c r="R951" s="250"/>
      <c r="S951" s="249"/>
      <c r="T951" s="330"/>
      <c r="U951" s="250"/>
      <c r="V951" s="249"/>
      <c r="W951" s="330"/>
      <c r="X951" s="343"/>
      <c r="Y951" s="249"/>
      <c r="Z951" s="330"/>
      <c r="AA951" s="343"/>
      <c r="AB951" s="249"/>
      <c r="AC951" s="330"/>
      <c r="AD951" s="343"/>
      <c r="AE951" s="249"/>
      <c r="AF951" s="330"/>
      <c r="AG951" s="343"/>
      <c r="AH951" s="249"/>
      <c r="AI951" s="330"/>
      <c r="AJ951" s="343"/>
      <c r="AK951" s="249"/>
      <c r="AL951" s="330"/>
      <c r="AM951" s="343"/>
      <c r="AN951" s="249"/>
      <c r="AO951" s="330"/>
      <c r="AP951" s="343"/>
      <c r="AQ951" s="249"/>
      <c r="AR951" s="330"/>
      <c r="AS951" s="343"/>
      <c r="AT951" s="249"/>
      <c r="AU951" s="330"/>
    </row>
    <row r="952" spans="2:47">
      <c r="B952" s="247">
        <f>'Table S2 Compound Identifiers'!C954</f>
        <v>0</v>
      </c>
      <c r="C952" s="247">
        <f>COUNTIF($D$6:D952,"&lt;&gt;"&amp;"")</f>
        <v>947</v>
      </c>
      <c r="D952" s="432">
        <f>'Table S2 Compound Identifiers'!B954</f>
        <v>0</v>
      </c>
      <c r="E952" s="247"/>
      <c r="F952" s="248"/>
      <c r="G952" s="249"/>
      <c r="H952" s="330"/>
      <c r="I952" s="328"/>
      <c r="J952" s="249"/>
      <c r="K952" s="330"/>
      <c r="L952" s="250"/>
      <c r="M952" s="249"/>
      <c r="N952" s="330"/>
      <c r="O952" s="250"/>
      <c r="P952" s="249"/>
      <c r="Q952" s="330"/>
      <c r="R952" s="250"/>
      <c r="S952" s="249"/>
      <c r="T952" s="330"/>
      <c r="U952" s="250"/>
      <c r="V952" s="249"/>
      <c r="W952" s="330"/>
      <c r="X952" s="343"/>
      <c r="Y952" s="249"/>
      <c r="Z952" s="330"/>
      <c r="AA952" s="343"/>
      <c r="AB952" s="249"/>
      <c r="AC952" s="330"/>
      <c r="AD952" s="343"/>
      <c r="AE952" s="249"/>
      <c r="AF952" s="330"/>
      <c r="AG952" s="343"/>
      <c r="AH952" s="249"/>
      <c r="AI952" s="330"/>
      <c r="AJ952" s="343"/>
      <c r="AK952" s="249"/>
      <c r="AL952" s="330"/>
      <c r="AM952" s="343"/>
      <c r="AN952" s="249"/>
      <c r="AO952" s="330"/>
      <c r="AP952" s="343"/>
      <c r="AQ952" s="249"/>
      <c r="AR952" s="330"/>
      <c r="AS952" s="343"/>
      <c r="AT952" s="249"/>
      <c r="AU952" s="330"/>
    </row>
    <row r="953" spans="2:47">
      <c r="B953" s="247">
        <f>'Table S2 Compound Identifiers'!C955</f>
        <v>0</v>
      </c>
      <c r="C953" s="247">
        <f>COUNTIF($D$6:D953,"&lt;&gt;"&amp;"")</f>
        <v>948</v>
      </c>
      <c r="D953" s="432">
        <f>'Table S2 Compound Identifiers'!B955</f>
        <v>0</v>
      </c>
      <c r="E953" s="247"/>
      <c r="F953" s="248"/>
      <c r="G953" s="249"/>
      <c r="H953" s="330"/>
      <c r="I953" s="328"/>
      <c r="J953" s="249"/>
      <c r="K953" s="330"/>
      <c r="L953" s="250"/>
      <c r="M953" s="249"/>
      <c r="N953" s="330"/>
      <c r="O953" s="250"/>
      <c r="P953" s="249"/>
      <c r="Q953" s="330"/>
      <c r="R953" s="250"/>
      <c r="S953" s="249"/>
      <c r="T953" s="330"/>
      <c r="U953" s="250"/>
      <c r="V953" s="249"/>
      <c r="W953" s="330"/>
      <c r="X953" s="343"/>
      <c r="Y953" s="249"/>
      <c r="Z953" s="330"/>
      <c r="AA953" s="343"/>
      <c r="AB953" s="249"/>
      <c r="AC953" s="330"/>
      <c r="AD953" s="343"/>
      <c r="AE953" s="249"/>
      <c r="AF953" s="330"/>
      <c r="AG953" s="343"/>
      <c r="AH953" s="249"/>
      <c r="AI953" s="330"/>
      <c r="AJ953" s="343"/>
      <c r="AK953" s="249"/>
      <c r="AL953" s="330"/>
      <c r="AM953" s="343"/>
      <c r="AN953" s="249"/>
      <c r="AO953" s="330"/>
      <c r="AP953" s="343"/>
      <c r="AQ953" s="249"/>
      <c r="AR953" s="330"/>
      <c r="AS953" s="343"/>
      <c r="AT953" s="249"/>
      <c r="AU953" s="330"/>
    </row>
    <row r="954" spans="2:47">
      <c r="B954" s="247">
        <f>'Table S2 Compound Identifiers'!C956</f>
        <v>0</v>
      </c>
      <c r="C954" s="247">
        <f>COUNTIF($D$6:D954,"&lt;&gt;"&amp;"")</f>
        <v>949</v>
      </c>
      <c r="D954" s="432">
        <f>'Table S2 Compound Identifiers'!B956</f>
        <v>0</v>
      </c>
      <c r="E954" s="247"/>
      <c r="F954" s="248"/>
      <c r="G954" s="249"/>
      <c r="H954" s="330"/>
      <c r="I954" s="328"/>
      <c r="J954" s="249"/>
      <c r="K954" s="330"/>
      <c r="L954" s="250"/>
      <c r="M954" s="249"/>
      <c r="N954" s="330"/>
      <c r="O954" s="250"/>
      <c r="P954" s="249"/>
      <c r="Q954" s="330"/>
      <c r="R954" s="250"/>
      <c r="S954" s="249"/>
      <c r="T954" s="330"/>
      <c r="U954" s="250"/>
      <c r="V954" s="249"/>
      <c r="W954" s="330"/>
      <c r="X954" s="343"/>
      <c r="Y954" s="249"/>
      <c r="Z954" s="330"/>
      <c r="AA954" s="343"/>
      <c r="AB954" s="249"/>
      <c r="AC954" s="330"/>
      <c r="AD954" s="343"/>
      <c r="AE954" s="249"/>
      <c r="AF954" s="330"/>
      <c r="AG954" s="343"/>
      <c r="AH954" s="249"/>
      <c r="AI954" s="330"/>
      <c r="AJ954" s="343"/>
      <c r="AK954" s="249"/>
      <c r="AL954" s="330"/>
      <c r="AM954" s="343"/>
      <c r="AN954" s="249"/>
      <c r="AO954" s="330"/>
      <c r="AP954" s="343"/>
      <c r="AQ954" s="249"/>
      <c r="AR954" s="330"/>
      <c r="AS954" s="343"/>
      <c r="AT954" s="249"/>
      <c r="AU954" s="330"/>
    </row>
    <row r="955" spans="2:47">
      <c r="B955" s="247">
        <f>'Table S2 Compound Identifiers'!C957</f>
        <v>0</v>
      </c>
      <c r="C955" s="247">
        <f>COUNTIF($D$6:D955,"&lt;&gt;"&amp;"")</f>
        <v>950</v>
      </c>
      <c r="D955" s="432">
        <f>'Table S2 Compound Identifiers'!B957</f>
        <v>0</v>
      </c>
      <c r="E955" s="247"/>
      <c r="F955" s="248"/>
      <c r="G955" s="249"/>
      <c r="H955" s="330"/>
      <c r="I955" s="328"/>
      <c r="J955" s="249"/>
      <c r="K955" s="330"/>
      <c r="L955" s="250"/>
      <c r="M955" s="249"/>
      <c r="N955" s="330"/>
      <c r="O955" s="250"/>
      <c r="P955" s="249"/>
      <c r="Q955" s="330"/>
      <c r="R955" s="250"/>
      <c r="S955" s="249"/>
      <c r="T955" s="330"/>
      <c r="U955" s="250"/>
      <c r="V955" s="249"/>
      <c r="W955" s="330"/>
      <c r="X955" s="343"/>
      <c r="Y955" s="249"/>
      <c r="Z955" s="330"/>
      <c r="AA955" s="343"/>
      <c r="AB955" s="249"/>
      <c r="AC955" s="330"/>
      <c r="AD955" s="343"/>
      <c r="AE955" s="249"/>
      <c r="AF955" s="330"/>
      <c r="AG955" s="343"/>
      <c r="AH955" s="249"/>
      <c r="AI955" s="330"/>
      <c r="AJ955" s="343"/>
      <c r="AK955" s="249"/>
      <c r="AL955" s="330"/>
      <c r="AM955" s="343"/>
      <c r="AN955" s="249"/>
      <c r="AO955" s="330"/>
      <c r="AP955" s="343"/>
      <c r="AQ955" s="249"/>
      <c r="AR955" s="330"/>
      <c r="AS955" s="343"/>
      <c r="AT955" s="249"/>
      <c r="AU955" s="330"/>
    </row>
    <row r="956" spans="2:47">
      <c r="B956" s="247">
        <f>'Table S2 Compound Identifiers'!C958</f>
        <v>0</v>
      </c>
      <c r="C956" s="247">
        <f>COUNTIF($D$6:D956,"&lt;&gt;"&amp;"")</f>
        <v>951</v>
      </c>
      <c r="D956" s="432">
        <f>'Table S2 Compound Identifiers'!B958</f>
        <v>0</v>
      </c>
      <c r="E956" s="247"/>
      <c r="F956" s="248"/>
      <c r="G956" s="249"/>
      <c r="H956" s="330"/>
      <c r="I956" s="328"/>
      <c r="J956" s="249"/>
      <c r="K956" s="330"/>
      <c r="L956" s="250"/>
      <c r="M956" s="249"/>
      <c r="N956" s="330"/>
      <c r="O956" s="250"/>
      <c r="P956" s="249"/>
      <c r="Q956" s="330"/>
      <c r="R956" s="250"/>
      <c r="S956" s="249"/>
      <c r="T956" s="330"/>
      <c r="U956" s="250"/>
      <c r="V956" s="249"/>
      <c r="W956" s="330"/>
      <c r="X956" s="343"/>
      <c r="Y956" s="249"/>
      <c r="Z956" s="330"/>
      <c r="AA956" s="343"/>
      <c r="AB956" s="249"/>
      <c r="AC956" s="330"/>
      <c r="AD956" s="343"/>
      <c r="AE956" s="249"/>
      <c r="AF956" s="330"/>
      <c r="AG956" s="343"/>
      <c r="AH956" s="249"/>
      <c r="AI956" s="330"/>
      <c r="AJ956" s="343"/>
      <c r="AK956" s="249"/>
      <c r="AL956" s="330"/>
      <c r="AM956" s="343"/>
      <c r="AN956" s="249"/>
      <c r="AO956" s="330"/>
      <c r="AP956" s="343"/>
      <c r="AQ956" s="249"/>
      <c r="AR956" s="330"/>
      <c r="AS956" s="343"/>
      <c r="AT956" s="249"/>
      <c r="AU956" s="330"/>
    </row>
    <row r="957" spans="2:47">
      <c r="B957" s="247">
        <f>'Table S2 Compound Identifiers'!C959</f>
        <v>0</v>
      </c>
      <c r="C957" s="247">
        <f>COUNTIF($D$6:D957,"&lt;&gt;"&amp;"")</f>
        <v>952</v>
      </c>
      <c r="D957" s="432">
        <f>'Table S2 Compound Identifiers'!B959</f>
        <v>0</v>
      </c>
      <c r="E957" s="247"/>
      <c r="F957" s="248"/>
      <c r="G957" s="249"/>
      <c r="H957" s="330"/>
      <c r="I957" s="328"/>
      <c r="J957" s="249"/>
      <c r="K957" s="330"/>
      <c r="L957" s="250"/>
      <c r="M957" s="249"/>
      <c r="N957" s="330"/>
      <c r="O957" s="250"/>
      <c r="P957" s="249"/>
      <c r="Q957" s="330"/>
      <c r="R957" s="250"/>
      <c r="S957" s="249"/>
      <c r="T957" s="330"/>
      <c r="U957" s="250"/>
      <c r="V957" s="249"/>
      <c r="W957" s="330"/>
      <c r="X957" s="343"/>
      <c r="Y957" s="249"/>
      <c r="Z957" s="330"/>
      <c r="AA957" s="343"/>
      <c r="AB957" s="249"/>
      <c r="AC957" s="330"/>
      <c r="AD957" s="343"/>
      <c r="AE957" s="249"/>
      <c r="AF957" s="330"/>
      <c r="AG957" s="343"/>
      <c r="AH957" s="249"/>
      <c r="AI957" s="330"/>
      <c r="AJ957" s="343"/>
      <c r="AK957" s="249"/>
      <c r="AL957" s="330"/>
      <c r="AM957" s="343"/>
      <c r="AN957" s="249"/>
      <c r="AO957" s="330"/>
      <c r="AP957" s="343"/>
      <c r="AQ957" s="249"/>
      <c r="AR957" s="330"/>
      <c r="AS957" s="343"/>
      <c r="AT957" s="249"/>
      <c r="AU957" s="330"/>
    </row>
    <row r="958" spans="2:47">
      <c r="B958" s="247">
        <f>'Table S2 Compound Identifiers'!C960</f>
        <v>0</v>
      </c>
      <c r="C958" s="247">
        <f>COUNTIF($D$6:D958,"&lt;&gt;"&amp;"")</f>
        <v>953</v>
      </c>
      <c r="D958" s="432">
        <f>'Table S2 Compound Identifiers'!B960</f>
        <v>0</v>
      </c>
      <c r="E958" s="247"/>
      <c r="F958" s="248"/>
      <c r="G958" s="249"/>
      <c r="H958" s="330"/>
      <c r="I958" s="328"/>
      <c r="J958" s="249"/>
      <c r="K958" s="330"/>
      <c r="L958" s="250"/>
      <c r="M958" s="249"/>
      <c r="N958" s="330"/>
      <c r="O958" s="250"/>
      <c r="P958" s="249"/>
      <c r="Q958" s="330"/>
      <c r="R958" s="250"/>
      <c r="S958" s="249"/>
      <c r="T958" s="330"/>
      <c r="U958" s="250"/>
      <c r="V958" s="249"/>
      <c r="W958" s="330"/>
      <c r="X958" s="343"/>
      <c r="Y958" s="249"/>
      <c r="Z958" s="330"/>
      <c r="AA958" s="343"/>
      <c r="AB958" s="249"/>
      <c r="AC958" s="330"/>
      <c r="AD958" s="343"/>
      <c r="AE958" s="249"/>
      <c r="AF958" s="330"/>
      <c r="AG958" s="343"/>
      <c r="AH958" s="249"/>
      <c r="AI958" s="330"/>
      <c r="AJ958" s="343"/>
      <c r="AK958" s="249"/>
      <c r="AL958" s="330"/>
      <c r="AM958" s="343"/>
      <c r="AN958" s="249"/>
      <c r="AO958" s="330"/>
      <c r="AP958" s="343"/>
      <c r="AQ958" s="249"/>
      <c r="AR958" s="330"/>
      <c r="AS958" s="343"/>
      <c r="AT958" s="249"/>
      <c r="AU958" s="330"/>
    </row>
    <row r="959" spans="2:47">
      <c r="B959" s="247">
        <f>'Table S2 Compound Identifiers'!C961</f>
        <v>0</v>
      </c>
      <c r="C959" s="247">
        <f>COUNTIF($D$6:D959,"&lt;&gt;"&amp;"")</f>
        <v>954</v>
      </c>
      <c r="D959" s="432">
        <f>'Table S2 Compound Identifiers'!B961</f>
        <v>0</v>
      </c>
      <c r="E959" s="247"/>
      <c r="F959" s="248"/>
      <c r="G959" s="249"/>
      <c r="H959" s="330"/>
      <c r="I959" s="328"/>
      <c r="J959" s="249"/>
      <c r="K959" s="330"/>
      <c r="L959" s="250"/>
      <c r="M959" s="249"/>
      <c r="N959" s="330"/>
      <c r="O959" s="250"/>
      <c r="P959" s="249"/>
      <c r="Q959" s="330"/>
      <c r="R959" s="250"/>
      <c r="S959" s="249"/>
      <c r="T959" s="330"/>
      <c r="U959" s="250"/>
      <c r="V959" s="249"/>
      <c r="W959" s="330"/>
      <c r="X959" s="343"/>
      <c r="Y959" s="249"/>
      <c r="Z959" s="330"/>
      <c r="AA959" s="343"/>
      <c r="AB959" s="249"/>
      <c r="AC959" s="330"/>
      <c r="AD959" s="343"/>
      <c r="AE959" s="249"/>
      <c r="AF959" s="330"/>
      <c r="AG959" s="343"/>
      <c r="AH959" s="249"/>
      <c r="AI959" s="330"/>
      <c r="AJ959" s="343"/>
      <c r="AK959" s="249"/>
      <c r="AL959" s="330"/>
      <c r="AM959" s="343"/>
      <c r="AN959" s="249"/>
      <c r="AO959" s="330"/>
      <c r="AP959" s="343"/>
      <c r="AQ959" s="249"/>
      <c r="AR959" s="330"/>
      <c r="AS959" s="343"/>
      <c r="AT959" s="249"/>
      <c r="AU959" s="330"/>
    </row>
    <row r="960" spans="2:47">
      <c r="B960" s="247">
        <f>'Table S2 Compound Identifiers'!C962</f>
        <v>0</v>
      </c>
      <c r="C960" s="247">
        <f>COUNTIF($D$6:D960,"&lt;&gt;"&amp;"")</f>
        <v>955</v>
      </c>
      <c r="D960" s="247">
        <f>'Table S2 Compound Identifiers'!B962</f>
        <v>0</v>
      </c>
      <c r="E960" s="247"/>
      <c r="F960" s="248"/>
      <c r="G960" s="249"/>
      <c r="H960" s="330"/>
      <c r="I960" s="328"/>
      <c r="J960" s="249"/>
      <c r="K960" s="330"/>
      <c r="L960" s="250"/>
      <c r="M960" s="249"/>
      <c r="N960" s="330"/>
      <c r="O960" s="250"/>
      <c r="P960" s="249"/>
      <c r="Q960" s="330"/>
      <c r="R960" s="250"/>
      <c r="S960" s="249"/>
      <c r="T960" s="330"/>
      <c r="U960" s="250"/>
      <c r="V960" s="249"/>
      <c r="W960" s="330"/>
      <c r="X960" s="343"/>
      <c r="Y960" s="249"/>
      <c r="Z960" s="330"/>
      <c r="AA960" s="343"/>
      <c r="AB960" s="249"/>
      <c r="AC960" s="330"/>
      <c r="AD960" s="343"/>
      <c r="AE960" s="249"/>
      <c r="AF960" s="330"/>
      <c r="AG960" s="343"/>
      <c r="AH960" s="249"/>
      <c r="AI960" s="330"/>
      <c r="AJ960" s="343"/>
      <c r="AK960" s="249"/>
      <c r="AL960" s="330"/>
      <c r="AM960" s="343"/>
      <c r="AN960" s="249"/>
      <c r="AO960" s="330"/>
      <c r="AP960" s="343"/>
      <c r="AQ960" s="249"/>
      <c r="AR960" s="330"/>
      <c r="AS960" s="343"/>
      <c r="AT960" s="249"/>
      <c r="AU960" s="330"/>
    </row>
    <row r="961" spans="2:47">
      <c r="B961" s="247">
        <f>'Table S2 Compound Identifiers'!C963</f>
        <v>0</v>
      </c>
      <c r="C961" s="247">
        <f>COUNTIF($D$6:D961,"&lt;&gt;"&amp;"")</f>
        <v>956</v>
      </c>
      <c r="D961" s="247">
        <f>'Table S2 Compound Identifiers'!B963</f>
        <v>0</v>
      </c>
      <c r="E961" s="247"/>
      <c r="F961" s="248"/>
      <c r="G961" s="249"/>
      <c r="H961" s="330"/>
      <c r="I961" s="328"/>
      <c r="J961" s="249"/>
      <c r="K961" s="330"/>
      <c r="L961" s="250"/>
      <c r="M961" s="249"/>
      <c r="N961" s="330"/>
      <c r="O961" s="250"/>
      <c r="P961" s="249"/>
      <c r="Q961" s="330"/>
      <c r="R961" s="250"/>
      <c r="S961" s="249"/>
      <c r="T961" s="330"/>
      <c r="U961" s="250"/>
      <c r="V961" s="249"/>
      <c r="W961" s="330"/>
      <c r="X961" s="343"/>
      <c r="Y961" s="249"/>
      <c r="Z961" s="330"/>
      <c r="AA961" s="343"/>
      <c r="AB961" s="249"/>
      <c r="AC961" s="330"/>
      <c r="AD961" s="343"/>
      <c r="AE961" s="249"/>
      <c r="AF961" s="330"/>
      <c r="AG961" s="343"/>
      <c r="AH961" s="249"/>
      <c r="AI961" s="330"/>
      <c r="AJ961" s="343"/>
      <c r="AK961" s="249"/>
      <c r="AL961" s="330"/>
      <c r="AM961" s="343"/>
      <c r="AN961" s="249"/>
      <c r="AO961" s="330"/>
      <c r="AP961" s="343"/>
      <c r="AQ961" s="249"/>
      <c r="AR961" s="330"/>
      <c r="AS961" s="343"/>
      <c r="AT961" s="249"/>
      <c r="AU961" s="330"/>
    </row>
    <row r="962" spans="2:47">
      <c r="B962" s="247">
        <f>'Table S2 Compound Identifiers'!C964</f>
        <v>0</v>
      </c>
      <c r="C962" s="247">
        <f>COUNTIF($D$6:D962,"&lt;&gt;"&amp;"")</f>
        <v>957</v>
      </c>
      <c r="D962" s="247">
        <f>'Table S2 Compound Identifiers'!B964</f>
        <v>0</v>
      </c>
      <c r="E962" s="247"/>
      <c r="F962" s="248"/>
      <c r="G962" s="249"/>
      <c r="H962" s="330"/>
      <c r="I962" s="328"/>
      <c r="J962" s="249"/>
      <c r="K962" s="330"/>
      <c r="L962" s="250"/>
      <c r="M962" s="249"/>
      <c r="N962" s="330"/>
      <c r="O962" s="250"/>
      <c r="P962" s="249"/>
      <c r="Q962" s="330"/>
      <c r="R962" s="250"/>
      <c r="S962" s="249"/>
      <c r="T962" s="330"/>
      <c r="U962" s="250"/>
      <c r="V962" s="249"/>
      <c r="W962" s="330"/>
      <c r="X962" s="343"/>
      <c r="Y962" s="249"/>
      <c r="Z962" s="330"/>
      <c r="AA962" s="343"/>
      <c r="AB962" s="249"/>
      <c r="AC962" s="330"/>
      <c r="AD962" s="343"/>
      <c r="AE962" s="249"/>
      <c r="AF962" s="330"/>
      <c r="AG962" s="343"/>
      <c r="AH962" s="249"/>
      <c r="AI962" s="330"/>
      <c r="AJ962" s="343"/>
      <c r="AK962" s="249"/>
      <c r="AL962" s="330"/>
      <c r="AM962" s="343"/>
      <c r="AN962" s="249"/>
      <c r="AO962" s="330"/>
      <c r="AP962" s="343"/>
      <c r="AQ962" s="249"/>
      <c r="AR962" s="330"/>
      <c r="AS962" s="343"/>
      <c r="AT962" s="249"/>
      <c r="AU962" s="330"/>
    </row>
    <row r="963" spans="2:47">
      <c r="B963" s="247">
        <f>'Table S2 Compound Identifiers'!C965</f>
        <v>0</v>
      </c>
      <c r="C963" s="247">
        <f>COUNTIF($D$6:D963,"&lt;&gt;"&amp;"")</f>
        <v>958</v>
      </c>
      <c r="D963" s="247">
        <f>'Table S2 Compound Identifiers'!B965</f>
        <v>0</v>
      </c>
      <c r="E963" s="247"/>
      <c r="F963" s="248"/>
      <c r="G963" s="249"/>
      <c r="H963" s="330"/>
      <c r="I963" s="328"/>
      <c r="J963" s="249"/>
      <c r="K963" s="330"/>
      <c r="L963" s="250"/>
      <c r="M963" s="249"/>
      <c r="N963" s="330"/>
      <c r="O963" s="250"/>
      <c r="P963" s="249"/>
      <c r="Q963" s="330"/>
      <c r="R963" s="250"/>
      <c r="S963" s="249"/>
      <c r="T963" s="330"/>
      <c r="U963" s="250"/>
      <c r="V963" s="249"/>
      <c r="W963" s="330"/>
      <c r="X963" s="343"/>
      <c r="Y963" s="249"/>
      <c r="Z963" s="330"/>
      <c r="AA963" s="343"/>
      <c r="AB963" s="249"/>
      <c r="AC963" s="330"/>
      <c r="AD963" s="343"/>
      <c r="AE963" s="249"/>
      <c r="AF963" s="330"/>
      <c r="AG963" s="343"/>
      <c r="AH963" s="249"/>
      <c r="AI963" s="330"/>
      <c r="AJ963" s="343"/>
      <c r="AK963" s="249"/>
      <c r="AL963" s="330"/>
      <c r="AM963" s="343"/>
      <c r="AN963" s="249"/>
      <c r="AO963" s="330"/>
      <c r="AP963" s="343"/>
      <c r="AQ963" s="249"/>
      <c r="AR963" s="330"/>
      <c r="AS963" s="343"/>
      <c r="AT963" s="249"/>
      <c r="AU963" s="330"/>
    </row>
    <row r="964" spans="2:47">
      <c r="B964" s="247">
        <f>'Table S2 Compound Identifiers'!C966</f>
        <v>0</v>
      </c>
      <c r="C964" s="247">
        <f>COUNTIF($D$6:D964,"&lt;&gt;"&amp;"")</f>
        <v>959</v>
      </c>
      <c r="D964" s="247">
        <f>'Table S2 Compound Identifiers'!B966</f>
        <v>0</v>
      </c>
      <c r="E964" s="247"/>
      <c r="F964" s="248"/>
      <c r="G964" s="249"/>
      <c r="H964" s="330"/>
      <c r="I964" s="328"/>
      <c r="J964" s="249"/>
      <c r="K964" s="330"/>
      <c r="L964" s="250"/>
      <c r="M964" s="249"/>
      <c r="N964" s="330"/>
      <c r="O964" s="250"/>
      <c r="P964" s="249"/>
      <c r="Q964" s="330"/>
      <c r="R964" s="250"/>
      <c r="S964" s="249"/>
      <c r="T964" s="330"/>
      <c r="U964" s="250"/>
      <c r="V964" s="249"/>
      <c r="W964" s="330"/>
      <c r="X964" s="343"/>
      <c r="Y964" s="249"/>
      <c r="Z964" s="330"/>
      <c r="AA964" s="343"/>
      <c r="AB964" s="249"/>
      <c r="AC964" s="330"/>
      <c r="AD964" s="343"/>
      <c r="AE964" s="249"/>
      <c r="AF964" s="330"/>
      <c r="AG964" s="343"/>
      <c r="AH964" s="249"/>
      <c r="AI964" s="330"/>
      <c r="AJ964" s="343"/>
      <c r="AK964" s="249"/>
      <c r="AL964" s="330"/>
      <c r="AM964" s="343"/>
      <c r="AN964" s="249"/>
      <c r="AO964" s="330"/>
      <c r="AP964" s="343"/>
      <c r="AQ964" s="249"/>
      <c r="AR964" s="330"/>
      <c r="AS964" s="343"/>
      <c r="AT964" s="249"/>
      <c r="AU964" s="330"/>
    </row>
    <row r="965" spans="2:47">
      <c r="B965" s="247">
        <f>'Table S2 Compound Identifiers'!C967</f>
        <v>0</v>
      </c>
      <c r="C965" s="247">
        <f>COUNTIF($D$6:D965,"&lt;&gt;"&amp;"")</f>
        <v>960</v>
      </c>
      <c r="D965" s="247">
        <f>'Table S2 Compound Identifiers'!B967</f>
        <v>0</v>
      </c>
      <c r="E965" s="247"/>
      <c r="F965" s="248"/>
      <c r="G965" s="249"/>
      <c r="H965" s="330"/>
      <c r="I965" s="328"/>
      <c r="J965" s="249"/>
      <c r="K965" s="330"/>
      <c r="L965" s="250"/>
      <c r="M965" s="249"/>
      <c r="N965" s="330"/>
      <c r="O965" s="250"/>
      <c r="P965" s="249"/>
      <c r="Q965" s="330"/>
      <c r="R965" s="250"/>
      <c r="S965" s="249"/>
      <c r="T965" s="330"/>
      <c r="U965" s="250"/>
      <c r="V965" s="249"/>
      <c r="W965" s="330"/>
      <c r="X965" s="343"/>
      <c r="Y965" s="249"/>
      <c r="Z965" s="330"/>
      <c r="AA965" s="343"/>
      <c r="AB965" s="249"/>
      <c r="AC965" s="330"/>
      <c r="AD965" s="343"/>
      <c r="AE965" s="249"/>
      <c r="AF965" s="330"/>
      <c r="AG965" s="343"/>
      <c r="AH965" s="249"/>
      <c r="AI965" s="330"/>
      <c r="AJ965" s="343"/>
      <c r="AK965" s="249"/>
      <c r="AL965" s="330"/>
      <c r="AM965" s="343"/>
      <c r="AN965" s="249"/>
      <c r="AO965" s="330"/>
      <c r="AP965" s="343"/>
      <c r="AQ965" s="249"/>
      <c r="AR965" s="330"/>
      <c r="AS965" s="343"/>
      <c r="AT965" s="249"/>
      <c r="AU965" s="330"/>
    </row>
    <row r="966" spans="2:47">
      <c r="B966" s="247">
        <f>'Table S2 Compound Identifiers'!C968</f>
        <v>0</v>
      </c>
      <c r="C966" s="247">
        <f>COUNTIF($D$6:D966,"&lt;&gt;"&amp;"")</f>
        <v>961</v>
      </c>
      <c r="D966" s="247">
        <f>'Table S2 Compound Identifiers'!B968</f>
        <v>0</v>
      </c>
      <c r="E966" s="247"/>
      <c r="F966" s="248"/>
      <c r="G966" s="249"/>
      <c r="H966" s="330"/>
      <c r="I966" s="328"/>
      <c r="J966" s="249"/>
      <c r="K966" s="330"/>
      <c r="L966" s="250"/>
      <c r="M966" s="249"/>
      <c r="N966" s="330"/>
      <c r="O966" s="251"/>
      <c r="P966" s="252"/>
      <c r="Q966" s="330"/>
      <c r="R966" s="251"/>
      <c r="S966" s="252"/>
      <c r="T966" s="330"/>
      <c r="U966" s="251"/>
      <c r="V966" s="252"/>
      <c r="W966" s="330"/>
      <c r="X966" s="343"/>
      <c r="Y966" s="249"/>
      <c r="Z966" s="330"/>
      <c r="AA966" s="343"/>
      <c r="AB966" s="249"/>
      <c r="AC966" s="330"/>
      <c r="AD966" s="343"/>
      <c r="AE966" s="249"/>
      <c r="AF966" s="330"/>
      <c r="AG966" s="343"/>
      <c r="AH966" s="249"/>
      <c r="AI966" s="330"/>
      <c r="AJ966" s="343"/>
      <c r="AK966" s="249"/>
      <c r="AL966" s="330"/>
      <c r="AM966" s="343"/>
      <c r="AN966" s="249"/>
      <c r="AO966" s="330"/>
      <c r="AP966" s="343"/>
      <c r="AQ966" s="249"/>
      <c r="AR966" s="330"/>
      <c r="AS966" s="343"/>
      <c r="AT966" s="249"/>
      <c r="AU966" s="330"/>
    </row>
    <row r="967" spans="2:47">
      <c r="B967" s="247">
        <f>'Table S2 Compound Identifiers'!C969</f>
        <v>0</v>
      </c>
      <c r="C967" s="253">
        <f>COUNTIF($D$6:D967,"&lt;&gt;"&amp;"")</f>
        <v>962</v>
      </c>
      <c r="D967" s="253">
        <f>'Table S2 Compound Identifiers'!B969</f>
        <v>0</v>
      </c>
      <c r="E967" s="253"/>
      <c r="F967" s="254"/>
      <c r="G967" s="252"/>
      <c r="H967" s="330"/>
      <c r="I967" s="333"/>
      <c r="J967" s="252"/>
      <c r="K967" s="330"/>
      <c r="L967" s="251"/>
      <c r="M967" s="252"/>
      <c r="N967" s="330"/>
      <c r="O967" s="251"/>
      <c r="P967" s="252"/>
      <c r="Q967" s="330"/>
      <c r="R967" s="251"/>
      <c r="S967" s="252"/>
      <c r="T967" s="330"/>
      <c r="U967" s="251"/>
      <c r="V967" s="252"/>
      <c r="W967" s="330"/>
      <c r="X967" s="343"/>
      <c r="Y967" s="249"/>
      <c r="Z967" s="330"/>
      <c r="AA967" s="343"/>
      <c r="AB967" s="249"/>
      <c r="AC967" s="330"/>
      <c r="AD967" s="343"/>
      <c r="AE967" s="249"/>
      <c r="AF967" s="330"/>
      <c r="AG967" s="343"/>
      <c r="AH967" s="249"/>
      <c r="AI967" s="330"/>
      <c r="AJ967" s="343"/>
      <c r="AK967" s="249"/>
      <c r="AL967" s="330"/>
      <c r="AM967" s="343"/>
      <c r="AN967" s="249"/>
      <c r="AO967" s="330"/>
      <c r="AP967" s="343"/>
      <c r="AQ967" s="249"/>
      <c r="AR967" s="330"/>
      <c r="AS967" s="343"/>
      <c r="AT967" s="249"/>
      <c r="AU967" s="330"/>
    </row>
    <row r="968" spans="2:47">
      <c r="B968" s="247">
        <f>'Table S2 Compound Identifiers'!C970</f>
        <v>0</v>
      </c>
      <c r="C968" s="247">
        <f>COUNTIF($D$6:D968,"&lt;&gt;"&amp;"")</f>
        <v>963</v>
      </c>
      <c r="D968" s="247">
        <f>'Table S2 Compound Identifiers'!B970</f>
        <v>0</v>
      </c>
      <c r="E968" s="247"/>
      <c r="F968" s="248"/>
      <c r="G968" s="250"/>
      <c r="H968" s="330"/>
      <c r="I968" s="343"/>
      <c r="J968" s="249"/>
      <c r="K968" s="327"/>
      <c r="L968" s="343"/>
      <c r="M968" s="249"/>
      <c r="N968" s="327"/>
      <c r="O968" s="343"/>
      <c r="P968" s="249"/>
      <c r="Q968" s="327"/>
      <c r="R968" s="343"/>
      <c r="S968" s="249"/>
      <c r="T968" s="327"/>
      <c r="U968" s="343"/>
      <c r="V968" s="249"/>
      <c r="W968" s="327"/>
      <c r="X968" s="343"/>
      <c r="Y968" s="249"/>
      <c r="Z968" s="327"/>
      <c r="AA968" s="343"/>
      <c r="AB968" s="249"/>
      <c r="AC968" s="343"/>
      <c r="AD968" s="343"/>
      <c r="AE968" s="249"/>
      <c r="AF968" s="249"/>
      <c r="AG968" s="343"/>
      <c r="AH968" s="249"/>
      <c r="AI968" s="343"/>
      <c r="AJ968" s="343"/>
      <c r="AK968" s="249"/>
      <c r="AL968" s="249"/>
      <c r="AM968" s="343"/>
      <c r="AN968" s="249"/>
      <c r="AO968" s="343"/>
      <c r="AP968" s="343"/>
      <c r="AQ968" s="249"/>
      <c r="AR968" s="249"/>
      <c r="AS968" s="343"/>
      <c r="AT968" s="249"/>
      <c r="AU968" s="343"/>
    </row>
    <row r="969" spans="2:47">
      <c r="B969" s="247">
        <f>'Table S2 Compound Identifiers'!C971</f>
        <v>0</v>
      </c>
      <c r="C969" s="247">
        <f>COUNTIF($D$6:D969,"&lt;&gt;"&amp;"")</f>
        <v>964</v>
      </c>
      <c r="D969" s="247">
        <f>'Table S2 Compound Identifiers'!B971</f>
        <v>0</v>
      </c>
      <c r="E969" s="247"/>
      <c r="F969" s="248"/>
      <c r="G969" s="249"/>
      <c r="H969" s="330"/>
      <c r="I969" s="332"/>
      <c r="J969" s="330"/>
      <c r="K969" s="330"/>
      <c r="L969" s="330"/>
      <c r="M969" s="330"/>
      <c r="N969" s="330"/>
      <c r="O969" s="330"/>
      <c r="P969" s="330"/>
      <c r="Q969" s="330"/>
      <c r="R969" s="330"/>
      <c r="S969" s="330"/>
      <c r="T969" s="330"/>
      <c r="U969" s="330"/>
      <c r="V969" s="330"/>
      <c r="W969" s="330"/>
      <c r="X969" s="343"/>
      <c r="Y969" s="249"/>
      <c r="Z969" s="330"/>
      <c r="AA969" s="343"/>
      <c r="AB969" s="249"/>
      <c r="AC969" s="330"/>
      <c r="AD969" s="343"/>
      <c r="AE969" s="249"/>
      <c r="AF969" s="330"/>
      <c r="AG969" s="343"/>
      <c r="AH969" s="249"/>
      <c r="AI969" s="330"/>
      <c r="AJ969" s="343"/>
      <c r="AK969" s="249"/>
      <c r="AL969" s="330"/>
      <c r="AM969" s="343"/>
      <c r="AN969" s="249"/>
      <c r="AO969" s="330"/>
      <c r="AP969" s="343"/>
      <c r="AQ969" s="249"/>
      <c r="AR969" s="330"/>
      <c r="AS969" s="343"/>
      <c r="AT969" s="249"/>
      <c r="AU969" s="330"/>
    </row>
    <row r="970" spans="2:47">
      <c r="B970" s="247">
        <f>'Table S2 Compound Identifiers'!C972</f>
        <v>0</v>
      </c>
      <c r="C970" s="247">
        <f>COUNTIF($D$6:D970,"&lt;&gt;"&amp;"")</f>
        <v>965</v>
      </c>
      <c r="D970" s="247">
        <f>'Table S2 Compound Identifiers'!B972</f>
        <v>0</v>
      </c>
      <c r="E970" s="247"/>
      <c r="F970" s="248"/>
      <c r="G970" s="249"/>
      <c r="H970" s="330"/>
      <c r="I970" s="332"/>
      <c r="J970" s="330"/>
      <c r="K970" s="330"/>
      <c r="L970" s="330"/>
      <c r="M970" s="330"/>
      <c r="N970" s="330"/>
      <c r="O970" s="330"/>
      <c r="P970" s="330"/>
      <c r="Q970" s="330"/>
      <c r="R970" s="330"/>
      <c r="S970" s="330"/>
      <c r="T970" s="330"/>
      <c r="U970" s="330"/>
      <c r="V970" s="330"/>
      <c r="W970" s="330"/>
      <c r="X970" s="343"/>
      <c r="Y970" s="249"/>
      <c r="Z970" s="330"/>
      <c r="AA970" s="343"/>
      <c r="AB970" s="249"/>
      <c r="AC970" s="330"/>
      <c r="AD970" s="343"/>
      <c r="AE970" s="249"/>
      <c r="AF970" s="330"/>
      <c r="AG970" s="343"/>
      <c r="AH970" s="249"/>
      <c r="AI970" s="330"/>
      <c r="AJ970" s="343"/>
      <c r="AK970" s="249"/>
      <c r="AL970" s="330"/>
      <c r="AM970" s="343"/>
      <c r="AN970" s="249"/>
      <c r="AO970" s="330"/>
      <c r="AP970" s="343"/>
      <c r="AQ970" s="249"/>
      <c r="AR970" s="330"/>
      <c r="AS970" s="343"/>
      <c r="AT970" s="249"/>
      <c r="AU970" s="330"/>
    </row>
    <row r="971" spans="2:47">
      <c r="B971" s="247">
        <f>'Table S2 Compound Identifiers'!C973</f>
        <v>0</v>
      </c>
      <c r="C971" s="247">
        <f>COUNTIF($D$6:D971,"&lt;&gt;"&amp;"")</f>
        <v>966</v>
      </c>
      <c r="D971" s="247">
        <f>'Table S2 Compound Identifiers'!B973</f>
        <v>0</v>
      </c>
      <c r="E971" s="247"/>
      <c r="F971" s="248"/>
      <c r="G971" s="249"/>
      <c r="H971" s="330"/>
      <c r="I971" s="332"/>
      <c r="J971" s="330"/>
      <c r="K971" s="330"/>
      <c r="L971" s="330"/>
      <c r="M971" s="330"/>
      <c r="N971" s="330"/>
      <c r="O971" s="330"/>
      <c r="P971" s="330"/>
      <c r="Q971" s="330"/>
      <c r="R971" s="330"/>
      <c r="S971" s="330"/>
      <c r="T971" s="330"/>
      <c r="U971" s="330"/>
      <c r="V971" s="330"/>
      <c r="W971" s="330"/>
      <c r="X971" s="343"/>
      <c r="Y971" s="249"/>
      <c r="Z971" s="330"/>
      <c r="AA971" s="343"/>
      <c r="AB971" s="249"/>
      <c r="AC971" s="330"/>
      <c r="AD971" s="343"/>
      <c r="AE971" s="249"/>
      <c r="AF971" s="330"/>
      <c r="AG971" s="343"/>
      <c r="AH971" s="249"/>
      <c r="AI971" s="330"/>
      <c r="AJ971" s="343"/>
      <c r="AK971" s="249"/>
      <c r="AL971" s="330"/>
      <c r="AM971" s="343"/>
      <c r="AN971" s="249"/>
      <c r="AO971" s="330"/>
      <c r="AP971" s="343"/>
      <c r="AQ971" s="249"/>
      <c r="AR971" s="330"/>
      <c r="AS971" s="343"/>
      <c r="AT971" s="249"/>
      <c r="AU971" s="330"/>
    </row>
    <row r="972" spans="2:47">
      <c r="B972" s="247">
        <f>'Table S2 Compound Identifiers'!C974</f>
        <v>0</v>
      </c>
      <c r="C972" s="247">
        <f>COUNTIF($D$6:D972,"&lt;&gt;"&amp;"")</f>
        <v>967</v>
      </c>
      <c r="D972" s="247">
        <f>'Table S2 Compound Identifiers'!B974</f>
        <v>0</v>
      </c>
      <c r="E972" s="247"/>
      <c r="F972" s="248"/>
      <c r="G972" s="249"/>
      <c r="H972" s="330"/>
      <c r="I972" s="328"/>
      <c r="J972" s="249"/>
      <c r="K972" s="330"/>
      <c r="L972" s="250"/>
      <c r="M972" s="249"/>
      <c r="N972" s="330"/>
      <c r="O972" s="250"/>
      <c r="P972" s="249"/>
      <c r="Q972" s="330"/>
      <c r="R972" s="250"/>
      <c r="S972" s="249"/>
      <c r="T972" s="330"/>
      <c r="U972" s="250"/>
      <c r="V972" s="249"/>
      <c r="W972" s="330"/>
      <c r="X972" s="343"/>
      <c r="Y972" s="249"/>
      <c r="Z972" s="330"/>
      <c r="AA972" s="343"/>
      <c r="AB972" s="249"/>
      <c r="AC972" s="330"/>
      <c r="AD972" s="343"/>
      <c r="AE972" s="249"/>
      <c r="AF972" s="330"/>
      <c r="AG972" s="343"/>
      <c r="AH972" s="249"/>
      <c r="AI972" s="330"/>
      <c r="AJ972" s="343"/>
      <c r="AK972" s="249"/>
      <c r="AL972" s="330"/>
      <c r="AM972" s="343"/>
      <c r="AN972" s="249"/>
      <c r="AO972" s="330"/>
      <c r="AP972" s="343"/>
      <c r="AQ972" s="249"/>
      <c r="AR972" s="330"/>
      <c r="AS972" s="343"/>
      <c r="AT972" s="249"/>
      <c r="AU972" s="330"/>
    </row>
    <row r="973" spans="2:47">
      <c r="B973" s="247">
        <f>'Table S2 Compound Identifiers'!C975</f>
        <v>0</v>
      </c>
      <c r="C973" s="247">
        <f>COUNTIF($D$6:D973,"&lt;&gt;"&amp;"")</f>
        <v>968</v>
      </c>
      <c r="D973" s="247">
        <f>'Table S2 Compound Identifiers'!B975</f>
        <v>0</v>
      </c>
      <c r="E973" s="247"/>
      <c r="F973" s="248"/>
      <c r="G973" s="249"/>
      <c r="H973" s="330"/>
      <c r="I973" s="328"/>
      <c r="J973" s="249"/>
      <c r="K973" s="330"/>
      <c r="L973" s="250"/>
      <c r="M973" s="249"/>
      <c r="N973" s="330"/>
      <c r="O973" s="250"/>
      <c r="P973" s="249"/>
      <c r="Q973" s="330"/>
      <c r="R973" s="250"/>
      <c r="S973" s="249"/>
      <c r="T973" s="330"/>
      <c r="U973" s="250"/>
      <c r="V973" s="249"/>
      <c r="W973" s="330"/>
      <c r="X973" s="343"/>
      <c r="Y973" s="249"/>
      <c r="Z973" s="330"/>
      <c r="AA973" s="343"/>
      <c r="AB973" s="249"/>
      <c r="AC973" s="330"/>
      <c r="AD973" s="343"/>
      <c r="AE973" s="249"/>
      <c r="AF973" s="330"/>
      <c r="AG973" s="343"/>
      <c r="AH973" s="249"/>
      <c r="AI973" s="330"/>
      <c r="AJ973" s="343"/>
      <c r="AK973" s="249"/>
      <c r="AL973" s="330"/>
      <c r="AM973" s="343"/>
      <c r="AN973" s="249"/>
      <c r="AO973" s="330"/>
      <c r="AP973" s="343"/>
      <c r="AQ973" s="249"/>
      <c r="AR973" s="330"/>
      <c r="AS973" s="343"/>
      <c r="AT973" s="249"/>
      <c r="AU973" s="330"/>
    </row>
    <row r="974" spans="2:47">
      <c r="B974" s="247">
        <f>'Table S2 Compound Identifiers'!C976</f>
        <v>0</v>
      </c>
      <c r="C974" s="247">
        <f>COUNTIF($D$6:D974,"&lt;&gt;"&amp;"")</f>
        <v>969</v>
      </c>
      <c r="D974" s="247">
        <f>'Table S2 Compound Identifiers'!B976</f>
        <v>0</v>
      </c>
      <c r="E974" s="247"/>
      <c r="F974" s="248"/>
      <c r="G974" s="249"/>
      <c r="H974" s="330"/>
      <c r="I974" s="328"/>
      <c r="J974" s="249"/>
      <c r="K974" s="330"/>
      <c r="L974" s="250"/>
      <c r="M974" s="249"/>
      <c r="N974" s="330"/>
      <c r="O974" s="250"/>
      <c r="P974" s="249"/>
      <c r="Q974" s="330"/>
      <c r="R974" s="250"/>
      <c r="S974" s="249"/>
      <c r="T974" s="330"/>
      <c r="U974" s="250"/>
      <c r="V974" s="249"/>
      <c r="W974" s="330"/>
      <c r="X974" s="343"/>
      <c r="Y974" s="249"/>
      <c r="Z974" s="330"/>
      <c r="AA974" s="343"/>
      <c r="AB974" s="249"/>
      <c r="AC974" s="330"/>
      <c r="AD974" s="343"/>
      <c r="AE974" s="249"/>
      <c r="AF974" s="330"/>
      <c r="AG974" s="343"/>
      <c r="AH974" s="249"/>
      <c r="AI974" s="330"/>
      <c r="AJ974" s="343"/>
      <c r="AK974" s="249"/>
      <c r="AL974" s="330"/>
      <c r="AM974" s="343"/>
      <c r="AN974" s="249"/>
      <c r="AO974" s="330"/>
      <c r="AP974" s="343"/>
      <c r="AQ974" s="249"/>
      <c r="AR974" s="330"/>
      <c r="AS974" s="343"/>
      <c r="AT974" s="249"/>
      <c r="AU974" s="330"/>
    </row>
    <row r="975" spans="2:47">
      <c r="B975" s="247">
        <f>'Table S2 Compound Identifiers'!C977</f>
        <v>0</v>
      </c>
      <c r="C975" s="247">
        <f>COUNTIF($D$6:D975,"&lt;&gt;"&amp;"")</f>
        <v>970</v>
      </c>
      <c r="D975" s="247">
        <f>'Table S2 Compound Identifiers'!B977</f>
        <v>0</v>
      </c>
      <c r="E975" s="247"/>
      <c r="F975" s="248"/>
      <c r="G975" s="249"/>
      <c r="H975" s="330"/>
      <c r="I975" s="328"/>
      <c r="J975" s="249"/>
      <c r="K975" s="330"/>
      <c r="L975" s="250"/>
      <c r="M975" s="249"/>
      <c r="N975" s="330"/>
      <c r="O975" s="250"/>
      <c r="P975" s="249"/>
      <c r="Q975" s="330"/>
      <c r="R975" s="250"/>
      <c r="S975" s="249"/>
      <c r="T975" s="330"/>
      <c r="U975" s="250"/>
      <c r="V975" s="249"/>
      <c r="W975" s="330"/>
      <c r="X975" s="343"/>
      <c r="Y975" s="249"/>
      <c r="Z975" s="330"/>
      <c r="AA975" s="343"/>
      <c r="AB975" s="249"/>
      <c r="AC975" s="330"/>
      <c r="AD975" s="343"/>
      <c r="AE975" s="249"/>
      <c r="AF975" s="330"/>
      <c r="AG975" s="343"/>
      <c r="AH975" s="249"/>
      <c r="AI975" s="330"/>
      <c r="AJ975" s="343"/>
      <c r="AK975" s="249"/>
      <c r="AL975" s="330"/>
      <c r="AM975" s="343"/>
      <c r="AN975" s="249"/>
      <c r="AO975" s="330"/>
      <c r="AP975" s="343"/>
      <c r="AQ975" s="249"/>
      <c r="AR975" s="330"/>
      <c r="AS975" s="343"/>
      <c r="AT975" s="249"/>
      <c r="AU975" s="330"/>
    </row>
    <row r="976" spans="2:47">
      <c r="B976" s="247">
        <f>'Table S2 Compound Identifiers'!C978</f>
        <v>0</v>
      </c>
      <c r="C976" s="247">
        <f>COUNTIF($D$6:D976,"&lt;&gt;"&amp;"")</f>
        <v>971</v>
      </c>
      <c r="D976" s="247">
        <f>'Table S2 Compound Identifiers'!B978</f>
        <v>0</v>
      </c>
      <c r="E976" s="247"/>
      <c r="F976" s="248"/>
      <c r="G976" s="249"/>
      <c r="H976" s="330"/>
      <c r="I976" s="328"/>
      <c r="J976" s="249"/>
      <c r="K976" s="330"/>
      <c r="L976" s="250"/>
      <c r="M976" s="249"/>
      <c r="N976" s="330"/>
      <c r="O976" s="250"/>
      <c r="P976" s="249"/>
      <c r="Q976" s="330"/>
      <c r="R976" s="250"/>
      <c r="S976" s="249"/>
      <c r="T976" s="330"/>
      <c r="U976" s="250"/>
      <c r="V976" s="249"/>
      <c r="W976" s="330"/>
      <c r="X976" s="343"/>
      <c r="Y976" s="249"/>
      <c r="Z976" s="330"/>
      <c r="AA976" s="343"/>
      <c r="AB976" s="249"/>
      <c r="AC976" s="330"/>
      <c r="AD976" s="343"/>
      <c r="AE976" s="249"/>
      <c r="AF976" s="330"/>
      <c r="AG976" s="343"/>
      <c r="AH976" s="249"/>
      <c r="AI976" s="330"/>
      <c r="AJ976" s="343"/>
      <c r="AK976" s="249"/>
      <c r="AL976" s="330"/>
      <c r="AM976" s="343"/>
      <c r="AN976" s="249"/>
      <c r="AO976" s="330"/>
      <c r="AP976" s="343"/>
      <c r="AQ976" s="249"/>
      <c r="AR976" s="330"/>
      <c r="AS976" s="343"/>
      <c r="AT976" s="249"/>
      <c r="AU976" s="330"/>
    </row>
    <row r="977" spans="2:47">
      <c r="B977" s="247">
        <f>'Table S2 Compound Identifiers'!C979</f>
        <v>0</v>
      </c>
      <c r="C977" s="247">
        <f>COUNTIF($D$6:D977,"&lt;&gt;"&amp;"")</f>
        <v>972</v>
      </c>
      <c r="D977" s="247">
        <f>'Table S2 Compound Identifiers'!B979</f>
        <v>0</v>
      </c>
      <c r="E977" s="247"/>
      <c r="F977" s="248"/>
      <c r="G977" s="249"/>
      <c r="H977" s="330"/>
      <c r="I977" s="328"/>
      <c r="J977" s="249"/>
      <c r="K977" s="330"/>
      <c r="L977" s="250"/>
      <c r="M977" s="249"/>
      <c r="N977" s="330"/>
      <c r="O977" s="250"/>
      <c r="P977" s="249"/>
      <c r="Q977" s="330"/>
      <c r="R977" s="250"/>
      <c r="S977" s="249"/>
      <c r="T977" s="330"/>
      <c r="U977" s="250"/>
      <c r="V977" s="249"/>
      <c r="W977" s="330"/>
      <c r="X977" s="343"/>
      <c r="Y977" s="249"/>
      <c r="Z977" s="330"/>
      <c r="AA977" s="343"/>
      <c r="AB977" s="249"/>
      <c r="AC977" s="330"/>
      <c r="AD977" s="343"/>
      <c r="AE977" s="249"/>
      <c r="AF977" s="330"/>
      <c r="AG977" s="343"/>
      <c r="AH977" s="249"/>
      <c r="AI977" s="330"/>
      <c r="AJ977" s="343"/>
      <c r="AK977" s="249"/>
      <c r="AL977" s="330"/>
      <c r="AM977" s="343"/>
      <c r="AN977" s="249"/>
      <c r="AO977" s="330"/>
      <c r="AP977" s="343"/>
      <c r="AQ977" s="249"/>
      <c r="AR977" s="330"/>
      <c r="AS977" s="343"/>
      <c r="AT977" s="249"/>
      <c r="AU977" s="330"/>
    </row>
    <row r="978" spans="2:47">
      <c r="B978" s="247">
        <f>'Table S2 Compound Identifiers'!C980</f>
        <v>0</v>
      </c>
      <c r="C978" s="247">
        <f>COUNTIF($D$6:D978,"&lt;&gt;"&amp;"")</f>
        <v>973</v>
      </c>
      <c r="D978" s="247">
        <f>'Table S2 Compound Identifiers'!B980</f>
        <v>0</v>
      </c>
      <c r="E978" s="247"/>
      <c r="F978" s="248"/>
      <c r="G978" s="249"/>
      <c r="H978" s="330"/>
      <c r="I978" s="328"/>
      <c r="J978" s="249"/>
      <c r="K978" s="330"/>
      <c r="L978" s="250"/>
      <c r="M978" s="249"/>
      <c r="N978" s="330"/>
      <c r="O978" s="250"/>
      <c r="P978" s="249"/>
      <c r="Q978" s="330"/>
      <c r="R978" s="250"/>
      <c r="S978" s="249"/>
      <c r="T978" s="330"/>
      <c r="U978" s="250"/>
      <c r="V978" s="249"/>
      <c r="W978" s="330"/>
      <c r="X978" s="343"/>
      <c r="Y978" s="249"/>
      <c r="Z978" s="330"/>
      <c r="AA978" s="343"/>
      <c r="AB978" s="249"/>
      <c r="AC978" s="330"/>
      <c r="AD978" s="343"/>
      <c r="AE978" s="249"/>
      <c r="AF978" s="330"/>
      <c r="AG978" s="343"/>
      <c r="AH978" s="249"/>
      <c r="AI978" s="330"/>
      <c r="AJ978" s="343"/>
      <c r="AK978" s="249"/>
      <c r="AL978" s="330"/>
      <c r="AM978" s="343"/>
      <c r="AN978" s="249"/>
      <c r="AO978" s="330"/>
      <c r="AP978" s="343"/>
      <c r="AQ978" s="249"/>
      <c r="AR978" s="330"/>
      <c r="AS978" s="343"/>
      <c r="AT978" s="249"/>
      <c r="AU978" s="330"/>
    </row>
    <row r="979" spans="2:47">
      <c r="B979" s="247">
        <f>'Table S2 Compound Identifiers'!C981</f>
        <v>0</v>
      </c>
      <c r="C979" s="247">
        <f>COUNTIF($D$6:D979,"&lt;&gt;"&amp;"")</f>
        <v>974</v>
      </c>
      <c r="D979" s="247">
        <f>'Table S2 Compound Identifiers'!B981</f>
        <v>0</v>
      </c>
      <c r="E979" s="247"/>
      <c r="F979" s="248"/>
      <c r="G979" s="249"/>
      <c r="H979" s="330"/>
      <c r="I979" s="328"/>
      <c r="J979" s="249"/>
      <c r="K979" s="330"/>
      <c r="L979" s="250"/>
      <c r="M979" s="249"/>
      <c r="N979" s="330"/>
      <c r="O979" s="250"/>
      <c r="P979" s="249"/>
      <c r="Q979" s="330"/>
      <c r="R979" s="250"/>
      <c r="S979" s="249"/>
      <c r="T979" s="330"/>
      <c r="U979" s="250"/>
      <c r="V979" s="249"/>
      <c r="W979" s="330"/>
      <c r="X979" s="343"/>
      <c r="Y979" s="249"/>
      <c r="Z979" s="330"/>
      <c r="AA979" s="343"/>
      <c r="AB979" s="249"/>
      <c r="AC979" s="330"/>
      <c r="AD979" s="343"/>
      <c r="AE979" s="249"/>
      <c r="AF979" s="330"/>
      <c r="AG979" s="343"/>
      <c r="AH979" s="249"/>
      <c r="AI979" s="330"/>
      <c r="AJ979" s="343"/>
      <c r="AK979" s="249"/>
      <c r="AL979" s="330"/>
      <c r="AM979" s="343"/>
      <c r="AN979" s="249"/>
      <c r="AO979" s="330"/>
      <c r="AP979" s="343"/>
      <c r="AQ979" s="249"/>
      <c r="AR979" s="330"/>
      <c r="AS979" s="343"/>
      <c r="AT979" s="249"/>
      <c r="AU979" s="330"/>
    </row>
    <row r="980" spans="2:47">
      <c r="B980" s="247">
        <f>'Table S2 Compound Identifiers'!C982</f>
        <v>0</v>
      </c>
      <c r="C980" s="247">
        <f>COUNTIF($D$6:D980,"&lt;&gt;"&amp;"")</f>
        <v>975</v>
      </c>
      <c r="D980" s="247">
        <f>'Table S2 Compound Identifiers'!B982</f>
        <v>0</v>
      </c>
      <c r="E980" s="247"/>
      <c r="F980" s="248"/>
      <c r="G980" s="249"/>
      <c r="H980" s="330"/>
      <c r="I980" s="328"/>
      <c r="J980" s="249"/>
      <c r="K980" s="330"/>
      <c r="L980" s="250"/>
      <c r="M980" s="249"/>
      <c r="N980" s="330"/>
      <c r="O980" s="250"/>
      <c r="P980" s="249"/>
      <c r="Q980" s="330"/>
      <c r="R980" s="250"/>
      <c r="S980" s="249"/>
      <c r="T980" s="330"/>
      <c r="U980" s="250"/>
      <c r="V980" s="249"/>
      <c r="W980" s="330"/>
      <c r="X980" s="343"/>
      <c r="Y980" s="249"/>
      <c r="Z980" s="330"/>
      <c r="AA980" s="343"/>
      <c r="AB980" s="249"/>
      <c r="AC980" s="330"/>
      <c r="AD980" s="343"/>
      <c r="AE980" s="249"/>
      <c r="AF980" s="330"/>
      <c r="AG980" s="343"/>
      <c r="AH980" s="249"/>
      <c r="AI980" s="330"/>
      <c r="AJ980" s="343"/>
      <c r="AK980" s="249"/>
      <c r="AL980" s="330"/>
      <c r="AM980" s="343"/>
      <c r="AN980" s="249"/>
      <c r="AO980" s="330"/>
      <c r="AP980" s="343"/>
      <c r="AQ980" s="249"/>
      <c r="AR980" s="330"/>
      <c r="AS980" s="343"/>
      <c r="AT980" s="249"/>
      <c r="AU980" s="330"/>
    </row>
    <row r="981" spans="2:47">
      <c r="B981" s="247">
        <f>'Table S2 Compound Identifiers'!C983</f>
        <v>0</v>
      </c>
      <c r="C981" s="247">
        <f>COUNTIF($D$6:D981,"&lt;&gt;"&amp;"")</f>
        <v>976</v>
      </c>
      <c r="D981" s="247">
        <f>'Table S2 Compound Identifiers'!B983</f>
        <v>0</v>
      </c>
      <c r="E981" s="247"/>
      <c r="F981" s="248"/>
      <c r="G981" s="249"/>
      <c r="H981" s="330"/>
      <c r="I981" s="328"/>
      <c r="J981" s="249"/>
      <c r="K981" s="330"/>
      <c r="L981" s="250"/>
      <c r="M981" s="249"/>
      <c r="N981" s="330"/>
      <c r="O981" s="250"/>
      <c r="P981" s="249"/>
      <c r="Q981" s="330"/>
      <c r="R981" s="250"/>
      <c r="S981" s="249"/>
      <c r="T981" s="330"/>
      <c r="U981" s="250"/>
      <c r="V981" s="249"/>
      <c r="W981" s="330"/>
      <c r="X981" s="343"/>
      <c r="Y981" s="249"/>
      <c r="Z981" s="330"/>
      <c r="AA981" s="343"/>
      <c r="AB981" s="249"/>
      <c r="AC981" s="330"/>
      <c r="AD981" s="343"/>
      <c r="AE981" s="249"/>
      <c r="AF981" s="330"/>
      <c r="AG981" s="343"/>
      <c r="AH981" s="249"/>
      <c r="AI981" s="330"/>
      <c r="AJ981" s="343"/>
      <c r="AK981" s="249"/>
      <c r="AL981" s="330"/>
      <c r="AM981" s="343"/>
      <c r="AN981" s="249"/>
      <c r="AO981" s="330"/>
      <c r="AP981" s="343"/>
      <c r="AQ981" s="249"/>
      <c r="AR981" s="330"/>
      <c r="AS981" s="343"/>
      <c r="AT981" s="249"/>
      <c r="AU981" s="330"/>
    </row>
    <row r="982" spans="2:47">
      <c r="B982" s="247">
        <f>'Table S2 Compound Identifiers'!C984</f>
        <v>0</v>
      </c>
      <c r="C982" s="247">
        <f>COUNTIF($D$6:D982,"&lt;&gt;"&amp;"")</f>
        <v>977</v>
      </c>
      <c r="D982" s="247">
        <f>'Table S2 Compound Identifiers'!B984</f>
        <v>0</v>
      </c>
      <c r="E982" s="247"/>
      <c r="F982" s="248"/>
      <c r="G982" s="249"/>
      <c r="H982" s="330"/>
      <c r="I982" s="328"/>
      <c r="J982" s="249"/>
      <c r="K982" s="330"/>
      <c r="L982" s="250"/>
      <c r="M982" s="249"/>
      <c r="N982" s="330"/>
      <c r="O982" s="250"/>
      <c r="P982" s="249"/>
      <c r="Q982" s="330"/>
      <c r="R982" s="250"/>
      <c r="S982" s="249"/>
      <c r="T982" s="330"/>
      <c r="U982" s="250"/>
      <c r="V982" s="249"/>
      <c r="W982" s="330"/>
      <c r="X982" s="343"/>
      <c r="Y982" s="249"/>
      <c r="Z982" s="330"/>
      <c r="AA982" s="343"/>
      <c r="AB982" s="249"/>
      <c r="AC982" s="330"/>
      <c r="AD982" s="343"/>
      <c r="AE982" s="249"/>
      <c r="AF982" s="330"/>
      <c r="AG982" s="343"/>
      <c r="AH982" s="249"/>
      <c r="AI982" s="330"/>
      <c r="AJ982" s="343"/>
      <c r="AK982" s="249"/>
      <c r="AL982" s="330"/>
      <c r="AM982" s="343"/>
      <c r="AN982" s="249"/>
      <c r="AO982" s="330"/>
      <c r="AP982" s="343"/>
      <c r="AQ982" s="249"/>
      <c r="AR982" s="330"/>
      <c r="AS982" s="343"/>
      <c r="AT982" s="249"/>
      <c r="AU982" s="330"/>
    </row>
    <row r="983" spans="2:47">
      <c r="B983" s="247">
        <f>'Table S2 Compound Identifiers'!C985</f>
        <v>0</v>
      </c>
      <c r="C983" s="247">
        <f>COUNTIF($D$6:D983,"&lt;&gt;"&amp;"")</f>
        <v>978</v>
      </c>
      <c r="D983" s="247">
        <f>'Table S2 Compound Identifiers'!B985</f>
        <v>0</v>
      </c>
      <c r="E983" s="247"/>
      <c r="F983" s="248"/>
      <c r="G983" s="249"/>
      <c r="H983" s="330"/>
      <c r="I983" s="328"/>
      <c r="J983" s="249"/>
      <c r="K983" s="330"/>
      <c r="L983" s="250"/>
      <c r="M983" s="249"/>
      <c r="N983" s="330"/>
      <c r="O983" s="250"/>
      <c r="P983" s="249"/>
      <c r="Q983" s="330"/>
      <c r="R983" s="250"/>
      <c r="S983" s="249"/>
      <c r="T983" s="330"/>
      <c r="U983" s="250"/>
      <c r="V983" s="249"/>
      <c r="W983" s="330"/>
      <c r="X983" s="343"/>
      <c r="Y983" s="249"/>
      <c r="Z983" s="330"/>
      <c r="AA983" s="343"/>
      <c r="AB983" s="249"/>
      <c r="AC983" s="330"/>
      <c r="AD983" s="343"/>
      <c r="AE983" s="249"/>
      <c r="AF983" s="330"/>
      <c r="AG983" s="343"/>
      <c r="AH983" s="249"/>
      <c r="AI983" s="330"/>
      <c r="AJ983" s="343"/>
      <c r="AK983" s="249"/>
      <c r="AL983" s="330"/>
      <c r="AM983" s="343"/>
      <c r="AN983" s="249"/>
      <c r="AO983" s="330"/>
      <c r="AP983" s="343"/>
      <c r="AQ983" s="249"/>
      <c r="AR983" s="330"/>
      <c r="AS983" s="343"/>
      <c r="AT983" s="249"/>
      <c r="AU983" s="330"/>
    </row>
    <row r="984" spans="2:47">
      <c r="B984" s="247">
        <f>'Table S2 Compound Identifiers'!C986</f>
        <v>0</v>
      </c>
      <c r="C984" s="247">
        <f>COUNTIF($D$6:D984,"&lt;&gt;"&amp;"")</f>
        <v>979</v>
      </c>
      <c r="D984" s="247">
        <f>'Table S2 Compound Identifiers'!B986</f>
        <v>0</v>
      </c>
      <c r="E984" s="247"/>
      <c r="F984" s="248"/>
      <c r="G984" s="249"/>
      <c r="H984" s="330"/>
      <c r="I984" s="328"/>
      <c r="J984" s="249"/>
      <c r="K984" s="330"/>
      <c r="L984" s="250"/>
      <c r="M984" s="249"/>
      <c r="N984" s="330"/>
      <c r="O984" s="250"/>
      <c r="P984" s="249"/>
      <c r="Q984" s="330"/>
      <c r="R984" s="250"/>
      <c r="S984" s="249"/>
      <c r="T984" s="330"/>
      <c r="U984" s="250"/>
      <c r="V984" s="249"/>
      <c r="W984" s="330"/>
      <c r="X984" s="343"/>
      <c r="Y984" s="249"/>
      <c r="Z984" s="330"/>
      <c r="AA984" s="343"/>
      <c r="AB984" s="249"/>
      <c r="AC984" s="330"/>
      <c r="AD984" s="343"/>
      <c r="AE984" s="249"/>
      <c r="AF984" s="330"/>
      <c r="AG984" s="343"/>
      <c r="AH984" s="249"/>
      <c r="AI984" s="330"/>
      <c r="AJ984" s="343"/>
      <c r="AK984" s="249"/>
      <c r="AL984" s="330"/>
      <c r="AM984" s="343"/>
      <c r="AN984" s="249"/>
      <c r="AO984" s="330"/>
      <c r="AP984" s="343"/>
      <c r="AQ984" s="249"/>
      <c r="AR984" s="330"/>
      <c r="AS984" s="343"/>
      <c r="AT984" s="249"/>
      <c r="AU984" s="330"/>
    </row>
    <row r="985" spans="2:47">
      <c r="B985" s="247">
        <f>'Table S2 Compound Identifiers'!C987</f>
        <v>0</v>
      </c>
      <c r="C985" s="247">
        <f>COUNTIF($D$6:D985,"&lt;&gt;"&amp;"")</f>
        <v>980</v>
      </c>
      <c r="D985" s="247">
        <f>'Table S2 Compound Identifiers'!B987</f>
        <v>0</v>
      </c>
      <c r="E985" s="247"/>
      <c r="F985" s="248"/>
      <c r="G985" s="249"/>
      <c r="H985" s="330"/>
      <c r="I985" s="328"/>
      <c r="J985" s="249"/>
      <c r="K985" s="330"/>
      <c r="L985" s="250"/>
      <c r="M985" s="249"/>
      <c r="N985" s="330"/>
      <c r="O985" s="250"/>
      <c r="P985" s="249"/>
      <c r="Q985" s="330"/>
      <c r="R985" s="250"/>
      <c r="S985" s="249"/>
      <c r="T985" s="330"/>
      <c r="U985" s="250"/>
      <c r="V985" s="249"/>
      <c r="W985" s="330"/>
      <c r="X985" s="343"/>
      <c r="Y985" s="249"/>
      <c r="Z985" s="330"/>
      <c r="AA985" s="343"/>
      <c r="AB985" s="249"/>
      <c r="AC985" s="330"/>
      <c r="AD985" s="343"/>
      <c r="AE985" s="249"/>
      <c r="AF985" s="330"/>
      <c r="AG985" s="343"/>
      <c r="AH985" s="249"/>
      <c r="AI985" s="330"/>
      <c r="AJ985" s="343"/>
      <c r="AK985" s="249"/>
      <c r="AL985" s="330"/>
      <c r="AM985" s="343"/>
      <c r="AN985" s="249"/>
      <c r="AO985" s="330"/>
      <c r="AP985" s="343"/>
      <c r="AQ985" s="249"/>
      <c r="AR985" s="330"/>
      <c r="AS985" s="343"/>
      <c r="AT985" s="249"/>
      <c r="AU985" s="330"/>
    </row>
    <row r="986" spans="2:47">
      <c r="B986" s="247">
        <f>'Table S2 Compound Identifiers'!C988</f>
        <v>0</v>
      </c>
      <c r="C986" s="247">
        <f>COUNTIF($D$6:D986,"&lt;&gt;"&amp;"")</f>
        <v>981</v>
      </c>
      <c r="D986" s="247">
        <f>'Table S2 Compound Identifiers'!B988</f>
        <v>0</v>
      </c>
      <c r="E986" s="247"/>
      <c r="F986" s="248"/>
      <c r="G986" s="249"/>
      <c r="H986" s="330"/>
      <c r="I986" s="328"/>
      <c r="J986" s="249"/>
      <c r="K986" s="330"/>
      <c r="L986" s="250"/>
      <c r="M986" s="249"/>
      <c r="N986" s="330"/>
      <c r="O986" s="250"/>
      <c r="P986" s="249"/>
      <c r="Q986" s="330"/>
      <c r="R986" s="250"/>
      <c r="S986" s="249"/>
      <c r="T986" s="330"/>
      <c r="U986" s="250"/>
      <c r="V986" s="249"/>
      <c r="W986" s="330"/>
      <c r="X986" s="343"/>
      <c r="Y986" s="249"/>
      <c r="Z986" s="330"/>
      <c r="AA986" s="343"/>
      <c r="AB986" s="249"/>
      <c r="AC986" s="330"/>
      <c r="AD986" s="343"/>
      <c r="AE986" s="249"/>
      <c r="AF986" s="330"/>
      <c r="AG986" s="343"/>
      <c r="AH986" s="249"/>
      <c r="AI986" s="330"/>
      <c r="AJ986" s="343"/>
      <c r="AK986" s="249"/>
      <c r="AL986" s="330"/>
      <c r="AM986" s="343"/>
      <c r="AN986" s="249"/>
      <c r="AO986" s="330"/>
      <c r="AP986" s="343"/>
      <c r="AQ986" s="249"/>
      <c r="AR986" s="330"/>
      <c r="AS986" s="343"/>
      <c r="AT986" s="249"/>
      <c r="AU986" s="330"/>
    </row>
    <row r="987" spans="2:47">
      <c r="B987" s="247">
        <f>'Table S2 Compound Identifiers'!C989</f>
        <v>0</v>
      </c>
      <c r="C987" s="247">
        <f>COUNTIF($D$6:D987,"&lt;&gt;"&amp;"")</f>
        <v>982</v>
      </c>
      <c r="D987" s="247">
        <f>'Table S2 Compound Identifiers'!B989</f>
        <v>0</v>
      </c>
      <c r="E987" s="247"/>
      <c r="F987" s="248"/>
      <c r="G987" s="249"/>
      <c r="H987" s="330"/>
      <c r="I987" s="328"/>
      <c r="J987" s="249"/>
      <c r="K987" s="330"/>
      <c r="L987" s="250"/>
      <c r="M987" s="249"/>
      <c r="N987" s="330"/>
      <c r="O987" s="250"/>
      <c r="P987" s="249"/>
      <c r="Q987" s="330"/>
      <c r="R987" s="250"/>
      <c r="S987" s="249"/>
      <c r="T987" s="330"/>
      <c r="U987" s="250"/>
      <c r="V987" s="249"/>
      <c r="W987" s="330"/>
      <c r="X987" s="343"/>
      <c r="Y987" s="249"/>
      <c r="Z987" s="330"/>
      <c r="AA987" s="343"/>
      <c r="AB987" s="249"/>
      <c r="AC987" s="330"/>
      <c r="AD987" s="343"/>
      <c r="AE987" s="249"/>
      <c r="AF987" s="330"/>
      <c r="AG987" s="343"/>
      <c r="AH987" s="249"/>
      <c r="AI987" s="330"/>
      <c r="AJ987" s="343"/>
      <c r="AK987" s="249"/>
      <c r="AL987" s="330"/>
      <c r="AM987" s="343"/>
      <c r="AN987" s="249"/>
      <c r="AO987" s="330"/>
      <c r="AP987" s="343"/>
      <c r="AQ987" s="249"/>
      <c r="AR987" s="330"/>
      <c r="AS987" s="343"/>
      <c r="AT987" s="249"/>
      <c r="AU987" s="330"/>
    </row>
    <row r="988" spans="2:47">
      <c r="B988" s="247">
        <f>'Table S2 Compound Identifiers'!C990</f>
        <v>0</v>
      </c>
      <c r="C988" s="247">
        <f>COUNTIF($D$6:D988,"&lt;&gt;"&amp;"")</f>
        <v>983</v>
      </c>
      <c r="D988" s="247">
        <f>'Table S2 Compound Identifiers'!B990</f>
        <v>0</v>
      </c>
      <c r="E988" s="247"/>
      <c r="F988" s="248"/>
      <c r="G988" s="249"/>
      <c r="H988" s="330"/>
      <c r="I988" s="328"/>
      <c r="J988" s="249"/>
      <c r="K988" s="330"/>
      <c r="L988" s="250"/>
      <c r="M988" s="249"/>
      <c r="N988" s="330"/>
      <c r="O988" s="250"/>
      <c r="P988" s="249"/>
      <c r="Q988" s="330"/>
      <c r="R988" s="250"/>
      <c r="S988" s="249"/>
      <c r="T988" s="330"/>
      <c r="U988" s="250"/>
      <c r="V988" s="249"/>
      <c r="W988" s="330"/>
      <c r="X988" s="343"/>
      <c r="Y988" s="249"/>
      <c r="Z988" s="330"/>
      <c r="AA988" s="343"/>
      <c r="AB988" s="249"/>
      <c r="AC988" s="330"/>
      <c r="AD988" s="343"/>
      <c r="AE988" s="249"/>
      <c r="AF988" s="330"/>
      <c r="AG988" s="343"/>
      <c r="AH988" s="249"/>
      <c r="AI988" s="330"/>
      <c r="AJ988" s="343"/>
      <c r="AK988" s="249"/>
      <c r="AL988" s="330"/>
      <c r="AM988" s="343"/>
      <c r="AN988" s="249"/>
      <c r="AO988" s="330"/>
      <c r="AP988" s="343"/>
      <c r="AQ988" s="249"/>
      <c r="AR988" s="330"/>
      <c r="AS988" s="343"/>
      <c r="AT988" s="249"/>
      <c r="AU988" s="330"/>
    </row>
    <row r="989" spans="2:47">
      <c r="B989" s="247">
        <f>'Table S2 Compound Identifiers'!C991</f>
        <v>0</v>
      </c>
      <c r="C989" s="247">
        <f>COUNTIF($D$6:D989,"&lt;&gt;"&amp;"")</f>
        <v>984</v>
      </c>
      <c r="D989" s="247">
        <f>'Table S2 Compound Identifiers'!B991</f>
        <v>0</v>
      </c>
      <c r="E989" s="247"/>
      <c r="F989" s="248"/>
      <c r="G989" s="249"/>
      <c r="H989" s="330"/>
      <c r="I989" s="328"/>
      <c r="J989" s="249"/>
      <c r="K989" s="330"/>
      <c r="L989" s="250"/>
      <c r="M989" s="249"/>
      <c r="N989" s="330"/>
      <c r="O989" s="250"/>
      <c r="P989" s="249"/>
      <c r="Q989" s="330"/>
      <c r="R989" s="250"/>
      <c r="S989" s="249"/>
      <c r="T989" s="330"/>
      <c r="U989" s="250"/>
      <c r="V989" s="249"/>
      <c r="W989" s="330"/>
      <c r="X989" s="343"/>
      <c r="Y989" s="249"/>
      <c r="Z989" s="330"/>
      <c r="AA989" s="343"/>
      <c r="AB989" s="249"/>
      <c r="AC989" s="330"/>
      <c r="AD989" s="343"/>
      <c r="AE989" s="249"/>
      <c r="AF989" s="330"/>
      <c r="AG989" s="343"/>
      <c r="AH989" s="249"/>
      <c r="AI989" s="330"/>
      <c r="AJ989" s="343"/>
      <c r="AK989" s="249"/>
      <c r="AL989" s="330"/>
      <c r="AM989" s="343"/>
      <c r="AN989" s="249"/>
      <c r="AO989" s="330"/>
      <c r="AP989" s="343"/>
      <c r="AQ989" s="249"/>
      <c r="AR989" s="330"/>
      <c r="AS989" s="343"/>
      <c r="AT989" s="249"/>
      <c r="AU989" s="330"/>
    </row>
    <row r="990" spans="2:47">
      <c r="B990" s="247">
        <f>'Table S2 Compound Identifiers'!C992</f>
        <v>0</v>
      </c>
      <c r="C990" s="247">
        <f>COUNTIF($D$6:D990,"&lt;&gt;"&amp;"")</f>
        <v>985</v>
      </c>
      <c r="D990" s="247">
        <f>'Table S2 Compound Identifiers'!B992</f>
        <v>0</v>
      </c>
      <c r="E990" s="247"/>
      <c r="F990" s="248"/>
      <c r="G990" s="249"/>
      <c r="H990" s="330"/>
      <c r="I990" s="328"/>
      <c r="J990" s="249"/>
      <c r="K990" s="330"/>
      <c r="L990" s="250"/>
      <c r="M990" s="249"/>
      <c r="N990" s="330"/>
      <c r="O990" s="250"/>
      <c r="P990" s="249"/>
      <c r="Q990" s="330"/>
      <c r="R990" s="250"/>
      <c r="S990" s="249"/>
      <c r="T990" s="330"/>
      <c r="U990" s="250"/>
      <c r="V990" s="249"/>
      <c r="W990" s="330"/>
      <c r="X990" s="343"/>
      <c r="Y990" s="249"/>
      <c r="Z990" s="330"/>
      <c r="AA990" s="343"/>
      <c r="AB990" s="249"/>
      <c r="AC990" s="330"/>
      <c r="AD990" s="343"/>
      <c r="AE990" s="249"/>
      <c r="AF990" s="330"/>
      <c r="AG990" s="343"/>
      <c r="AH990" s="249"/>
      <c r="AI990" s="330"/>
      <c r="AJ990" s="343"/>
      <c r="AK990" s="249"/>
      <c r="AL990" s="330"/>
      <c r="AM990" s="343"/>
      <c r="AN990" s="249"/>
      <c r="AO990" s="330"/>
      <c r="AP990" s="343"/>
      <c r="AQ990" s="249"/>
      <c r="AR990" s="330"/>
      <c r="AS990" s="343"/>
      <c r="AT990" s="249"/>
      <c r="AU990" s="330"/>
    </row>
    <row r="991" spans="2:47">
      <c r="B991" s="247">
        <f>'Table S2 Compound Identifiers'!C993</f>
        <v>0</v>
      </c>
      <c r="C991" s="247">
        <f>COUNTIF($D$6:D991,"&lt;&gt;"&amp;"")</f>
        <v>986</v>
      </c>
      <c r="D991" s="247">
        <f>'Table S2 Compound Identifiers'!B993</f>
        <v>0</v>
      </c>
      <c r="E991" s="247"/>
      <c r="F991" s="248"/>
      <c r="G991" s="249"/>
      <c r="H991" s="330"/>
      <c r="I991" s="328"/>
      <c r="J991" s="249"/>
      <c r="K991" s="330"/>
      <c r="L991" s="250"/>
      <c r="M991" s="249"/>
      <c r="N991" s="330"/>
      <c r="O991" s="250"/>
      <c r="P991" s="249"/>
      <c r="Q991" s="330"/>
      <c r="R991" s="250"/>
      <c r="S991" s="249"/>
      <c r="T991" s="330"/>
      <c r="U991" s="250"/>
      <c r="V991" s="249"/>
      <c r="W991" s="330"/>
      <c r="X991" s="343"/>
      <c r="Y991" s="249"/>
      <c r="Z991" s="330"/>
      <c r="AA991" s="343"/>
      <c r="AB991" s="249"/>
      <c r="AC991" s="330"/>
      <c r="AD991" s="343"/>
      <c r="AE991" s="249"/>
      <c r="AF991" s="330"/>
      <c r="AG991" s="343"/>
      <c r="AH991" s="249"/>
      <c r="AI991" s="330"/>
      <c r="AJ991" s="343"/>
      <c r="AK991" s="249"/>
      <c r="AL991" s="330"/>
      <c r="AM991" s="343"/>
      <c r="AN991" s="249"/>
      <c r="AO991" s="330"/>
      <c r="AP991" s="343"/>
      <c r="AQ991" s="249"/>
      <c r="AR991" s="330"/>
      <c r="AS991" s="343"/>
      <c r="AT991" s="249"/>
      <c r="AU991" s="330"/>
    </row>
    <row r="992" spans="2:47">
      <c r="B992" s="247">
        <f>'Table S2 Compound Identifiers'!C994</f>
        <v>0</v>
      </c>
      <c r="C992" s="247">
        <f>COUNTIF($D$6:D992,"&lt;&gt;"&amp;"")</f>
        <v>987</v>
      </c>
      <c r="D992" s="247">
        <f>'Table S2 Compound Identifiers'!B994</f>
        <v>0</v>
      </c>
      <c r="E992" s="247"/>
      <c r="F992" s="248"/>
      <c r="G992" s="249"/>
      <c r="H992" s="330"/>
      <c r="I992" s="328"/>
      <c r="J992" s="249"/>
      <c r="K992" s="330"/>
      <c r="L992" s="250"/>
      <c r="M992" s="249"/>
      <c r="N992" s="330"/>
      <c r="O992" s="250"/>
      <c r="P992" s="249"/>
      <c r="Q992" s="330"/>
      <c r="R992" s="250"/>
      <c r="S992" s="249"/>
      <c r="T992" s="330"/>
      <c r="U992" s="250"/>
      <c r="V992" s="249"/>
      <c r="W992" s="330"/>
      <c r="X992" s="343"/>
      <c r="Y992" s="249"/>
      <c r="Z992" s="330"/>
      <c r="AA992" s="343"/>
      <c r="AB992" s="249"/>
      <c r="AC992" s="330"/>
      <c r="AD992" s="343"/>
      <c r="AE992" s="249"/>
      <c r="AF992" s="330"/>
      <c r="AG992" s="343"/>
      <c r="AH992" s="249"/>
      <c r="AI992" s="330"/>
      <c r="AJ992" s="343"/>
      <c r="AK992" s="249"/>
      <c r="AL992" s="330"/>
      <c r="AM992" s="343"/>
      <c r="AN992" s="249"/>
      <c r="AO992" s="330"/>
      <c r="AP992" s="343"/>
      <c r="AQ992" s="249"/>
      <c r="AR992" s="330"/>
      <c r="AS992" s="343"/>
      <c r="AT992" s="249"/>
      <c r="AU992" s="330"/>
    </row>
    <row r="993" spans="2:47">
      <c r="B993" s="247">
        <f>'Table S2 Compound Identifiers'!C995</f>
        <v>0</v>
      </c>
      <c r="C993" s="247">
        <f>COUNTIF($D$6:D993,"&lt;&gt;"&amp;"")</f>
        <v>988</v>
      </c>
      <c r="D993" s="247">
        <f>'Table S2 Compound Identifiers'!B995</f>
        <v>0</v>
      </c>
      <c r="E993" s="247"/>
      <c r="F993" s="248"/>
      <c r="G993" s="249"/>
      <c r="H993" s="330"/>
      <c r="I993" s="328"/>
      <c r="J993" s="249"/>
      <c r="K993" s="330"/>
      <c r="L993" s="250"/>
      <c r="M993" s="249"/>
      <c r="N993" s="330"/>
      <c r="O993" s="250"/>
      <c r="P993" s="249"/>
      <c r="Q993" s="330"/>
      <c r="R993" s="250"/>
      <c r="S993" s="249"/>
      <c r="T993" s="330"/>
      <c r="U993" s="250"/>
      <c r="V993" s="249"/>
      <c r="W993" s="330"/>
      <c r="X993" s="343"/>
      <c r="Y993" s="249"/>
      <c r="Z993" s="330"/>
      <c r="AA993" s="343"/>
      <c r="AB993" s="249"/>
      <c r="AC993" s="330"/>
      <c r="AD993" s="343"/>
      <c r="AE993" s="249"/>
      <c r="AF993" s="330"/>
      <c r="AG993" s="343"/>
      <c r="AH993" s="249"/>
      <c r="AI993" s="330"/>
      <c r="AJ993" s="343"/>
      <c r="AK993" s="249"/>
      <c r="AL993" s="330"/>
      <c r="AM993" s="343"/>
      <c r="AN993" s="249"/>
      <c r="AO993" s="330"/>
      <c r="AP993" s="343"/>
      <c r="AQ993" s="249"/>
      <c r="AR993" s="330"/>
      <c r="AS993" s="343"/>
      <c r="AT993" s="249"/>
      <c r="AU993" s="330"/>
    </row>
    <row r="994" spans="2:47">
      <c r="B994" s="247">
        <f>'Table S2 Compound Identifiers'!C996</f>
        <v>0</v>
      </c>
      <c r="C994" s="247">
        <f>COUNTIF($D$6:D994,"&lt;&gt;"&amp;"")</f>
        <v>989</v>
      </c>
      <c r="D994" s="247">
        <f>'Table S2 Compound Identifiers'!B996</f>
        <v>0</v>
      </c>
      <c r="E994" s="247"/>
      <c r="F994" s="248"/>
      <c r="G994" s="249"/>
      <c r="H994" s="330"/>
      <c r="I994" s="328"/>
      <c r="J994" s="249"/>
      <c r="K994" s="330"/>
      <c r="L994" s="250"/>
      <c r="M994" s="249"/>
      <c r="N994" s="330"/>
      <c r="O994" s="250"/>
      <c r="P994" s="249"/>
      <c r="Q994" s="330"/>
      <c r="R994" s="250"/>
      <c r="S994" s="249"/>
      <c r="T994" s="330"/>
      <c r="U994" s="250"/>
      <c r="V994" s="249"/>
      <c r="W994" s="330"/>
      <c r="X994" s="343"/>
      <c r="Y994" s="249"/>
      <c r="Z994" s="330"/>
      <c r="AA994" s="343"/>
      <c r="AB994" s="249"/>
      <c r="AC994" s="330"/>
      <c r="AD994" s="343"/>
      <c r="AE994" s="249"/>
      <c r="AF994" s="330"/>
      <c r="AG994" s="343"/>
      <c r="AH994" s="249"/>
      <c r="AI994" s="330"/>
      <c r="AJ994" s="343"/>
      <c r="AK994" s="249"/>
      <c r="AL994" s="330"/>
      <c r="AM994" s="343"/>
      <c r="AN994" s="249"/>
      <c r="AO994" s="330"/>
      <c r="AP994" s="343"/>
      <c r="AQ994" s="249"/>
      <c r="AR994" s="330"/>
      <c r="AS994" s="343"/>
      <c r="AT994" s="249"/>
      <c r="AU994" s="330"/>
    </row>
    <row r="995" spans="2:47">
      <c r="B995" s="247">
        <f>'Table S2 Compound Identifiers'!C997</f>
        <v>0</v>
      </c>
      <c r="C995" s="247">
        <f>COUNTIF($D$6:D995,"&lt;&gt;"&amp;"")</f>
        <v>990</v>
      </c>
      <c r="D995" s="247">
        <f>'Table S2 Compound Identifiers'!B997</f>
        <v>0</v>
      </c>
      <c r="E995" s="247"/>
      <c r="F995" s="248"/>
      <c r="G995" s="249"/>
      <c r="H995" s="330"/>
      <c r="I995" s="328"/>
      <c r="J995" s="249"/>
      <c r="K995" s="330"/>
      <c r="L995" s="250"/>
      <c r="M995" s="249"/>
      <c r="N995" s="330"/>
      <c r="O995" s="250"/>
      <c r="P995" s="249"/>
      <c r="Q995" s="330"/>
      <c r="R995" s="250"/>
      <c r="S995" s="249"/>
      <c r="T995" s="330"/>
      <c r="U995" s="250"/>
      <c r="V995" s="249"/>
      <c r="W995" s="330"/>
      <c r="X995" s="343"/>
      <c r="Y995" s="249"/>
      <c r="Z995" s="330"/>
      <c r="AA995" s="343"/>
      <c r="AB995" s="249"/>
      <c r="AC995" s="330"/>
      <c r="AD995" s="343"/>
      <c r="AE995" s="249"/>
      <c r="AF995" s="330"/>
      <c r="AG995" s="343"/>
      <c r="AH995" s="249"/>
      <c r="AI995" s="330"/>
      <c r="AJ995" s="343"/>
      <c r="AK995" s="249"/>
      <c r="AL995" s="330"/>
      <c r="AM995" s="343"/>
      <c r="AN995" s="249"/>
      <c r="AO995" s="330"/>
      <c r="AP995" s="343"/>
      <c r="AQ995" s="249"/>
      <c r="AR995" s="330"/>
      <c r="AS995" s="343"/>
      <c r="AT995" s="249"/>
      <c r="AU995" s="330"/>
    </row>
    <row r="996" spans="2:47">
      <c r="B996" s="247">
        <f>'Table S2 Compound Identifiers'!C998</f>
        <v>0</v>
      </c>
      <c r="C996" s="247">
        <f>COUNTIF($D$6:D996,"&lt;&gt;"&amp;"")</f>
        <v>991</v>
      </c>
      <c r="D996" s="247">
        <f>'Table S2 Compound Identifiers'!B998</f>
        <v>0</v>
      </c>
      <c r="E996" s="247"/>
      <c r="F996" s="248"/>
      <c r="G996" s="249"/>
      <c r="H996" s="330"/>
      <c r="I996" s="328"/>
      <c r="J996" s="249"/>
      <c r="K996" s="330"/>
      <c r="L996" s="250"/>
      <c r="M996" s="249"/>
      <c r="N996" s="330"/>
      <c r="O996" s="250"/>
      <c r="P996" s="249"/>
      <c r="Q996" s="330"/>
      <c r="R996" s="250"/>
      <c r="S996" s="249"/>
      <c r="T996" s="330"/>
      <c r="U996" s="250"/>
      <c r="V996" s="249"/>
      <c r="W996" s="330"/>
      <c r="X996" s="343"/>
      <c r="Y996" s="249"/>
      <c r="Z996" s="330"/>
      <c r="AA996" s="343"/>
      <c r="AB996" s="249"/>
      <c r="AC996" s="330"/>
      <c r="AD996" s="343"/>
      <c r="AE996" s="249"/>
      <c r="AF996" s="330"/>
      <c r="AG996" s="343"/>
      <c r="AH996" s="249"/>
      <c r="AI996" s="330"/>
      <c r="AJ996" s="343"/>
      <c r="AK996" s="249"/>
      <c r="AL996" s="330"/>
      <c r="AM996" s="343"/>
      <c r="AN996" s="249"/>
      <c r="AO996" s="330"/>
      <c r="AP996" s="343"/>
      <c r="AQ996" s="249"/>
      <c r="AR996" s="330"/>
      <c r="AS996" s="343"/>
      <c r="AT996" s="249"/>
      <c r="AU996" s="330"/>
    </row>
    <row r="997" spans="2:47">
      <c r="B997" s="247">
        <f>'Table S2 Compound Identifiers'!C999</f>
        <v>0</v>
      </c>
      <c r="C997" s="247">
        <f>COUNTIF($D$6:D997,"&lt;&gt;"&amp;"")</f>
        <v>992</v>
      </c>
      <c r="D997" s="247">
        <f>'Table S2 Compound Identifiers'!B999</f>
        <v>0</v>
      </c>
      <c r="E997" s="247"/>
      <c r="F997" s="248"/>
      <c r="G997" s="249"/>
      <c r="H997" s="330"/>
      <c r="I997" s="328"/>
      <c r="J997" s="249"/>
      <c r="K997" s="330"/>
      <c r="L997" s="250"/>
      <c r="M997" s="249"/>
      <c r="N997" s="330"/>
      <c r="O997" s="250"/>
      <c r="P997" s="249"/>
      <c r="Q997" s="330"/>
      <c r="R997" s="250"/>
      <c r="S997" s="249"/>
      <c r="T997" s="330"/>
      <c r="U997" s="250"/>
      <c r="V997" s="249"/>
      <c r="W997" s="330"/>
      <c r="X997" s="343"/>
      <c r="Y997" s="249"/>
      <c r="Z997" s="330"/>
      <c r="AA997" s="343"/>
      <c r="AB997" s="249"/>
      <c r="AC997" s="330"/>
      <c r="AD997" s="343"/>
      <c r="AE997" s="249"/>
      <c r="AF997" s="330"/>
      <c r="AG997" s="343"/>
      <c r="AH997" s="249"/>
      <c r="AI997" s="330"/>
      <c r="AJ997" s="343"/>
      <c r="AK997" s="249"/>
      <c r="AL997" s="330"/>
      <c r="AM997" s="343"/>
      <c r="AN997" s="249"/>
      <c r="AO997" s="330"/>
      <c r="AP997" s="343"/>
      <c r="AQ997" s="249"/>
      <c r="AR997" s="330"/>
      <c r="AS997" s="343"/>
      <c r="AT997" s="249"/>
      <c r="AU997" s="330"/>
    </row>
    <row r="998" spans="2:47">
      <c r="B998" s="247">
        <f>'Table S2 Compound Identifiers'!C1000</f>
        <v>0</v>
      </c>
      <c r="C998" s="247">
        <f>COUNTIF($D$6:D998,"&lt;&gt;"&amp;"")</f>
        <v>993</v>
      </c>
      <c r="D998" s="247">
        <f>'Table S2 Compound Identifiers'!B1000</f>
        <v>0</v>
      </c>
      <c r="E998" s="247"/>
      <c r="F998" s="248"/>
      <c r="G998" s="249"/>
      <c r="H998" s="330"/>
      <c r="I998" s="328"/>
      <c r="J998" s="249"/>
      <c r="K998" s="330"/>
      <c r="L998" s="250"/>
      <c r="M998" s="249"/>
      <c r="N998" s="330"/>
      <c r="O998" s="250"/>
      <c r="P998" s="249"/>
      <c r="Q998" s="330"/>
      <c r="R998" s="250"/>
      <c r="S998" s="249"/>
      <c r="T998" s="330"/>
      <c r="U998" s="250"/>
      <c r="V998" s="249"/>
      <c r="W998" s="330"/>
      <c r="X998" s="343"/>
      <c r="Y998" s="249"/>
      <c r="Z998" s="330"/>
      <c r="AA998" s="343"/>
      <c r="AB998" s="249"/>
      <c r="AC998" s="330"/>
      <c r="AD998" s="343"/>
      <c r="AE998" s="249"/>
      <c r="AF998" s="330"/>
      <c r="AG998" s="343"/>
      <c r="AH998" s="249"/>
      <c r="AI998" s="330"/>
      <c r="AJ998" s="343"/>
      <c r="AK998" s="249"/>
      <c r="AL998" s="330"/>
      <c r="AM998" s="343"/>
      <c r="AN998" s="249"/>
      <c r="AO998" s="330"/>
      <c r="AP998" s="343"/>
      <c r="AQ998" s="249"/>
      <c r="AR998" s="330"/>
      <c r="AS998" s="343"/>
      <c r="AT998" s="249"/>
      <c r="AU998" s="330"/>
    </row>
    <row r="999" spans="2:47">
      <c r="B999" s="247">
        <f>'Table S2 Compound Identifiers'!C1001</f>
        <v>0</v>
      </c>
      <c r="C999" s="247">
        <f>COUNTIF($D$6:D999,"&lt;&gt;"&amp;"")</f>
        <v>994</v>
      </c>
      <c r="D999" s="247">
        <f>'Table S2 Compound Identifiers'!B1001</f>
        <v>0</v>
      </c>
      <c r="E999" s="247"/>
      <c r="F999" s="248"/>
      <c r="G999" s="249"/>
      <c r="H999" s="330"/>
      <c r="I999" s="328"/>
      <c r="J999" s="249"/>
      <c r="K999" s="330"/>
      <c r="L999" s="250"/>
      <c r="M999" s="249"/>
      <c r="N999" s="330"/>
      <c r="O999" s="250"/>
      <c r="P999" s="249"/>
      <c r="Q999" s="330"/>
      <c r="R999" s="250"/>
      <c r="S999" s="249"/>
      <c r="T999" s="330"/>
      <c r="U999" s="250"/>
      <c r="V999" s="249"/>
      <c r="W999" s="330"/>
      <c r="X999" s="343"/>
      <c r="Y999" s="249"/>
      <c r="Z999" s="330"/>
      <c r="AA999" s="343"/>
      <c r="AB999" s="249"/>
      <c r="AC999" s="330"/>
      <c r="AD999" s="343"/>
      <c r="AE999" s="249"/>
      <c r="AF999" s="330"/>
      <c r="AG999" s="343"/>
      <c r="AH999" s="249"/>
      <c r="AI999" s="330"/>
      <c r="AJ999" s="343"/>
      <c r="AK999" s="249"/>
      <c r="AL999" s="330"/>
      <c r="AM999" s="343"/>
      <c r="AN999" s="249"/>
      <c r="AO999" s="330"/>
      <c r="AP999" s="343"/>
      <c r="AQ999" s="249"/>
      <c r="AR999" s="330"/>
      <c r="AS999" s="343"/>
      <c r="AT999" s="249"/>
      <c r="AU999" s="330"/>
    </row>
    <row r="1000" spans="2:47">
      <c r="B1000" s="247">
        <f>'Table S2 Compound Identifiers'!C1002</f>
        <v>0</v>
      </c>
      <c r="C1000" s="247">
        <f>COUNTIF($D$6:D1000,"&lt;&gt;"&amp;"")</f>
        <v>995</v>
      </c>
      <c r="D1000" s="247">
        <f>'Table S2 Compound Identifiers'!B1002</f>
        <v>0</v>
      </c>
      <c r="E1000" s="247"/>
      <c r="F1000" s="248"/>
      <c r="G1000" s="249"/>
      <c r="H1000" s="330"/>
      <c r="I1000" s="328"/>
      <c r="J1000" s="249"/>
      <c r="K1000" s="330"/>
      <c r="L1000" s="250"/>
      <c r="M1000" s="249"/>
      <c r="N1000" s="330"/>
      <c r="O1000" s="250"/>
      <c r="P1000" s="249"/>
      <c r="Q1000" s="330"/>
      <c r="R1000" s="250"/>
      <c r="S1000" s="249"/>
      <c r="T1000" s="330"/>
      <c r="U1000" s="250"/>
      <c r="V1000" s="249"/>
      <c r="W1000" s="330"/>
      <c r="X1000" s="343"/>
      <c r="Y1000" s="249"/>
      <c r="Z1000" s="330"/>
      <c r="AA1000" s="343"/>
      <c r="AB1000" s="249"/>
      <c r="AC1000" s="330"/>
      <c r="AD1000" s="343"/>
      <c r="AE1000" s="249"/>
      <c r="AF1000" s="330"/>
      <c r="AG1000" s="343"/>
      <c r="AH1000" s="249"/>
      <c r="AI1000" s="330"/>
      <c r="AJ1000" s="343"/>
      <c r="AK1000" s="249"/>
      <c r="AL1000" s="330"/>
      <c r="AM1000" s="343"/>
      <c r="AN1000" s="249"/>
      <c r="AO1000" s="330"/>
      <c r="AP1000" s="343"/>
      <c r="AQ1000" s="249"/>
      <c r="AR1000" s="330"/>
      <c r="AS1000" s="343"/>
      <c r="AT1000" s="249"/>
      <c r="AU1000" s="330"/>
    </row>
    <row r="1001" spans="2:47">
      <c r="B1001" s="247">
        <f>'Table S2 Compound Identifiers'!C1003</f>
        <v>0</v>
      </c>
      <c r="C1001" s="247">
        <f>COUNTIF($D$6:D1001,"&lt;&gt;"&amp;"")</f>
        <v>996</v>
      </c>
      <c r="D1001" s="247">
        <f>'Table S2 Compound Identifiers'!B1003</f>
        <v>0</v>
      </c>
      <c r="E1001" s="247"/>
      <c r="F1001" s="248"/>
      <c r="G1001" s="249"/>
      <c r="H1001" s="330"/>
      <c r="I1001" s="328"/>
      <c r="J1001" s="249"/>
      <c r="K1001" s="330"/>
      <c r="L1001" s="250"/>
      <c r="M1001" s="249"/>
      <c r="N1001" s="330"/>
      <c r="O1001" s="250"/>
      <c r="P1001" s="249"/>
      <c r="Q1001" s="330"/>
      <c r="R1001" s="250"/>
      <c r="S1001" s="249"/>
      <c r="T1001" s="330"/>
      <c r="U1001" s="250"/>
      <c r="V1001" s="249"/>
      <c r="W1001" s="330"/>
      <c r="X1001" s="343"/>
      <c r="Y1001" s="249"/>
      <c r="Z1001" s="330"/>
      <c r="AA1001" s="343"/>
      <c r="AB1001" s="249"/>
      <c r="AC1001" s="330"/>
      <c r="AD1001" s="343"/>
      <c r="AE1001" s="249"/>
      <c r="AF1001" s="330"/>
      <c r="AG1001" s="343"/>
      <c r="AH1001" s="249"/>
      <c r="AI1001" s="330"/>
      <c r="AJ1001" s="343"/>
      <c r="AK1001" s="249"/>
      <c r="AL1001" s="330"/>
      <c r="AM1001" s="343"/>
      <c r="AN1001" s="249"/>
      <c r="AO1001" s="330"/>
      <c r="AP1001" s="343"/>
      <c r="AQ1001" s="249"/>
      <c r="AR1001" s="330"/>
      <c r="AS1001" s="343"/>
      <c r="AT1001" s="249"/>
      <c r="AU1001" s="330"/>
    </row>
    <row r="1002" spans="2:47">
      <c r="B1002" s="247">
        <f>'Table S2 Compound Identifiers'!C1004</f>
        <v>0</v>
      </c>
      <c r="C1002" s="247">
        <f>COUNTIF($D$6:D1002,"&lt;&gt;"&amp;"")</f>
        <v>997</v>
      </c>
      <c r="D1002" s="247">
        <f>'Table S2 Compound Identifiers'!B1004</f>
        <v>0</v>
      </c>
      <c r="E1002" s="247"/>
      <c r="F1002" s="248"/>
      <c r="G1002" s="249"/>
      <c r="H1002" s="330"/>
      <c r="I1002" s="328"/>
      <c r="J1002" s="249"/>
      <c r="K1002" s="330"/>
      <c r="L1002" s="250"/>
      <c r="M1002" s="249"/>
      <c r="N1002" s="330"/>
      <c r="O1002" s="250"/>
      <c r="P1002" s="249"/>
      <c r="Q1002" s="330"/>
      <c r="R1002" s="250"/>
      <c r="S1002" s="249"/>
      <c r="T1002" s="330"/>
      <c r="U1002" s="250"/>
      <c r="V1002" s="249"/>
      <c r="W1002" s="330"/>
      <c r="X1002" s="343"/>
      <c r="Y1002" s="249"/>
      <c r="Z1002" s="330"/>
      <c r="AA1002" s="343"/>
      <c r="AB1002" s="249"/>
      <c r="AC1002" s="330"/>
      <c r="AD1002" s="343"/>
      <c r="AE1002" s="249"/>
      <c r="AF1002" s="330"/>
      <c r="AG1002" s="343"/>
      <c r="AH1002" s="249"/>
      <c r="AI1002" s="330"/>
      <c r="AJ1002" s="343"/>
      <c r="AK1002" s="249"/>
      <c r="AL1002" s="330"/>
      <c r="AM1002" s="343"/>
      <c r="AN1002" s="249"/>
      <c r="AO1002" s="330"/>
      <c r="AP1002" s="343"/>
      <c r="AQ1002" s="249"/>
      <c r="AR1002" s="330"/>
      <c r="AS1002" s="343"/>
      <c r="AT1002" s="249"/>
      <c r="AU1002" s="330"/>
    </row>
    <row r="1003" spans="2:47">
      <c r="B1003" s="247">
        <f>'Table S2 Compound Identifiers'!C1005</f>
        <v>0</v>
      </c>
      <c r="C1003" s="247">
        <f>COUNTIF($D$6:D1003,"&lt;&gt;"&amp;"")</f>
        <v>998</v>
      </c>
      <c r="D1003" s="247">
        <f>'Table S2 Compound Identifiers'!B1005</f>
        <v>0</v>
      </c>
      <c r="E1003" s="247"/>
      <c r="F1003" s="248"/>
      <c r="G1003" s="249"/>
      <c r="H1003" s="330"/>
      <c r="I1003" s="328"/>
      <c r="J1003" s="249"/>
      <c r="K1003" s="330"/>
      <c r="L1003" s="250"/>
      <c r="M1003" s="249"/>
      <c r="N1003" s="330"/>
      <c r="O1003" s="250"/>
      <c r="P1003" s="249"/>
      <c r="Q1003" s="330"/>
      <c r="R1003" s="250"/>
      <c r="S1003" s="249"/>
      <c r="T1003" s="330"/>
      <c r="U1003" s="250"/>
      <c r="V1003" s="249"/>
      <c r="W1003" s="330"/>
      <c r="X1003" s="343"/>
      <c r="Y1003" s="249"/>
      <c r="Z1003" s="330"/>
      <c r="AA1003" s="343"/>
      <c r="AB1003" s="249"/>
      <c r="AC1003" s="330"/>
      <c r="AD1003" s="343"/>
      <c r="AE1003" s="249"/>
      <c r="AF1003" s="330"/>
      <c r="AG1003" s="343"/>
      <c r="AH1003" s="249"/>
      <c r="AI1003" s="330"/>
      <c r="AJ1003" s="343"/>
      <c r="AK1003" s="249"/>
      <c r="AL1003" s="330"/>
      <c r="AM1003" s="343"/>
      <c r="AN1003" s="249"/>
      <c r="AO1003" s="330"/>
      <c r="AP1003" s="343"/>
      <c r="AQ1003" s="249"/>
      <c r="AR1003" s="330"/>
      <c r="AS1003" s="343"/>
      <c r="AT1003" s="249"/>
      <c r="AU1003" s="330"/>
    </row>
    <row r="1004" spans="2:47">
      <c r="B1004" s="247">
        <f>'Table S2 Compound Identifiers'!C1006</f>
        <v>0</v>
      </c>
      <c r="C1004" s="247">
        <f>COUNTIF($D$6:D1004,"&lt;&gt;"&amp;"")</f>
        <v>999</v>
      </c>
      <c r="D1004" s="247">
        <f>'Table S2 Compound Identifiers'!B1006</f>
        <v>0</v>
      </c>
      <c r="E1004" s="247"/>
      <c r="F1004" s="248"/>
      <c r="G1004" s="249"/>
      <c r="H1004" s="330"/>
      <c r="I1004" s="328"/>
      <c r="J1004" s="249"/>
      <c r="K1004" s="330"/>
      <c r="L1004" s="250"/>
      <c r="M1004" s="249"/>
      <c r="N1004" s="330"/>
      <c r="O1004" s="250"/>
      <c r="P1004" s="249"/>
      <c r="Q1004" s="330"/>
      <c r="R1004" s="250"/>
      <c r="S1004" s="249"/>
      <c r="T1004" s="330"/>
      <c r="U1004" s="250"/>
      <c r="V1004" s="249"/>
      <c r="W1004" s="330"/>
      <c r="X1004" s="343"/>
      <c r="Y1004" s="249"/>
      <c r="Z1004" s="330"/>
      <c r="AA1004" s="343"/>
      <c r="AB1004" s="249"/>
      <c r="AC1004" s="330"/>
      <c r="AD1004" s="343"/>
      <c r="AE1004" s="249"/>
      <c r="AF1004" s="330"/>
      <c r="AG1004" s="343"/>
      <c r="AH1004" s="249"/>
      <c r="AI1004" s="330"/>
      <c r="AJ1004" s="343"/>
      <c r="AK1004" s="249"/>
      <c r="AL1004" s="330"/>
      <c r="AM1004" s="343"/>
      <c r="AN1004" s="249"/>
      <c r="AO1004" s="330"/>
      <c r="AP1004" s="343"/>
      <c r="AQ1004" s="249"/>
      <c r="AR1004" s="330"/>
      <c r="AS1004" s="343"/>
      <c r="AT1004" s="249"/>
      <c r="AU1004" s="330"/>
    </row>
    <row r="1005" spans="2:47">
      <c r="B1005" s="247">
        <f>'Table S2 Compound Identifiers'!C1007</f>
        <v>0</v>
      </c>
      <c r="C1005" s="247">
        <f>COUNTIF($D$6:D1005,"&lt;&gt;"&amp;"")</f>
        <v>1000</v>
      </c>
      <c r="D1005" s="247">
        <f>'Table S2 Compound Identifiers'!B1007</f>
        <v>0</v>
      </c>
      <c r="E1005" s="247"/>
      <c r="F1005" s="248"/>
      <c r="G1005" s="249"/>
      <c r="H1005" s="330"/>
      <c r="I1005" s="328"/>
      <c r="J1005" s="249"/>
      <c r="K1005" s="330"/>
      <c r="L1005" s="250"/>
      <c r="M1005" s="249"/>
      <c r="N1005" s="330"/>
      <c r="O1005" s="250"/>
      <c r="P1005" s="249"/>
      <c r="Q1005" s="330"/>
      <c r="R1005" s="250"/>
      <c r="S1005" s="249"/>
      <c r="T1005" s="330"/>
      <c r="U1005" s="250"/>
      <c r="V1005" s="249"/>
      <c r="W1005" s="330"/>
      <c r="X1005" s="343"/>
      <c r="Y1005" s="249"/>
      <c r="Z1005" s="330"/>
      <c r="AA1005" s="343"/>
      <c r="AB1005" s="249"/>
      <c r="AC1005" s="330"/>
      <c r="AD1005" s="343"/>
      <c r="AE1005" s="249"/>
      <c r="AF1005" s="330"/>
      <c r="AG1005" s="343"/>
      <c r="AH1005" s="249"/>
      <c r="AI1005" s="330"/>
      <c r="AJ1005" s="343"/>
      <c r="AK1005" s="249"/>
      <c r="AL1005" s="330"/>
      <c r="AM1005" s="343"/>
      <c r="AN1005" s="249"/>
      <c r="AO1005" s="330"/>
      <c r="AP1005" s="343"/>
      <c r="AQ1005" s="249"/>
      <c r="AR1005" s="330"/>
      <c r="AS1005" s="343"/>
      <c r="AT1005" s="249"/>
      <c r="AU1005" s="330"/>
    </row>
    <row r="1006" spans="2:47">
      <c r="B1006" s="247">
        <f>'Table S2 Compound Identifiers'!C1008</f>
        <v>0</v>
      </c>
      <c r="C1006" s="247">
        <f>COUNTIF($D$6:D1006,"&lt;&gt;"&amp;"")</f>
        <v>1001</v>
      </c>
      <c r="D1006" s="247">
        <f>'Table S2 Compound Identifiers'!B1008</f>
        <v>0</v>
      </c>
      <c r="E1006" s="247"/>
      <c r="F1006" s="248"/>
      <c r="G1006" s="249"/>
      <c r="H1006" s="330"/>
      <c r="I1006" s="328"/>
      <c r="J1006" s="249"/>
      <c r="K1006" s="330"/>
      <c r="L1006" s="250"/>
      <c r="M1006" s="249"/>
      <c r="N1006" s="330"/>
      <c r="O1006" s="250"/>
      <c r="P1006" s="249"/>
      <c r="Q1006" s="330"/>
      <c r="R1006" s="250"/>
      <c r="S1006" s="249"/>
      <c r="T1006" s="330"/>
      <c r="U1006" s="250"/>
      <c r="V1006" s="249"/>
      <c r="W1006" s="330"/>
      <c r="X1006" s="343"/>
      <c r="Y1006" s="249"/>
      <c r="Z1006" s="330"/>
      <c r="AA1006" s="343"/>
      <c r="AB1006" s="249"/>
      <c r="AC1006" s="330"/>
      <c r="AD1006" s="343"/>
      <c r="AE1006" s="249"/>
      <c r="AF1006" s="330"/>
      <c r="AG1006" s="343"/>
      <c r="AH1006" s="249"/>
      <c r="AI1006" s="330"/>
      <c r="AJ1006" s="343"/>
      <c r="AK1006" s="249"/>
      <c r="AL1006" s="330"/>
      <c r="AM1006" s="343"/>
      <c r="AN1006" s="249"/>
      <c r="AO1006" s="330"/>
      <c r="AP1006" s="343"/>
      <c r="AQ1006" s="249"/>
      <c r="AR1006" s="330"/>
      <c r="AS1006" s="343"/>
      <c r="AT1006" s="249"/>
      <c r="AU1006" s="330"/>
    </row>
    <row r="1007" spans="2:47">
      <c r="B1007" s="247">
        <f>'Table S2 Compound Identifiers'!C1009</f>
        <v>0</v>
      </c>
      <c r="C1007" s="247">
        <f>COUNTIF($D$6:D1007,"&lt;&gt;"&amp;"")</f>
        <v>1002</v>
      </c>
      <c r="D1007" s="247">
        <f>'Table S2 Compound Identifiers'!B1009</f>
        <v>0</v>
      </c>
      <c r="E1007" s="247"/>
      <c r="F1007" s="248"/>
      <c r="G1007" s="249"/>
      <c r="H1007" s="330"/>
      <c r="I1007" s="328"/>
      <c r="J1007" s="249"/>
      <c r="K1007" s="330"/>
      <c r="L1007" s="250"/>
      <c r="M1007" s="249"/>
      <c r="N1007" s="330"/>
      <c r="O1007" s="250"/>
      <c r="P1007" s="249"/>
      <c r="Q1007" s="330"/>
      <c r="R1007" s="250"/>
      <c r="S1007" s="249"/>
      <c r="T1007" s="330"/>
      <c r="U1007" s="250"/>
      <c r="V1007" s="249"/>
      <c r="W1007" s="330"/>
      <c r="X1007" s="343"/>
      <c r="Y1007" s="249"/>
      <c r="Z1007" s="330"/>
      <c r="AA1007" s="343"/>
      <c r="AB1007" s="249"/>
      <c r="AC1007" s="330"/>
      <c r="AD1007" s="343"/>
      <c r="AE1007" s="249"/>
      <c r="AF1007" s="330"/>
      <c r="AG1007" s="343"/>
      <c r="AH1007" s="249"/>
      <c r="AI1007" s="330"/>
      <c r="AJ1007" s="343"/>
      <c r="AK1007" s="249"/>
      <c r="AL1007" s="330"/>
      <c r="AM1007" s="343"/>
      <c r="AN1007" s="249"/>
      <c r="AO1007" s="330"/>
      <c r="AP1007" s="343"/>
      <c r="AQ1007" s="249"/>
      <c r="AR1007" s="330"/>
      <c r="AS1007" s="343"/>
      <c r="AT1007" s="249"/>
      <c r="AU1007" s="330"/>
    </row>
    <row r="1008" spans="2:47">
      <c r="B1008" s="247">
        <f>'Table S2 Compound Identifiers'!C1010</f>
        <v>0</v>
      </c>
      <c r="C1008" s="247">
        <f>COUNTIF($D$6:D1008,"&lt;&gt;"&amp;"")</f>
        <v>1003</v>
      </c>
      <c r="D1008" s="247">
        <f>'Table S2 Compound Identifiers'!B1010</f>
        <v>0</v>
      </c>
      <c r="E1008" s="247"/>
      <c r="F1008" s="248"/>
      <c r="G1008" s="249"/>
      <c r="H1008" s="330"/>
      <c r="I1008" s="328"/>
      <c r="J1008" s="249"/>
      <c r="K1008" s="330"/>
      <c r="L1008" s="250"/>
      <c r="M1008" s="249"/>
      <c r="N1008" s="330"/>
      <c r="O1008" s="250"/>
      <c r="P1008" s="249"/>
      <c r="Q1008" s="330"/>
      <c r="R1008" s="250"/>
      <c r="S1008" s="249"/>
      <c r="T1008" s="330"/>
      <c r="U1008" s="250"/>
      <c r="V1008" s="249"/>
      <c r="W1008" s="330"/>
      <c r="X1008" s="343"/>
      <c r="Y1008" s="249"/>
      <c r="Z1008" s="330"/>
      <c r="AA1008" s="343"/>
      <c r="AB1008" s="249"/>
      <c r="AC1008" s="330"/>
      <c r="AD1008" s="343"/>
      <c r="AE1008" s="249"/>
      <c r="AF1008" s="330"/>
      <c r="AG1008" s="343"/>
      <c r="AH1008" s="249"/>
      <c r="AI1008" s="330"/>
      <c r="AJ1008" s="343"/>
      <c r="AK1008" s="249"/>
      <c r="AL1008" s="330"/>
      <c r="AM1008" s="343"/>
      <c r="AN1008" s="249"/>
      <c r="AO1008" s="330"/>
      <c r="AP1008" s="343"/>
      <c r="AQ1008" s="249"/>
      <c r="AR1008" s="330"/>
      <c r="AS1008" s="343"/>
      <c r="AT1008" s="249"/>
      <c r="AU1008" s="330"/>
    </row>
    <row r="1009" spans="2:47">
      <c r="B1009" s="247">
        <f>'Table S2 Compound Identifiers'!C1011</f>
        <v>0</v>
      </c>
      <c r="C1009" s="247">
        <f>COUNTIF($D$6:D1009,"&lt;&gt;"&amp;"")</f>
        <v>1004</v>
      </c>
      <c r="D1009" s="247">
        <f>'Table S2 Compound Identifiers'!B1011</f>
        <v>0</v>
      </c>
      <c r="E1009" s="247"/>
      <c r="F1009" s="248"/>
      <c r="G1009" s="249"/>
      <c r="H1009" s="330"/>
      <c r="I1009" s="328"/>
      <c r="J1009" s="249"/>
      <c r="K1009" s="330"/>
      <c r="L1009" s="250"/>
      <c r="M1009" s="249"/>
      <c r="N1009" s="330"/>
      <c r="O1009" s="250"/>
      <c r="P1009" s="249"/>
      <c r="Q1009" s="330"/>
      <c r="R1009" s="250"/>
      <c r="S1009" s="249"/>
      <c r="T1009" s="330"/>
      <c r="U1009" s="250"/>
      <c r="V1009" s="249"/>
      <c r="W1009" s="330"/>
      <c r="X1009" s="343"/>
      <c r="Y1009" s="249"/>
      <c r="Z1009" s="330"/>
      <c r="AA1009" s="343"/>
      <c r="AB1009" s="249"/>
      <c r="AC1009" s="330"/>
      <c r="AD1009" s="343"/>
      <c r="AE1009" s="249"/>
      <c r="AF1009" s="330"/>
      <c r="AG1009" s="343"/>
      <c r="AH1009" s="249"/>
      <c r="AI1009" s="330"/>
      <c r="AJ1009" s="343"/>
      <c r="AK1009" s="249"/>
      <c r="AL1009" s="330"/>
      <c r="AM1009" s="343"/>
      <c r="AN1009" s="249"/>
      <c r="AO1009" s="330"/>
      <c r="AP1009" s="343"/>
      <c r="AQ1009" s="249"/>
      <c r="AR1009" s="330"/>
      <c r="AS1009" s="343"/>
      <c r="AT1009" s="249"/>
      <c r="AU1009" s="330"/>
    </row>
    <row r="1010" spans="2:47">
      <c r="B1010" s="247">
        <f>'Table S2 Compound Identifiers'!C1012</f>
        <v>0</v>
      </c>
      <c r="C1010" s="247">
        <f>COUNTIF($D$6:D1010,"&lt;&gt;"&amp;"")</f>
        <v>1005</v>
      </c>
      <c r="D1010" s="247">
        <f>'Table S2 Compound Identifiers'!B1012</f>
        <v>0</v>
      </c>
      <c r="E1010" s="247"/>
      <c r="F1010" s="248"/>
      <c r="G1010" s="249"/>
      <c r="H1010" s="330"/>
      <c r="I1010" s="328"/>
      <c r="J1010" s="249"/>
      <c r="K1010" s="330"/>
      <c r="L1010" s="250"/>
      <c r="M1010" s="249"/>
      <c r="N1010" s="330"/>
      <c r="O1010" s="250"/>
      <c r="P1010" s="249"/>
      <c r="Q1010" s="330"/>
      <c r="R1010" s="250"/>
      <c r="S1010" s="249"/>
      <c r="T1010" s="330"/>
      <c r="U1010" s="250"/>
      <c r="V1010" s="249"/>
      <c r="W1010" s="330"/>
      <c r="X1010" s="343"/>
      <c r="Y1010" s="249"/>
      <c r="Z1010" s="330"/>
      <c r="AA1010" s="343"/>
      <c r="AB1010" s="249"/>
      <c r="AC1010" s="330"/>
      <c r="AD1010" s="343"/>
      <c r="AE1010" s="249"/>
      <c r="AF1010" s="330"/>
      <c r="AG1010" s="343"/>
      <c r="AH1010" s="249"/>
      <c r="AI1010" s="330"/>
      <c r="AJ1010" s="343"/>
      <c r="AK1010" s="249"/>
      <c r="AL1010" s="330"/>
      <c r="AM1010" s="343"/>
      <c r="AN1010" s="249"/>
      <c r="AO1010" s="330"/>
      <c r="AP1010" s="343"/>
      <c r="AQ1010" s="249"/>
      <c r="AR1010" s="330"/>
      <c r="AS1010" s="343"/>
      <c r="AT1010" s="249"/>
      <c r="AU1010" s="330"/>
    </row>
    <row r="1011" spans="2:47">
      <c r="B1011" s="247">
        <f>'Table S2 Compound Identifiers'!C1013</f>
        <v>0</v>
      </c>
      <c r="C1011" s="247">
        <f>COUNTIF($D$6:D1011,"&lt;&gt;"&amp;"")</f>
        <v>1006</v>
      </c>
      <c r="D1011" s="247">
        <f>'Table S2 Compound Identifiers'!B1013</f>
        <v>0</v>
      </c>
      <c r="E1011" s="247"/>
      <c r="F1011" s="248"/>
      <c r="G1011" s="249"/>
      <c r="H1011" s="330"/>
      <c r="I1011" s="328"/>
      <c r="J1011" s="249"/>
      <c r="K1011" s="330"/>
      <c r="L1011" s="250"/>
      <c r="M1011" s="249"/>
      <c r="N1011" s="330"/>
      <c r="O1011" s="250"/>
      <c r="P1011" s="249"/>
      <c r="Q1011" s="330"/>
      <c r="R1011" s="250"/>
      <c r="S1011" s="249"/>
      <c r="T1011" s="330"/>
      <c r="U1011" s="250"/>
      <c r="V1011" s="249"/>
      <c r="W1011" s="330"/>
      <c r="X1011" s="343"/>
      <c r="Y1011" s="249"/>
      <c r="Z1011" s="330"/>
      <c r="AA1011" s="343"/>
      <c r="AB1011" s="249"/>
      <c r="AC1011" s="330"/>
      <c r="AD1011" s="343"/>
      <c r="AE1011" s="249"/>
      <c r="AF1011" s="330"/>
      <c r="AG1011" s="343"/>
      <c r="AH1011" s="249"/>
      <c r="AI1011" s="330"/>
      <c r="AJ1011" s="343"/>
      <c r="AK1011" s="249"/>
      <c r="AL1011" s="330"/>
      <c r="AM1011" s="343"/>
      <c r="AN1011" s="249"/>
      <c r="AO1011" s="330"/>
      <c r="AP1011" s="343"/>
      <c r="AQ1011" s="249"/>
      <c r="AR1011" s="330"/>
      <c r="AS1011" s="343"/>
      <c r="AT1011" s="249"/>
      <c r="AU1011" s="330"/>
    </row>
    <row r="1012" spans="2:47">
      <c r="B1012" s="247">
        <f>'Table S2 Compound Identifiers'!C1014</f>
        <v>0</v>
      </c>
      <c r="C1012" s="247">
        <f>COUNTIF($D$6:D1012,"&lt;&gt;"&amp;"")</f>
        <v>1007</v>
      </c>
      <c r="D1012" s="247">
        <f>'Table S2 Compound Identifiers'!B1014</f>
        <v>0</v>
      </c>
      <c r="E1012" s="247"/>
      <c r="F1012" s="248"/>
      <c r="G1012" s="249"/>
      <c r="H1012" s="330"/>
      <c r="I1012" s="328"/>
      <c r="J1012" s="249"/>
      <c r="K1012" s="330"/>
      <c r="L1012" s="250"/>
      <c r="M1012" s="249"/>
      <c r="N1012" s="330"/>
      <c r="O1012" s="250"/>
      <c r="P1012" s="249"/>
      <c r="Q1012" s="330"/>
      <c r="R1012" s="250"/>
      <c r="S1012" s="249"/>
      <c r="T1012" s="330"/>
      <c r="U1012" s="250"/>
      <c r="V1012" s="249"/>
      <c r="W1012" s="330"/>
      <c r="X1012" s="343"/>
      <c r="Y1012" s="249"/>
      <c r="Z1012" s="330"/>
      <c r="AA1012" s="343"/>
      <c r="AB1012" s="249"/>
      <c r="AC1012" s="330"/>
      <c r="AD1012" s="343"/>
      <c r="AE1012" s="249"/>
      <c r="AF1012" s="330"/>
      <c r="AG1012" s="343"/>
      <c r="AH1012" s="249"/>
      <c r="AI1012" s="330"/>
      <c r="AJ1012" s="343"/>
      <c r="AK1012" s="249"/>
      <c r="AL1012" s="330"/>
      <c r="AM1012" s="343"/>
      <c r="AN1012" s="249"/>
      <c r="AO1012" s="330"/>
      <c r="AP1012" s="343"/>
      <c r="AQ1012" s="249"/>
      <c r="AR1012" s="330"/>
      <c r="AS1012" s="343"/>
      <c r="AT1012" s="249"/>
      <c r="AU1012" s="330"/>
    </row>
    <row r="1013" spans="2:47">
      <c r="B1013" s="247">
        <f>'Table S2 Compound Identifiers'!C1015</f>
        <v>0</v>
      </c>
      <c r="C1013" s="247">
        <f>COUNTIF($D$6:D1013,"&lt;&gt;"&amp;"")</f>
        <v>1008</v>
      </c>
      <c r="D1013" s="247">
        <f>'Table S2 Compound Identifiers'!B1015</f>
        <v>0</v>
      </c>
      <c r="E1013" s="247"/>
      <c r="F1013" s="248"/>
      <c r="G1013" s="249"/>
      <c r="H1013" s="330"/>
      <c r="I1013" s="328"/>
      <c r="J1013" s="249"/>
      <c r="K1013" s="330"/>
      <c r="L1013" s="250"/>
      <c r="M1013" s="249"/>
      <c r="N1013" s="330"/>
      <c r="O1013" s="250"/>
      <c r="P1013" s="249"/>
      <c r="Q1013" s="330"/>
      <c r="R1013" s="250"/>
      <c r="S1013" s="249"/>
      <c r="T1013" s="330"/>
      <c r="U1013" s="250"/>
      <c r="V1013" s="249"/>
      <c r="W1013" s="330"/>
      <c r="X1013" s="343"/>
      <c r="Y1013" s="249"/>
      <c r="Z1013" s="330"/>
      <c r="AA1013" s="343"/>
      <c r="AB1013" s="249"/>
      <c r="AC1013" s="330"/>
      <c r="AD1013" s="343"/>
      <c r="AE1013" s="249"/>
      <c r="AF1013" s="330"/>
      <c r="AG1013" s="343"/>
      <c r="AH1013" s="249"/>
      <c r="AI1013" s="330"/>
      <c r="AJ1013" s="343"/>
      <c r="AK1013" s="249"/>
      <c r="AL1013" s="330"/>
      <c r="AM1013" s="343"/>
      <c r="AN1013" s="249"/>
      <c r="AO1013" s="330"/>
      <c r="AP1013" s="343"/>
      <c r="AQ1013" s="249"/>
      <c r="AR1013" s="330"/>
      <c r="AS1013" s="343"/>
      <c r="AT1013" s="249"/>
      <c r="AU1013" s="330"/>
    </row>
    <row r="1014" spans="2:47">
      <c r="B1014" s="247">
        <f>'Table S2 Compound Identifiers'!C1016</f>
        <v>0</v>
      </c>
      <c r="C1014" s="247">
        <f>COUNTIF($D$6:D1014,"&lt;&gt;"&amp;"")</f>
        <v>1009</v>
      </c>
      <c r="D1014" s="247">
        <f>'Table S2 Compound Identifiers'!B1016</f>
        <v>0</v>
      </c>
      <c r="E1014" s="247"/>
      <c r="F1014" s="248"/>
      <c r="G1014" s="249"/>
      <c r="H1014" s="330"/>
      <c r="I1014" s="328"/>
      <c r="J1014" s="249"/>
      <c r="K1014" s="330"/>
      <c r="L1014" s="250"/>
      <c r="M1014" s="249"/>
      <c r="N1014" s="330"/>
      <c r="O1014" s="250"/>
      <c r="P1014" s="249"/>
      <c r="Q1014" s="330"/>
      <c r="R1014" s="250"/>
      <c r="S1014" s="249"/>
      <c r="T1014" s="330"/>
      <c r="U1014" s="250"/>
      <c r="V1014" s="249"/>
      <c r="W1014" s="330"/>
      <c r="X1014" s="343"/>
      <c r="Y1014" s="249"/>
      <c r="Z1014" s="330"/>
      <c r="AA1014" s="343"/>
      <c r="AB1014" s="249"/>
      <c r="AC1014" s="330"/>
      <c r="AD1014" s="343"/>
      <c r="AE1014" s="249"/>
      <c r="AF1014" s="330"/>
      <c r="AG1014" s="343"/>
      <c r="AH1014" s="249"/>
      <c r="AI1014" s="330"/>
      <c r="AJ1014" s="343"/>
      <c r="AK1014" s="249"/>
      <c r="AL1014" s="330"/>
      <c r="AM1014" s="343"/>
      <c r="AN1014" s="249"/>
      <c r="AO1014" s="330"/>
      <c r="AP1014" s="343"/>
      <c r="AQ1014" s="249"/>
      <c r="AR1014" s="330"/>
      <c r="AS1014" s="343"/>
      <c r="AT1014" s="249"/>
      <c r="AU1014" s="330"/>
    </row>
    <row r="1015" spans="2:47">
      <c r="B1015" s="247">
        <f>'Table S2 Compound Identifiers'!C1017</f>
        <v>0</v>
      </c>
      <c r="C1015" s="247">
        <f>COUNTIF($D$6:D1015,"&lt;&gt;"&amp;"")</f>
        <v>1010</v>
      </c>
      <c r="D1015" s="247">
        <f>'Table S2 Compound Identifiers'!B1017</f>
        <v>0</v>
      </c>
      <c r="E1015" s="247"/>
      <c r="F1015" s="248"/>
      <c r="G1015" s="249"/>
      <c r="H1015" s="330"/>
      <c r="I1015" s="328"/>
      <c r="J1015" s="249"/>
      <c r="K1015" s="330"/>
      <c r="L1015" s="250"/>
      <c r="M1015" s="249"/>
      <c r="N1015" s="330"/>
      <c r="O1015" s="250"/>
      <c r="P1015" s="249"/>
      <c r="Q1015" s="330"/>
      <c r="R1015" s="250"/>
      <c r="S1015" s="249"/>
      <c r="T1015" s="330"/>
      <c r="U1015" s="250"/>
      <c r="V1015" s="249"/>
      <c r="W1015" s="330"/>
      <c r="X1015" s="343"/>
      <c r="Y1015" s="249"/>
      <c r="Z1015" s="330"/>
      <c r="AA1015" s="343"/>
      <c r="AB1015" s="249"/>
      <c r="AC1015" s="330"/>
      <c r="AD1015" s="343"/>
      <c r="AE1015" s="249"/>
      <c r="AF1015" s="330"/>
      <c r="AG1015" s="343"/>
      <c r="AH1015" s="249"/>
      <c r="AI1015" s="330"/>
      <c r="AJ1015" s="343"/>
      <c r="AK1015" s="249"/>
      <c r="AL1015" s="330"/>
      <c r="AM1015" s="343"/>
      <c r="AN1015" s="249"/>
      <c r="AO1015" s="330"/>
      <c r="AP1015" s="343"/>
      <c r="AQ1015" s="249"/>
      <c r="AR1015" s="330"/>
      <c r="AS1015" s="343"/>
      <c r="AT1015" s="249"/>
      <c r="AU1015" s="330"/>
    </row>
    <row r="1016" spans="2:47">
      <c r="B1016" s="247">
        <f>'Table S2 Compound Identifiers'!C1018</f>
        <v>0</v>
      </c>
      <c r="C1016" s="247">
        <f>COUNTIF($D$6:D1016,"&lt;&gt;"&amp;"")</f>
        <v>1011</v>
      </c>
      <c r="D1016" s="247">
        <f>'Table S2 Compound Identifiers'!B1018</f>
        <v>0</v>
      </c>
      <c r="E1016" s="247"/>
      <c r="F1016" s="248"/>
      <c r="G1016" s="249"/>
      <c r="H1016" s="330"/>
      <c r="I1016" s="328"/>
      <c r="J1016" s="249"/>
      <c r="K1016" s="330"/>
      <c r="L1016" s="250"/>
      <c r="M1016" s="249"/>
      <c r="N1016" s="330"/>
      <c r="O1016" s="250"/>
      <c r="P1016" s="249"/>
      <c r="Q1016" s="330"/>
      <c r="R1016" s="250"/>
      <c r="S1016" s="249"/>
      <c r="T1016" s="330"/>
      <c r="U1016" s="250"/>
      <c r="V1016" s="249"/>
      <c r="W1016" s="330"/>
      <c r="X1016" s="343"/>
      <c r="Y1016" s="249"/>
      <c r="Z1016" s="330"/>
      <c r="AA1016" s="343"/>
      <c r="AB1016" s="249"/>
      <c r="AC1016" s="330"/>
      <c r="AD1016" s="343"/>
      <c r="AE1016" s="249"/>
      <c r="AF1016" s="330"/>
      <c r="AG1016" s="343"/>
      <c r="AH1016" s="249"/>
      <c r="AI1016" s="330"/>
      <c r="AJ1016" s="343"/>
      <c r="AK1016" s="249"/>
      <c r="AL1016" s="330"/>
      <c r="AM1016" s="343"/>
      <c r="AN1016" s="249"/>
      <c r="AO1016" s="330"/>
      <c r="AP1016" s="343"/>
      <c r="AQ1016" s="249"/>
      <c r="AR1016" s="330"/>
      <c r="AS1016" s="343"/>
      <c r="AT1016" s="249"/>
      <c r="AU1016" s="330"/>
    </row>
    <row r="1017" spans="2:47">
      <c r="B1017" s="247">
        <f>'Table S2 Compound Identifiers'!C1019</f>
        <v>0</v>
      </c>
      <c r="C1017" s="247">
        <f>COUNTIF($D$6:D1017,"&lt;&gt;"&amp;"")</f>
        <v>1012</v>
      </c>
      <c r="D1017" s="247">
        <f>'Table S2 Compound Identifiers'!B1019</f>
        <v>0</v>
      </c>
      <c r="E1017" s="247"/>
      <c r="F1017" s="248"/>
      <c r="G1017" s="249"/>
      <c r="H1017" s="330"/>
      <c r="I1017" s="328"/>
      <c r="J1017" s="249"/>
      <c r="K1017" s="330"/>
      <c r="L1017" s="250"/>
      <c r="M1017" s="249"/>
      <c r="N1017" s="330"/>
      <c r="O1017" s="250"/>
      <c r="P1017" s="249"/>
      <c r="Q1017" s="330"/>
      <c r="R1017" s="250"/>
      <c r="S1017" s="249"/>
      <c r="T1017" s="330"/>
      <c r="U1017" s="250"/>
      <c r="V1017" s="249"/>
      <c r="W1017" s="330"/>
      <c r="X1017" s="343"/>
      <c r="Y1017" s="249"/>
      <c r="Z1017" s="330"/>
      <c r="AA1017" s="343"/>
      <c r="AB1017" s="249"/>
      <c r="AC1017" s="330"/>
      <c r="AD1017" s="343"/>
      <c r="AE1017" s="249"/>
      <c r="AF1017" s="330"/>
      <c r="AG1017" s="343"/>
      <c r="AH1017" s="249"/>
      <c r="AI1017" s="330"/>
      <c r="AJ1017" s="343"/>
      <c r="AK1017" s="249"/>
      <c r="AL1017" s="330"/>
      <c r="AM1017" s="343"/>
      <c r="AN1017" s="249"/>
      <c r="AO1017" s="330"/>
      <c r="AP1017" s="343"/>
      <c r="AQ1017" s="249"/>
      <c r="AR1017" s="330"/>
      <c r="AS1017" s="343"/>
      <c r="AT1017" s="249"/>
      <c r="AU1017" s="330"/>
    </row>
    <row r="1018" spans="2:47">
      <c r="B1018" s="247">
        <f>'Table S2 Compound Identifiers'!C1020</f>
        <v>0</v>
      </c>
      <c r="C1018" s="247">
        <f>COUNTIF($D$6:D1018,"&lt;&gt;"&amp;"")</f>
        <v>1013</v>
      </c>
      <c r="D1018" s="247">
        <f>'Table S2 Compound Identifiers'!B1020</f>
        <v>0</v>
      </c>
      <c r="E1018" s="247"/>
      <c r="F1018" s="248"/>
      <c r="G1018" s="249"/>
      <c r="H1018" s="330"/>
      <c r="I1018" s="328"/>
      <c r="J1018" s="249"/>
      <c r="K1018" s="330"/>
      <c r="L1018" s="250"/>
      <c r="M1018" s="249"/>
      <c r="N1018" s="330"/>
      <c r="O1018" s="250"/>
      <c r="P1018" s="249"/>
      <c r="Q1018" s="330"/>
      <c r="R1018" s="250"/>
      <c r="S1018" s="249"/>
      <c r="T1018" s="330"/>
      <c r="U1018" s="250"/>
      <c r="V1018" s="249"/>
      <c r="W1018" s="330"/>
      <c r="X1018" s="343"/>
      <c r="Y1018" s="249"/>
      <c r="Z1018" s="330"/>
      <c r="AA1018" s="343"/>
      <c r="AB1018" s="249"/>
      <c r="AC1018" s="330"/>
      <c r="AD1018" s="343"/>
      <c r="AE1018" s="249"/>
      <c r="AF1018" s="330"/>
      <c r="AG1018" s="343"/>
      <c r="AH1018" s="249"/>
      <c r="AI1018" s="330"/>
      <c r="AJ1018" s="343"/>
      <c r="AK1018" s="249"/>
      <c r="AL1018" s="330"/>
      <c r="AM1018" s="343"/>
      <c r="AN1018" s="249"/>
      <c r="AO1018" s="330"/>
      <c r="AP1018" s="343"/>
      <c r="AQ1018" s="249"/>
      <c r="AR1018" s="330"/>
      <c r="AS1018" s="343"/>
      <c r="AT1018" s="249"/>
      <c r="AU1018" s="330"/>
    </row>
    <row r="1019" spans="2:47">
      <c r="B1019" s="247">
        <f>'Table S2 Compound Identifiers'!C1021</f>
        <v>0</v>
      </c>
      <c r="C1019" s="247">
        <f>COUNTIF($D$6:D1019,"&lt;&gt;"&amp;"")</f>
        <v>1014</v>
      </c>
      <c r="D1019" s="247">
        <f>'Table S2 Compound Identifiers'!B1021</f>
        <v>0</v>
      </c>
      <c r="E1019" s="247"/>
      <c r="F1019" s="248"/>
      <c r="G1019" s="249"/>
      <c r="H1019" s="330"/>
      <c r="I1019" s="328"/>
      <c r="J1019" s="249"/>
      <c r="K1019" s="330"/>
      <c r="L1019" s="250"/>
      <c r="M1019" s="249"/>
      <c r="N1019" s="330"/>
      <c r="O1019" s="250"/>
      <c r="P1019" s="249"/>
      <c r="Q1019" s="330"/>
      <c r="R1019" s="250"/>
      <c r="S1019" s="249"/>
      <c r="T1019" s="330"/>
      <c r="U1019" s="250"/>
      <c r="V1019" s="249"/>
      <c r="W1019" s="330"/>
      <c r="X1019" s="343"/>
      <c r="Y1019" s="249"/>
      <c r="Z1019" s="330"/>
      <c r="AA1019" s="343"/>
      <c r="AB1019" s="249"/>
      <c r="AC1019" s="330"/>
      <c r="AD1019" s="343"/>
      <c r="AE1019" s="249"/>
      <c r="AF1019" s="330"/>
      <c r="AG1019" s="343"/>
      <c r="AH1019" s="249"/>
      <c r="AI1019" s="330"/>
      <c r="AJ1019" s="343"/>
      <c r="AK1019" s="249"/>
      <c r="AL1019" s="330"/>
      <c r="AM1019" s="343"/>
      <c r="AN1019" s="249"/>
      <c r="AO1019" s="330"/>
      <c r="AP1019" s="343"/>
      <c r="AQ1019" s="249"/>
      <c r="AR1019" s="330"/>
      <c r="AS1019" s="343"/>
      <c r="AT1019" s="249"/>
      <c r="AU1019" s="330"/>
    </row>
    <row r="1020" spans="2:47">
      <c r="B1020" s="247">
        <f>'Table S2 Compound Identifiers'!C1022</f>
        <v>0</v>
      </c>
      <c r="C1020" s="247">
        <f>COUNTIF($D$6:D1020,"&lt;&gt;"&amp;"")</f>
        <v>1015</v>
      </c>
      <c r="D1020" s="247">
        <f>'Table S2 Compound Identifiers'!B1022</f>
        <v>0</v>
      </c>
      <c r="E1020" s="247"/>
      <c r="F1020" s="248"/>
      <c r="G1020" s="249"/>
      <c r="H1020" s="330"/>
      <c r="I1020" s="328"/>
      <c r="J1020" s="249"/>
      <c r="K1020" s="330"/>
      <c r="L1020" s="250"/>
      <c r="M1020" s="249"/>
      <c r="N1020" s="330"/>
      <c r="O1020" s="250"/>
      <c r="P1020" s="249"/>
      <c r="Q1020" s="330"/>
      <c r="R1020" s="250"/>
      <c r="S1020" s="249"/>
      <c r="T1020" s="330"/>
      <c r="U1020" s="250"/>
      <c r="V1020" s="249"/>
      <c r="W1020" s="330"/>
      <c r="X1020" s="343"/>
      <c r="Y1020" s="249"/>
      <c r="Z1020" s="330"/>
      <c r="AA1020" s="343"/>
      <c r="AB1020" s="249"/>
      <c r="AC1020" s="330"/>
      <c r="AD1020" s="343"/>
      <c r="AE1020" s="249"/>
      <c r="AF1020" s="330"/>
      <c r="AG1020" s="343"/>
      <c r="AH1020" s="249"/>
      <c r="AI1020" s="330"/>
      <c r="AJ1020" s="343"/>
      <c r="AK1020" s="249"/>
      <c r="AL1020" s="330"/>
      <c r="AM1020" s="343"/>
      <c r="AN1020" s="249"/>
      <c r="AO1020" s="330"/>
      <c r="AP1020" s="343"/>
      <c r="AQ1020" s="249"/>
      <c r="AR1020" s="330"/>
      <c r="AS1020" s="343"/>
      <c r="AT1020" s="249"/>
      <c r="AU1020" s="330"/>
    </row>
    <row r="1021" spans="2:47">
      <c r="B1021" s="247">
        <f>'Table S2 Compound Identifiers'!C1023</f>
        <v>0</v>
      </c>
      <c r="C1021" s="247">
        <f>COUNTIF($D$6:D1021,"&lt;&gt;"&amp;"")</f>
        <v>1016</v>
      </c>
      <c r="D1021" s="247">
        <f>'Table S2 Compound Identifiers'!B1023</f>
        <v>0</v>
      </c>
      <c r="E1021" s="247"/>
      <c r="F1021" s="248"/>
      <c r="G1021" s="249"/>
      <c r="H1021" s="330"/>
      <c r="I1021" s="328"/>
      <c r="J1021" s="249"/>
      <c r="K1021" s="330"/>
      <c r="L1021" s="250"/>
      <c r="M1021" s="249"/>
      <c r="N1021" s="330"/>
      <c r="O1021" s="250"/>
      <c r="P1021" s="249"/>
      <c r="Q1021" s="330"/>
      <c r="R1021" s="250"/>
      <c r="S1021" s="249"/>
      <c r="T1021" s="330"/>
      <c r="U1021" s="250"/>
      <c r="V1021" s="249"/>
      <c r="W1021" s="330"/>
      <c r="X1021" s="343"/>
      <c r="Y1021" s="249"/>
      <c r="Z1021" s="330"/>
      <c r="AA1021" s="343"/>
      <c r="AB1021" s="249"/>
      <c r="AC1021" s="330"/>
      <c r="AD1021" s="343"/>
      <c r="AE1021" s="249"/>
      <c r="AF1021" s="330"/>
      <c r="AG1021" s="343"/>
      <c r="AH1021" s="249"/>
      <c r="AI1021" s="330"/>
      <c r="AJ1021" s="343"/>
      <c r="AK1021" s="249"/>
      <c r="AL1021" s="330"/>
      <c r="AM1021" s="343"/>
      <c r="AN1021" s="249"/>
      <c r="AO1021" s="330"/>
      <c r="AP1021" s="343"/>
      <c r="AQ1021" s="249"/>
      <c r="AR1021" s="330"/>
      <c r="AS1021" s="343"/>
      <c r="AT1021" s="249"/>
      <c r="AU1021" s="330"/>
    </row>
    <row r="1022" spans="2:47">
      <c r="B1022" s="247">
        <f>'Table S2 Compound Identifiers'!C1024</f>
        <v>0</v>
      </c>
      <c r="C1022" s="247">
        <f>COUNTIF($D$6:D1022,"&lt;&gt;"&amp;"")</f>
        <v>1017</v>
      </c>
      <c r="D1022" s="247">
        <f>'Table S2 Compound Identifiers'!B1024</f>
        <v>0</v>
      </c>
      <c r="E1022" s="247"/>
      <c r="F1022" s="248"/>
      <c r="G1022" s="249"/>
      <c r="H1022" s="330"/>
      <c r="I1022" s="328"/>
      <c r="J1022" s="249"/>
      <c r="K1022" s="330"/>
      <c r="L1022" s="250"/>
      <c r="M1022" s="249"/>
      <c r="N1022" s="330"/>
      <c r="O1022" s="250"/>
      <c r="P1022" s="249"/>
      <c r="Q1022" s="330"/>
      <c r="R1022" s="250"/>
      <c r="S1022" s="249"/>
      <c r="T1022" s="330"/>
      <c r="U1022" s="250"/>
      <c r="V1022" s="249"/>
      <c r="W1022" s="330"/>
      <c r="X1022" s="343"/>
      <c r="Y1022" s="249"/>
      <c r="Z1022" s="330"/>
      <c r="AA1022" s="343"/>
      <c r="AB1022" s="249"/>
      <c r="AC1022" s="330"/>
      <c r="AD1022" s="343"/>
      <c r="AE1022" s="249"/>
      <c r="AF1022" s="330"/>
      <c r="AG1022" s="343"/>
      <c r="AH1022" s="249"/>
      <c r="AI1022" s="330"/>
      <c r="AJ1022" s="343"/>
      <c r="AK1022" s="249"/>
      <c r="AL1022" s="330"/>
      <c r="AM1022" s="343"/>
      <c r="AN1022" s="249"/>
      <c r="AO1022" s="330"/>
      <c r="AP1022" s="343"/>
      <c r="AQ1022" s="249"/>
      <c r="AR1022" s="330"/>
      <c r="AS1022" s="343"/>
      <c r="AT1022" s="249"/>
      <c r="AU1022" s="330"/>
    </row>
    <row r="1023" spans="2:47">
      <c r="B1023" s="247">
        <f>'Table S2 Compound Identifiers'!C1025</f>
        <v>0</v>
      </c>
      <c r="C1023" s="247">
        <f>COUNTIF($D$6:D1023,"&lt;&gt;"&amp;"")</f>
        <v>1018</v>
      </c>
      <c r="D1023" s="247">
        <f>'Table S2 Compound Identifiers'!B1025</f>
        <v>0</v>
      </c>
      <c r="E1023" s="247"/>
      <c r="F1023" s="248"/>
      <c r="G1023" s="249"/>
      <c r="H1023" s="330"/>
      <c r="I1023" s="328"/>
      <c r="J1023" s="249"/>
      <c r="K1023" s="330"/>
      <c r="L1023" s="250"/>
      <c r="M1023" s="249"/>
      <c r="N1023" s="330"/>
      <c r="O1023" s="250"/>
      <c r="P1023" s="249"/>
      <c r="Q1023" s="330"/>
      <c r="R1023" s="250"/>
      <c r="S1023" s="249"/>
      <c r="T1023" s="330"/>
      <c r="U1023" s="250"/>
      <c r="V1023" s="249"/>
      <c r="W1023" s="330"/>
      <c r="X1023" s="343"/>
      <c r="Y1023" s="249"/>
      <c r="Z1023" s="330"/>
      <c r="AA1023" s="343"/>
      <c r="AB1023" s="249"/>
      <c r="AC1023" s="330"/>
      <c r="AD1023" s="343"/>
      <c r="AE1023" s="249"/>
      <c r="AF1023" s="330"/>
      <c r="AG1023" s="343"/>
      <c r="AH1023" s="249"/>
      <c r="AI1023" s="330"/>
      <c r="AJ1023" s="343"/>
      <c r="AK1023" s="249"/>
      <c r="AL1023" s="330"/>
      <c r="AM1023" s="343"/>
      <c r="AN1023" s="249"/>
      <c r="AO1023" s="330"/>
      <c r="AP1023" s="343"/>
      <c r="AQ1023" s="249"/>
      <c r="AR1023" s="330"/>
      <c r="AS1023" s="343"/>
      <c r="AT1023" s="249"/>
      <c r="AU1023" s="330"/>
    </row>
    <row r="1024" spans="2:47">
      <c r="B1024" s="247">
        <f>'Table S2 Compound Identifiers'!C1026</f>
        <v>0</v>
      </c>
      <c r="C1024" s="247">
        <f>COUNTIF($D$6:D1024,"&lt;&gt;"&amp;"")</f>
        <v>1019</v>
      </c>
      <c r="D1024" s="432">
        <f>'Table S2 Compound Identifiers'!B1026</f>
        <v>0</v>
      </c>
      <c r="E1024" s="247"/>
      <c r="F1024" s="248"/>
      <c r="G1024" s="249"/>
      <c r="H1024" s="330"/>
      <c r="I1024" s="328"/>
      <c r="J1024" s="249"/>
      <c r="K1024" s="330"/>
      <c r="L1024" s="250"/>
      <c r="M1024" s="249"/>
      <c r="N1024" s="330"/>
      <c r="O1024" s="250"/>
      <c r="P1024" s="249"/>
      <c r="Q1024" s="330"/>
      <c r="R1024" s="250"/>
      <c r="S1024" s="249"/>
      <c r="T1024" s="330"/>
      <c r="U1024" s="250"/>
      <c r="V1024" s="249"/>
      <c r="W1024" s="330"/>
      <c r="X1024" s="343"/>
      <c r="Y1024" s="249"/>
      <c r="Z1024" s="330"/>
      <c r="AA1024" s="343"/>
      <c r="AB1024" s="249"/>
      <c r="AC1024" s="330"/>
      <c r="AD1024" s="343"/>
      <c r="AE1024" s="249"/>
      <c r="AF1024" s="330"/>
      <c r="AG1024" s="343"/>
      <c r="AH1024" s="249"/>
      <c r="AI1024" s="330"/>
      <c r="AJ1024" s="343"/>
      <c r="AK1024" s="249"/>
      <c r="AL1024" s="330"/>
      <c r="AM1024" s="343"/>
      <c r="AN1024" s="249"/>
      <c r="AO1024" s="330"/>
      <c r="AP1024" s="343"/>
      <c r="AQ1024" s="249"/>
      <c r="AR1024" s="330"/>
      <c r="AS1024" s="343"/>
      <c r="AT1024" s="249"/>
      <c r="AU1024" s="330"/>
    </row>
    <row r="1025" spans="2:47">
      <c r="B1025" s="247">
        <f>'Table S2 Compound Identifiers'!C1027</f>
        <v>0</v>
      </c>
      <c r="C1025" s="247">
        <f>COUNTIF($D$6:D1025,"&lt;&gt;"&amp;"")</f>
        <v>1020</v>
      </c>
      <c r="D1025" s="432">
        <f>'Table S2 Compound Identifiers'!B1027</f>
        <v>0</v>
      </c>
      <c r="E1025" s="247"/>
      <c r="F1025" s="248"/>
      <c r="G1025" s="249"/>
      <c r="H1025" s="330"/>
      <c r="I1025" s="328"/>
      <c r="J1025" s="249"/>
      <c r="K1025" s="330"/>
      <c r="L1025" s="250"/>
      <c r="M1025" s="249"/>
      <c r="N1025" s="330"/>
      <c r="O1025" s="250"/>
      <c r="P1025" s="249"/>
      <c r="Q1025" s="330"/>
      <c r="R1025" s="250"/>
      <c r="S1025" s="249"/>
      <c r="T1025" s="330"/>
      <c r="U1025" s="250"/>
      <c r="V1025" s="249"/>
      <c r="W1025" s="330"/>
      <c r="X1025" s="343"/>
      <c r="Y1025" s="249"/>
      <c r="Z1025" s="330"/>
      <c r="AA1025" s="343"/>
      <c r="AB1025" s="249"/>
      <c r="AC1025" s="330"/>
      <c r="AD1025" s="343"/>
      <c r="AE1025" s="249"/>
      <c r="AF1025" s="330"/>
      <c r="AG1025" s="343"/>
      <c r="AH1025" s="249"/>
      <c r="AI1025" s="330"/>
      <c r="AJ1025" s="343"/>
      <c r="AK1025" s="249"/>
      <c r="AL1025" s="330"/>
      <c r="AM1025" s="343"/>
      <c r="AN1025" s="249"/>
      <c r="AO1025" s="330"/>
      <c r="AP1025" s="343"/>
      <c r="AQ1025" s="249"/>
      <c r="AR1025" s="330"/>
      <c r="AS1025" s="343"/>
      <c r="AT1025" s="249"/>
      <c r="AU1025" s="330"/>
    </row>
    <row r="1026" spans="2:47">
      <c r="B1026" s="247">
        <f>'Table S2 Compound Identifiers'!C1028</f>
        <v>0</v>
      </c>
      <c r="C1026" s="247">
        <f>COUNTIF($D$6:D1026,"&lt;&gt;"&amp;"")</f>
        <v>1021</v>
      </c>
      <c r="D1026" s="432">
        <f>'Table S2 Compound Identifiers'!B1028</f>
        <v>0</v>
      </c>
      <c r="E1026" s="247"/>
      <c r="F1026" s="248"/>
      <c r="G1026" s="249"/>
      <c r="H1026" s="330"/>
      <c r="I1026" s="328"/>
      <c r="J1026" s="249"/>
      <c r="K1026" s="330"/>
      <c r="L1026" s="250"/>
      <c r="M1026" s="249"/>
      <c r="N1026" s="330"/>
      <c r="O1026" s="250"/>
      <c r="P1026" s="249"/>
      <c r="Q1026" s="330"/>
      <c r="R1026" s="250"/>
      <c r="S1026" s="249"/>
      <c r="T1026" s="330"/>
      <c r="U1026" s="250"/>
      <c r="V1026" s="249"/>
      <c r="W1026" s="330"/>
      <c r="X1026" s="343"/>
      <c r="Y1026" s="249"/>
      <c r="Z1026" s="330"/>
      <c r="AA1026" s="343"/>
      <c r="AB1026" s="249"/>
      <c r="AC1026" s="330"/>
      <c r="AD1026" s="343"/>
      <c r="AE1026" s="249"/>
      <c r="AF1026" s="330"/>
      <c r="AG1026" s="343"/>
      <c r="AH1026" s="249"/>
      <c r="AI1026" s="330"/>
      <c r="AJ1026" s="343"/>
      <c r="AK1026" s="249"/>
      <c r="AL1026" s="330"/>
      <c r="AM1026" s="343"/>
      <c r="AN1026" s="249"/>
      <c r="AO1026" s="330"/>
      <c r="AP1026" s="343"/>
      <c r="AQ1026" s="249"/>
      <c r="AR1026" s="330"/>
      <c r="AS1026" s="343"/>
      <c r="AT1026" s="249"/>
      <c r="AU1026" s="330"/>
    </row>
    <row r="1027" spans="2:47">
      <c r="B1027" s="247">
        <f>'Table S2 Compound Identifiers'!C1029</f>
        <v>0</v>
      </c>
      <c r="C1027" s="247">
        <f>COUNTIF($D$6:D1027,"&lt;&gt;"&amp;"")</f>
        <v>1022</v>
      </c>
      <c r="D1027" s="432">
        <f>'Table S2 Compound Identifiers'!B1029</f>
        <v>0</v>
      </c>
      <c r="E1027" s="247"/>
      <c r="F1027" s="248"/>
      <c r="G1027" s="249"/>
      <c r="H1027" s="330"/>
      <c r="I1027" s="328"/>
      <c r="J1027" s="249"/>
      <c r="K1027" s="330"/>
      <c r="L1027" s="250"/>
      <c r="M1027" s="249"/>
      <c r="N1027" s="330"/>
      <c r="O1027" s="250"/>
      <c r="P1027" s="249"/>
      <c r="Q1027" s="330"/>
      <c r="R1027" s="250"/>
      <c r="S1027" s="249"/>
      <c r="T1027" s="330"/>
      <c r="U1027" s="250"/>
      <c r="V1027" s="249"/>
      <c r="W1027" s="330"/>
      <c r="X1027" s="343"/>
      <c r="Y1027" s="249"/>
      <c r="Z1027" s="330"/>
      <c r="AA1027" s="343"/>
      <c r="AB1027" s="249"/>
      <c r="AC1027" s="330"/>
      <c r="AD1027" s="343"/>
      <c r="AE1027" s="249"/>
      <c r="AF1027" s="330"/>
      <c r="AG1027" s="343"/>
      <c r="AH1027" s="249"/>
      <c r="AI1027" s="330"/>
      <c r="AJ1027" s="343"/>
      <c r="AK1027" s="249"/>
      <c r="AL1027" s="330"/>
      <c r="AM1027" s="343"/>
      <c r="AN1027" s="249"/>
      <c r="AO1027" s="330"/>
      <c r="AP1027" s="343"/>
      <c r="AQ1027" s="249"/>
      <c r="AR1027" s="330"/>
      <c r="AS1027" s="343"/>
      <c r="AT1027" s="249"/>
      <c r="AU1027" s="330"/>
    </row>
    <row r="1028" spans="2:47">
      <c r="B1028" s="247">
        <f>'Table S2 Compound Identifiers'!C1030</f>
        <v>0</v>
      </c>
      <c r="C1028" s="247">
        <f>COUNTIF($D$6:D1028,"&lt;&gt;"&amp;"")</f>
        <v>1023</v>
      </c>
      <c r="D1028" s="432">
        <f>'Table S2 Compound Identifiers'!B1030</f>
        <v>0</v>
      </c>
      <c r="E1028" s="247"/>
      <c r="F1028" s="248"/>
      <c r="G1028" s="249"/>
      <c r="H1028" s="330"/>
      <c r="I1028" s="328"/>
      <c r="J1028" s="249"/>
      <c r="K1028" s="330"/>
      <c r="L1028" s="250"/>
      <c r="M1028" s="249"/>
      <c r="N1028" s="330"/>
      <c r="O1028" s="250"/>
      <c r="P1028" s="249"/>
      <c r="Q1028" s="330"/>
      <c r="R1028" s="250"/>
      <c r="S1028" s="249"/>
      <c r="T1028" s="330"/>
      <c r="U1028" s="250"/>
      <c r="V1028" s="249"/>
      <c r="W1028" s="330"/>
      <c r="X1028" s="343"/>
      <c r="Y1028" s="249"/>
      <c r="Z1028" s="330"/>
      <c r="AA1028" s="343"/>
      <c r="AB1028" s="249"/>
      <c r="AC1028" s="330"/>
      <c r="AD1028" s="343"/>
      <c r="AE1028" s="249"/>
      <c r="AF1028" s="330"/>
      <c r="AG1028" s="343"/>
      <c r="AH1028" s="249"/>
      <c r="AI1028" s="330"/>
      <c r="AJ1028" s="343"/>
      <c r="AK1028" s="249"/>
      <c r="AL1028" s="330"/>
      <c r="AM1028" s="343"/>
      <c r="AN1028" s="249"/>
      <c r="AO1028" s="330"/>
      <c r="AP1028" s="343"/>
      <c r="AQ1028" s="249"/>
      <c r="AR1028" s="330"/>
      <c r="AS1028" s="343"/>
      <c r="AT1028" s="249"/>
      <c r="AU1028" s="330"/>
    </row>
    <row r="1029" spans="2:47">
      <c r="B1029" s="247">
        <f>'Table S2 Compound Identifiers'!C1031</f>
        <v>0</v>
      </c>
      <c r="C1029" s="247">
        <f>COUNTIF($D$6:D1029,"&lt;&gt;"&amp;"")</f>
        <v>1024</v>
      </c>
      <c r="D1029" s="432">
        <f>'Table S2 Compound Identifiers'!B1031</f>
        <v>0</v>
      </c>
      <c r="E1029" s="247"/>
      <c r="F1029" s="248"/>
      <c r="G1029" s="249"/>
      <c r="H1029" s="330"/>
      <c r="I1029" s="328"/>
      <c r="J1029" s="249"/>
      <c r="K1029" s="330"/>
      <c r="L1029" s="250"/>
      <c r="M1029" s="249"/>
      <c r="N1029" s="330"/>
      <c r="O1029" s="250"/>
      <c r="P1029" s="249"/>
      <c r="Q1029" s="330"/>
      <c r="R1029" s="250"/>
      <c r="S1029" s="249"/>
      <c r="T1029" s="330"/>
      <c r="U1029" s="250"/>
      <c r="V1029" s="249"/>
      <c r="W1029" s="330"/>
      <c r="X1029" s="343"/>
      <c r="Y1029" s="249"/>
      <c r="Z1029" s="330"/>
      <c r="AA1029" s="343"/>
      <c r="AB1029" s="249"/>
      <c r="AC1029" s="330"/>
      <c r="AD1029" s="343"/>
      <c r="AE1029" s="249"/>
      <c r="AF1029" s="330"/>
      <c r="AG1029" s="343"/>
      <c r="AH1029" s="249"/>
      <c r="AI1029" s="330"/>
      <c r="AJ1029" s="343"/>
      <c r="AK1029" s="249"/>
      <c r="AL1029" s="330"/>
      <c r="AM1029" s="343"/>
      <c r="AN1029" s="249"/>
      <c r="AO1029" s="330"/>
      <c r="AP1029" s="343"/>
      <c r="AQ1029" s="249"/>
      <c r="AR1029" s="330"/>
      <c r="AS1029" s="343"/>
      <c r="AT1029" s="249"/>
      <c r="AU1029" s="330"/>
    </row>
    <row r="1030" spans="2:47">
      <c r="B1030" s="247">
        <f>'Table S2 Compound Identifiers'!C1032</f>
        <v>0</v>
      </c>
      <c r="C1030" s="247">
        <f>COUNTIF($D$6:D1030,"&lt;&gt;"&amp;"")</f>
        <v>1025</v>
      </c>
      <c r="D1030" s="432">
        <f>'Table S2 Compound Identifiers'!B1032</f>
        <v>0</v>
      </c>
      <c r="E1030" s="247"/>
      <c r="F1030" s="248"/>
      <c r="G1030" s="249"/>
      <c r="H1030" s="330"/>
      <c r="I1030" s="328"/>
      <c r="J1030" s="249"/>
      <c r="K1030" s="330"/>
      <c r="L1030" s="250"/>
      <c r="M1030" s="249"/>
      <c r="N1030" s="330"/>
      <c r="O1030" s="250"/>
      <c r="P1030" s="249"/>
      <c r="Q1030" s="330"/>
      <c r="R1030" s="250"/>
      <c r="S1030" s="249"/>
      <c r="T1030" s="330"/>
      <c r="U1030" s="250"/>
      <c r="V1030" s="249"/>
      <c r="W1030" s="330"/>
      <c r="X1030" s="343"/>
      <c r="Y1030" s="249"/>
      <c r="Z1030" s="330"/>
      <c r="AA1030" s="343"/>
      <c r="AB1030" s="249"/>
      <c r="AC1030" s="330"/>
      <c r="AD1030" s="343"/>
      <c r="AE1030" s="249"/>
      <c r="AF1030" s="330"/>
      <c r="AG1030" s="343"/>
      <c r="AH1030" s="249"/>
      <c r="AI1030" s="330"/>
      <c r="AJ1030" s="343"/>
      <c r="AK1030" s="249"/>
      <c r="AL1030" s="330"/>
      <c r="AM1030" s="343"/>
      <c r="AN1030" s="249"/>
      <c r="AO1030" s="330"/>
      <c r="AP1030" s="343"/>
      <c r="AQ1030" s="249"/>
      <c r="AR1030" s="330"/>
      <c r="AS1030" s="343"/>
      <c r="AT1030" s="249"/>
      <c r="AU1030" s="330"/>
    </row>
    <row r="1031" spans="2:47">
      <c r="B1031" s="247">
        <f>'Table S2 Compound Identifiers'!C1033</f>
        <v>0</v>
      </c>
      <c r="C1031" s="247">
        <f>COUNTIF($D$6:D1031,"&lt;&gt;"&amp;"")</f>
        <v>1026</v>
      </c>
      <c r="D1031" s="432">
        <f>'Table S2 Compound Identifiers'!B1033</f>
        <v>0</v>
      </c>
      <c r="E1031" s="247"/>
      <c r="F1031" s="248"/>
      <c r="G1031" s="249"/>
      <c r="H1031" s="330"/>
      <c r="I1031" s="328"/>
      <c r="J1031" s="249"/>
      <c r="K1031" s="330"/>
      <c r="L1031" s="250"/>
      <c r="M1031" s="249"/>
      <c r="N1031" s="330"/>
      <c r="O1031" s="250"/>
      <c r="P1031" s="249"/>
      <c r="Q1031" s="330"/>
      <c r="R1031" s="250"/>
      <c r="S1031" s="249"/>
      <c r="T1031" s="330"/>
      <c r="U1031" s="250"/>
      <c r="V1031" s="249"/>
      <c r="W1031" s="330"/>
      <c r="X1031" s="343"/>
      <c r="Y1031" s="249"/>
      <c r="Z1031" s="330"/>
      <c r="AA1031" s="343"/>
      <c r="AB1031" s="249"/>
      <c r="AC1031" s="330"/>
      <c r="AD1031" s="343"/>
      <c r="AE1031" s="249"/>
      <c r="AF1031" s="330"/>
      <c r="AG1031" s="343"/>
      <c r="AH1031" s="249"/>
      <c r="AI1031" s="330"/>
      <c r="AJ1031" s="343"/>
      <c r="AK1031" s="249"/>
      <c r="AL1031" s="330"/>
      <c r="AM1031" s="343"/>
      <c r="AN1031" s="249"/>
      <c r="AO1031" s="330"/>
      <c r="AP1031" s="343"/>
      <c r="AQ1031" s="249"/>
      <c r="AR1031" s="330"/>
      <c r="AS1031" s="343"/>
      <c r="AT1031" s="249"/>
      <c r="AU1031" s="330"/>
    </row>
    <row r="1032" spans="2:47">
      <c r="B1032" s="247">
        <f>'Table S2 Compound Identifiers'!C1034</f>
        <v>0</v>
      </c>
      <c r="C1032" s="247">
        <f>COUNTIF($D$6:D1032,"&lt;&gt;"&amp;"")</f>
        <v>1027</v>
      </c>
      <c r="D1032" s="432">
        <f>'Table S2 Compound Identifiers'!B1034</f>
        <v>0</v>
      </c>
      <c r="E1032" s="247"/>
      <c r="F1032" s="248"/>
      <c r="G1032" s="249"/>
      <c r="H1032" s="330"/>
      <c r="I1032" s="328"/>
      <c r="J1032" s="249"/>
      <c r="K1032" s="330"/>
      <c r="L1032" s="250"/>
      <c r="M1032" s="249"/>
      <c r="N1032" s="330"/>
      <c r="O1032" s="250"/>
      <c r="P1032" s="249"/>
      <c r="Q1032" s="330"/>
      <c r="R1032" s="250"/>
      <c r="S1032" s="249"/>
      <c r="T1032" s="330"/>
      <c r="U1032" s="250"/>
      <c r="V1032" s="249"/>
      <c r="W1032" s="330"/>
      <c r="X1032" s="343"/>
      <c r="Y1032" s="249"/>
      <c r="Z1032" s="330"/>
      <c r="AA1032" s="343"/>
      <c r="AB1032" s="249"/>
      <c r="AC1032" s="330"/>
      <c r="AD1032" s="343"/>
      <c r="AE1032" s="249"/>
      <c r="AF1032" s="330"/>
      <c r="AG1032" s="343"/>
      <c r="AH1032" s="249"/>
      <c r="AI1032" s="330"/>
      <c r="AJ1032" s="343"/>
      <c r="AK1032" s="249"/>
      <c r="AL1032" s="330"/>
      <c r="AM1032" s="343"/>
      <c r="AN1032" s="249"/>
      <c r="AO1032" s="330"/>
      <c r="AP1032" s="343"/>
      <c r="AQ1032" s="249"/>
      <c r="AR1032" s="330"/>
      <c r="AS1032" s="343"/>
      <c r="AT1032" s="249"/>
      <c r="AU1032" s="330"/>
    </row>
    <row r="1033" spans="2:47">
      <c r="B1033" s="247">
        <f>'Table S2 Compound Identifiers'!C1035</f>
        <v>0</v>
      </c>
      <c r="C1033" s="247">
        <f>COUNTIF($D$6:D1033,"&lt;&gt;"&amp;"")</f>
        <v>1028</v>
      </c>
      <c r="D1033" s="432">
        <f>'Table S2 Compound Identifiers'!B1035</f>
        <v>0</v>
      </c>
      <c r="E1033" s="247"/>
      <c r="F1033" s="248"/>
      <c r="G1033" s="249"/>
      <c r="H1033" s="330"/>
      <c r="I1033" s="328"/>
      <c r="J1033" s="249"/>
      <c r="K1033" s="330"/>
      <c r="L1033" s="250"/>
      <c r="M1033" s="249"/>
      <c r="N1033" s="330"/>
      <c r="O1033" s="250"/>
      <c r="P1033" s="249"/>
      <c r="Q1033" s="330"/>
      <c r="R1033" s="250"/>
      <c r="S1033" s="249"/>
      <c r="T1033" s="330"/>
      <c r="U1033" s="250"/>
      <c r="V1033" s="249"/>
      <c r="W1033" s="330"/>
      <c r="X1033" s="343"/>
      <c r="Y1033" s="249"/>
      <c r="Z1033" s="330"/>
      <c r="AA1033" s="343"/>
      <c r="AB1033" s="249"/>
      <c r="AC1033" s="330"/>
      <c r="AD1033" s="343"/>
      <c r="AE1033" s="249"/>
      <c r="AF1033" s="330"/>
      <c r="AG1033" s="343"/>
      <c r="AH1033" s="249"/>
      <c r="AI1033" s="330"/>
      <c r="AJ1033" s="343"/>
      <c r="AK1033" s="249"/>
      <c r="AL1033" s="330"/>
      <c r="AM1033" s="343"/>
      <c r="AN1033" s="249"/>
      <c r="AO1033" s="330"/>
      <c r="AP1033" s="343"/>
      <c r="AQ1033" s="249"/>
      <c r="AR1033" s="330"/>
      <c r="AS1033" s="343"/>
      <c r="AT1033" s="249"/>
      <c r="AU1033" s="330"/>
    </row>
    <row r="1034" spans="2:47">
      <c r="B1034" s="247">
        <f>'Table S2 Compound Identifiers'!C1036</f>
        <v>0</v>
      </c>
      <c r="C1034" s="247">
        <f>COUNTIF($D$6:D1034,"&lt;&gt;"&amp;"")</f>
        <v>1029</v>
      </c>
      <c r="D1034" s="247">
        <f>'Table S2 Compound Identifiers'!B1036</f>
        <v>0</v>
      </c>
      <c r="E1034" s="247"/>
      <c r="F1034" s="248"/>
      <c r="G1034" s="249"/>
      <c r="H1034" s="330"/>
      <c r="I1034" s="328"/>
      <c r="J1034" s="249"/>
      <c r="K1034" s="330"/>
      <c r="L1034" s="250"/>
      <c r="M1034" s="249"/>
      <c r="N1034" s="330"/>
      <c r="O1034" s="250"/>
      <c r="P1034" s="249"/>
      <c r="Q1034" s="330"/>
      <c r="R1034" s="250"/>
      <c r="S1034" s="249"/>
      <c r="T1034" s="330"/>
      <c r="U1034" s="250"/>
      <c r="V1034" s="249"/>
      <c r="W1034" s="330"/>
      <c r="X1034" s="343"/>
      <c r="Y1034" s="249"/>
      <c r="Z1034" s="330"/>
      <c r="AA1034" s="343"/>
      <c r="AB1034" s="249"/>
      <c r="AC1034" s="330"/>
      <c r="AD1034" s="343"/>
      <c r="AE1034" s="249"/>
      <c r="AF1034" s="330"/>
      <c r="AG1034" s="343"/>
      <c r="AH1034" s="249"/>
      <c r="AI1034" s="330"/>
      <c r="AJ1034" s="343"/>
      <c r="AK1034" s="249"/>
      <c r="AL1034" s="330"/>
      <c r="AM1034" s="343"/>
      <c r="AN1034" s="249"/>
      <c r="AO1034" s="330"/>
      <c r="AP1034" s="343"/>
      <c r="AQ1034" s="249"/>
      <c r="AR1034" s="330"/>
      <c r="AS1034" s="343"/>
      <c r="AT1034" s="249"/>
      <c r="AU1034" s="330"/>
    </row>
    <row r="1035" spans="2:47">
      <c r="B1035" s="247">
        <f>'Table S2 Compound Identifiers'!C1037</f>
        <v>0</v>
      </c>
      <c r="C1035" s="247">
        <f>COUNTIF($D$6:D1035,"&lt;&gt;"&amp;"")</f>
        <v>1030</v>
      </c>
      <c r="D1035" s="247">
        <f>'Table S2 Compound Identifiers'!B1037</f>
        <v>0</v>
      </c>
      <c r="E1035" s="247"/>
      <c r="F1035" s="248"/>
      <c r="G1035" s="249"/>
      <c r="H1035" s="330"/>
      <c r="I1035" s="328"/>
      <c r="J1035" s="249"/>
      <c r="K1035" s="330"/>
      <c r="L1035" s="250"/>
      <c r="M1035" s="249"/>
      <c r="N1035" s="330"/>
      <c r="O1035" s="250"/>
      <c r="P1035" s="249"/>
      <c r="Q1035" s="330"/>
      <c r="R1035" s="250"/>
      <c r="S1035" s="249"/>
      <c r="T1035" s="330"/>
      <c r="U1035" s="250"/>
      <c r="V1035" s="249"/>
      <c r="W1035" s="330"/>
      <c r="X1035" s="343"/>
      <c r="Y1035" s="249"/>
      <c r="Z1035" s="330"/>
      <c r="AA1035" s="343"/>
      <c r="AB1035" s="249"/>
      <c r="AC1035" s="330"/>
      <c r="AD1035" s="343"/>
      <c r="AE1035" s="249"/>
      <c r="AF1035" s="330"/>
      <c r="AG1035" s="343"/>
      <c r="AH1035" s="249"/>
      <c r="AI1035" s="330"/>
      <c r="AJ1035" s="343"/>
      <c r="AK1035" s="249"/>
      <c r="AL1035" s="330"/>
      <c r="AM1035" s="343"/>
      <c r="AN1035" s="249"/>
      <c r="AO1035" s="330"/>
      <c r="AP1035" s="343"/>
      <c r="AQ1035" s="249"/>
      <c r="AR1035" s="330"/>
      <c r="AS1035" s="343"/>
      <c r="AT1035" s="249"/>
      <c r="AU1035" s="330"/>
    </row>
    <row r="1036" spans="2:47">
      <c r="B1036" s="247">
        <f>'Table S2 Compound Identifiers'!C1038</f>
        <v>0</v>
      </c>
      <c r="C1036" s="247">
        <f>COUNTIF($D$6:D1036,"&lt;&gt;"&amp;"")</f>
        <v>1031</v>
      </c>
      <c r="D1036" s="247">
        <f>'Table S2 Compound Identifiers'!B1038</f>
        <v>0</v>
      </c>
      <c r="E1036" s="247"/>
      <c r="F1036" s="248"/>
      <c r="G1036" s="249"/>
      <c r="H1036" s="330"/>
      <c r="I1036" s="328"/>
      <c r="J1036" s="249"/>
      <c r="K1036" s="330"/>
      <c r="L1036" s="250"/>
      <c r="M1036" s="249"/>
      <c r="N1036" s="330"/>
      <c r="O1036" s="250"/>
      <c r="P1036" s="249"/>
      <c r="Q1036" s="330"/>
      <c r="R1036" s="250"/>
      <c r="S1036" s="249"/>
      <c r="T1036" s="330"/>
      <c r="U1036" s="250"/>
      <c r="V1036" s="249"/>
      <c r="W1036" s="330"/>
      <c r="X1036" s="343"/>
      <c r="Y1036" s="249"/>
      <c r="Z1036" s="330"/>
      <c r="AA1036" s="343"/>
      <c r="AB1036" s="249"/>
      <c r="AC1036" s="330"/>
      <c r="AD1036" s="343"/>
      <c r="AE1036" s="249"/>
      <c r="AF1036" s="330"/>
      <c r="AG1036" s="343"/>
      <c r="AH1036" s="249"/>
      <c r="AI1036" s="330"/>
      <c r="AJ1036" s="343"/>
      <c r="AK1036" s="249"/>
      <c r="AL1036" s="330"/>
      <c r="AM1036" s="343"/>
      <c r="AN1036" s="249"/>
      <c r="AO1036" s="330"/>
      <c r="AP1036" s="343"/>
      <c r="AQ1036" s="249"/>
      <c r="AR1036" s="330"/>
      <c r="AS1036" s="343"/>
      <c r="AT1036" s="249"/>
      <c r="AU1036" s="330"/>
    </row>
    <row r="1037" spans="2:47">
      <c r="B1037" s="247">
        <f>'Table S2 Compound Identifiers'!C1039</f>
        <v>0</v>
      </c>
      <c r="C1037" s="247">
        <f>COUNTIF($D$6:D1037,"&lt;&gt;"&amp;"")</f>
        <v>1032</v>
      </c>
      <c r="D1037" s="247">
        <f>'Table S2 Compound Identifiers'!B1039</f>
        <v>0</v>
      </c>
      <c r="E1037" s="247"/>
      <c r="F1037" s="248"/>
      <c r="G1037" s="249"/>
      <c r="H1037" s="330"/>
      <c r="I1037" s="328"/>
      <c r="J1037" s="249"/>
      <c r="K1037" s="330"/>
      <c r="L1037" s="250"/>
      <c r="M1037" s="249"/>
      <c r="N1037" s="330"/>
      <c r="O1037" s="250"/>
      <c r="P1037" s="249"/>
      <c r="Q1037" s="330"/>
      <c r="R1037" s="250"/>
      <c r="S1037" s="249"/>
      <c r="T1037" s="330"/>
      <c r="U1037" s="250"/>
      <c r="V1037" s="249"/>
      <c r="W1037" s="330"/>
      <c r="X1037" s="343"/>
      <c r="Y1037" s="249"/>
      <c r="Z1037" s="330"/>
      <c r="AA1037" s="343"/>
      <c r="AB1037" s="249"/>
      <c r="AC1037" s="330"/>
      <c r="AD1037" s="343"/>
      <c r="AE1037" s="249"/>
      <c r="AF1037" s="330"/>
      <c r="AG1037" s="343"/>
      <c r="AH1037" s="249"/>
      <c r="AI1037" s="330"/>
      <c r="AJ1037" s="343"/>
      <c r="AK1037" s="249"/>
      <c r="AL1037" s="330"/>
      <c r="AM1037" s="343"/>
      <c r="AN1037" s="249"/>
      <c r="AO1037" s="330"/>
      <c r="AP1037" s="343"/>
      <c r="AQ1037" s="249"/>
      <c r="AR1037" s="330"/>
      <c r="AS1037" s="343"/>
      <c r="AT1037" s="249"/>
      <c r="AU1037" s="330"/>
    </row>
    <row r="1038" spans="2:47">
      <c r="B1038" s="247">
        <f>'Table S2 Compound Identifiers'!C1040</f>
        <v>0</v>
      </c>
      <c r="C1038" s="247">
        <f>COUNTIF($D$6:D1038,"&lt;&gt;"&amp;"")</f>
        <v>1033</v>
      </c>
      <c r="D1038" s="247">
        <f>'Table S2 Compound Identifiers'!B1040</f>
        <v>0</v>
      </c>
      <c r="E1038" s="247"/>
      <c r="F1038" s="248"/>
      <c r="G1038" s="249"/>
      <c r="H1038" s="330"/>
      <c r="I1038" s="328"/>
      <c r="J1038" s="249"/>
      <c r="K1038" s="330"/>
      <c r="L1038" s="250"/>
      <c r="M1038" s="249"/>
      <c r="N1038" s="330"/>
      <c r="O1038" s="250"/>
      <c r="P1038" s="249"/>
      <c r="Q1038" s="330"/>
      <c r="R1038" s="250"/>
      <c r="S1038" s="249"/>
      <c r="T1038" s="330"/>
      <c r="U1038" s="250"/>
      <c r="V1038" s="249"/>
      <c r="W1038" s="330"/>
      <c r="X1038" s="343"/>
      <c r="Y1038" s="249"/>
      <c r="Z1038" s="330"/>
      <c r="AA1038" s="343"/>
      <c r="AB1038" s="249"/>
      <c r="AC1038" s="330"/>
      <c r="AD1038" s="343"/>
      <c r="AE1038" s="249"/>
      <c r="AF1038" s="330"/>
      <c r="AG1038" s="343"/>
      <c r="AH1038" s="249"/>
      <c r="AI1038" s="330"/>
      <c r="AJ1038" s="343"/>
      <c r="AK1038" s="249"/>
      <c r="AL1038" s="330"/>
      <c r="AM1038" s="343"/>
      <c r="AN1038" s="249"/>
      <c r="AO1038" s="330"/>
      <c r="AP1038" s="343"/>
      <c r="AQ1038" s="249"/>
      <c r="AR1038" s="330"/>
      <c r="AS1038" s="343"/>
      <c r="AT1038" s="249"/>
      <c r="AU1038" s="330"/>
    </row>
    <row r="1039" spans="2:47">
      <c r="B1039" s="247">
        <f>'Table S2 Compound Identifiers'!C1041</f>
        <v>0</v>
      </c>
      <c r="C1039" s="247">
        <f>COUNTIF($D$6:D1039,"&lt;&gt;"&amp;"")</f>
        <v>1034</v>
      </c>
      <c r="D1039" s="247">
        <f>'Table S2 Compound Identifiers'!B1041</f>
        <v>0</v>
      </c>
      <c r="E1039" s="247"/>
      <c r="F1039" s="248"/>
      <c r="G1039" s="249"/>
      <c r="H1039" s="330"/>
      <c r="I1039" s="328"/>
      <c r="J1039" s="249"/>
      <c r="K1039" s="330"/>
      <c r="L1039" s="250"/>
      <c r="M1039" s="249"/>
      <c r="N1039" s="330"/>
      <c r="O1039" s="250"/>
      <c r="P1039" s="249"/>
      <c r="Q1039" s="330"/>
      <c r="R1039" s="250"/>
      <c r="S1039" s="249"/>
      <c r="T1039" s="330"/>
      <c r="U1039" s="250"/>
      <c r="V1039" s="249"/>
      <c r="W1039" s="330"/>
      <c r="X1039" s="343"/>
      <c r="Y1039" s="249"/>
      <c r="Z1039" s="330"/>
      <c r="AA1039" s="343"/>
      <c r="AB1039" s="249"/>
      <c r="AC1039" s="330"/>
      <c r="AD1039" s="343"/>
      <c r="AE1039" s="249"/>
      <c r="AF1039" s="330"/>
      <c r="AG1039" s="343"/>
      <c r="AH1039" s="249"/>
      <c r="AI1039" s="330"/>
      <c r="AJ1039" s="343"/>
      <c r="AK1039" s="249"/>
      <c r="AL1039" s="330"/>
      <c r="AM1039" s="343"/>
      <c r="AN1039" s="249"/>
      <c r="AO1039" s="330"/>
      <c r="AP1039" s="343"/>
      <c r="AQ1039" s="249"/>
      <c r="AR1039" s="330"/>
      <c r="AS1039" s="343"/>
      <c r="AT1039" s="249"/>
      <c r="AU1039" s="330"/>
    </row>
    <row r="1040" spans="2:47">
      <c r="B1040" s="247">
        <f>'Table S2 Compound Identifiers'!C1042</f>
        <v>0</v>
      </c>
      <c r="C1040" s="247">
        <f>COUNTIF($D$6:D1040,"&lt;&gt;"&amp;"")</f>
        <v>1035</v>
      </c>
      <c r="D1040" s="247">
        <f>'Table S2 Compound Identifiers'!B1042</f>
        <v>0</v>
      </c>
      <c r="E1040" s="247"/>
      <c r="F1040" s="248"/>
      <c r="G1040" s="249"/>
      <c r="H1040" s="330"/>
      <c r="I1040" s="328"/>
      <c r="J1040" s="249"/>
      <c r="K1040" s="330"/>
      <c r="L1040" s="250"/>
      <c r="M1040" s="249"/>
      <c r="N1040" s="330"/>
      <c r="O1040" s="251"/>
      <c r="P1040" s="252"/>
      <c r="Q1040" s="330"/>
      <c r="R1040" s="251"/>
      <c r="S1040" s="252"/>
      <c r="T1040" s="330"/>
      <c r="U1040" s="251"/>
      <c r="V1040" s="252"/>
      <c r="W1040" s="330"/>
      <c r="X1040" s="343"/>
      <c r="Y1040" s="249"/>
      <c r="Z1040" s="330"/>
      <c r="AA1040" s="343"/>
      <c r="AB1040" s="249"/>
      <c r="AC1040" s="330"/>
      <c r="AD1040" s="343"/>
      <c r="AE1040" s="249"/>
      <c r="AF1040" s="330"/>
      <c r="AG1040" s="343"/>
      <c r="AH1040" s="249"/>
      <c r="AI1040" s="330"/>
      <c r="AJ1040" s="343"/>
      <c r="AK1040" s="249"/>
      <c r="AL1040" s="330"/>
      <c r="AM1040" s="343"/>
      <c r="AN1040" s="249"/>
      <c r="AO1040" s="330"/>
      <c r="AP1040" s="343"/>
      <c r="AQ1040" s="249"/>
      <c r="AR1040" s="330"/>
      <c r="AS1040" s="343"/>
      <c r="AT1040" s="249"/>
      <c r="AU1040" s="330"/>
    </row>
    <row r="1041" spans="2:47">
      <c r="B1041" s="247">
        <f>'Table S2 Compound Identifiers'!C1043</f>
        <v>0</v>
      </c>
      <c r="C1041" s="253">
        <f>COUNTIF($D$6:D1041,"&lt;&gt;"&amp;"")</f>
        <v>1036</v>
      </c>
      <c r="D1041" s="253">
        <f>'Table S2 Compound Identifiers'!B1043</f>
        <v>0</v>
      </c>
      <c r="E1041" s="253"/>
      <c r="F1041" s="254"/>
      <c r="G1041" s="252"/>
      <c r="H1041" s="330"/>
      <c r="I1041" s="333"/>
      <c r="J1041" s="252"/>
      <c r="K1041" s="330"/>
      <c r="L1041" s="251"/>
      <c r="M1041" s="252"/>
      <c r="N1041" s="330"/>
      <c r="O1041" s="251"/>
      <c r="P1041" s="252"/>
      <c r="Q1041" s="330"/>
      <c r="R1041" s="251"/>
      <c r="S1041" s="252"/>
      <c r="T1041" s="330"/>
      <c r="U1041" s="251"/>
      <c r="V1041" s="252"/>
      <c r="W1041" s="330"/>
      <c r="X1041" s="343"/>
      <c r="Y1041" s="249"/>
      <c r="Z1041" s="330"/>
      <c r="AA1041" s="343"/>
      <c r="AB1041" s="249"/>
      <c r="AC1041" s="330"/>
      <c r="AD1041" s="343"/>
      <c r="AE1041" s="249"/>
      <c r="AF1041" s="330"/>
      <c r="AG1041" s="343"/>
      <c r="AH1041" s="249"/>
      <c r="AI1041" s="330"/>
      <c r="AJ1041" s="343"/>
      <c r="AK1041" s="249"/>
      <c r="AL1041" s="330"/>
      <c r="AM1041" s="343"/>
      <c r="AN1041" s="249"/>
      <c r="AO1041" s="330"/>
      <c r="AP1041" s="343"/>
      <c r="AQ1041" s="249"/>
      <c r="AR1041" s="330"/>
      <c r="AS1041" s="343"/>
      <c r="AT1041" s="249"/>
      <c r="AU1041" s="330"/>
    </row>
    <row r="1042" spans="2:47">
      <c r="B1042" s="247">
        <f>'Table S2 Compound Identifiers'!C1044</f>
        <v>0</v>
      </c>
      <c r="C1042" s="247">
        <f>COUNTIF($D$6:D1042,"&lt;&gt;"&amp;"")</f>
        <v>1037</v>
      </c>
      <c r="D1042" s="247">
        <f>'Table S2 Compound Identifiers'!B1044</f>
        <v>0</v>
      </c>
      <c r="E1042" s="247"/>
      <c r="F1042" s="248"/>
      <c r="G1042" s="250"/>
      <c r="H1042" s="330"/>
      <c r="I1042" s="343"/>
      <c r="J1042" s="249"/>
      <c r="K1042" s="327"/>
      <c r="L1042" s="343"/>
      <c r="M1042" s="249"/>
      <c r="N1042" s="327"/>
      <c r="O1042" s="343"/>
      <c r="P1042" s="249"/>
      <c r="Q1042" s="327"/>
      <c r="R1042" s="343"/>
      <c r="S1042" s="249"/>
      <c r="T1042" s="327"/>
      <c r="U1042" s="343"/>
      <c r="V1042" s="249"/>
      <c r="W1042" s="327"/>
      <c r="X1042" s="343"/>
      <c r="Y1042" s="249"/>
      <c r="Z1042" s="327"/>
      <c r="AA1042" s="343"/>
      <c r="AB1042" s="249"/>
      <c r="AC1042" s="343"/>
      <c r="AD1042" s="343"/>
      <c r="AE1042" s="249"/>
      <c r="AF1042" s="249"/>
      <c r="AG1042" s="343"/>
      <c r="AH1042" s="249"/>
      <c r="AI1042" s="343"/>
      <c r="AJ1042" s="343"/>
      <c r="AK1042" s="249"/>
      <c r="AL1042" s="249"/>
      <c r="AM1042" s="343"/>
      <c r="AN1042" s="249"/>
      <c r="AO1042" s="343"/>
      <c r="AP1042" s="343"/>
      <c r="AQ1042" s="249"/>
      <c r="AR1042" s="249"/>
      <c r="AS1042" s="343"/>
      <c r="AT1042" s="249"/>
      <c r="AU1042" s="343"/>
    </row>
    <row r="1043" spans="2:47">
      <c r="B1043" s="247">
        <f>'Table S2 Compound Identifiers'!C1045</f>
        <v>0</v>
      </c>
      <c r="C1043" s="247">
        <f>COUNTIF($D$6:D1043,"&lt;&gt;"&amp;"")</f>
        <v>1038</v>
      </c>
      <c r="D1043" s="247">
        <f>'Table S2 Compound Identifiers'!B1045</f>
        <v>0</v>
      </c>
      <c r="E1043" s="247"/>
      <c r="F1043" s="248"/>
      <c r="G1043" s="249"/>
      <c r="H1043" s="330"/>
      <c r="I1043" s="332"/>
      <c r="J1043" s="330"/>
      <c r="K1043" s="330"/>
      <c r="L1043" s="330"/>
      <c r="M1043" s="330"/>
      <c r="N1043" s="330"/>
      <c r="O1043" s="330"/>
      <c r="P1043" s="330"/>
      <c r="Q1043" s="330"/>
      <c r="R1043" s="330"/>
      <c r="S1043" s="330"/>
      <c r="T1043" s="330"/>
      <c r="U1043" s="330"/>
      <c r="V1043" s="330"/>
      <c r="W1043" s="330"/>
      <c r="X1043" s="343"/>
      <c r="Y1043" s="249"/>
      <c r="Z1043" s="330"/>
      <c r="AA1043" s="343"/>
      <c r="AB1043" s="249"/>
      <c r="AC1043" s="330"/>
      <c r="AD1043" s="343"/>
      <c r="AE1043" s="249"/>
      <c r="AF1043" s="330"/>
      <c r="AG1043" s="343"/>
      <c r="AH1043" s="249"/>
      <c r="AI1043" s="330"/>
      <c r="AJ1043" s="343"/>
      <c r="AK1043" s="249"/>
      <c r="AL1043" s="330"/>
      <c r="AM1043" s="343"/>
      <c r="AN1043" s="249"/>
      <c r="AO1043" s="330"/>
      <c r="AP1043" s="343"/>
      <c r="AQ1043" s="249"/>
      <c r="AR1043" s="330"/>
      <c r="AS1043" s="343"/>
      <c r="AT1043" s="249"/>
      <c r="AU1043" s="330"/>
    </row>
    <row r="1044" spans="2:47">
      <c r="B1044" s="247">
        <f>'Table S2 Compound Identifiers'!C1046</f>
        <v>0</v>
      </c>
      <c r="C1044" s="247">
        <f>COUNTIF($D$6:D1044,"&lt;&gt;"&amp;"")</f>
        <v>1039</v>
      </c>
      <c r="D1044" s="247">
        <f>'Table S2 Compound Identifiers'!B1046</f>
        <v>0</v>
      </c>
      <c r="E1044" s="247"/>
      <c r="F1044" s="248"/>
      <c r="G1044" s="249"/>
      <c r="H1044" s="330"/>
      <c r="I1044" s="332"/>
      <c r="J1044" s="330"/>
      <c r="K1044" s="330"/>
      <c r="L1044" s="330"/>
      <c r="M1044" s="330"/>
      <c r="N1044" s="330"/>
      <c r="O1044" s="330"/>
      <c r="P1044" s="330"/>
      <c r="Q1044" s="330"/>
      <c r="R1044" s="330"/>
      <c r="S1044" s="330"/>
      <c r="T1044" s="330"/>
      <c r="U1044" s="330"/>
      <c r="V1044" s="330"/>
      <c r="W1044" s="330"/>
      <c r="X1044" s="343"/>
      <c r="Y1044" s="249"/>
      <c r="Z1044" s="330"/>
      <c r="AA1044" s="343"/>
      <c r="AB1044" s="249"/>
      <c r="AC1044" s="330"/>
      <c r="AD1044" s="343"/>
      <c r="AE1044" s="249"/>
      <c r="AF1044" s="330"/>
      <c r="AG1044" s="343"/>
      <c r="AH1044" s="249"/>
      <c r="AI1044" s="330"/>
      <c r="AJ1044" s="343"/>
      <c r="AK1044" s="249"/>
      <c r="AL1044" s="330"/>
      <c r="AM1044" s="343"/>
      <c r="AN1044" s="249"/>
      <c r="AO1044" s="330"/>
      <c r="AP1044" s="343"/>
      <c r="AQ1044" s="249"/>
      <c r="AR1044" s="330"/>
      <c r="AS1044" s="343"/>
      <c r="AT1044" s="249"/>
      <c r="AU1044" s="330"/>
    </row>
    <row r="1045" spans="2:47">
      <c r="B1045" s="247">
        <f>'Table S2 Compound Identifiers'!C1047</f>
        <v>0</v>
      </c>
      <c r="C1045" s="247">
        <f>COUNTIF($D$6:D1045,"&lt;&gt;"&amp;"")</f>
        <v>1040</v>
      </c>
      <c r="D1045" s="247">
        <f>'Table S2 Compound Identifiers'!B1047</f>
        <v>0</v>
      </c>
      <c r="E1045" s="247"/>
      <c r="F1045" s="248"/>
      <c r="G1045" s="249"/>
      <c r="H1045" s="330"/>
      <c r="I1045" s="332"/>
      <c r="J1045" s="330"/>
      <c r="K1045" s="330"/>
      <c r="L1045" s="330"/>
      <c r="M1045" s="330"/>
      <c r="N1045" s="330"/>
      <c r="O1045" s="330"/>
      <c r="P1045" s="330"/>
      <c r="Q1045" s="330"/>
      <c r="R1045" s="330"/>
      <c r="S1045" s="330"/>
      <c r="T1045" s="330"/>
      <c r="U1045" s="330"/>
      <c r="V1045" s="330"/>
      <c r="W1045" s="330"/>
      <c r="X1045" s="343"/>
      <c r="Y1045" s="249"/>
      <c r="Z1045" s="330"/>
      <c r="AA1045" s="343"/>
      <c r="AB1045" s="249"/>
      <c r="AC1045" s="330"/>
      <c r="AD1045" s="343"/>
      <c r="AE1045" s="249"/>
      <c r="AF1045" s="330"/>
      <c r="AG1045" s="343"/>
      <c r="AH1045" s="249"/>
      <c r="AI1045" s="330"/>
      <c r="AJ1045" s="343"/>
      <c r="AK1045" s="249"/>
      <c r="AL1045" s="330"/>
      <c r="AM1045" s="343"/>
      <c r="AN1045" s="249"/>
      <c r="AO1045" s="330"/>
      <c r="AP1045" s="343"/>
      <c r="AQ1045" s="249"/>
      <c r="AR1045" s="330"/>
      <c r="AS1045" s="343"/>
      <c r="AT1045" s="249"/>
      <c r="AU1045" s="330"/>
    </row>
    <row r="1046" spans="2:47">
      <c r="B1046" s="247">
        <f>'Table S2 Compound Identifiers'!C1048</f>
        <v>0</v>
      </c>
      <c r="C1046" s="247">
        <f>COUNTIF($D$6:D1046,"&lt;&gt;"&amp;"")</f>
        <v>1041</v>
      </c>
      <c r="D1046" s="247">
        <f>'Table S2 Compound Identifiers'!B1048</f>
        <v>0</v>
      </c>
      <c r="E1046" s="247"/>
      <c r="F1046" s="248"/>
      <c r="G1046" s="249"/>
      <c r="H1046" s="330"/>
      <c r="I1046" s="328"/>
      <c r="J1046" s="249"/>
      <c r="K1046" s="330"/>
      <c r="L1046" s="250"/>
      <c r="M1046" s="249"/>
      <c r="N1046" s="330"/>
      <c r="O1046" s="250"/>
      <c r="P1046" s="249"/>
      <c r="Q1046" s="330"/>
      <c r="R1046" s="250"/>
      <c r="S1046" s="249"/>
      <c r="T1046" s="330"/>
      <c r="U1046" s="250"/>
      <c r="V1046" s="249"/>
      <c r="W1046" s="330"/>
      <c r="X1046" s="343"/>
      <c r="Y1046" s="249"/>
      <c r="Z1046" s="330"/>
      <c r="AA1046" s="343"/>
      <c r="AB1046" s="249"/>
      <c r="AC1046" s="330"/>
      <c r="AD1046" s="343"/>
      <c r="AE1046" s="249"/>
      <c r="AF1046" s="330"/>
      <c r="AG1046" s="343"/>
      <c r="AH1046" s="249"/>
      <c r="AI1046" s="330"/>
      <c r="AJ1046" s="343"/>
      <c r="AK1046" s="249"/>
      <c r="AL1046" s="330"/>
      <c r="AM1046" s="343"/>
      <c r="AN1046" s="249"/>
      <c r="AO1046" s="330"/>
      <c r="AP1046" s="343"/>
      <c r="AQ1046" s="249"/>
      <c r="AR1046" s="330"/>
      <c r="AS1046" s="343"/>
      <c r="AT1046" s="249"/>
      <c r="AU1046" s="330"/>
    </row>
    <row r="1047" spans="2:47">
      <c r="B1047" s="247">
        <f>'Table S2 Compound Identifiers'!C1049</f>
        <v>0</v>
      </c>
      <c r="C1047" s="247">
        <f>COUNTIF($D$6:D1047,"&lt;&gt;"&amp;"")</f>
        <v>1042</v>
      </c>
      <c r="D1047" s="247">
        <f>'Table S2 Compound Identifiers'!B1049</f>
        <v>0</v>
      </c>
      <c r="E1047" s="247"/>
      <c r="F1047" s="248"/>
      <c r="G1047" s="249"/>
      <c r="H1047" s="330"/>
      <c r="I1047" s="328"/>
      <c r="J1047" s="249"/>
      <c r="K1047" s="330"/>
      <c r="L1047" s="250"/>
      <c r="M1047" s="249"/>
      <c r="N1047" s="330"/>
      <c r="O1047" s="250"/>
      <c r="P1047" s="249"/>
      <c r="Q1047" s="330"/>
      <c r="R1047" s="250"/>
      <c r="S1047" s="249"/>
      <c r="T1047" s="330"/>
      <c r="U1047" s="250"/>
      <c r="V1047" s="249"/>
      <c r="W1047" s="330"/>
      <c r="X1047" s="343"/>
      <c r="Y1047" s="249"/>
      <c r="Z1047" s="330"/>
      <c r="AA1047" s="343"/>
      <c r="AB1047" s="249"/>
      <c r="AC1047" s="330"/>
      <c r="AD1047" s="343"/>
      <c r="AE1047" s="249"/>
      <c r="AF1047" s="330"/>
      <c r="AG1047" s="343"/>
      <c r="AH1047" s="249"/>
      <c r="AI1047" s="330"/>
      <c r="AJ1047" s="343"/>
      <c r="AK1047" s="249"/>
      <c r="AL1047" s="330"/>
      <c r="AM1047" s="343"/>
      <c r="AN1047" s="249"/>
      <c r="AO1047" s="330"/>
      <c r="AP1047" s="343"/>
      <c r="AQ1047" s="249"/>
      <c r="AR1047" s="330"/>
      <c r="AS1047" s="343"/>
      <c r="AT1047" s="249"/>
      <c r="AU1047" s="330"/>
    </row>
    <row r="1048" spans="2:47">
      <c r="B1048" s="247">
        <f>'Table S2 Compound Identifiers'!C1050</f>
        <v>0</v>
      </c>
      <c r="C1048" s="247">
        <f>COUNTIF($D$6:D1048,"&lt;&gt;"&amp;"")</f>
        <v>1043</v>
      </c>
      <c r="D1048" s="247">
        <f>'Table S2 Compound Identifiers'!B1050</f>
        <v>0</v>
      </c>
      <c r="E1048" s="247"/>
      <c r="F1048" s="248"/>
      <c r="G1048" s="249"/>
      <c r="H1048" s="330"/>
      <c r="I1048" s="328"/>
      <c r="J1048" s="249"/>
      <c r="K1048" s="330"/>
      <c r="L1048" s="250"/>
      <c r="M1048" s="249"/>
      <c r="N1048" s="330"/>
      <c r="O1048" s="250"/>
      <c r="P1048" s="249"/>
      <c r="Q1048" s="330"/>
      <c r="R1048" s="250"/>
      <c r="S1048" s="249"/>
      <c r="T1048" s="330"/>
      <c r="U1048" s="250"/>
      <c r="V1048" s="249"/>
      <c r="W1048" s="330"/>
      <c r="X1048" s="343"/>
      <c r="Y1048" s="249"/>
      <c r="Z1048" s="330"/>
      <c r="AA1048" s="343"/>
      <c r="AB1048" s="249"/>
      <c r="AC1048" s="330"/>
      <c r="AD1048" s="343"/>
      <c r="AE1048" s="249"/>
      <c r="AF1048" s="330"/>
      <c r="AG1048" s="343"/>
      <c r="AH1048" s="249"/>
      <c r="AI1048" s="330"/>
      <c r="AJ1048" s="343"/>
      <c r="AK1048" s="249"/>
      <c r="AL1048" s="330"/>
      <c r="AM1048" s="343"/>
      <c r="AN1048" s="249"/>
      <c r="AO1048" s="330"/>
      <c r="AP1048" s="343"/>
      <c r="AQ1048" s="249"/>
      <c r="AR1048" s="330"/>
      <c r="AS1048" s="343"/>
      <c r="AT1048" s="249"/>
      <c r="AU1048" s="330"/>
    </row>
    <row r="1049" spans="2:47">
      <c r="B1049" s="247">
        <f>'Table S2 Compound Identifiers'!C1051</f>
        <v>0</v>
      </c>
      <c r="C1049" s="247">
        <f>COUNTIF($D$6:D1049,"&lt;&gt;"&amp;"")</f>
        <v>1044</v>
      </c>
      <c r="D1049" s="247">
        <f>'Table S2 Compound Identifiers'!B1051</f>
        <v>0</v>
      </c>
      <c r="E1049" s="247"/>
      <c r="F1049" s="248"/>
      <c r="G1049" s="249"/>
      <c r="H1049" s="330"/>
      <c r="I1049" s="328"/>
      <c r="J1049" s="249"/>
      <c r="K1049" s="330"/>
      <c r="L1049" s="250"/>
      <c r="M1049" s="249"/>
      <c r="N1049" s="330"/>
      <c r="O1049" s="250"/>
      <c r="P1049" s="249"/>
      <c r="Q1049" s="330"/>
      <c r="R1049" s="250"/>
      <c r="S1049" s="249"/>
      <c r="T1049" s="330"/>
      <c r="U1049" s="250"/>
      <c r="V1049" s="249"/>
      <c r="W1049" s="330"/>
      <c r="X1049" s="343"/>
      <c r="Y1049" s="249"/>
      <c r="Z1049" s="330"/>
      <c r="AA1049" s="343"/>
      <c r="AB1049" s="249"/>
      <c r="AC1049" s="330"/>
      <c r="AD1049" s="343"/>
      <c r="AE1049" s="249"/>
      <c r="AF1049" s="330"/>
      <c r="AG1049" s="343"/>
      <c r="AH1049" s="249"/>
      <c r="AI1049" s="330"/>
      <c r="AJ1049" s="343"/>
      <c r="AK1049" s="249"/>
      <c r="AL1049" s="330"/>
      <c r="AM1049" s="343"/>
      <c r="AN1049" s="249"/>
      <c r="AO1049" s="330"/>
      <c r="AP1049" s="343"/>
      <c r="AQ1049" s="249"/>
      <c r="AR1049" s="330"/>
      <c r="AS1049" s="343"/>
      <c r="AT1049" s="249"/>
      <c r="AU1049" s="330"/>
    </row>
    <row r="1050" spans="2:47">
      <c r="B1050" s="247">
        <f>'Table S2 Compound Identifiers'!C1052</f>
        <v>0</v>
      </c>
      <c r="C1050" s="247">
        <f>COUNTIF($D$6:D1050,"&lt;&gt;"&amp;"")</f>
        <v>1045</v>
      </c>
      <c r="D1050" s="247">
        <f>'Table S2 Compound Identifiers'!B1052</f>
        <v>0</v>
      </c>
      <c r="E1050" s="247"/>
      <c r="F1050" s="248"/>
      <c r="G1050" s="249"/>
      <c r="H1050" s="330"/>
      <c r="I1050" s="328"/>
      <c r="J1050" s="249"/>
      <c r="K1050" s="330"/>
      <c r="L1050" s="250"/>
      <c r="M1050" s="249"/>
      <c r="N1050" s="330"/>
      <c r="O1050" s="250"/>
      <c r="P1050" s="249"/>
      <c r="Q1050" s="330"/>
      <c r="R1050" s="250"/>
      <c r="S1050" s="249"/>
      <c r="T1050" s="330"/>
      <c r="U1050" s="250"/>
      <c r="V1050" s="249"/>
      <c r="W1050" s="330"/>
      <c r="X1050" s="343"/>
      <c r="Y1050" s="249"/>
      <c r="Z1050" s="330"/>
      <c r="AA1050" s="343"/>
      <c r="AB1050" s="249"/>
      <c r="AC1050" s="330"/>
      <c r="AD1050" s="343"/>
      <c r="AE1050" s="249"/>
      <c r="AF1050" s="330"/>
      <c r="AG1050" s="343"/>
      <c r="AH1050" s="249"/>
      <c r="AI1050" s="330"/>
      <c r="AJ1050" s="343"/>
      <c r="AK1050" s="249"/>
      <c r="AL1050" s="330"/>
      <c r="AM1050" s="343"/>
      <c r="AN1050" s="249"/>
      <c r="AO1050" s="330"/>
      <c r="AP1050" s="343"/>
      <c r="AQ1050" s="249"/>
      <c r="AR1050" s="330"/>
      <c r="AS1050" s="343"/>
      <c r="AT1050" s="249"/>
      <c r="AU1050" s="330"/>
    </row>
    <row r="1051" spans="2:47">
      <c r="B1051" s="247">
        <f>'Table S2 Compound Identifiers'!C1053</f>
        <v>0</v>
      </c>
      <c r="C1051" s="247">
        <f>COUNTIF($D$6:D1051,"&lt;&gt;"&amp;"")</f>
        <v>1046</v>
      </c>
      <c r="D1051" s="247">
        <f>'Table S2 Compound Identifiers'!B1053</f>
        <v>0</v>
      </c>
      <c r="E1051" s="247"/>
      <c r="F1051" s="248"/>
      <c r="G1051" s="249"/>
      <c r="H1051" s="330"/>
      <c r="I1051" s="328"/>
      <c r="J1051" s="249"/>
      <c r="K1051" s="330"/>
      <c r="L1051" s="250"/>
      <c r="M1051" s="249"/>
      <c r="N1051" s="330"/>
      <c r="O1051" s="250"/>
      <c r="P1051" s="249"/>
      <c r="Q1051" s="330"/>
      <c r="R1051" s="250"/>
      <c r="S1051" s="249"/>
      <c r="T1051" s="330"/>
      <c r="U1051" s="250"/>
      <c r="V1051" s="249"/>
      <c r="W1051" s="330"/>
      <c r="X1051" s="343"/>
      <c r="Y1051" s="249"/>
      <c r="Z1051" s="330"/>
      <c r="AA1051" s="343"/>
      <c r="AB1051" s="249"/>
      <c r="AC1051" s="330"/>
      <c r="AD1051" s="343"/>
      <c r="AE1051" s="249"/>
      <c r="AF1051" s="330"/>
      <c r="AG1051" s="343"/>
      <c r="AH1051" s="249"/>
      <c r="AI1051" s="330"/>
      <c r="AJ1051" s="343"/>
      <c r="AK1051" s="249"/>
      <c r="AL1051" s="330"/>
      <c r="AM1051" s="343"/>
      <c r="AN1051" s="249"/>
      <c r="AO1051" s="330"/>
      <c r="AP1051" s="343"/>
      <c r="AQ1051" s="249"/>
      <c r="AR1051" s="330"/>
      <c r="AS1051" s="343"/>
      <c r="AT1051" s="249"/>
      <c r="AU1051" s="330"/>
    </row>
    <row r="1052" spans="2:47">
      <c r="B1052" s="247">
        <f>'Table S2 Compound Identifiers'!C1054</f>
        <v>0</v>
      </c>
      <c r="C1052" s="247">
        <f>COUNTIF($D$6:D1052,"&lt;&gt;"&amp;"")</f>
        <v>1047</v>
      </c>
      <c r="D1052" s="247">
        <f>'Table S2 Compound Identifiers'!B1054</f>
        <v>0</v>
      </c>
      <c r="E1052" s="247"/>
      <c r="F1052" s="248"/>
      <c r="G1052" s="249"/>
      <c r="H1052" s="330"/>
      <c r="I1052" s="328"/>
      <c r="J1052" s="249"/>
      <c r="K1052" s="330"/>
      <c r="L1052" s="250"/>
      <c r="M1052" s="249"/>
      <c r="N1052" s="330"/>
      <c r="O1052" s="250"/>
      <c r="P1052" s="249"/>
      <c r="Q1052" s="330"/>
      <c r="R1052" s="250"/>
      <c r="S1052" s="249"/>
      <c r="T1052" s="330"/>
      <c r="U1052" s="250"/>
      <c r="V1052" s="249"/>
      <c r="W1052" s="330"/>
      <c r="X1052" s="343"/>
      <c r="Y1052" s="249"/>
      <c r="Z1052" s="330"/>
      <c r="AA1052" s="343"/>
      <c r="AB1052" s="249"/>
      <c r="AC1052" s="330"/>
      <c r="AD1052" s="343"/>
      <c r="AE1052" s="249"/>
      <c r="AF1052" s="330"/>
      <c r="AG1052" s="343"/>
      <c r="AH1052" s="249"/>
      <c r="AI1052" s="330"/>
      <c r="AJ1052" s="343"/>
      <c r="AK1052" s="249"/>
      <c r="AL1052" s="330"/>
      <c r="AM1052" s="343"/>
      <c r="AN1052" s="249"/>
      <c r="AO1052" s="330"/>
      <c r="AP1052" s="343"/>
      <c r="AQ1052" s="249"/>
      <c r="AR1052" s="330"/>
      <c r="AS1052" s="343"/>
      <c r="AT1052" s="249"/>
      <c r="AU1052" s="330"/>
    </row>
    <row r="1053" spans="2:47">
      <c r="B1053" s="247">
        <f>'Table S2 Compound Identifiers'!C1055</f>
        <v>0</v>
      </c>
      <c r="C1053" s="247">
        <f>COUNTIF($D$6:D1053,"&lt;&gt;"&amp;"")</f>
        <v>1048</v>
      </c>
      <c r="D1053" s="247">
        <f>'Table S2 Compound Identifiers'!B1055</f>
        <v>0</v>
      </c>
      <c r="E1053" s="247"/>
      <c r="F1053" s="248"/>
      <c r="G1053" s="249"/>
      <c r="H1053" s="330"/>
      <c r="I1053" s="328"/>
      <c r="J1053" s="249"/>
      <c r="K1053" s="330"/>
      <c r="L1053" s="250"/>
      <c r="M1053" s="249"/>
      <c r="N1053" s="330"/>
      <c r="O1053" s="250"/>
      <c r="P1053" s="249"/>
      <c r="Q1053" s="330"/>
      <c r="R1053" s="250"/>
      <c r="S1053" s="249"/>
      <c r="T1053" s="330"/>
      <c r="U1053" s="250"/>
      <c r="V1053" s="249"/>
      <c r="W1053" s="330"/>
      <c r="X1053" s="343"/>
      <c r="Y1053" s="249"/>
      <c r="Z1053" s="330"/>
      <c r="AA1053" s="343"/>
      <c r="AB1053" s="249"/>
      <c r="AC1053" s="330"/>
      <c r="AD1053" s="343"/>
      <c r="AE1053" s="249"/>
      <c r="AF1053" s="330"/>
      <c r="AG1053" s="343"/>
      <c r="AH1053" s="249"/>
      <c r="AI1053" s="330"/>
      <c r="AJ1053" s="343"/>
      <c r="AK1053" s="249"/>
      <c r="AL1053" s="330"/>
      <c r="AM1053" s="343"/>
      <c r="AN1053" s="249"/>
      <c r="AO1053" s="330"/>
      <c r="AP1053" s="343"/>
      <c r="AQ1053" s="249"/>
      <c r="AR1053" s="330"/>
      <c r="AS1053" s="343"/>
      <c r="AT1053" s="249"/>
      <c r="AU1053" s="330"/>
    </row>
    <row r="1054" spans="2:47">
      <c r="B1054" s="247">
        <f>'Table S2 Compound Identifiers'!C1056</f>
        <v>0</v>
      </c>
      <c r="C1054" s="247">
        <f>COUNTIF($D$6:D1054,"&lt;&gt;"&amp;"")</f>
        <v>1049</v>
      </c>
      <c r="D1054" s="247">
        <f>'Table S2 Compound Identifiers'!B1056</f>
        <v>0</v>
      </c>
      <c r="E1054" s="247"/>
      <c r="F1054" s="248"/>
      <c r="G1054" s="249"/>
      <c r="H1054" s="330"/>
      <c r="I1054" s="328"/>
      <c r="J1054" s="249"/>
      <c r="K1054" s="330"/>
      <c r="L1054" s="250"/>
      <c r="M1054" s="249"/>
      <c r="N1054" s="330"/>
      <c r="O1054" s="250"/>
      <c r="P1054" s="249"/>
      <c r="Q1054" s="330"/>
      <c r="R1054" s="250"/>
      <c r="S1054" s="249"/>
      <c r="T1054" s="330"/>
      <c r="U1054" s="250"/>
      <c r="V1054" s="249"/>
      <c r="W1054" s="330"/>
      <c r="X1054" s="343"/>
      <c r="Y1054" s="249"/>
      <c r="Z1054" s="330"/>
      <c r="AA1054" s="343"/>
      <c r="AB1054" s="249"/>
      <c r="AC1054" s="330"/>
      <c r="AD1054" s="343"/>
      <c r="AE1054" s="249"/>
      <c r="AF1054" s="330"/>
      <c r="AG1054" s="343"/>
      <c r="AH1054" s="249"/>
      <c r="AI1054" s="330"/>
      <c r="AJ1054" s="343"/>
      <c r="AK1054" s="249"/>
      <c r="AL1054" s="330"/>
      <c r="AM1054" s="343"/>
      <c r="AN1054" s="249"/>
      <c r="AO1054" s="330"/>
      <c r="AP1054" s="343"/>
      <c r="AQ1054" s="249"/>
      <c r="AR1054" s="330"/>
      <c r="AS1054" s="343"/>
      <c r="AT1054" s="249"/>
      <c r="AU1054" s="330"/>
    </row>
    <row r="1055" spans="2:47">
      <c r="B1055" s="247">
        <f>'Table S2 Compound Identifiers'!C1057</f>
        <v>0</v>
      </c>
      <c r="C1055" s="247">
        <f>COUNTIF($D$6:D1055,"&lt;&gt;"&amp;"")</f>
        <v>1050</v>
      </c>
      <c r="D1055" s="247">
        <f>'Table S2 Compound Identifiers'!B1057</f>
        <v>0</v>
      </c>
      <c r="E1055" s="247"/>
      <c r="F1055" s="248"/>
      <c r="G1055" s="249"/>
      <c r="H1055" s="330"/>
      <c r="I1055" s="328"/>
      <c r="J1055" s="249"/>
      <c r="K1055" s="330"/>
      <c r="L1055" s="250"/>
      <c r="M1055" s="249"/>
      <c r="N1055" s="330"/>
      <c r="O1055" s="250"/>
      <c r="P1055" s="249"/>
      <c r="Q1055" s="330"/>
      <c r="R1055" s="250"/>
      <c r="S1055" s="249"/>
      <c r="T1055" s="330"/>
      <c r="U1055" s="250"/>
      <c r="V1055" s="249"/>
      <c r="W1055" s="330"/>
      <c r="X1055" s="343"/>
      <c r="Y1055" s="249"/>
      <c r="Z1055" s="330"/>
      <c r="AA1055" s="343"/>
      <c r="AB1055" s="249"/>
      <c r="AC1055" s="330"/>
      <c r="AD1055" s="343"/>
      <c r="AE1055" s="249"/>
      <c r="AF1055" s="330"/>
      <c r="AG1055" s="343"/>
      <c r="AH1055" s="249"/>
      <c r="AI1055" s="330"/>
      <c r="AJ1055" s="343"/>
      <c r="AK1055" s="249"/>
      <c r="AL1055" s="330"/>
      <c r="AM1055" s="343"/>
      <c r="AN1055" s="249"/>
      <c r="AO1055" s="330"/>
      <c r="AP1055" s="343"/>
      <c r="AQ1055" s="249"/>
      <c r="AR1055" s="330"/>
      <c r="AS1055" s="343"/>
      <c r="AT1055" s="249"/>
      <c r="AU1055" s="330"/>
    </row>
    <row r="1056" spans="2:47">
      <c r="B1056" s="247">
        <f>'Table S2 Compound Identifiers'!C1058</f>
        <v>0</v>
      </c>
      <c r="C1056" s="247">
        <f>COUNTIF($D$6:D1056,"&lt;&gt;"&amp;"")</f>
        <v>1051</v>
      </c>
      <c r="D1056" s="247">
        <f>'Table S2 Compound Identifiers'!B1058</f>
        <v>0</v>
      </c>
      <c r="E1056" s="247"/>
      <c r="F1056" s="248"/>
      <c r="G1056" s="249"/>
      <c r="H1056" s="330"/>
      <c r="I1056" s="328"/>
      <c r="J1056" s="249"/>
      <c r="K1056" s="330"/>
      <c r="L1056" s="250"/>
      <c r="M1056" s="249"/>
      <c r="N1056" s="330"/>
      <c r="O1056" s="250"/>
      <c r="P1056" s="249"/>
      <c r="Q1056" s="330"/>
      <c r="R1056" s="250"/>
      <c r="S1056" s="249"/>
      <c r="T1056" s="330"/>
      <c r="U1056" s="250"/>
      <c r="V1056" s="249"/>
      <c r="W1056" s="330"/>
      <c r="X1056" s="343"/>
      <c r="Y1056" s="249"/>
      <c r="Z1056" s="330"/>
      <c r="AA1056" s="343"/>
      <c r="AB1056" s="249"/>
      <c r="AC1056" s="330"/>
      <c r="AD1056" s="343"/>
      <c r="AE1056" s="249"/>
      <c r="AF1056" s="330"/>
      <c r="AG1056" s="343"/>
      <c r="AH1056" s="249"/>
      <c r="AI1056" s="330"/>
      <c r="AJ1056" s="343"/>
      <c r="AK1056" s="249"/>
      <c r="AL1056" s="330"/>
      <c r="AM1056" s="343"/>
      <c r="AN1056" s="249"/>
      <c r="AO1056" s="330"/>
      <c r="AP1056" s="343"/>
      <c r="AQ1056" s="249"/>
      <c r="AR1056" s="330"/>
      <c r="AS1056" s="343"/>
      <c r="AT1056" s="249"/>
      <c r="AU1056" s="330"/>
    </row>
    <row r="1057" spans="2:47">
      <c r="B1057" s="247">
        <f>'Table S2 Compound Identifiers'!C1059</f>
        <v>0</v>
      </c>
      <c r="C1057" s="247">
        <f>COUNTIF($D$6:D1057,"&lt;&gt;"&amp;"")</f>
        <v>1052</v>
      </c>
      <c r="D1057" s="247">
        <f>'Table S2 Compound Identifiers'!B1059</f>
        <v>0</v>
      </c>
      <c r="E1057" s="247"/>
      <c r="F1057" s="248"/>
      <c r="G1057" s="249"/>
      <c r="H1057" s="330"/>
      <c r="I1057" s="328"/>
      <c r="J1057" s="249"/>
      <c r="K1057" s="330"/>
      <c r="L1057" s="250"/>
      <c r="M1057" s="249"/>
      <c r="N1057" s="330"/>
      <c r="O1057" s="250"/>
      <c r="P1057" s="249"/>
      <c r="Q1057" s="330"/>
      <c r="R1057" s="250"/>
      <c r="S1057" s="249"/>
      <c r="T1057" s="330"/>
      <c r="U1057" s="250"/>
      <c r="V1057" s="249"/>
      <c r="W1057" s="330"/>
      <c r="X1057" s="343"/>
      <c r="Y1057" s="249"/>
      <c r="Z1057" s="330"/>
      <c r="AA1057" s="343"/>
      <c r="AB1057" s="249"/>
      <c r="AC1057" s="330"/>
      <c r="AD1057" s="343"/>
      <c r="AE1057" s="249"/>
      <c r="AF1057" s="330"/>
      <c r="AG1057" s="343"/>
      <c r="AH1057" s="249"/>
      <c r="AI1057" s="330"/>
      <c r="AJ1057" s="343"/>
      <c r="AK1057" s="249"/>
      <c r="AL1057" s="330"/>
      <c r="AM1057" s="343"/>
      <c r="AN1057" s="249"/>
      <c r="AO1057" s="330"/>
      <c r="AP1057" s="343"/>
      <c r="AQ1057" s="249"/>
      <c r="AR1057" s="330"/>
      <c r="AS1057" s="343"/>
      <c r="AT1057" s="249"/>
      <c r="AU1057" s="330"/>
    </row>
    <row r="1058" spans="2:47">
      <c r="B1058" s="247">
        <f>'Table S2 Compound Identifiers'!C1060</f>
        <v>0</v>
      </c>
      <c r="C1058" s="247">
        <f>COUNTIF($D$6:D1058,"&lt;&gt;"&amp;"")</f>
        <v>1053</v>
      </c>
      <c r="D1058" s="247">
        <f>'Table S2 Compound Identifiers'!B1060</f>
        <v>0</v>
      </c>
      <c r="E1058" s="247"/>
      <c r="F1058" s="248"/>
      <c r="G1058" s="249"/>
      <c r="H1058" s="330"/>
      <c r="I1058" s="328"/>
      <c r="J1058" s="249"/>
      <c r="K1058" s="330"/>
      <c r="L1058" s="250"/>
      <c r="M1058" s="249"/>
      <c r="N1058" s="330"/>
      <c r="O1058" s="250"/>
      <c r="P1058" s="249"/>
      <c r="Q1058" s="330"/>
      <c r="R1058" s="250"/>
      <c r="S1058" s="249"/>
      <c r="T1058" s="330"/>
      <c r="U1058" s="250"/>
      <c r="V1058" s="249"/>
      <c r="W1058" s="330"/>
      <c r="X1058" s="343"/>
      <c r="Y1058" s="249"/>
      <c r="Z1058" s="330"/>
      <c r="AA1058" s="343"/>
      <c r="AB1058" s="249"/>
      <c r="AC1058" s="330"/>
      <c r="AD1058" s="343"/>
      <c r="AE1058" s="249"/>
      <c r="AF1058" s="330"/>
      <c r="AG1058" s="343"/>
      <c r="AH1058" s="249"/>
      <c r="AI1058" s="330"/>
      <c r="AJ1058" s="343"/>
      <c r="AK1058" s="249"/>
      <c r="AL1058" s="330"/>
      <c r="AM1058" s="343"/>
      <c r="AN1058" s="249"/>
      <c r="AO1058" s="330"/>
      <c r="AP1058" s="343"/>
      <c r="AQ1058" s="249"/>
      <c r="AR1058" s="330"/>
      <c r="AS1058" s="343"/>
      <c r="AT1058" s="249"/>
      <c r="AU1058" s="330"/>
    </row>
    <row r="1059" spans="2:47">
      <c r="B1059" s="247">
        <f>'Table S2 Compound Identifiers'!C1061</f>
        <v>0</v>
      </c>
      <c r="C1059" s="247">
        <f>COUNTIF($D$6:D1059,"&lt;&gt;"&amp;"")</f>
        <v>1054</v>
      </c>
      <c r="D1059" s="247">
        <f>'Table S2 Compound Identifiers'!B1061</f>
        <v>0</v>
      </c>
      <c r="E1059" s="247"/>
      <c r="F1059" s="248"/>
      <c r="G1059" s="249"/>
      <c r="H1059" s="330"/>
      <c r="I1059" s="328"/>
      <c r="J1059" s="249"/>
      <c r="K1059" s="330"/>
      <c r="L1059" s="250"/>
      <c r="M1059" s="249"/>
      <c r="N1059" s="330"/>
      <c r="O1059" s="250"/>
      <c r="P1059" s="249"/>
      <c r="Q1059" s="330"/>
      <c r="R1059" s="250"/>
      <c r="S1059" s="249"/>
      <c r="T1059" s="330"/>
      <c r="U1059" s="250"/>
      <c r="V1059" s="249"/>
      <c r="W1059" s="330"/>
      <c r="X1059" s="343"/>
      <c r="Y1059" s="249"/>
      <c r="Z1059" s="330"/>
      <c r="AA1059" s="343"/>
      <c r="AB1059" s="249"/>
      <c r="AC1059" s="330"/>
      <c r="AD1059" s="343"/>
      <c r="AE1059" s="249"/>
      <c r="AF1059" s="330"/>
      <c r="AG1059" s="343"/>
      <c r="AH1059" s="249"/>
      <c r="AI1059" s="330"/>
      <c r="AJ1059" s="343"/>
      <c r="AK1059" s="249"/>
      <c r="AL1059" s="330"/>
      <c r="AM1059" s="343"/>
      <c r="AN1059" s="249"/>
      <c r="AO1059" s="330"/>
      <c r="AP1059" s="343"/>
      <c r="AQ1059" s="249"/>
      <c r="AR1059" s="330"/>
      <c r="AS1059" s="343"/>
      <c r="AT1059" s="249"/>
      <c r="AU1059" s="330"/>
    </row>
    <row r="1060" spans="2:47">
      <c r="B1060" s="247">
        <f>'Table S2 Compound Identifiers'!C1062</f>
        <v>0</v>
      </c>
      <c r="C1060" s="247">
        <f>COUNTIF($D$6:D1060,"&lt;&gt;"&amp;"")</f>
        <v>1055</v>
      </c>
      <c r="D1060" s="247">
        <f>'Table S2 Compound Identifiers'!B1062</f>
        <v>0</v>
      </c>
      <c r="E1060" s="247"/>
      <c r="F1060" s="248"/>
      <c r="G1060" s="249"/>
      <c r="H1060" s="330"/>
      <c r="I1060" s="328"/>
      <c r="J1060" s="249"/>
      <c r="K1060" s="330"/>
      <c r="L1060" s="250"/>
      <c r="M1060" s="249"/>
      <c r="N1060" s="330"/>
      <c r="O1060" s="250"/>
      <c r="P1060" s="249"/>
      <c r="Q1060" s="330"/>
      <c r="R1060" s="250"/>
      <c r="S1060" s="249"/>
      <c r="T1060" s="330"/>
      <c r="U1060" s="250"/>
      <c r="V1060" s="249"/>
      <c r="W1060" s="330"/>
      <c r="X1060" s="343"/>
      <c r="Y1060" s="249"/>
      <c r="Z1060" s="330"/>
      <c r="AA1060" s="343"/>
      <c r="AB1060" s="249"/>
      <c r="AC1060" s="330"/>
      <c r="AD1060" s="343"/>
      <c r="AE1060" s="249"/>
      <c r="AF1060" s="330"/>
      <c r="AG1060" s="343"/>
      <c r="AH1060" s="249"/>
      <c r="AI1060" s="330"/>
      <c r="AJ1060" s="343"/>
      <c r="AK1060" s="249"/>
      <c r="AL1060" s="330"/>
      <c r="AM1060" s="343"/>
      <c r="AN1060" s="249"/>
      <c r="AO1060" s="330"/>
      <c r="AP1060" s="343"/>
      <c r="AQ1060" s="249"/>
      <c r="AR1060" s="330"/>
      <c r="AS1060" s="343"/>
      <c r="AT1060" s="249"/>
      <c r="AU1060" s="330"/>
    </row>
    <row r="1061" spans="2:47">
      <c r="B1061" s="247">
        <f>'Table S2 Compound Identifiers'!C1063</f>
        <v>0</v>
      </c>
      <c r="C1061" s="247">
        <f>COUNTIF($D$6:D1061,"&lt;&gt;"&amp;"")</f>
        <v>1056</v>
      </c>
      <c r="D1061" s="247">
        <f>'Table S2 Compound Identifiers'!B1063</f>
        <v>0</v>
      </c>
      <c r="E1061" s="247"/>
      <c r="F1061" s="248"/>
      <c r="G1061" s="249"/>
      <c r="H1061" s="330"/>
      <c r="I1061" s="328"/>
      <c r="J1061" s="249"/>
      <c r="K1061" s="330"/>
      <c r="L1061" s="250"/>
      <c r="M1061" s="249"/>
      <c r="N1061" s="330"/>
      <c r="O1061" s="250"/>
      <c r="P1061" s="249"/>
      <c r="Q1061" s="330"/>
      <c r="R1061" s="250"/>
      <c r="S1061" s="249"/>
      <c r="T1061" s="330"/>
      <c r="U1061" s="250"/>
      <c r="V1061" s="249"/>
      <c r="W1061" s="330"/>
      <c r="X1061" s="343"/>
      <c r="Y1061" s="249"/>
      <c r="Z1061" s="330"/>
      <c r="AA1061" s="343"/>
      <c r="AB1061" s="249"/>
      <c r="AC1061" s="330"/>
      <c r="AD1061" s="343"/>
      <c r="AE1061" s="249"/>
      <c r="AF1061" s="330"/>
      <c r="AG1061" s="343"/>
      <c r="AH1061" s="249"/>
      <c r="AI1061" s="330"/>
      <c r="AJ1061" s="343"/>
      <c r="AK1061" s="249"/>
      <c r="AL1061" s="330"/>
      <c r="AM1061" s="343"/>
      <c r="AN1061" s="249"/>
      <c r="AO1061" s="330"/>
      <c r="AP1061" s="343"/>
      <c r="AQ1061" s="249"/>
      <c r="AR1061" s="330"/>
      <c r="AS1061" s="343"/>
      <c r="AT1061" s="249"/>
      <c r="AU1061" s="330"/>
    </row>
    <row r="1062" spans="2:47">
      <c r="B1062" s="247">
        <f>'Table S2 Compound Identifiers'!C1064</f>
        <v>0</v>
      </c>
      <c r="C1062" s="247">
        <f>COUNTIF($D$6:D1062,"&lt;&gt;"&amp;"")</f>
        <v>1057</v>
      </c>
      <c r="D1062" s="247">
        <f>'Table S2 Compound Identifiers'!B1064</f>
        <v>0</v>
      </c>
      <c r="E1062" s="247"/>
      <c r="F1062" s="248"/>
      <c r="G1062" s="249"/>
      <c r="H1062" s="330"/>
      <c r="I1062" s="328"/>
      <c r="J1062" s="249"/>
      <c r="K1062" s="330"/>
      <c r="L1062" s="250"/>
      <c r="M1062" s="249"/>
      <c r="N1062" s="330"/>
      <c r="O1062" s="250"/>
      <c r="P1062" s="249"/>
      <c r="Q1062" s="330"/>
      <c r="R1062" s="250"/>
      <c r="S1062" s="249"/>
      <c r="T1062" s="330"/>
      <c r="U1062" s="250"/>
      <c r="V1062" s="249"/>
      <c r="W1062" s="330"/>
      <c r="X1062" s="343"/>
      <c r="Y1062" s="249"/>
      <c r="Z1062" s="330"/>
      <c r="AA1062" s="343"/>
      <c r="AB1062" s="249"/>
      <c r="AC1062" s="330"/>
      <c r="AD1062" s="343"/>
      <c r="AE1062" s="249"/>
      <c r="AF1062" s="330"/>
      <c r="AG1062" s="343"/>
      <c r="AH1062" s="249"/>
      <c r="AI1062" s="330"/>
      <c r="AJ1062" s="343"/>
      <c r="AK1062" s="249"/>
      <c r="AL1062" s="330"/>
      <c r="AM1062" s="343"/>
      <c r="AN1062" s="249"/>
      <c r="AO1062" s="330"/>
      <c r="AP1062" s="343"/>
      <c r="AQ1062" s="249"/>
      <c r="AR1062" s="330"/>
      <c r="AS1062" s="343"/>
      <c r="AT1062" s="249"/>
      <c r="AU1062" s="330"/>
    </row>
    <row r="1063" spans="2:47">
      <c r="B1063" s="247">
        <f>'Table S2 Compound Identifiers'!C1065</f>
        <v>0</v>
      </c>
      <c r="C1063" s="247">
        <f>COUNTIF($D$6:D1063,"&lt;&gt;"&amp;"")</f>
        <v>1058</v>
      </c>
      <c r="D1063" s="247">
        <f>'Table S2 Compound Identifiers'!B1065</f>
        <v>0</v>
      </c>
      <c r="E1063" s="247"/>
      <c r="F1063" s="248"/>
      <c r="G1063" s="249"/>
      <c r="H1063" s="330"/>
      <c r="I1063" s="328"/>
      <c r="J1063" s="249"/>
      <c r="K1063" s="330"/>
      <c r="L1063" s="250"/>
      <c r="M1063" s="249"/>
      <c r="N1063" s="330"/>
      <c r="O1063" s="250"/>
      <c r="P1063" s="249"/>
      <c r="Q1063" s="330"/>
      <c r="R1063" s="250"/>
      <c r="S1063" s="249"/>
      <c r="T1063" s="330"/>
      <c r="U1063" s="250"/>
      <c r="V1063" s="249"/>
      <c r="W1063" s="330"/>
      <c r="X1063" s="343"/>
      <c r="Y1063" s="249"/>
      <c r="Z1063" s="330"/>
      <c r="AA1063" s="343"/>
      <c r="AB1063" s="249"/>
      <c r="AC1063" s="330"/>
      <c r="AD1063" s="343"/>
      <c r="AE1063" s="249"/>
      <c r="AF1063" s="330"/>
      <c r="AG1063" s="343"/>
      <c r="AH1063" s="249"/>
      <c r="AI1063" s="330"/>
      <c r="AJ1063" s="343"/>
      <c r="AK1063" s="249"/>
      <c r="AL1063" s="330"/>
      <c r="AM1063" s="343"/>
      <c r="AN1063" s="249"/>
      <c r="AO1063" s="330"/>
      <c r="AP1063" s="343"/>
      <c r="AQ1063" s="249"/>
      <c r="AR1063" s="330"/>
      <c r="AS1063" s="343"/>
      <c r="AT1063" s="249"/>
      <c r="AU1063" s="330"/>
    </row>
    <row r="1064" spans="2:47">
      <c r="B1064" s="247">
        <f>'Table S2 Compound Identifiers'!C1066</f>
        <v>0</v>
      </c>
      <c r="C1064" s="247">
        <f>COUNTIF($D$6:D1064,"&lt;&gt;"&amp;"")</f>
        <v>1059</v>
      </c>
      <c r="D1064" s="247">
        <f>'Table S2 Compound Identifiers'!B1066</f>
        <v>0</v>
      </c>
      <c r="E1064" s="247"/>
      <c r="F1064" s="248"/>
      <c r="G1064" s="249"/>
      <c r="H1064" s="330"/>
      <c r="I1064" s="328"/>
      <c r="J1064" s="249"/>
      <c r="K1064" s="330"/>
      <c r="L1064" s="250"/>
      <c r="M1064" s="249"/>
      <c r="N1064" s="330"/>
      <c r="O1064" s="250"/>
      <c r="P1064" s="249"/>
      <c r="Q1064" s="330"/>
      <c r="R1064" s="250"/>
      <c r="S1064" s="249"/>
      <c r="T1064" s="330"/>
      <c r="U1064" s="250"/>
      <c r="V1064" s="249"/>
      <c r="W1064" s="330"/>
      <c r="X1064" s="343"/>
      <c r="Y1064" s="249"/>
      <c r="Z1064" s="330"/>
      <c r="AA1064" s="343"/>
      <c r="AB1064" s="249"/>
      <c r="AC1064" s="330"/>
      <c r="AD1064" s="343"/>
      <c r="AE1064" s="249"/>
      <c r="AF1064" s="330"/>
      <c r="AG1064" s="343"/>
      <c r="AH1064" s="249"/>
      <c r="AI1064" s="330"/>
      <c r="AJ1064" s="343"/>
      <c r="AK1064" s="249"/>
      <c r="AL1064" s="330"/>
      <c r="AM1064" s="343"/>
      <c r="AN1064" s="249"/>
      <c r="AO1064" s="330"/>
      <c r="AP1064" s="343"/>
      <c r="AQ1064" s="249"/>
      <c r="AR1064" s="330"/>
      <c r="AS1064" s="343"/>
      <c r="AT1064" s="249"/>
      <c r="AU1064" s="330"/>
    </row>
    <row r="1065" spans="2:47">
      <c r="B1065" s="247">
        <f>'Table S2 Compound Identifiers'!C1067</f>
        <v>0</v>
      </c>
      <c r="C1065" s="247">
        <f>COUNTIF($D$6:D1065,"&lt;&gt;"&amp;"")</f>
        <v>1060</v>
      </c>
      <c r="D1065" s="247">
        <f>'Table S2 Compound Identifiers'!B1067</f>
        <v>0</v>
      </c>
      <c r="E1065" s="247"/>
      <c r="F1065" s="248"/>
      <c r="G1065" s="249"/>
      <c r="H1065" s="330"/>
      <c r="I1065" s="328"/>
      <c r="J1065" s="249"/>
      <c r="K1065" s="330"/>
      <c r="L1065" s="250"/>
      <c r="M1065" s="249"/>
      <c r="N1065" s="330"/>
      <c r="O1065" s="250"/>
      <c r="P1065" s="249"/>
      <c r="Q1065" s="330"/>
      <c r="R1065" s="250"/>
      <c r="S1065" s="249"/>
      <c r="T1065" s="330"/>
      <c r="U1065" s="250"/>
      <c r="V1065" s="249"/>
      <c r="W1065" s="330"/>
      <c r="X1065" s="343"/>
      <c r="Y1065" s="249"/>
      <c r="Z1065" s="330"/>
      <c r="AA1065" s="343"/>
      <c r="AB1065" s="249"/>
      <c r="AC1065" s="330"/>
      <c r="AD1065" s="343"/>
      <c r="AE1065" s="249"/>
      <c r="AF1065" s="330"/>
      <c r="AG1065" s="343"/>
      <c r="AH1065" s="249"/>
      <c r="AI1065" s="330"/>
      <c r="AJ1065" s="343"/>
      <c r="AK1065" s="249"/>
      <c r="AL1065" s="330"/>
      <c r="AM1065" s="343"/>
      <c r="AN1065" s="249"/>
      <c r="AO1065" s="330"/>
      <c r="AP1065" s="343"/>
      <c r="AQ1065" s="249"/>
      <c r="AR1065" s="330"/>
      <c r="AS1065" s="343"/>
      <c r="AT1065" s="249"/>
      <c r="AU1065" s="330"/>
    </row>
    <row r="1066" spans="2:47">
      <c r="B1066" s="247">
        <f>'Table S2 Compound Identifiers'!C1068</f>
        <v>0</v>
      </c>
      <c r="C1066" s="247">
        <f>COUNTIF($D$6:D1066,"&lt;&gt;"&amp;"")</f>
        <v>1061</v>
      </c>
      <c r="D1066" s="247">
        <f>'Table S2 Compound Identifiers'!B1068</f>
        <v>0</v>
      </c>
      <c r="E1066" s="247"/>
      <c r="F1066" s="248"/>
      <c r="G1066" s="249"/>
      <c r="H1066" s="330"/>
      <c r="I1066" s="328"/>
      <c r="J1066" s="249"/>
      <c r="K1066" s="330"/>
      <c r="L1066" s="250"/>
      <c r="M1066" s="249"/>
      <c r="N1066" s="330"/>
      <c r="O1066" s="250"/>
      <c r="P1066" s="249"/>
      <c r="Q1066" s="330"/>
      <c r="R1066" s="250"/>
      <c r="S1066" s="249"/>
      <c r="T1066" s="330"/>
      <c r="U1066" s="250"/>
      <c r="V1066" s="249"/>
      <c r="W1066" s="330"/>
      <c r="X1066" s="343"/>
      <c r="Y1066" s="249"/>
      <c r="Z1066" s="330"/>
      <c r="AA1066" s="343"/>
      <c r="AB1066" s="249"/>
      <c r="AC1066" s="330"/>
      <c r="AD1066" s="343"/>
      <c r="AE1066" s="249"/>
      <c r="AF1066" s="330"/>
      <c r="AG1066" s="343"/>
      <c r="AH1066" s="249"/>
      <c r="AI1066" s="330"/>
      <c r="AJ1066" s="343"/>
      <c r="AK1066" s="249"/>
      <c r="AL1066" s="330"/>
      <c r="AM1066" s="343"/>
      <c r="AN1066" s="249"/>
      <c r="AO1066" s="330"/>
      <c r="AP1066" s="343"/>
      <c r="AQ1066" s="249"/>
      <c r="AR1066" s="330"/>
      <c r="AS1066" s="343"/>
      <c r="AT1066" s="249"/>
      <c r="AU1066" s="330"/>
    </row>
    <row r="1067" spans="2:47">
      <c r="B1067" s="247">
        <f>'Table S2 Compound Identifiers'!C1069</f>
        <v>0</v>
      </c>
      <c r="C1067" s="247">
        <f>COUNTIF($D$6:D1067,"&lt;&gt;"&amp;"")</f>
        <v>1062</v>
      </c>
      <c r="D1067" s="247">
        <f>'Table S2 Compound Identifiers'!B1069</f>
        <v>0</v>
      </c>
      <c r="E1067" s="247"/>
      <c r="F1067" s="248"/>
      <c r="G1067" s="249"/>
      <c r="H1067" s="330"/>
      <c r="I1067" s="328"/>
      <c r="J1067" s="249"/>
      <c r="K1067" s="330"/>
      <c r="L1067" s="250"/>
      <c r="M1067" s="249"/>
      <c r="N1067" s="330"/>
      <c r="O1067" s="250"/>
      <c r="P1067" s="249"/>
      <c r="Q1067" s="330"/>
      <c r="R1067" s="250"/>
      <c r="S1067" s="249"/>
      <c r="T1067" s="330"/>
      <c r="U1067" s="250"/>
      <c r="V1067" s="249"/>
      <c r="W1067" s="330"/>
      <c r="X1067" s="343"/>
      <c r="Y1067" s="249"/>
      <c r="Z1067" s="330"/>
      <c r="AA1067" s="343"/>
      <c r="AB1067" s="249"/>
      <c r="AC1067" s="330"/>
      <c r="AD1067" s="343"/>
      <c r="AE1067" s="249"/>
      <c r="AF1067" s="330"/>
      <c r="AG1067" s="343"/>
      <c r="AH1067" s="249"/>
      <c r="AI1067" s="330"/>
      <c r="AJ1067" s="343"/>
      <c r="AK1067" s="249"/>
      <c r="AL1067" s="330"/>
      <c r="AM1067" s="343"/>
      <c r="AN1067" s="249"/>
      <c r="AO1067" s="330"/>
      <c r="AP1067" s="343"/>
      <c r="AQ1067" s="249"/>
      <c r="AR1067" s="330"/>
      <c r="AS1067" s="343"/>
      <c r="AT1067" s="249"/>
      <c r="AU1067" s="330"/>
    </row>
    <row r="1068" spans="2:47">
      <c r="B1068" s="247">
        <f>'Table S2 Compound Identifiers'!C1070</f>
        <v>0</v>
      </c>
      <c r="C1068" s="247">
        <f>COUNTIF($D$6:D1068,"&lt;&gt;"&amp;"")</f>
        <v>1063</v>
      </c>
      <c r="D1068" s="247">
        <f>'Table S2 Compound Identifiers'!B1070</f>
        <v>0</v>
      </c>
      <c r="E1068" s="247"/>
      <c r="F1068" s="248"/>
      <c r="G1068" s="249"/>
      <c r="H1068" s="330"/>
      <c r="I1068" s="328"/>
      <c r="J1068" s="249"/>
      <c r="K1068" s="330"/>
      <c r="L1068" s="250"/>
      <c r="M1068" s="249"/>
      <c r="N1068" s="330"/>
      <c r="O1068" s="250"/>
      <c r="P1068" s="249"/>
      <c r="Q1068" s="330"/>
      <c r="R1068" s="250"/>
      <c r="S1068" s="249"/>
      <c r="T1068" s="330"/>
      <c r="U1068" s="250"/>
      <c r="V1068" s="249"/>
      <c r="W1068" s="330"/>
      <c r="X1068" s="343"/>
      <c r="Y1068" s="249"/>
      <c r="Z1068" s="330"/>
      <c r="AA1068" s="343"/>
      <c r="AB1068" s="249"/>
      <c r="AC1068" s="330"/>
      <c r="AD1068" s="343"/>
      <c r="AE1068" s="249"/>
      <c r="AF1068" s="330"/>
      <c r="AG1068" s="343"/>
      <c r="AH1068" s="249"/>
      <c r="AI1068" s="330"/>
      <c r="AJ1068" s="343"/>
      <c r="AK1068" s="249"/>
      <c r="AL1068" s="330"/>
      <c r="AM1068" s="343"/>
      <c r="AN1068" s="249"/>
      <c r="AO1068" s="330"/>
      <c r="AP1068" s="343"/>
      <c r="AQ1068" s="249"/>
      <c r="AR1068" s="330"/>
      <c r="AS1068" s="343"/>
      <c r="AT1068" s="249"/>
      <c r="AU1068" s="330"/>
    </row>
    <row r="1069" spans="2:47">
      <c r="B1069" s="247">
        <f>'Table S2 Compound Identifiers'!C1071</f>
        <v>0</v>
      </c>
      <c r="C1069" s="247">
        <f>COUNTIF($D$6:D1069,"&lt;&gt;"&amp;"")</f>
        <v>1064</v>
      </c>
      <c r="D1069" s="247">
        <f>'Table S2 Compound Identifiers'!B1071</f>
        <v>0</v>
      </c>
      <c r="E1069" s="247"/>
      <c r="F1069" s="248"/>
      <c r="G1069" s="249"/>
      <c r="H1069" s="330"/>
      <c r="I1069" s="328"/>
      <c r="J1069" s="249"/>
      <c r="K1069" s="330"/>
      <c r="L1069" s="250"/>
      <c r="M1069" s="249"/>
      <c r="N1069" s="330"/>
      <c r="O1069" s="250"/>
      <c r="P1069" s="249"/>
      <c r="Q1069" s="330"/>
      <c r="R1069" s="250"/>
      <c r="S1069" s="249"/>
      <c r="T1069" s="330"/>
      <c r="U1069" s="250"/>
      <c r="V1069" s="249"/>
      <c r="W1069" s="330"/>
      <c r="X1069" s="343"/>
      <c r="Y1069" s="249"/>
      <c r="Z1069" s="330"/>
      <c r="AA1069" s="343"/>
      <c r="AB1069" s="249"/>
      <c r="AC1069" s="330"/>
      <c r="AD1069" s="343"/>
      <c r="AE1069" s="249"/>
      <c r="AF1069" s="330"/>
      <c r="AG1069" s="343"/>
      <c r="AH1069" s="249"/>
      <c r="AI1069" s="330"/>
      <c r="AJ1069" s="343"/>
      <c r="AK1069" s="249"/>
      <c r="AL1069" s="330"/>
      <c r="AM1069" s="343"/>
      <c r="AN1069" s="249"/>
      <c r="AO1069" s="330"/>
      <c r="AP1069" s="343"/>
      <c r="AQ1069" s="249"/>
      <c r="AR1069" s="330"/>
      <c r="AS1069" s="343"/>
      <c r="AT1069" s="249"/>
      <c r="AU1069" s="330"/>
    </row>
    <row r="1070" spans="2:47">
      <c r="B1070" s="247">
        <f>'Table S2 Compound Identifiers'!C1072</f>
        <v>0</v>
      </c>
      <c r="C1070" s="247">
        <f>COUNTIF($D$6:D1070,"&lt;&gt;"&amp;"")</f>
        <v>1065</v>
      </c>
      <c r="D1070" s="247">
        <f>'Table S2 Compound Identifiers'!B1072</f>
        <v>0</v>
      </c>
      <c r="E1070" s="247"/>
      <c r="F1070" s="248"/>
      <c r="G1070" s="249"/>
      <c r="H1070" s="330"/>
      <c r="I1070" s="328"/>
      <c r="J1070" s="249"/>
      <c r="K1070" s="330"/>
      <c r="L1070" s="250"/>
      <c r="M1070" s="249"/>
      <c r="N1070" s="330"/>
      <c r="O1070" s="250"/>
      <c r="P1070" s="249"/>
      <c r="Q1070" s="330"/>
      <c r="R1070" s="250"/>
      <c r="S1070" s="249"/>
      <c r="T1070" s="330"/>
      <c r="U1070" s="250"/>
      <c r="V1070" s="249"/>
      <c r="W1070" s="330"/>
      <c r="X1070" s="343"/>
      <c r="Y1070" s="249"/>
      <c r="Z1070" s="330"/>
      <c r="AA1070" s="343"/>
      <c r="AB1070" s="249"/>
      <c r="AC1070" s="330"/>
      <c r="AD1070" s="343"/>
      <c r="AE1070" s="249"/>
      <c r="AF1070" s="330"/>
      <c r="AG1070" s="343"/>
      <c r="AH1070" s="249"/>
      <c r="AI1070" s="330"/>
      <c r="AJ1070" s="343"/>
      <c r="AK1070" s="249"/>
      <c r="AL1070" s="330"/>
      <c r="AM1070" s="343"/>
      <c r="AN1070" s="249"/>
      <c r="AO1070" s="330"/>
      <c r="AP1070" s="343"/>
      <c r="AQ1070" s="249"/>
      <c r="AR1070" s="330"/>
      <c r="AS1070" s="343"/>
      <c r="AT1070" s="249"/>
      <c r="AU1070" s="330"/>
    </row>
    <row r="1071" spans="2:47">
      <c r="B1071" s="247">
        <f>'Table S2 Compound Identifiers'!C1073</f>
        <v>0</v>
      </c>
      <c r="C1071" s="247">
        <f>COUNTIF($D$6:D1071,"&lt;&gt;"&amp;"")</f>
        <v>1066</v>
      </c>
      <c r="D1071" s="247">
        <f>'Table S2 Compound Identifiers'!B1073</f>
        <v>0</v>
      </c>
      <c r="E1071" s="247"/>
      <c r="F1071" s="248"/>
      <c r="G1071" s="249"/>
      <c r="H1071" s="330"/>
      <c r="I1071" s="328"/>
      <c r="J1071" s="249"/>
      <c r="K1071" s="330"/>
      <c r="L1071" s="250"/>
      <c r="M1071" s="249"/>
      <c r="N1071" s="330"/>
      <c r="O1071" s="250"/>
      <c r="P1071" s="249"/>
      <c r="Q1071" s="330"/>
      <c r="R1071" s="250"/>
      <c r="S1071" s="249"/>
      <c r="T1071" s="330"/>
      <c r="U1071" s="250"/>
      <c r="V1071" s="249"/>
      <c r="W1071" s="330"/>
      <c r="X1071" s="343"/>
      <c r="Y1071" s="249"/>
      <c r="Z1071" s="330"/>
      <c r="AA1071" s="343"/>
      <c r="AB1071" s="249"/>
      <c r="AC1071" s="330"/>
      <c r="AD1071" s="343"/>
      <c r="AE1071" s="249"/>
      <c r="AF1071" s="330"/>
      <c r="AG1071" s="343"/>
      <c r="AH1071" s="249"/>
      <c r="AI1071" s="330"/>
      <c r="AJ1071" s="343"/>
      <c r="AK1071" s="249"/>
      <c r="AL1071" s="330"/>
      <c r="AM1071" s="343"/>
      <c r="AN1071" s="249"/>
      <c r="AO1071" s="330"/>
      <c r="AP1071" s="343"/>
      <c r="AQ1071" s="249"/>
      <c r="AR1071" s="330"/>
      <c r="AS1071" s="343"/>
      <c r="AT1071" s="249"/>
      <c r="AU1071" s="330"/>
    </row>
    <row r="1072" spans="2:47">
      <c r="B1072" s="247">
        <f>'Table S2 Compound Identifiers'!C1074</f>
        <v>0</v>
      </c>
      <c r="C1072" s="247">
        <f>COUNTIF($D$6:D1072,"&lt;&gt;"&amp;"")</f>
        <v>1067</v>
      </c>
      <c r="D1072" s="247">
        <f>'Table S2 Compound Identifiers'!B1074</f>
        <v>0</v>
      </c>
      <c r="E1072" s="247"/>
      <c r="F1072" s="248"/>
      <c r="G1072" s="249"/>
      <c r="H1072" s="330"/>
      <c r="I1072" s="328"/>
      <c r="J1072" s="249"/>
      <c r="K1072" s="330"/>
      <c r="L1072" s="250"/>
      <c r="M1072" s="249"/>
      <c r="N1072" s="330"/>
      <c r="O1072" s="250"/>
      <c r="P1072" s="249"/>
      <c r="Q1072" s="330"/>
      <c r="R1072" s="250"/>
      <c r="S1072" s="249"/>
      <c r="T1072" s="330"/>
      <c r="U1072" s="250"/>
      <c r="V1072" s="249"/>
      <c r="W1072" s="330"/>
      <c r="X1072" s="343"/>
      <c r="Y1072" s="249"/>
      <c r="Z1072" s="330"/>
      <c r="AA1072" s="343"/>
      <c r="AB1072" s="249"/>
      <c r="AC1072" s="330"/>
      <c r="AD1072" s="343"/>
      <c r="AE1072" s="249"/>
      <c r="AF1072" s="330"/>
      <c r="AG1072" s="343"/>
      <c r="AH1072" s="249"/>
      <c r="AI1072" s="330"/>
      <c r="AJ1072" s="343"/>
      <c r="AK1072" s="249"/>
      <c r="AL1072" s="330"/>
      <c r="AM1072" s="343"/>
      <c r="AN1072" s="249"/>
      <c r="AO1072" s="330"/>
      <c r="AP1072" s="343"/>
      <c r="AQ1072" s="249"/>
      <c r="AR1072" s="330"/>
      <c r="AS1072" s="343"/>
      <c r="AT1072" s="249"/>
      <c r="AU1072" s="330"/>
    </row>
    <row r="1073" spans="2:47">
      <c r="B1073" s="247">
        <f>'Table S2 Compound Identifiers'!C1075</f>
        <v>0</v>
      </c>
      <c r="C1073" s="247">
        <f>COUNTIF($D$6:D1073,"&lt;&gt;"&amp;"")</f>
        <v>1068</v>
      </c>
      <c r="D1073" s="247">
        <f>'Table S2 Compound Identifiers'!B1075</f>
        <v>0</v>
      </c>
      <c r="E1073" s="247"/>
      <c r="F1073" s="248"/>
      <c r="G1073" s="249"/>
      <c r="H1073" s="330"/>
      <c r="I1073" s="328"/>
      <c r="J1073" s="249"/>
      <c r="K1073" s="330"/>
      <c r="L1073" s="250"/>
      <c r="M1073" s="249"/>
      <c r="N1073" s="330"/>
      <c r="O1073" s="250"/>
      <c r="P1073" s="249"/>
      <c r="Q1073" s="330"/>
      <c r="R1073" s="250"/>
      <c r="S1073" s="249"/>
      <c r="T1073" s="330"/>
      <c r="U1073" s="250"/>
      <c r="V1073" s="249"/>
      <c r="W1073" s="330"/>
      <c r="X1073" s="343"/>
      <c r="Y1073" s="249"/>
      <c r="Z1073" s="330"/>
      <c r="AA1073" s="343"/>
      <c r="AB1073" s="249"/>
      <c r="AC1073" s="330"/>
      <c r="AD1073" s="343"/>
      <c r="AE1073" s="249"/>
      <c r="AF1073" s="330"/>
      <c r="AG1073" s="343"/>
      <c r="AH1073" s="249"/>
      <c r="AI1073" s="330"/>
      <c r="AJ1073" s="343"/>
      <c r="AK1073" s="249"/>
      <c r="AL1073" s="330"/>
      <c r="AM1073" s="343"/>
      <c r="AN1073" s="249"/>
      <c r="AO1073" s="330"/>
      <c r="AP1073" s="343"/>
      <c r="AQ1073" s="249"/>
      <c r="AR1073" s="330"/>
      <c r="AS1073" s="343"/>
      <c r="AT1073" s="249"/>
      <c r="AU1073" s="330"/>
    </row>
    <row r="1074" spans="2:47">
      <c r="B1074" s="247">
        <f>'Table S2 Compound Identifiers'!C1076</f>
        <v>0</v>
      </c>
      <c r="C1074" s="247">
        <f>COUNTIF($D$6:D1074,"&lt;&gt;"&amp;"")</f>
        <v>1069</v>
      </c>
      <c r="D1074" s="247">
        <f>'Table S2 Compound Identifiers'!B1076</f>
        <v>0</v>
      </c>
      <c r="E1074" s="247"/>
      <c r="F1074" s="248"/>
      <c r="G1074" s="249"/>
      <c r="H1074" s="330"/>
      <c r="I1074" s="328"/>
      <c r="J1074" s="249"/>
      <c r="K1074" s="330"/>
      <c r="L1074" s="250"/>
      <c r="M1074" s="249"/>
      <c r="N1074" s="330"/>
      <c r="O1074" s="250"/>
      <c r="P1074" s="249"/>
      <c r="Q1074" s="330"/>
      <c r="R1074" s="250"/>
      <c r="S1074" s="249"/>
      <c r="T1074" s="330"/>
      <c r="U1074" s="250"/>
      <c r="V1074" s="249"/>
      <c r="W1074" s="330"/>
      <c r="X1074" s="343"/>
      <c r="Y1074" s="249"/>
      <c r="Z1074" s="330"/>
      <c r="AA1074" s="343"/>
      <c r="AB1074" s="249"/>
      <c r="AC1074" s="330"/>
      <c r="AD1074" s="343"/>
      <c r="AE1074" s="249"/>
      <c r="AF1074" s="330"/>
      <c r="AG1074" s="343"/>
      <c r="AH1074" s="249"/>
      <c r="AI1074" s="330"/>
      <c r="AJ1074" s="343"/>
      <c r="AK1074" s="249"/>
      <c r="AL1074" s="330"/>
      <c r="AM1074" s="343"/>
      <c r="AN1074" s="249"/>
      <c r="AO1074" s="330"/>
      <c r="AP1074" s="343"/>
      <c r="AQ1074" s="249"/>
      <c r="AR1074" s="330"/>
      <c r="AS1074" s="343"/>
      <c r="AT1074" s="249"/>
      <c r="AU1074" s="330"/>
    </row>
    <row r="1075" spans="2:47">
      <c r="B1075" s="247">
        <f>'Table S2 Compound Identifiers'!C1077</f>
        <v>0</v>
      </c>
      <c r="C1075" s="247">
        <f>COUNTIF($D$6:D1075,"&lt;&gt;"&amp;"")</f>
        <v>1070</v>
      </c>
      <c r="D1075" s="247">
        <f>'Table S2 Compound Identifiers'!B1077</f>
        <v>0</v>
      </c>
      <c r="E1075" s="247"/>
      <c r="F1075" s="248"/>
      <c r="G1075" s="249"/>
      <c r="H1075" s="330"/>
      <c r="I1075" s="328"/>
      <c r="J1075" s="249"/>
      <c r="K1075" s="330"/>
      <c r="L1075" s="250"/>
      <c r="M1075" s="249"/>
      <c r="N1075" s="330"/>
      <c r="O1075" s="250"/>
      <c r="P1075" s="249"/>
      <c r="Q1075" s="330"/>
      <c r="R1075" s="250"/>
      <c r="S1075" s="249"/>
      <c r="T1075" s="330"/>
      <c r="U1075" s="250"/>
      <c r="V1075" s="249"/>
      <c r="W1075" s="330"/>
      <c r="X1075" s="343"/>
      <c r="Y1075" s="249"/>
      <c r="Z1075" s="330"/>
      <c r="AA1075" s="343"/>
      <c r="AB1075" s="249"/>
      <c r="AC1075" s="330"/>
      <c r="AD1075" s="343"/>
      <c r="AE1075" s="249"/>
      <c r="AF1075" s="330"/>
      <c r="AG1075" s="343"/>
      <c r="AH1075" s="249"/>
      <c r="AI1075" s="330"/>
      <c r="AJ1075" s="343"/>
      <c r="AK1075" s="249"/>
      <c r="AL1075" s="330"/>
      <c r="AM1075" s="343"/>
      <c r="AN1075" s="249"/>
      <c r="AO1075" s="330"/>
      <c r="AP1075" s="343"/>
      <c r="AQ1075" s="249"/>
      <c r="AR1075" s="330"/>
      <c r="AS1075" s="343"/>
      <c r="AT1075" s="249"/>
      <c r="AU1075" s="330"/>
    </row>
    <row r="1076" spans="2:47">
      <c r="B1076" s="247">
        <f>'Table S2 Compound Identifiers'!C1078</f>
        <v>0</v>
      </c>
      <c r="C1076" s="247">
        <f>COUNTIF($D$6:D1076,"&lt;&gt;"&amp;"")</f>
        <v>1071</v>
      </c>
      <c r="D1076" s="247">
        <f>'Table S2 Compound Identifiers'!B1078</f>
        <v>0</v>
      </c>
      <c r="E1076" s="247"/>
      <c r="F1076" s="248"/>
      <c r="G1076" s="249"/>
      <c r="H1076" s="330"/>
      <c r="I1076" s="328"/>
      <c r="J1076" s="249"/>
      <c r="K1076" s="330"/>
      <c r="L1076" s="250"/>
      <c r="M1076" s="249"/>
      <c r="N1076" s="330"/>
      <c r="O1076" s="250"/>
      <c r="P1076" s="249"/>
      <c r="Q1076" s="330"/>
      <c r="R1076" s="250"/>
      <c r="S1076" s="249"/>
      <c r="T1076" s="330"/>
      <c r="U1076" s="250"/>
      <c r="V1076" s="249"/>
      <c r="W1076" s="330"/>
      <c r="X1076" s="343"/>
      <c r="Y1076" s="249"/>
      <c r="Z1076" s="330"/>
      <c r="AA1076" s="343"/>
      <c r="AB1076" s="249"/>
      <c r="AC1076" s="330"/>
      <c r="AD1076" s="343"/>
      <c r="AE1076" s="249"/>
      <c r="AF1076" s="330"/>
      <c r="AG1076" s="343"/>
      <c r="AH1076" s="249"/>
      <c r="AI1076" s="330"/>
      <c r="AJ1076" s="343"/>
      <c r="AK1076" s="249"/>
      <c r="AL1076" s="330"/>
      <c r="AM1076" s="343"/>
      <c r="AN1076" s="249"/>
      <c r="AO1076" s="330"/>
      <c r="AP1076" s="343"/>
      <c r="AQ1076" s="249"/>
      <c r="AR1076" s="330"/>
      <c r="AS1076" s="343"/>
      <c r="AT1076" s="249"/>
      <c r="AU1076" s="330"/>
    </row>
    <row r="1077" spans="2:47">
      <c r="B1077" s="247">
        <f>'Table S2 Compound Identifiers'!C1079</f>
        <v>0</v>
      </c>
      <c r="C1077" s="247">
        <f>COUNTIF($D$6:D1077,"&lt;&gt;"&amp;"")</f>
        <v>1072</v>
      </c>
      <c r="D1077" s="247">
        <f>'Table S2 Compound Identifiers'!B1079</f>
        <v>0</v>
      </c>
      <c r="E1077" s="247"/>
      <c r="F1077" s="248"/>
      <c r="G1077" s="249"/>
      <c r="H1077" s="330"/>
      <c r="I1077" s="328"/>
      <c r="J1077" s="249"/>
      <c r="K1077" s="330"/>
      <c r="L1077" s="250"/>
      <c r="M1077" s="249"/>
      <c r="N1077" s="330"/>
      <c r="O1077" s="250"/>
      <c r="P1077" s="249"/>
      <c r="Q1077" s="330"/>
      <c r="R1077" s="250"/>
      <c r="S1077" s="249"/>
      <c r="T1077" s="330"/>
      <c r="U1077" s="250"/>
      <c r="V1077" s="249"/>
      <c r="W1077" s="330"/>
      <c r="X1077" s="343"/>
      <c r="Y1077" s="249"/>
      <c r="Z1077" s="330"/>
      <c r="AA1077" s="343"/>
      <c r="AB1077" s="249"/>
      <c r="AC1077" s="330"/>
      <c r="AD1077" s="343"/>
      <c r="AE1077" s="249"/>
      <c r="AF1077" s="330"/>
      <c r="AG1077" s="343"/>
      <c r="AH1077" s="249"/>
      <c r="AI1077" s="330"/>
      <c r="AJ1077" s="343"/>
      <c r="AK1077" s="249"/>
      <c r="AL1077" s="330"/>
      <c r="AM1077" s="343"/>
      <c r="AN1077" s="249"/>
      <c r="AO1077" s="330"/>
      <c r="AP1077" s="343"/>
      <c r="AQ1077" s="249"/>
      <c r="AR1077" s="330"/>
      <c r="AS1077" s="343"/>
      <c r="AT1077" s="249"/>
      <c r="AU1077" s="330"/>
    </row>
    <row r="1078" spans="2:47">
      <c r="B1078" s="247">
        <f>'Table S2 Compound Identifiers'!C1080</f>
        <v>0</v>
      </c>
      <c r="C1078" s="247">
        <f>COUNTIF($D$6:D1078,"&lt;&gt;"&amp;"")</f>
        <v>1073</v>
      </c>
      <c r="D1078" s="247">
        <f>'Table S2 Compound Identifiers'!B1080</f>
        <v>0</v>
      </c>
      <c r="E1078" s="247"/>
      <c r="F1078" s="248"/>
      <c r="G1078" s="249"/>
      <c r="H1078" s="330"/>
      <c r="I1078" s="328"/>
      <c r="J1078" s="249"/>
      <c r="K1078" s="330"/>
      <c r="L1078" s="250"/>
      <c r="M1078" s="249"/>
      <c r="N1078" s="330"/>
      <c r="O1078" s="250"/>
      <c r="P1078" s="249"/>
      <c r="Q1078" s="330"/>
      <c r="R1078" s="250"/>
      <c r="S1078" s="249"/>
      <c r="T1078" s="330"/>
      <c r="U1078" s="250"/>
      <c r="V1078" s="249"/>
      <c r="W1078" s="330"/>
      <c r="X1078" s="343"/>
      <c r="Y1078" s="249"/>
      <c r="Z1078" s="330"/>
      <c r="AA1078" s="343"/>
      <c r="AB1078" s="249"/>
      <c r="AC1078" s="330"/>
      <c r="AD1078" s="343"/>
      <c r="AE1078" s="249"/>
      <c r="AF1078" s="330"/>
      <c r="AG1078" s="343"/>
      <c r="AH1078" s="249"/>
      <c r="AI1078" s="330"/>
      <c r="AJ1078" s="343"/>
      <c r="AK1078" s="249"/>
      <c r="AL1078" s="330"/>
      <c r="AM1078" s="343"/>
      <c r="AN1078" s="249"/>
      <c r="AO1078" s="330"/>
      <c r="AP1078" s="343"/>
      <c r="AQ1078" s="249"/>
      <c r="AR1078" s="330"/>
      <c r="AS1078" s="343"/>
      <c r="AT1078" s="249"/>
      <c r="AU1078" s="330"/>
    </row>
    <row r="1079" spans="2:47">
      <c r="B1079" s="247">
        <f>'Table S2 Compound Identifiers'!C1081</f>
        <v>0</v>
      </c>
      <c r="C1079" s="247">
        <f>COUNTIF($D$6:D1079,"&lt;&gt;"&amp;"")</f>
        <v>1074</v>
      </c>
      <c r="D1079" s="247">
        <f>'Table S2 Compound Identifiers'!B1081</f>
        <v>0</v>
      </c>
      <c r="E1079" s="247"/>
      <c r="F1079" s="248"/>
      <c r="G1079" s="249"/>
      <c r="H1079" s="330"/>
      <c r="I1079" s="328"/>
      <c r="J1079" s="249"/>
      <c r="K1079" s="330"/>
      <c r="L1079" s="250"/>
      <c r="M1079" s="249"/>
      <c r="N1079" s="330"/>
      <c r="O1079" s="250"/>
      <c r="P1079" s="249"/>
      <c r="Q1079" s="330"/>
      <c r="R1079" s="250"/>
      <c r="S1079" s="249"/>
      <c r="T1079" s="330"/>
      <c r="U1079" s="250"/>
      <c r="V1079" s="249"/>
      <c r="W1079" s="330"/>
      <c r="X1079" s="343"/>
      <c r="Y1079" s="249"/>
      <c r="Z1079" s="330"/>
      <c r="AA1079" s="343"/>
      <c r="AB1079" s="249"/>
      <c r="AC1079" s="330"/>
      <c r="AD1079" s="343"/>
      <c r="AE1079" s="249"/>
      <c r="AF1079" s="330"/>
      <c r="AG1079" s="343"/>
      <c r="AH1079" s="249"/>
      <c r="AI1079" s="330"/>
      <c r="AJ1079" s="343"/>
      <c r="AK1079" s="249"/>
      <c r="AL1079" s="330"/>
      <c r="AM1079" s="343"/>
      <c r="AN1079" s="249"/>
      <c r="AO1079" s="330"/>
      <c r="AP1079" s="343"/>
      <c r="AQ1079" s="249"/>
      <c r="AR1079" s="330"/>
      <c r="AS1079" s="343"/>
      <c r="AT1079" s="249"/>
      <c r="AU1079" s="330"/>
    </row>
    <row r="1080" spans="2:47">
      <c r="B1080" s="247">
        <f>'Table S2 Compound Identifiers'!C1082</f>
        <v>0</v>
      </c>
      <c r="C1080" s="247">
        <f>COUNTIF($D$6:D1080,"&lt;&gt;"&amp;"")</f>
        <v>1075</v>
      </c>
      <c r="D1080" s="247">
        <f>'Table S2 Compound Identifiers'!B1082</f>
        <v>0</v>
      </c>
      <c r="E1080" s="247"/>
      <c r="F1080" s="248"/>
      <c r="G1080" s="249"/>
      <c r="H1080" s="330"/>
      <c r="I1080" s="328"/>
      <c r="J1080" s="249"/>
      <c r="K1080" s="330"/>
      <c r="L1080" s="250"/>
      <c r="M1080" s="249"/>
      <c r="N1080" s="330"/>
      <c r="O1080" s="250"/>
      <c r="P1080" s="249"/>
      <c r="Q1080" s="330"/>
      <c r="R1080" s="250"/>
      <c r="S1080" s="249"/>
      <c r="T1080" s="330"/>
      <c r="U1080" s="250"/>
      <c r="V1080" s="249"/>
      <c r="W1080" s="330"/>
      <c r="X1080" s="343"/>
      <c r="Y1080" s="249"/>
      <c r="Z1080" s="330"/>
      <c r="AA1080" s="343"/>
      <c r="AB1080" s="249"/>
      <c r="AC1080" s="330"/>
      <c r="AD1080" s="343"/>
      <c r="AE1080" s="249"/>
      <c r="AF1080" s="330"/>
      <c r="AG1080" s="343"/>
      <c r="AH1080" s="249"/>
      <c r="AI1080" s="330"/>
      <c r="AJ1080" s="343"/>
      <c r="AK1080" s="249"/>
      <c r="AL1080" s="330"/>
      <c r="AM1080" s="343"/>
      <c r="AN1080" s="249"/>
      <c r="AO1080" s="330"/>
      <c r="AP1080" s="343"/>
      <c r="AQ1080" s="249"/>
      <c r="AR1080" s="330"/>
      <c r="AS1080" s="343"/>
      <c r="AT1080" s="249"/>
      <c r="AU1080" s="330"/>
    </row>
    <row r="1081" spans="2:47">
      <c r="B1081" s="247">
        <f>'Table S2 Compound Identifiers'!C1083</f>
        <v>0</v>
      </c>
      <c r="C1081" s="247">
        <f>COUNTIF($D$6:D1081,"&lt;&gt;"&amp;"")</f>
        <v>1076</v>
      </c>
      <c r="D1081" s="247">
        <f>'Table S2 Compound Identifiers'!B1083</f>
        <v>0</v>
      </c>
      <c r="E1081" s="247"/>
      <c r="F1081" s="248"/>
      <c r="G1081" s="249"/>
      <c r="H1081" s="330"/>
      <c r="I1081" s="328"/>
      <c r="J1081" s="249"/>
      <c r="K1081" s="330"/>
      <c r="L1081" s="250"/>
      <c r="M1081" s="249"/>
      <c r="N1081" s="330"/>
      <c r="O1081" s="250"/>
      <c r="P1081" s="249"/>
      <c r="Q1081" s="330"/>
      <c r="R1081" s="250"/>
      <c r="S1081" s="249"/>
      <c r="T1081" s="330"/>
      <c r="U1081" s="250"/>
      <c r="V1081" s="249"/>
      <c r="W1081" s="330"/>
      <c r="X1081" s="343"/>
      <c r="Y1081" s="249"/>
      <c r="Z1081" s="330"/>
      <c r="AA1081" s="343"/>
      <c r="AB1081" s="249"/>
      <c r="AC1081" s="330"/>
      <c r="AD1081" s="343"/>
      <c r="AE1081" s="249"/>
      <c r="AF1081" s="330"/>
      <c r="AG1081" s="343"/>
      <c r="AH1081" s="249"/>
      <c r="AI1081" s="330"/>
      <c r="AJ1081" s="343"/>
      <c r="AK1081" s="249"/>
      <c r="AL1081" s="330"/>
      <c r="AM1081" s="343"/>
      <c r="AN1081" s="249"/>
      <c r="AO1081" s="330"/>
      <c r="AP1081" s="343"/>
      <c r="AQ1081" s="249"/>
      <c r="AR1081" s="330"/>
      <c r="AS1081" s="343"/>
      <c r="AT1081" s="249"/>
      <c r="AU1081" s="330"/>
    </row>
    <row r="1082" spans="2:47">
      <c r="B1082" s="247">
        <f>'Table S2 Compound Identifiers'!C1084</f>
        <v>0</v>
      </c>
      <c r="C1082" s="247">
        <f>COUNTIF($D$6:D1082,"&lt;&gt;"&amp;"")</f>
        <v>1077</v>
      </c>
      <c r="D1082" s="247">
        <f>'Table S2 Compound Identifiers'!B1084</f>
        <v>0</v>
      </c>
      <c r="E1082" s="247"/>
      <c r="F1082" s="248"/>
      <c r="G1082" s="249"/>
      <c r="H1082" s="330"/>
      <c r="I1082" s="328"/>
      <c r="J1082" s="249"/>
      <c r="K1082" s="330"/>
      <c r="L1082" s="250"/>
      <c r="M1082" s="249"/>
      <c r="N1082" s="330"/>
      <c r="O1082" s="250"/>
      <c r="P1082" s="249"/>
      <c r="Q1082" s="330"/>
      <c r="R1082" s="250"/>
      <c r="S1082" s="249"/>
      <c r="T1082" s="330"/>
      <c r="U1082" s="250"/>
      <c r="V1082" s="249"/>
      <c r="W1082" s="330"/>
      <c r="X1082" s="343"/>
      <c r="Y1082" s="249"/>
      <c r="Z1082" s="330"/>
      <c r="AA1082" s="343"/>
      <c r="AB1082" s="249"/>
      <c r="AC1082" s="330"/>
      <c r="AD1082" s="343"/>
      <c r="AE1082" s="249"/>
      <c r="AF1082" s="330"/>
      <c r="AG1082" s="343"/>
      <c r="AH1082" s="249"/>
      <c r="AI1082" s="330"/>
      <c r="AJ1082" s="343"/>
      <c r="AK1082" s="249"/>
      <c r="AL1082" s="330"/>
      <c r="AM1082" s="343"/>
      <c r="AN1082" s="249"/>
      <c r="AO1082" s="330"/>
      <c r="AP1082" s="343"/>
      <c r="AQ1082" s="249"/>
      <c r="AR1082" s="330"/>
      <c r="AS1082" s="343"/>
      <c r="AT1082" s="249"/>
      <c r="AU1082" s="330"/>
    </row>
    <row r="1083" spans="2:47">
      <c r="B1083" s="247">
        <f>'Table S2 Compound Identifiers'!C1085</f>
        <v>0</v>
      </c>
      <c r="C1083" s="247">
        <f>COUNTIF($D$6:D1083,"&lt;&gt;"&amp;"")</f>
        <v>1078</v>
      </c>
      <c r="D1083" s="247">
        <f>'Table S2 Compound Identifiers'!B1085</f>
        <v>0</v>
      </c>
      <c r="E1083" s="247"/>
      <c r="F1083" s="248"/>
      <c r="G1083" s="249"/>
      <c r="H1083" s="330"/>
      <c r="I1083" s="328"/>
      <c r="J1083" s="249"/>
      <c r="K1083" s="330"/>
      <c r="L1083" s="250"/>
      <c r="M1083" s="249"/>
      <c r="N1083" s="330"/>
      <c r="O1083" s="250"/>
      <c r="P1083" s="249"/>
      <c r="Q1083" s="330"/>
      <c r="R1083" s="250"/>
      <c r="S1083" s="249"/>
      <c r="T1083" s="330"/>
      <c r="U1083" s="250"/>
      <c r="V1083" s="249"/>
      <c r="W1083" s="330"/>
      <c r="X1083" s="343"/>
      <c r="Y1083" s="249"/>
      <c r="Z1083" s="330"/>
      <c r="AA1083" s="343"/>
      <c r="AB1083" s="249"/>
      <c r="AC1083" s="330"/>
      <c r="AD1083" s="343"/>
      <c r="AE1083" s="249"/>
      <c r="AF1083" s="330"/>
      <c r="AG1083" s="343"/>
      <c r="AH1083" s="249"/>
      <c r="AI1083" s="330"/>
      <c r="AJ1083" s="343"/>
      <c r="AK1083" s="249"/>
      <c r="AL1083" s="330"/>
      <c r="AM1083" s="343"/>
      <c r="AN1083" s="249"/>
      <c r="AO1083" s="330"/>
      <c r="AP1083" s="343"/>
      <c r="AQ1083" s="249"/>
      <c r="AR1083" s="330"/>
      <c r="AS1083" s="343"/>
      <c r="AT1083" s="249"/>
      <c r="AU1083" s="330"/>
    </row>
    <row r="1084" spans="2:47">
      <c r="B1084" s="247">
        <f>'Table S2 Compound Identifiers'!C1086</f>
        <v>0</v>
      </c>
      <c r="C1084" s="247">
        <f>COUNTIF($D$6:D1084,"&lt;&gt;"&amp;"")</f>
        <v>1079</v>
      </c>
      <c r="D1084" s="247">
        <f>'Table S2 Compound Identifiers'!B1086</f>
        <v>0</v>
      </c>
      <c r="E1084" s="247"/>
      <c r="F1084" s="248"/>
      <c r="G1084" s="249"/>
      <c r="H1084" s="330"/>
      <c r="I1084" s="328"/>
      <c r="J1084" s="249"/>
      <c r="K1084" s="330"/>
      <c r="L1084" s="250"/>
      <c r="M1084" s="249"/>
      <c r="N1084" s="330"/>
      <c r="O1084" s="250"/>
      <c r="P1084" s="249"/>
      <c r="Q1084" s="330"/>
      <c r="R1084" s="250"/>
      <c r="S1084" s="249"/>
      <c r="T1084" s="330"/>
      <c r="U1084" s="250"/>
      <c r="V1084" s="249"/>
      <c r="W1084" s="330"/>
      <c r="X1084" s="343"/>
      <c r="Y1084" s="249"/>
      <c r="Z1084" s="330"/>
      <c r="AA1084" s="343"/>
      <c r="AB1084" s="249"/>
      <c r="AC1084" s="330"/>
      <c r="AD1084" s="343"/>
      <c r="AE1084" s="249"/>
      <c r="AF1084" s="330"/>
      <c r="AG1084" s="343"/>
      <c r="AH1084" s="249"/>
      <c r="AI1084" s="330"/>
      <c r="AJ1084" s="343"/>
      <c r="AK1084" s="249"/>
      <c r="AL1084" s="330"/>
      <c r="AM1084" s="343"/>
      <c r="AN1084" s="249"/>
      <c r="AO1084" s="330"/>
      <c r="AP1084" s="343"/>
      <c r="AQ1084" s="249"/>
      <c r="AR1084" s="330"/>
      <c r="AS1084" s="343"/>
      <c r="AT1084" s="249"/>
      <c r="AU1084" s="330"/>
    </row>
    <row r="1085" spans="2:47">
      <c r="B1085" s="247">
        <f>'Table S2 Compound Identifiers'!C1087</f>
        <v>0</v>
      </c>
      <c r="C1085" s="247">
        <f>COUNTIF($D$6:D1085,"&lt;&gt;"&amp;"")</f>
        <v>1080</v>
      </c>
      <c r="D1085" s="247">
        <f>'Table S2 Compound Identifiers'!B1087</f>
        <v>0</v>
      </c>
      <c r="E1085" s="247"/>
      <c r="F1085" s="248"/>
      <c r="G1085" s="249"/>
      <c r="H1085" s="330"/>
      <c r="I1085" s="328"/>
      <c r="J1085" s="249"/>
      <c r="K1085" s="330"/>
      <c r="L1085" s="250"/>
      <c r="M1085" s="249"/>
      <c r="N1085" s="330"/>
      <c r="O1085" s="250"/>
      <c r="P1085" s="249"/>
      <c r="Q1085" s="330"/>
      <c r="R1085" s="250"/>
      <c r="S1085" s="249"/>
      <c r="T1085" s="330"/>
      <c r="U1085" s="250"/>
      <c r="V1085" s="249"/>
      <c r="W1085" s="330"/>
      <c r="X1085" s="343"/>
      <c r="Y1085" s="249"/>
      <c r="Z1085" s="330"/>
      <c r="AA1085" s="343"/>
      <c r="AB1085" s="249"/>
      <c r="AC1085" s="330"/>
      <c r="AD1085" s="343"/>
      <c r="AE1085" s="249"/>
      <c r="AF1085" s="330"/>
      <c r="AG1085" s="343"/>
      <c r="AH1085" s="249"/>
      <c r="AI1085" s="330"/>
      <c r="AJ1085" s="343"/>
      <c r="AK1085" s="249"/>
      <c r="AL1085" s="330"/>
      <c r="AM1085" s="343"/>
      <c r="AN1085" s="249"/>
      <c r="AO1085" s="330"/>
      <c r="AP1085" s="343"/>
      <c r="AQ1085" s="249"/>
      <c r="AR1085" s="330"/>
      <c r="AS1085" s="343"/>
      <c r="AT1085" s="249"/>
      <c r="AU1085" s="330"/>
    </row>
    <row r="1086" spans="2:47">
      <c r="B1086" s="247">
        <f>'Table S2 Compound Identifiers'!C1088</f>
        <v>0</v>
      </c>
      <c r="C1086" s="247">
        <f>COUNTIF($D$6:D1086,"&lt;&gt;"&amp;"")</f>
        <v>1081</v>
      </c>
      <c r="D1086" s="247">
        <f>'Table S2 Compound Identifiers'!B1088</f>
        <v>0</v>
      </c>
      <c r="E1086" s="247"/>
      <c r="F1086" s="248"/>
      <c r="G1086" s="249"/>
      <c r="H1086" s="330"/>
      <c r="I1086" s="328"/>
      <c r="J1086" s="249"/>
      <c r="K1086" s="330"/>
      <c r="L1086" s="250"/>
      <c r="M1086" s="249"/>
      <c r="N1086" s="330"/>
      <c r="O1086" s="250"/>
      <c r="P1086" s="249"/>
      <c r="Q1086" s="330"/>
      <c r="R1086" s="250"/>
      <c r="S1086" s="249"/>
      <c r="T1086" s="330"/>
      <c r="U1086" s="250"/>
      <c r="V1086" s="249"/>
      <c r="W1086" s="330"/>
      <c r="X1086" s="343"/>
      <c r="Y1086" s="249"/>
      <c r="Z1086" s="330"/>
      <c r="AA1086" s="343"/>
      <c r="AB1086" s="249"/>
      <c r="AC1086" s="330"/>
      <c r="AD1086" s="343"/>
      <c r="AE1086" s="249"/>
      <c r="AF1086" s="330"/>
      <c r="AG1086" s="343"/>
      <c r="AH1086" s="249"/>
      <c r="AI1086" s="330"/>
      <c r="AJ1086" s="343"/>
      <c r="AK1086" s="249"/>
      <c r="AL1086" s="330"/>
      <c r="AM1086" s="343"/>
      <c r="AN1086" s="249"/>
      <c r="AO1086" s="330"/>
      <c r="AP1086" s="343"/>
      <c r="AQ1086" s="249"/>
      <c r="AR1086" s="330"/>
      <c r="AS1086" s="343"/>
      <c r="AT1086" s="249"/>
      <c r="AU1086" s="330"/>
    </row>
    <row r="1087" spans="2:47">
      <c r="B1087" s="247">
        <f>'Table S2 Compound Identifiers'!C1089</f>
        <v>0</v>
      </c>
      <c r="C1087" s="247">
        <f>COUNTIF($D$6:D1087,"&lt;&gt;"&amp;"")</f>
        <v>1082</v>
      </c>
      <c r="D1087" s="247">
        <f>'Table S2 Compound Identifiers'!B1089</f>
        <v>0</v>
      </c>
      <c r="E1087" s="247"/>
      <c r="F1087" s="248"/>
      <c r="G1087" s="249"/>
      <c r="H1087" s="330"/>
      <c r="I1087" s="328"/>
      <c r="J1087" s="249"/>
      <c r="K1087" s="330"/>
      <c r="L1087" s="250"/>
      <c r="M1087" s="249"/>
      <c r="N1087" s="330"/>
      <c r="O1087" s="250"/>
      <c r="P1087" s="249"/>
      <c r="Q1087" s="330"/>
      <c r="R1087" s="250"/>
      <c r="S1087" s="249"/>
      <c r="T1087" s="330"/>
      <c r="U1087" s="250"/>
      <c r="V1087" s="249"/>
      <c r="W1087" s="330"/>
      <c r="X1087" s="343"/>
      <c r="Y1087" s="249"/>
      <c r="Z1087" s="330"/>
      <c r="AA1087" s="343"/>
      <c r="AB1087" s="249"/>
      <c r="AC1087" s="330"/>
      <c r="AD1087" s="343"/>
      <c r="AE1087" s="249"/>
      <c r="AF1087" s="330"/>
      <c r="AG1087" s="343"/>
      <c r="AH1087" s="249"/>
      <c r="AI1087" s="330"/>
      <c r="AJ1087" s="343"/>
      <c r="AK1087" s="249"/>
      <c r="AL1087" s="330"/>
      <c r="AM1087" s="343"/>
      <c r="AN1087" s="249"/>
      <c r="AO1087" s="330"/>
      <c r="AP1087" s="343"/>
      <c r="AQ1087" s="249"/>
      <c r="AR1087" s="330"/>
      <c r="AS1087" s="343"/>
      <c r="AT1087" s="249"/>
      <c r="AU1087" s="330"/>
    </row>
    <row r="1088" spans="2:47">
      <c r="B1088" s="247">
        <f>'Table S2 Compound Identifiers'!C1090</f>
        <v>0</v>
      </c>
      <c r="C1088" s="247">
        <f>COUNTIF($D$6:D1088,"&lt;&gt;"&amp;"")</f>
        <v>1083</v>
      </c>
      <c r="D1088" s="247">
        <f>'Table S2 Compound Identifiers'!B1090</f>
        <v>0</v>
      </c>
      <c r="E1088" s="247"/>
      <c r="F1088" s="248"/>
      <c r="G1088" s="249"/>
      <c r="H1088" s="330"/>
      <c r="I1088" s="328"/>
      <c r="J1088" s="249"/>
      <c r="K1088" s="330"/>
      <c r="L1088" s="250"/>
      <c r="M1088" s="249"/>
      <c r="N1088" s="330"/>
      <c r="O1088" s="250"/>
      <c r="P1088" s="249"/>
      <c r="Q1088" s="330"/>
      <c r="R1088" s="250"/>
      <c r="S1088" s="249"/>
      <c r="T1088" s="330"/>
      <c r="U1088" s="250"/>
      <c r="V1088" s="249"/>
      <c r="W1088" s="330"/>
      <c r="X1088" s="343"/>
      <c r="Y1088" s="249"/>
      <c r="Z1088" s="330"/>
      <c r="AA1088" s="343"/>
      <c r="AB1088" s="249"/>
      <c r="AC1088" s="330"/>
      <c r="AD1088" s="343"/>
      <c r="AE1088" s="249"/>
      <c r="AF1088" s="330"/>
      <c r="AG1088" s="343"/>
      <c r="AH1088" s="249"/>
      <c r="AI1088" s="330"/>
      <c r="AJ1088" s="343"/>
      <c r="AK1088" s="249"/>
      <c r="AL1088" s="330"/>
      <c r="AM1088" s="343"/>
      <c r="AN1088" s="249"/>
      <c r="AO1088" s="330"/>
      <c r="AP1088" s="343"/>
      <c r="AQ1088" s="249"/>
      <c r="AR1088" s="330"/>
      <c r="AS1088" s="343"/>
      <c r="AT1088" s="249"/>
      <c r="AU1088" s="330"/>
    </row>
    <row r="1089" spans="2:47">
      <c r="B1089" s="247">
        <f>'Table S2 Compound Identifiers'!C1091</f>
        <v>0</v>
      </c>
      <c r="C1089" s="247">
        <f>COUNTIF($D$6:D1089,"&lt;&gt;"&amp;"")</f>
        <v>1084</v>
      </c>
      <c r="D1089" s="247">
        <f>'Table S2 Compound Identifiers'!B1091</f>
        <v>0</v>
      </c>
      <c r="E1089" s="247"/>
      <c r="F1089" s="248"/>
      <c r="G1089" s="249"/>
      <c r="H1089" s="330"/>
      <c r="I1089" s="328"/>
      <c r="J1089" s="249"/>
      <c r="K1089" s="330"/>
      <c r="L1089" s="250"/>
      <c r="M1089" s="249"/>
      <c r="N1089" s="330"/>
      <c r="O1089" s="250"/>
      <c r="P1089" s="249"/>
      <c r="Q1089" s="330"/>
      <c r="R1089" s="250"/>
      <c r="S1089" s="249"/>
      <c r="T1089" s="330"/>
      <c r="U1089" s="250"/>
      <c r="V1089" s="249"/>
      <c r="W1089" s="330"/>
      <c r="X1089" s="343"/>
      <c r="Y1089" s="249"/>
      <c r="Z1089" s="330"/>
      <c r="AA1089" s="343"/>
      <c r="AB1089" s="249"/>
      <c r="AC1089" s="330"/>
      <c r="AD1089" s="343"/>
      <c r="AE1089" s="249"/>
      <c r="AF1089" s="330"/>
      <c r="AG1089" s="343"/>
      <c r="AH1089" s="249"/>
      <c r="AI1089" s="330"/>
      <c r="AJ1089" s="343"/>
      <c r="AK1089" s="249"/>
      <c r="AL1089" s="330"/>
      <c r="AM1089" s="343"/>
      <c r="AN1089" s="249"/>
      <c r="AO1089" s="330"/>
      <c r="AP1089" s="343"/>
      <c r="AQ1089" s="249"/>
      <c r="AR1089" s="330"/>
      <c r="AS1089" s="343"/>
      <c r="AT1089" s="249"/>
      <c r="AU1089" s="330"/>
    </row>
    <row r="1090" spans="2:47">
      <c r="B1090" s="247">
        <f>'Table S2 Compound Identifiers'!C1092</f>
        <v>0</v>
      </c>
      <c r="C1090" s="247">
        <f>COUNTIF($D$6:D1090,"&lt;&gt;"&amp;"")</f>
        <v>1085</v>
      </c>
      <c r="D1090" s="247">
        <f>'Table S2 Compound Identifiers'!B1092</f>
        <v>0</v>
      </c>
      <c r="E1090" s="247"/>
      <c r="F1090" s="248"/>
      <c r="G1090" s="249"/>
      <c r="H1090" s="330"/>
      <c r="I1090" s="328"/>
      <c r="J1090" s="249"/>
      <c r="K1090" s="330"/>
      <c r="L1090" s="250"/>
      <c r="M1090" s="249"/>
      <c r="N1090" s="330"/>
      <c r="O1090" s="250"/>
      <c r="P1090" s="249"/>
      <c r="Q1090" s="330"/>
      <c r="R1090" s="250"/>
      <c r="S1090" s="249"/>
      <c r="T1090" s="330"/>
      <c r="U1090" s="250"/>
      <c r="V1090" s="249"/>
      <c r="W1090" s="330"/>
      <c r="X1090" s="343"/>
      <c r="Y1090" s="249"/>
      <c r="Z1090" s="330"/>
      <c r="AA1090" s="343"/>
      <c r="AB1090" s="249"/>
      <c r="AC1090" s="330"/>
      <c r="AD1090" s="343"/>
      <c r="AE1090" s="249"/>
      <c r="AF1090" s="330"/>
      <c r="AG1090" s="343"/>
      <c r="AH1090" s="249"/>
      <c r="AI1090" s="330"/>
      <c r="AJ1090" s="343"/>
      <c r="AK1090" s="249"/>
      <c r="AL1090" s="330"/>
      <c r="AM1090" s="343"/>
      <c r="AN1090" s="249"/>
      <c r="AO1090" s="330"/>
      <c r="AP1090" s="343"/>
      <c r="AQ1090" s="249"/>
      <c r="AR1090" s="330"/>
      <c r="AS1090" s="343"/>
      <c r="AT1090" s="249"/>
      <c r="AU1090" s="330"/>
    </row>
    <row r="1091" spans="2:47">
      <c r="B1091" s="247">
        <f>'Table S2 Compound Identifiers'!C1093</f>
        <v>0</v>
      </c>
      <c r="C1091" s="247">
        <f>COUNTIF($D$6:D1091,"&lt;&gt;"&amp;"")</f>
        <v>1086</v>
      </c>
      <c r="D1091" s="247">
        <f>'Table S2 Compound Identifiers'!B1093</f>
        <v>0</v>
      </c>
      <c r="E1091" s="247"/>
      <c r="F1091" s="248"/>
      <c r="G1091" s="249"/>
      <c r="H1091" s="330"/>
      <c r="I1091" s="328"/>
      <c r="J1091" s="249"/>
      <c r="K1091" s="330"/>
      <c r="L1091" s="250"/>
      <c r="M1091" s="249"/>
      <c r="N1091" s="330"/>
      <c r="O1091" s="250"/>
      <c r="P1091" s="249"/>
      <c r="Q1091" s="330"/>
      <c r="R1091" s="250"/>
      <c r="S1091" s="249"/>
      <c r="T1091" s="330"/>
      <c r="U1091" s="250"/>
      <c r="V1091" s="249"/>
      <c r="W1091" s="330"/>
      <c r="X1091" s="343"/>
      <c r="Y1091" s="249"/>
      <c r="Z1091" s="330"/>
      <c r="AA1091" s="343"/>
      <c r="AB1091" s="249"/>
      <c r="AC1091" s="330"/>
      <c r="AD1091" s="343"/>
      <c r="AE1091" s="249"/>
      <c r="AF1091" s="330"/>
      <c r="AG1091" s="343"/>
      <c r="AH1091" s="249"/>
      <c r="AI1091" s="330"/>
      <c r="AJ1091" s="343"/>
      <c r="AK1091" s="249"/>
      <c r="AL1091" s="330"/>
      <c r="AM1091" s="343"/>
      <c r="AN1091" s="249"/>
      <c r="AO1091" s="330"/>
      <c r="AP1091" s="343"/>
      <c r="AQ1091" s="249"/>
      <c r="AR1091" s="330"/>
      <c r="AS1091" s="343"/>
      <c r="AT1091" s="249"/>
      <c r="AU1091" s="330"/>
    </row>
    <row r="1092" spans="2:47">
      <c r="B1092" s="247">
        <f>'Table S2 Compound Identifiers'!C1094</f>
        <v>0</v>
      </c>
      <c r="C1092" s="247">
        <f>COUNTIF($D$6:D1092,"&lt;&gt;"&amp;"")</f>
        <v>1087</v>
      </c>
      <c r="D1092" s="247">
        <f>'Table S2 Compound Identifiers'!B1094</f>
        <v>0</v>
      </c>
      <c r="E1092" s="247"/>
      <c r="F1092" s="248"/>
      <c r="G1092" s="249"/>
      <c r="H1092" s="330"/>
      <c r="I1092" s="328"/>
      <c r="J1092" s="249"/>
      <c r="K1092" s="330"/>
      <c r="L1092" s="250"/>
      <c r="M1092" s="249"/>
      <c r="N1092" s="330"/>
      <c r="O1092" s="250"/>
      <c r="P1092" s="249"/>
      <c r="Q1092" s="330"/>
      <c r="R1092" s="250"/>
      <c r="S1092" s="249"/>
      <c r="T1092" s="330"/>
      <c r="U1092" s="250"/>
      <c r="V1092" s="249"/>
      <c r="W1092" s="330"/>
      <c r="X1092" s="343"/>
      <c r="Y1092" s="249"/>
      <c r="Z1092" s="330"/>
      <c r="AA1092" s="343"/>
      <c r="AB1092" s="249"/>
      <c r="AC1092" s="330"/>
      <c r="AD1092" s="343"/>
      <c r="AE1092" s="249"/>
      <c r="AF1092" s="330"/>
      <c r="AG1092" s="343"/>
      <c r="AH1092" s="249"/>
      <c r="AI1092" s="330"/>
      <c r="AJ1092" s="343"/>
      <c r="AK1092" s="249"/>
      <c r="AL1092" s="330"/>
      <c r="AM1092" s="343"/>
      <c r="AN1092" s="249"/>
      <c r="AO1092" s="330"/>
      <c r="AP1092" s="343"/>
      <c r="AQ1092" s="249"/>
      <c r="AR1092" s="330"/>
      <c r="AS1092" s="343"/>
      <c r="AT1092" s="249"/>
      <c r="AU1092" s="330"/>
    </row>
    <row r="1093" spans="2:47">
      <c r="B1093" s="247">
        <f>'Table S2 Compound Identifiers'!C1095</f>
        <v>0</v>
      </c>
      <c r="C1093" s="247">
        <f>COUNTIF($D$6:D1093,"&lt;&gt;"&amp;"")</f>
        <v>1088</v>
      </c>
      <c r="D1093" s="247">
        <f>'Table S2 Compound Identifiers'!B1095</f>
        <v>0</v>
      </c>
      <c r="E1093" s="247"/>
      <c r="F1093" s="248"/>
      <c r="G1093" s="249"/>
      <c r="H1093" s="330"/>
      <c r="I1093" s="328"/>
      <c r="J1093" s="249"/>
      <c r="K1093" s="330"/>
      <c r="L1093" s="250"/>
      <c r="M1093" s="249"/>
      <c r="N1093" s="330"/>
      <c r="O1093" s="250"/>
      <c r="P1093" s="249"/>
      <c r="Q1093" s="330"/>
      <c r="R1093" s="250"/>
      <c r="S1093" s="249"/>
      <c r="T1093" s="330"/>
      <c r="U1093" s="250"/>
      <c r="V1093" s="249"/>
      <c r="W1093" s="330"/>
      <c r="X1093" s="343"/>
      <c r="Y1093" s="249"/>
      <c r="Z1093" s="330"/>
      <c r="AA1093" s="343"/>
      <c r="AB1093" s="249"/>
      <c r="AC1093" s="330"/>
      <c r="AD1093" s="343"/>
      <c r="AE1093" s="249"/>
      <c r="AF1093" s="330"/>
      <c r="AG1093" s="343"/>
      <c r="AH1093" s="249"/>
      <c r="AI1093" s="330"/>
      <c r="AJ1093" s="343"/>
      <c r="AK1093" s="249"/>
      <c r="AL1093" s="330"/>
      <c r="AM1093" s="343"/>
      <c r="AN1093" s="249"/>
      <c r="AO1093" s="330"/>
      <c r="AP1093" s="343"/>
      <c r="AQ1093" s="249"/>
      <c r="AR1093" s="330"/>
      <c r="AS1093" s="343"/>
      <c r="AT1093" s="249"/>
      <c r="AU1093" s="330"/>
    </row>
    <row r="1094" spans="2:47">
      <c r="B1094" s="247">
        <f>'Table S2 Compound Identifiers'!C1096</f>
        <v>0</v>
      </c>
      <c r="C1094" s="247">
        <f>COUNTIF($D$6:D1094,"&lt;&gt;"&amp;"")</f>
        <v>1089</v>
      </c>
      <c r="D1094" s="247">
        <f>'Table S2 Compound Identifiers'!B1096</f>
        <v>0</v>
      </c>
      <c r="E1094" s="247"/>
      <c r="F1094" s="248"/>
      <c r="G1094" s="249"/>
      <c r="H1094" s="330"/>
      <c r="I1094" s="328"/>
      <c r="J1094" s="249"/>
      <c r="K1094" s="330"/>
      <c r="L1094" s="250"/>
      <c r="M1094" s="249"/>
      <c r="N1094" s="330"/>
      <c r="O1094" s="250"/>
      <c r="P1094" s="249"/>
      <c r="Q1094" s="330"/>
      <c r="R1094" s="250"/>
      <c r="S1094" s="249"/>
      <c r="T1094" s="330"/>
      <c r="U1094" s="250"/>
      <c r="V1094" s="249"/>
      <c r="W1094" s="330"/>
      <c r="X1094" s="343"/>
      <c r="Y1094" s="249"/>
      <c r="Z1094" s="330"/>
      <c r="AA1094" s="343"/>
      <c r="AB1094" s="249"/>
      <c r="AC1094" s="330"/>
      <c r="AD1094" s="343"/>
      <c r="AE1094" s="249"/>
      <c r="AF1094" s="330"/>
      <c r="AG1094" s="343"/>
      <c r="AH1094" s="249"/>
      <c r="AI1094" s="330"/>
      <c r="AJ1094" s="343"/>
      <c r="AK1094" s="249"/>
      <c r="AL1094" s="330"/>
      <c r="AM1094" s="343"/>
      <c r="AN1094" s="249"/>
      <c r="AO1094" s="330"/>
      <c r="AP1094" s="343"/>
      <c r="AQ1094" s="249"/>
      <c r="AR1094" s="330"/>
      <c r="AS1094" s="343"/>
      <c r="AT1094" s="249"/>
      <c r="AU1094" s="330"/>
    </row>
    <row r="1095" spans="2:47">
      <c r="B1095" s="247">
        <f>'Table S2 Compound Identifiers'!C1097</f>
        <v>0</v>
      </c>
      <c r="C1095" s="247">
        <f>COUNTIF($D$6:D1095,"&lt;&gt;"&amp;"")</f>
        <v>1090</v>
      </c>
      <c r="D1095" s="247">
        <f>'Table S2 Compound Identifiers'!B1097</f>
        <v>0</v>
      </c>
      <c r="E1095" s="247"/>
      <c r="F1095" s="248"/>
      <c r="G1095" s="249"/>
      <c r="H1095" s="330"/>
      <c r="I1095" s="328"/>
      <c r="J1095" s="249"/>
      <c r="K1095" s="330"/>
      <c r="L1095" s="250"/>
      <c r="M1095" s="249"/>
      <c r="N1095" s="330"/>
      <c r="O1095" s="250"/>
      <c r="P1095" s="249"/>
      <c r="Q1095" s="330"/>
      <c r="R1095" s="250"/>
      <c r="S1095" s="249"/>
      <c r="T1095" s="330"/>
      <c r="U1095" s="250"/>
      <c r="V1095" s="249"/>
      <c r="W1095" s="330"/>
      <c r="X1095" s="343"/>
      <c r="Y1095" s="249"/>
      <c r="Z1095" s="330"/>
      <c r="AA1095" s="343"/>
      <c r="AB1095" s="249"/>
      <c r="AC1095" s="330"/>
      <c r="AD1095" s="343"/>
      <c r="AE1095" s="249"/>
      <c r="AF1095" s="330"/>
      <c r="AG1095" s="343"/>
      <c r="AH1095" s="249"/>
      <c r="AI1095" s="330"/>
      <c r="AJ1095" s="343"/>
      <c r="AK1095" s="249"/>
      <c r="AL1095" s="330"/>
      <c r="AM1095" s="343"/>
      <c r="AN1095" s="249"/>
      <c r="AO1095" s="330"/>
      <c r="AP1095" s="343"/>
      <c r="AQ1095" s="249"/>
      <c r="AR1095" s="330"/>
      <c r="AS1095" s="343"/>
      <c r="AT1095" s="249"/>
      <c r="AU1095" s="330"/>
    </row>
    <row r="1096" spans="2:47">
      <c r="B1096" s="247">
        <f>'Table S2 Compound Identifiers'!C1098</f>
        <v>0</v>
      </c>
      <c r="C1096" s="247">
        <f>COUNTIF($D$6:D1096,"&lt;&gt;"&amp;"")</f>
        <v>1091</v>
      </c>
      <c r="D1096" s="247">
        <f>'Table S2 Compound Identifiers'!B1098</f>
        <v>0</v>
      </c>
      <c r="E1096" s="247"/>
      <c r="F1096" s="248"/>
      <c r="G1096" s="249"/>
      <c r="H1096" s="330"/>
      <c r="I1096" s="328"/>
      <c r="J1096" s="249"/>
      <c r="K1096" s="330"/>
      <c r="L1096" s="250"/>
      <c r="M1096" s="249"/>
      <c r="N1096" s="330"/>
      <c r="O1096" s="250"/>
      <c r="P1096" s="249"/>
      <c r="Q1096" s="330"/>
      <c r="R1096" s="250"/>
      <c r="S1096" s="249"/>
      <c r="T1096" s="330"/>
      <c r="U1096" s="250"/>
      <c r="V1096" s="249"/>
      <c r="W1096" s="330"/>
      <c r="X1096" s="343"/>
      <c r="Y1096" s="249"/>
      <c r="Z1096" s="330"/>
      <c r="AA1096" s="343"/>
      <c r="AB1096" s="249"/>
      <c r="AC1096" s="330"/>
      <c r="AD1096" s="343"/>
      <c r="AE1096" s="249"/>
      <c r="AF1096" s="330"/>
      <c r="AG1096" s="343"/>
      <c r="AH1096" s="249"/>
      <c r="AI1096" s="330"/>
      <c r="AJ1096" s="343"/>
      <c r="AK1096" s="249"/>
      <c r="AL1096" s="330"/>
      <c r="AM1096" s="343"/>
      <c r="AN1096" s="249"/>
      <c r="AO1096" s="330"/>
      <c r="AP1096" s="343"/>
      <c r="AQ1096" s="249"/>
      <c r="AR1096" s="330"/>
      <c r="AS1096" s="343"/>
      <c r="AT1096" s="249"/>
      <c r="AU1096" s="330"/>
    </row>
    <row r="1097" spans="2:47">
      <c r="B1097" s="247">
        <f>'Table S2 Compound Identifiers'!C1099</f>
        <v>0</v>
      </c>
      <c r="C1097" s="247">
        <f>COUNTIF($D$6:D1097,"&lt;&gt;"&amp;"")</f>
        <v>1092</v>
      </c>
      <c r="D1097" s="247">
        <f>'Table S2 Compound Identifiers'!B1099</f>
        <v>0</v>
      </c>
      <c r="E1097" s="247"/>
      <c r="F1097" s="248"/>
      <c r="G1097" s="249"/>
      <c r="H1097" s="330"/>
      <c r="I1097" s="328"/>
      <c r="J1097" s="249"/>
      <c r="K1097" s="330"/>
      <c r="L1097" s="250"/>
      <c r="M1097" s="249"/>
      <c r="N1097" s="330"/>
      <c r="O1097" s="250"/>
      <c r="P1097" s="249"/>
      <c r="Q1097" s="330"/>
      <c r="R1097" s="250"/>
      <c r="S1097" s="249"/>
      <c r="T1097" s="330"/>
      <c r="U1097" s="250"/>
      <c r="V1097" s="249"/>
      <c r="W1097" s="330"/>
      <c r="X1097" s="343"/>
      <c r="Y1097" s="249"/>
      <c r="Z1097" s="330"/>
      <c r="AA1097" s="343"/>
      <c r="AB1097" s="249"/>
      <c r="AC1097" s="330"/>
      <c r="AD1097" s="343"/>
      <c r="AE1097" s="249"/>
      <c r="AF1097" s="330"/>
      <c r="AG1097" s="343"/>
      <c r="AH1097" s="249"/>
      <c r="AI1097" s="330"/>
      <c r="AJ1097" s="343"/>
      <c r="AK1097" s="249"/>
      <c r="AL1097" s="330"/>
      <c r="AM1097" s="343"/>
      <c r="AN1097" s="249"/>
      <c r="AO1097" s="330"/>
      <c r="AP1097" s="343"/>
      <c r="AQ1097" s="249"/>
      <c r="AR1097" s="330"/>
      <c r="AS1097" s="343"/>
      <c r="AT1097" s="249"/>
      <c r="AU1097" s="330"/>
    </row>
    <row r="1098" spans="2:47">
      <c r="B1098" s="247">
        <f>'Table S2 Compound Identifiers'!C1100</f>
        <v>0</v>
      </c>
      <c r="C1098" s="247">
        <f>COUNTIF($D$6:D1098,"&lt;&gt;"&amp;"")</f>
        <v>1093</v>
      </c>
      <c r="D1098" s="432">
        <f>'Table S2 Compound Identifiers'!B1100</f>
        <v>0</v>
      </c>
      <c r="E1098" s="247"/>
      <c r="F1098" s="248"/>
      <c r="G1098" s="249"/>
      <c r="H1098" s="330"/>
      <c r="I1098" s="328"/>
      <c r="J1098" s="249"/>
      <c r="K1098" s="330"/>
      <c r="L1098" s="250"/>
      <c r="M1098" s="249"/>
      <c r="N1098" s="330"/>
      <c r="O1098" s="250"/>
      <c r="P1098" s="249"/>
      <c r="Q1098" s="330"/>
      <c r="R1098" s="250"/>
      <c r="S1098" s="249"/>
      <c r="T1098" s="330"/>
      <c r="U1098" s="250"/>
      <c r="V1098" s="249"/>
      <c r="W1098" s="330"/>
      <c r="X1098" s="343"/>
      <c r="Y1098" s="249"/>
      <c r="Z1098" s="330"/>
      <c r="AA1098" s="343"/>
      <c r="AB1098" s="249"/>
      <c r="AC1098" s="330"/>
      <c r="AD1098" s="343"/>
      <c r="AE1098" s="249"/>
      <c r="AF1098" s="330"/>
      <c r="AG1098" s="343"/>
      <c r="AH1098" s="249"/>
      <c r="AI1098" s="330"/>
      <c r="AJ1098" s="343"/>
      <c r="AK1098" s="249"/>
      <c r="AL1098" s="330"/>
      <c r="AM1098" s="343"/>
      <c r="AN1098" s="249"/>
      <c r="AO1098" s="330"/>
      <c r="AP1098" s="343"/>
      <c r="AQ1098" s="249"/>
      <c r="AR1098" s="330"/>
      <c r="AS1098" s="343"/>
      <c r="AT1098" s="249"/>
      <c r="AU1098" s="330"/>
    </row>
    <row r="1099" spans="2:47">
      <c r="B1099" s="247">
        <f>'Table S2 Compound Identifiers'!C1101</f>
        <v>0</v>
      </c>
      <c r="C1099" s="247">
        <f>COUNTIF($D$6:D1099,"&lt;&gt;"&amp;"")</f>
        <v>1094</v>
      </c>
      <c r="D1099" s="432">
        <f>'Table S2 Compound Identifiers'!B1101</f>
        <v>0</v>
      </c>
      <c r="E1099" s="247"/>
      <c r="F1099" s="248"/>
      <c r="G1099" s="249"/>
      <c r="H1099" s="330"/>
      <c r="I1099" s="328"/>
      <c r="J1099" s="249"/>
      <c r="K1099" s="330"/>
      <c r="L1099" s="250"/>
      <c r="M1099" s="249"/>
      <c r="N1099" s="330"/>
      <c r="O1099" s="250"/>
      <c r="P1099" s="249"/>
      <c r="Q1099" s="330"/>
      <c r="R1099" s="250"/>
      <c r="S1099" s="249"/>
      <c r="T1099" s="330"/>
      <c r="U1099" s="250"/>
      <c r="V1099" s="249"/>
      <c r="W1099" s="330"/>
      <c r="X1099" s="343"/>
      <c r="Y1099" s="249"/>
      <c r="Z1099" s="330"/>
      <c r="AA1099" s="343"/>
      <c r="AB1099" s="249"/>
      <c r="AC1099" s="330"/>
      <c r="AD1099" s="343"/>
      <c r="AE1099" s="249"/>
      <c r="AF1099" s="330"/>
      <c r="AG1099" s="343"/>
      <c r="AH1099" s="249"/>
      <c r="AI1099" s="330"/>
      <c r="AJ1099" s="343"/>
      <c r="AK1099" s="249"/>
      <c r="AL1099" s="330"/>
      <c r="AM1099" s="343"/>
      <c r="AN1099" s="249"/>
      <c r="AO1099" s="330"/>
      <c r="AP1099" s="343"/>
      <c r="AQ1099" s="249"/>
      <c r="AR1099" s="330"/>
      <c r="AS1099" s="343"/>
      <c r="AT1099" s="249"/>
      <c r="AU1099" s="330"/>
    </row>
    <row r="1100" spans="2:47">
      <c r="B1100" s="247">
        <f>'Table S2 Compound Identifiers'!C1102</f>
        <v>0</v>
      </c>
      <c r="C1100" s="247">
        <f>COUNTIF($D$6:D1100,"&lt;&gt;"&amp;"")</f>
        <v>1095</v>
      </c>
      <c r="D1100" s="432">
        <f>'Table S2 Compound Identifiers'!B1102</f>
        <v>0</v>
      </c>
      <c r="E1100" s="247"/>
      <c r="F1100" s="248"/>
      <c r="G1100" s="249"/>
      <c r="H1100" s="330"/>
      <c r="I1100" s="328"/>
      <c r="J1100" s="249"/>
      <c r="K1100" s="330"/>
      <c r="L1100" s="250"/>
      <c r="M1100" s="249"/>
      <c r="N1100" s="330"/>
      <c r="O1100" s="250"/>
      <c r="P1100" s="249"/>
      <c r="Q1100" s="330"/>
      <c r="R1100" s="250"/>
      <c r="S1100" s="249"/>
      <c r="T1100" s="330"/>
      <c r="U1100" s="250"/>
      <c r="V1100" s="249"/>
      <c r="W1100" s="330"/>
      <c r="X1100" s="343"/>
      <c r="Y1100" s="249"/>
      <c r="Z1100" s="330"/>
      <c r="AA1100" s="343"/>
      <c r="AB1100" s="249"/>
      <c r="AC1100" s="330"/>
      <c r="AD1100" s="343"/>
      <c r="AE1100" s="249"/>
      <c r="AF1100" s="330"/>
      <c r="AG1100" s="343"/>
      <c r="AH1100" s="249"/>
      <c r="AI1100" s="330"/>
      <c r="AJ1100" s="343"/>
      <c r="AK1100" s="249"/>
      <c r="AL1100" s="330"/>
      <c r="AM1100" s="343"/>
      <c r="AN1100" s="249"/>
      <c r="AO1100" s="330"/>
      <c r="AP1100" s="343"/>
      <c r="AQ1100" s="249"/>
      <c r="AR1100" s="330"/>
      <c r="AS1100" s="343"/>
      <c r="AT1100" s="249"/>
      <c r="AU1100" s="330"/>
    </row>
    <row r="1101" spans="2:47">
      <c r="B1101" s="247">
        <f>'Table S2 Compound Identifiers'!C1103</f>
        <v>0</v>
      </c>
      <c r="C1101" s="247">
        <f>COUNTIF($D$6:D1101,"&lt;&gt;"&amp;"")</f>
        <v>1096</v>
      </c>
      <c r="D1101" s="432">
        <f>'Table S2 Compound Identifiers'!B1103</f>
        <v>0</v>
      </c>
      <c r="E1101" s="247"/>
      <c r="F1101" s="248"/>
      <c r="G1101" s="249"/>
      <c r="H1101" s="330"/>
      <c r="I1101" s="328"/>
      <c r="J1101" s="249"/>
      <c r="K1101" s="330"/>
      <c r="L1101" s="250"/>
      <c r="M1101" s="249"/>
      <c r="N1101" s="330"/>
      <c r="O1101" s="250"/>
      <c r="P1101" s="249"/>
      <c r="Q1101" s="330"/>
      <c r="R1101" s="250"/>
      <c r="S1101" s="249"/>
      <c r="T1101" s="330"/>
      <c r="U1101" s="250"/>
      <c r="V1101" s="249"/>
      <c r="W1101" s="330"/>
      <c r="X1101" s="343"/>
      <c r="Y1101" s="249"/>
      <c r="Z1101" s="330"/>
      <c r="AA1101" s="343"/>
      <c r="AB1101" s="249"/>
      <c r="AC1101" s="330"/>
      <c r="AD1101" s="343"/>
      <c r="AE1101" s="249"/>
      <c r="AF1101" s="330"/>
      <c r="AG1101" s="343"/>
      <c r="AH1101" s="249"/>
      <c r="AI1101" s="330"/>
      <c r="AJ1101" s="343"/>
      <c r="AK1101" s="249"/>
      <c r="AL1101" s="330"/>
      <c r="AM1101" s="343"/>
      <c r="AN1101" s="249"/>
      <c r="AO1101" s="330"/>
      <c r="AP1101" s="343"/>
      <c r="AQ1101" s="249"/>
      <c r="AR1101" s="330"/>
      <c r="AS1101" s="343"/>
      <c r="AT1101" s="249"/>
      <c r="AU1101" s="330"/>
    </row>
    <row r="1102" spans="2:47">
      <c r="B1102" s="247">
        <f>'Table S2 Compound Identifiers'!C1104</f>
        <v>0</v>
      </c>
      <c r="C1102" s="247">
        <f>COUNTIF($D$6:D1102,"&lt;&gt;"&amp;"")</f>
        <v>1097</v>
      </c>
      <c r="D1102" s="432">
        <f>'Table S2 Compound Identifiers'!B1104</f>
        <v>0</v>
      </c>
      <c r="E1102" s="247"/>
      <c r="F1102" s="248"/>
      <c r="G1102" s="249"/>
      <c r="H1102" s="330"/>
      <c r="I1102" s="328"/>
      <c r="J1102" s="249"/>
      <c r="K1102" s="330"/>
      <c r="L1102" s="250"/>
      <c r="M1102" s="249"/>
      <c r="N1102" s="330"/>
      <c r="O1102" s="250"/>
      <c r="P1102" s="249"/>
      <c r="Q1102" s="330"/>
      <c r="R1102" s="250"/>
      <c r="S1102" s="249"/>
      <c r="T1102" s="330"/>
      <c r="U1102" s="250"/>
      <c r="V1102" s="249"/>
      <c r="W1102" s="330"/>
      <c r="X1102" s="343"/>
      <c r="Y1102" s="249"/>
      <c r="Z1102" s="330"/>
      <c r="AA1102" s="343"/>
      <c r="AB1102" s="249"/>
      <c r="AC1102" s="330"/>
      <c r="AD1102" s="343"/>
      <c r="AE1102" s="249"/>
      <c r="AF1102" s="330"/>
      <c r="AG1102" s="343"/>
      <c r="AH1102" s="249"/>
      <c r="AI1102" s="330"/>
      <c r="AJ1102" s="343"/>
      <c r="AK1102" s="249"/>
      <c r="AL1102" s="330"/>
      <c r="AM1102" s="343"/>
      <c r="AN1102" s="249"/>
      <c r="AO1102" s="330"/>
      <c r="AP1102" s="343"/>
      <c r="AQ1102" s="249"/>
      <c r="AR1102" s="330"/>
      <c r="AS1102" s="343"/>
      <c r="AT1102" s="249"/>
      <c r="AU1102" s="330"/>
    </row>
    <row r="1103" spans="2:47">
      <c r="B1103" s="247">
        <f>'Table S2 Compound Identifiers'!C1105</f>
        <v>0</v>
      </c>
      <c r="C1103" s="247">
        <f>COUNTIF($D$6:D1103,"&lt;&gt;"&amp;"")</f>
        <v>1098</v>
      </c>
      <c r="D1103" s="432">
        <f>'Table S2 Compound Identifiers'!B1105</f>
        <v>0</v>
      </c>
      <c r="E1103" s="247"/>
      <c r="F1103" s="248"/>
      <c r="G1103" s="249"/>
      <c r="H1103" s="330"/>
      <c r="I1103" s="328"/>
      <c r="J1103" s="249"/>
      <c r="K1103" s="330"/>
      <c r="L1103" s="250"/>
      <c r="M1103" s="249"/>
      <c r="N1103" s="330"/>
      <c r="O1103" s="250"/>
      <c r="P1103" s="249"/>
      <c r="Q1103" s="330"/>
      <c r="R1103" s="250"/>
      <c r="S1103" s="249"/>
      <c r="T1103" s="330"/>
      <c r="U1103" s="250"/>
      <c r="V1103" s="249"/>
      <c r="W1103" s="330"/>
      <c r="X1103" s="343"/>
      <c r="Y1103" s="249"/>
      <c r="Z1103" s="330"/>
      <c r="AA1103" s="343"/>
      <c r="AB1103" s="249"/>
      <c r="AC1103" s="330"/>
      <c r="AD1103" s="343"/>
      <c r="AE1103" s="249"/>
      <c r="AF1103" s="330"/>
      <c r="AG1103" s="343"/>
      <c r="AH1103" s="249"/>
      <c r="AI1103" s="330"/>
      <c r="AJ1103" s="343"/>
      <c r="AK1103" s="249"/>
      <c r="AL1103" s="330"/>
      <c r="AM1103" s="343"/>
      <c r="AN1103" s="249"/>
      <c r="AO1103" s="330"/>
      <c r="AP1103" s="343"/>
      <c r="AQ1103" s="249"/>
      <c r="AR1103" s="330"/>
      <c r="AS1103" s="343"/>
      <c r="AT1103" s="249"/>
      <c r="AU1103" s="330"/>
    </row>
    <row r="1104" spans="2:47">
      <c r="B1104" s="247">
        <f>'Table S2 Compound Identifiers'!C1106</f>
        <v>0</v>
      </c>
      <c r="C1104" s="247">
        <f>COUNTIF($D$6:D1104,"&lt;&gt;"&amp;"")</f>
        <v>1099</v>
      </c>
      <c r="D1104" s="432">
        <f>'Table S2 Compound Identifiers'!B1106</f>
        <v>0</v>
      </c>
      <c r="E1104" s="247"/>
      <c r="F1104" s="248"/>
      <c r="G1104" s="249"/>
      <c r="H1104" s="330"/>
      <c r="I1104" s="328"/>
      <c r="J1104" s="249"/>
      <c r="K1104" s="330"/>
      <c r="L1104" s="250"/>
      <c r="M1104" s="249"/>
      <c r="N1104" s="330"/>
      <c r="O1104" s="250"/>
      <c r="P1104" s="249"/>
      <c r="Q1104" s="330"/>
      <c r="R1104" s="250"/>
      <c r="S1104" s="249"/>
      <c r="T1104" s="330"/>
      <c r="U1104" s="250"/>
      <c r="V1104" s="249"/>
      <c r="W1104" s="330"/>
      <c r="X1104" s="343"/>
      <c r="Y1104" s="249"/>
      <c r="Z1104" s="330"/>
      <c r="AA1104" s="343"/>
      <c r="AB1104" s="249"/>
      <c r="AC1104" s="330"/>
      <c r="AD1104" s="343"/>
      <c r="AE1104" s="249"/>
      <c r="AF1104" s="330"/>
      <c r="AG1104" s="343"/>
      <c r="AH1104" s="249"/>
      <c r="AI1104" s="330"/>
      <c r="AJ1104" s="343"/>
      <c r="AK1104" s="249"/>
      <c r="AL1104" s="330"/>
      <c r="AM1104" s="343"/>
      <c r="AN1104" s="249"/>
      <c r="AO1104" s="330"/>
      <c r="AP1104" s="343"/>
      <c r="AQ1104" s="249"/>
      <c r="AR1104" s="330"/>
      <c r="AS1104" s="343"/>
      <c r="AT1104" s="249"/>
      <c r="AU1104" s="330"/>
    </row>
    <row r="1105" spans="2:47">
      <c r="B1105" s="247">
        <f>'Table S2 Compound Identifiers'!C1107</f>
        <v>0</v>
      </c>
      <c r="C1105" s="247">
        <f>COUNTIF($D$6:D1105,"&lt;&gt;"&amp;"")</f>
        <v>1100</v>
      </c>
      <c r="D1105" s="432">
        <f>'Table S2 Compound Identifiers'!B1107</f>
        <v>0</v>
      </c>
      <c r="E1105" s="247"/>
      <c r="F1105" s="248"/>
      <c r="G1105" s="249"/>
      <c r="H1105" s="330"/>
      <c r="I1105" s="328"/>
      <c r="J1105" s="249"/>
      <c r="K1105" s="330"/>
      <c r="L1105" s="250"/>
      <c r="M1105" s="249"/>
      <c r="N1105" s="330"/>
      <c r="O1105" s="250"/>
      <c r="P1105" s="249"/>
      <c r="Q1105" s="330"/>
      <c r="R1105" s="250"/>
      <c r="S1105" s="249"/>
      <c r="T1105" s="330"/>
      <c r="U1105" s="250"/>
      <c r="V1105" s="249"/>
      <c r="W1105" s="330"/>
      <c r="X1105" s="343"/>
      <c r="Y1105" s="249"/>
      <c r="Z1105" s="330"/>
      <c r="AA1105" s="343"/>
      <c r="AB1105" s="249"/>
      <c r="AC1105" s="330"/>
      <c r="AD1105" s="343"/>
      <c r="AE1105" s="249"/>
      <c r="AF1105" s="330"/>
      <c r="AG1105" s="343"/>
      <c r="AH1105" s="249"/>
      <c r="AI1105" s="330"/>
      <c r="AJ1105" s="343"/>
      <c r="AK1105" s="249"/>
      <c r="AL1105" s="330"/>
      <c r="AM1105" s="343"/>
      <c r="AN1105" s="249"/>
      <c r="AO1105" s="330"/>
      <c r="AP1105" s="343"/>
      <c r="AQ1105" s="249"/>
      <c r="AR1105" s="330"/>
      <c r="AS1105" s="343"/>
      <c r="AT1105" s="249"/>
      <c r="AU1105" s="330"/>
    </row>
    <row r="1106" spans="2:47">
      <c r="B1106" s="247">
        <f>'Table S2 Compound Identifiers'!C1108</f>
        <v>0</v>
      </c>
      <c r="C1106" s="247">
        <f>COUNTIF($D$6:D1106,"&lt;&gt;"&amp;"")</f>
        <v>1101</v>
      </c>
      <c r="D1106" s="432">
        <f>'Table S2 Compound Identifiers'!B1108</f>
        <v>0</v>
      </c>
      <c r="E1106" s="247"/>
      <c r="F1106" s="248"/>
      <c r="G1106" s="249"/>
      <c r="H1106" s="330"/>
      <c r="I1106" s="328"/>
      <c r="J1106" s="249"/>
      <c r="K1106" s="330"/>
      <c r="L1106" s="250"/>
      <c r="M1106" s="249"/>
      <c r="N1106" s="330"/>
      <c r="O1106" s="250"/>
      <c r="P1106" s="249"/>
      <c r="Q1106" s="330"/>
      <c r="R1106" s="250"/>
      <c r="S1106" s="249"/>
      <c r="T1106" s="330"/>
      <c r="U1106" s="250"/>
      <c r="V1106" s="249"/>
      <c r="W1106" s="330"/>
      <c r="X1106" s="343"/>
      <c r="Y1106" s="249"/>
      <c r="Z1106" s="330"/>
      <c r="AA1106" s="343"/>
      <c r="AB1106" s="249"/>
      <c r="AC1106" s="330"/>
      <c r="AD1106" s="343"/>
      <c r="AE1106" s="249"/>
      <c r="AF1106" s="330"/>
      <c r="AG1106" s="343"/>
      <c r="AH1106" s="249"/>
      <c r="AI1106" s="330"/>
      <c r="AJ1106" s="343"/>
      <c r="AK1106" s="249"/>
      <c r="AL1106" s="330"/>
      <c r="AM1106" s="343"/>
      <c r="AN1106" s="249"/>
      <c r="AO1106" s="330"/>
      <c r="AP1106" s="343"/>
      <c r="AQ1106" s="249"/>
      <c r="AR1106" s="330"/>
      <c r="AS1106" s="343"/>
      <c r="AT1106" s="249"/>
      <c r="AU1106" s="330"/>
    </row>
    <row r="1107" spans="2:47">
      <c r="B1107" s="247">
        <f>'Table S2 Compound Identifiers'!C1109</f>
        <v>0</v>
      </c>
      <c r="C1107" s="247">
        <f>COUNTIF($D$6:D1107,"&lt;&gt;"&amp;"")</f>
        <v>1102</v>
      </c>
      <c r="D1107" s="432">
        <f>'Table S2 Compound Identifiers'!B1109</f>
        <v>0</v>
      </c>
      <c r="E1107" s="247"/>
      <c r="F1107" s="248"/>
      <c r="G1107" s="249"/>
      <c r="H1107" s="330"/>
      <c r="I1107" s="328"/>
      <c r="J1107" s="249"/>
      <c r="K1107" s="330"/>
      <c r="L1107" s="250"/>
      <c r="M1107" s="249"/>
      <c r="N1107" s="330"/>
      <c r="O1107" s="250"/>
      <c r="P1107" s="249"/>
      <c r="Q1107" s="330"/>
      <c r="R1107" s="250"/>
      <c r="S1107" s="249"/>
      <c r="T1107" s="330"/>
      <c r="U1107" s="250"/>
      <c r="V1107" s="249"/>
      <c r="W1107" s="330"/>
      <c r="X1107" s="343"/>
      <c r="Y1107" s="249"/>
      <c r="Z1107" s="330"/>
      <c r="AA1107" s="343"/>
      <c r="AB1107" s="249"/>
      <c r="AC1107" s="330"/>
      <c r="AD1107" s="343"/>
      <c r="AE1107" s="249"/>
      <c r="AF1107" s="330"/>
      <c r="AG1107" s="343"/>
      <c r="AH1107" s="249"/>
      <c r="AI1107" s="330"/>
      <c r="AJ1107" s="343"/>
      <c r="AK1107" s="249"/>
      <c r="AL1107" s="330"/>
      <c r="AM1107" s="343"/>
      <c r="AN1107" s="249"/>
      <c r="AO1107" s="330"/>
      <c r="AP1107" s="343"/>
      <c r="AQ1107" s="249"/>
      <c r="AR1107" s="330"/>
      <c r="AS1107" s="343"/>
      <c r="AT1107" s="249"/>
      <c r="AU1107" s="330"/>
    </row>
    <row r="1108" spans="2:47">
      <c r="B1108" s="247">
        <f>'Table S2 Compound Identifiers'!C1110</f>
        <v>0</v>
      </c>
      <c r="C1108" s="247">
        <f>COUNTIF($D$6:D1108,"&lt;&gt;"&amp;"")</f>
        <v>1103</v>
      </c>
      <c r="D1108" s="247">
        <f>'Table S2 Compound Identifiers'!B1110</f>
        <v>0</v>
      </c>
      <c r="E1108" s="247"/>
      <c r="F1108" s="248"/>
      <c r="G1108" s="249"/>
      <c r="H1108" s="330"/>
      <c r="I1108" s="328"/>
      <c r="J1108" s="249"/>
      <c r="K1108" s="330"/>
      <c r="L1108" s="250"/>
      <c r="M1108" s="249"/>
      <c r="N1108" s="330"/>
      <c r="O1108" s="250"/>
      <c r="P1108" s="249"/>
      <c r="Q1108" s="330"/>
      <c r="R1108" s="250"/>
      <c r="S1108" s="249"/>
      <c r="T1108" s="330"/>
      <c r="U1108" s="250"/>
      <c r="V1108" s="249"/>
      <c r="W1108" s="330"/>
      <c r="X1108" s="343"/>
      <c r="Y1108" s="249"/>
      <c r="Z1108" s="330"/>
      <c r="AA1108" s="343"/>
      <c r="AB1108" s="249"/>
      <c r="AC1108" s="330"/>
      <c r="AD1108" s="343"/>
      <c r="AE1108" s="249"/>
      <c r="AF1108" s="330"/>
      <c r="AG1108" s="343"/>
      <c r="AH1108" s="249"/>
      <c r="AI1108" s="330"/>
      <c r="AJ1108" s="343"/>
      <c r="AK1108" s="249"/>
      <c r="AL1108" s="330"/>
      <c r="AM1108" s="343"/>
      <c r="AN1108" s="249"/>
      <c r="AO1108" s="330"/>
      <c r="AP1108" s="343"/>
      <c r="AQ1108" s="249"/>
      <c r="AR1108" s="330"/>
      <c r="AS1108" s="343"/>
      <c r="AT1108" s="249"/>
      <c r="AU1108" s="330"/>
    </row>
    <row r="1109" spans="2:47">
      <c r="B1109" s="247">
        <f>'Table S2 Compound Identifiers'!C1111</f>
        <v>0</v>
      </c>
      <c r="C1109" s="247">
        <f>COUNTIF($D$6:D1109,"&lt;&gt;"&amp;"")</f>
        <v>1104</v>
      </c>
      <c r="D1109" s="247">
        <f>'Table S2 Compound Identifiers'!B1111</f>
        <v>0</v>
      </c>
      <c r="E1109" s="247"/>
      <c r="F1109" s="248"/>
      <c r="G1109" s="249"/>
      <c r="H1109" s="330"/>
      <c r="I1109" s="328"/>
      <c r="J1109" s="249"/>
      <c r="K1109" s="330"/>
      <c r="L1109" s="250"/>
      <c r="M1109" s="249"/>
      <c r="N1109" s="330"/>
      <c r="O1109" s="250"/>
      <c r="P1109" s="249"/>
      <c r="Q1109" s="330"/>
      <c r="R1109" s="250"/>
      <c r="S1109" s="249"/>
      <c r="T1109" s="330"/>
      <c r="U1109" s="250"/>
      <c r="V1109" s="249"/>
      <c r="W1109" s="330"/>
      <c r="X1109" s="343"/>
      <c r="Y1109" s="249"/>
      <c r="Z1109" s="330"/>
      <c r="AA1109" s="343"/>
      <c r="AB1109" s="249"/>
      <c r="AC1109" s="330"/>
      <c r="AD1109" s="343"/>
      <c r="AE1109" s="249"/>
      <c r="AF1109" s="330"/>
      <c r="AG1109" s="343"/>
      <c r="AH1109" s="249"/>
      <c r="AI1109" s="330"/>
      <c r="AJ1109" s="343"/>
      <c r="AK1109" s="249"/>
      <c r="AL1109" s="330"/>
      <c r="AM1109" s="343"/>
      <c r="AN1109" s="249"/>
      <c r="AO1109" s="330"/>
      <c r="AP1109" s="343"/>
      <c r="AQ1109" s="249"/>
      <c r="AR1109" s="330"/>
      <c r="AS1109" s="343"/>
      <c r="AT1109" s="249"/>
      <c r="AU1109" s="330"/>
    </row>
    <row r="1110" spans="2:47">
      <c r="B1110" s="247">
        <f>'Table S2 Compound Identifiers'!C1112</f>
        <v>0</v>
      </c>
      <c r="C1110" s="247">
        <f>COUNTIF($D$6:D1110,"&lt;&gt;"&amp;"")</f>
        <v>1105</v>
      </c>
      <c r="D1110" s="247">
        <f>'Table S2 Compound Identifiers'!B1112</f>
        <v>0</v>
      </c>
      <c r="E1110" s="247"/>
      <c r="F1110" s="248"/>
      <c r="G1110" s="249"/>
      <c r="H1110" s="330"/>
      <c r="I1110" s="328"/>
      <c r="J1110" s="249"/>
      <c r="K1110" s="330"/>
      <c r="L1110" s="250"/>
      <c r="M1110" s="249"/>
      <c r="N1110" s="330"/>
      <c r="O1110" s="250"/>
      <c r="P1110" s="249"/>
      <c r="Q1110" s="330"/>
      <c r="R1110" s="250"/>
      <c r="S1110" s="249"/>
      <c r="T1110" s="330"/>
      <c r="U1110" s="250"/>
      <c r="V1110" s="249"/>
      <c r="W1110" s="330"/>
      <c r="X1110" s="343"/>
      <c r="Y1110" s="249"/>
      <c r="Z1110" s="330"/>
      <c r="AA1110" s="343"/>
      <c r="AB1110" s="249"/>
      <c r="AC1110" s="330"/>
      <c r="AD1110" s="343"/>
      <c r="AE1110" s="249"/>
      <c r="AF1110" s="330"/>
      <c r="AG1110" s="343"/>
      <c r="AH1110" s="249"/>
      <c r="AI1110" s="330"/>
      <c r="AJ1110" s="343"/>
      <c r="AK1110" s="249"/>
      <c r="AL1110" s="330"/>
      <c r="AM1110" s="343"/>
      <c r="AN1110" s="249"/>
      <c r="AO1110" s="330"/>
      <c r="AP1110" s="343"/>
      <c r="AQ1110" s="249"/>
      <c r="AR1110" s="330"/>
      <c r="AS1110" s="343"/>
      <c r="AT1110" s="249"/>
      <c r="AU1110" s="330"/>
    </row>
    <row r="1111" spans="2:47">
      <c r="B1111" s="247">
        <f>'Table S2 Compound Identifiers'!C1113</f>
        <v>0</v>
      </c>
      <c r="C1111" s="247">
        <f>COUNTIF($D$6:D1111,"&lt;&gt;"&amp;"")</f>
        <v>1106</v>
      </c>
      <c r="D1111" s="247">
        <f>'Table S2 Compound Identifiers'!B1113</f>
        <v>0</v>
      </c>
      <c r="E1111" s="247"/>
      <c r="F1111" s="248"/>
      <c r="G1111" s="249"/>
      <c r="H1111" s="330"/>
      <c r="I1111" s="328"/>
      <c r="J1111" s="249"/>
      <c r="K1111" s="330"/>
      <c r="L1111" s="250"/>
      <c r="M1111" s="249"/>
      <c r="N1111" s="330"/>
      <c r="O1111" s="250"/>
      <c r="P1111" s="249"/>
      <c r="Q1111" s="330"/>
      <c r="R1111" s="250"/>
      <c r="S1111" s="249"/>
      <c r="T1111" s="330"/>
      <c r="U1111" s="250"/>
      <c r="V1111" s="249"/>
      <c r="W1111" s="330"/>
      <c r="X1111" s="343"/>
      <c r="Y1111" s="249"/>
      <c r="Z1111" s="330"/>
      <c r="AA1111" s="343"/>
      <c r="AB1111" s="249"/>
      <c r="AC1111" s="330"/>
      <c r="AD1111" s="343"/>
      <c r="AE1111" s="249"/>
      <c r="AF1111" s="330"/>
      <c r="AG1111" s="343"/>
      <c r="AH1111" s="249"/>
      <c r="AI1111" s="330"/>
      <c r="AJ1111" s="343"/>
      <c r="AK1111" s="249"/>
      <c r="AL1111" s="330"/>
      <c r="AM1111" s="343"/>
      <c r="AN1111" s="249"/>
      <c r="AO1111" s="330"/>
      <c r="AP1111" s="343"/>
      <c r="AQ1111" s="249"/>
      <c r="AR1111" s="330"/>
      <c r="AS1111" s="343"/>
      <c r="AT1111" s="249"/>
      <c r="AU1111" s="330"/>
    </row>
    <row r="1112" spans="2:47">
      <c r="B1112" s="247">
        <f>'Table S2 Compound Identifiers'!C1114</f>
        <v>0</v>
      </c>
      <c r="C1112" s="247">
        <f>COUNTIF($D$6:D1112,"&lt;&gt;"&amp;"")</f>
        <v>1107</v>
      </c>
      <c r="D1112" s="247">
        <f>'Table S2 Compound Identifiers'!B1114</f>
        <v>0</v>
      </c>
      <c r="E1112" s="247"/>
      <c r="F1112" s="248"/>
      <c r="G1112" s="249"/>
      <c r="H1112" s="330"/>
      <c r="I1112" s="328"/>
      <c r="J1112" s="249"/>
      <c r="K1112" s="330"/>
      <c r="L1112" s="250"/>
      <c r="M1112" s="249"/>
      <c r="N1112" s="330"/>
      <c r="O1112" s="250"/>
      <c r="P1112" s="249"/>
      <c r="Q1112" s="330"/>
      <c r="R1112" s="250"/>
      <c r="S1112" s="249"/>
      <c r="T1112" s="330"/>
      <c r="U1112" s="250"/>
      <c r="V1112" s="249"/>
      <c r="W1112" s="330"/>
      <c r="X1112" s="343"/>
      <c r="Y1112" s="249"/>
      <c r="Z1112" s="330"/>
      <c r="AA1112" s="343"/>
      <c r="AB1112" s="249"/>
      <c r="AC1112" s="330"/>
      <c r="AD1112" s="343"/>
      <c r="AE1112" s="249"/>
      <c r="AF1112" s="330"/>
      <c r="AG1112" s="343"/>
      <c r="AH1112" s="249"/>
      <c r="AI1112" s="330"/>
      <c r="AJ1112" s="343"/>
      <c r="AK1112" s="249"/>
      <c r="AL1112" s="330"/>
      <c r="AM1112" s="343"/>
      <c r="AN1112" s="249"/>
      <c r="AO1112" s="330"/>
      <c r="AP1112" s="343"/>
      <c r="AQ1112" s="249"/>
      <c r="AR1112" s="330"/>
      <c r="AS1112" s="343"/>
      <c r="AT1112" s="249"/>
      <c r="AU1112" s="330"/>
    </row>
    <row r="1113" spans="2:47">
      <c r="B1113" s="247">
        <f>'Table S2 Compound Identifiers'!C1115</f>
        <v>0</v>
      </c>
      <c r="C1113" s="247">
        <f>COUNTIF($D$6:D1113,"&lt;&gt;"&amp;"")</f>
        <v>1108</v>
      </c>
      <c r="D1113" s="247">
        <f>'Table S2 Compound Identifiers'!B1115</f>
        <v>0</v>
      </c>
      <c r="E1113" s="247"/>
      <c r="F1113" s="248"/>
      <c r="G1113" s="249"/>
      <c r="H1113" s="330"/>
      <c r="I1113" s="328"/>
      <c r="J1113" s="249"/>
      <c r="K1113" s="330"/>
      <c r="L1113" s="250"/>
      <c r="M1113" s="249"/>
      <c r="N1113" s="330"/>
      <c r="O1113" s="250"/>
      <c r="P1113" s="249"/>
      <c r="Q1113" s="330"/>
      <c r="R1113" s="250"/>
      <c r="S1113" s="249"/>
      <c r="T1113" s="330"/>
      <c r="U1113" s="250"/>
      <c r="V1113" s="249"/>
      <c r="W1113" s="330"/>
      <c r="X1113" s="343"/>
      <c r="Y1113" s="249"/>
      <c r="Z1113" s="330"/>
      <c r="AA1113" s="343"/>
      <c r="AB1113" s="249"/>
      <c r="AC1113" s="330"/>
      <c r="AD1113" s="343"/>
      <c r="AE1113" s="249"/>
      <c r="AF1113" s="330"/>
      <c r="AG1113" s="343"/>
      <c r="AH1113" s="249"/>
      <c r="AI1113" s="330"/>
      <c r="AJ1113" s="343"/>
      <c r="AK1113" s="249"/>
      <c r="AL1113" s="330"/>
      <c r="AM1113" s="343"/>
      <c r="AN1113" s="249"/>
      <c r="AO1113" s="330"/>
      <c r="AP1113" s="343"/>
      <c r="AQ1113" s="249"/>
      <c r="AR1113" s="330"/>
      <c r="AS1113" s="343"/>
      <c r="AT1113" s="249"/>
      <c r="AU1113" s="330"/>
    </row>
    <row r="1114" spans="2:47">
      <c r="B1114" s="247">
        <f>'Table S2 Compound Identifiers'!C1116</f>
        <v>0</v>
      </c>
      <c r="C1114" s="247">
        <f>COUNTIF($D$6:D1114,"&lt;&gt;"&amp;"")</f>
        <v>1109</v>
      </c>
      <c r="D1114" s="247">
        <f>'Table S2 Compound Identifiers'!B1116</f>
        <v>0</v>
      </c>
      <c r="E1114" s="247"/>
      <c r="F1114" s="248"/>
      <c r="G1114" s="249"/>
      <c r="H1114" s="330"/>
      <c r="I1114" s="328"/>
      <c r="J1114" s="249"/>
      <c r="K1114" s="330"/>
      <c r="L1114" s="250"/>
      <c r="M1114" s="249"/>
      <c r="N1114" s="330"/>
      <c r="O1114" s="251"/>
      <c r="P1114" s="252"/>
      <c r="Q1114" s="330"/>
      <c r="R1114" s="251"/>
      <c r="S1114" s="252"/>
      <c r="T1114" s="330"/>
      <c r="U1114" s="251"/>
      <c r="V1114" s="252"/>
      <c r="W1114" s="330"/>
      <c r="X1114" s="343"/>
      <c r="Y1114" s="249"/>
      <c r="Z1114" s="330"/>
      <c r="AA1114" s="343"/>
      <c r="AB1114" s="249"/>
      <c r="AC1114" s="330"/>
      <c r="AD1114" s="343"/>
      <c r="AE1114" s="249"/>
      <c r="AF1114" s="330"/>
      <c r="AG1114" s="343"/>
      <c r="AH1114" s="249"/>
      <c r="AI1114" s="330"/>
      <c r="AJ1114" s="343"/>
      <c r="AK1114" s="249"/>
      <c r="AL1114" s="330"/>
      <c r="AM1114" s="343"/>
      <c r="AN1114" s="249"/>
      <c r="AO1114" s="330"/>
      <c r="AP1114" s="343"/>
      <c r="AQ1114" s="249"/>
      <c r="AR1114" s="330"/>
      <c r="AS1114" s="343"/>
      <c r="AT1114" s="249"/>
      <c r="AU1114" s="330"/>
    </row>
    <row r="1115" spans="2:47">
      <c r="B1115" s="247">
        <f>'Table S2 Compound Identifiers'!C1117</f>
        <v>0</v>
      </c>
      <c r="C1115" s="253">
        <f>COUNTIF($D$6:D1115,"&lt;&gt;"&amp;"")</f>
        <v>1110</v>
      </c>
      <c r="D1115" s="253">
        <f>'Table S2 Compound Identifiers'!B1117</f>
        <v>0</v>
      </c>
      <c r="E1115" s="253"/>
      <c r="F1115" s="254"/>
      <c r="G1115" s="252"/>
      <c r="H1115" s="330"/>
      <c r="I1115" s="333"/>
      <c r="J1115" s="252"/>
      <c r="K1115" s="330"/>
      <c r="L1115" s="251"/>
      <c r="M1115" s="252"/>
      <c r="N1115" s="330"/>
      <c r="O1115" s="251"/>
      <c r="P1115" s="252"/>
      <c r="Q1115" s="330"/>
      <c r="R1115" s="251"/>
      <c r="S1115" s="252"/>
      <c r="T1115" s="330"/>
      <c r="U1115" s="251"/>
      <c r="V1115" s="252"/>
      <c r="W1115" s="330"/>
      <c r="X1115" s="343"/>
      <c r="Y1115" s="249"/>
      <c r="Z1115" s="330"/>
      <c r="AA1115" s="343"/>
      <c r="AB1115" s="249"/>
      <c r="AC1115" s="330"/>
      <c r="AD1115" s="343"/>
      <c r="AE1115" s="249"/>
      <c r="AF1115" s="330"/>
      <c r="AG1115" s="343"/>
      <c r="AH1115" s="249"/>
      <c r="AI1115" s="330"/>
      <c r="AJ1115" s="343"/>
      <c r="AK1115" s="249"/>
      <c r="AL1115" s="330"/>
      <c r="AM1115" s="343"/>
      <c r="AN1115" s="249"/>
      <c r="AO1115" s="330"/>
      <c r="AP1115" s="343"/>
      <c r="AQ1115" s="249"/>
      <c r="AR1115" s="330"/>
      <c r="AS1115" s="343"/>
      <c r="AT1115" s="249"/>
      <c r="AU1115" s="330"/>
    </row>
    <row r="1116" spans="2:47">
      <c r="B1116" s="247">
        <f>'Table S2 Compound Identifiers'!C1118</f>
        <v>0</v>
      </c>
      <c r="C1116" s="247">
        <f>COUNTIF($D$6:D1116,"&lt;&gt;"&amp;"")</f>
        <v>1111</v>
      </c>
      <c r="D1116" s="247">
        <f>'Table S2 Compound Identifiers'!B1118</f>
        <v>0</v>
      </c>
      <c r="E1116" s="247"/>
      <c r="F1116" s="248"/>
      <c r="G1116" s="250"/>
      <c r="H1116" s="330"/>
      <c r="I1116" s="343"/>
      <c r="J1116" s="249"/>
      <c r="K1116" s="327"/>
      <c r="L1116" s="343"/>
      <c r="M1116" s="249"/>
      <c r="N1116" s="327"/>
      <c r="O1116" s="343"/>
      <c r="P1116" s="249"/>
      <c r="Q1116" s="327"/>
      <c r="R1116" s="343"/>
      <c r="S1116" s="249"/>
      <c r="T1116" s="327"/>
      <c r="U1116" s="343"/>
      <c r="V1116" s="249"/>
      <c r="W1116" s="327"/>
      <c r="X1116" s="343"/>
      <c r="Y1116" s="249"/>
      <c r="Z1116" s="327"/>
      <c r="AA1116" s="343"/>
      <c r="AB1116" s="249"/>
      <c r="AC1116" s="343"/>
      <c r="AD1116" s="343"/>
      <c r="AE1116" s="249"/>
      <c r="AF1116" s="249"/>
      <c r="AG1116" s="343"/>
      <c r="AH1116" s="249"/>
      <c r="AI1116" s="343"/>
      <c r="AJ1116" s="343"/>
      <c r="AK1116" s="249"/>
      <c r="AL1116" s="249"/>
      <c r="AM1116" s="343"/>
      <c r="AN1116" s="249"/>
      <c r="AO1116" s="343"/>
      <c r="AP1116" s="343"/>
      <c r="AQ1116" s="249"/>
      <c r="AR1116" s="249"/>
      <c r="AS1116" s="343"/>
      <c r="AT1116" s="249"/>
      <c r="AU1116" s="343"/>
    </row>
    <row r="1117" spans="2:47">
      <c r="B1117" s="247">
        <f>'Table S2 Compound Identifiers'!C1119</f>
        <v>0</v>
      </c>
      <c r="C1117" s="247">
        <f>COUNTIF($D$6:D1117,"&lt;&gt;"&amp;"")</f>
        <v>1112</v>
      </c>
      <c r="D1117" s="247">
        <f>'Table S2 Compound Identifiers'!B1119</f>
        <v>0</v>
      </c>
      <c r="E1117" s="247"/>
      <c r="F1117" s="248"/>
      <c r="G1117" s="249"/>
      <c r="H1117" s="330"/>
      <c r="I1117" s="332"/>
      <c r="J1117" s="330"/>
      <c r="K1117" s="330"/>
      <c r="L1117" s="330"/>
      <c r="M1117" s="330"/>
      <c r="N1117" s="330"/>
      <c r="O1117" s="330"/>
      <c r="P1117" s="330"/>
      <c r="Q1117" s="330"/>
      <c r="R1117" s="330"/>
      <c r="S1117" s="330"/>
      <c r="T1117" s="330"/>
      <c r="U1117" s="330"/>
      <c r="V1117" s="330"/>
      <c r="W1117" s="330"/>
      <c r="X1117" s="343"/>
      <c r="Y1117" s="249"/>
      <c r="Z1117" s="330"/>
      <c r="AA1117" s="343"/>
      <c r="AB1117" s="249"/>
      <c r="AC1117" s="330"/>
      <c r="AD1117" s="343"/>
      <c r="AE1117" s="249"/>
      <c r="AF1117" s="330"/>
      <c r="AG1117" s="343"/>
      <c r="AH1117" s="249"/>
      <c r="AI1117" s="330"/>
      <c r="AJ1117" s="343"/>
      <c r="AK1117" s="249"/>
      <c r="AL1117" s="330"/>
      <c r="AM1117" s="343"/>
      <c r="AN1117" s="249"/>
      <c r="AO1117" s="330"/>
      <c r="AP1117" s="343"/>
      <c r="AQ1117" s="249"/>
      <c r="AR1117" s="330"/>
      <c r="AS1117" s="343"/>
      <c r="AT1117" s="249"/>
      <c r="AU1117" s="330"/>
    </row>
    <row r="1118" spans="2:47">
      <c r="B1118" s="247">
        <f>'Table S2 Compound Identifiers'!C1120</f>
        <v>0</v>
      </c>
      <c r="C1118" s="247">
        <f>COUNTIF($D$6:D1118,"&lt;&gt;"&amp;"")</f>
        <v>1113</v>
      </c>
      <c r="D1118" s="247">
        <f>'Table S2 Compound Identifiers'!B1120</f>
        <v>0</v>
      </c>
      <c r="E1118" s="247"/>
      <c r="F1118" s="248"/>
      <c r="G1118" s="249"/>
      <c r="H1118" s="330"/>
      <c r="I1118" s="332"/>
      <c r="J1118" s="330"/>
      <c r="K1118" s="330"/>
      <c r="L1118" s="330"/>
      <c r="M1118" s="330"/>
      <c r="N1118" s="330"/>
      <c r="O1118" s="330"/>
      <c r="P1118" s="330"/>
      <c r="Q1118" s="330"/>
      <c r="R1118" s="330"/>
      <c r="S1118" s="330"/>
      <c r="T1118" s="330"/>
      <c r="U1118" s="330"/>
      <c r="V1118" s="330"/>
      <c r="W1118" s="330"/>
      <c r="X1118" s="343"/>
      <c r="Y1118" s="249"/>
      <c r="Z1118" s="330"/>
      <c r="AA1118" s="343"/>
      <c r="AB1118" s="249"/>
      <c r="AC1118" s="330"/>
      <c r="AD1118" s="343"/>
      <c r="AE1118" s="249"/>
      <c r="AF1118" s="330"/>
      <c r="AG1118" s="343"/>
      <c r="AH1118" s="249"/>
      <c r="AI1118" s="330"/>
      <c r="AJ1118" s="343"/>
      <c r="AK1118" s="249"/>
      <c r="AL1118" s="330"/>
      <c r="AM1118" s="343"/>
      <c r="AN1118" s="249"/>
      <c r="AO1118" s="330"/>
      <c r="AP1118" s="343"/>
      <c r="AQ1118" s="249"/>
      <c r="AR1118" s="330"/>
      <c r="AS1118" s="343"/>
      <c r="AT1118" s="249"/>
      <c r="AU1118" s="330"/>
    </row>
    <row r="1119" spans="2:47">
      <c r="B1119" s="247">
        <f>'Table S2 Compound Identifiers'!C1121</f>
        <v>0</v>
      </c>
      <c r="C1119" s="247">
        <f>COUNTIF($D$6:D1119,"&lt;&gt;"&amp;"")</f>
        <v>1114</v>
      </c>
      <c r="D1119" s="247">
        <f>'Table S2 Compound Identifiers'!B1121</f>
        <v>0</v>
      </c>
      <c r="E1119" s="247"/>
      <c r="F1119" s="248"/>
      <c r="G1119" s="249"/>
      <c r="H1119" s="330"/>
      <c r="I1119" s="332"/>
      <c r="J1119" s="330"/>
      <c r="K1119" s="330"/>
      <c r="L1119" s="330"/>
      <c r="M1119" s="330"/>
      <c r="N1119" s="330"/>
      <c r="O1119" s="330"/>
      <c r="P1119" s="330"/>
      <c r="Q1119" s="330"/>
      <c r="R1119" s="330"/>
      <c r="S1119" s="330"/>
      <c r="T1119" s="330"/>
      <c r="U1119" s="330"/>
      <c r="V1119" s="330"/>
      <c r="W1119" s="330"/>
      <c r="X1119" s="343"/>
      <c r="Y1119" s="249"/>
      <c r="Z1119" s="330"/>
      <c r="AA1119" s="343"/>
      <c r="AB1119" s="249"/>
      <c r="AC1119" s="330"/>
      <c r="AD1119" s="343"/>
      <c r="AE1119" s="249"/>
      <c r="AF1119" s="330"/>
      <c r="AG1119" s="343"/>
      <c r="AH1119" s="249"/>
      <c r="AI1119" s="330"/>
      <c r="AJ1119" s="343"/>
      <c r="AK1119" s="249"/>
      <c r="AL1119" s="330"/>
      <c r="AM1119" s="343"/>
      <c r="AN1119" s="249"/>
      <c r="AO1119" s="330"/>
      <c r="AP1119" s="343"/>
      <c r="AQ1119" s="249"/>
      <c r="AR1119" s="330"/>
      <c r="AS1119" s="343"/>
      <c r="AT1119" s="249"/>
      <c r="AU1119" s="330"/>
    </row>
    <row r="1120" spans="2:47">
      <c r="B1120" s="247">
        <f>'Table S2 Compound Identifiers'!C1122</f>
        <v>0</v>
      </c>
      <c r="C1120" s="247">
        <f>COUNTIF($D$6:D1120,"&lt;&gt;"&amp;"")</f>
        <v>1115</v>
      </c>
      <c r="D1120" s="247">
        <f>'Table S2 Compound Identifiers'!B1122</f>
        <v>0</v>
      </c>
      <c r="E1120" s="247"/>
      <c r="F1120" s="248"/>
      <c r="G1120" s="249"/>
      <c r="H1120" s="330"/>
      <c r="I1120" s="328"/>
      <c r="J1120" s="249"/>
      <c r="K1120" s="330"/>
      <c r="L1120" s="250"/>
      <c r="M1120" s="249"/>
      <c r="N1120" s="330"/>
      <c r="O1120" s="250"/>
      <c r="P1120" s="249"/>
      <c r="Q1120" s="330"/>
      <c r="R1120" s="250"/>
      <c r="S1120" s="249"/>
      <c r="T1120" s="330"/>
      <c r="U1120" s="250"/>
      <c r="V1120" s="249"/>
      <c r="W1120" s="330"/>
      <c r="X1120" s="343"/>
      <c r="Y1120" s="249"/>
      <c r="Z1120" s="330"/>
      <c r="AA1120" s="343"/>
      <c r="AB1120" s="249"/>
      <c r="AC1120" s="330"/>
      <c r="AD1120" s="343"/>
      <c r="AE1120" s="249"/>
      <c r="AF1120" s="330"/>
      <c r="AG1120" s="343"/>
      <c r="AH1120" s="249"/>
      <c r="AI1120" s="330"/>
      <c r="AJ1120" s="343"/>
      <c r="AK1120" s="249"/>
      <c r="AL1120" s="330"/>
      <c r="AM1120" s="343"/>
      <c r="AN1120" s="249"/>
      <c r="AO1120" s="330"/>
      <c r="AP1120" s="343"/>
      <c r="AQ1120" s="249"/>
      <c r="AR1120" s="330"/>
      <c r="AS1120" s="343"/>
      <c r="AT1120" s="249"/>
      <c r="AU1120" s="330"/>
    </row>
    <row r="1121" spans="2:47">
      <c r="B1121" s="247">
        <f>'Table S2 Compound Identifiers'!C1123</f>
        <v>0</v>
      </c>
      <c r="C1121" s="247">
        <f>COUNTIF($D$6:D1121,"&lt;&gt;"&amp;"")</f>
        <v>1116</v>
      </c>
      <c r="D1121" s="247">
        <f>'Table S2 Compound Identifiers'!B1123</f>
        <v>0</v>
      </c>
      <c r="E1121" s="247"/>
      <c r="F1121" s="248"/>
      <c r="G1121" s="249"/>
      <c r="H1121" s="330"/>
      <c r="I1121" s="328"/>
      <c r="J1121" s="249"/>
      <c r="K1121" s="330"/>
      <c r="L1121" s="250"/>
      <c r="M1121" s="249"/>
      <c r="N1121" s="330"/>
      <c r="O1121" s="250"/>
      <c r="P1121" s="249"/>
      <c r="Q1121" s="330"/>
      <c r="R1121" s="250"/>
      <c r="S1121" s="249"/>
      <c r="T1121" s="330"/>
      <c r="U1121" s="250"/>
      <c r="V1121" s="249"/>
      <c r="W1121" s="330"/>
      <c r="X1121" s="343"/>
      <c r="Y1121" s="249"/>
      <c r="Z1121" s="330"/>
      <c r="AA1121" s="343"/>
      <c r="AB1121" s="249"/>
      <c r="AC1121" s="330"/>
      <c r="AD1121" s="343"/>
      <c r="AE1121" s="249"/>
      <c r="AF1121" s="330"/>
      <c r="AG1121" s="343"/>
      <c r="AH1121" s="249"/>
      <c r="AI1121" s="330"/>
      <c r="AJ1121" s="343"/>
      <c r="AK1121" s="249"/>
      <c r="AL1121" s="330"/>
      <c r="AM1121" s="343"/>
      <c r="AN1121" s="249"/>
      <c r="AO1121" s="330"/>
      <c r="AP1121" s="343"/>
      <c r="AQ1121" s="249"/>
      <c r="AR1121" s="330"/>
      <c r="AS1121" s="343"/>
      <c r="AT1121" s="249"/>
      <c r="AU1121" s="330"/>
    </row>
    <row r="1122" spans="2:47">
      <c r="B1122" s="247">
        <f>'Table S2 Compound Identifiers'!C1124</f>
        <v>0</v>
      </c>
      <c r="C1122" s="247">
        <f>COUNTIF($D$6:D1122,"&lt;&gt;"&amp;"")</f>
        <v>1117</v>
      </c>
      <c r="D1122" s="247">
        <f>'Table S2 Compound Identifiers'!B1124</f>
        <v>0</v>
      </c>
      <c r="E1122" s="247"/>
      <c r="F1122" s="248"/>
      <c r="G1122" s="249"/>
      <c r="H1122" s="330"/>
      <c r="I1122" s="328"/>
      <c r="J1122" s="249"/>
      <c r="K1122" s="330"/>
      <c r="L1122" s="250"/>
      <c r="M1122" s="249"/>
      <c r="N1122" s="330"/>
      <c r="O1122" s="250"/>
      <c r="P1122" s="249"/>
      <c r="Q1122" s="330"/>
      <c r="R1122" s="250"/>
      <c r="S1122" s="249"/>
      <c r="T1122" s="330"/>
      <c r="U1122" s="250"/>
      <c r="V1122" s="249"/>
      <c r="W1122" s="330"/>
      <c r="X1122" s="343"/>
      <c r="Y1122" s="249"/>
      <c r="Z1122" s="330"/>
      <c r="AA1122" s="343"/>
      <c r="AB1122" s="249"/>
      <c r="AC1122" s="330"/>
      <c r="AD1122" s="343"/>
      <c r="AE1122" s="249"/>
      <c r="AF1122" s="330"/>
      <c r="AG1122" s="343"/>
      <c r="AH1122" s="249"/>
      <c r="AI1122" s="330"/>
      <c r="AJ1122" s="343"/>
      <c r="AK1122" s="249"/>
      <c r="AL1122" s="330"/>
      <c r="AM1122" s="343"/>
      <c r="AN1122" s="249"/>
      <c r="AO1122" s="330"/>
      <c r="AP1122" s="343"/>
      <c r="AQ1122" s="249"/>
      <c r="AR1122" s="330"/>
      <c r="AS1122" s="343"/>
      <c r="AT1122" s="249"/>
      <c r="AU1122" s="330"/>
    </row>
    <row r="1123" spans="2:47">
      <c r="B1123" s="247">
        <f>'Table S2 Compound Identifiers'!C1125</f>
        <v>0</v>
      </c>
      <c r="C1123" s="247">
        <f>COUNTIF($D$6:D1123,"&lt;&gt;"&amp;"")</f>
        <v>1118</v>
      </c>
      <c r="D1123" s="247">
        <f>'Table S2 Compound Identifiers'!B1125</f>
        <v>0</v>
      </c>
      <c r="E1123" s="247"/>
      <c r="F1123" s="248"/>
      <c r="G1123" s="249"/>
      <c r="H1123" s="330"/>
      <c r="I1123" s="328"/>
      <c r="J1123" s="249"/>
      <c r="K1123" s="330"/>
      <c r="L1123" s="250"/>
      <c r="M1123" s="249"/>
      <c r="N1123" s="330"/>
      <c r="O1123" s="250"/>
      <c r="P1123" s="249"/>
      <c r="Q1123" s="330"/>
      <c r="R1123" s="250"/>
      <c r="S1123" s="249"/>
      <c r="T1123" s="330"/>
      <c r="U1123" s="250"/>
      <c r="V1123" s="249"/>
      <c r="W1123" s="330"/>
      <c r="X1123" s="343"/>
      <c r="Y1123" s="249"/>
      <c r="Z1123" s="330"/>
      <c r="AA1123" s="343"/>
      <c r="AB1123" s="249"/>
      <c r="AC1123" s="330"/>
      <c r="AD1123" s="343"/>
      <c r="AE1123" s="249"/>
      <c r="AF1123" s="330"/>
      <c r="AG1123" s="343"/>
      <c r="AH1123" s="249"/>
      <c r="AI1123" s="330"/>
      <c r="AJ1123" s="343"/>
      <c r="AK1123" s="249"/>
      <c r="AL1123" s="330"/>
      <c r="AM1123" s="343"/>
      <c r="AN1123" s="249"/>
      <c r="AO1123" s="330"/>
      <c r="AP1123" s="343"/>
      <c r="AQ1123" s="249"/>
      <c r="AR1123" s="330"/>
      <c r="AS1123" s="343"/>
      <c r="AT1123" s="249"/>
      <c r="AU1123" s="330"/>
    </row>
    <row r="1124" spans="2:47">
      <c r="B1124" s="247">
        <f>'Table S2 Compound Identifiers'!C1126</f>
        <v>0</v>
      </c>
      <c r="C1124" s="247">
        <f>COUNTIF($D$6:D1124,"&lt;&gt;"&amp;"")</f>
        <v>1119</v>
      </c>
      <c r="D1124" s="247">
        <f>'Table S2 Compound Identifiers'!B1126</f>
        <v>0</v>
      </c>
      <c r="E1124" s="247"/>
      <c r="F1124" s="248"/>
      <c r="G1124" s="249"/>
      <c r="H1124" s="330"/>
      <c r="I1124" s="328"/>
      <c r="J1124" s="249"/>
      <c r="K1124" s="330"/>
      <c r="L1124" s="250"/>
      <c r="M1124" s="249"/>
      <c r="N1124" s="330"/>
      <c r="O1124" s="250"/>
      <c r="P1124" s="249"/>
      <c r="Q1124" s="330"/>
      <c r="R1124" s="250"/>
      <c r="S1124" s="249"/>
      <c r="T1124" s="330"/>
      <c r="U1124" s="250"/>
      <c r="V1124" s="249"/>
      <c r="W1124" s="330"/>
      <c r="X1124" s="343"/>
      <c r="Y1124" s="249"/>
      <c r="Z1124" s="330"/>
      <c r="AA1124" s="343"/>
      <c r="AB1124" s="249"/>
      <c r="AC1124" s="330"/>
      <c r="AD1124" s="343"/>
      <c r="AE1124" s="249"/>
      <c r="AF1124" s="330"/>
      <c r="AG1124" s="343"/>
      <c r="AH1124" s="249"/>
      <c r="AI1124" s="330"/>
      <c r="AJ1124" s="343"/>
      <c r="AK1124" s="249"/>
      <c r="AL1124" s="330"/>
      <c r="AM1124" s="343"/>
      <c r="AN1124" s="249"/>
      <c r="AO1124" s="330"/>
      <c r="AP1124" s="343"/>
      <c r="AQ1124" s="249"/>
      <c r="AR1124" s="330"/>
      <c r="AS1124" s="343"/>
      <c r="AT1124" s="249"/>
      <c r="AU1124" s="330"/>
    </row>
    <row r="1125" spans="2:47">
      <c r="B1125" s="247">
        <f>'Table S2 Compound Identifiers'!C1127</f>
        <v>0</v>
      </c>
      <c r="C1125" s="247">
        <f>COUNTIF($D$6:D1125,"&lt;&gt;"&amp;"")</f>
        <v>1120</v>
      </c>
      <c r="D1125" s="247">
        <f>'Table S2 Compound Identifiers'!B1127</f>
        <v>0</v>
      </c>
      <c r="E1125" s="247"/>
      <c r="F1125" s="248"/>
      <c r="G1125" s="249"/>
      <c r="H1125" s="330"/>
      <c r="I1125" s="328"/>
      <c r="J1125" s="249"/>
      <c r="K1125" s="330"/>
      <c r="L1125" s="250"/>
      <c r="M1125" s="249"/>
      <c r="N1125" s="330"/>
      <c r="O1125" s="250"/>
      <c r="P1125" s="249"/>
      <c r="Q1125" s="330"/>
      <c r="R1125" s="250"/>
      <c r="S1125" s="249"/>
      <c r="T1125" s="330"/>
      <c r="U1125" s="250"/>
      <c r="V1125" s="249"/>
      <c r="W1125" s="330"/>
      <c r="X1125" s="343"/>
      <c r="Y1125" s="249"/>
      <c r="Z1125" s="330"/>
      <c r="AA1125" s="343"/>
      <c r="AB1125" s="249"/>
      <c r="AC1125" s="330"/>
      <c r="AD1125" s="343"/>
      <c r="AE1125" s="249"/>
      <c r="AF1125" s="330"/>
      <c r="AG1125" s="343"/>
      <c r="AH1125" s="249"/>
      <c r="AI1125" s="330"/>
      <c r="AJ1125" s="343"/>
      <c r="AK1125" s="249"/>
      <c r="AL1125" s="330"/>
      <c r="AM1125" s="343"/>
      <c r="AN1125" s="249"/>
      <c r="AO1125" s="330"/>
      <c r="AP1125" s="343"/>
      <c r="AQ1125" s="249"/>
      <c r="AR1125" s="330"/>
      <c r="AS1125" s="343"/>
      <c r="AT1125" s="249"/>
      <c r="AU1125" s="330"/>
    </row>
    <row r="1126" spans="2:47">
      <c r="B1126" s="247">
        <f>'Table S2 Compound Identifiers'!C1128</f>
        <v>0</v>
      </c>
      <c r="C1126" s="247">
        <f>COUNTIF($D$6:D1126,"&lt;&gt;"&amp;"")</f>
        <v>1121</v>
      </c>
      <c r="D1126" s="247">
        <f>'Table S2 Compound Identifiers'!B1128</f>
        <v>0</v>
      </c>
      <c r="E1126" s="247"/>
      <c r="F1126" s="248"/>
      <c r="G1126" s="249"/>
      <c r="H1126" s="330"/>
      <c r="I1126" s="328"/>
      <c r="J1126" s="249"/>
      <c r="K1126" s="330"/>
      <c r="L1126" s="250"/>
      <c r="M1126" s="249"/>
      <c r="N1126" s="330"/>
      <c r="O1126" s="250"/>
      <c r="P1126" s="249"/>
      <c r="Q1126" s="330"/>
      <c r="R1126" s="250"/>
      <c r="S1126" s="249"/>
      <c r="T1126" s="330"/>
      <c r="U1126" s="250"/>
      <c r="V1126" s="249"/>
      <c r="W1126" s="330"/>
      <c r="X1126" s="343"/>
      <c r="Y1126" s="249"/>
      <c r="Z1126" s="330"/>
      <c r="AA1126" s="343"/>
      <c r="AB1126" s="249"/>
      <c r="AC1126" s="330"/>
      <c r="AD1126" s="343"/>
      <c r="AE1126" s="249"/>
      <c r="AF1126" s="330"/>
      <c r="AG1126" s="343"/>
      <c r="AH1126" s="249"/>
      <c r="AI1126" s="330"/>
      <c r="AJ1126" s="343"/>
      <c r="AK1126" s="249"/>
      <c r="AL1126" s="330"/>
      <c r="AM1126" s="343"/>
      <c r="AN1126" s="249"/>
      <c r="AO1126" s="330"/>
      <c r="AP1126" s="343"/>
      <c r="AQ1126" s="249"/>
      <c r="AR1126" s="330"/>
      <c r="AS1126" s="343"/>
      <c r="AT1126" s="249"/>
      <c r="AU1126" s="330"/>
    </row>
    <row r="1127" spans="2:47">
      <c r="B1127" s="247">
        <f>'Table S2 Compound Identifiers'!C1129</f>
        <v>0</v>
      </c>
      <c r="C1127" s="247">
        <f>COUNTIF($D$6:D1127,"&lt;&gt;"&amp;"")</f>
        <v>1122</v>
      </c>
      <c r="D1127" s="247">
        <f>'Table S2 Compound Identifiers'!B1129</f>
        <v>0</v>
      </c>
      <c r="E1127" s="247"/>
      <c r="F1127" s="248"/>
      <c r="G1127" s="249"/>
      <c r="H1127" s="330"/>
      <c r="I1127" s="328"/>
      <c r="J1127" s="249"/>
      <c r="K1127" s="330"/>
      <c r="L1127" s="250"/>
      <c r="M1127" s="249"/>
      <c r="N1127" s="330"/>
      <c r="O1127" s="250"/>
      <c r="P1127" s="249"/>
      <c r="Q1127" s="330"/>
      <c r="R1127" s="250"/>
      <c r="S1127" s="249"/>
      <c r="T1127" s="330"/>
      <c r="U1127" s="250"/>
      <c r="V1127" s="249"/>
      <c r="W1127" s="330"/>
      <c r="X1127" s="343"/>
      <c r="Y1127" s="249"/>
      <c r="Z1127" s="330"/>
      <c r="AA1127" s="343"/>
      <c r="AB1127" s="249"/>
      <c r="AC1127" s="330"/>
      <c r="AD1127" s="343"/>
      <c r="AE1127" s="249"/>
      <c r="AF1127" s="330"/>
      <c r="AG1127" s="343"/>
      <c r="AH1127" s="249"/>
      <c r="AI1127" s="330"/>
      <c r="AJ1127" s="343"/>
      <c r="AK1127" s="249"/>
      <c r="AL1127" s="330"/>
      <c r="AM1127" s="343"/>
      <c r="AN1127" s="249"/>
      <c r="AO1127" s="330"/>
      <c r="AP1127" s="343"/>
      <c r="AQ1127" s="249"/>
      <c r="AR1127" s="330"/>
      <c r="AS1127" s="343"/>
      <c r="AT1127" s="249"/>
      <c r="AU1127" s="330"/>
    </row>
    <row r="1128" spans="2:47">
      <c r="B1128" s="247">
        <f>'Table S2 Compound Identifiers'!C1130</f>
        <v>0</v>
      </c>
      <c r="C1128" s="247">
        <f>COUNTIF($D$6:D1128,"&lt;&gt;"&amp;"")</f>
        <v>1123</v>
      </c>
      <c r="D1128" s="247">
        <f>'Table S2 Compound Identifiers'!B1130</f>
        <v>0</v>
      </c>
      <c r="E1128" s="247"/>
      <c r="F1128" s="248"/>
      <c r="G1128" s="249"/>
      <c r="H1128" s="330"/>
      <c r="I1128" s="328"/>
      <c r="J1128" s="249"/>
      <c r="K1128" s="330"/>
      <c r="L1128" s="250"/>
      <c r="M1128" s="249"/>
      <c r="N1128" s="330"/>
      <c r="O1128" s="250"/>
      <c r="P1128" s="249"/>
      <c r="Q1128" s="330"/>
      <c r="R1128" s="250"/>
      <c r="S1128" s="249"/>
      <c r="T1128" s="330"/>
      <c r="U1128" s="250"/>
      <c r="V1128" s="249"/>
      <c r="W1128" s="330"/>
      <c r="X1128" s="343"/>
      <c r="Y1128" s="249"/>
      <c r="Z1128" s="330"/>
      <c r="AA1128" s="343"/>
      <c r="AB1128" s="249"/>
      <c r="AC1128" s="330"/>
      <c r="AD1128" s="343"/>
      <c r="AE1128" s="249"/>
      <c r="AF1128" s="330"/>
      <c r="AG1128" s="343"/>
      <c r="AH1128" s="249"/>
      <c r="AI1128" s="330"/>
      <c r="AJ1128" s="343"/>
      <c r="AK1128" s="249"/>
      <c r="AL1128" s="330"/>
      <c r="AM1128" s="343"/>
      <c r="AN1128" s="249"/>
      <c r="AO1128" s="330"/>
      <c r="AP1128" s="343"/>
      <c r="AQ1128" s="249"/>
      <c r="AR1128" s="330"/>
      <c r="AS1128" s="343"/>
      <c r="AT1128" s="249"/>
      <c r="AU1128" s="330"/>
    </row>
    <row r="1129" spans="2:47">
      <c r="B1129" s="247">
        <f>'Table S2 Compound Identifiers'!C1131</f>
        <v>0</v>
      </c>
      <c r="C1129" s="247">
        <f>COUNTIF($D$6:D1129,"&lt;&gt;"&amp;"")</f>
        <v>1124</v>
      </c>
      <c r="D1129" s="247">
        <f>'Table S2 Compound Identifiers'!B1131</f>
        <v>0</v>
      </c>
      <c r="E1129" s="247"/>
      <c r="F1129" s="248"/>
      <c r="G1129" s="249"/>
      <c r="H1129" s="330"/>
      <c r="I1129" s="328"/>
      <c r="J1129" s="249"/>
      <c r="K1129" s="330"/>
      <c r="L1129" s="250"/>
      <c r="M1129" s="249"/>
      <c r="N1129" s="330"/>
      <c r="O1129" s="250"/>
      <c r="P1129" s="249"/>
      <c r="Q1129" s="330"/>
      <c r="R1129" s="250"/>
      <c r="S1129" s="249"/>
      <c r="T1129" s="330"/>
      <c r="U1129" s="250"/>
      <c r="V1129" s="249"/>
      <c r="W1129" s="330"/>
      <c r="X1129" s="343"/>
      <c r="Y1129" s="249"/>
      <c r="Z1129" s="330"/>
      <c r="AA1129" s="343"/>
      <c r="AB1129" s="249"/>
      <c r="AC1129" s="330"/>
      <c r="AD1129" s="343"/>
      <c r="AE1129" s="249"/>
      <c r="AF1129" s="330"/>
      <c r="AG1129" s="343"/>
      <c r="AH1129" s="249"/>
      <c r="AI1129" s="330"/>
      <c r="AJ1129" s="343"/>
      <c r="AK1129" s="249"/>
      <c r="AL1129" s="330"/>
      <c r="AM1129" s="343"/>
      <c r="AN1129" s="249"/>
      <c r="AO1129" s="330"/>
      <c r="AP1129" s="343"/>
      <c r="AQ1129" s="249"/>
      <c r="AR1129" s="330"/>
      <c r="AS1129" s="343"/>
      <c r="AT1129" s="249"/>
      <c r="AU1129" s="330"/>
    </row>
    <row r="1130" spans="2:47">
      <c r="B1130" s="247">
        <f>'Table S2 Compound Identifiers'!C1132</f>
        <v>0</v>
      </c>
      <c r="C1130" s="247">
        <f>COUNTIF($D$6:D1130,"&lt;&gt;"&amp;"")</f>
        <v>1125</v>
      </c>
      <c r="D1130" s="247">
        <f>'Table S2 Compound Identifiers'!B1132</f>
        <v>0</v>
      </c>
      <c r="E1130" s="247"/>
      <c r="F1130" s="248"/>
      <c r="G1130" s="249"/>
      <c r="H1130" s="330"/>
      <c r="I1130" s="328"/>
      <c r="J1130" s="249"/>
      <c r="K1130" s="330"/>
      <c r="L1130" s="250"/>
      <c r="M1130" s="249"/>
      <c r="N1130" s="330"/>
      <c r="O1130" s="250"/>
      <c r="P1130" s="249"/>
      <c r="Q1130" s="330"/>
      <c r="R1130" s="250"/>
      <c r="S1130" s="249"/>
      <c r="T1130" s="330"/>
      <c r="U1130" s="250"/>
      <c r="V1130" s="249"/>
      <c r="W1130" s="330"/>
      <c r="X1130" s="343"/>
      <c r="Y1130" s="249"/>
      <c r="Z1130" s="330"/>
      <c r="AA1130" s="343"/>
      <c r="AB1130" s="249"/>
      <c r="AC1130" s="330"/>
      <c r="AD1130" s="343"/>
      <c r="AE1130" s="249"/>
      <c r="AF1130" s="330"/>
      <c r="AG1130" s="343"/>
      <c r="AH1130" s="249"/>
      <c r="AI1130" s="330"/>
      <c r="AJ1130" s="343"/>
      <c r="AK1130" s="249"/>
      <c r="AL1130" s="330"/>
      <c r="AM1130" s="343"/>
      <c r="AN1130" s="249"/>
      <c r="AO1130" s="330"/>
      <c r="AP1130" s="343"/>
      <c r="AQ1130" s="249"/>
      <c r="AR1130" s="330"/>
      <c r="AS1130" s="343"/>
      <c r="AT1130" s="249"/>
      <c r="AU1130" s="330"/>
    </row>
    <row r="1131" spans="2:47">
      <c r="B1131" s="247">
        <f>'Table S2 Compound Identifiers'!C1133</f>
        <v>0</v>
      </c>
      <c r="C1131" s="247">
        <f>COUNTIF($D$6:D1131,"&lt;&gt;"&amp;"")</f>
        <v>1126</v>
      </c>
      <c r="D1131" s="247">
        <f>'Table S2 Compound Identifiers'!B1133</f>
        <v>0</v>
      </c>
      <c r="E1131" s="247"/>
      <c r="F1131" s="248"/>
      <c r="G1131" s="249"/>
      <c r="H1131" s="330"/>
      <c r="I1131" s="328"/>
      <c r="J1131" s="249"/>
      <c r="K1131" s="330"/>
      <c r="L1131" s="250"/>
      <c r="M1131" s="249"/>
      <c r="N1131" s="330"/>
      <c r="O1131" s="250"/>
      <c r="P1131" s="249"/>
      <c r="Q1131" s="330"/>
      <c r="R1131" s="250"/>
      <c r="S1131" s="249"/>
      <c r="T1131" s="330"/>
      <c r="U1131" s="250"/>
      <c r="V1131" s="249"/>
      <c r="W1131" s="330"/>
      <c r="X1131" s="343"/>
      <c r="Y1131" s="249"/>
      <c r="Z1131" s="330"/>
      <c r="AA1131" s="343"/>
      <c r="AB1131" s="249"/>
      <c r="AC1131" s="330"/>
      <c r="AD1131" s="343"/>
      <c r="AE1131" s="249"/>
      <c r="AF1131" s="330"/>
      <c r="AG1131" s="343"/>
      <c r="AH1131" s="249"/>
      <c r="AI1131" s="330"/>
      <c r="AJ1131" s="343"/>
      <c r="AK1131" s="249"/>
      <c r="AL1131" s="330"/>
      <c r="AM1131" s="343"/>
      <c r="AN1131" s="249"/>
      <c r="AO1131" s="330"/>
      <c r="AP1131" s="343"/>
      <c r="AQ1131" s="249"/>
      <c r="AR1131" s="330"/>
      <c r="AS1131" s="343"/>
      <c r="AT1131" s="249"/>
      <c r="AU1131" s="330"/>
    </row>
    <row r="1132" spans="2:47">
      <c r="B1132" s="247">
        <f>'Table S2 Compound Identifiers'!C1134</f>
        <v>0</v>
      </c>
      <c r="C1132" s="247">
        <f>COUNTIF($D$6:D1132,"&lt;&gt;"&amp;"")</f>
        <v>1127</v>
      </c>
      <c r="D1132" s="247">
        <f>'Table S2 Compound Identifiers'!B1134</f>
        <v>0</v>
      </c>
      <c r="E1132" s="247"/>
      <c r="F1132" s="248"/>
      <c r="G1132" s="249"/>
      <c r="H1132" s="330"/>
      <c r="I1132" s="328"/>
      <c r="J1132" s="249"/>
      <c r="K1132" s="330"/>
      <c r="L1132" s="250"/>
      <c r="M1132" s="249"/>
      <c r="N1132" s="330"/>
      <c r="O1132" s="250"/>
      <c r="P1132" s="249"/>
      <c r="Q1132" s="330"/>
      <c r="R1132" s="250"/>
      <c r="S1132" s="249"/>
      <c r="T1132" s="330"/>
      <c r="U1132" s="250"/>
      <c r="V1132" s="249"/>
      <c r="W1132" s="330"/>
      <c r="X1132" s="343"/>
      <c r="Y1132" s="249"/>
      <c r="Z1132" s="330"/>
      <c r="AA1132" s="343"/>
      <c r="AB1132" s="249"/>
      <c r="AC1132" s="330"/>
      <c r="AD1132" s="343"/>
      <c r="AE1132" s="249"/>
      <c r="AF1132" s="330"/>
      <c r="AG1132" s="343"/>
      <c r="AH1132" s="249"/>
      <c r="AI1132" s="330"/>
      <c r="AJ1132" s="343"/>
      <c r="AK1132" s="249"/>
      <c r="AL1132" s="330"/>
      <c r="AM1132" s="343"/>
      <c r="AN1132" s="249"/>
      <c r="AO1132" s="330"/>
      <c r="AP1132" s="343"/>
      <c r="AQ1132" s="249"/>
      <c r="AR1132" s="330"/>
      <c r="AS1132" s="343"/>
      <c r="AT1132" s="249"/>
      <c r="AU1132" s="330"/>
    </row>
    <row r="1133" spans="2:47">
      <c r="B1133" s="247">
        <f>'Table S2 Compound Identifiers'!C1135</f>
        <v>0</v>
      </c>
      <c r="C1133" s="247">
        <f>COUNTIF($D$6:D1133,"&lt;&gt;"&amp;"")</f>
        <v>1128</v>
      </c>
      <c r="D1133" s="247">
        <f>'Table S2 Compound Identifiers'!B1135</f>
        <v>0</v>
      </c>
      <c r="E1133" s="247"/>
      <c r="F1133" s="248"/>
      <c r="G1133" s="249"/>
      <c r="H1133" s="330"/>
      <c r="I1133" s="328"/>
      <c r="J1133" s="249"/>
      <c r="K1133" s="330"/>
      <c r="L1133" s="250"/>
      <c r="M1133" s="249"/>
      <c r="N1133" s="330"/>
      <c r="O1133" s="250"/>
      <c r="P1133" s="249"/>
      <c r="Q1133" s="330"/>
      <c r="R1133" s="250"/>
      <c r="S1133" s="249"/>
      <c r="T1133" s="330"/>
      <c r="U1133" s="250"/>
      <c r="V1133" s="249"/>
      <c r="W1133" s="330"/>
      <c r="X1133" s="343"/>
      <c r="Y1133" s="249"/>
      <c r="Z1133" s="330"/>
      <c r="AA1133" s="343"/>
      <c r="AB1133" s="249"/>
      <c r="AC1133" s="330"/>
      <c r="AD1133" s="343"/>
      <c r="AE1133" s="249"/>
      <c r="AF1133" s="330"/>
      <c r="AG1133" s="343"/>
      <c r="AH1133" s="249"/>
      <c r="AI1133" s="330"/>
      <c r="AJ1133" s="343"/>
      <c r="AK1133" s="249"/>
      <c r="AL1133" s="330"/>
      <c r="AM1133" s="343"/>
      <c r="AN1133" s="249"/>
      <c r="AO1133" s="330"/>
      <c r="AP1133" s="343"/>
      <c r="AQ1133" s="249"/>
      <c r="AR1133" s="330"/>
      <c r="AS1133" s="343"/>
      <c r="AT1133" s="249"/>
      <c r="AU1133" s="330"/>
    </row>
    <row r="1134" spans="2:47">
      <c r="B1134" s="247">
        <f>'Table S2 Compound Identifiers'!C1136</f>
        <v>0</v>
      </c>
      <c r="C1134" s="247">
        <f>COUNTIF($D$6:D1134,"&lt;&gt;"&amp;"")</f>
        <v>1129</v>
      </c>
      <c r="D1134" s="247">
        <f>'Table S2 Compound Identifiers'!B1136</f>
        <v>0</v>
      </c>
      <c r="E1134" s="247"/>
      <c r="F1134" s="248"/>
      <c r="G1134" s="249"/>
      <c r="H1134" s="330"/>
      <c r="I1134" s="328"/>
      <c r="J1134" s="249"/>
      <c r="K1134" s="330"/>
      <c r="L1134" s="250"/>
      <c r="M1134" s="249"/>
      <c r="N1134" s="330"/>
      <c r="O1134" s="250"/>
      <c r="P1134" s="249"/>
      <c r="Q1134" s="330"/>
      <c r="R1134" s="250"/>
      <c r="S1134" s="249"/>
      <c r="T1134" s="330"/>
      <c r="U1134" s="250"/>
      <c r="V1134" s="249"/>
      <c r="W1134" s="330"/>
      <c r="X1134" s="343"/>
      <c r="Y1134" s="249"/>
      <c r="Z1134" s="330"/>
      <c r="AA1134" s="343"/>
      <c r="AB1134" s="249"/>
      <c r="AC1134" s="330"/>
      <c r="AD1134" s="343"/>
      <c r="AE1134" s="249"/>
      <c r="AF1134" s="330"/>
      <c r="AG1134" s="343"/>
      <c r="AH1134" s="249"/>
      <c r="AI1134" s="330"/>
      <c r="AJ1134" s="343"/>
      <c r="AK1134" s="249"/>
      <c r="AL1134" s="330"/>
      <c r="AM1134" s="343"/>
      <c r="AN1134" s="249"/>
      <c r="AO1134" s="330"/>
      <c r="AP1134" s="343"/>
      <c r="AQ1134" s="249"/>
      <c r="AR1134" s="330"/>
      <c r="AS1134" s="343"/>
      <c r="AT1134" s="249"/>
      <c r="AU1134" s="330"/>
    </row>
    <row r="1135" spans="2:47">
      <c r="B1135" s="247">
        <f>'Table S2 Compound Identifiers'!C1137</f>
        <v>0</v>
      </c>
      <c r="C1135" s="247">
        <f>COUNTIF($D$6:D1135,"&lt;&gt;"&amp;"")</f>
        <v>1130</v>
      </c>
      <c r="D1135" s="247">
        <f>'Table S2 Compound Identifiers'!B1137</f>
        <v>0</v>
      </c>
      <c r="E1135" s="247"/>
      <c r="F1135" s="248"/>
      <c r="G1135" s="249"/>
      <c r="H1135" s="330"/>
      <c r="I1135" s="328"/>
      <c r="J1135" s="249"/>
      <c r="K1135" s="330"/>
      <c r="L1135" s="250"/>
      <c r="M1135" s="249"/>
      <c r="N1135" s="330"/>
      <c r="O1135" s="250"/>
      <c r="P1135" s="249"/>
      <c r="Q1135" s="330"/>
      <c r="R1135" s="250"/>
      <c r="S1135" s="249"/>
      <c r="T1135" s="330"/>
      <c r="U1135" s="250"/>
      <c r="V1135" s="249"/>
      <c r="W1135" s="330"/>
      <c r="X1135" s="343"/>
      <c r="Y1135" s="249"/>
      <c r="Z1135" s="330"/>
      <c r="AA1135" s="343"/>
      <c r="AB1135" s="249"/>
      <c r="AC1135" s="330"/>
      <c r="AD1135" s="343"/>
      <c r="AE1135" s="249"/>
      <c r="AF1135" s="330"/>
      <c r="AG1135" s="343"/>
      <c r="AH1135" s="249"/>
      <c r="AI1135" s="330"/>
      <c r="AJ1135" s="343"/>
      <c r="AK1135" s="249"/>
      <c r="AL1135" s="330"/>
      <c r="AM1135" s="343"/>
      <c r="AN1135" s="249"/>
      <c r="AO1135" s="330"/>
      <c r="AP1135" s="343"/>
      <c r="AQ1135" s="249"/>
      <c r="AR1135" s="330"/>
      <c r="AS1135" s="343"/>
      <c r="AT1135" s="249"/>
      <c r="AU1135" s="330"/>
    </row>
    <row r="1136" spans="2:47">
      <c r="B1136" s="247">
        <f>'Table S2 Compound Identifiers'!C1138</f>
        <v>0</v>
      </c>
      <c r="C1136" s="247">
        <f>COUNTIF($D$6:D1136,"&lt;&gt;"&amp;"")</f>
        <v>1131</v>
      </c>
      <c r="D1136" s="247">
        <f>'Table S2 Compound Identifiers'!B1138</f>
        <v>0</v>
      </c>
      <c r="E1136" s="247"/>
      <c r="F1136" s="248"/>
      <c r="G1136" s="249"/>
      <c r="H1136" s="330"/>
      <c r="I1136" s="328"/>
      <c r="J1136" s="249"/>
      <c r="K1136" s="330"/>
      <c r="L1136" s="250"/>
      <c r="M1136" s="249"/>
      <c r="N1136" s="330"/>
      <c r="O1136" s="250"/>
      <c r="P1136" s="249"/>
      <c r="Q1136" s="330"/>
      <c r="R1136" s="250"/>
      <c r="S1136" s="249"/>
      <c r="T1136" s="330"/>
      <c r="U1136" s="250"/>
      <c r="V1136" s="249"/>
      <c r="W1136" s="330"/>
      <c r="X1136" s="343"/>
      <c r="Y1136" s="249"/>
      <c r="Z1136" s="330"/>
      <c r="AA1136" s="343"/>
      <c r="AB1136" s="249"/>
      <c r="AC1136" s="330"/>
      <c r="AD1136" s="343"/>
      <c r="AE1136" s="249"/>
      <c r="AF1136" s="330"/>
      <c r="AG1136" s="343"/>
      <c r="AH1136" s="249"/>
      <c r="AI1136" s="330"/>
      <c r="AJ1136" s="343"/>
      <c r="AK1136" s="249"/>
      <c r="AL1136" s="330"/>
      <c r="AM1136" s="343"/>
      <c r="AN1136" s="249"/>
      <c r="AO1136" s="330"/>
      <c r="AP1136" s="343"/>
      <c r="AQ1136" s="249"/>
      <c r="AR1136" s="330"/>
      <c r="AS1136" s="343"/>
      <c r="AT1136" s="249"/>
      <c r="AU1136" s="330"/>
    </row>
    <row r="1137" spans="2:47">
      <c r="B1137" s="247">
        <f>'Table S2 Compound Identifiers'!C1139</f>
        <v>0</v>
      </c>
      <c r="C1137" s="247">
        <f>COUNTIF($D$6:D1137,"&lt;&gt;"&amp;"")</f>
        <v>1132</v>
      </c>
      <c r="D1137" s="247">
        <f>'Table S2 Compound Identifiers'!B1139</f>
        <v>0</v>
      </c>
      <c r="E1137" s="247"/>
      <c r="F1137" s="248"/>
      <c r="G1137" s="249"/>
      <c r="H1137" s="330"/>
      <c r="I1137" s="328"/>
      <c r="J1137" s="249"/>
      <c r="K1137" s="330"/>
      <c r="L1137" s="250"/>
      <c r="M1137" s="249"/>
      <c r="N1137" s="330"/>
      <c r="O1137" s="250"/>
      <c r="P1137" s="249"/>
      <c r="Q1137" s="330"/>
      <c r="R1137" s="250"/>
      <c r="S1137" s="249"/>
      <c r="T1137" s="330"/>
      <c r="U1137" s="250"/>
      <c r="V1137" s="249"/>
      <c r="W1137" s="330"/>
      <c r="X1137" s="343"/>
      <c r="Y1137" s="249"/>
      <c r="Z1137" s="330"/>
      <c r="AA1137" s="343"/>
      <c r="AB1137" s="249"/>
      <c r="AC1137" s="330"/>
      <c r="AD1137" s="343"/>
      <c r="AE1137" s="249"/>
      <c r="AF1137" s="330"/>
      <c r="AG1137" s="343"/>
      <c r="AH1137" s="249"/>
      <c r="AI1137" s="330"/>
      <c r="AJ1137" s="343"/>
      <c r="AK1137" s="249"/>
      <c r="AL1137" s="330"/>
      <c r="AM1137" s="343"/>
      <c r="AN1137" s="249"/>
      <c r="AO1137" s="330"/>
      <c r="AP1137" s="343"/>
      <c r="AQ1137" s="249"/>
      <c r="AR1137" s="330"/>
      <c r="AS1137" s="343"/>
      <c r="AT1137" s="249"/>
      <c r="AU1137" s="330"/>
    </row>
    <row r="1138" spans="2:47">
      <c r="B1138" s="247">
        <f>'Table S2 Compound Identifiers'!C1140</f>
        <v>0</v>
      </c>
      <c r="C1138" s="247">
        <f>COUNTIF($D$6:D1138,"&lt;&gt;"&amp;"")</f>
        <v>1133</v>
      </c>
      <c r="D1138" s="247">
        <f>'Table S2 Compound Identifiers'!B1140</f>
        <v>0</v>
      </c>
      <c r="E1138" s="247"/>
      <c r="F1138" s="248"/>
      <c r="G1138" s="249"/>
      <c r="H1138" s="330"/>
      <c r="I1138" s="328"/>
      <c r="J1138" s="249"/>
      <c r="K1138" s="330"/>
      <c r="L1138" s="250"/>
      <c r="M1138" s="249"/>
      <c r="N1138" s="330"/>
      <c r="O1138" s="250"/>
      <c r="P1138" s="249"/>
      <c r="Q1138" s="330"/>
      <c r="R1138" s="250"/>
      <c r="S1138" s="249"/>
      <c r="T1138" s="330"/>
      <c r="U1138" s="250"/>
      <c r="V1138" s="249"/>
      <c r="W1138" s="330"/>
      <c r="X1138" s="343"/>
      <c r="Y1138" s="249"/>
      <c r="Z1138" s="330"/>
      <c r="AA1138" s="343"/>
      <c r="AB1138" s="249"/>
      <c r="AC1138" s="330"/>
      <c r="AD1138" s="343"/>
      <c r="AE1138" s="249"/>
      <c r="AF1138" s="330"/>
      <c r="AG1138" s="343"/>
      <c r="AH1138" s="249"/>
      <c r="AI1138" s="330"/>
      <c r="AJ1138" s="343"/>
      <c r="AK1138" s="249"/>
      <c r="AL1138" s="330"/>
      <c r="AM1138" s="343"/>
      <c r="AN1138" s="249"/>
      <c r="AO1138" s="330"/>
      <c r="AP1138" s="343"/>
      <c r="AQ1138" s="249"/>
      <c r="AR1138" s="330"/>
      <c r="AS1138" s="343"/>
      <c r="AT1138" s="249"/>
      <c r="AU1138" s="330"/>
    </row>
    <row r="1139" spans="2:47">
      <c r="B1139" s="247">
        <f>'Table S2 Compound Identifiers'!C1141</f>
        <v>0</v>
      </c>
      <c r="C1139" s="247">
        <f>COUNTIF($D$6:D1139,"&lt;&gt;"&amp;"")</f>
        <v>1134</v>
      </c>
      <c r="D1139" s="247">
        <f>'Table S2 Compound Identifiers'!B1141</f>
        <v>0</v>
      </c>
      <c r="E1139" s="247"/>
      <c r="F1139" s="248"/>
      <c r="G1139" s="249"/>
      <c r="H1139" s="330"/>
      <c r="I1139" s="328"/>
      <c r="J1139" s="249"/>
      <c r="K1139" s="330"/>
      <c r="L1139" s="250"/>
      <c r="M1139" s="249"/>
      <c r="N1139" s="330"/>
      <c r="O1139" s="250"/>
      <c r="P1139" s="249"/>
      <c r="Q1139" s="330"/>
      <c r="R1139" s="250"/>
      <c r="S1139" s="249"/>
      <c r="T1139" s="330"/>
      <c r="U1139" s="250"/>
      <c r="V1139" s="249"/>
      <c r="W1139" s="330"/>
      <c r="X1139" s="343"/>
      <c r="Y1139" s="249"/>
      <c r="Z1139" s="330"/>
      <c r="AA1139" s="343"/>
      <c r="AB1139" s="249"/>
      <c r="AC1139" s="330"/>
      <c r="AD1139" s="343"/>
      <c r="AE1139" s="249"/>
      <c r="AF1139" s="330"/>
      <c r="AG1139" s="343"/>
      <c r="AH1139" s="249"/>
      <c r="AI1139" s="330"/>
      <c r="AJ1139" s="343"/>
      <c r="AK1139" s="249"/>
      <c r="AL1139" s="330"/>
      <c r="AM1139" s="343"/>
      <c r="AN1139" s="249"/>
      <c r="AO1139" s="330"/>
      <c r="AP1139" s="343"/>
      <c r="AQ1139" s="249"/>
      <c r="AR1139" s="330"/>
      <c r="AS1139" s="343"/>
      <c r="AT1139" s="249"/>
      <c r="AU1139" s="330"/>
    </row>
    <row r="1140" spans="2:47">
      <c r="B1140" s="247">
        <f>'Table S2 Compound Identifiers'!C1142</f>
        <v>0</v>
      </c>
      <c r="C1140" s="247">
        <f>COUNTIF($D$6:D1140,"&lt;&gt;"&amp;"")</f>
        <v>1135</v>
      </c>
      <c r="D1140" s="247">
        <f>'Table S2 Compound Identifiers'!B1142</f>
        <v>0</v>
      </c>
      <c r="E1140" s="247"/>
      <c r="F1140" s="248"/>
      <c r="G1140" s="249"/>
      <c r="H1140" s="330"/>
      <c r="I1140" s="328"/>
      <c r="J1140" s="249"/>
      <c r="K1140" s="330"/>
      <c r="L1140" s="250"/>
      <c r="M1140" s="249"/>
      <c r="N1140" s="330"/>
      <c r="O1140" s="250"/>
      <c r="P1140" s="249"/>
      <c r="Q1140" s="330"/>
      <c r="R1140" s="250"/>
      <c r="S1140" s="249"/>
      <c r="T1140" s="330"/>
      <c r="U1140" s="250"/>
      <c r="V1140" s="249"/>
      <c r="W1140" s="330"/>
      <c r="X1140" s="343"/>
      <c r="Y1140" s="249"/>
      <c r="Z1140" s="330"/>
      <c r="AA1140" s="343"/>
      <c r="AB1140" s="249"/>
      <c r="AC1140" s="330"/>
      <c r="AD1140" s="343"/>
      <c r="AE1140" s="249"/>
      <c r="AF1140" s="330"/>
      <c r="AG1140" s="343"/>
      <c r="AH1140" s="249"/>
      <c r="AI1140" s="330"/>
      <c r="AJ1140" s="343"/>
      <c r="AK1140" s="249"/>
      <c r="AL1140" s="330"/>
      <c r="AM1140" s="343"/>
      <c r="AN1140" s="249"/>
      <c r="AO1140" s="330"/>
      <c r="AP1140" s="343"/>
      <c r="AQ1140" s="249"/>
      <c r="AR1140" s="330"/>
      <c r="AS1140" s="343"/>
      <c r="AT1140" s="249"/>
      <c r="AU1140" s="330"/>
    </row>
    <row r="1141" spans="2:47">
      <c r="B1141" s="247">
        <f>'Table S2 Compound Identifiers'!C1143</f>
        <v>0</v>
      </c>
      <c r="C1141" s="247">
        <f>COUNTIF($D$6:D1141,"&lt;&gt;"&amp;"")</f>
        <v>1136</v>
      </c>
      <c r="D1141" s="247">
        <f>'Table S2 Compound Identifiers'!B1143</f>
        <v>0</v>
      </c>
      <c r="E1141" s="247"/>
      <c r="F1141" s="248"/>
      <c r="G1141" s="249"/>
      <c r="H1141" s="330"/>
      <c r="I1141" s="328"/>
      <c r="J1141" s="249"/>
      <c r="K1141" s="330"/>
      <c r="L1141" s="250"/>
      <c r="M1141" s="249"/>
      <c r="N1141" s="330"/>
      <c r="O1141" s="250"/>
      <c r="P1141" s="249"/>
      <c r="Q1141" s="330"/>
      <c r="R1141" s="250"/>
      <c r="S1141" s="249"/>
      <c r="T1141" s="330"/>
      <c r="U1141" s="250"/>
      <c r="V1141" s="249"/>
      <c r="W1141" s="330"/>
      <c r="X1141" s="343"/>
      <c r="Y1141" s="249"/>
      <c r="Z1141" s="330"/>
      <c r="AA1141" s="343"/>
      <c r="AB1141" s="249"/>
      <c r="AC1141" s="330"/>
      <c r="AD1141" s="343"/>
      <c r="AE1141" s="249"/>
      <c r="AF1141" s="330"/>
      <c r="AG1141" s="343"/>
      <c r="AH1141" s="249"/>
      <c r="AI1141" s="330"/>
      <c r="AJ1141" s="343"/>
      <c r="AK1141" s="249"/>
      <c r="AL1141" s="330"/>
      <c r="AM1141" s="343"/>
      <c r="AN1141" s="249"/>
      <c r="AO1141" s="330"/>
      <c r="AP1141" s="343"/>
      <c r="AQ1141" s="249"/>
      <c r="AR1141" s="330"/>
      <c r="AS1141" s="343"/>
      <c r="AT1141" s="249"/>
      <c r="AU1141" s="330"/>
    </row>
    <row r="1142" spans="2:47">
      <c r="B1142" s="247">
        <f>'Table S2 Compound Identifiers'!C1144</f>
        <v>0</v>
      </c>
      <c r="C1142" s="247">
        <f>COUNTIF($D$6:D1142,"&lt;&gt;"&amp;"")</f>
        <v>1137</v>
      </c>
      <c r="D1142" s="247">
        <f>'Table S2 Compound Identifiers'!B1144</f>
        <v>0</v>
      </c>
      <c r="E1142" s="247"/>
      <c r="F1142" s="248"/>
      <c r="G1142" s="249"/>
      <c r="H1142" s="330"/>
      <c r="I1142" s="328"/>
      <c r="J1142" s="249"/>
      <c r="K1142" s="330"/>
      <c r="L1142" s="250"/>
      <c r="M1142" s="249"/>
      <c r="N1142" s="330"/>
      <c r="O1142" s="250"/>
      <c r="P1142" s="249"/>
      <c r="Q1142" s="330"/>
      <c r="R1142" s="250"/>
      <c r="S1142" s="249"/>
      <c r="T1142" s="330"/>
      <c r="U1142" s="250"/>
      <c r="V1142" s="249"/>
      <c r="W1142" s="330"/>
      <c r="X1142" s="343"/>
      <c r="Y1142" s="249"/>
      <c r="Z1142" s="330"/>
      <c r="AA1142" s="343"/>
      <c r="AB1142" s="249"/>
      <c r="AC1142" s="330"/>
      <c r="AD1142" s="343"/>
      <c r="AE1142" s="249"/>
      <c r="AF1142" s="330"/>
      <c r="AG1142" s="343"/>
      <c r="AH1142" s="249"/>
      <c r="AI1142" s="330"/>
      <c r="AJ1142" s="343"/>
      <c r="AK1142" s="249"/>
      <c r="AL1142" s="330"/>
      <c r="AM1142" s="343"/>
      <c r="AN1142" s="249"/>
      <c r="AO1142" s="330"/>
      <c r="AP1142" s="343"/>
      <c r="AQ1142" s="249"/>
      <c r="AR1142" s="330"/>
      <c r="AS1142" s="343"/>
      <c r="AT1142" s="249"/>
      <c r="AU1142" s="330"/>
    </row>
    <row r="1143" spans="2:47">
      <c r="B1143" s="247">
        <f>'Table S2 Compound Identifiers'!C1145</f>
        <v>0</v>
      </c>
      <c r="C1143" s="247">
        <f>COUNTIF($D$6:D1143,"&lt;&gt;"&amp;"")</f>
        <v>1138</v>
      </c>
      <c r="D1143" s="247">
        <f>'Table S2 Compound Identifiers'!B1145</f>
        <v>0</v>
      </c>
      <c r="E1143" s="247"/>
      <c r="F1143" s="248"/>
      <c r="G1143" s="249"/>
      <c r="H1143" s="330"/>
      <c r="I1143" s="328"/>
      <c r="J1143" s="249"/>
      <c r="K1143" s="330"/>
      <c r="L1143" s="250"/>
      <c r="M1143" s="249"/>
      <c r="N1143" s="330"/>
      <c r="O1143" s="250"/>
      <c r="P1143" s="249"/>
      <c r="Q1143" s="330"/>
      <c r="R1143" s="250"/>
      <c r="S1143" s="249"/>
      <c r="T1143" s="330"/>
      <c r="U1143" s="250"/>
      <c r="V1143" s="249"/>
      <c r="W1143" s="330"/>
      <c r="X1143" s="343"/>
      <c r="Y1143" s="249"/>
      <c r="Z1143" s="330"/>
      <c r="AA1143" s="343"/>
      <c r="AB1143" s="249"/>
      <c r="AC1143" s="330"/>
      <c r="AD1143" s="343"/>
      <c r="AE1143" s="249"/>
      <c r="AF1143" s="330"/>
      <c r="AG1143" s="343"/>
      <c r="AH1143" s="249"/>
      <c r="AI1143" s="330"/>
      <c r="AJ1143" s="343"/>
      <c r="AK1143" s="249"/>
      <c r="AL1143" s="330"/>
      <c r="AM1143" s="343"/>
      <c r="AN1143" s="249"/>
      <c r="AO1143" s="330"/>
      <c r="AP1143" s="343"/>
      <c r="AQ1143" s="249"/>
      <c r="AR1143" s="330"/>
      <c r="AS1143" s="343"/>
      <c r="AT1143" s="249"/>
      <c r="AU1143" s="330"/>
    </row>
    <row r="1144" spans="2:47">
      <c r="B1144" s="247">
        <f>'Table S2 Compound Identifiers'!C1146</f>
        <v>0</v>
      </c>
      <c r="C1144" s="247">
        <f>COUNTIF($D$6:D1144,"&lt;&gt;"&amp;"")</f>
        <v>1139</v>
      </c>
      <c r="D1144" s="247">
        <f>'Table S2 Compound Identifiers'!B1146</f>
        <v>0</v>
      </c>
      <c r="E1144" s="247"/>
      <c r="F1144" s="248"/>
      <c r="G1144" s="249"/>
      <c r="H1144" s="330"/>
      <c r="I1144" s="328"/>
      <c r="J1144" s="249"/>
      <c r="K1144" s="330"/>
      <c r="L1144" s="250"/>
      <c r="M1144" s="249"/>
      <c r="N1144" s="330"/>
      <c r="O1144" s="250"/>
      <c r="P1144" s="249"/>
      <c r="Q1144" s="330"/>
      <c r="R1144" s="250"/>
      <c r="S1144" s="249"/>
      <c r="T1144" s="330"/>
      <c r="U1144" s="250"/>
      <c r="V1144" s="249"/>
      <c r="W1144" s="330"/>
      <c r="X1144" s="343"/>
      <c r="Y1144" s="249"/>
      <c r="Z1144" s="330"/>
      <c r="AA1144" s="343"/>
      <c r="AB1144" s="249"/>
      <c r="AC1144" s="330"/>
      <c r="AD1144" s="343"/>
      <c r="AE1144" s="249"/>
      <c r="AF1144" s="330"/>
      <c r="AG1144" s="343"/>
      <c r="AH1144" s="249"/>
      <c r="AI1144" s="330"/>
      <c r="AJ1144" s="343"/>
      <c r="AK1144" s="249"/>
      <c r="AL1144" s="330"/>
      <c r="AM1144" s="343"/>
      <c r="AN1144" s="249"/>
      <c r="AO1144" s="330"/>
      <c r="AP1144" s="343"/>
      <c r="AQ1144" s="249"/>
      <c r="AR1144" s="330"/>
      <c r="AS1144" s="343"/>
      <c r="AT1144" s="249"/>
      <c r="AU1144" s="330"/>
    </row>
    <row r="1145" spans="2:47">
      <c r="B1145" s="247">
        <f>'Table S2 Compound Identifiers'!C1147</f>
        <v>0</v>
      </c>
      <c r="C1145" s="247">
        <f>COUNTIF($D$6:D1145,"&lt;&gt;"&amp;"")</f>
        <v>1140</v>
      </c>
      <c r="D1145" s="247">
        <f>'Table S2 Compound Identifiers'!B1147</f>
        <v>0</v>
      </c>
      <c r="E1145" s="247"/>
      <c r="F1145" s="248"/>
      <c r="G1145" s="249"/>
      <c r="H1145" s="330"/>
      <c r="I1145" s="328"/>
      <c r="J1145" s="249"/>
      <c r="K1145" s="330"/>
      <c r="L1145" s="250"/>
      <c r="M1145" s="249"/>
      <c r="N1145" s="330"/>
      <c r="O1145" s="250"/>
      <c r="P1145" s="249"/>
      <c r="Q1145" s="330"/>
      <c r="R1145" s="250"/>
      <c r="S1145" s="249"/>
      <c r="T1145" s="330"/>
      <c r="U1145" s="250"/>
      <c r="V1145" s="249"/>
      <c r="W1145" s="330"/>
      <c r="X1145" s="343"/>
      <c r="Y1145" s="249"/>
      <c r="Z1145" s="330"/>
      <c r="AA1145" s="343"/>
      <c r="AB1145" s="249"/>
      <c r="AC1145" s="330"/>
      <c r="AD1145" s="343"/>
      <c r="AE1145" s="249"/>
      <c r="AF1145" s="330"/>
      <c r="AG1145" s="343"/>
      <c r="AH1145" s="249"/>
      <c r="AI1145" s="330"/>
      <c r="AJ1145" s="343"/>
      <c r="AK1145" s="249"/>
      <c r="AL1145" s="330"/>
      <c r="AM1145" s="343"/>
      <c r="AN1145" s="249"/>
      <c r="AO1145" s="330"/>
      <c r="AP1145" s="343"/>
      <c r="AQ1145" s="249"/>
      <c r="AR1145" s="330"/>
      <c r="AS1145" s="343"/>
      <c r="AT1145" s="249"/>
      <c r="AU1145" s="330"/>
    </row>
    <row r="1146" spans="2:47">
      <c r="B1146" s="247">
        <f>'Table S2 Compound Identifiers'!C1148</f>
        <v>0</v>
      </c>
      <c r="C1146" s="247">
        <f>COUNTIF($D$6:D1146,"&lt;&gt;"&amp;"")</f>
        <v>1141</v>
      </c>
      <c r="D1146" s="247">
        <f>'Table S2 Compound Identifiers'!B1148</f>
        <v>0</v>
      </c>
      <c r="E1146" s="247"/>
      <c r="F1146" s="248"/>
      <c r="G1146" s="249"/>
      <c r="H1146" s="330"/>
      <c r="I1146" s="328"/>
      <c r="J1146" s="249"/>
      <c r="K1146" s="330"/>
      <c r="L1146" s="250"/>
      <c r="M1146" s="249"/>
      <c r="N1146" s="330"/>
      <c r="O1146" s="250"/>
      <c r="P1146" s="249"/>
      <c r="Q1146" s="330"/>
      <c r="R1146" s="250"/>
      <c r="S1146" s="249"/>
      <c r="T1146" s="330"/>
      <c r="U1146" s="250"/>
      <c r="V1146" s="249"/>
      <c r="W1146" s="330"/>
      <c r="X1146" s="343"/>
      <c r="Y1146" s="249"/>
      <c r="Z1146" s="330"/>
      <c r="AA1146" s="343"/>
      <c r="AB1146" s="249"/>
      <c r="AC1146" s="330"/>
      <c r="AD1146" s="343"/>
      <c r="AE1146" s="249"/>
      <c r="AF1146" s="330"/>
      <c r="AG1146" s="343"/>
      <c r="AH1146" s="249"/>
      <c r="AI1146" s="330"/>
      <c r="AJ1146" s="343"/>
      <c r="AK1146" s="249"/>
      <c r="AL1146" s="330"/>
      <c r="AM1146" s="343"/>
      <c r="AN1146" s="249"/>
      <c r="AO1146" s="330"/>
      <c r="AP1146" s="343"/>
      <c r="AQ1146" s="249"/>
      <c r="AR1146" s="330"/>
      <c r="AS1146" s="343"/>
      <c r="AT1146" s="249"/>
      <c r="AU1146" s="330"/>
    </row>
    <row r="1147" spans="2:47">
      <c r="B1147" s="247">
        <f>'Table S2 Compound Identifiers'!C1149</f>
        <v>0</v>
      </c>
      <c r="C1147" s="247">
        <f>COUNTIF($D$6:D1147,"&lt;&gt;"&amp;"")</f>
        <v>1142</v>
      </c>
      <c r="D1147" s="247">
        <f>'Table S2 Compound Identifiers'!B1149</f>
        <v>0</v>
      </c>
      <c r="E1147" s="247"/>
      <c r="F1147" s="248"/>
      <c r="G1147" s="249"/>
      <c r="H1147" s="330"/>
      <c r="I1147" s="328"/>
      <c r="J1147" s="249"/>
      <c r="K1147" s="330"/>
      <c r="L1147" s="250"/>
      <c r="M1147" s="249"/>
      <c r="N1147" s="330"/>
      <c r="O1147" s="250"/>
      <c r="P1147" s="249"/>
      <c r="Q1147" s="330"/>
      <c r="R1147" s="250"/>
      <c r="S1147" s="249"/>
      <c r="T1147" s="330"/>
      <c r="U1147" s="250"/>
      <c r="V1147" s="249"/>
      <c r="W1147" s="330"/>
      <c r="X1147" s="343"/>
      <c r="Y1147" s="249"/>
      <c r="Z1147" s="330"/>
      <c r="AA1147" s="343"/>
      <c r="AB1147" s="249"/>
      <c r="AC1147" s="330"/>
      <c r="AD1147" s="343"/>
      <c r="AE1147" s="249"/>
      <c r="AF1147" s="330"/>
      <c r="AG1147" s="343"/>
      <c r="AH1147" s="249"/>
      <c r="AI1147" s="330"/>
      <c r="AJ1147" s="343"/>
      <c r="AK1147" s="249"/>
      <c r="AL1147" s="330"/>
      <c r="AM1147" s="343"/>
      <c r="AN1147" s="249"/>
      <c r="AO1147" s="330"/>
      <c r="AP1147" s="343"/>
      <c r="AQ1147" s="249"/>
      <c r="AR1147" s="330"/>
      <c r="AS1147" s="343"/>
      <c r="AT1147" s="249"/>
      <c r="AU1147" s="330"/>
    </row>
    <row r="1148" spans="2:47">
      <c r="B1148" s="247">
        <f>'Table S2 Compound Identifiers'!C1150</f>
        <v>0</v>
      </c>
      <c r="C1148" s="247">
        <f>COUNTIF($D$6:D1148,"&lt;&gt;"&amp;"")</f>
        <v>1143</v>
      </c>
      <c r="D1148" s="247">
        <f>'Table S2 Compound Identifiers'!B1150</f>
        <v>0</v>
      </c>
      <c r="E1148" s="247"/>
      <c r="F1148" s="248"/>
      <c r="G1148" s="249"/>
      <c r="H1148" s="330"/>
      <c r="I1148" s="328"/>
      <c r="J1148" s="249"/>
      <c r="K1148" s="330"/>
      <c r="L1148" s="250"/>
      <c r="M1148" s="249"/>
      <c r="N1148" s="330"/>
      <c r="O1148" s="250"/>
      <c r="P1148" s="249"/>
      <c r="Q1148" s="330"/>
      <c r="R1148" s="250"/>
      <c r="S1148" s="249"/>
      <c r="T1148" s="330"/>
      <c r="U1148" s="250"/>
      <c r="V1148" s="249"/>
      <c r="W1148" s="330"/>
      <c r="X1148" s="343"/>
      <c r="Y1148" s="249"/>
      <c r="Z1148" s="330"/>
      <c r="AA1148" s="343"/>
      <c r="AB1148" s="249"/>
      <c r="AC1148" s="330"/>
      <c r="AD1148" s="343"/>
      <c r="AE1148" s="249"/>
      <c r="AF1148" s="330"/>
      <c r="AG1148" s="343"/>
      <c r="AH1148" s="249"/>
      <c r="AI1148" s="330"/>
      <c r="AJ1148" s="343"/>
      <c r="AK1148" s="249"/>
      <c r="AL1148" s="330"/>
      <c r="AM1148" s="343"/>
      <c r="AN1148" s="249"/>
      <c r="AO1148" s="330"/>
      <c r="AP1148" s="343"/>
      <c r="AQ1148" s="249"/>
      <c r="AR1148" s="330"/>
      <c r="AS1148" s="343"/>
      <c r="AT1148" s="249"/>
      <c r="AU1148" s="330"/>
    </row>
    <row r="1149" spans="2:47">
      <c r="B1149" s="247">
        <f>'Table S2 Compound Identifiers'!C1151</f>
        <v>0</v>
      </c>
      <c r="C1149" s="247">
        <f>COUNTIF($D$6:D1149,"&lt;&gt;"&amp;"")</f>
        <v>1144</v>
      </c>
      <c r="D1149" s="247">
        <f>'Table S2 Compound Identifiers'!B1151</f>
        <v>0</v>
      </c>
      <c r="E1149" s="247"/>
      <c r="F1149" s="248"/>
      <c r="G1149" s="249"/>
      <c r="H1149" s="330"/>
      <c r="I1149" s="328"/>
      <c r="J1149" s="249"/>
      <c r="K1149" s="330"/>
      <c r="L1149" s="250"/>
      <c r="M1149" s="249"/>
      <c r="N1149" s="330"/>
      <c r="O1149" s="250"/>
      <c r="P1149" s="249"/>
      <c r="Q1149" s="330"/>
      <c r="R1149" s="250"/>
      <c r="S1149" s="249"/>
      <c r="T1149" s="330"/>
      <c r="U1149" s="250"/>
      <c r="V1149" s="249"/>
      <c r="W1149" s="330"/>
      <c r="X1149" s="343"/>
      <c r="Y1149" s="249"/>
      <c r="Z1149" s="330"/>
      <c r="AA1149" s="343"/>
      <c r="AB1149" s="249"/>
      <c r="AC1149" s="330"/>
      <c r="AD1149" s="343"/>
      <c r="AE1149" s="249"/>
      <c r="AF1149" s="330"/>
      <c r="AG1149" s="343"/>
      <c r="AH1149" s="249"/>
      <c r="AI1149" s="330"/>
      <c r="AJ1149" s="343"/>
      <c r="AK1149" s="249"/>
      <c r="AL1149" s="330"/>
      <c r="AM1149" s="343"/>
      <c r="AN1149" s="249"/>
      <c r="AO1149" s="330"/>
      <c r="AP1149" s="343"/>
      <c r="AQ1149" s="249"/>
      <c r="AR1149" s="330"/>
      <c r="AS1149" s="343"/>
      <c r="AT1149" s="249"/>
      <c r="AU1149" s="330"/>
    </row>
    <row r="1150" spans="2:47">
      <c r="B1150" s="247">
        <f>'Table S2 Compound Identifiers'!C1152</f>
        <v>0</v>
      </c>
      <c r="C1150" s="247">
        <f>COUNTIF($D$6:D1150,"&lt;&gt;"&amp;"")</f>
        <v>1145</v>
      </c>
      <c r="D1150" s="247">
        <f>'Table S2 Compound Identifiers'!B1152</f>
        <v>0</v>
      </c>
      <c r="E1150" s="247"/>
      <c r="F1150" s="248"/>
      <c r="G1150" s="249"/>
      <c r="H1150" s="330"/>
      <c r="I1150" s="328"/>
      <c r="J1150" s="249"/>
      <c r="K1150" s="330"/>
      <c r="L1150" s="250"/>
      <c r="M1150" s="249"/>
      <c r="N1150" s="330"/>
      <c r="O1150" s="250"/>
      <c r="P1150" s="249"/>
      <c r="Q1150" s="330"/>
      <c r="R1150" s="250"/>
      <c r="S1150" s="249"/>
      <c r="T1150" s="330"/>
      <c r="U1150" s="250"/>
      <c r="V1150" s="249"/>
      <c r="W1150" s="330"/>
      <c r="X1150" s="343"/>
      <c r="Y1150" s="249"/>
      <c r="Z1150" s="330"/>
      <c r="AA1150" s="343"/>
      <c r="AB1150" s="249"/>
      <c r="AC1150" s="330"/>
      <c r="AD1150" s="343"/>
      <c r="AE1150" s="249"/>
      <c r="AF1150" s="330"/>
      <c r="AG1150" s="343"/>
      <c r="AH1150" s="249"/>
      <c r="AI1150" s="330"/>
      <c r="AJ1150" s="343"/>
      <c r="AK1150" s="249"/>
      <c r="AL1150" s="330"/>
      <c r="AM1150" s="343"/>
      <c r="AN1150" s="249"/>
      <c r="AO1150" s="330"/>
      <c r="AP1150" s="343"/>
      <c r="AQ1150" s="249"/>
      <c r="AR1150" s="330"/>
      <c r="AS1150" s="343"/>
      <c r="AT1150" s="249"/>
      <c r="AU1150" s="330"/>
    </row>
    <row r="1151" spans="2:47">
      <c r="B1151" s="247">
        <f>'Table S2 Compound Identifiers'!C1153</f>
        <v>0</v>
      </c>
      <c r="C1151" s="247">
        <f>COUNTIF($D$6:D1151,"&lt;&gt;"&amp;"")</f>
        <v>1146</v>
      </c>
      <c r="D1151" s="247">
        <f>'Table S2 Compound Identifiers'!B1153</f>
        <v>0</v>
      </c>
      <c r="E1151" s="247"/>
      <c r="F1151" s="248"/>
      <c r="G1151" s="249"/>
      <c r="H1151" s="330"/>
      <c r="I1151" s="328"/>
      <c r="J1151" s="249"/>
      <c r="K1151" s="330"/>
      <c r="L1151" s="250"/>
      <c r="M1151" s="249"/>
      <c r="N1151" s="330"/>
      <c r="O1151" s="250"/>
      <c r="P1151" s="249"/>
      <c r="Q1151" s="330"/>
      <c r="R1151" s="250"/>
      <c r="S1151" s="249"/>
      <c r="T1151" s="330"/>
      <c r="U1151" s="250"/>
      <c r="V1151" s="249"/>
      <c r="W1151" s="330"/>
      <c r="X1151" s="343"/>
      <c r="Y1151" s="249"/>
      <c r="Z1151" s="330"/>
      <c r="AA1151" s="343"/>
      <c r="AB1151" s="249"/>
      <c r="AC1151" s="330"/>
      <c r="AD1151" s="343"/>
      <c r="AE1151" s="249"/>
      <c r="AF1151" s="330"/>
      <c r="AG1151" s="343"/>
      <c r="AH1151" s="249"/>
      <c r="AI1151" s="330"/>
      <c r="AJ1151" s="343"/>
      <c r="AK1151" s="249"/>
      <c r="AL1151" s="330"/>
      <c r="AM1151" s="343"/>
      <c r="AN1151" s="249"/>
      <c r="AO1151" s="330"/>
      <c r="AP1151" s="343"/>
      <c r="AQ1151" s="249"/>
      <c r="AR1151" s="330"/>
      <c r="AS1151" s="343"/>
      <c r="AT1151" s="249"/>
      <c r="AU1151" s="330"/>
    </row>
    <row r="1152" spans="2:47">
      <c r="B1152" s="247">
        <f>'Table S2 Compound Identifiers'!C1154</f>
        <v>0</v>
      </c>
      <c r="C1152" s="247">
        <f>COUNTIF($D$6:D1152,"&lt;&gt;"&amp;"")</f>
        <v>1147</v>
      </c>
      <c r="D1152" s="247">
        <f>'Table S2 Compound Identifiers'!B1154</f>
        <v>0</v>
      </c>
      <c r="E1152" s="247"/>
      <c r="F1152" s="248"/>
      <c r="G1152" s="249"/>
      <c r="H1152" s="330"/>
      <c r="I1152" s="328"/>
      <c r="J1152" s="249"/>
      <c r="K1152" s="330"/>
      <c r="L1152" s="250"/>
      <c r="M1152" s="249"/>
      <c r="N1152" s="330"/>
      <c r="O1152" s="250"/>
      <c r="P1152" s="249"/>
      <c r="Q1152" s="330"/>
      <c r="R1152" s="250"/>
      <c r="S1152" s="249"/>
      <c r="T1152" s="330"/>
      <c r="U1152" s="250"/>
      <c r="V1152" s="249"/>
      <c r="W1152" s="330"/>
      <c r="X1152" s="343"/>
      <c r="Y1152" s="249"/>
      <c r="Z1152" s="330"/>
      <c r="AA1152" s="343"/>
      <c r="AB1152" s="249"/>
      <c r="AC1152" s="330"/>
      <c r="AD1152" s="343"/>
      <c r="AE1152" s="249"/>
      <c r="AF1152" s="330"/>
      <c r="AG1152" s="343"/>
      <c r="AH1152" s="249"/>
      <c r="AI1152" s="330"/>
      <c r="AJ1152" s="343"/>
      <c r="AK1152" s="249"/>
      <c r="AL1152" s="330"/>
      <c r="AM1152" s="343"/>
      <c r="AN1152" s="249"/>
      <c r="AO1152" s="330"/>
      <c r="AP1152" s="343"/>
      <c r="AQ1152" s="249"/>
      <c r="AR1152" s="330"/>
      <c r="AS1152" s="343"/>
      <c r="AT1152" s="249"/>
      <c r="AU1152" s="330"/>
    </row>
    <row r="1153" spans="2:47">
      <c r="B1153" s="247">
        <f>'Table S2 Compound Identifiers'!C1155</f>
        <v>0</v>
      </c>
      <c r="C1153" s="247">
        <f>COUNTIF($D$6:D1153,"&lt;&gt;"&amp;"")</f>
        <v>1148</v>
      </c>
      <c r="D1153" s="247">
        <f>'Table S2 Compound Identifiers'!B1155</f>
        <v>0</v>
      </c>
      <c r="E1153" s="247"/>
      <c r="F1153" s="248"/>
      <c r="G1153" s="249"/>
      <c r="H1153" s="330"/>
      <c r="I1153" s="328"/>
      <c r="J1153" s="249"/>
      <c r="K1153" s="330"/>
      <c r="L1153" s="250"/>
      <c r="M1153" s="249"/>
      <c r="N1153" s="330"/>
      <c r="O1153" s="250"/>
      <c r="P1153" s="249"/>
      <c r="Q1153" s="330"/>
      <c r="R1153" s="250"/>
      <c r="S1153" s="249"/>
      <c r="T1153" s="330"/>
      <c r="U1153" s="250"/>
      <c r="V1153" s="249"/>
      <c r="W1153" s="330"/>
      <c r="X1153" s="343"/>
      <c r="Y1153" s="249"/>
      <c r="Z1153" s="330"/>
      <c r="AA1153" s="343"/>
      <c r="AB1153" s="249"/>
      <c r="AC1153" s="330"/>
      <c r="AD1153" s="343"/>
      <c r="AE1153" s="249"/>
      <c r="AF1153" s="330"/>
      <c r="AG1153" s="343"/>
      <c r="AH1153" s="249"/>
      <c r="AI1153" s="330"/>
      <c r="AJ1153" s="343"/>
      <c r="AK1153" s="249"/>
      <c r="AL1153" s="330"/>
      <c r="AM1153" s="343"/>
      <c r="AN1153" s="249"/>
      <c r="AO1153" s="330"/>
      <c r="AP1153" s="343"/>
      <c r="AQ1153" s="249"/>
      <c r="AR1153" s="330"/>
      <c r="AS1153" s="343"/>
      <c r="AT1153" s="249"/>
      <c r="AU1153" s="330"/>
    </row>
    <row r="1154" spans="2:47">
      <c r="B1154" s="247">
        <f>'Table S2 Compound Identifiers'!C1156</f>
        <v>0</v>
      </c>
      <c r="C1154" s="247">
        <f>COUNTIF($D$6:D1154,"&lt;&gt;"&amp;"")</f>
        <v>1149</v>
      </c>
      <c r="D1154" s="247">
        <f>'Table S2 Compound Identifiers'!B1156</f>
        <v>0</v>
      </c>
      <c r="E1154" s="247"/>
      <c r="F1154" s="248"/>
      <c r="G1154" s="249"/>
      <c r="H1154" s="330"/>
      <c r="I1154" s="328"/>
      <c r="J1154" s="249"/>
      <c r="K1154" s="330"/>
      <c r="L1154" s="250"/>
      <c r="M1154" s="249"/>
      <c r="N1154" s="330"/>
      <c r="O1154" s="250"/>
      <c r="P1154" s="249"/>
      <c r="Q1154" s="330"/>
      <c r="R1154" s="250"/>
      <c r="S1154" s="249"/>
      <c r="T1154" s="330"/>
      <c r="U1154" s="250"/>
      <c r="V1154" s="249"/>
      <c r="W1154" s="330"/>
      <c r="X1154" s="343"/>
      <c r="Y1154" s="249"/>
      <c r="Z1154" s="330"/>
      <c r="AA1154" s="343"/>
      <c r="AB1154" s="249"/>
      <c r="AC1154" s="330"/>
      <c r="AD1154" s="343"/>
      <c r="AE1154" s="249"/>
      <c r="AF1154" s="330"/>
      <c r="AG1154" s="343"/>
      <c r="AH1154" s="249"/>
      <c r="AI1154" s="330"/>
      <c r="AJ1154" s="343"/>
      <c r="AK1154" s="249"/>
      <c r="AL1154" s="330"/>
      <c r="AM1154" s="343"/>
      <c r="AN1154" s="249"/>
      <c r="AO1154" s="330"/>
      <c r="AP1154" s="343"/>
      <c r="AQ1154" s="249"/>
      <c r="AR1154" s="330"/>
      <c r="AS1154" s="343"/>
      <c r="AT1154" s="249"/>
      <c r="AU1154" s="330"/>
    </row>
    <row r="1155" spans="2:47">
      <c r="B1155" s="247">
        <f>'Table S2 Compound Identifiers'!C1157</f>
        <v>0</v>
      </c>
      <c r="C1155" s="247">
        <f>COUNTIF($D$6:D1155,"&lt;&gt;"&amp;"")</f>
        <v>1150</v>
      </c>
      <c r="D1155" s="247">
        <f>'Table S2 Compound Identifiers'!B1157</f>
        <v>0</v>
      </c>
      <c r="E1155" s="247"/>
      <c r="F1155" s="248"/>
      <c r="G1155" s="249"/>
      <c r="H1155" s="330"/>
      <c r="I1155" s="328"/>
      <c r="J1155" s="249"/>
      <c r="K1155" s="330"/>
      <c r="L1155" s="250"/>
      <c r="M1155" s="249"/>
      <c r="N1155" s="330"/>
      <c r="O1155" s="250"/>
      <c r="P1155" s="249"/>
      <c r="Q1155" s="330"/>
      <c r="R1155" s="250"/>
      <c r="S1155" s="249"/>
      <c r="T1155" s="330"/>
      <c r="U1155" s="250"/>
      <c r="V1155" s="249"/>
      <c r="W1155" s="330"/>
      <c r="X1155" s="343"/>
      <c r="Y1155" s="249"/>
      <c r="Z1155" s="330"/>
      <c r="AA1155" s="343"/>
      <c r="AB1155" s="249"/>
      <c r="AC1155" s="330"/>
      <c r="AD1155" s="343"/>
      <c r="AE1155" s="249"/>
      <c r="AF1155" s="330"/>
      <c r="AG1155" s="343"/>
      <c r="AH1155" s="249"/>
      <c r="AI1155" s="330"/>
      <c r="AJ1155" s="343"/>
      <c r="AK1155" s="249"/>
      <c r="AL1155" s="330"/>
      <c r="AM1155" s="343"/>
      <c r="AN1155" s="249"/>
      <c r="AO1155" s="330"/>
      <c r="AP1155" s="343"/>
      <c r="AQ1155" s="249"/>
      <c r="AR1155" s="330"/>
      <c r="AS1155" s="343"/>
      <c r="AT1155" s="249"/>
      <c r="AU1155" s="330"/>
    </row>
    <row r="1156" spans="2:47">
      <c r="B1156" s="247">
        <f>'Table S2 Compound Identifiers'!C1158</f>
        <v>0</v>
      </c>
      <c r="C1156" s="247">
        <f>COUNTIF($D$6:D1156,"&lt;&gt;"&amp;"")</f>
        <v>1151</v>
      </c>
      <c r="D1156" s="247">
        <f>'Table S2 Compound Identifiers'!B1158</f>
        <v>0</v>
      </c>
      <c r="E1156" s="247"/>
      <c r="F1156" s="248"/>
      <c r="G1156" s="249"/>
      <c r="H1156" s="330"/>
      <c r="I1156" s="328"/>
      <c r="J1156" s="249"/>
      <c r="K1156" s="330"/>
      <c r="L1156" s="250"/>
      <c r="M1156" s="249"/>
      <c r="N1156" s="330"/>
      <c r="O1156" s="250"/>
      <c r="P1156" s="249"/>
      <c r="Q1156" s="330"/>
      <c r="R1156" s="250"/>
      <c r="S1156" s="249"/>
      <c r="T1156" s="330"/>
      <c r="U1156" s="250"/>
      <c r="V1156" s="249"/>
      <c r="W1156" s="330"/>
      <c r="X1156" s="343"/>
      <c r="Y1156" s="249"/>
      <c r="Z1156" s="330"/>
      <c r="AA1156" s="343"/>
      <c r="AB1156" s="249"/>
      <c r="AC1156" s="330"/>
      <c r="AD1156" s="343"/>
      <c r="AE1156" s="249"/>
      <c r="AF1156" s="330"/>
      <c r="AG1156" s="343"/>
      <c r="AH1156" s="249"/>
      <c r="AI1156" s="330"/>
      <c r="AJ1156" s="343"/>
      <c r="AK1156" s="249"/>
      <c r="AL1156" s="330"/>
      <c r="AM1156" s="343"/>
      <c r="AN1156" s="249"/>
      <c r="AO1156" s="330"/>
      <c r="AP1156" s="343"/>
      <c r="AQ1156" s="249"/>
      <c r="AR1156" s="330"/>
      <c r="AS1156" s="343"/>
      <c r="AT1156" s="249"/>
      <c r="AU1156" s="330"/>
    </row>
    <row r="1157" spans="2:47">
      <c r="B1157" s="247">
        <f>'Table S2 Compound Identifiers'!C1159</f>
        <v>0</v>
      </c>
      <c r="C1157" s="247">
        <f>COUNTIF($D$6:D1157,"&lt;&gt;"&amp;"")</f>
        <v>1152</v>
      </c>
      <c r="D1157" s="247">
        <f>'Table S2 Compound Identifiers'!B1159</f>
        <v>0</v>
      </c>
      <c r="E1157" s="247"/>
      <c r="F1157" s="248"/>
      <c r="G1157" s="249"/>
      <c r="H1157" s="330"/>
      <c r="I1157" s="328"/>
      <c r="J1157" s="249"/>
      <c r="K1157" s="330"/>
      <c r="L1157" s="250"/>
      <c r="M1157" s="249"/>
      <c r="N1157" s="330"/>
      <c r="O1157" s="250"/>
      <c r="P1157" s="249"/>
      <c r="Q1157" s="330"/>
      <c r="R1157" s="250"/>
      <c r="S1157" s="249"/>
      <c r="T1157" s="330"/>
      <c r="U1157" s="250"/>
      <c r="V1157" s="249"/>
      <c r="W1157" s="330"/>
      <c r="X1157" s="343"/>
      <c r="Y1157" s="249"/>
      <c r="Z1157" s="330"/>
      <c r="AA1157" s="343"/>
      <c r="AB1157" s="249"/>
      <c r="AC1157" s="330"/>
      <c r="AD1157" s="343"/>
      <c r="AE1157" s="249"/>
      <c r="AF1157" s="330"/>
      <c r="AG1157" s="343"/>
      <c r="AH1157" s="249"/>
      <c r="AI1157" s="330"/>
      <c r="AJ1157" s="343"/>
      <c r="AK1157" s="249"/>
      <c r="AL1157" s="330"/>
      <c r="AM1157" s="343"/>
      <c r="AN1157" s="249"/>
      <c r="AO1157" s="330"/>
      <c r="AP1157" s="343"/>
      <c r="AQ1157" s="249"/>
      <c r="AR1157" s="330"/>
      <c r="AS1157" s="343"/>
      <c r="AT1157" s="249"/>
      <c r="AU1157" s="330"/>
    </row>
    <row r="1158" spans="2:47">
      <c r="B1158" s="247">
        <f>'Table S2 Compound Identifiers'!C1160</f>
        <v>0</v>
      </c>
      <c r="C1158" s="247">
        <f>COUNTIF($D$6:D1158,"&lt;&gt;"&amp;"")</f>
        <v>1153</v>
      </c>
      <c r="D1158" s="247">
        <f>'Table S2 Compound Identifiers'!B1160</f>
        <v>0</v>
      </c>
      <c r="E1158" s="247"/>
      <c r="F1158" s="248"/>
      <c r="G1158" s="249"/>
      <c r="H1158" s="330"/>
      <c r="I1158" s="328"/>
      <c r="J1158" s="249"/>
      <c r="K1158" s="330"/>
      <c r="L1158" s="250"/>
      <c r="M1158" s="249"/>
      <c r="N1158" s="330"/>
      <c r="O1158" s="250"/>
      <c r="P1158" s="249"/>
      <c r="Q1158" s="330"/>
      <c r="R1158" s="250"/>
      <c r="S1158" s="249"/>
      <c r="T1158" s="330"/>
      <c r="U1158" s="250"/>
      <c r="V1158" s="249"/>
      <c r="W1158" s="330"/>
      <c r="X1158" s="343"/>
      <c r="Y1158" s="249"/>
      <c r="Z1158" s="330"/>
      <c r="AA1158" s="343"/>
      <c r="AB1158" s="249"/>
      <c r="AC1158" s="330"/>
      <c r="AD1158" s="343"/>
      <c r="AE1158" s="249"/>
      <c r="AF1158" s="330"/>
      <c r="AG1158" s="343"/>
      <c r="AH1158" s="249"/>
      <c r="AI1158" s="330"/>
      <c r="AJ1158" s="343"/>
      <c r="AK1158" s="249"/>
      <c r="AL1158" s="330"/>
      <c r="AM1158" s="343"/>
      <c r="AN1158" s="249"/>
      <c r="AO1158" s="330"/>
      <c r="AP1158" s="343"/>
      <c r="AQ1158" s="249"/>
      <c r="AR1158" s="330"/>
      <c r="AS1158" s="343"/>
      <c r="AT1158" s="249"/>
      <c r="AU1158" s="330"/>
    </row>
    <row r="1159" spans="2:47">
      <c r="B1159" s="247">
        <f>'Table S2 Compound Identifiers'!C1161</f>
        <v>0</v>
      </c>
      <c r="C1159" s="247">
        <f>COUNTIF($D$6:D1159,"&lt;&gt;"&amp;"")</f>
        <v>1154</v>
      </c>
      <c r="D1159" s="247">
        <f>'Table S2 Compound Identifiers'!B1161</f>
        <v>0</v>
      </c>
      <c r="E1159" s="247"/>
      <c r="F1159" s="248"/>
      <c r="G1159" s="249"/>
      <c r="H1159" s="330"/>
      <c r="I1159" s="328"/>
      <c r="J1159" s="249"/>
      <c r="K1159" s="330"/>
      <c r="L1159" s="250"/>
      <c r="M1159" s="249"/>
      <c r="N1159" s="330"/>
      <c r="O1159" s="250"/>
      <c r="P1159" s="249"/>
      <c r="Q1159" s="330"/>
      <c r="R1159" s="250"/>
      <c r="S1159" s="249"/>
      <c r="T1159" s="330"/>
      <c r="U1159" s="250"/>
      <c r="V1159" s="249"/>
      <c r="W1159" s="330"/>
      <c r="X1159" s="343"/>
      <c r="Y1159" s="249"/>
      <c r="Z1159" s="330"/>
      <c r="AA1159" s="343"/>
      <c r="AB1159" s="249"/>
      <c r="AC1159" s="330"/>
      <c r="AD1159" s="343"/>
      <c r="AE1159" s="249"/>
      <c r="AF1159" s="330"/>
      <c r="AG1159" s="343"/>
      <c r="AH1159" s="249"/>
      <c r="AI1159" s="330"/>
      <c r="AJ1159" s="343"/>
      <c r="AK1159" s="249"/>
      <c r="AL1159" s="330"/>
      <c r="AM1159" s="343"/>
      <c r="AN1159" s="249"/>
      <c r="AO1159" s="330"/>
      <c r="AP1159" s="343"/>
      <c r="AQ1159" s="249"/>
      <c r="AR1159" s="330"/>
      <c r="AS1159" s="343"/>
      <c r="AT1159" s="249"/>
      <c r="AU1159" s="330"/>
    </row>
    <row r="1160" spans="2:47">
      <c r="B1160" s="247">
        <f>'Table S2 Compound Identifiers'!C1162</f>
        <v>0</v>
      </c>
      <c r="C1160" s="247">
        <f>COUNTIF($D$6:D1160,"&lt;&gt;"&amp;"")</f>
        <v>1155</v>
      </c>
      <c r="D1160" s="247">
        <f>'Table S2 Compound Identifiers'!B1162</f>
        <v>0</v>
      </c>
      <c r="E1160" s="247"/>
      <c r="F1160" s="248"/>
      <c r="G1160" s="249"/>
      <c r="H1160" s="330"/>
      <c r="I1160" s="328"/>
      <c r="J1160" s="249"/>
      <c r="K1160" s="330"/>
      <c r="L1160" s="250"/>
      <c r="M1160" s="249"/>
      <c r="N1160" s="330"/>
      <c r="O1160" s="250"/>
      <c r="P1160" s="249"/>
      <c r="Q1160" s="330"/>
      <c r="R1160" s="250"/>
      <c r="S1160" s="249"/>
      <c r="T1160" s="330"/>
      <c r="U1160" s="250"/>
      <c r="V1160" s="249"/>
      <c r="W1160" s="330"/>
      <c r="X1160" s="343"/>
      <c r="Y1160" s="249"/>
      <c r="Z1160" s="330"/>
      <c r="AA1160" s="343"/>
      <c r="AB1160" s="249"/>
      <c r="AC1160" s="330"/>
      <c r="AD1160" s="343"/>
      <c r="AE1160" s="249"/>
      <c r="AF1160" s="330"/>
      <c r="AG1160" s="343"/>
      <c r="AH1160" s="249"/>
      <c r="AI1160" s="330"/>
      <c r="AJ1160" s="343"/>
      <c r="AK1160" s="249"/>
      <c r="AL1160" s="330"/>
      <c r="AM1160" s="343"/>
      <c r="AN1160" s="249"/>
      <c r="AO1160" s="330"/>
      <c r="AP1160" s="343"/>
      <c r="AQ1160" s="249"/>
      <c r="AR1160" s="330"/>
      <c r="AS1160" s="343"/>
      <c r="AT1160" s="249"/>
      <c r="AU1160" s="330"/>
    </row>
    <row r="1161" spans="2:47">
      <c r="B1161" s="247">
        <f>'Table S2 Compound Identifiers'!C1163</f>
        <v>0</v>
      </c>
      <c r="C1161" s="247">
        <f>COUNTIF($D$6:D1161,"&lt;&gt;"&amp;"")</f>
        <v>1156</v>
      </c>
      <c r="D1161" s="247">
        <f>'Table S2 Compound Identifiers'!B1163</f>
        <v>0</v>
      </c>
      <c r="E1161" s="247"/>
      <c r="F1161" s="248"/>
      <c r="G1161" s="249"/>
      <c r="H1161" s="330"/>
      <c r="I1161" s="328"/>
      <c r="J1161" s="249"/>
      <c r="K1161" s="330"/>
      <c r="L1161" s="250"/>
      <c r="M1161" s="249"/>
      <c r="N1161" s="330"/>
      <c r="O1161" s="250"/>
      <c r="P1161" s="249"/>
      <c r="Q1161" s="330"/>
      <c r="R1161" s="250"/>
      <c r="S1161" s="249"/>
      <c r="T1161" s="330"/>
      <c r="U1161" s="250"/>
      <c r="V1161" s="249"/>
      <c r="W1161" s="330"/>
      <c r="X1161" s="343"/>
      <c r="Y1161" s="249"/>
      <c r="Z1161" s="330"/>
      <c r="AA1161" s="343"/>
      <c r="AB1161" s="249"/>
      <c r="AC1161" s="330"/>
      <c r="AD1161" s="343"/>
      <c r="AE1161" s="249"/>
      <c r="AF1161" s="330"/>
      <c r="AG1161" s="343"/>
      <c r="AH1161" s="249"/>
      <c r="AI1161" s="330"/>
      <c r="AJ1161" s="343"/>
      <c r="AK1161" s="249"/>
      <c r="AL1161" s="330"/>
      <c r="AM1161" s="343"/>
      <c r="AN1161" s="249"/>
      <c r="AO1161" s="330"/>
      <c r="AP1161" s="343"/>
      <c r="AQ1161" s="249"/>
      <c r="AR1161" s="330"/>
      <c r="AS1161" s="343"/>
      <c r="AT1161" s="249"/>
      <c r="AU1161" s="330"/>
    </row>
    <row r="1162" spans="2:47">
      <c r="B1162" s="247">
        <f>'Table S2 Compound Identifiers'!C1164</f>
        <v>0</v>
      </c>
      <c r="C1162" s="247">
        <f>COUNTIF($D$6:D1162,"&lt;&gt;"&amp;"")</f>
        <v>1157</v>
      </c>
      <c r="D1162" s="247">
        <f>'Table S2 Compound Identifiers'!B1164</f>
        <v>0</v>
      </c>
      <c r="E1162" s="247"/>
      <c r="F1162" s="248"/>
      <c r="G1162" s="249"/>
      <c r="H1162" s="330"/>
      <c r="I1162" s="328"/>
      <c r="J1162" s="249"/>
      <c r="K1162" s="330"/>
      <c r="L1162" s="250"/>
      <c r="M1162" s="249"/>
      <c r="N1162" s="330"/>
      <c r="O1162" s="250"/>
      <c r="P1162" s="249"/>
      <c r="Q1162" s="330"/>
      <c r="R1162" s="250"/>
      <c r="S1162" s="249"/>
      <c r="T1162" s="330"/>
      <c r="U1162" s="250"/>
      <c r="V1162" s="249"/>
      <c r="W1162" s="330"/>
      <c r="X1162" s="343"/>
      <c r="Y1162" s="249"/>
      <c r="Z1162" s="330"/>
      <c r="AA1162" s="343"/>
      <c r="AB1162" s="249"/>
      <c r="AC1162" s="330"/>
      <c r="AD1162" s="343"/>
      <c r="AE1162" s="249"/>
      <c r="AF1162" s="330"/>
      <c r="AG1162" s="343"/>
      <c r="AH1162" s="249"/>
      <c r="AI1162" s="330"/>
      <c r="AJ1162" s="343"/>
      <c r="AK1162" s="249"/>
      <c r="AL1162" s="330"/>
      <c r="AM1162" s="343"/>
      <c r="AN1162" s="249"/>
      <c r="AO1162" s="330"/>
      <c r="AP1162" s="343"/>
      <c r="AQ1162" s="249"/>
      <c r="AR1162" s="330"/>
      <c r="AS1162" s="343"/>
      <c r="AT1162" s="249"/>
      <c r="AU1162" s="330"/>
    </row>
    <row r="1163" spans="2:47">
      <c r="B1163" s="247">
        <f>'Table S2 Compound Identifiers'!C1165</f>
        <v>0</v>
      </c>
      <c r="C1163" s="247">
        <f>COUNTIF($D$6:D1163,"&lt;&gt;"&amp;"")</f>
        <v>1158</v>
      </c>
      <c r="D1163" s="247">
        <f>'Table S2 Compound Identifiers'!B1165</f>
        <v>0</v>
      </c>
      <c r="E1163" s="247"/>
      <c r="F1163" s="248"/>
      <c r="G1163" s="249"/>
      <c r="H1163" s="330"/>
      <c r="I1163" s="328"/>
      <c r="J1163" s="249"/>
      <c r="K1163" s="330"/>
      <c r="L1163" s="250"/>
      <c r="M1163" s="249"/>
      <c r="N1163" s="330"/>
      <c r="O1163" s="250"/>
      <c r="P1163" s="249"/>
      <c r="Q1163" s="330"/>
      <c r="R1163" s="250"/>
      <c r="S1163" s="249"/>
      <c r="T1163" s="330"/>
      <c r="U1163" s="250"/>
      <c r="V1163" s="249"/>
      <c r="W1163" s="330"/>
      <c r="X1163" s="343"/>
      <c r="Y1163" s="249"/>
      <c r="Z1163" s="330"/>
      <c r="AA1163" s="343"/>
      <c r="AB1163" s="249"/>
      <c r="AC1163" s="330"/>
      <c r="AD1163" s="343"/>
      <c r="AE1163" s="249"/>
      <c r="AF1163" s="330"/>
      <c r="AG1163" s="343"/>
      <c r="AH1163" s="249"/>
      <c r="AI1163" s="330"/>
      <c r="AJ1163" s="343"/>
      <c r="AK1163" s="249"/>
      <c r="AL1163" s="330"/>
      <c r="AM1163" s="343"/>
      <c r="AN1163" s="249"/>
      <c r="AO1163" s="330"/>
      <c r="AP1163" s="343"/>
      <c r="AQ1163" s="249"/>
      <c r="AR1163" s="330"/>
      <c r="AS1163" s="343"/>
      <c r="AT1163" s="249"/>
      <c r="AU1163" s="330"/>
    </row>
    <row r="1164" spans="2:47">
      <c r="B1164" s="247">
        <f>'Table S2 Compound Identifiers'!C1166</f>
        <v>0</v>
      </c>
      <c r="C1164" s="247">
        <f>COUNTIF($D$6:D1164,"&lt;&gt;"&amp;"")</f>
        <v>1159</v>
      </c>
      <c r="D1164" s="247">
        <f>'Table S2 Compound Identifiers'!B1166</f>
        <v>0</v>
      </c>
      <c r="E1164" s="247"/>
      <c r="F1164" s="248"/>
      <c r="G1164" s="249"/>
      <c r="H1164" s="330"/>
      <c r="I1164" s="328"/>
      <c r="J1164" s="249"/>
      <c r="K1164" s="330"/>
      <c r="L1164" s="250"/>
      <c r="M1164" s="249"/>
      <c r="N1164" s="330"/>
      <c r="O1164" s="250"/>
      <c r="P1164" s="249"/>
      <c r="Q1164" s="330"/>
      <c r="R1164" s="250"/>
      <c r="S1164" s="249"/>
      <c r="T1164" s="330"/>
      <c r="U1164" s="250"/>
      <c r="V1164" s="249"/>
      <c r="W1164" s="330"/>
      <c r="X1164" s="343"/>
      <c r="Y1164" s="249"/>
      <c r="Z1164" s="330"/>
      <c r="AA1164" s="343"/>
      <c r="AB1164" s="249"/>
      <c r="AC1164" s="330"/>
      <c r="AD1164" s="343"/>
      <c r="AE1164" s="249"/>
      <c r="AF1164" s="330"/>
      <c r="AG1164" s="343"/>
      <c r="AH1164" s="249"/>
      <c r="AI1164" s="330"/>
      <c r="AJ1164" s="343"/>
      <c r="AK1164" s="249"/>
      <c r="AL1164" s="330"/>
      <c r="AM1164" s="343"/>
      <c r="AN1164" s="249"/>
      <c r="AO1164" s="330"/>
      <c r="AP1164" s="343"/>
      <c r="AQ1164" s="249"/>
      <c r="AR1164" s="330"/>
      <c r="AS1164" s="343"/>
      <c r="AT1164" s="249"/>
      <c r="AU1164" s="330"/>
    </row>
    <row r="1165" spans="2:47">
      <c r="B1165" s="247">
        <f>'Table S2 Compound Identifiers'!C1167</f>
        <v>0</v>
      </c>
      <c r="C1165" s="247">
        <f>COUNTIF($D$6:D1165,"&lt;&gt;"&amp;"")</f>
        <v>1160</v>
      </c>
      <c r="D1165" s="247">
        <f>'Table S2 Compound Identifiers'!B1167</f>
        <v>0</v>
      </c>
      <c r="E1165" s="247"/>
      <c r="F1165" s="248"/>
      <c r="G1165" s="249"/>
      <c r="H1165" s="330"/>
      <c r="I1165" s="328"/>
      <c r="J1165" s="249"/>
      <c r="K1165" s="330"/>
      <c r="L1165" s="250"/>
      <c r="M1165" s="249"/>
      <c r="N1165" s="330"/>
      <c r="O1165" s="250"/>
      <c r="P1165" s="249"/>
      <c r="Q1165" s="330"/>
      <c r="R1165" s="250"/>
      <c r="S1165" s="249"/>
      <c r="T1165" s="330"/>
      <c r="U1165" s="250"/>
      <c r="V1165" s="249"/>
      <c r="W1165" s="330"/>
      <c r="X1165" s="343"/>
      <c r="Y1165" s="249"/>
      <c r="Z1165" s="330"/>
      <c r="AA1165" s="343"/>
      <c r="AB1165" s="249"/>
      <c r="AC1165" s="330"/>
      <c r="AD1165" s="343"/>
      <c r="AE1165" s="249"/>
      <c r="AF1165" s="330"/>
      <c r="AG1165" s="343"/>
      <c r="AH1165" s="249"/>
      <c r="AI1165" s="330"/>
      <c r="AJ1165" s="343"/>
      <c r="AK1165" s="249"/>
      <c r="AL1165" s="330"/>
      <c r="AM1165" s="343"/>
      <c r="AN1165" s="249"/>
      <c r="AO1165" s="330"/>
      <c r="AP1165" s="343"/>
      <c r="AQ1165" s="249"/>
      <c r="AR1165" s="330"/>
      <c r="AS1165" s="343"/>
      <c r="AT1165" s="249"/>
      <c r="AU1165" s="330"/>
    </row>
    <row r="1166" spans="2:47">
      <c r="B1166" s="247">
        <f>'Table S2 Compound Identifiers'!C1168</f>
        <v>0</v>
      </c>
      <c r="C1166" s="247">
        <f>COUNTIF($D$6:D1166,"&lt;&gt;"&amp;"")</f>
        <v>1161</v>
      </c>
      <c r="D1166" s="247">
        <f>'Table S2 Compound Identifiers'!B1168</f>
        <v>0</v>
      </c>
      <c r="E1166" s="247"/>
      <c r="F1166" s="248"/>
      <c r="G1166" s="249"/>
      <c r="H1166" s="330"/>
      <c r="I1166" s="328"/>
      <c r="J1166" s="249"/>
      <c r="K1166" s="330"/>
      <c r="L1166" s="250"/>
      <c r="M1166" s="249"/>
      <c r="N1166" s="330"/>
      <c r="O1166" s="250"/>
      <c r="P1166" s="249"/>
      <c r="Q1166" s="330"/>
      <c r="R1166" s="250"/>
      <c r="S1166" s="249"/>
      <c r="T1166" s="330"/>
      <c r="U1166" s="250"/>
      <c r="V1166" s="249"/>
      <c r="W1166" s="330"/>
      <c r="X1166" s="343"/>
      <c r="Y1166" s="249"/>
      <c r="Z1166" s="330"/>
      <c r="AA1166" s="343"/>
      <c r="AB1166" s="249"/>
      <c r="AC1166" s="330"/>
      <c r="AD1166" s="343"/>
      <c r="AE1166" s="249"/>
      <c r="AF1166" s="330"/>
      <c r="AG1166" s="343"/>
      <c r="AH1166" s="249"/>
      <c r="AI1166" s="330"/>
      <c r="AJ1166" s="343"/>
      <c r="AK1166" s="249"/>
      <c r="AL1166" s="330"/>
      <c r="AM1166" s="343"/>
      <c r="AN1166" s="249"/>
      <c r="AO1166" s="330"/>
      <c r="AP1166" s="343"/>
      <c r="AQ1166" s="249"/>
      <c r="AR1166" s="330"/>
      <c r="AS1166" s="343"/>
      <c r="AT1166" s="249"/>
      <c r="AU1166" s="330"/>
    </row>
    <row r="1167" spans="2:47">
      <c r="B1167" s="247">
        <f>'Table S2 Compound Identifiers'!C1169</f>
        <v>0</v>
      </c>
      <c r="C1167" s="247">
        <f>COUNTIF($D$6:D1167,"&lt;&gt;"&amp;"")</f>
        <v>1162</v>
      </c>
      <c r="D1167" s="247">
        <f>'Table S2 Compound Identifiers'!B1169</f>
        <v>0</v>
      </c>
      <c r="E1167" s="247"/>
      <c r="F1167" s="248"/>
      <c r="G1167" s="249"/>
      <c r="H1167" s="330"/>
      <c r="I1167" s="328"/>
      <c r="J1167" s="249"/>
      <c r="K1167" s="330"/>
      <c r="L1167" s="250"/>
      <c r="M1167" s="249"/>
      <c r="N1167" s="330"/>
      <c r="O1167" s="250"/>
      <c r="P1167" s="249"/>
      <c r="Q1167" s="330"/>
      <c r="R1167" s="250"/>
      <c r="S1167" s="249"/>
      <c r="T1167" s="330"/>
      <c r="U1167" s="250"/>
      <c r="V1167" s="249"/>
      <c r="W1167" s="330"/>
      <c r="X1167" s="343"/>
      <c r="Y1167" s="249"/>
      <c r="Z1167" s="330"/>
      <c r="AA1167" s="343"/>
      <c r="AB1167" s="249"/>
      <c r="AC1167" s="330"/>
      <c r="AD1167" s="343"/>
      <c r="AE1167" s="249"/>
      <c r="AF1167" s="330"/>
      <c r="AG1167" s="343"/>
      <c r="AH1167" s="249"/>
      <c r="AI1167" s="330"/>
      <c r="AJ1167" s="343"/>
      <c r="AK1167" s="249"/>
      <c r="AL1167" s="330"/>
      <c r="AM1167" s="343"/>
      <c r="AN1167" s="249"/>
      <c r="AO1167" s="330"/>
      <c r="AP1167" s="343"/>
      <c r="AQ1167" s="249"/>
      <c r="AR1167" s="330"/>
      <c r="AS1167" s="343"/>
      <c r="AT1167" s="249"/>
      <c r="AU1167" s="330"/>
    </row>
    <row r="1168" spans="2:47">
      <c r="B1168" s="247">
        <f>'Table S2 Compound Identifiers'!C1170</f>
        <v>0</v>
      </c>
      <c r="C1168" s="247">
        <f>COUNTIF($D$6:D1168,"&lt;&gt;"&amp;"")</f>
        <v>1163</v>
      </c>
      <c r="D1168" s="247">
        <f>'Table S2 Compound Identifiers'!B1170</f>
        <v>0</v>
      </c>
      <c r="E1168" s="247"/>
      <c r="F1168" s="248"/>
      <c r="G1168" s="249"/>
      <c r="H1168" s="330"/>
      <c r="I1168" s="328"/>
      <c r="J1168" s="249"/>
      <c r="K1168" s="330"/>
      <c r="L1168" s="250"/>
      <c r="M1168" s="249"/>
      <c r="N1168" s="330"/>
      <c r="O1168" s="250"/>
      <c r="P1168" s="249"/>
      <c r="Q1168" s="330"/>
      <c r="R1168" s="250"/>
      <c r="S1168" s="249"/>
      <c r="T1168" s="330"/>
      <c r="U1168" s="250"/>
      <c r="V1168" s="249"/>
      <c r="W1168" s="330"/>
      <c r="X1168" s="343"/>
      <c r="Y1168" s="249"/>
      <c r="Z1168" s="330"/>
      <c r="AA1168" s="343"/>
      <c r="AB1168" s="249"/>
      <c r="AC1168" s="330"/>
      <c r="AD1168" s="343"/>
      <c r="AE1168" s="249"/>
      <c r="AF1168" s="330"/>
      <c r="AG1168" s="343"/>
      <c r="AH1168" s="249"/>
      <c r="AI1168" s="330"/>
      <c r="AJ1168" s="343"/>
      <c r="AK1168" s="249"/>
      <c r="AL1168" s="330"/>
      <c r="AM1168" s="343"/>
      <c r="AN1168" s="249"/>
      <c r="AO1168" s="330"/>
      <c r="AP1168" s="343"/>
      <c r="AQ1168" s="249"/>
      <c r="AR1168" s="330"/>
      <c r="AS1168" s="343"/>
      <c r="AT1168" s="249"/>
      <c r="AU1168" s="330"/>
    </row>
    <row r="1169" spans="2:47">
      <c r="B1169" s="247">
        <f>'Table S2 Compound Identifiers'!C1171</f>
        <v>0</v>
      </c>
      <c r="C1169" s="247">
        <f>COUNTIF($D$6:D1169,"&lt;&gt;"&amp;"")</f>
        <v>1164</v>
      </c>
      <c r="D1169" s="247">
        <f>'Table S2 Compound Identifiers'!B1171</f>
        <v>0</v>
      </c>
      <c r="E1169" s="247"/>
      <c r="F1169" s="248"/>
      <c r="G1169" s="249"/>
      <c r="H1169" s="330"/>
      <c r="I1169" s="328"/>
      <c r="J1169" s="249"/>
      <c r="K1169" s="330"/>
      <c r="L1169" s="250"/>
      <c r="M1169" s="249"/>
      <c r="N1169" s="330"/>
      <c r="O1169" s="250"/>
      <c r="P1169" s="249"/>
      <c r="Q1169" s="330"/>
      <c r="R1169" s="250"/>
      <c r="S1169" s="249"/>
      <c r="T1169" s="330"/>
      <c r="U1169" s="250"/>
      <c r="V1169" s="249"/>
      <c r="W1169" s="330"/>
      <c r="X1169" s="343"/>
      <c r="Y1169" s="249"/>
      <c r="Z1169" s="330"/>
      <c r="AA1169" s="343"/>
      <c r="AB1169" s="249"/>
      <c r="AC1169" s="330"/>
      <c r="AD1169" s="343"/>
      <c r="AE1169" s="249"/>
      <c r="AF1169" s="330"/>
      <c r="AG1169" s="343"/>
      <c r="AH1169" s="249"/>
      <c r="AI1169" s="330"/>
      <c r="AJ1169" s="343"/>
      <c r="AK1169" s="249"/>
      <c r="AL1169" s="330"/>
      <c r="AM1169" s="343"/>
      <c r="AN1169" s="249"/>
      <c r="AO1169" s="330"/>
      <c r="AP1169" s="343"/>
      <c r="AQ1169" s="249"/>
      <c r="AR1169" s="330"/>
      <c r="AS1169" s="343"/>
      <c r="AT1169" s="249"/>
      <c r="AU1169" s="330"/>
    </row>
    <row r="1170" spans="2:47">
      <c r="B1170" s="247">
        <f>'Table S2 Compound Identifiers'!C1172</f>
        <v>0</v>
      </c>
      <c r="C1170" s="247">
        <f>COUNTIF($D$6:D1170,"&lt;&gt;"&amp;"")</f>
        <v>1165</v>
      </c>
      <c r="D1170" s="247">
        <f>'Table S2 Compound Identifiers'!B1172</f>
        <v>0</v>
      </c>
      <c r="E1170" s="247"/>
      <c r="F1170" s="248"/>
      <c r="G1170" s="249"/>
      <c r="H1170" s="330"/>
      <c r="I1170" s="328"/>
      <c r="J1170" s="249"/>
      <c r="K1170" s="330"/>
      <c r="L1170" s="250"/>
      <c r="M1170" s="249"/>
      <c r="N1170" s="330"/>
      <c r="O1170" s="250"/>
      <c r="P1170" s="249"/>
      <c r="Q1170" s="330"/>
      <c r="R1170" s="250"/>
      <c r="S1170" s="249"/>
      <c r="T1170" s="330"/>
      <c r="U1170" s="250"/>
      <c r="V1170" s="249"/>
      <c r="W1170" s="330"/>
      <c r="X1170" s="343"/>
      <c r="Y1170" s="249"/>
      <c r="Z1170" s="330"/>
      <c r="AA1170" s="343"/>
      <c r="AB1170" s="249"/>
      <c r="AC1170" s="330"/>
      <c r="AD1170" s="343"/>
      <c r="AE1170" s="249"/>
      <c r="AF1170" s="330"/>
      <c r="AG1170" s="343"/>
      <c r="AH1170" s="249"/>
      <c r="AI1170" s="330"/>
      <c r="AJ1170" s="343"/>
      <c r="AK1170" s="249"/>
      <c r="AL1170" s="330"/>
      <c r="AM1170" s="343"/>
      <c r="AN1170" s="249"/>
      <c r="AO1170" s="330"/>
      <c r="AP1170" s="343"/>
      <c r="AQ1170" s="249"/>
      <c r="AR1170" s="330"/>
      <c r="AS1170" s="343"/>
      <c r="AT1170" s="249"/>
      <c r="AU1170" s="330"/>
    </row>
    <row r="1171" spans="2:47">
      <c r="B1171" s="247">
        <f>'Table S2 Compound Identifiers'!C1173</f>
        <v>0</v>
      </c>
      <c r="C1171" s="247">
        <f>COUNTIF($D$6:D1171,"&lt;&gt;"&amp;"")</f>
        <v>1166</v>
      </c>
      <c r="D1171" s="247">
        <f>'Table S2 Compound Identifiers'!B1173</f>
        <v>0</v>
      </c>
      <c r="E1171" s="247"/>
      <c r="F1171" s="248"/>
      <c r="G1171" s="249"/>
      <c r="H1171" s="330"/>
      <c r="I1171" s="328"/>
      <c r="J1171" s="249"/>
      <c r="K1171" s="330"/>
      <c r="L1171" s="250"/>
      <c r="M1171" s="249"/>
      <c r="N1171" s="330"/>
      <c r="O1171" s="250"/>
      <c r="P1171" s="249"/>
      <c r="Q1171" s="330"/>
      <c r="R1171" s="250"/>
      <c r="S1171" s="249"/>
      <c r="T1171" s="330"/>
      <c r="U1171" s="250"/>
      <c r="V1171" s="249"/>
      <c r="W1171" s="330"/>
      <c r="X1171" s="343"/>
      <c r="Y1171" s="249"/>
      <c r="Z1171" s="330"/>
      <c r="AA1171" s="343"/>
      <c r="AB1171" s="249"/>
      <c r="AC1171" s="330"/>
      <c r="AD1171" s="343"/>
      <c r="AE1171" s="249"/>
      <c r="AF1171" s="330"/>
      <c r="AG1171" s="343"/>
      <c r="AH1171" s="249"/>
      <c r="AI1171" s="330"/>
      <c r="AJ1171" s="343"/>
      <c r="AK1171" s="249"/>
      <c r="AL1171" s="330"/>
      <c r="AM1171" s="343"/>
      <c r="AN1171" s="249"/>
      <c r="AO1171" s="330"/>
      <c r="AP1171" s="343"/>
      <c r="AQ1171" s="249"/>
      <c r="AR1171" s="330"/>
      <c r="AS1171" s="343"/>
      <c r="AT1171" s="249"/>
      <c r="AU1171" s="330"/>
    </row>
    <row r="1172" spans="2:47">
      <c r="B1172" s="247">
        <f>'Table S2 Compound Identifiers'!C1174</f>
        <v>0</v>
      </c>
      <c r="C1172" s="247">
        <f>COUNTIF($D$6:D1172,"&lt;&gt;"&amp;"")</f>
        <v>1167</v>
      </c>
      <c r="D1172" s="432">
        <f>'Table S2 Compound Identifiers'!B1174</f>
        <v>0</v>
      </c>
      <c r="E1172" s="247"/>
      <c r="F1172" s="248"/>
      <c r="G1172" s="249"/>
      <c r="H1172" s="330"/>
      <c r="I1172" s="328"/>
      <c r="J1172" s="249"/>
      <c r="K1172" s="330"/>
      <c r="L1172" s="250"/>
      <c r="M1172" s="249"/>
      <c r="N1172" s="330"/>
      <c r="O1172" s="250"/>
      <c r="P1172" s="249"/>
      <c r="Q1172" s="330"/>
      <c r="R1172" s="250"/>
      <c r="S1172" s="249"/>
      <c r="T1172" s="330"/>
      <c r="U1172" s="250"/>
      <c r="V1172" s="249"/>
      <c r="W1172" s="330"/>
      <c r="X1172" s="343"/>
      <c r="Y1172" s="249"/>
      <c r="Z1172" s="330"/>
      <c r="AA1172" s="343"/>
      <c r="AB1172" s="249"/>
      <c r="AC1172" s="330"/>
      <c r="AD1172" s="343"/>
      <c r="AE1172" s="249"/>
      <c r="AF1172" s="330"/>
      <c r="AG1172" s="343"/>
      <c r="AH1172" s="249"/>
      <c r="AI1172" s="330"/>
      <c r="AJ1172" s="343"/>
      <c r="AK1172" s="249"/>
      <c r="AL1172" s="330"/>
      <c r="AM1172" s="343"/>
      <c r="AN1172" s="249"/>
      <c r="AO1172" s="330"/>
      <c r="AP1172" s="343"/>
      <c r="AQ1172" s="249"/>
      <c r="AR1172" s="330"/>
      <c r="AS1172" s="343"/>
      <c r="AT1172" s="249"/>
      <c r="AU1172" s="330"/>
    </row>
    <row r="1173" spans="2:47">
      <c r="B1173" s="247">
        <f>'Table S2 Compound Identifiers'!C1175</f>
        <v>0</v>
      </c>
      <c r="C1173" s="247">
        <f>COUNTIF($D$6:D1173,"&lt;&gt;"&amp;"")</f>
        <v>1168</v>
      </c>
      <c r="D1173" s="432">
        <f>'Table S2 Compound Identifiers'!B1175</f>
        <v>0</v>
      </c>
      <c r="E1173" s="247"/>
      <c r="F1173" s="248"/>
      <c r="G1173" s="249"/>
      <c r="H1173" s="330"/>
      <c r="I1173" s="328"/>
      <c r="J1173" s="249"/>
      <c r="K1173" s="330"/>
      <c r="L1173" s="250"/>
      <c r="M1173" s="249"/>
      <c r="N1173" s="330"/>
      <c r="O1173" s="250"/>
      <c r="P1173" s="249"/>
      <c r="Q1173" s="330"/>
      <c r="R1173" s="250"/>
      <c r="S1173" s="249"/>
      <c r="T1173" s="330"/>
      <c r="U1173" s="250"/>
      <c r="V1173" s="249"/>
      <c r="W1173" s="330"/>
      <c r="X1173" s="343"/>
      <c r="Y1173" s="249"/>
      <c r="Z1173" s="330"/>
      <c r="AA1173" s="343"/>
      <c r="AB1173" s="249"/>
      <c r="AC1173" s="330"/>
      <c r="AD1173" s="343"/>
      <c r="AE1173" s="249"/>
      <c r="AF1173" s="330"/>
      <c r="AG1173" s="343"/>
      <c r="AH1173" s="249"/>
      <c r="AI1173" s="330"/>
      <c r="AJ1173" s="343"/>
      <c r="AK1173" s="249"/>
      <c r="AL1173" s="330"/>
      <c r="AM1173" s="343"/>
      <c r="AN1173" s="249"/>
      <c r="AO1173" s="330"/>
      <c r="AP1173" s="343"/>
      <c r="AQ1173" s="249"/>
      <c r="AR1173" s="330"/>
      <c r="AS1173" s="343"/>
      <c r="AT1173" s="249"/>
      <c r="AU1173" s="330"/>
    </row>
    <row r="1174" spans="2:47">
      <c r="B1174" s="247">
        <f>'Table S2 Compound Identifiers'!C1176</f>
        <v>0</v>
      </c>
      <c r="C1174" s="247">
        <f>COUNTIF($D$6:D1174,"&lt;&gt;"&amp;"")</f>
        <v>1169</v>
      </c>
      <c r="D1174" s="432">
        <f>'Table S2 Compound Identifiers'!B1176</f>
        <v>0</v>
      </c>
      <c r="E1174" s="247"/>
      <c r="F1174" s="248"/>
      <c r="G1174" s="249"/>
      <c r="H1174" s="330"/>
      <c r="I1174" s="328"/>
      <c r="J1174" s="249"/>
      <c r="K1174" s="330"/>
      <c r="L1174" s="250"/>
      <c r="M1174" s="249"/>
      <c r="N1174" s="330"/>
      <c r="O1174" s="250"/>
      <c r="P1174" s="249"/>
      <c r="Q1174" s="330"/>
      <c r="R1174" s="250"/>
      <c r="S1174" s="249"/>
      <c r="T1174" s="330"/>
      <c r="U1174" s="250"/>
      <c r="V1174" s="249"/>
      <c r="W1174" s="330"/>
      <c r="X1174" s="343"/>
      <c r="Y1174" s="249"/>
      <c r="Z1174" s="330"/>
      <c r="AA1174" s="343"/>
      <c r="AB1174" s="249"/>
      <c r="AC1174" s="330"/>
      <c r="AD1174" s="343"/>
      <c r="AE1174" s="249"/>
      <c r="AF1174" s="330"/>
      <c r="AG1174" s="343"/>
      <c r="AH1174" s="249"/>
      <c r="AI1174" s="330"/>
      <c r="AJ1174" s="343"/>
      <c r="AK1174" s="249"/>
      <c r="AL1174" s="330"/>
      <c r="AM1174" s="343"/>
      <c r="AN1174" s="249"/>
      <c r="AO1174" s="330"/>
      <c r="AP1174" s="343"/>
      <c r="AQ1174" s="249"/>
      <c r="AR1174" s="330"/>
      <c r="AS1174" s="343"/>
      <c r="AT1174" s="249"/>
      <c r="AU1174" s="330"/>
    </row>
    <row r="1175" spans="2:47">
      <c r="B1175" s="247">
        <f>'Table S2 Compound Identifiers'!C1177</f>
        <v>0</v>
      </c>
      <c r="C1175" s="247">
        <f>COUNTIF($D$6:D1175,"&lt;&gt;"&amp;"")</f>
        <v>1170</v>
      </c>
      <c r="D1175" s="432">
        <f>'Table S2 Compound Identifiers'!B1177</f>
        <v>0</v>
      </c>
      <c r="E1175" s="247"/>
      <c r="F1175" s="248"/>
      <c r="G1175" s="249"/>
      <c r="H1175" s="330"/>
      <c r="I1175" s="328"/>
      <c r="J1175" s="249"/>
      <c r="K1175" s="330"/>
      <c r="L1175" s="250"/>
      <c r="M1175" s="249"/>
      <c r="N1175" s="330"/>
      <c r="O1175" s="250"/>
      <c r="P1175" s="249"/>
      <c r="Q1175" s="330"/>
      <c r="R1175" s="250"/>
      <c r="S1175" s="249"/>
      <c r="T1175" s="330"/>
      <c r="U1175" s="250"/>
      <c r="V1175" s="249"/>
      <c r="W1175" s="330"/>
      <c r="X1175" s="343"/>
      <c r="Y1175" s="249"/>
      <c r="Z1175" s="330"/>
      <c r="AA1175" s="343"/>
      <c r="AB1175" s="249"/>
      <c r="AC1175" s="330"/>
      <c r="AD1175" s="343"/>
      <c r="AE1175" s="249"/>
      <c r="AF1175" s="330"/>
      <c r="AG1175" s="343"/>
      <c r="AH1175" s="249"/>
      <c r="AI1175" s="330"/>
      <c r="AJ1175" s="343"/>
      <c r="AK1175" s="249"/>
      <c r="AL1175" s="330"/>
      <c r="AM1175" s="343"/>
      <c r="AN1175" s="249"/>
      <c r="AO1175" s="330"/>
      <c r="AP1175" s="343"/>
      <c r="AQ1175" s="249"/>
      <c r="AR1175" s="330"/>
      <c r="AS1175" s="343"/>
      <c r="AT1175" s="249"/>
      <c r="AU1175" s="330"/>
    </row>
    <row r="1176" spans="2:47">
      <c r="B1176" s="247">
        <f>'Table S2 Compound Identifiers'!C1178</f>
        <v>0</v>
      </c>
      <c r="C1176" s="247">
        <f>COUNTIF($D$6:D1176,"&lt;&gt;"&amp;"")</f>
        <v>1171</v>
      </c>
      <c r="D1176" s="432">
        <f>'Table S2 Compound Identifiers'!B1178</f>
        <v>0</v>
      </c>
      <c r="E1176" s="247"/>
      <c r="F1176" s="248"/>
      <c r="G1176" s="249"/>
      <c r="H1176" s="330"/>
      <c r="I1176" s="328"/>
      <c r="J1176" s="249"/>
      <c r="K1176" s="330"/>
      <c r="L1176" s="250"/>
      <c r="M1176" s="249"/>
      <c r="N1176" s="330"/>
      <c r="O1176" s="250"/>
      <c r="P1176" s="249"/>
      <c r="Q1176" s="330"/>
      <c r="R1176" s="250"/>
      <c r="S1176" s="249"/>
      <c r="T1176" s="330"/>
      <c r="U1176" s="250"/>
      <c r="V1176" s="249"/>
      <c r="W1176" s="330"/>
      <c r="X1176" s="343"/>
      <c r="Y1176" s="249"/>
      <c r="Z1176" s="330"/>
      <c r="AA1176" s="343"/>
      <c r="AB1176" s="249"/>
      <c r="AC1176" s="330"/>
      <c r="AD1176" s="343"/>
      <c r="AE1176" s="249"/>
      <c r="AF1176" s="330"/>
      <c r="AG1176" s="343"/>
      <c r="AH1176" s="249"/>
      <c r="AI1176" s="330"/>
      <c r="AJ1176" s="343"/>
      <c r="AK1176" s="249"/>
      <c r="AL1176" s="330"/>
      <c r="AM1176" s="343"/>
      <c r="AN1176" s="249"/>
      <c r="AO1176" s="330"/>
      <c r="AP1176" s="343"/>
      <c r="AQ1176" s="249"/>
      <c r="AR1176" s="330"/>
      <c r="AS1176" s="343"/>
      <c r="AT1176" s="249"/>
      <c r="AU1176" s="330"/>
    </row>
    <row r="1177" spans="2:47">
      <c r="B1177" s="247">
        <f>'Table S2 Compound Identifiers'!C1179</f>
        <v>0</v>
      </c>
      <c r="C1177" s="247">
        <f>COUNTIF($D$6:D1177,"&lt;&gt;"&amp;"")</f>
        <v>1172</v>
      </c>
      <c r="D1177" s="432">
        <f>'Table S2 Compound Identifiers'!B1179</f>
        <v>0</v>
      </c>
      <c r="E1177" s="247"/>
      <c r="F1177" s="248"/>
      <c r="G1177" s="249"/>
      <c r="H1177" s="330"/>
      <c r="I1177" s="328"/>
      <c r="J1177" s="249"/>
      <c r="K1177" s="330"/>
      <c r="L1177" s="250"/>
      <c r="M1177" s="249"/>
      <c r="N1177" s="330"/>
      <c r="O1177" s="250"/>
      <c r="P1177" s="249"/>
      <c r="Q1177" s="330"/>
      <c r="R1177" s="250"/>
      <c r="S1177" s="249"/>
      <c r="T1177" s="330"/>
      <c r="U1177" s="250"/>
      <c r="V1177" s="249"/>
      <c r="W1177" s="330"/>
      <c r="X1177" s="343"/>
      <c r="Y1177" s="249"/>
      <c r="Z1177" s="330"/>
      <c r="AA1177" s="343"/>
      <c r="AB1177" s="249"/>
      <c r="AC1177" s="330"/>
      <c r="AD1177" s="343"/>
      <c r="AE1177" s="249"/>
      <c r="AF1177" s="330"/>
      <c r="AG1177" s="343"/>
      <c r="AH1177" s="249"/>
      <c r="AI1177" s="330"/>
      <c r="AJ1177" s="343"/>
      <c r="AK1177" s="249"/>
      <c r="AL1177" s="330"/>
      <c r="AM1177" s="343"/>
      <c r="AN1177" s="249"/>
      <c r="AO1177" s="330"/>
      <c r="AP1177" s="343"/>
      <c r="AQ1177" s="249"/>
      <c r="AR1177" s="330"/>
      <c r="AS1177" s="343"/>
      <c r="AT1177" s="249"/>
      <c r="AU1177" s="330"/>
    </row>
    <row r="1178" spans="2:47">
      <c r="B1178" s="247">
        <f>'Table S2 Compound Identifiers'!C1180</f>
        <v>0</v>
      </c>
      <c r="C1178" s="247">
        <f>COUNTIF($D$6:D1178,"&lt;&gt;"&amp;"")</f>
        <v>1173</v>
      </c>
      <c r="D1178" s="432">
        <f>'Table S2 Compound Identifiers'!B1180</f>
        <v>0</v>
      </c>
      <c r="E1178" s="247"/>
      <c r="F1178" s="248"/>
      <c r="G1178" s="249"/>
      <c r="H1178" s="330"/>
      <c r="I1178" s="328"/>
      <c r="J1178" s="249"/>
      <c r="K1178" s="330"/>
      <c r="L1178" s="250"/>
      <c r="M1178" s="249"/>
      <c r="N1178" s="330"/>
      <c r="O1178" s="250"/>
      <c r="P1178" s="249"/>
      <c r="Q1178" s="330"/>
      <c r="R1178" s="250"/>
      <c r="S1178" s="249"/>
      <c r="T1178" s="330"/>
      <c r="U1178" s="250"/>
      <c r="V1178" s="249"/>
      <c r="W1178" s="330"/>
      <c r="X1178" s="343"/>
      <c r="Y1178" s="249"/>
      <c r="Z1178" s="330"/>
      <c r="AA1178" s="343"/>
      <c r="AB1178" s="249"/>
      <c r="AC1178" s="330"/>
      <c r="AD1178" s="343"/>
      <c r="AE1178" s="249"/>
      <c r="AF1178" s="330"/>
      <c r="AG1178" s="343"/>
      <c r="AH1178" s="249"/>
      <c r="AI1178" s="330"/>
      <c r="AJ1178" s="343"/>
      <c r="AK1178" s="249"/>
      <c r="AL1178" s="330"/>
      <c r="AM1178" s="343"/>
      <c r="AN1178" s="249"/>
      <c r="AO1178" s="330"/>
      <c r="AP1178" s="343"/>
      <c r="AQ1178" s="249"/>
      <c r="AR1178" s="330"/>
      <c r="AS1178" s="343"/>
      <c r="AT1178" s="249"/>
      <c r="AU1178" s="330"/>
    </row>
    <row r="1179" spans="2:47">
      <c r="B1179" s="247">
        <f>'Table S2 Compound Identifiers'!C1181</f>
        <v>0</v>
      </c>
      <c r="C1179" s="247">
        <f>COUNTIF($D$6:D1179,"&lt;&gt;"&amp;"")</f>
        <v>1174</v>
      </c>
      <c r="D1179" s="432">
        <f>'Table S2 Compound Identifiers'!B1181</f>
        <v>0</v>
      </c>
      <c r="E1179" s="247"/>
      <c r="F1179" s="248"/>
      <c r="G1179" s="249"/>
      <c r="H1179" s="330"/>
      <c r="I1179" s="328"/>
      <c r="J1179" s="249"/>
      <c r="K1179" s="330"/>
      <c r="L1179" s="250"/>
      <c r="M1179" s="249"/>
      <c r="N1179" s="330"/>
      <c r="O1179" s="250"/>
      <c r="P1179" s="249"/>
      <c r="Q1179" s="330"/>
      <c r="R1179" s="250"/>
      <c r="S1179" s="249"/>
      <c r="T1179" s="330"/>
      <c r="U1179" s="250"/>
      <c r="V1179" s="249"/>
      <c r="W1179" s="330"/>
      <c r="X1179" s="343"/>
      <c r="Y1179" s="249"/>
      <c r="Z1179" s="330"/>
      <c r="AA1179" s="343"/>
      <c r="AB1179" s="249"/>
      <c r="AC1179" s="330"/>
      <c r="AD1179" s="343"/>
      <c r="AE1179" s="249"/>
      <c r="AF1179" s="330"/>
      <c r="AG1179" s="343"/>
      <c r="AH1179" s="249"/>
      <c r="AI1179" s="330"/>
      <c r="AJ1179" s="343"/>
      <c r="AK1179" s="249"/>
      <c r="AL1179" s="330"/>
      <c r="AM1179" s="343"/>
      <c r="AN1179" s="249"/>
      <c r="AO1179" s="330"/>
      <c r="AP1179" s="343"/>
      <c r="AQ1179" s="249"/>
      <c r="AR1179" s="330"/>
      <c r="AS1179" s="343"/>
      <c r="AT1179" s="249"/>
      <c r="AU1179" s="330"/>
    </row>
    <row r="1180" spans="2:47">
      <c r="B1180" s="247">
        <f>'Table S2 Compound Identifiers'!C1182</f>
        <v>0</v>
      </c>
      <c r="C1180" s="247">
        <f>COUNTIF($D$6:D1180,"&lt;&gt;"&amp;"")</f>
        <v>1175</v>
      </c>
      <c r="D1180" s="432">
        <f>'Table S2 Compound Identifiers'!B1182</f>
        <v>0</v>
      </c>
      <c r="E1180" s="247"/>
      <c r="F1180" s="248"/>
      <c r="G1180" s="249"/>
      <c r="H1180" s="330"/>
      <c r="I1180" s="328"/>
      <c r="J1180" s="249"/>
      <c r="K1180" s="330"/>
      <c r="L1180" s="250"/>
      <c r="M1180" s="249"/>
      <c r="N1180" s="330"/>
      <c r="O1180" s="250"/>
      <c r="P1180" s="249"/>
      <c r="Q1180" s="330"/>
      <c r="R1180" s="250"/>
      <c r="S1180" s="249"/>
      <c r="T1180" s="330"/>
      <c r="U1180" s="250"/>
      <c r="V1180" s="249"/>
      <c r="W1180" s="330"/>
      <c r="X1180" s="343"/>
      <c r="Y1180" s="249"/>
      <c r="Z1180" s="330"/>
      <c r="AA1180" s="343"/>
      <c r="AB1180" s="249"/>
      <c r="AC1180" s="330"/>
      <c r="AD1180" s="343"/>
      <c r="AE1180" s="249"/>
      <c r="AF1180" s="330"/>
      <c r="AG1180" s="343"/>
      <c r="AH1180" s="249"/>
      <c r="AI1180" s="330"/>
      <c r="AJ1180" s="343"/>
      <c r="AK1180" s="249"/>
      <c r="AL1180" s="330"/>
      <c r="AM1180" s="343"/>
      <c r="AN1180" s="249"/>
      <c r="AO1180" s="330"/>
      <c r="AP1180" s="343"/>
      <c r="AQ1180" s="249"/>
      <c r="AR1180" s="330"/>
      <c r="AS1180" s="343"/>
      <c r="AT1180" s="249"/>
      <c r="AU1180" s="330"/>
    </row>
    <row r="1181" spans="2:47">
      <c r="B1181" s="247">
        <f>'Table S2 Compound Identifiers'!C1183</f>
        <v>0</v>
      </c>
      <c r="C1181" s="247">
        <f>COUNTIF($D$6:D1181,"&lt;&gt;"&amp;"")</f>
        <v>1176</v>
      </c>
      <c r="D1181" s="432">
        <f>'Table S2 Compound Identifiers'!B1183</f>
        <v>0</v>
      </c>
      <c r="E1181" s="247"/>
      <c r="F1181" s="248"/>
      <c r="G1181" s="249"/>
      <c r="H1181" s="330"/>
      <c r="I1181" s="328"/>
      <c r="J1181" s="249"/>
      <c r="K1181" s="330"/>
      <c r="L1181" s="250"/>
      <c r="M1181" s="249"/>
      <c r="N1181" s="330"/>
      <c r="O1181" s="250"/>
      <c r="P1181" s="249"/>
      <c r="Q1181" s="330"/>
      <c r="R1181" s="250"/>
      <c r="S1181" s="249"/>
      <c r="T1181" s="330"/>
      <c r="U1181" s="250"/>
      <c r="V1181" s="249"/>
      <c r="W1181" s="330"/>
      <c r="X1181" s="343"/>
      <c r="Y1181" s="249"/>
      <c r="Z1181" s="330"/>
      <c r="AA1181" s="343"/>
      <c r="AB1181" s="249"/>
      <c r="AC1181" s="330"/>
      <c r="AD1181" s="343"/>
      <c r="AE1181" s="249"/>
      <c r="AF1181" s="330"/>
      <c r="AG1181" s="343"/>
      <c r="AH1181" s="249"/>
      <c r="AI1181" s="330"/>
      <c r="AJ1181" s="343"/>
      <c r="AK1181" s="249"/>
      <c r="AL1181" s="330"/>
      <c r="AM1181" s="343"/>
      <c r="AN1181" s="249"/>
      <c r="AO1181" s="330"/>
      <c r="AP1181" s="343"/>
      <c r="AQ1181" s="249"/>
      <c r="AR1181" s="330"/>
      <c r="AS1181" s="343"/>
      <c r="AT1181" s="249"/>
      <c r="AU1181" s="330"/>
    </row>
    <row r="1182" spans="2:47">
      <c r="B1182" s="247">
        <f>'Table S2 Compound Identifiers'!C1184</f>
        <v>0</v>
      </c>
      <c r="C1182" s="247">
        <f>COUNTIF($D$6:D1182,"&lt;&gt;"&amp;"")</f>
        <v>1177</v>
      </c>
      <c r="D1182" s="247">
        <f>'Table S2 Compound Identifiers'!B1184</f>
        <v>0</v>
      </c>
      <c r="E1182" s="247"/>
      <c r="F1182" s="248"/>
      <c r="G1182" s="249"/>
      <c r="H1182" s="330"/>
      <c r="I1182" s="328"/>
      <c r="J1182" s="249"/>
      <c r="K1182" s="330"/>
      <c r="L1182" s="250"/>
      <c r="M1182" s="249"/>
      <c r="N1182" s="330"/>
      <c r="O1182" s="250"/>
      <c r="P1182" s="249"/>
      <c r="Q1182" s="330"/>
      <c r="R1182" s="250"/>
      <c r="S1182" s="249"/>
      <c r="T1182" s="330"/>
      <c r="U1182" s="250"/>
      <c r="V1182" s="249"/>
      <c r="W1182" s="330"/>
      <c r="X1182" s="343"/>
      <c r="Y1182" s="249"/>
      <c r="Z1182" s="330"/>
      <c r="AA1182" s="343"/>
      <c r="AB1182" s="249"/>
      <c r="AC1182" s="330"/>
      <c r="AD1182" s="343"/>
      <c r="AE1182" s="249"/>
      <c r="AF1182" s="330"/>
      <c r="AG1182" s="343"/>
      <c r="AH1182" s="249"/>
      <c r="AI1182" s="330"/>
      <c r="AJ1182" s="343"/>
      <c r="AK1182" s="249"/>
      <c r="AL1182" s="330"/>
      <c r="AM1182" s="343"/>
      <c r="AN1182" s="249"/>
      <c r="AO1182" s="330"/>
      <c r="AP1182" s="343"/>
      <c r="AQ1182" s="249"/>
      <c r="AR1182" s="330"/>
      <c r="AS1182" s="343"/>
      <c r="AT1182" s="249"/>
      <c r="AU1182" s="330"/>
    </row>
    <row r="1183" spans="2:47">
      <c r="B1183" s="247">
        <f>'Table S2 Compound Identifiers'!C1185</f>
        <v>0</v>
      </c>
      <c r="C1183" s="247">
        <f>COUNTIF($D$6:D1183,"&lt;&gt;"&amp;"")</f>
        <v>1178</v>
      </c>
      <c r="D1183" s="247">
        <f>'Table S2 Compound Identifiers'!B1185</f>
        <v>0</v>
      </c>
      <c r="E1183" s="247"/>
      <c r="F1183" s="248"/>
      <c r="G1183" s="249"/>
      <c r="H1183" s="330"/>
      <c r="I1183" s="328"/>
      <c r="J1183" s="249"/>
      <c r="K1183" s="330"/>
      <c r="L1183" s="250"/>
      <c r="M1183" s="249"/>
      <c r="N1183" s="330"/>
      <c r="O1183" s="250"/>
      <c r="P1183" s="249"/>
      <c r="Q1183" s="330"/>
      <c r="R1183" s="250"/>
      <c r="S1183" s="249"/>
      <c r="T1183" s="330"/>
      <c r="U1183" s="250"/>
      <c r="V1183" s="249"/>
      <c r="W1183" s="330"/>
      <c r="X1183" s="343"/>
      <c r="Y1183" s="249"/>
      <c r="Z1183" s="330"/>
      <c r="AA1183" s="343"/>
      <c r="AB1183" s="249"/>
      <c r="AC1183" s="330"/>
      <c r="AD1183" s="343"/>
      <c r="AE1183" s="249"/>
      <c r="AF1183" s="330"/>
      <c r="AG1183" s="343"/>
      <c r="AH1183" s="249"/>
      <c r="AI1183" s="330"/>
      <c r="AJ1183" s="343"/>
      <c r="AK1183" s="249"/>
      <c r="AL1183" s="330"/>
      <c r="AM1183" s="343"/>
      <c r="AN1183" s="249"/>
      <c r="AO1183" s="330"/>
      <c r="AP1183" s="343"/>
      <c r="AQ1183" s="249"/>
      <c r="AR1183" s="330"/>
      <c r="AS1183" s="343"/>
      <c r="AT1183" s="249"/>
      <c r="AU1183" s="330"/>
    </row>
    <row r="1184" spans="2:47">
      <c r="B1184" s="247">
        <f>'Table S2 Compound Identifiers'!C1186</f>
        <v>0</v>
      </c>
      <c r="C1184" s="247">
        <f>COUNTIF($D$6:D1184,"&lt;&gt;"&amp;"")</f>
        <v>1179</v>
      </c>
      <c r="D1184" s="247">
        <f>'Table S2 Compound Identifiers'!B1186</f>
        <v>0</v>
      </c>
      <c r="E1184" s="247"/>
      <c r="F1184" s="248"/>
      <c r="G1184" s="249"/>
      <c r="H1184" s="330"/>
      <c r="I1184" s="328"/>
      <c r="J1184" s="249"/>
      <c r="K1184" s="330"/>
      <c r="L1184" s="250"/>
      <c r="M1184" s="249"/>
      <c r="N1184" s="330"/>
      <c r="O1184" s="250"/>
      <c r="P1184" s="249"/>
      <c r="Q1184" s="330"/>
      <c r="R1184" s="250"/>
      <c r="S1184" s="249"/>
      <c r="T1184" s="330"/>
      <c r="U1184" s="250"/>
      <c r="V1184" s="249"/>
      <c r="W1184" s="330"/>
      <c r="X1184" s="343"/>
      <c r="Y1184" s="249"/>
      <c r="Z1184" s="330"/>
      <c r="AA1184" s="343"/>
      <c r="AB1184" s="249"/>
      <c r="AC1184" s="330"/>
      <c r="AD1184" s="343"/>
      <c r="AE1184" s="249"/>
      <c r="AF1184" s="330"/>
      <c r="AG1184" s="343"/>
      <c r="AH1184" s="249"/>
      <c r="AI1184" s="330"/>
      <c r="AJ1184" s="343"/>
      <c r="AK1184" s="249"/>
      <c r="AL1184" s="330"/>
      <c r="AM1184" s="343"/>
      <c r="AN1184" s="249"/>
      <c r="AO1184" s="330"/>
      <c r="AP1184" s="343"/>
      <c r="AQ1184" s="249"/>
      <c r="AR1184" s="330"/>
      <c r="AS1184" s="343"/>
      <c r="AT1184" s="249"/>
      <c r="AU1184" s="330"/>
    </row>
    <row r="1185" spans="2:47">
      <c r="B1185" s="247">
        <f>'Table S2 Compound Identifiers'!C1187</f>
        <v>0</v>
      </c>
      <c r="C1185" s="247">
        <f>COUNTIF($D$6:D1185,"&lt;&gt;"&amp;"")</f>
        <v>1180</v>
      </c>
      <c r="D1185" s="247">
        <f>'Table S2 Compound Identifiers'!B1187</f>
        <v>0</v>
      </c>
      <c r="E1185" s="247"/>
      <c r="F1185" s="248"/>
      <c r="G1185" s="249"/>
      <c r="H1185" s="330"/>
      <c r="I1185" s="328"/>
      <c r="J1185" s="249"/>
      <c r="K1185" s="330"/>
      <c r="L1185" s="250"/>
      <c r="M1185" s="249"/>
      <c r="N1185" s="330"/>
      <c r="O1185" s="250"/>
      <c r="P1185" s="249"/>
      <c r="Q1185" s="330"/>
      <c r="R1185" s="250"/>
      <c r="S1185" s="249"/>
      <c r="T1185" s="330"/>
      <c r="U1185" s="250"/>
      <c r="V1185" s="249"/>
      <c r="W1185" s="330"/>
      <c r="X1185" s="343"/>
      <c r="Y1185" s="249"/>
      <c r="Z1185" s="330"/>
      <c r="AA1185" s="343"/>
      <c r="AB1185" s="249"/>
      <c r="AC1185" s="330"/>
      <c r="AD1185" s="343"/>
      <c r="AE1185" s="249"/>
      <c r="AF1185" s="330"/>
      <c r="AG1185" s="343"/>
      <c r="AH1185" s="249"/>
      <c r="AI1185" s="330"/>
      <c r="AJ1185" s="343"/>
      <c r="AK1185" s="249"/>
      <c r="AL1185" s="330"/>
      <c r="AM1185" s="343"/>
      <c r="AN1185" s="249"/>
      <c r="AO1185" s="330"/>
      <c r="AP1185" s="343"/>
      <c r="AQ1185" s="249"/>
      <c r="AR1185" s="330"/>
      <c r="AS1185" s="343"/>
      <c r="AT1185" s="249"/>
      <c r="AU1185" s="330"/>
    </row>
    <row r="1186" spans="2:47">
      <c r="B1186" s="247">
        <f>'Table S2 Compound Identifiers'!C1188</f>
        <v>0</v>
      </c>
      <c r="C1186" s="247">
        <f>COUNTIF($D$6:D1186,"&lt;&gt;"&amp;"")</f>
        <v>1181</v>
      </c>
      <c r="D1186" s="247">
        <f>'Table S2 Compound Identifiers'!B1188</f>
        <v>0</v>
      </c>
      <c r="E1186" s="247"/>
      <c r="F1186" s="248"/>
      <c r="G1186" s="249"/>
      <c r="H1186" s="330"/>
      <c r="I1186" s="328"/>
      <c r="J1186" s="249"/>
      <c r="K1186" s="330"/>
      <c r="L1186" s="250"/>
      <c r="M1186" s="249"/>
      <c r="N1186" s="330"/>
      <c r="O1186" s="250"/>
      <c r="P1186" s="249"/>
      <c r="Q1186" s="330"/>
      <c r="R1186" s="250"/>
      <c r="S1186" s="249"/>
      <c r="T1186" s="330"/>
      <c r="U1186" s="250"/>
      <c r="V1186" s="249"/>
      <c r="W1186" s="330"/>
      <c r="X1186" s="343"/>
      <c r="Y1186" s="249"/>
      <c r="Z1186" s="330"/>
      <c r="AA1186" s="343"/>
      <c r="AB1186" s="249"/>
      <c r="AC1186" s="330"/>
      <c r="AD1186" s="343"/>
      <c r="AE1186" s="249"/>
      <c r="AF1186" s="330"/>
      <c r="AG1186" s="343"/>
      <c r="AH1186" s="249"/>
      <c r="AI1186" s="330"/>
      <c r="AJ1186" s="343"/>
      <c r="AK1186" s="249"/>
      <c r="AL1186" s="330"/>
      <c r="AM1186" s="343"/>
      <c r="AN1186" s="249"/>
      <c r="AO1186" s="330"/>
      <c r="AP1186" s="343"/>
      <c r="AQ1186" s="249"/>
      <c r="AR1186" s="330"/>
      <c r="AS1186" s="343"/>
      <c r="AT1186" s="249"/>
      <c r="AU1186" s="330"/>
    </row>
    <row r="1187" spans="2:47">
      <c r="B1187" s="247">
        <f>'Table S2 Compound Identifiers'!C1189</f>
        <v>0</v>
      </c>
      <c r="C1187" s="247">
        <f>COUNTIF($D$6:D1187,"&lt;&gt;"&amp;"")</f>
        <v>1182</v>
      </c>
      <c r="D1187" s="247">
        <f>'Table S2 Compound Identifiers'!B1189</f>
        <v>0</v>
      </c>
      <c r="E1187" s="247"/>
      <c r="F1187" s="248"/>
      <c r="G1187" s="249"/>
      <c r="H1187" s="330"/>
      <c r="I1187" s="328"/>
      <c r="J1187" s="249"/>
      <c r="K1187" s="330"/>
      <c r="L1187" s="250"/>
      <c r="M1187" s="249"/>
      <c r="N1187" s="330"/>
      <c r="O1187" s="250"/>
      <c r="P1187" s="249"/>
      <c r="Q1187" s="330"/>
      <c r="R1187" s="250"/>
      <c r="S1187" s="249"/>
      <c r="T1187" s="330"/>
      <c r="U1187" s="250"/>
      <c r="V1187" s="249"/>
      <c r="W1187" s="330"/>
      <c r="X1187" s="343"/>
      <c r="Y1187" s="249"/>
      <c r="Z1187" s="330"/>
      <c r="AA1187" s="343"/>
      <c r="AB1187" s="249"/>
      <c r="AC1187" s="330"/>
      <c r="AD1187" s="343"/>
      <c r="AE1187" s="249"/>
      <c r="AF1187" s="330"/>
      <c r="AG1187" s="343"/>
      <c r="AH1187" s="249"/>
      <c r="AI1187" s="330"/>
      <c r="AJ1187" s="343"/>
      <c r="AK1187" s="249"/>
      <c r="AL1187" s="330"/>
      <c r="AM1187" s="343"/>
      <c r="AN1187" s="249"/>
      <c r="AO1187" s="330"/>
      <c r="AP1187" s="343"/>
      <c r="AQ1187" s="249"/>
      <c r="AR1187" s="330"/>
      <c r="AS1187" s="343"/>
      <c r="AT1187" s="249"/>
      <c r="AU1187" s="330"/>
    </row>
    <row r="1188" spans="2:47">
      <c r="B1188" s="247">
        <f>'Table S2 Compound Identifiers'!C1190</f>
        <v>0</v>
      </c>
      <c r="C1188" s="247">
        <f>COUNTIF($D$6:D1188,"&lt;&gt;"&amp;"")</f>
        <v>1183</v>
      </c>
      <c r="D1188" s="247">
        <f>'Table S2 Compound Identifiers'!B1190</f>
        <v>0</v>
      </c>
      <c r="E1188" s="247"/>
      <c r="F1188" s="248"/>
      <c r="G1188" s="249"/>
      <c r="H1188" s="330"/>
      <c r="I1188" s="328"/>
      <c r="J1188" s="249"/>
      <c r="K1188" s="330"/>
      <c r="L1188" s="250"/>
      <c r="M1188" s="249"/>
      <c r="N1188" s="330"/>
      <c r="O1188" s="251"/>
      <c r="P1188" s="252"/>
      <c r="Q1188" s="330"/>
      <c r="R1188" s="251"/>
      <c r="S1188" s="252"/>
      <c r="T1188" s="330"/>
      <c r="U1188" s="251"/>
      <c r="V1188" s="252"/>
      <c r="W1188" s="330"/>
      <c r="X1188" s="343"/>
      <c r="Y1188" s="249"/>
      <c r="Z1188" s="330"/>
      <c r="AA1188" s="343"/>
      <c r="AB1188" s="249"/>
      <c r="AC1188" s="330"/>
      <c r="AD1188" s="343"/>
      <c r="AE1188" s="249"/>
      <c r="AF1188" s="330"/>
      <c r="AG1188" s="343"/>
      <c r="AH1188" s="249"/>
      <c r="AI1188" s="330"/>
      <c r="AJ1188" s="343"/>
      <c r="AK1188" s="249"/>
      <c r="AL1188" s="330"/>
      <c r="AM1188" s="343"/>
      <c r="AN1188" s="249"/>
      <c r="AO1188" s="330"/>
      <c r="AP1188" s="343"/>
      <c r="AQ1188" s="249"/>
      <c r="AR1188" s="330"/>
      <c r="AS1188" s="343"/>
      <c r="AT1188" s="249"/>
      <c r="AU1188" s="330"/>
    </row>
    <row r="1189" spans="2:47">
      <c r="B1189" s="247">
        <f>'Table S2 Compound Identifiers'!C1191</f>
        <v>0</v>
      </c>
      <c r="C1189" s="253">
        <f>COUNTIF($D$6:D1189,"&lt;&gt;"&amp;"")</f>
        <v>1184</v>
      </c>
      <c r="D1189" s="253">
        <f>'Table S2 Compound Identifiers'!B1191</f>
        <v>0</v>
      </c>
      <c r="E1189" s="253"/>
      <c r="F1189" s="254"/>
      <c r="G1189" s="252"/>
      <c r="H1189" s="330"/>
      <c r="I1189" s="333"/>
      <c r="J1189" s="252"/>
      <c r="K1189" s="330"/>
      <c r="L1189" s="251"/>
      <c r="M1189" s="252"/>
      <c r="N1189" s="330"/>
      <c r="O1189" s="251"/>
      <c r="P1189" s="252"/>
      <c r="Q1189" s="330"/>
      <c r="R1189" s="251"/>
      <c r="S1189" s="252"/>
      <c r="T1189" s="330"/>
      <c r="U1189" s="251"/>
      <c r="V1189" s="252"/>
      <c r="W1189" s="330"/>
      <c r="X1189" s="343"/>
      <c r="Y1189" s="249"/>
      <c r="Z1189" s="330"/>
      <c r="AA1189" s="343"/>
      <c r="AB1189" s="249"/>
      <c r="AC1189" s="330"/>
      <c r="AD1189" s="343"/>
      <c r="AE1189" s="249"/>
      <c r="AF1189" s="330"/>
      <c r="AG1189" s="343"/>
      <c r="AH1189" s="249"/>
      <c r="AI1189" s="330"/>
      <c r="AJ1189" s="343"/>
      <c r="AK1189" s="249"/>
      <c r="AL1189" s="330"/>
      <c r="AM1189" s="343"/>
      <c r="AN1189" s="249"/>
      <c r="AO1189" s="330"/>
      <c r="AP1189" s="343"/>
      <c r="AQ1189" s="249"/>
      <c r="AR1189" s="330"/>
      <c r="AS1189" s="343"/>
      <c r="AT1189" s="249"/>
      <c r="AU1189" s="330"/>
    </row>
    <row r="1190" spans="2:47">
      <c r="B1190" s="247">
        <f>'Table S2 Compound Identifiers'!C1192</f>
        <v>0</v>
      </c>
      <c r="C1190" s="247">
        <f>COUNTIF($D$6:D1190,"&lt;&gt;"&amp;"")</f>
        <v>1185</v>
      </c>
      <c r="D1190" s="247">
        <f>'Table S2 Compound Identifiers'!B1192</f>
        <v>0</v>
      </c>
      <c r="E1190" s="247"/>
      <c r="F1190" s="248"/>
      <c r="G1190" s="250"/>
      <c r="H1190" s="330"/>
      <c r="I1190" s="343"/>
      <c r="J1190" s="249"/>
      <c r="K1190" s="327"/>
      <c r="L1190" s="343"/>
      <c r="M1190" s="249"/>
      <c r="N1190" s="327"/>
      <c r="O1190" s="343"/>
      <c r="P1190" s="249"/>
      <c r="Q1190" s="327"/>
      <c r="R1190" s="343"/>
      <c r="S1190" s="249"/>
      <c r="T1190" s="327"/>
      <c r="U1190" s="343"/>
      <c r="V1190" s="249"/>
      <c r="W1190" s="327"/>
      <c r="X1190" s="343"/>
      <c r="Y1190" s="249"/>
      <c r="Z1190" s="327"/>
      <c r="AA1190" s="343"/>
      <c r="AB1190" s="249"/>
      <c r="AC1190" s="343"/>
      <c r="AD1190" s="343"/>
      <c r="AE1190" s="249"/>
      <c r="AF1190" s="249"/>
      <c r="AG1190" s="343"/>
      <c r="AH1190" s="249"/>
      <c r="AI1190" s="343"/>
      <c r="AJ1190" s="343"/>
      <c r="AK1190" s="249"/>
      <c r="AL1190" s="249"/>
      <c r="AM1190" s="343"/>
      <c r="AN1190" s="249"/>
      <c r="AO1190" s="343"/>
      <c r="AP1190" s="343"/>
      <c r="AQ1190" s="249"/>
      <c r="AR1190" s="249"/>
      <c r="AS1190" s="343"/>
      <c r="AT1190" s="249"/>
      <c r="AU1190" s="343"/>
    </row>
    <row r="1191" spans="2:47">
      <c r="B1191" s="247">
        <f>'Table S2 Compound Identifiers'!C1193</f>
        <v>0</v>
      </c>
      <c r="C1191" s="247">
        <f>COUNTIF($D$6:D1191,"&lt;&gt;"&amp;"")</f>
        <v>1186</v>
      </c>
      <c r="D1191" s="247">
        <f>'Table S2 Compound Identifiers'!B1193</f>
        <v>0</v>
      </c>
      <c r="E1191" s="247"/>
      <c r="F1191" s="248"/>
      <c r="G1191" s="249"/>
      <c r="H1191" s="330"/>
      <c r="I1191" s="332"/>
      <c r="J1191" s="330"/>
      <c r="K1191" s="330"/>
      <c r="L1191" s="330"/>
      <c r="M1191" s="330"/>
      <c r="N1191" s="330"/>
      <c r="O1191" s="330"/>
      <c r="P1191" s="330"/>
      <c r="Q1191" s="330"/>
      <c r="R1191" s="330"/>
      <c r="S1191" s="330"/>
      <c r="T1191" s="330"/>
      <c r="U1191" s="330"/>
      <c r="V1191" s="330"/>
      <c r="W1191" s="330"/>
      <c r="X1191" s="343"/>
      <c r="Y1191" s="249"/>
      <c r="Z1191" s="330"/>
      <c r="AA1191" s="343"/>
      <c r="AB1191" s="249"/>
      <c r="AC1191" s="330"/>
      <c r="AD1191" s="343"/>
      <c r="AE1191" s="249"/>
      <c r="AF1191" s="330"/>
      <c r="AG1191" s="343"/>
      <c r="AH1191" s="249"/>
      <c r="AI1191" s="330"/>
      <c r="AJ1191" s="343"/>
      <c r="AK1191" s="249"/>
      <c r="AL1191" s="330"/>
      <c r="AM1191" s="343"/>
      <c r="AN1191" s="249"/>
      <c r="AO1191" s="330"/>
      <c r="AP1191" s="343"/>
      <c r="AQ1191" s="249"/>
      <c r="AR1191" s="330"/>
      <c r="AS1191" s="343"/>
      <c r="AT1191" s="249"/>
      <c r="AU1191" s="330"/>
    </row>
    <row r="1192" spans="2:47">
      <c r="B1192" s="247">
        <f>'Table S2 Compound Identifiers'!C1194</f>
        <v>0</v>
      </c>
      <c r="C1192" s="247">
        <f>COUNTIF($D$6:D1192,"&lt;&gt;"&amp;"")</f>
        <v>1187</v>
      </c>
      <c r="D1192" s="247">
        <f>'Table S2 Compound Identifiers'!B1194</f>
        <v>0</v>
      </c>
      <c r="E1192" s="247"/>
      <c r="F1192" s="248"/>
      <c r="G1192" s="249"/>
      <c r="H1192" s="330"/>
      <c r="I1192" s="332"/>
      <c r="J1192" s="330"/>
      <c r="K1192" s="330"/>
      <c r="L1192" s="330"/>
      <c r="M1192" s="330"/>
      <c r="N1192" s="330"/>
      <c r="O1192" s="330"/>
      <c r="P1192" s="330"/>
      <c r="Q1192" s="330"/>
      <c r="R1192" s="330"/>
      <c r="S1192" s="330"/>
      <c r="T1192" s="330"/>
      <c r="U1192" s="330"/>
      <c r="V1192" s="330"/>
      <c r="W1192" s="330"/>
      <c r="X1192" s="343"/>
      <c r="Y1192" s="249"/>
      <c r="Z1192" s="330"/>
      <c r="AA1192" s="343"/>
      <c r="AB1192" s="249"/>
      <c r="AC1192" s="330"/>
      <c r="AD1192" s="343"/>
      <c r="AE1192" s="249"/>
      <c r="AF1192" s="330"/>
      <c r="AG1192" s="343"/>
      <c r="AH1192" s="249"/>
      <c r="AI1192" s="330"/>
      <c r="AJ1192" s="343"/>
      <c r="AK1192" s="249"/>
      <c r="AL1192" s="330"/>
      <c r="AM1192" s="343"/>
      <c r="AN1192" s="249"/>
      <c r="AO1192" s="330"/>
      <c r="AP1192" s="343"/>
      <c r="AQ1192" s="249"/>
      <c r="AR1192" s="330"/>
      <c r="AS1192" s="343"/>
      <c r="AT1192" s="249"/>
      <c r="AU1192" s="330"/>
    </row>
    <row r="1193" spans="2:47">
      <c r="B1193" s="247">
        <f>'Table S2 Compound Identifiers'!C1195</f>
        <v>0</v>
      </c>
      <c r="C1193" s="247">
        <f>COUNTIF($D$6:D1193,"&lt;&gt;"&amp;"")</f>
        <v>1188</v>
      </c>
      <c r="D1193" s="247">
        <f>'Table S2 Compound Identifiers'!B1195</f>
        <v>0</v>
      </c>
      <c r="E1193" s="247"/>
      <c r="F1193" s="248"/>
      <c r="G1193" s="249"/>
      <c r="H1193" s="330"/>
      <c r="I1193" s="332"/>
      <c r="J1193" s="330"/>
      <c r="K1193" s="330"/>
      <c r="L1193" s="330"/>
      <c r="M1193" s="330"/>
      <c r="N1193" s="330"/>
      <c r="O1193" s="330"/>
      <c r="P1193" s="330"/>
      <c r="Q1193" s="330"/>
      <c r="R1193" s="330"/>
      <c r="S1193" s="330"/>
      <c r="T1193" s="330"/>
      <c r="U1193" s="330"/>
      <c r="V1193" s="330"/>
      <c r="W1193" s="330"/>
      <c r="X1193" s="343"/>
      <c r="Y1193" s="249"/>
      <c r="Z1193" s="330"/>
      <c r="AA1193" s="343"/>
      <c r="AB1193" s="249"/>
      <c r="AC1193" s="330"/>
      <c r="AD1193" s="343"/>
      <c r="AE1193" s="249"/>
      <c r="AF1193" s="330"/>
      <c r="AG1193" s="343"/>
      <c r="AH1193" s="249"/>
      <c r="AI1193" s="330"/>
      <c r="AJ1193" s="343"/>
      <c r="AK1193" s="249"/>
      <c r="AL1193" s="330"/>
      <c r="AM1193" s="343"/>
      <c r="AN1193" s="249"/>
      <c r="AO1193" s="330"/>
      <c r="AP1193" s="343"/>
      <c r="AQ1193" s="249"/>
      <c r="AR1193" s="330"/>
      <c r="AS1193" s="343"/>
      <c r="AT1193" s="249"/>
      <c r="AU1193" s="330"/>
    </row>
    <row r="1194" spans="2:47">
      <c r="B1194" s="247">
        <f>'Table S2 Compound Identifiers'!C1196</f>
        <v>0</v>
      </c>
      <c r="C1194" s="247">
        <f>COUNTIF($D$6:D1194,"&lt;&gt;"&amp;"")</f>
        <v>1189</v>
      </c>
      <c r="D1194" s="247">
        <f>'Table S2 Compound Identifiers'!B1196</f>
        <v>0</v>
      </c>
      <c r="E1194" s="247"/>
      <c r="F1194" s="248"/>
      <c r="G1194" s="249"/>
      <c r="H1194" s="330"/>
      <c r="I1194" s="328"/>
      <c r="J1194" s="249"/>
      <c r="K1194" s="330"/>
      <c r="L1194" s="250"/>
      <c r="M1194" s="249"/>
      <c r="N1194" s="330"/>
      <c r="O1194" s="250"/>
      <c r="P1194" s="249"/>
      <c r="Q1194" s="330"/>
      <c r="R1194" s="250"/>
      <c r="S1194" s="249"/>
      <c r="T1194" s="330"/>
      <c r="U1194" s="250"/>
      <c r="V1194" s="249"/>
      <c r="W1194" s="330"/>
      <c r="X1194" s="343"/>
      <c r="Y1194" s="249"/>
      <c r="Z1194" s="330"/>
      <c r="AA1194" s="343"/>
      <c r="AB1194" s="249"/>
      <c r="AC1194" s="330"/>
      <c r="AD1194" s="343"/>
      <c r="AE1194" s="249"/>
      <c r="AF1194" s="330"/>
      <c r="AG1194" s="343"/>
      <c r="AH1194" s="249"/>
      <c r="AI1194" s="330"/>
      <c r="AJ1194" s="343"/>
      <c r="AK1194" s="249"/>
      <c r="AL1194" s="330"/>
      <c r="AM1194" s="343"/>
      <c r="AN1194" s="249"/>
      <c r="AO1194" s="330"/>
      <c r="AP1194" s="343"/>
      <c r="AQ1194" s="249"/>
      <c r="AR1194" s="330"/>
      <c r="AS1194" s="343"/>
      <c r="AT1194" s="249"/>
      <c r="AU1194" s="330"/>
    </row>
    <row r="1195" spans="2:47">
      <c r="B1195" s="247">
        <f>'Table S2 Compound Identifiers'!C1197</f>
        <v>0</v>
      </c>
      <c r="C1195" s="247">
        <f>COUNTIF($D$6:D1195,"&lt;&gt;"&amp;"")</f>
        <v>1190</v>
      </c>
      <c r="D1195" s="247">
        <f>'Table S2 Compound Identifiers'!B1197</f>
        <v>0</v>
      </c>
      <c r="E1195" s="247"/>
      <c r="F1195" s="248"/>
      <c r="G1195" s="249"/>
      <c r="H1195" s="330"/>
      <c r="I1195" s="328"/>
      <c r="J1195" s="249"/>
      <c r="K1195" s="330"/>
      <c r="L1195" s="250"/>
      <c r="M1195" s="249"/>
      <c r="N1195" s="330"/>
      <c r="O1195" s="250"/>
      <c r="P1195" s="249"/>
      <c r="Q1195" s="330"/>
      <c r="R1195" s="250"/>
      <c r="S1195" s="249"/>
      <c r="T1195" s="330"/>
      <c r="U1195" s="250"/>
      <c r="V1195" s="249"/>
      <c r="W1195" s="330"/>
      <c r="X1195" s="343"/>
      <c r="Y1195" s="249"/>
      <c r="Z1195" s="330"/>
      <c r="AA1195" s="343"/>
      <c r="AB1195" s="249"/>
      <c r="AC1195" s="330"/>
      <c r="AD1195" s="343"/>
      <c r="AE1195" s="249"/>
      <c r="AF1195" s="330"/>
      <c r="AG1195" s="343"/>
      <c r="AH1195" s="249"/>
      <c r="AI1195" s="330"/>
      <c r="AJ1195" s="343"/>
      <c r="AK1195" s="249"/>
      <c r="AL1195" s="330"/>
      <c r="AM1195" s="343"/>
      <c r="AN1195" s="249"/>
      <c r="AO1195" s="330"/>
      <c r="AP1195" s="343"/>
      <c r="AQ1195" s="249"/>
      <c r="AR1195" s="330"/>
      <c r="AS1195" s="343"/>
      <c r="AT1195" s="249"/>
      <c r="AU1195" s="330"/>
    </row>
    <row r="1196" spans="2:47">
      <c r="B1196" s="247">
        <f>'Table S2 Compound Identifiers'!C1198</f>
        <v>0</v>
      </c>
      <c r="C1196" s="247">
        <f>COUNTIF($D$6:D1196,"&lt;&gt;"&amp;"")</f>
        <v>1191</v>
      </c>
      <c r="D1196" s="247">
        <f>'Table S2 Compound Identifiers'!B1198</f>
        <v>0</v>
      </c>
      <c r="E1196" s="247"/>
      <c r="F1196" s="248"/>
      <c r="G1196" s="249"/>
      <c r="H1196" s="330"/>
      <c r="I1196" s="328"/>
      <c r="J1196" s="249"/>
      <c r="K1196" s="330"/>
      <c r="L1196" s="250"/>
      <c r="M1196" s="249"/>
      <c r="N1196" s="330"/>
      <c r="O1196" s="250"/>
      <c r="P1196" s="249"/>
      <c r="Q1196" s="330"/>
      <c r="R1196" s="250"/>
      <c r="S1196" s="249"/>
      <c r="T1196" s="330"/>
      <c r="U1196" s="250"/>
      <c r="V1196" s="249"/>
      <c r="W1196" s="330"/>
      <c r="X1196" s="343"/>
      <c r="Y1196" s="249"/>
      <c r="Z1196" s="330"/>
      <c r="AA1196" s="343"/>
      <c r="AB1196" s="249"/>
      <c r="AC1196" s="330"/>
      <c r="AD1196" s="343"/>
      <c r="AE1196" s="249"/>
      <c r="AF1196" s="330"/>
      <c r="AG1196" s="343"/>
      <c r="AH1196" s="249"/>
      <c r="AI1196" s="330"/>
      <c r="AJ1196" s="343"/>
      <c r="AK1196" s="249"/>
      <c r="AL1196" s="330"/>
      <c r="AM1196" s="343"/>
      <c r="AN1196" s="249"/>
      <c r="AO1196" s="330"/>
      <c r="AP1196" s="343"/>
      <c r="AQ1196" s="249"/>
      <c r="AR1196" s="330"/>
      <c r="AS1196" s="343"/>
      <c r="AT1196" s="249"/>
      <c r="AU1196" s="330"/>
    </row>
    <row r="1197" spans="2:47">
      <c r="B1197" s="247">
        <f>'Table S2 Compound Identifiers'!C1199</f>
        <v>0</v>
      </c>
      <c r="C1197" s="247">
        <f>COUNTIF($D$6:D1197,"&lt;&gt;"&amp;"")</f>
        <v>1192</v>
      </c>
      <c r="D1197" s="247">
        <f>'Table S2 Compound Identifiers'!B1199</f>
        <v>0</v>
      </c>
      <c r="E1197" s="247"/>
      <c r="F1197" s="248"/>
      <c r="G1197" s="249"/>
      <c r="H1197" s="330"/>
      <c r="I1197" s="328"/>
      <c r="J1197" s="249"/>
      <c r="K1197" s="330"/>
      <c r="L1197" s="250"/>
      <c r="M1197" s="249"/>
      <c r="N1197" s="330"/>
      <c r="O1197" s="250"/>
      <c r="P1197" s="249"/>
      <c r="Q1197" s="330"/>
      <c r="R1197" s="250"/>
      <c r="S1197" s="249"/>
      <c r="T1197" s="330"/>
      <c r="U1197" s="250"/>
      <c r="V1197" s="249"/>
      <c r="W1197" s="330"/>
      <c r="X1197" s="343"/>
      <c r="Y1197" s="249"/>
      <c r="Z1197" s="330"/>
      <c r="AA1197" s="343"/>
      <c r="AB1197" s="249"/>
      <c r="AC1197" s="330"/>
      <c r="AD1197" s="343"/>
      <c r="AE1197" s="249"/>
      <c r="AF1197" s="330"/>
      <c r="AG1197" s="343"/>
      <c r="AH1197" s="249"/>
      <c r="AI1197" s="330"/>
      <c r="AJ1197" s="343"/>
      <c r="AK1197" s="249"/>
      <c r="AL1197" s="330"/>
      <c r="AM1197" s="343"/>
      <c r="AN1197" s="249"/>
      <c r="AO1197" s="330"/>
      <c r="AP1197" s="343"/>
      <c r="AQ1197" s="249"/>
      <c r="AR1197" s="330"/>
      <c r="AS1197" s="343"/>
      <c r="AT1197" s="249"/>
      <c r="AU1197" s="330"/>
    </row>
    <row r="1198" spans="2:47">
      <c r="B1198" s="247">
        <f>'Table S2 Compound Identifiers'!C1200</f>
        <v>0</v>
      </c>
      <c r="C1198" s="247">
        <f>COUNTIF($D$6:D1198,"&lt;&gt;"&amp;"")</f>
        <v>1193</v>
      </c>
      <c r="D1198" s="247">
        <f>'Table S2 Compound Identifiers'!B1200</f>
        <v>0</v>
      </c>
      <c r="E1198" s="247"/>
      <c r="F1198" s="248"/>
      <c r="G1198" s="249"/>
      <c r="H1198" s="330"/>
      <c r="I1198" s="328"/>
      <c r="J1198" s="249"/>
      <c r="K1198" s="330"/>
      <c r="L1198" s="250"/>
      <c r="M1198" s="249"/>
      <c r="N1198" s="330"/>
      <c r="O1198" s="250"/>
      <c r="P1198" s="249"/>
      <c r="Q1198" s="330"/>
      <c r="R1198" s="250"/>
      <c r="S1198" s="249"/>
      <c r="T1198" s="330"/>
      <c r="U1198" s="250"/>
      <c r="V1198" s="249"/>
      <c r="W1198" s="330"/>
      <c r="X1198" s="343"/>
      <c r="Y1198" s="249"/>
      <c r="Z1198" s="330"/>
      <c r="AA1198" s="343"/>
      <c r="AB1198" s="249"/>
      <c r="AC1198" s="330"/>
      <c r="AD1198" s="343"/>
      <c r="AE1198" s="249"/>
      <c r="AF1198" s="330"/>
      <c r="AG1198" s="343"/>
      <c r="AH1198" s="249"/>
      <c r="AI1198" s="330"/>
      <c r="AJ1198" s="343"/>
      <c r="AK1198" s="249"/>
      <c r="AL1198" s="330"/>
      <c r="AM1198" s="343"/>
      <c r="AN1198" s="249"/>
      <c r="AO1198" s="330"/>
      <c r="AP1198" s="343"/>
      <c r="AQ1198" s="249"/>
      <c r="AR1198" s="330"/>
      <c r="AS1198" s="343"/>
      <c r="AT1198" s="249"/>
      <c r="AU1198" s="330"/>
    </row>
    <row r="1199" spans="2:47">
      <c r="B1199" s="247">
        <f>'Table S2 Compound Identifiers'!C1201</f>
        <v>0</v>
      </c>
      <c r="C1199" s="247">
        <f>COUNTIF($D$6:D1199,"&lt;&gt;"&amp;"")</f>
        <v>1194</v>
      </c>
      <c r="D1199" s="247">
        <f>'Table S2 Compound Identifiers'!B1201</f>
        <v>0</v>
      </c>
      <c r="E1199" s="247"/>
      <c r="F1199" s="248"/>
      <c r="G1199" s="249"/>
      <c r="H1199" s="330"/>
      <c r="I1199" s="328"/>
      <c r="J1199" s="249"/>
      <c r="K1199" s="330"/>
      <c r="L1199" s="250"/>
      <c r="M1199" s="249"/>
      <c r="N1199" s="330"/>
      <c r="O1199" s="250"/>
      <c r="P1199" s="249"/>
      <c r="Q1199" s="330"/>
      <c r="R1199" s="250"/>
      <c r="S1199" s="249"/>
      <c r="T1199" s="330"/>
      <c r="U1199" s="250"/>
      <c r="V1199" s="249"/>
      <c r="W1199" s="330"/>
      <c r="X1199" s="343"/>
      <c r="Y1199" s="249"/>
      <c r="Z1199" s="330"/>
      <c r="AA1199" s="343"/>
      <c r="AB1199" s="249"/>
      <c r="AC1199" s="330"/>
      <c r="AD1199" s="343"/>
      <c r="AE1199" s="249"/>
      <c r="AF1199" s="330"/>
      <c r="AG1199" s="343"/>
      <c r="AH1199" s="249"/>
      <c r="AI1199" s="330"/>
      <c r="AJ1199" s="343"/>
      <c r="AK1199" s="249"/>
      <c r="AL1199" s="330"/>
      <c r="AM1199" s="343"/>
      <c r="AN1199" s="249"/>
      <c r="AO1199" s="330"/>
      <c r="AP1199" s="343"/>
      <c r="AQ1199" s="249"/>
      <c r="AR1199" s="330"/>
      <c r="AS1199" s="343"/>
      <c r="AT1199" s="249"/>
      <c r="AU1199" s="330"/>
    </row>
    <row r="1200" spans="2:47">
      <c r="B1200" s="247">
        <f>'Table S2 Compound Identifiers'!C1202</f>
        <v>0</v>
      </c>
      <c r="C1200" s="247">
        <f>COUNTIF($D$6:D1200,"&lt;&gt;"&amp;"")</f>
        <v>1195</v>
      </c>
      <c r="D1200" s="247">
        <f>'Table S2 Compound Identifiers'!B1202</f>
        <v>0</v>
      </c>
      <c r="E1200" s="247"/>
      <c r="F1200" s="248"/>
      <c r="G1200" s="249"/>
      <c r="H1200" s="330"/>
      <c r="I1200" s="328"/>
      <c r="J1200" s="249"/>
      <c r="K1200" s="330"/>
      <c r="L1200" s="250"/>
      <c r="M1200" s="249"/>
      <c r="N1200" s="330"/>
      <c r="O1200" s="250"/>
      <c r="P1200" s="249"/>
      <c r="Q1200" s="330"/>
      <c r="R1200" s="250"/>
      <c r="S1200" s="249"/>
      <c r="T1200" s="330"/>
      <c r="U1200" s="250"/>
      <c r="V1200" s="249"/>
      <c r="W1200" s="330"/>
      <c r="X1200" s="343"/>
      <c r="Y1200" s="249"/>
      <c r="Z1200" s="330"/>
      <c r="AA1200" s="343"/>
      <c r="AB1200" s="249"/>
      <c r="AC1200" s="330"/>
      <c r="AD1200" s="343"/>
      <c r="AE1200" s="249"/>
      <c r="AF1200" s="330"/>
      <c r="AG1200" s="343"/>
      <c r="AH1200" s="249"/>
      <c r="AI1200" s="330"/>
      <c r="AJ1200" s="343"/>
      <c r="AK1200" s="249"/>
      <c r="AL1200" s="330"/>
      <c r="AM1200" s="343"/>
      <c r="AN1200" s="249"/>
      <c r="AO1200" s="330"/>
      <c r="AP1200" s="343"/>
      <c r="AQ1200" s="249"/>
      <c r="AR1200" s="330"/>
      <c r="AS1200" s="343"/>
      <c r="AT1200" s="249"/>
      <c r="AU1200" s="330"/>
    </row>
    <row r="1201" spans="2:47">
      <c r="B1201" s="247">
        <f>'Table S2 Compound Identifiers'!C1203</f>
        <v>0</v>
      </c>
      <c r="C1201" s="247">
        <f>COUNTIF($D$6:D1201,"&lt;&gt;"&amp;"")</f>
        <v>1196</v>
      </c>
      <c r="D1201" s="247">
        <f>'Table S2 Compound Identifiers'!B1203</f>
        <v>0</v>
      </c>
      <c r="E1201" s="247"/>
      <c r="F1201" s="248"/>
      <c r="G1201" s="249"/>
      <c r="H1201" s="330"/>
      <c r="I1201" s="328"/>
      <c r="J1201" s="249"/>
      <c r="K1201" s="330"/>
      <c r="L1201" s="250"/>
      <c r="M1201" s="249"/>
      <c r="N1201" s="330"/>
      <c r="O1201" s="250"/>
      <c r="P1201" s="249"/>
      <c r="Q1201" s="330"/>
      <c r="R1201" s="250"/>
      <c r="S1201" s="249"/>
      <c r="T1201" s="330"/>
      <c r="U1201" s="250"/>
      <c r="V1201" s="249"/>
      <c r="W1201" s="330"/>
      <c r="X1201" s="343"/>
      <c r="Y1201" s="249"/>
      <c r="Z1201" s="330"/>
      <c r="AA1201" s="343"/>
      <c r="AB1201" s="249"/>
      <c r="AC1201" s="330"/>
      <c r="AD1201" s="343"/>
      <c r="AE1201" s="249"/>
      <c r="AF1201" s="330"/>
      <c r="AG1201" s="343"/>
      <c r="AH1201" s="249"/>
      <c r="AI1201" s="330"/>
      <c r="AJ1201" s="343"/>
      <c r="AK1201" s="249"/>
      <c r="AL1201" s="330"/>
      <c r="AM1201" s="343"/>
      <c r="AN1201" s="249"/>
      <c r="AO1201" s="330"/>
      <c r="AP1201" s="343"/>
      <c r="AQ1201" s="249"/>
      <c r="AR1201" s="330"/>
      <c r="AS1201" s="343"/>
      <c r="AT1201" s="249"/>
      <c r="AU1201" s="330"/>
    </row>
    <row r="1202" spans="2:47">
      <c r="B1202" s="247">
        <f>'Table S2 Compound Identifiers'!C1204</f>
        <v>0</v>
      </c>
      <c r="C1202" s="247">
        <f>COUNTIF($D$6:D1202,"&lt;&gt;"&amp;"")</f>
        <v>1197</v>
      </c>
      <c r="D1202" s="247">
        <f>'Table S2 Compound Identifiers'!B1204</f>
        <v>0</v>
      </c>
      <c r="E1202" s="247"/>
      <c r="F1202" s="248"/>
      <c r="G1202" s="249"/>
      <c r="H1202" s="330"/>
      <c r="I1202" s="328"/>
      <c r="J1202" s="249"/>
      <c r="K1202" s="330"/>
      <c r="L1202" s="250"/>
      <c r="M1202" s="249"/>
      <c r="N1202" s="330"/>
      <c r="O1202" s="250"/>
      <c r="P1202" s="249"/>
      <c r="Q1202" s="330"/>
      <c r="R1202" s="250"/>
      <c r="S1202" s="249"/>
      <c r="T1202" s="330"/>
      <c r="U1202" s="250"/>
      <c r="V1202" s="249"/>
      <c r="W1202" s="330"/>
      <c r="X1202" s="343"/>
      <c r="Y1202" s="249"/>
      <c r="Z1202" s="330"/>
      <c r="AA1202" s="343"/>
      <c r="AB1202" s="249"/>
      <c r="AC1202" s="330"/>
      <c r="AD1202" s="343"/>
      <c r="AE1202" s="249"/>
      <c r="AF1202" s="330"/>
      <c r="AG1202" s="343"/>
      <c r="AH1202" s="249"/>
      <c r="AI1202" s="330"/>
      <c r="AJ1202" s="343"/>
      <c r="AK1202" s="249"/>
      <c r="AL1202" s="330"/>
      <c r="AM1202" s="343"/>
      <c r="AN1202" s="249"/>
      <c r="AO1202" s="330"/>
      <c r="AP1202" s="343"/>
      <c r="AQ1202" s="249"/>
      <c r="AR1202" s="330"/>
      <c r="AS1202" s="343"/>
      <c r="AT1202" s="249"/>
      <c r="AU1202" s="330"/>
    </row>
    <row r="1203" spans="2:47">
      <c r="B1203" s="247">
        <f>'Table S2 Compound Identifiers'!C1205</f>
        <v>0</v>
      </c>
      <c r="C1203" s="247">
        <f>COUNTIF($D$6:D1203,"&lt;&gt;"&amp;"")</f>
        <v>1198</v>
      </c>
      <c r="D1203" s="247">
        <f>'Table S2 Compound Identifiers'!B1205</f>
        <v>0</v>
      </c>
      <c r="E1203" s="247"/>
      <c r="F1203" s="248"/>
      <c r="G1203" s="249"/>
      <c r="H1203" s="330"/>
      <c r="I1203" s="328"/>
      <c r="J1203" s="249"/>
      <c r="K1203" s="330"/>
      <c r="L1203" s="250"/>
      <c r="M1203" s="249"/>
      <c r="N1203" s="330"/>
      <c r="O1203" s="250"/>
      <c r="P1203" s="249"/>
      <c r="Q1203" s="330"/>
      <c r="R1203" s="250"/>
      <c r="S1203" s="249"/>
      <c r="T1203" s="330"/>
      <c r="U1203" s="250"/>
      <c r="V1203" s="249"/>
      <c r="W1203" s="330"/>
      <c r="X1203" s="343"/>
      <c r="Y1203" s="249"/>
      <c r="Z1203" s="330"/>
      <c r="AA1203" s="343"/>
      <c r="AB1203" s="249"/>
      <c r="AC1203" s="330"/>
      <c r="AD1203" s="343"/>
      <c r="AE1203" s="249"/>
      <c r="AF1203" s="330"/>
      <c r="AG1203" s="343"/>
      <c r="AH1203" s="249"/>
      <c r="AI1203" s="330"/>
      <c r="AJ1203" s="343"/>
      <c r="AK1203" s="249"/>
      <c r="AL1203" s="330"/>
      <c r="AM1203" s="343"/>
      <c r="AN1203" s="249"/>
      <c r="AO1203" s="330"/>
      <c r="AP1203" s="343"/>
      <c r="AQ1203" s="249"/>
      <c r="AR1203" s="330"/>
      <c r="AS1203" s="343"/>
      <c r="AT1203" s="249"/>
      <c r="AU1203" s="330"/>
    </row>
    <row r="1204" spans="2:47">
      <c r="B1204" s="247">
        <f>'Table S2 Compound Identifiers'!C1206</f>
        <v>0</v>
      </c>
      <c r="C1204" s="247">
        <f>COUNTIF($D$6:D1204,"&lt;&gt;"&amp;"")</f>
        <v>1199</v>
      </c>
      <c r="D1204" s="247">
        <f>'Table S2 Compound Identifiers'!B1206</f>
        <v>0</v>
      </c>
      <c r="E1204" s="247"/>
      <c r="F1204" s="248"/>
      <c r="G1204" s="249"/>
      <c r="H1204" s="330"/>
      <c r="I1204" s="328"/>
      <c r="J1204" s="249"/>
      <c r="K1204" s="330"/>
      <c r="L1204" s="250"/>
      <c r="M1204" s="249"/>
      <c r="N1204" s="330"/>
      <c r="O1204" s="250"/>
      <c r="P1204" s="249"/>
      <c r="Q1204" s="330"/>
      <c r="R1204" s="250"/>
      <c r="S1204" s="249"/>
      <c r="T1204" s="330"/>
      <c r="U1204" s="250"/>
      <c r="V1204" s="249"/>
      <c r="W1204" s="330"/>
      <c r="X1204" s="343"/>
      <c r="Y1204" s="249"/>
      <c r="Z1204" s="330"/>
      <c r="AA1204" s="343"/>
      <c r="AB1204" s="249"/>
      <c r="AC1204" s="330"/>
      <c r="AD1204" s="343"/>
      <c r="AE1204" s="249"/>
      <c r="AF1204" s="330"/>
      <c r="AG1204" s="343"/>
      <c r="AH1204" s="249"/>
      <c r="AI1204" s="330"/>
      <c r="AJ1204" s="343"/>
      <c r="AK1204" s="249"/>
      <c r="AL1204" s="330"/>
      <c r="AM1204" s="343"/>
      <c r="AN1204" s="249"/>
      <c r="AO1204" s="330"/>
      <c r="AP1204" s="343"/>
      <c r="AQ1204" s="249"/>
      <c r="AR1204" s="330"/>
      <c r="AS1204" s="343"/>
      <c r="AT1204" s="249"/>
      <c r="AU1204" s="330"/>
    </row>
    <row r="1205" spans="2:47">
      <c r="B1205" s="247">
        <f>'Table S2 Compound Identifiers'!C1207</f>
        <v>0</v>
      </c>
      <c r="C1205" s="247">
        <f>COUNTIF($D$6:D1205,"&lt;&gt;"&amp;"")</f>
        <v>1200</v>
      </c>
      <c r="D1205" s="247">
        <f>'Table S2 Compound Identifiers'!B1207</f>
        <v>0</v>
      </c>
      <c r="E1205" s="247"/>
      <c r="F1205" s="248"/>
      <c r="G1205" s="249"/>
      <c r="H1205" s="330"/>
      <c r="I1205" s="328"/>
      <c r="J1205" s="249"/>
      <c r="K1205" s="330"/>
      <c r="L1205" s="250"/>
      <c r="M1205" s="249"/>
      <c r="N1205" s="330"/>
      <c r="O1205" s="250"/>
      <c r="P1205" s="249"/>
      <c r="Q1205" s="330"/>
      <c r="R1205" s="250"/>
      <c r="S1205" s="249"/>
      <c r="T1205" s="330"/>
      <c r="U1205" s="250"/>
      <c r="V1205" s="249"/>
      <c r="W1205" s="330"/>
      <c r="X1205" s="343"/>
      <c r="Y1205" s="249"/>
      <c r="Z1205" s="330"/>
      <c r="AA1205" s="343"/>
      <c r="AB1205" s="249"/>
      <c r="AC1205" s="330"/>
      <c r="AD1205" s="343"/>
      <c r="AE1205" s="249"/>
      <c r="AF1205" s="330"/>
      <c r="AG1205" s="343"/>
      <c r="AH1205" s="249"/>
      <c r="AI1205" s="330"/>
      <c r="AJ1205" s="343"/>
      <c r="AK1205" s="249"/>
      <c r="AL1205" s="330"/>
      <c r="AM1205" s="343"/>
      <c r="AN1205" s="249"/>
      <c r="AO1205" s="330"/>
      <c r="AP1205" s="343"/>
      <c r="AQ1205" s="249"/>
      <c r="AR1205" s="330"/>
      <c r="AS1205" s="343"/>
      <c r="AT1205" s="249"/>
      <c r="AU1205" s="330"/>
    </row>
    <row r="1206" spans="2:47">
      <c r="B1206" s="247">
        <f>'Table S2 Compound Identifiers'!C1208</f>
        <v>0</v>
      </c>
      <c r="C1206" s="247">
        <f>COUNTIF($D$6:D1206,"&lt;&gt;"&amp;"")</f>
        <v>1201</v>
      </c>
      <c r="D1206" s="247">
        <f>'Table S2 Compound Identifiers'!B1208</f>
        <v>0</v>
      </c>
      <c r="E1206" s="247"/>
      <c r="F1206" s="248"/>
      <c r="G1206" s="249"/>
      <c r="H1206" s="330"/>
      <c r="I1206" s="328"/>
      <c r="J1206" s="249"/>
      <c r="K1206" s="330"/>
      <c r="L1206" s="250"/>
      <c r="M1206" s="249"/>
      <c r="N1206" s="330"/>
      <c r="O1206" s="250"/>
      <c r="P1206" s="249"/>
      <c r="Q1206" s="330"/>
      <c r="R1206" s="250"/>
      <c r="S1206" s="249"/>
      <c r="T1206" s="330"/>
      <c r="U1206" s="250"/>
      <c r="V1206" s="249"/>
      <c r="W1206" s="330"/>
      <c r="X1206" s="343"/>
      <c r="Y1206" s="249"/>
      <c r="Z1206" s="330"/>
      <c r="AA1206" s="343"/>
      <c r="AB1206" s="249"/>
      <c r="AC1206" s="330"/>
      <c r="AD1206" s="343"/>
      <c r="AE1206" s="249"/>
      <c r="AF1206" s="330"/>
      <c r="AG1206" s="343"/>
      <c r="AH1206" s="249"/>
      <c r="AI1206" s="330"/>
      <c r="AJ1206" s="343"/>
      <c r="AK1206" s="249"/>
      <c r="AL1206" s="330"/>
      <c r="AM1206" s="343"/>
      <c r="AN1206" s="249"/>
      <c r="AO1206" s="330"/>
      <c r="AP1206" s="343"/>
      <c r="AQ1206" s="249"/>
      <c r="AR1206" s="330"/>
      <c r="AS1206" s="343"/>
      <c r="AT1206" s="249"/>
      <c r="AU1206" s="330"/>
    </row>
    <row r="1207" spans="2:47">
      <c r="B1207" s="247">
        <f>'Table S2 Compound Identifiers'!C1209</f>
        <v>0</v>
      </c>
      <c r="C1207" s="247">
        <f>COUNTIF($D$6:D1207,"&lt;&gt;"&amp;"")</f>
        <v>1202</v>
      </c>
      <c r="D1207" s="247">
        <f>'Table S2 Compound Identifiers'!B1209</f>
        <v>0</v>
      </c>
      <c r="E1207" s="247"/>
      <c r="F1207" s="248"/>
      <c r="G1207" s="249"/>
      <c r="H1207" s="330"/>
      <c r="I1207" s="328"/>
      <c r="J1207" s="249"/>
      <c r="K1207" s="330"/>
      <c r="L1207" s="250"/>
      <c r="M1207" s="249"/>
      <c r="N1207" s="330"/>
      <c r="O1207" s="250"/>
      <c r="P1207" s="249"/>
      <c r="Q1207" s="330"/>
      <c r="R1207" s="250"/>
      <c r="S1207" s="249"/>
      <c r="T1207" s="330"/>
      <c r="U1207" s="250"/>
      <c r="V1207" s="249"/>
      <c r="W1207" s="330"/>
      <c r="X1207" s="343"/>
      <c r="Y1207" s="249"/>
      <c r="Z1207" s="330"/>
      <c r="AA1207" s="343"/>
      <c r="AB1207" s="249"/>
      <c r="AC1207" s="330"/>
      <c r="AD1207" s="343"/>
      <c r="AE1207" s="249"/>
      <c r="AF1207" s="330"/>
      <c r="AG1207" s="343"/>
      <c r="AH1207" s="249"/>
      <c r="AI1207" s="330"/>
      <c r="AJ1207" s="343"/>
      <c r="AK1207" s="249"/>
      <c r="AL1207" s="330"/>
      <c r="AM1207" s="343"/>
      <c r="AN1207" s="249"/>
      <c r="AO1207" s="330"/>
      <c r="AP1207" s="343"/>
      <c r="AQ1207" s="249"/>
      <c r="AR1207" s="330"/>
      <c r="AS1207" s="343"/>
      <c r="AT1207" s="249"/>
      <c r="AU1207" s="330"/>
    </row>
    <row r="1208" spans="2:47">
      <c r="B1208" s="247">
        <f>'Table S2 Compound Identifiers'!C1210</f>
        <v>0</v>
      </c>
      <c r="C1208" s="247">
        <f>COUNTIF($D$6:D1208,"&lt;&gt;"&amp;"")</f>
        <v>1203</v>
      </c>
      <c r="D1208" s="247">
        <f>'Table S2 Compound Identifiers'!B1210</f>
        <v>0</v>
      </c>
      <c r="E1208" s="247"/>
      <c r="F1208" s="248"/>
      <c r="G1208" s="249"/>
      <c r="H1208" s="330"/>
      <c r="I1208" s="328"/>
      <c r="J1208" s="249"/>
      <c r="K1208" s="330"/>
      <c r="L1208" s="250"/>
      <c r="M1208" s="249"/>
      <c r="N1208" s="330"/>
      <c r="O1208" s="250"/>
      <c r="P1208" s="249"/>
      <c r="Q1208" s="330"/>
      <c r="R1208" s="250"/>
      <c r="S1208" s="249"/>
      <c r="T1208" s="330"/>
      <c r="U1208" s="250"/>
      <c r="V1208" s="249"/>
      <c r="W1208" s="330"/>
      <c r="X1208" s="343"/>
      <c r="Y1208" s="249"/>
      <c r="Z1208" s="330"/>
      <c r="AA1208" s="343"/>
      <c r="AB1208" s="249"/>
      <c r="AC1208" s="330"/>
      <c r="AD1208" s="343"/>
      <c r="AE1208" s="249"/>
      <c r="AF1208" s="330"/>
      <c r="AG1208" s="343"/>
      <c r="AH1208" s="249"/>
      <c r="AI1208" s="330"/>
      <c r="AJ1208" s="343"/>
      <c r="AK1208" s="249"/>
      <c r="AL1208" s="330"/>
      <c r="AM1208" s="343"/>
      <c r="AN1208" s="249"/>
      <c r="AO1208" s="330"/>
      <c r="AP1208" s="343"/>
      <c r="AQ1208" s="249"/>
      <c r="AR1208" s="330"/>
      <c r="AS1208" s="343"/>
      <c r="AT1208" s="249"/>
      <c r="AU1208" s="330"/>
    </row>
    <row r="1209" spans="2:47">
      <c r="B1209" s="247">
        <f>'Table S2 Compound Identifiers'!C1211</f>
        <v>0</v>
      </c>
      <c r="C1209" s="247">
        <f>COUNTIF($D$6:D1209,"&lt;&gt;"&amp;"")</f>
        <v>1204</v>
      </c>
      <c r="D1209" s="247">
        <f>'Table S2 Compound Identifiers'!B1211</f>
        <v>0</v>
      </c>
      <c r="E1209" s="247"/>
      <c r="F1209" s="248"/>
      <c r="G1209" s="249"/>
      <c r="H1209" s="330"/>
      <c r="I1209" s="328"/>
      <c r="J1209" s="249"/>
      <c r="K1209" s="330"/>
      <c r="L1209" s="250"/>
      <c r="M1209" s="249"/>
      <c r="N1209" s="330"/>
      <c r="O1209" s="250"/>
      <c r="P1209" s="249"/>
      <c r="Q1209" s="330"/>
      <c r="R1209" s="250"/>
      <c r="S1209" s="249"/>
      <c r="T1209" s="330"/>
      <c r="U1209" s="250"/>
      <c r="V1209" s="249"/>
      <c r="W1209" s="330"/>
      <c r="X1209" s="343"/>
      <c r="Y1209" s="249"/>
      <c r="Z1209" s="330"/>
      <c r="AA1209" s="343"/>
      <c r="AB1209" s="249"/>
      <c r="AC1209" s="330"/>
      <c r="AD1209" s="343"/>
      <c r="AE1209" s="249"/>
      <c r="AF1209" s="330"/>
      <c r="AG1209" s="343"/>
      <c r="AH1209" s="249"/>
      <c r="AI1209" s="330"/>
      <c r="AJ1209" s="343"/>
      <c r="AK1209" s="249"/>
      <c r="AL1209" s="330"/>
      <c r="AM1209" s="343"/>
      <c r="AN1209" s="249"/>
      <c r="AO1209" s="330"/>
      <c r="AP1209" s="343"/>
      <c r="AQ1209" s="249"/>
      <c r="AR1209" s="330"/>
      <c r="AS1209" s="343"/>
      <c r="AT1209" s="249"/>
      <c r="AU1209" s="330"/>
    </row>
    <row r="1210" spans="2:47">
      <c r="B1210" s="247">
        <f>'Table S2 Compound Identifiers'!C1212</f>
        <v>0</v>
      </c>
      <c r="C1210" s="247">
        <f>COUNTIF($D$6:D1210,"&lt;&gt;"&amp;"")</f>
        <v>1205</v>
      </c>
      <c r="D1210" s="247">
        <f>'Table S2 Compound Identifiers'!B1212</f>
        <v>0</v>
      </c>
      <c r="E1210" s="247"/>
      <c r="F1210" s="248"/>
      <c r="G1210" s="249"/>
      <c r="H1210" s="330"/>
      <c r="I1210" s="328"/>
      <c r="J1210" s="249"/>
      <c r="K1210" s="330"/>
      <c r="L1210" s="250"/>
      <c r="M1210" s="249"/>
      <c r="N1210" s="330"/>
      <c r="O1210" s="250"/>
      <c r="P1210" s="249"/>
      <c r="Q1210" s="330"/>
      <c r="R1210" s="250"/>
      <c r="S1210" s="249"/>
      <c r="T1210" s="330"/>
      <c r="U1210" s="250"/>
      <c r="V1210" s="249"/>
      <c r="W1210" s="330"/>
      <c r="X1210" s="343"/>
      <c r="Y1210" s="249"/>
      <c r="Z1210" s="330"/>
      <c r="AA1210" s="343"/>
      <c r="AB1210" s="249"/>
      <c r="AC1210" s="330"/>
      <c r="AD1210" s="343"/>
      <c r="AE1210" s="249"/>
      <c r="AF1210" s="330"/>
      <c r="AG1210" s="343"/>
      <c r="AH1210" s="249"/>
      <c r="AI1210" s="330"/>
      <c r="AJ1210" s="343"/>
      <c r="AK1210" s="249"/>
      <c r="AL1210" s="330"/>
      <c r="AM1210" s="343"/>
      <c r="AN1210" s="249"/>
      <c r="AO1210" s="330"/>
      <c r="AP1210" s="343"/>
      <c r="AQ1210" s="249"/>
      <c r="AR1210" s="330"/>
      <c r="AS1210" s="343"/>
      <c r="AT1210" s="249"/>
      <c r="AU1210" s="330"/>
    </row>
    <row r="1211" spans="2:47">
      <c r="B1211" s="247">
        <f>'Table S2 Compound Identifiers'!C1213</f>
        <v>0</v>
      </c>
      <c r="C1211" s="247">
        <f>COUNTIF($D$6:D1211,"&lt;&gt;"&amp;"")</f>
        <v>1206</v>
      </c>
      <c r="D1211" s="247">
        <f>'Table S2 Compound Identifiers'!B1213</f>
        <v>0</v>
      </c>
      <c r="E1211" s="247"/>
      <c r="F1211" s="248"/>
      <c r="G1211" s="249"/>
      <c r="H1211" s="330"/>
      <c r="I1211" s="328"/>
      <c r="J1211" s="249"/>
      <c r="K1211" s="330"/>
      <c r="L1211" s="250"/>
      <c r="M1211" s="249"/>
      <c r="N1211" s="330"/>
      <c r="O1211" s="250"/>
      <c r="P1211" s="249"/>
      <c r="Q1211" s="330"/>
      <c r="R1211" s="250"/>
      <c r="S1211" s="249"/>
      <c r="T1211" s="330"/>
      <c r="U1211" s="250"/>
      <c r="V1211" s="249"/>
      <c r="W1211" s="330"/>
      <c r="X1211" s="343"/>
      <c r="Y1211" s="249"/>
      <c r="Z1211" s="330"/>
      <c r="AA1211" s="343"/>
      <c r="AB1211" s="249"/>
      <c r="AC1211" s="330"/>
      <c r="AD1211" s="343"/>
      <c r="AE1211" s="249"/>
      <c r="AF1211" s="330"/>
      <c r="AG1211" s="343"/>
      <c r="AH1211" s="249"/>
      <c r="AI1211" s="330"/>
      <c r="AJ1211" s="343"/>
      <c r="AK1211" s="249"/>
      <c r="AL1211" s="330"/>
      <c r="AM1211" s="343"/>
      <c r="AN1211" s="249"/>
      <c r="AO1211" s="330"/>
      <c r="AP1211" s="343"/>
      <c r="AQ1211" s="249"/>
      <c r="AR1211" s="330"/>
      <c r="AS1211" s="343"/>
      <c r="AT1211" s="249"/>
      <c r="AU1211" s="330"/>
    </row>
    <row r="1212" spans="2:47">
      <c r="B1212" s="247">
        <f>'Table S2 Compound Identifiers'!C1214</f>
        <v>0</v>
      </c>
      <c r="C1212" s="247">
        <f>COUNTIF($D$6:D1212,"&lt;&gt;"&amp;"")</f>
        <v>1207</v>
      </c>
      <c r="D1212" s="247">
        <f>'Table S2 Compound Identifiers'!B1214</f>
        <v>0</v>
      </c>
      <c r="E1212" s="247"/>
      <c r="F1212" s="248"/>
      <c r="G1212" s="249"/>
      <c r="H1212" s="330"/>
      <c r="I1212" s="328"/>
      <c r="J1212" s="249"/>
      <c r="K1212" s="330"/>
      <c r="L1212" s="250"/>
      <c r="M1212" s="249"/>
      <c r="N1212" s="330"/>
      <c r="O1212" s="250"/>
      <c r="P1212" s="249"/>
      <c r="Q1212" s="330"/>
      <c r="R1212" s="250"/>
      <c r="S1212" s="249"/>
      <c r="T1212" s="330"/>
      <c r="U1212" s="250"/>
      <c r="V1212" s="249"/>
      <c r="W1212" s="330"/>
      <c r="X1212" s="343"/>
      <c r="Y1212" s="249"/>
      <c r="Z1212" s="330"/>
      <c r="AA1212" s="343"/>
      <c r="AB1212" s="249"/>
      <c r="AC1212" s="330"/>
      <c r="AD1212" s="343"/>
      <c r="AE1212" s="249"/>
      <c r="AF1212" s="330"/>
      <c r="AG1212" s="343"/>
      <c r="AH1212" s="249"/>
      <c r="AI1212" s="330"/>
      <c r="AJ1212" s="343"/>
      <c r="AK1212" s="249"/>
      <c r="AL1212" s="330"/>
      <c r="AM1212" s="343"/>
      <c r="AN1212" s="249"/>
      <c r="AO1212" s="330"/>
      <c r="AP1212" s="343"/>
      <c r="AQ1212" s="249"/>
      <c r="AR1212" s="330"/>
      <c r="AS1212" s="343"/>
      <c r="AT1212" s="249"/>
      <c r="AU1212" s="330"/>
    </row>
    <row r="1213" spans="2:47">
      <c r="B1213" s="247">
        <f>'Table S2 Compound Identifiers'!C1215</f>
        <v>0</v>
      </c>
      <c r="C1213" s="247">
        <f>COUNTIF($D$6:D1213,"&lt;&gt;"&amp;"")</f>
        <v>1208</v>
      </c>
      <c r="D1213" s="247">
        <f>'Table S2 Compound Identifiers'!B1215</f>
        <v>0</v>
      </c>
      <c r="E1213" s="247"/>
      <c r="F1213" s="248"/>
      <c r="G1213" s="249"/>
      <c r="H1213" s="330"/>
      <c r="I1213" s="328"/>
      <c r="J1213" s="249"/>
      <c r="K1213" s="330"/>
      <c r="L1213" s="250"/>
      <c r="M1213" s="249"/>
      <c r="N1213" s="330"/>
      <c r="O1213" s="250"/>
      <c r="P1213" s="249"/>
      <c r="Q1213" s="330"/>
      <c r="R1213" s="250"/>
      <c r="S1213" s="249"/>
      <c r="T1213" s="330"/>
      <c r="U1213" s="250"/>
      <c r="V1213" s="249"/>
      <c r="W1213" s="330"/>
      <c r="X1213" s="343"/>
      <c r="Y1213" s="249"/>
      <c r="Z1213" s="330"/>
      <c r="AA1213" s="343"/>
      <c r="AB1213" s="249"/>
      <c r="AC1213" s="330"/>
      <c r="AD1213" s="343"/>
      <c r="AE1213" s="249"/>
      <c r="AF1213" s="330"/>
      <c r="AG1213" s="343"/>
      <c r="AH1213" s="249"/>
      <c r="AI1213" s="330"/>
      <c r="AJ1213" s="343"/>
      <c r="AK1213" s="249"/>
      <c r="AL1213" s="330"/>
      <c r="AM1213" s="343"/>
      <c r="AN1213" s="249"/>
      <c r="AO1213" s="330"/>
      <c r="AP1213" s="343"/>
      <c r="AQ1213" s="249"/>
      <c r="AR1213" s="330"/>
      <c r="AS1213" s="343"/>
      <c r="AT1213" s="249"/>
      <c r="AU1213" s="330"/>
    </row>
    <row r="1214" spans="2:47">
      <c r="B1214" s="247">
        <f>'Table S2 Compound Identifiers'!C1216</f>
        <v>0</v>
      </c>
      <c r="C1214" s="247">
        <f>COUNTIF($D$6:D1214,"&lt;&gt;"&amp;"")</f>
        <v>1209</v>
      </c>
      <c r="D1214" s="247">
        <f>'Table S2 Compound Identifiers'!B1216</f>
        <v>0</v>
      </c>
      <c r="E1214" s="247"/>
      <c r="F1214" s="248"/>
      <c r="G1214" s="249"/>
      <c r="H1214" s="330"/>
      <c r="I1214" s="328"/>
      <c r="J1214" s="249"/>
      <c r="K1214" s="330"/>
      <c r="L1214" s="250"/>
      <c r="M1214" s="249"/>
      <c r="N1214" s="330"/>
      <c r="O1214" s="250"/>
      <c r="P1214" s="249"/>
      <c r="Q1214" s="330"/>
      <c r="R1214" s="250"/>
      <c r="S1214" s="249"/>
      <c r="T1214" s="330"/>
      <c r="U1214" s="250"/>
      <c r="V1214" s="249"/>
      <c r="W1214" s="330"/>
      <c r="X1214" s="343"/>
      <c r="Y1214" s="249"/>
      <c r="Z1214" s="330"/>
      <c r="AA1214" s="343"/>
      <c r="AB1214" s="249"/>
      <c r="AC1214" s="330"/>
      <c r="AD1214" s="343"/>
      <c r="AE1214" s="249"/>
      <c r="AF1214" s="330"/>
      <c r="AG1214" s="343"/>
      <c r="AH1214" s="249"/>
      <c r="AI1214" s="330"/>
      <c r="AJ1214" s="343"/>
      <c r="AK1214" s="249"/>
      <c r="AL1214" s="330"/>
      <c r="AM1214" s="343"/>
      <c r="AN1214" s="249"/>
      <c r="AO1214" s="330"/>
      <c r="AP1214" s="343"/>
      <c r="AQ1214" s="249"/>
      <c r="AR1214" s="330"/>
      <c r="AS1214" s="343"/>
      <c r="AT1214" s="249"/>
      <c r="AU1214" s="330"/>
    </row>
    <row r="1215" spans="2:47">
      <c r="B1215" s="247">
        <f>'Table S2 Compound Identifiers'!C1217</f>
        <v>0</v>
      </c>
      <c r="C1215" s="247">
        <f>COUNTIF($D$6:D1215,"&lt;&gt;"&amp;"")</f>
        <v>1210</v>
      </c>
      <c r="D1215" s="247">
        <f>'Table S2 Compound Identifiers'!B1217</f>
        <v>0</v>
      </c>
      <c r="E1215" s="247"/>
      <c r="F1215" s="248"/>
      <c r="G1215" s="249"/>
      <c r="H1215" s="330"/>
      <c r="I1215" s="328"/>
      <c r="J1215" s="249"/>
      <c r="K1215" s="330"/>
      <c r="L1215" s="250"/>
      <c r="M1215" s="249"/>
      <c r="N1215" s="330"/>
      <c r="O1215" s="250"/>
      <c r="P1215" s="249"/>
      <c r="Q1215" s="330"/>
      <c r="R1215" s="250"/>
      <c r="S1215" s="249"/>
      <c r="T1215" s="330"/>
      <c r="U1215" s="250"/>
      <c r="V1215" s="249"/>
      <c r="W1215" s="330"/>
      <c r="X1215" s="343"/>
      <c r="Y1215" s="249"/>
      <c r="Z1215" s="330"/>
      <c r="AA1215" s="343"/>
      <c r="AB1215" s="249"/>
      <c r="AC1215" s="330"/>
      <c r="AD1215" s="343"/>
      <c r="AE1215" s="249"/>
      <c r="AF1215" s="330"/>
      <c r="AG1215" s="343"/>
      <c r="AH1215" s="249"/>
      <c r="AI1215" s="330"/>
      <c r="AJ1215" s="343"/>
      <c r="AK1215" s="249"/>
      <c r="AL1215" s="330"/>
      <c r="AM1215" s="343"/>
      <c r="AN1215" s="249"/>
      <c r="AO1215" s="330"/>
      <c r="AP1215" s="343"/>
      <c r="AQ1215" s="249"/>
      <c r="AR1215" s="330"/>
      <c r="AS1215" s="343"/>
      <c r="AT1215" s="249"/>
      <c r="AU1215" s="330"/>
    </row>
    <row r="1216" spans="2:47">
      <c r="B1216" s="247">
        <f>'Table S2 Compound Identifiers'!C1218</f>
        <v>0</v>
      </c>
      <c r="C1216" s="247">
        <f>COUNTIF($D$6:D1216,"&lt;&gt;"&amp;"")</f>
        <v>1211</v>
      </c>
      <c r="D1216" s="247">
        <f>'Table S2 Compound Identifiers'!B1218</f>
        <v>0</v>
      </c>
      <c r="E1216" s="247"/>
      <c r="F1216" s="248"/>
      <c r="G1216" s="249"/>
      <c r="H1216" s="330"/>
      <c r="I1216" s="328"/>
      <c r="J1216" s="249"/>
      <c r="K1216" s="330"/>
      <c r="L1216" s="250"/>
      <c r="M1216" s="249"/>
      <c r="N1216" s="330"/>
      <c r="O1216" s="250"/>
      <c r="P1216" s="249"/>
      <c r="Q1216" s="330"/>
      <c r="R1216" s="250"/>
      <c r="S1216" s="249"/>
      <c r="T1216" s="330"/>
      <c r="U1216" s="250"/>
      <c r="V1216" s="249"/>
      <c r="W1216" s="330"/>
      <c r="X1216" s="343"/>
      <c r="Y1216" s="249"/>
      <c r="Z1216" s="330"/>
      <c r="AA1216" s="343"/>
      <c r="AB1216" s="249"/>
      <c r="AC1216" s="330"/>
      <c r="AD1216" s="343"/>
      <c r="AE1216" s="249"/>
      <c r="AF1216" s="330"/>
      <c r="AG1216" s="343"/>
      <c r="AH1216" s="249"/>
      <c r="AI1216" s="330"/>
      <c r="AJ1216" s="343"/>
      <c r="AK1216" s="249"/>
      <c r="AL1216" s="330"/>
      <c r="AM1216" s="343"/>
      <c r="AN1216" s="249"/>
      <c r="AO1216" s="330"/>
      <c r="AP1216" s="343"/>
      <c r="AQ1216" s="249"/>
      <c r="AR1216" s="330"/>
      <c r="AS1216" s="343"/>
      <c r="AT1216" s="249"/>
      <c r="AU1216" s="330"/>
    </row>
    <row r="1217" spans="2:47">
      <c r="B1217" s="247">
        <f>'Table S2 Compound Identifiers'!C1219</f>
        <v>0</v>
      </c>
      <c r="C1217" s="247">
        <f>COUNTIF($D$6:D1217,"&lt;&gt;"&amp;"")</f>
        <v>1212</v>
      </c>
      <c r="D1217" s="247">
        <f>'Table S2 Compound Identifiers'!B1219</f>
        <v>0</v>
      </c>
      <c r="E1217" s="247"/>
      <c r="F1217" s="248"/>
      <c r="G1217" s="249"/>
      <c r="H1217" s="330"/>
      <c r="I1217" s="328"/>
      <c r="J1217" s="249"/>
      <c r="K1217" s="330"/>
      <c r="L1217" s="250"/>
      <c r="M1217" s="249"/>
      <c r="N1217" s="330"/>
      <c r="O1217" s="250"/>
      <c r="P1217" s="249"/>
      <c r="Q1217" s="330"/>
      <c r="R1217" s="250"/>
      <c r="S1217" s="249"/>
      <c r="T1217" s="330"/>
      <c r="U1217" s="250"/>
      <c r="V1217" s="249"/>
      <c r="W1217" s="330"/>
      <c r="X1217" s="343"/>
      <c r="Y1217" s="249"/>
      <c r="Z1217" s="330"/>
      <c r="AA1217" s="343"/>
      <c r="AB1217" s="249"/>
      <c r="AC1217" s="330"/>
      <c r="AD1217" s="343"/>
      <c r="AE1217" s="249"/>
      <c r="AF1217" s="330"/>
      <c r="AG1217" s="343"/>
      <c r="AH1217" s="249"/>
      <c r="AI1217" s="330"/>
      <c r="AJ1217" s="343"/>
      <c r="AK1217" s="249"/>
      <c r="AL1217" s="330"/>
      <c r="AM1217" s="343"/>
      <c r="AN1217" s="249"/>
      <c r="AO1217" s="330"/>
      <c r="AP1217" s="343"/>
      <c r="AQ1217" s="249"/>
      <c r="AR1217" s="330"/>
      <c r="AS1217" s="343"/>
      <c r="AT1217" s="249"/>
      <c r="AU1217" s="330"/>
    </row>
    <row r="1218" spans="2:47">
      <c r="B1218" s="247">
        <f>'Table S2 Compound Identifiers'!C1220</f>
        <v>0</v>
      </c>
      <c r="C1218" s="247">
        <f>COUNTIF($D$6:D1218,"&lt;&gt;"&amp;"")</f>
        <v>1213</v>
      </c>
      <c r="D1218" s="247">
        <f>'Table S2 Compound Identifiers'!B1220</f>
        <v>0</v>
      </c>
      <c r="E1218" s="247"/>
      <c r="F1218" s="248"/>
      <c r="G1218" s="249"/>
      <c r="H1218" s="330"/>
      <c r="I1218" s="328"/>
      <c r="J1218" s="249"/>
      <c r="K1218" s="330"/>
      <c r="L1218" s="250"/>
      <c r="M1218" s="249"/>
      <c r="N1218" s="330"/>
      <c r="O1218" s="250"/>
      <c r="P1218" s="249"/>
      <c r="Q1218" s="330"/>
      <c r="R1218" s="250"/>
      <c r="S1218" s="249"/>
      <c r="T1218" s="330"/>
      <c r="U1218" s="250"/>
      <c r="V1218" s="249"/>
      <c r="W1218" s="330"/>
      <c r="X1218" s="343"/>
      <c r="Y1218" s="249"/>
      <c r="Z1218" s="330"/>
      <c r="AA1218" s="343"/>
      <c r="AB1218" s="249"/>
      <c r="AC1218" s="330"/>
      <c r="AD1218" s="343"/>
      <c r="AE1218" s="249"/>
      <c r="AF1218" s="330"/>
      <c r="AG1218" s="343"/>
      <c r="AH1218" s="249"/>
      <c r="AI1218" s="330"/>
      <c r="AJ1218" s="343"/>
      <c r="AK1218" s="249"/>
      <c r="AL1218" s="330"/>
      <c r="AM1218" s="343"/>
      <c r="AN1218" s="249"/>
      <c r="AO1218" s="330"/>
      <c r="AP1218" s="343"/>
      <c r="AQ1218" s="249"/>
      <c r="AR1218" s="330"/>
      <c r="AS1218" s="343"/>
      <c r="AT1218" s="249"/>
      <c r="AU1218" s="330"/>
    </row>
    <row r="1219" spans="2:47">
      <c r="B1219" s="247">
        <f>'Table S2 Compound Identifiers'!C1221</f>
        <v>0</v>
      </c>
      <c r="C1219" s="247">
        <f>COUNTIF($D$6:D1219,"&lt;&gt;"&amp;"")</f>
        <v>1214</v>
      </c>
      <c r="D1219" s="247">
        <f>'Table S2 Compound Identifiers'!B1221</f>
        <v>0</v>
      </c>
      <c r="E1219" s="247"/>
      <c r="F1219" s="248"/>
      <c r="G1219" s="249"/>
      <c r="H1219" s="330"/>
      <c r="I1219" s="328"/>
      <c r="J1219" s="249"/>
      <c r="K1219" s="330"/>
      <c r="L1219" s="250"/>
      <c r="M1219" s="249"/>
      <c r="N1219" s="330"/>
      <c r="O1219" s="250"/>
      <c r="P1219" s="249"/>
      <c r="Q1219" s="330"/>
      <c r="R1219" s="250"/>
      <c r="S1219" s="249"/>
      <c r="T1219" s="330"/>
      <c r="U1219" s="250"/>
      <c r="V1219" s="249"/>
      <c r="W1219" s="330"/>
      <c r="X1219" s="343"/>
      <c r="Y1219" s="249"/>
      <c r="Z1219" s="330"/>
      <c r="AA1219" s="343"/>
      <c r="AB1219" s="249"/>
      <c r="AC1219" s="330"/>
      <c r="AD1219" s="343"/>
      <c r="AE1219" s="249"/>
      <c r="AF1219" s="330"/>
      <c r="AG1219" s="343"/>
      <c r="AH1219" s="249"/>
      <c r="AI1219" s="330"/>
      <c r="AJ1219" s="343"/>
      <c r="AK1219" s="249"/>
      <c r="AL1219" s="330"/>
      <c r="AM1219" s="343"/>
      <c r="AN1219" s="249"/>
      <c r="AO1219" s="330"/>
      <c r="AP1219" s="343"/>
      <c r="AQ1219" s="249"/>
      <c r="AR1219" s="330"/>
      <c r="AS1219" s="343"/>
      <c r="AT1219" s="249"/>
      <c r="AU1219" s="330"/>
    </row>
    <row r="1220" spans="2:47">
      <c r="B1220" s="247">
        <f>'Table S2 Compound Identifiers'!C1222</f>
        <v>0</v>
      </c>
      <c r="C1220" s="247">
        <f>COUNTIF($D$6:D1220,"&lt;&gt;"&amp;"")</f>
        <v>1215</v>
      </c>
      <c r="D1220" s="247">
        <f>'Table S2 Compound Identifiers'!B1222</f>
        <v>0</v>
      </c>
      <c r="E1220" s="247"/>
      <c r="F1220" s="248"/>
      <c r="G1220" s="249"/>
      <c r="H1220" s="330"/>
      <c r="I1220" s="328"/>
      <c r="J1220" s="249"/>
      <c r="K1220" s="330"/>
      <c r="L1220" s="250"/>
      <c r="M1220" s="249"/>
      <c r="N1220" s="330"/>
      <c r="O1220" s="250"/>
      <c r="P1220" s="249"/>
      <c r="Q1220" s="330"/>
      <c r="R1220" s="250"/>
      <c r="S1220" s="249"/>
      <c r="T1220" s="330"/>
      <c r="U1220" s="250"/>
      <c r="V1220" s="249"/>
      <c r="W1220" s="330"/>
      <c r="X1220" s="343"/>
      <c r="Y1220" s="249"/>
      <c r="Z1220" s="330"/>
      <c r="AA1220" s="343"/>
      <c r="AB1220" s="249"/>
      <c r="AC1220" s="330"/>
      <c r="AD1220" s="343"/>
      <c r="AE1220" s="249"/>
      <c r="AF1220" s="330"/>
      <c r="AG1220" s="343"/>
      <c r="AH1220" s="249"/>
      <c r="AI1220" s="330"/>
      <c r="AJ1220" s="343"/>
      <c r="AK1220" s="249"/>
      <c r="AL1220" s="330"/>
      <c r="AM1220" s="343"/>
      <c r="AN1220" s="249"/>
      <c r="AO1220" s="330"/>
      <c r="AP1220" s="343"/>
      <c r="AQ1220" s="249"/>
      <c r="AR1220" s="330"/>
      <c r="AS1220" s="343"/>
      <c r="AT1220" s="249"/>
      <c r="AU1220" s="330"/>
    </row>
    <row r="1221" spans="2:47">
      <c r="B1221" s="247">
        <f>'Table S2 Compound Identifiers'!C1223</f>
        <v>0</v>
      </c>
      <c r="C1221" s="247">
        <f>COUNTIF($D$6:D1221,"&lt;&gt;"&amp;"")</f>
        <v>1216</v>
      </c>
      <c r="D1221" s="247">
        <f>'Table S2 Compound Identifiers'!B1223</f>
        <v>0</v>
      </c>
      <c r="E1221" s="247"/>
      <c r="F1221" s="248"/>
      <c r="G1221" s="249"/>
      <c r="H1221" s="330"/>
      <c r="I1221" s="328"/>
      <c r="J1221" s="249"/>
      <c r="K1221" s="330"/>
      <c r="L1221" s="250"/>
      <c r="M1221" s="249"/>
      <c r="N1221" s="330"/>
      <c r="O1221" s="250"/>
      <c r="P1221" s="249"/>
      <c r="Q1221" s="330"/>
      <c r="R1221" s="250"/>
      <c r="S1221" s="249"/>
      <c r="T1221" s="330"/>
      <c r="U1221" s="250"/>
      <c r="V1221" s="249"/>
      <c r="W1221" s="330"/>
      <c r="X1221" s="343"/>
      <c r="Y1221" s="249"/>
      <c r="Z1221" s="330"/>
      <c r="AA1221" s="343"/>
      <c r="AB1221" s="249"/>
      <c r="AC1221" s="330"/>
      <c r="AD1221" s="343"/>
      <c r="AE1221" s="249"/>
      <c r="AF1221" s="330"/>
      <c r="AG1221" s="343"/>
      <c r="AH1221" s="249"/>
      <c r="AI1221" s="330"/>
      <c r="AJ1221" s="343"/>
      <c r="AK1221" s="249"/>
      <c r="AL1221" s="330"/>
      <c r="AM1221" s="343"/>
      <c r="AN1221" s="249"/>
      <c r="AO1221" s="330"/>
      <c r="AP1221" s="343"/>
      <c r="AQ1221" s="249"/>
      <c r="AR1221" s="330"/>
      <c r="AS1221" s="343"/>
      <c r="AT1221" s="249"/>
      <c r="AU1221" s="330"/>
    </row>
    <row r="1222" spans="2:47">
      <c r="B1222" s="247">
        <f>'Table S2 Compound Identifiers'!C1224</f>
        <v>0</v>
      </c>
      <c r="C1222" s="247">
        <f>COUNTIF($D$6:D1222,"&lt;&gt;"&amp;"")</f>
        <v>1217</v>
      </c>
      <c r="D1222" s="247">
        <f>'Table S2 Compound Identifiers'!B1224</f>
        <v>0</v>
      </c>
      <c r="E1222" s="247"/>
      <c r="F1222" s="248"/>
      <c r="G1222" s="249"/>
      <c r="H1222" s="330"/>
      <c r="I1222" s="328"/>
      <c r="J1222" s="249"/>
      <c r="K1222" s="330"/>
      <c r="L1222" s="250"/>
      <c r="M1222" s="249"/>
      <c r="N1222" s="330"/>
      <c r="O1222" s="250"/>
      <c r="P1222" s="249"/>
      <c r="Q1222" s="330"/>
      <c r="R1222" s="250"/>
      <c r="S1222" s="249"/>
      <c r="T1222" s="330"/>
      <c r="U1222" s="250"/>
      <c r="V1222" s="249"/>
      <c r="W1222" s="330"/>
      <c r="X1222" s="343"/>
      <c r="Y1222" s="249"/>
      <c r="Z1222" s="330"/>
      <c r="AA1222" s="343"/>
      <c r="AB1222" s="249"/>
      <c r="AC1222" s="330"/>
      <c r="AD1222" s="343"/>
      <c r="AE1222" s="249"/>
      <c r="AF1222" s="330"/>
      <c r="AG1222" s="343"/>
      <c r="AH1222" s="249"/>
      <c r="AI1222" s="330"/>
      <c r="AJ1222" s="343"/>
      <c r="AK1222" s="249"/>
      <c r="AL1222" s="330"/>
      <c r="AM1222" s="343"/>
      <c r="AN1222" s="249"/>
      <c r="AO1222" s="330"/>
      <c r="AP1222" s="343"/>
      <c r="AQ1222" s="249"/>
      <c r="AR1222" s="330"/>
      <c r="AS1222" s="343"/>
      <c r="AT1222" s="249"/>
      <c r="AU1222" s="330"/>
    </row>
    <row r="1223" spans="2:47">
      <c r="B1223" s="247">
        <f>'Table S2 Compound Identifiers'!C1225</f>
        <v>0</v>
      </c>
      <c r="C1223" s="247">
        <f>COUNTIF($D$6:D1223,"&lt;&gt;"&amp;"")</f>
        <v>1218</v>
      </c>
      <c r="D1223" s="247">
        <f>'Table S2 Compound Identifiers'!B1225</f>
        <v>0</v>
      </c>
      <c r="E1223" s="247"/>
      <c r="F1223" s="248"/>
      <c r="G1223" s="249"/>
      <c r="H1223" s="330"/>
      <c r="I1223" s="328"/>
      <c r="J1223" s="249"/>
      <c r="K1223" s="330"/>
      <c r="L1223" s="250"/>
      <c r="M1223" s="249"/>
      <c r="N1223" s="330"/>
      <c r="O1223" s="250"/>
      <c r="P1223" s="249"/>
      <c r="Q1223" s="330"/>
      <c r="R1223" s="250"/>
      <c r="S1223" s="249"/>
      <c r="T1223" s="330"/>
      <c r="U1223" s="250"/>
      <c r="V1223" s="249"/>
      <c r="W1223" s="330"/>
      <c r="X1223" s="343"/>
      <c r="Y1223" s="249"/>
      <c r="Z1223" s="330"/>
      <c r="AA1223" s="343"/>
      <c r="AB1223" s="249"/>
      <c r="AC1223" s="330"/>
      <c r="AD1223" s="343"/>
      <c r="AE1223" s="249"/>
      <c r="AF1223" s="330"/>
      <c r="AG1223" s="343"/>
      <c r="AH1223" s="249"/>
      <c r="AI1223" s="330"/>
      <c r="AJ1223" s="343"/>
      <c r="AK1223" s="249"/>
      <c r="AL1223" s="330"/>
      <c r="AM1223" s="343"/>
      <c r="AN1223" s="249"/>
      <c r="AO1223" s="330"/>
      <c r="AP1223" s="343"/>
      <c r="AQ1223" s="249"/>
      <c r="AR1223" s="330"/>
      <c r="AS1223" s="343"/>
      <c r="AT1223" s="249"/>
      <c r="AU1223" s="330"/>
    </row>
    <row r="1224" spans="2:47">
      <c r="B1224" s="247">
        <f>'Table S2 Compound Identifiers'!C1226</f>
        <v>0</v>
      </c>
      <c r="C1224" s="247">
        <f>COUNTIF($D$6:D1224,"&lt;&gt;"&amp;"")</f>
        <v>1219</v>
      </c>
      <c r="D1224" s="247">
        <f>'Table S2 Compound Identifiers'!B1226</f>
        <v>0</v>
      </c>
      <c r="E1224" s="247"/>
      <c r="F1224" s="248"/>
      <c r="G1224" s="249"/>
      <c r="H1224" s="330"/>
      <c r="I1224" s="328"/>
      <c r="J1224" s="249"/>
      <c r="K1224" s="330"/>
      <c r="L1224" s="250"/>
      <c r="M1224" s="249"/>
      <c r="N1224" s="330"/>
      <c r="O1224" s="250"/>
      <c r="P1224" s="249"/>
      <c r="Q1224" s="330"/>
      <c r="R1224" s="250"/>
      <c r="S1224" s="249"/>
      <c r="T1224" s="330"/>
      <c r="U1224" s="250"/>
      <c r="V1224" s="249"/>
      <c r="W1224" s="330"/>
      <c r="X1224" s="343"/>
      <c r="Y1224" s="249"/>
      <c r="Z1224" s="330"/>
      <c r="AA1224" s="343"/>
      <c r="AB1224" s="249"/>
      <c r="AC1224" s="330"/>
      <c r="AD1224" s="343"/>
      <c r="AE1224" s="249"/>
      <c r="AF1224" s="330"/>
      <c r="AG1224" s="343"/>
      <c r="AH1224" s="249"/>
      <c r="AI1224" s="330"/>
      <c r="AJ1224" s="343"/>
      <c r="AK1224" s="249"/>
      <c r="AL1224" s="330"/>
      <c r="AM1224" s="343"/>
      <c r="AN1224" s="249"/>
      <c r="AO1224" s="330"/>
      <c r="AP1224" s="343"/>
      <c r="AQ1224" s="249"/>
      <c r="AR1224" s="330"/>
      <c r="AS1224" s="343"/>
      <c r="AT1224" s="249"/>
      <c r="AU1224" s="330"/>
    </row>
    <row r="1225" spans="2:47">
      <c r="B1225" s="247">
        <f>'Table S2 Compound Identifiers'!C1227</f>
        <v>0</v>
      </c>
      <c r="C1225" s="247">
        <f>COUNTIF($D$6:D1225,"&lt;&gt;"&amp;"")</f>
        <v>1220</v>
      </c>
      <c r="D1225" s="247">
        <f>'Table S2 Compound Identifiers'!B1227</f>
        <v>0</v>
      </c>
      <c r="E1225" s="247"/>
      <c r="F1225" s="248"/>
      <c r="G1225" s="249"/>
      <c r="H1225" s="330"/>
      <c r="I1225" s="328"/>
      <c r="J1225" s="249"/>
      <c r="K1225" s="330"/>
      <c r="L1225" s="250"/>
      <c r="M1225" s="249"/>
      <c r="N1225" s="330"/>
      <c r="O1225" s="250"/>
      <c r="P1225" s="249"/>
      <c r="Q1225" s="330"/>
      <c r="R1225" s="250"/>
      <c r="S1225" s="249"/>
      <c r="T1225" s="330"/>
      <c r="U1225" s="250"/>
      <c r="V1225" s="249"/>
      <c r="W1225" s="330"/>
      <c r="X1225" s="343"/>
      <c r="Y1225" s="249"/>
      <c r="Z1225" s="330"/>
      <c r="AA1225" s="343"/>
      <c r="AB1225" s="249"/>
      <c r="AC1225" s="330"/>
      <c r="AD1225" s="343"/>
      <c r="AE1225" s="249"/>
      <c r="AF1225" s="330"/>
      <c r="AG1225" s="343"/>
      <c r="AH1225" s="249"/>
      <c r="AI1225" s="330"/>
      <c r="AJ1225" s="343"/>
      <c r="AK1225" s="249"/>
      <c r="AL1225" s="330"/>
      <c r="AM1225" s="343"/>
      <c r="AN1225" s="249"/>
      <c r="AO1225" s="330"/>
      <c r="AP1225" s="343"/>
      <c r="AQ1225" s="249"/>
      <c r="AR1225" s="330"/>
      <c r="AS1225" s="343"/>
      <c r="AT1225" s="249"/>
      <c r="AU1225" s="330"/>
    </row>
    <row r="1226" spans="2:47">
      <c r="B1226" s="247">
        <f>'Table S2 Compound Identifiers'!C1228</f>
        <v>0</v>
      </c>
      <c r="C1226" s="247">
        <f>COUNTIF($D$6:D1226,"&lt;&gt;"&amp;"")</f>
        <v>1221</v>
      </c>
      <c r="D1226" s="247">
        <f>'Table S2 Compound Identifiers'!B1228</f>
        <v>0</v>
      </c>
      <c r="E1226" s="247"/>
      <c r="F1226" s="248"/>
      <c r="G1226" s="249"/>
      <c r="H1226" s="330"/>
      <c r="I1226" s="328"/>
      <c r="J1226" s="249"/>
      <c r="K1226" s="330"/>
      <c r="L1226" s="250"/>
      <c r="M1226" s="249"/>
      <c r="N1226" s="330"/>
      <c r="O1226" s="250"/>
      <c r="P1226" s="249"/>
      <c r="Q1226" s="330"/>
      <c r="R1226" s="250"/>
      <c r="S1226" s="249"/>
      <c r="T1226" s="330"/>
      <c r="U1226" s="250"/>
      <c r="V1226" s="249"/>
      <c r="W1226" s="330"/>
      <c r="X1226" s="343"/>
      <c r="Y1226" s="249"/>
      <c r="Z1226" s="330"/>
      <c r="AA1226" s="343"/>
      <c r="AB1226" s="249"/>
      <c r="AC1226" s="330"/>
      <c r="AD1226" s="343"/>
      <c r="AE1226" s="249"/>
      <c r="AF1226" s="330"/>
      <c r="AG1226" s="343"/>
      <c r="AH1226" s="249"/>
      <c r="AI1226" s="330"/>
      <c r="AJ1226" s="343"/>
      <c r="AK1226" s="249"/>
      <c r="AL1226" s="330"/>
      <c r="AM1226" s="343"/>
      <c r="AN1226" s="249"/>
      <c r="AO1226" s="330"/>
      <c r="AP1226" s="343"/>
      <c r="AQ1226" s="249"/>
      <c r="AR1226" s="330"/>
      <c r="AS1226" s="343"/>
      <c r="AT1226" s="249"/>
      <c r="AU1226" s="330"/>
    </row>
    <row r="1227" spans="2:47">
      <c r="B1227" s="247">
        <f>'Table S2 Compound Identifiers'!C1229</f>
        <v>0</v>
      </c>
      <c r="C1227" s="247">
        <f>COUNTIF($D$6:D1227,"&lt;&gt;"&amp;"")</f>
        <v>1222</v>
      </c>
      <c r="D1227" s="247">
        <f>'Table S2 Compound Identifiers'!B1229</f>
        <v>0</v>
      </c>
      <c r="E1227" s="247"/>
      <c r="F1227" s="248"/>
      <c r="G1227" s="249"/>
      <c r="H1227" s="330"/>
      <c r="I1227" s="328"/>
      <c r="J1227" s="249"/>
      <c r="K1227" s="330"/>
      <c r="L1227" s="250"/>
      <c r="M1227" s="249"/>
      <c r="N1227" s="330"/>
      <c r="O1227" s="250"/>
      <c r="P1227" s="249"/>
      <c r="Q1227" s="330"/>
      <c r="R1227" s="250"/>
      <c r="S1227" s="249"/>
      <c r="T1227" s="330"/>
      <c r="U1227" s="250"/>
      <c r="V1227" s="249"/>
      <c r="W1227" s="330"/>
      <c r="X1227" s="343"/>
      <c r="Y1227" s="249"/>
      <c r="Z1227" s="330"/>
      <c r="AA1227" s="343"/>
      <c r="AB1227" s="249"/>
      <c r="AC1227" s="330"/>
      <c r="AD1227" s="343"/>
      <c r="AE1227" s="249"/>
      <c r="AF1227" s="330"/>
      <c r="AG1227" s="343"/>
      <c r="AH1227" s="249"/>
      <c r="AI1227" s="330"/>
      <c r="AJ1227" s="343"/>
      <c r="AK1227" s="249"/>
      <c r="AL1227" s="330"/>
      <c r="AM1227" s="343"/>
      <c r="AN1227" s="249"/>
      <c r="AO1227" s="330"/>
      <c r="AP1227" s="343"/>
      <c r="AQ1227" s="249"/>
      <c r="AR1227" s="330"/>
      <c r="AS1227" s="343"/>
      <c r="AT1227" s="249"/>
      <c r="AU1227" s="330"/>
    </row>
    <row r="1228" spans="2:47">
      <c r="B1228" s="247">
        <f>'Table S2 Compound Identifiers'!C1230</f>
        <v>0</v>
      </c>
      <c r="C1228" s="247">
        <f>COUNTIF($D$6:D1228,"&lt;&gt;"&amp;"")</f>
        <v>1223</v>
      </c>
      <c r="D1228" s="247">
        <f>'Table S2 Compound Identifiers'!B1230</f>
        <v>0</v>
      </c>
      <c r="E1228" s="247"/>
      <c r="F1228" s="248"/>
      <c r="G1228" s="249"/>
      <c r="H1228" s="330"/>
      <c r="I1228" s="328"/>
      <c r="J1228" s="249"/>
      <c r="K1228" s="330"/>
      <c r="L1228" s="250"/>
      <c r="M1228" s="249"/>
      <c r="N1228" s="330"/>
      <c r="O1228" s="250"/>
      <c r="P1228" s="249"/>
      <c r="Q1228" s="330"/>
      <c r="R1228" s="250"/>
      <c r="S1228" s="249"/>
      <c r="T1228" s="330"/>
      <c r="U1228" s="250"/>
      <c r="V1228" s="249"/>
      <c r="W1228" s="330"/>
      <c r="X1228" s="343"/>
      <c r="Y1228" s="249"/>
      <c r="Z1228" s="330"/>
      <c r="AA1228" s="343"/>
      <c r="AB1228" s="249"/>
      <c r="AC1228" s="330"/>
      <c r="AD1228" s="343"/>
      <c r="AE1228" s="249"/>
      <c r="AF1228" s="330"/>
      <c r="AG1228" s="343"/>
      <c r="AH1228" s="249"/>
      <c r="AI1228" s="330"/>
      <c r="AJ1228" s="343"/>
      <c r="AK1228" s="249"/>
      <c r="AL1228" s="330"/>
      <c r="AM1228" s="343"/>
      <c r="AN1228" s="249"/>
      <c r="AO1228" s="330"/>
      <c r="AP1228" s="343"/>
      <c r="AQ1228" s="249"/>
      <c r="AR1228" s="330"/>
      <c r="AS1228" s="343"/>
      <c r="AT1228" s="249"/>
      <c r="AU1228" s="330"/>
    </row>
    <row r="1229" spans="2:47">
      <c r="B1229" s="247">
        <f>'Table S2 Compound Identifiers'!C1231</f>
        <v>0</v>
      </c>
      <c r="C1229" s="247">
        <f>COUNTIF($D$6:D1229,"&lt;&gt;"&amp;"")</f>
        <v>1224</v>
      </c>
      <c r="D1229" s="247">
        <f>'Table S2 Compound Identifiers'!B1231</f>
        <v>0</v>
      </c>
      <c r="E1229" s="247"/>
      <c r="F1229" s="248"/>
      <c r="G1229" s="249"/>
      <c r="H1229" s="330"/>
      <c r="I1229" s="328"/>
      <c r="J1229" s="249"/>
      <c r="K1229" s="330"/>
      <c r="L1229" s="250"/>
      <c r="M1229" s="249"/>
      <c r="N1229" s="330"/>
      <c r="O1229" s="250"/>
      <c r="P1229" s="249"/>
      <c r="Q1229" s="330"/>
      <c r="R1229" s="250"/>
      <c r="S1229" s="249"/>
      <c r="T1229" s="330"/>
      <c r="U1229" s="250"/>
      <c r="V1229" s="249"/>
      <c r="W1229" s="330"/>
      <c r="X1229" s="343"/>
      <c r="Y1229" s="249"/>
      <c r="Z1229" s="330"/>
      <c r="AA1229" s="343"/>
      <c r="AB1229" s="249"/>
      <c r="AC1229" s="330"/>
      <c r="AD1229" s="343"/>
      <c r="AE1229" s="249"/>
      <c r="AF1229" s="330"/>
      <c r="AG1229" s="343"/>
      <c r="AH1229" s="249"/>
      <c r="AI1229" s="330"/>
      <c r="AJ1229" s="343"/>
      <c r="AK1229" s="249"/>
      <c r="AL1229" s="330"/>
      <c r="AM1229" s="343"/>
      <c r="AN1229" s="249"/>
      <c r="AO1229" s="330"/>
      <c r="AP1229" s="343"/>
      <c r="AQ1229" s="249"/>
      <c r="AR1229" s="330"/>
      <c r="AS1229" s="343"/>
      <c r="AT1229" s="249"/>
      <c r="AU1229" s="330"/>
    </row>
    <row r="1230" spans="2:47">
      <c r="B1230" s="247">
        <f>'Table S2 Compound Identifiers'!C1232</f>
        <v>0</v>
      </c>
      <c r="C1230" s="247">
        <f>COUNTIF($D$6:D1230,"&lt;&gt;"&amp;"")</f>
        <v>1225</v>
      </c>
      <c r="D1230" s="247">
        <f>'Table S2 Compound Identifiers'!B1232</f>
        <v>0</v>
      </c>
      <c r="E1230" s="247"/>
      <c r="F1230" s="248"/>
      <c r="G1230" s="249"/>
      <c r="H1230" s="330"/>
      <c r="I1230" s="328"/>
      <c r="J1230" s="249"/>
      <c r="K1230" s="330"/>
      <c r="L1230" s="250"/>
      <c r="M1230" s="249"/>
      <c r="N1230" s="330"/>
      <c r="O1230" s="250"/>
      <c r="P1230" s="249"/>
      <c r="Q1230" s="330"/>
      <c r="R1230" s="250"/>
      <c r="S1230" s="249"/>
      <c r="T1230" s="330"/>
      <c r="U1230" s="250"/>
      <c r="V1230" s="249"/>
      <c r="W1230" s="330"/>
      <c r="X1230" s="343"/>
      <c r="Y1230" s="249"/>
      <c r="Z1230" s="330"/>
      <c r="AA1230" s="343"/>
      <c r="AB1230" s="249"/>
      <c r="AC1230" s="330"/>
      <c r="AD1230" s="343"/>
      <c r="AE1230" s="249"/>
      <c r="AF1230" s="330"/>
      <c r="AG1230" s="343"/>
      <c r="AH1230" s="249"/>
      <c r="AI1230" s="330"/>
      <c r="AJ1230" s="343"/>
      <c r="AK1230" s="249"/>
      <c r="AL1230" s="330"/>
      <c r="AM1230" s="343"/>
      <c r="AN1230" s="249"/>
      <c r="AO1230" s="330"/>
      <c r="AP1230" s="343"/>
      <c r="AQ1230" s="249"/>
      <c r="AR1230" s="330"/>
      <c r="AS1230" s="343"/>
      <c r="AT1230" s="249"/>
      <c r="AU1230" s="330"/>
    </row>
    <row r="1231" spans="2:47">
      <c r="B1231" s="247">
        <f>'Table S2 Compound Identifiers'!C1233</f>
        <v>0</v>
      </c>
      <c r="C1231" s="247">
        <f>COUNTIF($D$6:D1231,"&lt;&gt;"&amp;"")</f>
        <v>1226</v>
      </c>
      <c r="D1231" s="247">
        <f>'Table S2 Compound Identifiers'!B1233</f>
        <v>0</v>
      </c>
      <c r="E1231" s="247"/>
      <c r="F1231" s="248"/>
      <c r="G1231" s="249"/>
      <c r="H1231" s="330"/>
      <c r="I1231" s="328"/>
      <c r="J1231" s="249"/>
      <c r="K1231" s="330"/>
      <c r="L1231" s="250"/>
      <c r="M1231" s="249"/>
      <c r="N1231" s="330"/>
      <c r="O1231" s="250"/>
      <c r="P1231" s="249"/>
      <c r="Q1231" s="330"/>
      <c r="R1231" s="250"/>
      <c r="S1231" s="249"/>
      <c r="T1231" s="330"/>
      <c r="U1231" s="250"/>
      <c r="V1231" s="249"/>
      <c r="W1231" s="330"/>
      <c r="X1231" s="343"/>
      <c r="Y1231" s="249"/>
      <c r="Z1231" s="330"/>
      <c r="AA1231" s="343"/>
      <c r="AB1231" s="249"/>
      <c r="AC1231" s="330"/>
      <c r="AD1231" s="343"/>
      <c r="AE1231" s="249"/>
      <c r="AF1231" s="330"/>
      <c r="AG1231" s="343"/>
      <c r="AH1231" s="249"/>
      <c r="AI1231" s="330"/>
      <c r="AJ1231" s="343"/>
      <c r="AK1231" s="249"/>
      <c r="AL1231" s="330"/>
      <c r="AM1231" s="343"/>
      <c r="AN1231" s="249"/>
      <c r="AO1231" s="330"/>
      <c r="AP1231" s="343"/>
      <c r="AQ1231" s="249"/>
      <c r="AR1231" s="330"/>
      <c r="AS1231" s="343"/>
      <c r="AT1231" s="249"/>
      <c r="AU1231" s="330"/>
    </row>
    <row r="1232" spans="2:47">
      <c r="B1232" s="247">
        <f>'Table S2 Compound Identifiers'!C1234</f>
        <v>0</v>
      </c>
      <c r="C1232" s="247">
        <f>COUNTIF($D$6:D1232,"&lt;&gt;"&amp;"")</f>
        <v>1227</v>
      </c>
      <c r="D1232" s="247">
        <f>'Table S2 Compound Identifiers'!B1234</f>
        <v>0</v>
      </c>
      <c r="E1232" s="247"/>
      <c r="F1232" s="248"/>
      <c r="G1232" s="249"/>
      <c r="H1232" s="330"/>
      <c r="I1232" s="328"/>
      <c r="J1232" s="249"/>
      <c r="K1232" s="330"/>
      <c r="L1232" s="250"/>
      <c r="M1232" s="249"/>
      <c r="N1232" s="330"/>
      <c r="O1232" s="250"/>
      <c r="P1232" s="249"/>
      <c r="Q1232" s="330"/>
      <c r="R1232" s="250"/>
      <c r="S1232" s="249"/>
      <c r="T1232" s="330"/>
      <c r="U1232" s="250"/>
      <c r="V1232" s="249"/>
      <c r="W1232" s="330"/>
      <c r="X1232" s="343"/>
      <c r="Y1232" s="249"/>
      <c r="Z1232" s="330"/>
      <c r="AA1232" s="343"/>
      <c r="AB1232" s="249"/>
      <c r="AC1232" s="330"/>
      <c r="AD1232" s="343"/>
      <c r="AE1232" s="249"/>
      <c r="AF1232" s="330"/>
      <c r="AG1232" s="343"/>
      <c r="AH1232" s="249"/>
      <c r="AI1232" s="330"/>
      <c r="AJ1232" s="343"/>
      <c r="AK1232" s="249"/>
      <c r="AL1232" s="330"/>
      <c r="AM1232" s="343"/>
      <c r="AN1232" s="249"/>
      <c r="AO1232" s="330"/>
      <c r="AP1232" s="343"/>
      <c r="AQ1232" s="249"/>
      <c r="AR1232" s="330"/>
      <c r="AS1232" s="343"/>
      <c r="AT1232" s="249"/>
      <c r="AU1232" s="330"/>
    </row>
    <row r="1233" spans="2:47">
      <c r="B1233" s="247">
        <f>'Table S2 Compound Identifiers'!C1235</f>
        <v>0</v>
      </c>
      <c r="C1233" s="247">
        <f>COUNTIF($D$6:D1233,"&lt;&gt;"&amp;"")</f>
        <v>1228</v>
      </c>
      <c r="D1233" s="247">
        <f>'Table S2 Compound Identifiers'!B1235</f>
        <v>0</v>
      </c>
      <c r="E1233" s="247"/>
      <c r="F1233" s="248"/>
      <c r="G1233" s="249"/>
      <c r="H1233" s="330"/>
      <c r="I1233" s="328"/>
      <c r="J1233" s="249"/>
      <c r="K1233" s="330"/>
      <c r="L1233" s="250"/>
      <c r="M1233" s="249"/>
      <c r="N1233" s="330"/>
      <c r="O1233" s="250"/>
      <c r="P1233" s="249"/>
      <c r="Q1233" s="330"/>
      <c r="R1233" s="250"/>
      <c r="S1233" s="249"/>
      <c r="T1233" s="330"/>
      <c r="U1233" s="250"/>
      <c r="V1233" s="249"/>
      <c r="W1233" s="330"/>
      <c r="X1233" s="343"/>
      <c r="Y1233" s="249"/>
      <c r="Z1233" s="330"/>
      <c r="AA1233" s="343"/>
      <c r="AB1233" s="249"/>
      <c r="AC1233" s="330"/>
      <c r="AD1233" s="343"/>
      <c r="AE1233" s="249"/>
      <c r="AF1233" s="330"/>
      <c r="AG1233" s="343"/>
      <c r="AH1233" s="249"/>
      <c r="AI1233" s="330"/>
      <c r="AJ1233" s="343"/>
      <c r="AK1233" s="249"/>
      <c r="AL1233" s="330"/>
      <c r="AM1233" s="343"/>
      <c r="AN1233" s="249"/>
      <c r="AO1233" s="330"/>
      <c r="AP1233" s="343"/>
      <c r="AQ1233" s="249"/>
      <c r="AR1233" s="330"/>
      <c r="AS1233" s="343"/>
      <c r="AT1233" s="249"/>
      <c r="AU1233" s="330"/>
    </row>
    <row r="1234" spans="2:47">
      <c r="B1234" s="247">
        <f>'Table S2 Compound Identifiers'!C1236</f>
        <v>0</v>
      </c>
      <c r="C1234" s="247">
        <f>COUNTIF($D$6:D1234,"&lt;&gt;"&amp;"")</f>
        <v>1229</v>
      </c>
      <c r="D1234" s="247">
        <f>'Table S2 Compound Identifiers'!B1236</f>
        <v>0</v>
      </c>
      <c r="E1234" s="247"/>
      <c r="F1234" s="248"/>
      <c r="G1234" s="249"/>
      <c r="H1234" s="330"/>
      <c r="I1234" s="328"/>
      <c r="J1234" s="249"/>
      <c r="K1234" s="330"/>
      <c r="L1234" s="250"/>
      <c r="M1234" s="249"/>
      <c r="N1234" s="330"/>
      <c r="O1234" s="250"/>
      <c r="P1234" s="249"/>
      <c r="Q1234" s="330"/>
      <c r="R1234" s="250"/>
      <c r="S1234" s="249"/>
      <c r="T1234" s="330"/>
      <c r="U1234" s="250"/>
      <c r="V1234" s="249"/>
      <c r="W1234" s="330"/>
      <c r="X1234" s="343"/>
      <c r="Y1234" s="249"/>
      <c r="Z1234" s="330"/>
      <c r="AA1234" s="343"/>
      <c r="AB1234" s="249"/>
      <c r="AC1234" s="330"/>
      <c r="AD1234" s="343"/>
      <c r="AE1234" s="249"/>
      <c r="AF1234" s="330"/>
      <c r="AG1234" s="343"/>
      <c r="AH1234" s="249"/>
      <c r="AI1234" s="330"/>
      <c r="AJ1234" s="343"/>
      <c r="AK1234" s="249"/>
      <c r="AL1234" s="330"/>
      <c r="AM1234" s="343"/>
      <c r="AN1234" s="249"/>
      <c r="AO1234" s="330"/>
      <c r="AP1234" s="343"/>
      <c r="AQ1234" s="249"/>
      <c r="AR1234" s="330"/>
      <c r="AS1234" s="343"/>
      <c r="AT1234" s="249"/>
      <c r="AU1234" s="330"/>
    </row>
    <row r="1235" spans="2:47">
      <c r="B1235" s="247">
        <f>'Table S2 Compound Identifiers'!C1237</f>
        <v>0</v>
      </c>
      <c r="C1235" s="247">
        <f>COUNTIF($D$6:D1235,"&lt;&gt;"&amp;"")</f>
        <v>1230</v>
      </c>
      <c r="D1235" s="247">
        <f>'Table S2 Compound Identifiers'!B1237</f>
        <v>0</v>
      </c>
      <c r="E1235" s="247"/>
      <c r="F1235" s="248"/>
      <c r="G1235" s="249"/>
      <c r="H1235" s="330"/>
      <c r="I1235" s="328"/>
      <c r="J1235" s="249"/>
      <c r="K1235" s="330"/>
      <c r="L1235" s="250"/>
      <c r="M1235" s="249"/>
      <c r="N1235" s="330"/>
      <c r="O1235" s="250"/>
      <c r="P1235" s="249"/>
      <c r="Q1235" s="330"/>
      <c r="R1235" s="250"/>
      <c r="S1235" s="249"/>
      <c r="T1235" s="330"/>
      <c r="U1235" s="250"/>
      <c r="V1235" s="249"/>
      <c r="W1235" s="330"/>
      <c r="X1235" s="343"/>
      <c r="Y1235" s="249"/>
      <c r="Z1235" s="330"/>
      <c r="AA1235" s="343"/>
      <c r="AB1235" s="249"/>
      <c r="AC1235" s="330"/>
      <c r="AD1235" s="343"/>
      <c r="AE1235" s="249"/>
      <c r="AF1235" s="330"/>
      <c r="AG1235" s="343"/>
      <c r="AH1235" s="249"/>
      <c r="AI1235" s="330"/>
      <c r="AJ1235" s="343"/>
      <c r="AK1235" s="249"/>
      <c r="AL1235" s="330"/>
      <c r="AM1235" s="343"/>
      <c r="AN1235" s="249"/>
      <c r="AO1235" s="330"/>
      <c r="AP1235" s="343"/>
      <c r="AQ1235" s="249"/>
      <c r="AR1235" s="330"/>
      <c r="AS1235" s="343"/>
      <c r="AT1235" s="249"/>
      <c r="AU1235" s="330"/>
    </row>
    <row r="1236" spans="2:47">
      <c r="B1236" s="247">
        <f>'Table S2 Compound Identifiers'!C1238</f>
        <v>0</v>
      </c>
      <c r="C1236" s="247">
        <f>COUNTIF($D$6:D1236,"&lt;&gt;"&amp;"")</f>
        <v>1231</v>
      </c>
      <c r="D1236" s="247">
        <f>'Table S2 Compound Identifiers'!B1238</f>
        <v>0</v>
      </c>
      <c r="E1236" s="247"/>
      <c r="F1236" s="248"/>
      <c r="G1236" s="249"/>
      <c r="H1236" s="330"/>
      <c r="I1236" s="328"/>
      <c r="J1236" s="249"/>
      <c r="K1236" s="330"/>
      <c r="L1236" s="250"/>
      <c r="M1236" s="249"/>
      <c r="N1236" s="330"/>
      <c r="O1236" s="250"/>
      <c r="P1236" s="249"/>
      <c r="Q1236" s="330"/>
      <c r="R1236" s="250"/>
      <c r="S1236" s="249"/>
      <c r="T1236" s="330"/>
      <c r="U1236" s="250"/>
      <c r="V1236" s="249"/>
      <c r="W1236" s="330"/>
      <c r="X1236" s="343"/>
      <c r="Y1236" s="249"/>
      <c r="Z1236" s="330"/>
      <c r="AA1236" s="343"/>
      <c r="AB1236" s="249"/>
      <c r="AC1236" s="330"/>
      <c r="AD1236" s="343"/>
      <c r="AE1236" s="249"/>
      <c r="AF1236" s="330"/>
      <c r="AG1236" s="343"/>
      <c r="AH1236" s="249"/>
      <c r="AI1236" s="330"/>
      <c r="AJ1236" s="343"/>
      <c r="AK1236" s="249"/>
      <c r="AL1236" s="330"/>
      <c r="AM1236" s="343"/>
      <c r="AN1236" s="249"/>
      <c r="AO1236" s="330"/>
      <c r="AP1236" s="343"/>
      <c r="AQ1236" s="249"/>
      <c r="AR1236" s="330"/>
      <c r="AS1236" s="343"/>
      <c r="AT1236" s="249"/>
      <c r="AU1236" s="330"/>
    </row>
    <row r="1237" spans="2:47">
      <c r="B1237" s="247">
        <f>'Table S2 Compound Identifiers'!C1239</f>
        <v>0</v>
      </c>
      <c r="C1237" s="247">
        <f>COUNTIF($D$6:D1237,"&lt;&gt;"&amp;"")</f>
        <v>1232</v>
      </c>
      <c r="D1237" s="247">
        <f>'Table S2 Compound Identifiers'!B1239</f>
        <v>0</v>
      </c>
      <c r="E1237" s="247"/>
      <c r="F1237" s="248"/>
      <c r="G1237" s="249"/>
      <c r="H1237" s="330"/>
      <c r="I1237" s="328"/>
      <c r="J1237" s="249"/>
      <c r="K1237" s="330"/>
      <c r="L1237" s="250"/>
      <c r="M1237" s="249"/>
      <c r="N1237" s="330"/>
      <c r="O1237" s="250"/>
      <c r="P1237" s="249"/>
      <c r="Q1237" s="330"/>
      <c r="R1237" s="250"/>
      <c r="S1237" s="249"/>
      <c r="T1237" s="330"/>
      <c r="U1237" s="250"/>
      <c r="V1237" s="249"/>
      <c r="W1237" s="330"/>
      <c r="X1237" s="343"/>
      <c r="Y1237" s="249"/>
      <c r="Z1237" s="330"/>
      <c r="AA1237" s="343"/>
      <c r="AB1237" s="249"/>
      <c r="AC1237" s="330"/>
      <c r="AD1237" s="343"/>
      <c r="AE1237" s="249"/>
      <c r="AF1237" s="330"/>
      <c r="AG1237" s="343"/>
      <c r="AH1237" s="249"/>
      <c r="AI1237" s="330"/>
      <c r="AJ1237" s="343"/>
      <c r="AK1237" s="249"/>
      <c r="AL1237" s="330"/>
      <c r="AM1237" s="343"/>
      <c r="AN1237" s="249"/>
      <c r="AO1237" s="330"/>
      <c r="AP1237" s="343"/>
      <c r="AQ1237" s="249"/>
      <c r="AR1237" s="330"/>
      <c r="AS1237" s="343"/>
      <c r="AT1237" s="249"/>
      <c r="AU1237" s="330"/>
    </row>
    <row r="1238" spans="2:47">
      <c r="B1238" s="247">
        <f>'Table S2 Compound Identifiers'!C1240</f>
        <v>0</v>
      </c>
      <c r="C1238" s="247">
        <f>COUNTIF($D$6:D1238,"&lt;&gt;"&amp;"")</f>
        <v>1233</v>
      </c>
      <c r="D1238" s="247">
        <f>'Table S2 Compound Identifiers'!B1240</f>
        <v>0</v>
      </c>
      <c r="E1238" s="247"/>
      <c r="F1238" s="248"/>
      <c r="G1238" s="249"/>
      <c r="H1238" s="330"/>
      <c r="I1238" s="328"/>
      <c r="J1238" s="249"/>
      <c r="K1238" s="330"/>
      <c r="L1238" s="250"/>
      <c r="M1238" s="249"/>
      <c r="N1238" s="330"/>
      <c r="O1238" s="250"/>
      <c r="P1238" s="249"/>
      <c r="Q1238" s="330"/>
      <c r="R1238" s="250"/>
      <c r="S1238" s="249"/>
      <c r="T1238" s="330"/>
      <c r="U1238" s="250"/>
      <c r="V1238" s="249"/>
      <c r="W1238" s="330"/>
      <c r="X1238" s="343"/>
      <c r="Y1238" s="249"/>
      <c r="Z1238" s="330"/>
      <c r="AA1238" s="343"/>
      <c r="AB1238" s="249"/>
      <c r="AC1238" s="330"/>
      <c r="AD1238" s="343"/>
      <c r="AE1238" s="249"/>
      <c r="AF1238" s="330"/>
      <c r="AG1238" s="343"/>
      <c r="AH1238" s="249"/>
      <c r="AI1238" s="330"/>
      <c r="AJ1238" s="343"/>
      <c r="AK1238" s="249"/>
      <c r="AL1238" s="330"/>
      <c r="AM1238" s="343"/>
      <c r="AN1238" s="249"/>
      <c r="AO1238" s="330"/>
      <c r="AP1238" s="343"/>
      <c r="AQ1238" s="249"/>
      <c r="AR1238" s="330"/>
      <c r="AS1238" s="343"/>
      <c r="AT1238" s="249"/>
      <c r="AU1238" s="330"/>
    </row>
    <row r="1239" spans="2:47">
      <c r="B1239" s="247">
        <f>'Table S2 Compound Identifiers'!C1241</f>
        <v>0</v>
      </c>
      <c r="C1239" s="247">
        <f>COUNTIF($D$6:D1239,"&lt;&gt;"&amp;"")</f>
        <v>1234</v>
      </c>
      <c r="D1239" s="247">
        <f>'Table S2 Compound Identifiers'!B1241</f>
        <v>0</v>
      </c>
      <c r="E1239" s="247"/>
      <c r="F1239" s="248"/>
      <c r="G1239" s="249"/>
      <c r="H1239" s="330"/>
      <c r="I1239" s="328"/>
      <c r="J1239" s="249"/>
      <c r="K1239" s="330"/>
      <c r="L1239" s="250"/>
      <c r="M1239" s="249"/>
      <c r="N1239" s="330"/>
      <c r="O1239" s="250"/>
      <c r="P1239" s="249"/>
      <c r="Q1239" s="330"/>
      <c r="R1239" s="250"/>
      <c r="S1239" s="249"/>
      <c r="T1239" s="330"/>
      <c r="U1239" s="250"/>
      <c r="V1239" s="249"/>
      <c r="W1239" s="330"/>
      <c r="X1239" s="343"/>
      <c r="Y1239" s="249"/>
      <c r="Z1239" s="330"/>
      <c r="AA1239" s="343"/>
      <c r="AB1239" s="249"/>
      <c r="AC1239" s="330"/>
      <c r="AD1239" s="343"/>
      <c r="AE1239" s="249"/>
      <c r="AF1239" s="330"/>
      <c r="AG1239" s="343"/>
      <c r="AH1239" s="249"/>
      <c r="AI1239" s="330"/>
      <c r="AJ1239" s="343"/>
      <c r="AK1239" s="249"/>
      <c r="AL1239" s="330"/>
      <c r="AM1239" s="343"/>
      <c r="AN1239" s="249"/>
      <c r="AO1239" s="330"/>
      <c r="AP1239" s="343"/>
      <c r="AQ1239" s="249"/>
      <c r="AR1239" s="330"/>
      <c r="AS1239" s="343"/>
      <c r="AT1239" s="249"/>
      <c r="AU1239" s="330"/>
    </row>
    <row r="1240" spans="2:47">
      <c r="B1240" s="247">
        <f>'Table S2 Compound Identifiers'!C1242</f>
        <v>0</v>
      </c>
      <c r="C1240" s="247">
        <f>COUNTIF($D$6:D1240,"&lt;&gt;"&amp;"")</f>
        <v>1235</v>
      </c>
      <c r="D1240" s="247">
        <f>'Table S2 Compound Identifiers'!B1242</f>
        <v>0</v>
      </c>
      <c r="E1240" s="247"/>
      <c r="F1240" s="248"/>
      <c r="G1240" s="249"/>
      <c r="H1240" s="330"/>
      <c r="I1240" s="328"/>
      <c r="J1240" s="249"/>
      <c r="K1240" s="330"/>
      <c r="L1240" s="250"/>
      <c r="M1240" s="249"/>
      <c r="N1240" s="330"/>
      <c r="O1240" s="250"/>
      <c r="P1240" s="249"/>
      <c r="Q1240" s="330"/>
      <c r="R1240" s="250"/>
      <c r="S1240" s="249"/>
      <c r="T1240" s="330"/>
      <c r="U1240" s="250"/>
      <c r="V1240" s="249"/>
      <c r="W1240" s="330"/>
      <c r="X1240" s="343"/>
      <c r="Y1240" s="249"/>
      <c r="Z1240" s="330"/>
      <c r="AA1240" s="343"/>
      <c r="AB1240" s="249"/>
      <c r="AC1240" s="330"/>
      <c r="AD1240" s="343"/>
      <c r="AE1240" s="249"/>
      <c r="AF1240" s="330"/>
      <c r="AG1240" s="343"/>
      <c r="AH1240" s="249"/>
      <c r="AI1240" s="330"/>
      <c r="AJ1240" s="343"/>
      <c r="AK1240" s="249"/>
      <c r="AL1240" s="330"/>
      <c r="AM1240" s="343"/>
      <c r="AN1240" s="249"/>
      <c r="AO1240" s="330"/>
      <c r="AP1240" s="343"/>
      <c r="AQ1240" s="249"/>
      <c r="AR1240" s="330"/>
      <c r="AS1240" s="343"/>
      <c r="AT1240" s="249"/>
      <c r="AU1240" s="330"/>
    </row>
    <row r="1241" spans="2:47">
      <c r="B1241" s="247">
        <f>'Table S2 Compound Identifiers'!C1243</f>
        <v>0</v>
      </c>
      <c r="C1241" s="247">
        <f>COUNTIF($D$6:D1241,"&lt;&gt;"&amp;"")</f>
        <v>1236</v>
      </c>
      <c r="D1241" s="247">
        <f>'Table S2 Compound Identifiers'!B1243</f>
        <v>0</v>
      </c>
      <c r="E1241" s="247"/>
      <c r="F1241" s="248"/>
      <c r="G1241" s="249"/>
      <c r="H1241" s="330"/>
      <c r="I1241" s="328"/>
      <c r="J1241" s="249"/>
      <c r="K1241" s="330"/>
      <c r="L1241" s="250"/>
      <c r="M1241" s="249"/>
      <c r="N1241" s="330"/>
      <c r="O1241" s="250"/>
      <c r="P1241" s="249"/>
      <c r="Q1241" s="330"/>
      <c r="R1241" s="250"/>
      <c r="S1241" s="249"/>
      <c r="T1241" s="330"/>
      <c r="U1241" s="250"/>
      <c r="V1241" s="249"/>
      <c r="W1241" s="330"/>
      <c r="X1241" s="343"/>
      <c r="Y1241" s="249"/>
      <c r="Z1241" s="330"/>
      <c r="AA1241" s="343"/>
      <c r="AB1241" s="249"/>
      <c r="AC1241" s="330"/>
      <c r="AD1241" s="343"/>
      <c r="AE1241" s="249"/>
      <c r="AF1241" s="330"/>
      <c r="AG1241" s="343"/>
      <c r="AH1241" s="249"/>
      <c r="AI1241" s="330"/>
      <c r="AJ1241" s="343"/>
      <c r="AK1241" s="249"/>
      <c r="AL1241" s="330"/>
      <c r="AM1241" s="343"/>
      <c r="AN1241" s="249"/>
      <c r="AO1241" s="330"/>
      <c r="AP1241" s="343"/>
      <c r="AQ1241" s="249"/>
      <c r="AR1241" s="330"/>
      <c r="AS1241" s="343"/>
      <c r="AT1241" s="249"/>
      <c r="AU1241" s="330"/>
    </row>
    <row r="1242" spans="2:47">
      <c r="B1242" s="247">
        <f>'Table S2 Compound Identifiers'!C1244</f>
        <v>0</v>
      </c>
      <c r="C1242" s="247">
        <f>COUNTIF($D$6:D1242,"&lt;&gt;"&amp;"")</f>
        <v>1237</v>
      </c>
      <c r="D1242" s="247">
        <f>'Table S2 Compound Identifiers'!B1244</f>
        <v>0</v>
      </c>
      <c r="E1242" s="247"/>
      <c r="F1242" s="248"/>
      <c r="G1242" s="249"/>
      <c r="H1242" s="330"/>
      <c r="I1242" s="328"/>
      <c r="J1242" s="249"/>
      <c r="K1242" s="330"/>
      <c r="L1242" s="250"/>
      <c r="M1242" s="249"/>
      <c r="N1242" s="330"/>
      <c r="O1242" s="250"/>
      <c r="P1242" s="249"/>
      <c r="Q1242" s="330"/>
      <c r="R1242" s="250"/>
      <c r="S1242" s="249"/>
      <c r="T1242" s="330"/>
      <c r="U1242" s="250"/>
      <c r="V1242" s="249"/>
      <c r="W1242" s="330"/>
      <c r="X1242" s="343"/>
      <c r="Y1242" s="249"/>
      <c r="Z1242" s="330"/>
      <c r="AA1242" s="343"/>
      <c r="AB1242" s="249"/>
      <c r="AC1242" s="330"/>
      <c r="AD1242" s="343"/>
      <c r="AE1242" s="249"/>
      <c r="AF1242" s="330"/>
      <c r="AG1242" s="343"/>
      <c r="AH1242" s="249"/>
      <c r="AI1242" s="330"/>
      <c r="AJ1242" s="343"/>
      <c r="AK1242" s="249"/>
      <c r="AL1242" s="330"/>
      <c r="AM1242" s="343"/>
      <c r="AN1242" s="249"/>
      <c r="AO1242" s="330"/>
      <c r="AP1242" s="343"/>
      <c r="AQ1242" s="249"/>
      <c r="AR1242" s="330"/>
      <c r="AS1242" s="343"/>
      <c r="AT1242" s="249"/>
      <c r="AU1242" s="330"/>
    </row>
    <row r="1243" spans="2:47">
      <c r="B1243" s="247">
        <f>'Table S2 Compound Identifiers'!C1245</f>
        <v>0</v>
      </c>
      <c r="C1243" s="247">
        <f>COUNTIF($D$6:D1243,"&lt;&gt;"&amp;"")</f>
        <v>1238</v>
      </c>
      <c r="D1243" s="247">
        <f>'Table S2 Compound Identifiers'!B1245</f>
        <v>0</v>
      </c>
      <c r="E1243" s="247"/>
      <c r="F1243" s="248"/>
      <c r="G1243" s="249"/>
      <c r="H1243" s="330"/>
      <c r="I1243" s="328"/>
      <c r="J1243" s="249"/>
      <c r="K1243" s="330"/>
      <c r="L1243" s="250"/>
      <c r="M1243" s="249"/>
      <c r="N1243" s="330"/>
      <c r="O1243" s="250"/>
      <c r="P1243" s="249"/>
      <c r="Q1243" s="330"/>
      <c r="R1243" s="250"/>
      <c r="S1243" s="249"/>
      <c r="T1243" s="330"/>
      <c r="U1243" s="250"/>
      <c r="V1243" s="249"/>
      <c r="W1243" s="330"/>
      <c r="X1243" s="343"/>
      <c r="Y1243" s="249"/>
      <c r="Z1243" s="330"/>
      <c r="AA1243" s="343"/>
      <c r="AB1243" s="249"/>
      <c r="AC1243" s="330"/>
      <c r="AD1243" s="343"/>
      <c r="AE1243" s="249"/>
      <c r="AF1243" s="330"/>
      <c r="AG1243" s="343"/>
      <c r="AH1243" s="249"/>
      <c r="AI1243" s="330"/>
      <c r="AJ1243" s="343"/>
      <c r="AK1243" s="249"/>
      <c r="AL1243" s="330"/>
      <c r="AM1243" s="343"/>
      <c r="AN1243" s="249"/>
      <c r="AO1243" s="330"/>
      <c r="AP1243" s="343"/>
      <c r="AQ1243" s="249"/>
      <c r="AR1243" s="330"/>
      <c r="AS1243" s="343"/>
      <c r="AT1243" s="249"/>
      <c r="AU1243" s="330"/>
    </row>
    <row r="1244" spans="2:47">
      <c r="B1244" s="247">
        <f>'Table S2 Compound Identifiers'!C1246</f>
        <v>0</v>
      </c>
      <c r="C1244" s="247">
        <f>COUNTIF($D$6:D1244,"&lt;&gt;"&amp;"")</f>
        <v>1239</v>
      </c>
      <c r="D1244" s="247">
        <f>'Table S2 Compound Identifiers'!B1246</f>
        <v>0</v>
      </c>
      <c r="E1244" s="247"/>
      <c r="F1244" s="248"/>
      <c r="G1244" s="249"/>
      <c r="H1244" s="330"/>
      <c r="I1244" s="328"/>
      <c r="J1244" s="249"/>
      <c r="K1244" s="330"/>
      <c r="L1244" s="250"/>
      <c r="M1244" s="249"/>
      <c r="N1244" s="330"/>
      <c r="O1244" s="250"/>
      <c r="P1244" s="249"/>
      <c r="Q1244" s="330"/>
      <c r="R1244" s="250"/>
      <c r="S1244" s="249"/>
      <c r="T1244" s="330"/>
      <c r="U1244" s="250"/>
      <c r="V1244" s="249"/>
      <c r="W1244" s="330"/>
      <c r="X1244" s="343"/>
      <c r="Y1244" s="249"/>
      <c r="Z1244" s="330"/>
      <c r="AA1244" s="343"/>
      <c r="AB1244" s="249"/>
      <c r="AC1244" s="330"/>
      <c r="AD1244" s="343"/>
      <c r="AE1244" s="249"/>
      <c r="AF1244" s="330"/>
      <c r="AG1244" s="343"/>
      <c r="AH1244" s="249"/>
      <c r="AI1244" s="330"/>
      <c r="AJ1244" s="343"/>
      <c r="AK1244" s="249"/>
      <c r="AL1244" s="330"/>
      <c r="AM1244" s="343"/>
      <c r="AN1244" s="249"/>
      <c r="AO1244" s="330"/>
      <c r="AP1244" s="343"/>
      <c r="AQ1244" s="249"/>
      <c r="AR1244" s="330"/>
      <c r="AS1244" s="343"/>
      <c r="AT1244" s="249"/>
      <c r="AU1244" s="330"/>
    </row>
    <row r="1245" spans="2:47">
      <c r="B1245" s="247">
        <f>'Table S2 Compound Identifiers'!C1247</f>
        <v>0</v>
      </c>
      <c r="C1245" s="247">
        <f>COUNTIF($D$6:D1245,"&lt;&gt;"&amp;"")</f>
        <v>1240</v>
      </c>
      <c r="D1245" s="247">
        <f>'Table S2 Compound Identifiers'!B1247</f>
        <v>0</v>
      </c>
      <c r="E1245" s="247"/>
      <c r="F1245" s="248"/>
      <c r="G1245" s="249"/>
      <c r="H1245" s="330"/>
      <c r="I1245" s="328"/>
      <c r="J1245" s="249"/>
      <c r="K1245" s="330"/>
      <c r="L1245" s="250"/>
      <c r="M1245" s="249"/>
      <c r="N1245" s="330"/>
      <c r="O1245" s="250"/>
      <c r="P1245" s="249"/>
      <c r="Q1245" s="330"/>
      <c r="R1245" s="250"/>
      <c r="S1245" s="249"/>
      <c r="T1245" s="330"/>
      <c r="U1245" s="250"/>
      <c r="V1245" s="249"/>
      <c r="W1245" s="330"/>
      <c r="X1245" s="343"/>
      <c r="Y1245" s="249"/>
      <c r="Z1245" s="330"/>
      <c r="AA1245" s="343"/>
      <c r="AB1245" s="249"/>
      <c r="AC1245" s="330"/>
      <c r="AD1245" s="343"/>
      <c r="AE1245" s="249"/>
      <c r="AF1245" s="330"/>
      <c r="AG1245" s="343"/>
      <c r="AH1245" s="249"/>
      <c r="AI1245" s="330"/>
      <c r="AJ1245" s="343"/>
      <c r="AK1245" s="249"/>
      <c r="AL1245" s="330"/>
      <c r="AM1245" s="343"/>
      <c r="AN1245" s="249"/>
      <c r="AO1245" s="330"/>
      <c r="AP1245" s="343"/>
      <c r="AQ1245" s="249"/>
      <c r="AR1245" s="330"/>
      <c r="AS1245" s="343"/>
      <c r="AT1245" s="249"/>
      <c r="AU1245" s="330"/>
    </row>
    <row r="1246" spans="2:47">
      <c r="B1246" s="247">
        <f>'Table S2 Compound Identifiers'!C1248</f>
        <v>0</v>
      </c>
      <c r="C1246" s="247">
        <f>COUNTIF($D$6:D1246,"&lt;&gt;"&amp;"")</f>
        <v>1241</v>
      </c>
      <c r="D1246" s="432">
        <f>'Table S2 Compound Identifiers'!B1248</f>
        <v>0</v>
      </c>
      <c r="E1246" s="247"/>
      <c r="F1246" s="248"/>
      <c r="G1246" s="249"/>
      <c r="H1246" s="330"/>
      <c r="I1246" s="328"/>
      <c r="J1246" s="249"/>
      <c r="K1246" s="330"/>
      <c r="L1246" s="250"/>
      <c r="M1246" s="249"/>
      <c r="N1246" s="330"/>
      <c r="O1246" s="250"/>
      <c r="P1246" s="249"/>
      <c r="Q1246" s="330"/>
      <c r="R1246" s="250"/>
      <c r="S1246" s="249"/>
      <c r="T1246" s="330"/>
      <c r="U1246" s="250"/>
      <c r="V1246" s="249"/>
      <c r="W1246" s="330"/>
      <c r="X1246" s="343"/>
      <c r="Y1246" s="249"/>
      <c r="Z1246" s="330"/>
      <c r="AA1246" s="343"/>
      <c r="AB1246" s="249"/>
      <c r="AC1246" s="330"/>
      <c r="AD1246" s="343"/>
      <c r="AE1246" s="249"/>
      <c r="AF1246" s="330"/>
      <c r="AG1246" s="343"/>
      <c r="AH1246" s="249"/>
      <c r="AI1246" s="330"/>
      <c r="AJ1246" s="343"/>
      <c r="AK1246" s="249"/>
      <c r="AL1246" s="330"/>
      <c r="AM1246" s="343"/>
      <c r="AN1246" s="249"/>
      <c r="AO1246" s="330"/>
      <c r="AP1246" s="343"/>
      <c r="AQ1246" s="249"/>
      <c r="AR1246" s="330"/>
      <c r="AS1246" s="343"/>
      <c r="AT1246" s="249"/>
      <c r="AU1246" s="330"/>
    </row>
    <row r="1247" spans="2:47">
      <c r="B1247" s="247">
        <f>'Table S2 Compound Identifiers'!C1249</f>
        <v>0</v>
      </c>
      <c r="C1247" s="247">
        <f>COUNTIF($D$6:D1247,"&lt;&gt;"&amp;"")</f>
        <v>1242</v>
      </c>
      <c r="D1247" s="432">
        <f>'Table S2 Compound Identifiers'!B1249</f>
        <v>0</v>
      </c>
      <c r="E1247" s="247"/>
      <c r="F1247" s="248"/>
      <c r="G1247" s="249"/>
      <c r="H1247" s="330"/>
      <c r="I1247" s="328"/>
      <c r="J1247" s="249"/>
      <c r="K1247" s="330"/>
      <c r="L1247" s="250"/>
      <c r="M1247" s="249"/>
      <c r="N1247" s="330"/>
      <c r="O1247" s="250"/>
      <c r="P1247" s="249"/>
      <c r="Q1247" s="330"/>
      <c r="R1247" s="250"/>
      <c r="S1247" s="249"/>
      <c r="T1247" s="330"/>
      <c r="U1247" s="250"/>
      <c r="V1247" s="249"/>
      <c r="W1247" s="330"/>
      <c r="X1247" s="343"/>
      <c r="Y1247" s="249"/>
      <c r="Z1247" s="330"/>
      <c r="AA1247" s="343"/>
      <c r="AB1247" s="249"/>
      <c r="AC1247" s="330"/>
      <c r="AD1247" s="343"/>
      <c r="AE1247" s="249"/>
      <c r="AF1247" s="330"/>
      <c r="AG1247" s="343"/>
      <c r="AH1247" s="249"/>
      <c r="AI1247" s="330"/>
      <c r="AJ1247" s="343"/>
      <c r="AK1247" s="249"/>
      <c r="AL1247" s="330"/>
      <c r="AM1247" s="343"/>
      <c r="AN1247" s="249"/>
      <c r="AO1247" s="330"/>
      <c r="AP1247" s="343"/>
      <c r="AQ1247" s="249"/>
      <c r="AR1247" s="330"/>
      <c r="AS1247" s="343"/>
      <c r="AT1247" s="249"/>
      <c r="AU1247" s="330"/>
    </row>
    <row r="1248" spans="2:47">
      <c r="B1248" s="247">
        <f>'Table S2 Compound Identifiers'!C1250</f>
        <v>0</v>
      </c>
      <c r="C1248" s="247">
        <f>COUNTIF($D$6:D1248,"&lt;&gt;"&amp;"")</f>
        <v>1243</v>
      </c>
      <c r="D1248" s="432">
        <f>'Table S2 Compound Identifiers'!B1250</f>
        <v>0</v>
      </c>
      <c r="E1248" s="247"/>
      <c r="F1248" s="248"/>
      <c r="G1248" s="249"/>
      <c r="H1248" s="330"/>
      <c r="I1248" s="328"/>
      <c r="J1248" s="249"/>
      <c r="K1248" s="330"/>
      <c r="L1248" s="250"/>
      <c r="M1248" s="249"/>
      <c r="N1248" s="330"/>
      <c r="O1248" s="250"/>
      <c r="P1248" s="249"/>
      <c r="Q1248" s="330"/>
      <c r="R1248" s="250"/>
      <c r="S1248" s="249"/>
      <c r="T1248" s="330"/>
      <c r="U1248" s="250"/>
      <c r="V1248" s="249"/>
      <c r="W1248" s="330"/>
      <c r="X1248" s="343"/>
      <c r="Y1248" s="249"/>
      <c r="Z1248" s="330"/>
      <c r="AA1248" s="343"/>
      <c r="AB1248" s="249"/>
      <c r="AC1248" s="330"/>
      <c r="AD1248" s="343"/>
      <c r="AE1248" s="249"/>
      <c r="AF1248" s="330"/>
      <c r="AG1248" s="343"/>
      <c r="AH1248" s="249"/>
      <c r="AI1248" s="330"/>
      <c r="AJ1248" s="343"/>
      <c r="AK1248" s="249"/>
      <c r="AL1248" s="330"/>
      <c r="AM1248" s="343"/>
      <c r="AN1248" s="249"/>
      <c r="AO1248" s="330"/>
      <c r="AP1248" s="343"/>
      <c r="AQ1248" s="249"/>
      <c r="AR1248" s="330"/>
      <c r="AS1248" s="343"/>
      <c r="AT1248" s="249"/>
      <c r="AU1248" s="330"/>
    </row>
    <row r="1249" spans="2:47">
      <c r="B1249" s="247">
        <f>'Table S2 Compound Identifiers'!C1251</f>
        <v>0</v>
      </c>
      <c r="C1249" s="247">
        <f>COUNTIF($D$6:D1249,"&lt;&gt;"&amp;"")</f>
        <v>1244</v>
      </c>
      <c r="D1249" s="432">
        <f>'Table S2 Compound Identifiers'!B1251</f>
        <v>0</v>
      </c>
      <c r="E1249" s="247"/>
      <c r="F1249" s="248"/>
      <c r="G1249" s="249"/>
      <c r="H1249" s="330"/>
      <c r="I1249" s="328"/>
      <c r="J1249" s="249"/>
      <c r="K1249" s="330"/>
      <c r="L1249" s="250"/>
      <c r="M1249" s="249"/>
      <c r="N1249" s="330"/>
      <c r="O1249" s="250"/>
      <c r="P1249" s="249"/>
      <c r="Q1249" s="330"/>
      <c r="R1249" s="250"/>
      <c r="S1249" s="249"/>
      <c r="T1249" s="330"/>
      <c r="U1249" s="250"/>
      <c r="V1249" s="249"/>
      <c r="W1249" s="330"/>
      <c r="X1249" s="343"/>
      <c r="Y1249" s="249"/>
      <c r="Z1249" s="330"/>
      <c r="AA1249" s="343"/>
      <c r="AB1249" s="249"/>
      <c r="AC1249" s="330"/>
      <c r="AD1249" s="343"/>
      <c r="AE1249" s="249"/>
      <c r="AF1249" s="330"/>
      <c r="AG1249" s="343"/>
      <c r="AH1249" s="249"/>
      <c r="AI1249" s="330"/>
      <c r="AJ1249" s="343"/>
      <c r="AK1249" s="249"/>
      <c r="AL1249" s="330"/>
      <c r="AM1249" s="343"/>
      <c r="AN1249" s="249"/>
      <c r="AO1249" s="330"/>
      <c r="AP1249" s="343"/>
      <c r="AQ1249" s="249"/>
      <c r="AR1249" s="330"/>
      <c r="AS1249" s="343"/>
      <c r="AT1249" s="249"/>
      <c r="AU1249" s="330"/>
    </row>
    <row r="1250" spans="2:47">
      <c r="B1250" s="247">
        <f>'Table S2 Compound Identifiers'!C1252</f>
        <v>0</v>
      </c>
      <c r="C1250" s="247">
        <f>COUNTIF($D$6:D1250,"&lt;&gt;"&amp;"")</f>
        <v>1245</v>
      </c>
      <c r="D1250" s="432">
        <f>'Table S2 Compound Identifiers'!B1252</f>
        <v>0</v>
      </c>
      <c r="E1250" s="247"/>
      <c r="F1250" s="248"/>
      <c r="G1250" s="249"/>
      <c r="H1250" s="330"/>
      <c r="I1250" s="328"/>
      <c r="J1250" s="249"/>
      <c r="K1250" s="330"/>
      <c r="L1250" s="250"/>
      <c r="M1250" s="249"/>
      <c r="N1250" s="330"/>
      <c r="O1250" s="250"/>
      <c r="P1250" s="249"/>
      <c r="Q1250" s="330"/>
      <c r="R1250" s="250"/>
      <c r="S1250" s="249"/>
      <c r="T1250" s="330"/>
      <c r="U1250" s="250"/>
      <c r="V1250" s="249"/>
      <c r="W1250" s="330"/>
      <c r="X1250" s="343"/>
      <c r="Y1250" s="249"/>
      <c r="Z1250" s="330"/>
      <c r="AA1250" s="343"/>
      <c r="AB1250" s="249"/>
      <c r="AC1250" s="330"/>
      <c r="AD1250" s="343"/>
      <c r="AE1250" s="249"/>
      <c r="AF1250" s="330"/>
      <c r="AG1250" s="343"/>
      <c r="AH1250" s="249"/>
      <c r="AI1250" s="330"/>
      <c r="AJ1250" s="343"/>
      <c r="AK1250" s="249"/>
      <c r="AL1250" s="330"/>
      <c r="AM1250" s="343"/>
      <c r="AN1250" s="249"/>
      <c r="AO1250" s="330"/>
      <c r="AP1250" s="343"/>
      <c r="AQ1250" s="249"/>
      <c r="AR1250" s="330"/>
      <c r="AS1250" s="343"/>
      <c r="AT1250" s="249"/>
      <c r="AU1250" s="330"/>
    </row>
    <row r="1251" spans="2:47">
      <c r="B1251" s="247">
        <f>'Table S2 Compound Identifiers'!C1253</f>
        <v>0</v>
      </c>
      <c r="C1251" s="247">
        <f>COUNTIF($D$6:D1251,"&lt;&gt;"&amp;"")</f>
        <v>1246</v>
      </c>
      <c r="D1251" s="432">
        <f>'Table S2 Compound Identifiers'!B1253</f>
        <v>0</v>
      </c>
      <c r="E1251" s="247"/>
      <c r="F1251" s="248"/>
      <c r="G1251" s="249"/>
      <c r="H1251" s="330"/>
      <c r="I1251" s="328"/>
      <c r="J1251" s="249"/>
      <c r="K1251" s="330"/>
      <c r="L1251" s="250"/>
      <c r="M1251" s="249"/>
      <c r="N1251" s="330"/>
      <c r="O1251" s="250"/>
      <c r="P1251" s="249"/>
      <c r="Q1251" s="330"/>
      <c r="R1251" s="250"/>
      <c r="S1251" s="249"/>
      <c r="T1251" s="330"/>
      <c r="U1251" s="250"/>
      <c r="V1251" s="249"/>
      <c r="W1251" s="330"/>
      <c r="X1251" s="343"/>
      <c r="Y1251" s="249"/>
      <c r="Z1251" s="330"/>
      <c r="AA1251" s="343"/>
      <c r="AB1251" s="249"/>
      <c r="AC1251" s="330"/>
      <c r="AD1251" s="343"/>
      <c r="AE1251" s="249"/>
      <c r="AF1251" s="330"/>
      <c r="AG1251" s="343"/>
      <c r="AH1251" s="249"/>
      <c r="AI1251" s="330"/>
      <c r="AJ1251" s="343"/>
      <c r="AK1251" s="249"/>
      <c r="AL1251" s="330"/>
      <c r="AM1251" s="343"/>
      <c r="AN1251" s="249"/>
      <c r="AO1251" s="330"/>
      <c r="AP1251" s="343"/>
      <c r="AQ1251" s="249"/>
      <c r="AR1251" s="330"/>
      <c r="AS1251" s="343"/>
      <c r="AT1251" s="249"/>
      <c r="AU1251" s="330"/>
    </row>
    <row r="1252" spans="2:47">
      <c r="B1252" s="247">
        <f>'Table S2 Compound Identifiers'!C1254</f>
        <v>0</v>
      </c>
      <c r="C1252" s="247">
        <f>COUNTIF($D$6:D1252,"&lt;&gt;"&amp;"")</f>
        <v>1247</v>
      </c>
      <c r="D1252" s="432">
        <f>'Table S2 Compound Identifiers'!B1254</f>
        <v>0</v>
      </c>
      <c r="E1252" s="247"/>
      <c r="F1252" s="248"/>
      <c r="G1252" s="249"/>
      <c r="H1252" s="330"/>
      <c r="I1252" s="328"/>
      <c r="J1252" s="249"/>
      <c r="K1252" s="330"/>
      <c r="L1252" s="250"/>
      <c r="M1252" s="249"/>
      <c r="N1252" s="330"/>
      <c r="O1252" s="250"/>
      <c r="P1252" s="249"/>
      <c r="Q1252" s="330"/>
      <c r="R1252" s="250"/>
      <c r="S1252" s="249"/>
      <c r="T1252" s="330"/>
      <c r="U1252" s="250"/>
      <c r="V1252" s="249"/>
      <c r="W1252" s="330"/>
      <c r="X1252" s="343"/>
      <c r="Y1252" s="249"/>
      <c r="Z1252" s="330"/>
      <c r="AA1252" s="343"/>
      <c r="AB1252" s="249"/>
      <c r="AC1252" s="330"/>
      <c r="AD1252" s="343"/>
      <c r="AE1252" s="249"/>
      <c r="AF1252" s="330"/>
      <c r="AG1252" s="343"/>
      <c r="AH1252" s="249"/>
      <c r="AI1252" s="330"/>
      <c r="AJ1252" s="343"/>
      <c r="AK1252" s="249"/>
      <c r="AL1252" s="330"/>
      <c r="AM1252" s="343"/>
      <c r="AN1252" s="249"/>
      <c r="AO1252" s="330"/>
      <c r="AP1252" s="343"/>
      <c r="AQ1252" s="249"/>
      <c r="AR1252" s="330"/>
      <c r="AS1252" s="343"/>
      <c r="AT1252" s="249"/>
      <c r="AU1252" s="330"/>
    </row>
    <row r="1253" spans="2:47">
      <c r="B1253" s="247">
        <f>'Table S2 Compound Identifiers'!C1255</f>
        <v>0</v>
      </c>
      <c r="C1253" s="247">
        <f>COUNTIF($D$6:D1253,"&lt;&gt;"&amp;"")</f>
        <v>1248</v>
      </c>
      <c r="D1253" s="432">
        <f>'Table S2 Compound Identifiers'!B1255</f>
        <v>0</v>
      </c>
      <c r="E1253" s="247"/>
      <c r="F1253" s="248"/>
      <c r="G1253" s="249"/>
      <c r="H1253" s="330"/>
      <c r="I1253" s="328"/>
      <c r="J1253" s="249"/>
      <c r="K1253" s="330"/>
      <c r="L1253" s="250"/>
      <c r="M1253" s="249"/>
      <c r="N1253" s="330"/>
      <c r="O1253" s="250"/>
      <c r="P1253" s="249"/>
      <c r="Q1253" s="330"/>
      <c r="R1253" s="250"/>
      <c r="S1253" s="249"/>
      <c r="T1253" s="330"/>
      <c r="U1253" s="250"/>
      <c r="V1253" s="249"/>
      <c r="W1253" s="330"/>
      <c r="X1253" s="343"/>
      <c r="Y1253" s="249"/>
      <c r="Z1253" s="330"/>
      <c r="AA1253" s="343"/>
      <c r="AB1253" s="249"/>
      <c r="AC1253" s="330"/>
      <c r="AD1253" s="343"/>
      <c r="AE1253" s="249"/>
      <c r="AF1253" s="330"/>
      <c r="AG1253" s="343"/>
      <c r="AH1253" s="249"/>
      <c r="AI1253" s="330"/>
      <c r="AJ1253" s="343"/>
      <c r="AK1253" s="249"/>
      <c r="AL1253" s="330"/>
      <c r="AM1253" s="343"/>
      <c r="AN1253" s="249"/>
      <c r="AO1253" s="330"/>
      <c r="AP1253" s="343"/>
      <c r="AQ1253" s="249"/>
      <c r="AR1253" s="330"/>
      <c r="AS1253" s="343"/>
      <c r="AT1253" s="249"/>
      <c r="AU1253" s="330"/>
    </row>
    <row r="1254" spans="2:47">
      <c r="B1254" s="247">
        <f>'Table S2 Compound Identifiers'!C1256</f>
        <v>0</v>
      </c>
      <c r="C1254" s="247">
        <f>COUNTIF($D$6:D1254,"&lt;&gt;"&amp;"")</f>
        <v>1249</v>
      </c>
      <c r="D1254" s="432">
        <f>'Table S2 Compound Identifiers'!B1256</f>
        <v>0</v>
      </c>
      <c r="E1254" s="247"/>
      <c r="F1254" s="248"/>
      <c r="G1254" s="249"/>
      <c r="H1254" s="330"/>
      <c r="I1254" s="328"/>
      <c r="J1254" s="249"/>
      <c r="K1254" s="330"/>
      <c r="L1254" s="250"/>
      <c r="M1254" s="249"/>
      <c r="N1254" s="330"/>
      <c r="O1254" s="250"/>
      <c r="P1254" s="249"/>
      <c r="Q1254" s="330"/>
      <c r="R1254" s="250"/>
      <c r="S1254" s="249"/>
      <c r="T1254" s="330"/>
      <c r="U1254" s="250"/>
      <c r="V1254" s="249"/>
      <c r="W1254" s="330"/>
      <c r="X1254" s="343"/>
      <c r="Y1254" s="249"/>
      <c r="Z1254" s="330"/>
      <c r="AA1254" s="343"/>
      <c r="AB1254" s="249"/>
      <c r="AC1254" s="330"/>
      <c r="AD1254" s="343"/>
      <c r="AE1254" s="249"/>
      <c r="AF1254" s="330"/>
      <c r="AG1254" s="343"/>
      <c r="AH1254" s="249"/>
      <c r="AI1254" s="330"/>
      <c r="AJ1254" s="343"/>
      <c r="AK1254" s="249"/>
      <c r="AL1254" s="330"/>
      <c r="AM1254" s="343"/>
      <c r="AN1254" s="249"/>
      <c r="AO1254" s="330"/>
      <c r="AP1254" s="343"/>
      <c r="AQ1254" s="249"/>
      <c r="AR1254" s="330"/>
      <c r="AS1254" s="343"/>
      <c r="AT1254" s="249"/>
      <c r="AU1254" s="330"/>
    </row>
    <row r="1255" spans="2:47">
      <c r="B1255" s="247">
        <f>'Table S2 Compound Identifiers'!C1257</f>
        <v>0</v>
      </c>
      <c r="C1255" s="247">
        <f>COUNTIF($D$6:D1255,"&lt;&gt;"&amp;"")</f>
        <v>1250</v>
      </c>
      <c r="D1255" s="432">
        <f>'Table S2 Compound Identifiers'!B1257</f>
        <v>0</v>
      </c>
      <c r="E1255" s="247"/>
      <c r="F1255" s="248"/>
      <c r="G1255" s="249"/>
      <c r="H1255" s="330"/>
      <c r="I1255" s="328"/>
      <c r="J1255" s="249"/>
      <c r="K1255" s="330"/>
      <c r="L1255" s="250"/>
      <c r="M1255" s="249"/>
      <c r="N1255" s="330"/>
      <c r="O1255" s="250"/>
      <c r="P1255" s="249"/>
      <c r="Q1255" s="330"/>
      <c r="R1255" s="250"/>
      <c r="S1255" s="249"/>
      <c r="T1255" s="330"/>
      <c r="U1255" s="250"/>
      <c r="V1255" s="249"/>
      <c r="W1255" s="330"/>
      <c r="X1255" s="343"/>
      <c r="Y1255" s="249"/>
      <c r="Z1255" s="330"/>
      <c r="AA1255" s="343"/>
      <c r="AB1255" s="249"/>
      <c r="AC1255" s="330"/>
      <c r="AD1255" s="343"/>
      <c r="AE1255" s="249"/>
      <c r="AF1255" s="330"/>
      <c r="AG1255" s="343"/>
      <c r="AH1255" s="249"/>
      <c r="AI1255" s="330"/>
      <c r="AJ1255" s="343"/>
      <c r="AK1255" s="249"/>
      <c r="AL1255" s="330"/>
      <c r="AM1255" s="343"/>
      <c r="AN1255" s="249"/>
      <c r="AO1255" s="330"/>
      <c r="AP1255" s="343"/>
      <c r="AQ1255" s="249"/>
      <c r="AR1255" s="330"/>
      <c r="AS1255" s="343"/>
      <c r="AT1255" s="249"/>
      <c r="AU1255" s="330"/>
    </row>
    <row r="1256" spans="2:47">
      <c r="B1256" s="247">
        <f>'Table S2 Compound Identifiers'!C1258</f>
        <v>0</v>
      </c>
      <c r="C1256" s="247">
        <f>COUNTIF($D$6:D1256,"&lt;&gt;"&amp;"")</f>
        <v>1251</v>
      </c>
      <c r="D1256" s="247">
        <f>'Table S2 Compound Identifiers'!B1258</f>
        <v>0</v>
      </c>
      <c r="E1256" s="247"/>
      <c r="F1256" s="248"/>
      <c r="G1256" s="249"/>
      <c r="H1256" s="330"/>
      <c r="I1256" s="328"/>
      <c r="J1256" s="249"/>
      <c r="K1256" s="330"/>
      <c r="L1256" s="250"/>
      <c r="M1256" s="249"/>
      <c r="N1256" s="330"/>
      <c r="O1256" s="250"/>
      <c r="P1256" s="249"/>
      <c r="Q1256" s="330"/>
      <c r="R1256" s="250"/>
      <c r="S1256" s="249"/>
      <c r="T1256" s="330"/>
      <c r="U1256" s="250"/>
      <c r="V1256" s="249"/>
      <c r="W1256" s="330"/>
      <c r="X1256" s="343"/>
      <c r="Y1256" s="249"/>
      <c r="Z1256" s="330"/>
      <c r="AA1256" s="343"/>
      <c r="AB1256" s="249"/>
      <c r="AC1256" s="330"/>
      <c r="AD1256" s="343"/>
      <c r="AE1256" s="249"/>
      <c r="AF1256" s="330"/>
      <c r="AG1256" s="343"/>
      <c r="AH1256" s="249"/>
      <c r="AI1256" s="330"/>
      <c r="AJ1256" s="343"/>
      <c r="AK1256" s="249"/>
      <c r="AL1256" s="330"/>
      <c r="AM1256" s="343"/>
      <c r="AN1256" s="249"/>
      <c r="AO1256" s="330"/>
      <c r="AP1256" s="343"/>
      <c r="AQ1256" s="249"/>
      <c r="AR1256" s="330"/>
      <c r="AS1256" s="343"/>
      <c r="AT1256" s="249"/>
      <c r="AU1256" s="330"/>
    </row>
    <row r="1257" spans="2:47">
      <c r="B1257" s="247">
        <f>'Table S2 Compound Identifiers'!C1259</f>
        <v>0</v>
      </c>
      <c r="C1257" s="247">
        <f>COUNTIF($D$6:D1257,"&lt;&gt;"&amp;"")</f>
        <v>1252</v>
      </c>
      <c r="D1257" s="247">
        <f>'Table S2 Compound Identifiers'!B1259</f>
        <v>0</v>
      </c>
      <c r="E1257" s="247"/>
      <c r="F1257" s="248"/>
      <c r="G1257" s="249"/>
      <c r="H1257" s="330"/>
      <c r="I1257" s="328"/>
      <c r="J1257" s="249"/>
      <c r="K1257" s="330"/>
      <c r="L1257" s="250"/>
      <c r="M1257" s="249"/>
      <c r="N1257" s="330"/>
      <c r="O1257" s="250"/>
      <c r="P1257" s="249"/>
      <c r="Q1257" s="330"/>
      <c r="R1257" s="250"/>
      <c r="S1257" s="249"/>
      <c r="T1257" s="330"/>
      <c r="U1257" s="250"/>
      <c r="V1257" s="249"/>
      <c r="W1257" s="330"/>
      <c r="X1257" s="343"/>
      <c r="Y1257" s="249"/>
      <c r="Z1257" s="330"/>
      <c r="AA1257" s="343"/>
      <c r="AB1257" s="249"/>
      <c r="AC1257" s="330"/>
      <c r="AD1257" s="343"/>
      <c r="AE1257" s="249"/>
      <c r="AF1257" s="330"/>
      <c r="AG1257" s="343"/>
      <c r="AH1257" s="249"/>
      <c r="AI1257" s="330"/>
      <c r="AJ1257" s="343"/>
      <c r="AK1257" s="249"/>
      <c r="AL1257" s="330"/>
      <c r="AM1257" s="343"/>
      <c r="AN1257" s="249"/>
      <c r="AO1257" s="330"/>
      <c r="AP1257" s="343"/>
      <c r="AQ1257" s="249"/>
      <c r="AR1257" s="330"/>
      <c r="AS1257" s="343"/>
      <c r="AT1257" s="249"/>
      <c r="AU1257" s="330"/>
    </row>
    <row r="1258" spans="2:47">
      <c r="B1258" s="247">
        <f>'Table S2 Compound Identifiers'!C1260</f>
        <v>0</v>
      </c>
      <c r="C1258" s="247">
        <f>COUNTIF($D$6:D1258,"&lt;&gt;"&amp;"")</f>
        <v>1253</v>
      </c>
      <c r="D1258" s="247">
        <f>'Table S2 Compound Identifiers'!B1260</f>
        <v>0</v>
      </c>
      <c r="E1258" s="247"/>
      <c r="F1258" s="248"/>
      <c r="G1258" s="249"/>
      <c r="H1258" s="330"/>
      <c r="I1258" s="328"/>
      <c r="J1258" s="249"/>
      <c r="K1258" s="330"/>
      <c r="L1258" s="250"/>
      <c r="M1258" s="249"/>
      <c r="N1258" s="330"/>
      <c r="O1258" s="250"/>
      <c r="P1258" s="249"/>
      <c r="Q1258" s="330"/>
      <c r="R1258" s="250"/>
      <c r="S1258" s="249"/>
      <c r="T1258" s="330"/>
      <c r="U1258" s="250"/>
      <c r="V1258" s="249"/>
      <c r="W1258" s="330"/>
      <c r="X1258" s="343"/>
      <c r="Y1258" s="249"/>
      <c r="Z1258" s="330"/>
      <c r="AA1258" s="343"/>
      <c r="AB1258" s="249"/>
      <c r="AC1258" s="330"/>
      <c r="AD1258" s="343"/>
      <c r="AE1258" s="249"/>
      <c r="AF1258" s="330"/>
      <c r="AG1258" s="343"/>
      <c r="AH1258" s="249"/>
      <c r="AI1258" s="330"/>
      <c r="AJ1258" s="343"/>
      <c r="AK1258" s="249"/>
      <c r="AL1258" s="330"/>
      <c r="AM1258" s="343"/>
      <c r="AN1258" s="249"/>
      <c r="AO1258" s="330"/>
      <c r="AP1258" s="343"/>
      <c r="AQ1258" s="249"/>
      <c r="AR1258" s="330"/>
      <c r="AS1258" s="343"/>
      <c r="AT1258" s="249"/>
      <c r="AU1258" s="330"/>
    </row>
    <row r="1259" spans="2:47">
      <c r="B1259" s="247">
        <f>'Table S2 Compound Identifiers'!C1261</f>
        <v>0</v>
      </c>
      <c r="C1259" s="247">
        <f>COUNTIF($D$6:D1259,"&lt;&gt;"&amp;"")</f>
        <v>1254</v>
      </c>
      <c r="D1259" s="247">
        <f>'Table S2 Compound Identifiers'!B1261</f>
        <v>0</v>
      </c>
      <c r="E1259" s="247"/>
      <c r="F1259" s="248"/>
      <c r="G1259" s="249"/>
      <c r="H1259" s="330"/>
      <c r="I1259" s="328"/>
      <c r="J1259" s="249"/>
      <c r="K1259" s="330"/>
      <c r="L1259" s="250"/>
      <c r="M1259" s="249"/>
      <c r="N1259" s="330"/>
      <c r="O1259" s="250"/>
      <c r="P1259" s="249"/>
      <c r="Q1259" s="330"/>
      <c r="R1259" s="250"/>
      <c r="S1259" s="249"/>
      <c r="T1259" s="330"/>
      <c r="U1259" s="250"/>
      <c r="V1259" s="249"/>
      <c r="W1259" s="330"/>
      <c r="X1259" s="343"/>
      <c r="Y1259" s="249"/>
      <c r="Z1259" s="330"/>
      <c r="AA1259" s="343"/>
      <c r="AB1259" s="249"/>
      <c r="AC1259" s="330"/>
      <c r="AD1259" s="343"/>
      <c r="AE1259" s="249"/>
      <c r="AF1259" s="330"/>
      <c r="AG1259" s="343"/>
      <c r="AH1259" s="249"/>
      <c r="AI1259" s="330"/>
      <c r="AJ1259" s="343"/>
      <c r="AK1259" s="249"/>
      <c r="AL1259" s="330"/>
      <c r="AM1259" s="343"/>
      <c r="AN1259" s="249"/>
      <c r="AO1259" s="330"/>
      <c r="AP1259" s="343"/>
      <c r="AQ1259" s="249"/>
      <c r="AR1259" s="330"/>
      <c r="AS1259" s="343"/>
      <c r="AT1259" s="249"/>
      <c r="AU1259" s="330"/>
    </row>
    <row r="1260" spans="2:47">
      <c r="B1260" s="247">
        <f>'Table S2 Compound Identifiers'!C1262</f>
        <v>0</v>
      </c>
      <c r="C1260" s="247">
        <f>COUNTIF($D$6:D1260,"&lt;&gt;"&amp;"")</f>
        <v>1255</v>
      </c>
      <c r="D1260" s="247">
        <f>'Table S2 Compound Identifiers'!B1262</f>
        <v>0</v>
      </c>
      <c r="E1260" s="247"/>
      <c r="F1260" s="248"/>
      <c r="G1260" s="249"/>
      <c r="H1260" s="330"/>
      <c r="I1260" s="328"/>
      <c r="J1260" s="249"/>
      <c r="K1260" s="330"/>
      <c r="L1260" s="250"/>
      <c r="M1260" s="249"/>
      <c r="N1260" s="330"/>
      <c r="O1260" s="250"/>
      <c r="P1260" s="249"/>
      <c r="Q1260" s="330"/>
      <c r="R1260" s="250"/>
      <c r="S1260" s="249"/>
      <c r="T1260" s="330"/>
      <c r="U1260" s="250"/>
      <c r="V1260" s="249"/>
      <c r="W1260" s="330"/>
      <c r="X1260" s="343"/>
      <c r="Y1260" s="249"/>
      <c r="Z1260" s="330"/>
      <c r="AA1260" s="343"/>
      <c r="AB1260" s="249"/>
      <c r="AC1260" s="330"/>
      <c r="AD1260" s="343"/>
      <c r="AE1260" s="249"/>
      <c r="AF1260" s="330"/>
      <c r="AG1260" s="343"/>
      <c r="AH1260" s="249"/>
      <c r="AI1260" s="330"/>
      <c r="AJ1260" s="343"/>
      <c r="AK1260" s="249"/>
      <c r="AL1260" s="330"/>
      <c r="AM1260" s="343"/>
      <c r="AN1260" s="249"/>
      <c r="AO1260" s="330"/>
      <c r="AP1260" s="343"/>
      <c r="AQ1260" s="249"/>
      <c r="AR1260" s="330"/>
      <c r="AS1260" s="343"/>
      <c r="AT1260" s="249"/>
      <c r="AU1260" s="330"/>
    </row>
    <row r="1261" spans="2:47">
      <c r="B1261" s="247">
        <f>'Table S2 Compound Identifiers'!C1263</f>
        <v>0</v>
      </c>
      <c r="C1261" s="247">
        <f>COUNTIF($D$6:D1261,"&lt;&gt;"&amp;"")</f>
        <v>1256</v>
      </c>
      <c r="D1261" s="247">
        <f>'Table S2 Compound Identifiers'!B1263</f>
        <v>0</v>
      </c>
      <c r="E1261" s="247"/>
      <c r="F1261" s="248"/>
      <c r="G1261" s="249"/>
      <c r="H1261" s="330"/>
      <c r="I1261" s="328"/>
      <c r="J1261" s="249"/>
      <c r="K1261" s="330"/>
      <c r="L1261" s="250"/>
      <c r="M1261" s="249"/>
      <c r="N1261" s="330"/>
      <c r="O1261" s="250"/>
      <c r="P1261" s="249"/>
      <c r="Q1261" s="330"/>
      <c r="R1261" s="250"/>
      <c r="S1261" s="249"/>
      <c r="T1261" s="330"/>
      <c r="U1261" s="250"/>
      <c r="V1261" s="249"/>
      <c r="W1261" s="330"/>
      <c r="X1261" s="343"/>
      <c r="Y1261" s="249"/>
      <c r="Z1261" s="330"/>
      <c r="AA1261" s="343"/>
      <c r="AB1261" s="249"/>
      <c r="AC1261" s="330"/>
      <c r="AD1261" s="343"/>
      <c r="AE1261" s="249"/>
      <c r="AF1261" s="330"/>
      <c r="AG1261" s="343"/>
      <c r="AH1261" s="249"/>
      <c r="AI1261" s="330"/>
      <c r="AJ1261" s="343"/>
      <c r="AK1261" s="249"/>
      <c r="AL1261" s="330"/>
      <c r="AM1261" s="343"/>
      <c r="AN1261" s="249"/>
      <c r="AO1261" s="330"/>
      <c r="AP1261" s="343"/>
      <c r="AQ1261" s="249"/>
      <c r="AR1261" s="330"/>
      <c r="AS1261" s="343"/>
      <c r="AT1261" s="249"/>
      <c r="AU1261" s="330"/>
    </row>
    <row r="1262" spans="2:47">
      <c r="B1262" s="247">
        <f>'Table S2 Compound Identifiers'!C1264</f>
        <v>0</v>
      </c>
      <c r="C1262" s="247">
        <f>COUNTIF($D$6:D1262,"&lt;&gt;"&amp;"")</f>
        <v>1257</v>
      </c>
      <c r="D1262" s="247">
        <f>'Table S2 Compound Identifiers'!B1264</f>
        <v>0</v>
      </c>
      <c r="E1262" s="247"/>
      <c r="F1262" s="248"/>
      <c r="G1262" s="249"/>
      <c r="H1262" s="330"/>
      <c r="I1262" s="328"/>
      <c r="J1262" s="249"/>
      <c r="K1262" s="330"/>
      <c r="L1262" s="250"/>
      <c r="M1262" s="249"/>
      <c r="N1262" s="330"/>
      <c r="O1262" s="251"/>
      <c r="P1262" s="252"/>
      <c r="Q1262" s="330"/>
      <c r="R1262" s="251"/>
      <c r="S1262" s="252"/>
      <c r="T1262" s="330"/>
      <c r="U1262" s="251"/>
      <c r="V1262" s="252"/>
      <c r="W1262" s="330"/>
      <c r="X1262" s="343"/>
      <c r="Y1262" s="249"/>
      <c r="Z1262" s="330"/>
      <c r="AA1262" s="343"/>
      <c r="AB1262" s="249"/>
      <c r="AC1262" s="330"/>
      <c r="AD1262" s="343"/>
      <c r="AE1262" s="249"/>
      <c r="AF1262" s="330"/>
      <c r="AG1262" s="343"/>
      <c r="AH1262" s="249"/>
      <c r="AI1262" s="330"/>
      <c r="AJ1262" s="343"/>
      <c r="AK1262" s="249"/>
      <c r="AL1262" s="330"/>
      <c r="AM1262" s="343"/>
      <c r="AN1262" s="249"/>
      <c r="AO1262" s="330"/>
      <c r="AP1262" s="343"/>
      <c r="AQ1262" s="249"/>
      <c r="AR1262" s="330"/>
      <c r="AS1262" s="343"/>
      <c r="AT1262" s="249"/>
      <c r="AU1262" s="330"/>
    </row>
    <row r="1263" spans="2:47">
      <c r="B1263" s="247">
        <f>'Table S2 Compound Identifiers'!C1265</f>
        <v>0</v>
      </c>
      <c r="C1263" s="253">
        <f>COUNTIF($D$6:D1263,"&lt;&gt;"&amp;"")</f>
        <v>1258</v>
      </c>
      <c r="D1263" s="253">
        <f>'Table S2 Compound Identifiers'!B1265</f>
        <v>0</v>
      </c>
      <c r="E1263" s="253"/>
      <c r="F1263" s="254"/>
      <c r="G1263" s="252"/>
      <c r="H1263" s="330"/>
      <c r="I1263" s="333"/>
      <c r="J1263" s="252"/>
      <c r="K1263" s="330"/>
      <c r="L1263" s="251"/>
      <c r="M1263" s="252"/>
      <c r="N1263" s="330"/>
      <c r="O1263" s="251"/>
      <c r="P1263" s="252"/>
      <c r="Q1263" s="330"/>
      <c r="R1263" s="251"/>
      <c r="S1263" s="252"/>
      <c r="T1263" s="330"/>
      <c r="U1263" s="251"/>
      <c r="V1263" s="252"/>
      <c r="W1263" s="330"/>
      <c r="X1263" s="343"/>
      <c r="Y1263" s="249"/>
      <c r="Z1263" s="330"/>
      <c r="AA1263" s="343"/>
      <c r="AB1263" s="249"/>
      <c r="AC1263" s="330"/>
      <c r="AD1263" s="343"/>
      <c r="AE1263" s="249"/>
      <c r="AF1263" s="330"/>
      <c r="AG1263" s="343"/>
      <c r="AH1263" s="249"/>
      <c r="AI1263" s="330"/>
      <c r="AJ1263" s="343"/>
      <c r="AK1263" s="249"/>
      <c r="AL1263" s="330"/>
      <c r="AM1263" s="343"/>
      <c r="AN1263" s="249"/>
      <c r="AO1263" s="330"/>
      <c r="AP1263" s="343"/>
      <c r="AQ1263" s="249"/>
      <c r="AR1263" s="330"/>
      <c r="AS1263" s="343"/>
      <c r="AT1263" s="249"/>
      <c r="AU1263" s="330"/>
    </row>
    <row r="1264" spans="2:47">
      <c r="B1264" s="247">
        <f>'Table S2 Compound Identifiers'!C1266</f>
        <v>0</v>
      </c>
      <c r="C1264" s="247">
        <f>COUNTIF($D$6:D1264,"&lt;&gt;"&amp;"")</f>
        <v>1259</v>
      </c>
      <c r="D1264" s="247">
        <f>'Table S2 Compound Identifiers'!B1266</f>
        <v>0</v>
      </c>
      <c r="E1264" s="247"/>
      <c r="F1264" s="248"/>
      <c r="G1264" s="250"/>
      <c r="H1264" s="330"/>
      <c r="I1264" s="343"/>
      <c r="J1264" s="249"/>
      <c r="K1264" s="327"/>
      <c r="L1264" s="343"/>
      <c r="M1264" s="249"/>
      <c r="N1264" s="327"/>
      <c r="O1264" s="343"/>
      <c r="P1264" s="249"/>
      <c r="Q1264" s="327"/>
      <c r="R1264" s="343"/>
      <c r="S1264" s="249"/>
      <c r="T1264" s="327"/>
      <c r="U1264" s="343"/>
      <c r="V1264" s="249"/>
      <c r="W1264" s="327"/>
      <c r="X1264" s="343"/>
      <c r="Y1264" s="249"/>
      <c r="Z1264" s="327"/>
      <c r="AA1264" s="343"/>
      <c r="AB1264" s="249"/>
      <c r="AC1264" s="343"/>
      <c r="AD1264" s="343"/>
      <c r="AE1264" s="249"/>
      <c r="AF1264" s="249"/>
      <c r="AG1264" s="343"/>
      <c r="AH1264" s="249"/>
      <c r="AI1264" s="343"/>
      <c r="AJ1264" s="343"/>
      <c r="AK1264" s="249"/>
      <c r="AL1264" s="249"/>
      <c r="AM1264" s="343"/>
      <c r="AN1264" s="249"/>
      <c r="AO1264" s="343"/>
      <c r="AP1264" s="343"/>
      <c r="AQ1264" s="249"/>
      <c r="AR1264" s="249"/>
      <c r="AS1264" s="343"/>
      <c r="AT1264" s="249"/>
      <c r="AU1264" s="343"/>
    </row>
    <row r="1265" spans="2:47">
      <c r="B1265" s="247">
        <f>'Table S2 Compound Identifiers'!C1267</f>
        <v>0</v>
      </c>
      <c r="C1265" s="247">
        <f>COUNTIF($D$6:D1265,"&lt;&gt;"&amp;"")</f>
        <v>1260</v>
      </c>
      <c r="D1265" s="247">
        <f>'Table S2 Compound Identifiers'!B1267</f>
        <v>0</v>
      </c>
      <c r="E1265" s="247"/>
      <c r="F1265" s="248"/>
      <c r="G1265" s="249"/>
      <c r="H1265" s="330"/>
      <c r="I1265" s="332"/>
      <c r="J1265" s="330"/>
      <c r="K1265" s="330"/>
      <c r="L1265" s="330"/>
      <c r="M1265" s="330"/>
      <c r="N1265" s="330"/>
      <c r="O1265" s="330"/>
      <c r="P1265" s="330"/>
      <c r="Q1265" s="330"/>
      <c r="R1265" s="330"/>
      <c r="S1265" s="330"/>
      <c r="T1265" s="330"/>
      <c r="U1265" s="330"/>
      <c r="V1265" s="330"/>
      <c r="W1265" s="330"/>
      <c r="X1265" s="343"/>
      <c r="Y1265" s="249"/>
      <c r="Z1265" s="330"/>
      <c r="AA1265" s="343"/>
      <c r="AB1265" s="249"/>
      <c r="AC1265" s="330"/>
      <c r="AD1265" s="343"/>
      <c r="AE1265" s="249"/>
      <c r="AF1265" s="330"/>
      <c r="AG1265" s="343"/>
      <c r="AH1265" s="249"/>
      <c r="AI1265" s="330"/>
      <c r="AJ1265" s="343"/>
      <c r="AK1265" s="249"/>
      <c r="AL1265" s="330"/>
      <c r="AM1265" s="343"/>
      <c r="AN1265" s="249"/>
      <c r="AO1265" s="330"/>
      <c r="AP1265" s="343"/>
      <c r="AQ1265" s="249"/>
      <c r="AR1265" s="330"/>
      <c r="AS1265" s="343"/>
      <c r="AT1265" s="249"/>
      <c r="AU1265" s="330"/>
    </row>
    <row r="1266" spans="2:47">
      <c r="B1266" s="247">
        <f>'Table S2 Compound Identifiers'!C1268</f>
        <v>0</v>
      </c>
      <c r="C1266" s="247">
        <f>COUNTIF($D$6:D1266,"&lt;&gt;"&amp;"")</f>
        <v>1261</v>
      </c>
      <c r="D1266" s="247">
        <f>'Table S2 Compound Identifiers'!B1268</f>
        <v>0</v>
      </c>
      <c r="E1266" s="247"/>
      <c r="F1266" s="248"/>
      <c r="G1266" s="249"/>
      <c r="H1266" s="330"/>
      <c r="I1266" s="332"/>
      <c r="J1266" s="330"/>
      <c r="K1266" s="330"/>
      <c r="L1266" s="330"/>
      <c r="M1266" s="330"/>
      <c r="N1266" s="330"/>
      <c r="O1266" s="330"/>
      <c r="P1266" s="330"/>
      <c r="Q1266" s="330"/>
      <c r="R1266" s="330"/>
      <c r="S1266" s="330"/>
      <c r="T1266" s="330"/>
      <c r="U1266" s="330"/>
      <c r="V1266" s="330"/>
      <c r="W1266" s="330"/>
      <c r="X1266" s="343"/>
      <c r="Y1266" s="249"/>
      <c r="Z1266" s="330"/>
      <c r="AA1266" s="343"/>
      <c r="AB1266" s="249"/>
      <c r="AC1266" s="330"/>
      <c r="AD1266" s="343"/>
      <c r="AE1266" s="249"/>
      <c r="AF1266" s="330"/>
      <c r="AG1266" s="343"/>
      <c r="AH1266" s="249"/>
      <c r="AI1266" s="330"/>
      <c r="AJ1266" s="343"/>
      <c r="AK1266" s="249"/>
      <c r="AL1266" s="330"/>
      <c r="AM1266" s="343"/>
      <c r="AN1266" s="249"/>
      <c r="AO1266" s="330"/>
      <c r="AP1266" s="343"/>
      <c r="AQ1266" s="249"/>
      <c r="AR1266" s="330"/>
      <c r="AS1266" s="343"/>
      <c r="AT1266" s="249"/>
      <c r="AU1266" s="330"/>
    </row>
    <row r="1267" spans="2:47">
      <c r="B1267" s="247">
        <f>'Table S2 Compound Identifiers'!C1269</f>
        <v>0</v>
      </c>
      <c r="C1267" s="247">
        <f>COUNTIF($D$6:D1267,"&lt;&gt;"&amp;"")</f>
        <v>1262</v>
      </c>
      <c r="D1267" s="247">
        <f>'Table S2 Compound Identifiers'!B1269</f>
        <v>0</v>
      </c>
      <c r="E1267" s="247"/>
      <c r="F1267" s="248"/>
      <c r="G1267" s="249"/>
      <c r="H1267" s="330"/>
      <c r="I1267" s="332"/>
      <c r="J1267" s="330"/>
      <c r="K1267" s="330"/>
      <c r="L1267" s="330"/>
      <c r="M1267" s="330"/>
      <c r="N1267" s="330"/>
      <c r="O1267" s="330"/>
      <c r="P1267" s="330"/>
      <c r="Q1267" s="330"/>
      <c r="R1267" s="330"/>
      <c r="S1267" s="330"/>
      <c r="T1267" s="330"/>
      <c r="U1267" s="330"/>
      <c r="V1267" s="330"/>
      <c r="W1267" s="330"/>
      <c r="X1267" s="343"/>
      <c r="Y1267" s="249"/>
      <c r="Z1267" s="330"/>
      <c r="AA1267" s="343"/>
      <c r="AB1267" s="249"/>
      <c r="AC1267" s="330"/>
      <c r="AD1267" s="343"/>
      <c r="AE1267" s="249"/>
      <c r="AF1267" s="330"/>
      <c r="AG1267" s="343"/>
      <c r="AH1267" s="249"/>
      <c r="AI1267" s="330"/>
      <c r="AJ1267" s="343"/>
      <c r="AK1267" s="249"/>
      <c r="AL1267" s="330"/>
      <c r="AM1267" s="343"/>
      <c r="AN1267" s="249"/>
      <c r="AO1267" s="330"/>
      <c r="AP1267" s="343"/>
      <c r="AQ1267" s="249"/>
      <c r="AR1267" s="330"/>
      <c r="AS1267" s="343"/>
      <c r="AT1267" s="249"/>
      <c r="AU1267" s="330"/>
    </row>
    <row r="1268" spans="2:47">
      <c r="B1268" s="247">
        <f>'Table S2 Compound Identifiers'!C1270</f>
        <v>0</v>
      </c>
      <c r="C1268" s="247">
        <f>COUNTIF($D$6:D1268,"&lt;&gt;"&amp;"")</f>
        <v>1263</v>
      </c>
      <c r="D1268" s="247">
        <f>'Table S2 Compound Identifiers'!B1270</f>
        <v>0</v>
      </c>
      <c r="E1268" s="247"/>
      <c r="F1268" s="248"/>
      <c r="G1268" s="249"/>
      <c r="H1268" s="330"/>
      <c r="I1268" s="328"/>
      <c r="J1268" s="249"/>
      <c r="K1268" s="330"/>
      <c r="L1268" s="250"/>
      <c r="M1268" s="249"/>
      <c r="N1268" s="330"/>
      <c r="O1268" s="250"/>
      <c r="P1268" s="249"/>
      <c r="Q1268" s="330"/>
      <c r="R1268" s="250"/>
      <c r="S1268" s="249"/>
      <c r="T1268" s="330"/>
      <c r="U1268" s="250"/>
      <c r="V1268" s="249"/>
      <c r="W1268" s="330"/>
      <c r="X1268" s="343"/>
      <c r="Y1268" s="249"/>
      <c r="Z1268" s="330"/>
      <c r="AA1268" s="343"/>
      <c r="AB1268" s="249"/>
      <c r="AC1268" s="330"/>
      <c r="AD1268" s="343"/>
      <c r="AE1268" s="249"/>
      <c r="AF1268" s="330"/>
      <c r="AG1268" s="343"/>
      <c r="AH1268" s="249"/>
      <c r="AI1268" s="330"/>
      <c r="AJ1268" s="343"/>
      <c r="AK1268" s="249"/>
      <c r="AL1268" s="330"/>
      <c r="AM1268" s="343"/>
      <c r="AN1268" s="249"/>
      <c r="AO1268" s="330"/>
      <c r="AP1268" s="343"/>
      <c r="AQ1268" s="249"/>
      <c r="AR1268" s="330"/>
      <c r="AS1268" s="343"/>
      <c r="AT1268" s="249"/>
      <c r="AU1268" s="330"/>
    </row>
    <row r="1269" spans="2:47">
      <c r="B1269" s="247">
        <f>'Table S2 Compound Identifiers'!C1271</f>
        <v>0</v>
      </c>
      <c r="C1269" s="247">
        <f>COUNTIF($D$6:D1269,"&lt;&gt;"&amp;"")</f>
        <v>1264</v>
      </c>
      <c r="D1269" s="247">
        <f>'Table S2 Compound Identifiers'!B1271</f>
        <v>0</v>
      </c>
      <c r="E1269" s="247"/>
      <c r="F1269" s="248"/>
      <c r="G1269" s="249"/>
      <c r="H1269" s="330"/>
      <c r="I1269" s="328"/>
      <c r="J1269" s="249"/>
      <c r="K1269" s="330"/>
      <c r="L1269" s="250"/>
      <c r="M1269" s="249"/>
      <c r="N1269" s="330"/>
      <c r="O1269" s="250"/>
      <c r="P1269" s="249"/>
      <c r="Q1269" s="330"/>
      <c r="R1269" s="250"/>
      <c r="S1269" s="249"/>
      <c r="T1269" s="330"/>
      <c r="U1269" s="250"/>
      <c r="V1269" s="249"/>
      <c r="W1269" s="330"/>
      <c r="X1269" s="343"/>
      <c r="Y1269" s="249"/>
      <c r="Z1269" s="330"/>
      <c r="AA1269" s="343"/>
      <c r="AB1269" s="249"/>
      <c r="AC1269" s="330"/>
      <c r="AD1269" s="343"/>
      <c r="AE1269" s="249"/>
      <c r="AF1269" s="330"/>
      <c r="AG1269" s="343"/>
      <c r="AH1269" s="249"/>
      <c r="AI1269" s="330"/>
      <c r="AJ1269" s="343"/>
      <c r="AK1269" s="249"/>
      <c r="AL1269" s="330"/>
      <c r="AM1269" s="343"/>
      <c r="AN1269" s="249"/>
      <c r="AO1269" s="330"/>
      <c r="AP1269" s="343"/>
      <c r="AQ1269" s="249"/>
      <c r="AR1269" s="330"/>
      <c r="AS1269" s="343"/>
      <c r="AT1269" s="249"/>
      <c r="AU1269" s="330"/>
    </row>
    <row r="1270" spans="2:47">
      <c r="B1270" s="247">
        <f>'Table S2 Compound Identifiers'!C1272</f>
        <v>0</v>
      </c>
      <c r="C1270" s="247">
        <f>COUNTIF($D$6:D1270,"&lt;&gt;"&amp;"")</f>
        <v>1265</v>
      </c>
      <c r="D1270" s="247">
        <f>'Table S2 Compound Identifiers'!B1272</f>
        <v>0</v>
      </c>
      <c r="E1270" s="247"/>
      <c r="F1270" s="248"/>
      <c r="G1270" s="249"/>
      <c r="H1270" s="330"/>
      <c r="I1270" s="328"/>
      <c r="J1270" s="249"/>
      <c r="K1270" s="330"/>
      <c r="L1270" s="250"/>
      <c r="M1270" s="249"/>
      <c r="N1270" s="330"/>
      <c r="O1270" s="250"/>
      <c r="P1270" s="249"/>
      <c r="Q1270" s="330"/>
      <c r="R1270" s="250"/>
      <c r="S1270" s="249"/>
      <c r="T1270" s="330"/>
      <c r="U1270" s="250"/>
      <c r="V1270" s="249"/>
      <c r="W1270" s="330"/>
      <c r="X1270" s="343"/>
      <c r="Y1270" s="249"/>
      <c r="Z1270" s="330"/>
      <c r="AA1270" s="343"/>
      <c r="AB1270" s="249"/>
      <c r="AC1270" s="330"/>
      <c r="AD1270" s="343"/>
      <c r="AE1270" s="249"/>
      <c r="AF1270" s="330"/>
      <c r="AG1270" s="343"/>
      <c r="AH1270" s="249"/>
      <c r="AI1270" s="330"/>
      <c r="AJ1270" s="343"/>
      <c r="AK1270" s="249"/>
      <c r="AL1270" s="330"/>
      <c r="AM1270" s="343"/>
      <c r="AN1270" s="249"/>
      <c r="AO1270" s="330"/>
      <c r="AP1270" s="343"/>
      <c r="AQ1270" s="249"/>
      <c r="AR1270" s="330"/>
      <c r="AS1270" s="343"/>
      <c r="AT1270" s="249"/>
      <c r="AU1270" s="330"/>
    </row>
    <row r="1271" spans="2:47">
      <c r="B1271" s="247">
        <f>'Table S2 Compound Identifiers'!C1273</f>
        <v>0</v>
      </c>
      <c r="C1271" s="247">
        <f>COUNTIF($D$6:D1271,"&lt;&gt;"&amp;"")</f>
        <v>1266</v>
      </c>
      <c r="D1271" s="247">
        <f>'Table S2 Compound Identifiers'!B1273</f>
        <v>0</v>
      </c>
      <c r="E1271" s="247"/>
      <c r="F1271" s="248"/>
      <c r="G1271" s="249"/>
      <c r="H1271" s="330"/>
      <c r="I1271" s="328"/>
      <c r="J1271" s="249"/>
      <c r="K1271" s="330"/>
      <c r="L1271" s="250"/>
      <c r="M1271" s="249"/>
      <c r="N1271" s="330"/>
      <c r="O1271" s="250"/>
      <c r="P1271" s="249"/>
      <c r="Q1271" s="330"/>
      <c r="R1271" s="250"/>
      <c r="S1271" s="249"/>
      <c r="T1271" s="330"/>
      <c r="U1271" s="250"/>
      <c r="V1271" s="249"/>
      <c r="W1271" s="330"/>
      <c r="X1271" s="343"/>
      <c r="Y1271" s="249"/>
      <c r="Z1271" s="330"/>
      <c r="AA1271" s="343"/>
      <c r="AB1271" s="249"/>
      <c r="AC1271" s="330"/>
      <c r="AD1271" s="343"/>
      <c r="AE1271" s="249"/>
      <c r="AF1271" s="330"/>
      <c r="AG1271" s="343"/>
      <c r="AH1271" s="249"/>
      <c r="AI1271" s="330"/>
      <c r="AJ1271" s="343"/>
      <c r="AK1271" s="249"/>
      <c r="AL1271" s="330"/>
      <c r="AM1271" s="343"/>
      <c r="AN1271" s="249"/>
      <c r="AO1271" s="330"/>
      <c r="AP1271" s="343"/>
      <c r="AQ1271" s="249"/>
      <c r="AR1271" s="330"/>
      <c r="AS1271" s="343"/>
      <c r="AT1271" s="249"/>
      <c r="AU1271" s="330"/>
    </row>
    <row r="1272" spans="2:47">
      <c r="B1272" s="247">
        <f>'Table S2 Compound Identifiers'!C1274</f>
        <v>0</v>
      </c>
      <c r="C1272" s="247">
        <f>COUNTIF($D$6:D1272,"&lt;&gt;"&amp;"")</f>
        <v>1267</v>
      </c>
      <c r="D1272" s="247">
        <f>'Table S2 Compound Identifiers'!B1274</f>
        <v>0</v>
      </c>
      <c r="E1272" s="247"/>
      <c r="F1272" s="248"/>
      <c r="G1272" s="249"/>
      <c r="H1272" s="330"/>
      <c r="I1272" s="328"/>
      <c r="J1272" s="249"/>
      <c r="K1272" s="330"/>
      <c r="L1272" s="250"/>
      <c r="M1272" s="249"/>
      <c r="N1272" s="330"/>
      <c r="O1272" s="250"/>
      <c r="P1272" s="249"/>
      <c r="Q1272" s="330"/>
      <c r="R1272" s="250"/>
      <c r="S1272" s="249"/>
      <c r="T1272" s="330"/>
      <c r="U1272" s="250"/>
      <c r="V1272" s="249"/>
      <c r="W1272" s="330"/>
      <c r="X1272" s="343"/>
      <c r="Y1272" s="249"/>
      <c r="Z1272" s="330"/>
      <c r="AA1272" s="343"/>
      <c r="AB1272" s="249"/>
      <c r="AC1272" s="330"/>
      <c r="AD1272" s="343"/>
      <c r="AE1272" s="249"/>
      <c r="AF1272" s="330"/>
      <c r="AG1272" s="343"/>
      <c r="AH1272" s="249"/>
      <c r="AI1272" s="330"/>
      <c r="AJ1272" s="343"/>
      <c r="AK1272" s="249"/>
      <c r="AL1272" s="330"/>
      <c r="AM1272" s="343"/>
      <c r="AN1272" s="249"/>
      <c r="AO1272" s="330"/>
      <c r="AP1272" s="343"/>
      <c r="AQ1272" s="249"/>
      <c r="AR1272" s="330"/>
      <c r="AS1272" s="343"/>
      <c r="AT1272" s="249"/>
      <c r="AU1272" s="330"/>
    </row>
    <row r="1273" spans="2:47">
      <c r="B1273" s="247">
        <f>'Table S2 Compound Identifiers'!C1275</f>
        <v>0</v>
      </c>
      <c r="C1273" s="247">
        <f>COUNTIF($D$6:D1273,"&lt;&gt;"&amp;"")</f>
        <v>1268</v>
      </c>
      <c r="D1273" s="247">
        <f>'Table S2 Compound Identifiers'!B1275</f>
        <v>0</v>
      </c>
      <c r="E1273" s="247"/>
      <c r="F1273" s="248"/>
      <c r="G1273" s="249"/>
      <c r="H1273" s="330"/>
      <c r="I1273" s="328"/>
      <c r="J1273" s="249"/>
      <c r="K1273" s="330"/>
      <c r="L1273" s="250"/>
      <c r="M1273" s="249"/>
      <c r="N1273" s="330"/>
      <c r="O1273" s="250"/>
      <c r="P1273" s="249"/>
      <c r="Q1273" s="330"/>
      <c r="R1273" s="250"/>
      <c r="S1273" s="249"/>
      <c r="T1273" s="330"/>
      <c r="U1273" s="250"/>
      <c r="V1273" s="249"/>
      <c r="W1273" s="330"/>
      <c r="X1273" s="343"/>
      <c r="Y1273" s="249"/>
      <c r="Z1273" s="330"/>
      <c r="AA1273" s="343"/>
      <c r="AB1273" s="249"/>
      <c r="AC1273" s="330"/>
      <c r="AD1273" s="343"/>
      <c r="AE1273" s="249"/>
      <c r="AF1273" s="330"/>
      <c r="AG1273" s="343"/>
      <c r="AH1273" s="249"/>
      <c r="AI1273" s="330"/>
      <c r="AJ1273" s="343"/>
      <c r="AK1273" s="249"/>
      <c r="AL1273" s="330"/>
      <c r="AM1273" s="343"/>
      <c r="AN1273" s="249"/>
      <c r="AO1273" s="330"/>
      <c r="AP1273" s="343"/>
      <c r="AQ1273" s="249"/>
      <c r="AR1273" s="330"/>
      <c r="AS1273" s="343"/>
      <c r="AT1273" s="249"/>
      <c r="AU1273" s="330"/>
    </row>
    <row r="1274" spans="2:47">
      <c r="B1274" s="247">
        <f>'Table S2 Compound Identifiers'!C1276</f>
        <v>0</v>
      </c>
      <c r="C1274" s="247">
        <f>COUNTIF($D$6:D1274,"&lt;&gt;"&amp;"")</f>
        <v>1269</v>
      </c>
      <c r="D1274" s="247">
        <f>'Table S2 Compound Identifiers'!B1276</f>
        <v>0</v>
      </c>
      <c r="E1274" s="247"/>
      <c r="F1274" s="248"/>
      <c r="G1274" s="249"/>
      <c r="H1274" s="330"/>
      <c r="I1274" s="328"/>
      <c r="J1274" s="249"/>
      <c r="K1274" s="330"/>
      <c r="L1274" s="250"/>
      <c r="M1274" s="249"/>
      <c r="N1274" s="330"/>
      <c r="O1274" s="250"/>
      <c r="P1274" s="249"/>
      <c r="Q1274" s="330"/>
      <c r="R1274" s="250"/>
      <c r="S1274" s="249"/>
      <c r="T1274" s="330"/>
      <c r="U1274" s="250"/>
      <c r="V1274" s="249"/>
      <c r="W1274" s="330"/>
      <c r="X1274" s="343"/>
      <c r="Y1274" s="249"/>
      <c r="Z1274" s="330"/>
      <c r="AA1274" s="343"/>
      <c r="AB1274" s="249"/>
      <c r="AC1274" s="330"/>
      <c r="AD1274" s="343"/>
      <c r="AE1274" s="249"/>
      <c r="AF1274" s="330"/>
      <c r="AG1274" s="343"/>
      <c r="AH1274" s="249"/>
      <c r="AI1274" s="330"/>
      <c r="AJ1274" s="343"/>
      <c r="AK1274" s="249"/>
      <c r="AL1274" s="330"/>
      <c r="AM1274" s="343"/>
      <c r="AN1274" s="249"/>
      <c r="AO1274" s="330"/>
      <c r="AP1274" s="343"/>
      <c r="AQ1274" s="249"/>
      <c r="AR1274" s="330"/>
      <c r="AS1274" s="343"/>
      <c r="AT1274" s="249"/>
      <c r="AU1274" s="330"/>
    </row>
    <row r="1275" spans="2:47">
      <c r="B1275" s="247">
        <f>'Table S2 Compound Identifiers'!C1277</f>
        <v>0</v>
      </c>
      <c r="C1275" s="247">
        <f>COUNTIF($D$6:D1275,"&lt;&gt;"&amp;"")</f>
        <v>1270</v>
      </c>
      <c r="D1275" s="247">
        <f>'Table S2 Compound Identifiers'!B1277</f>
        <v>0</v>
      </c>
      <c r="E1275" s="247"/>
      <c r="F1275" s="248"/>
      <c r="G1275" s="249"/>
      <c r="H1275" s="330"/>
      <c r="I1275" s="328"/>
      <c r="J1275" s="249"/>
      <c r="K1275" s="330"/>
      <c r="L1275" s="250"/>
      <c r="M1275" s="249"/>
      <c r="N1275" s="330"/>
      <c r="O1275" s="250"/>
      <c r="P1275" s="249"/>
      <c r="Q1275" s="330"/>
      <c r="R1275" s="250"/>
      <c r="S1275" s="249"/>
      <c r="T1275" s="330"/>
      <c r="U1275" s="250"/>
      <c r="V1275" s="249"/>
      <c r="W1275" s="330"/>
      <c r="X1275" s="343"/>
      <c r="Y1275" s="249"/>
      <c r="Z1275" s="330"/>
      <c r="AA1275" s="343"/>
      <c r="AB1275" s="249"/>
      <c r="AC1275" s="330"/>
      <c r="AD1275" s="343"/>
      <c r="AE1275" s="249"/>
      <c r="AF1275" s="330"/>
      <c r="AG1275" s="343"/>
      <c r="AH1275" s="249"/>
      <c r="AI1275" s="330"/>
      <c r="AJ1275" s="343"/>
      <c r="AK1275" s="249"/>
      <c r="AL1275" s="330"/>
      <c r="AM1275" s="343"/>
      <c r="AN1275" s="249"/>
      <c r="AO1275" s="330"/>
      <c r="AP1275" s="343"/>
      <c r="AQ1275" s="249"/>
      <c r="AR1275" s="330"/>
      <c r="AS1275" s="343"/>
      <c r="AT1275" s="249"/>
      <c r="AU1275" s="330"/>
    </row>
    <row r="1276" spans="2:47">
      <c r="B1276" s="247">
        <f>'Table S2 Compound Identifiers'!C1278</f>
        <v>0</v>
      </c>
      <c r="C1276" s="247">
        <f>COUNTIF($D$6:D1276,"&lt;&gt;"&amp;"")</f>
        <v>1271</v>
      </c>
      <c r="D1276" s="247">
        <f>'Table S2 Compound Identifiers'!B1278</f>
        <v>0</v>
      </c>
      <c r="E1276" s="247"/>
      <c r="F1276" s="248"/>
      <c r="G1276" s="249"/>
      <c r="H1276" s="330"/>
      <c r="I1276" s="328"/>
      <c r="J1276" s="249"/>
      <c r="K1276" s="330"/>
      <c r="L1276" s="250"/>
      <c r="M1276" s="249"/>
      <c r="N1276" s="330"/>
      <c r="O1276" s="250"/>
      <c r="P1276" s="249"/>
      <c r="Q1276" s="330"/>
      <c r="R1276" s="250"/>
      <c r="S1276" s="249"/>
      <c r="T1276" s="330"/>
      <c r="U1276" s="250"/>
      <c r="V1276" s="249"/>
      <c r="W1276" s="330"/>
      <c r="X1276" s="343"/>
      <c r="Y1276" s="249"/>
      <c r="Z1276" s="330"/>
      <c r="AA1276" s="343"/>
      <c r="AB1276" s="249"/>
      <c r="AC1276" s="330"/>
      <c r="AD1276" s="343"/>
      <c r="AE1276" s="249"/>
      <c r="AF1276" s="330"/>
      <c r="AG1276" s="343"/>
      <c r="AH1276" s="249"/>
      <c r="AI1276" s="330"/>
      <c r="AJ1276" s="343"/>
      <c r="AK1276" s="249"/>
      <c r="AL1276" s="330"/>
      <c r="AM1276" s="343"/>
      <c r="AN1276" s="249"/>
      <c r="AO1276" s="330"/>
      <c r="AP1276" s="343"/>
      <c r="AQ1276" s="249"/>
      <c r="AR1276" s="330"/>
      <c r="AS1276" s="343"/>
      <c r="AT1276" s="249"/>
      <c r="AU1276" s="330"/>
    </row>
    <row r="1277" spans="2:47">
      <c r="B1277" s="247">
        <f>'Table S2 Compound Identifiers'!C1279</f>
        <v>0</v>
      </c>
      <c r="C1277" s="247">
        <f>COUNTIF($D$6:D1277,"&lt;&gt;"&amp;"")</f>
        <v>1272</v>
      </c>
      <c r="D1277" s="247">
        <f>'Table S2 Compound Identifiers'!B1279</f>
        <v>0</v>
      </c>
      <c r="E1277" s="247"/>
      <c r="F1277" s="248"/>
      <c r="G1277" s="249"/>
      <c r="H1277" s="330"/>
      <c r="I1277" s="328"/>
      <c r="J1277" s="249"/>
      <c r="K1277" s="330"/>
      <c r="L1277" s="250"/>
      <c r="M1277" s="249"/>
      <c r="N1277" s="330"/>
      <c r="O1277" s="250"/>
      <c r="P1277" s="249"/>
      <c r="Q1277" s="330"/>
      <c r="R1277" s="250"/>
      <c r="S1277" s="249"/>
      <c r="T1277" s="330"/>
      <c r="U1277" s="250"/>
      <c r="V1277" s="249"/>
      <c r="W1277" s="330"/>
      <c r="X1277" s="343"/>
      <c r="Y1277" s="249"/>
      <c r="Z1277" s="330"/>
      <c r="AA1277" s="343"/>
      <c r="AB1277" s="249"/>
      <c r="AC1277" s="330"/>
      <c r="AD1277" s="343"/>
      <c r="AE1277" s="249"/>
      <c r="AF1277" s="330"/>
      <c r="AG1277" s="343"/>
      <c r="AH1277" s="249"/>
      <c r="AI1277" s="330"/>
      <c r="AJ1277" s="343"/>
      <c r="AK1277" s="249"/>
      <c r="AL1277" s="330"/>
      <c r="AM1277" s="343"/>
      <c r="AN1277" s="249"/>
      <c r="AO1277" s="330"/>
      <c r="AP1277" s="343"/>
      <c r="AQ1277" s="249"/>
      <c r="AR1277" s="330"/>
      <c r="AS1277" s="343"/>
      <c r="AT1277" s="249"/>
      <c r="AU1277" s="330"/>
    </row>
    <row r="1278" spans="2:47">
      <c r="B1278" s="247">
        <f>'Table S2 Compound Identifiers'!C1280</f>
        <v>0</v>
      </c>
      <c r="C1278" s="247">
        <f>COUNTIF($D$6:D1278,"&lt;&gt;"&amp;"")</f>
        <v>1273</v>
      </c>
      <c r="D1278" s="247">
        <f>'Table S2 Compound Identifiers'!B1280</f>
        <v>0</v>
      </c>
      <c r="E1278" s="247"/>
      <c r="F1278" s="248"/>
      <c r="G1278" s="249"/>
      <c r="H1278" s="330"/>
      <c r="I1278" s="328"/>
      <c r="J1278" s="249"/>
      <c r="K1278" s="330"/>
      <c r="L1278" s="250"/>
      <c r="M1278" s="249"/>
      <c r="N1278" s="330"/>
      <c r="O1278" s="250"/>
      <c r="P1278" s="249"/>
      <c r="Q1278" s="330"/>
      <c r="R1278" s="250"/>
      <c r="S1278" s="249"/>
      <c r="T1278" s="330"/>
      <c r="U1278" s="250"/>
      <c r="V1278" s="249"/>
      <c r="W1278" s="330"/>
      <c r="X1278" s="343"/>
      <c r="Y1278" s="249"/>
      <c r="Z1278" s="330"/>
      <c r="AA1278" s="343"/>
      <c r="AB1278" s="249"/>
      <c r="AC1278" s="330"/>
      <c r="AD1278" s="343"/>
      <c r="AE1278" s="249"/>
      <c r="AF1278" s="330"/>
      <c r="AG1278" s="343"/>
      <c r="AH1278" s="249"/>
      <c r="AI1278" s="330"/>
      <c r="AJ1278" s="343"/>
      <c r="AK1278" s="249"/>
      <c r="AL1278" s="330"/>
      <c r="AM1278" s="343"/>
      <c r="AN1278" s="249"/>
      <c r="AO1278" s="330"/>
      <c r="AP1278" s="343"/>
      <c r="AQ1278" s="249"/>
      <c r="AR1278" s="330"/>
      <c r="AS1278" s="343"/>
      <c r="AT1278" s="249"/>
      <c r="AU1278" s="330"/>
    </row>
    <row r="1279" spans="2:47">
      <c r="B1279" s="247">
        <f>'Table S2 Compound Identifiers'!C1281</f>
        <v>0</v>
      </c>
      <c r="C1279" s="247">
        <f>COUNTIF($D$6:D1279,"&lt;&gt;"&amp;"")</f>
        <v>1274</v>
      </c>
      <c r="D1279" s="247">
        <f>'Table S2 Compound Identifiers'!B1281</f>
        <v>0</v>
      </c>
      <c r="E1279" s="247"/>
      <c r="F1279" s="248"/>
      <c r="G1279" s="249"/>
      <c r="H1279" s="330"/>
      <c r="I1279" s="328"/>
      <c r="J1279" s="249"/>
      <c r="K1279" s="330"/>
      <c r="L1279" s="250"/>
      <c r="M1279" s="249"/>
      <c r="N1279" s="330"/>
      <c r="O1279" s="250"/>
      <c r="P1279" s="249"/>
      <c r="Q1279" s="330"/>
      <c r="R1279" s="250"/>
      <c r="S1279" s="249"/>
      <c r="T1279" s="330"/>
      <c r="U1279" s="250"/>
      <c r="V1279" s="249"/>
      <c r="W1279" s="330"/>
      <c r="X1279" s="343"/>
      <c r="Y1279" s="249"/>
      <c r="Z1279" s="330"/>
      <c r="AA1279" s="343"/>
      <c r="AB1279" s="249"/>
      <c r="AC1279" s="330"/>
      <c r="AD1279" s="343"/>
      <c r="AE1279" s="249"/>
      <c r="AF1279" s="330"/>
      <c r="AG1279" s="343"/>
      <c r="AH1279" s="249"/>
      <c r="AI1279" s="330"/>
      <c r="AJ1279" s="343"/>
      <c r="AK1279" s="249"/>
      <c r="AL1279" s="330"/>
      <c r="AM1279" s="343"/>
      <c r="AN1279" s="249"/>
      <c r="AO1279" s="330"/>
      <c r="AP1279" s="343"/>
      <c r="AQ1279" s="249"/>
      <c r="AR1279" s="330"/>
      <c r="AS1279" s="343"/>
      <c r="AT1279" s="249"/>
      <c r="AU1279" s="330"/>
    </row>
    <row r="1280" spans="2:47">
      <c r="B1280" s="247">
        <f>'Table S2 Compound Identifiers'!C1282</f>
        <v>0</v>
      </c>
      <c r="C1280" s="247">
        <f>COUNTIF($D$6:D1280,"&lt;&gt;"&amp;"")</f>
        <v>1275</v>
      </c>
      <c r="D1280" s="247">
        <f>'Table S2 Compound Identifiers'!B1282</f>
        <v>0</v>
      </c>
      <c r="E1280" s="247"/>
      <c r="F1280" s="248"/>
      <c r="G1280" s="249"/>
      <c r="H1280" s="330"/>
      <c r="I1280" s="328"/>
      <c r="J1280" s="249"/>
      <c r="K1280" s="330"/>
      <c r="L1280" s="250"/>
      <c r="M1280" s="249"/>
      <c r="N1280" s="330"/>
      <c r="O1280" s="250"/>
      <c r="P1280" s="249"/>
      <c r="Q1280" s="330"/>
      <c r="R1280" s="250"/>
      <c r="S1280" s="249"/>
      <c r="T1280" s="330"/>
      <c r="U1280" s="250"/>
      <c r="V1280" s="249"/>
      <c r="W1280" s="330"/>
      <c r="X1280" s="343"/>
      <c r="Y1280" s="249"/>
      <c r="Z1280" s="330"/>
      <c r="AA1280" s="343"/>
      <c r="AB1280" s="249"/>
      <c r="AC1280" s="330"/>
      <c r="AD1280" s="343"/>
      <c r="AE1280" s="249"/>
      <c r="AF1280" s="330"/>
      <c r="AG1280" s="343"/>
      <c r="AH1280" s="249"/>
      <c r="AI1280" s="330"/>
      <c r="AJ1280" s="343"/>
      <c r="AK1280" s="249"/>
      <c r="AL1280" s="330"/>
      <c r="AM1280" s="343"/>
      <c r="AN1280" s="249"/>
      <c r="AO1280" s="330"/>
      <c r="AP1280" s="343"/>
      <c r="AQ1280" s="249"/>
      <c r="AR1280" s="330"/>
      <c r="AS1280" s="343"/>
      <c r="AT1280" s="249"/>
      <c r="AU1280" s="330"/>
    </row>
    <row r="1281" spans="2:47">
      <c r="B1281" s="247">
        <f>'Table S2 Compound Identifiers'!C1283</f>
        <v>0</v>
      </c>
      <c r="C1281" s="247">
        <f>COUNTIF($D$6:D1281,"&lt;&gt;"&amp;"")</f>
        <v>1276</v>
      </c>
      <c r="D1281" s="247">
        <f>'Table S2 Compound Identifiers'!B1283</f>
        <v>0</v>
      </c>
      <c r="E1281" s="247"/>
      <c r="F1281" s="248"/>
      <c r="G1281" s="249"/>
      <c r="H1281" s="330"/>
      <c r="I1281" s="328"/>
      <c r="J1281" s="249"/>
      <c r="K1281" s="330"/>
      <c r="L1281" s="250"/>
      <c r="M1281" s="249"/>
      <c r="N1281" s="330"/>
      <c r="O1281" s="250"/>
      <c r="P1281" s="249"/>
      <c r="Q1281" s="330"/>
      <c r="R1281" s="250"/>
      <c r="S1281" s="249"/>
      <c r="T1281" s="330"/>
      <c r="U1281" s="250"/>
      <c r="V1281" s="249"/>
      <c r="W1281" s="330"/>
      <c r="X1281" s="343"/>
      <c r="Y1281" s="249"/>
      <c r="Z1281" s="330"/>
      <c r="AA1281" s="343"/>
      <c r="AB1281" s="249"/>
      <c r="AC1281" s="330"/>
      <c r="AD1281" s="343"/>
      <c r="AE1281" s="249"/>
      <c r="AF1281" s="330"/>
      <c r="AG1281" s="343"/>
      <c r="AH1281" s="249"/>
      <c r="AI1281" s="330"/>
      <c r="AJ1281" s="343"/>
      <c r="AK1281" s="249"/>
      <c r="AL1281" s="330"/>
      <c r="AM1281" s="343"/>
      <c r="AN1281" s="249"/>
      <c r="AO1281" s="330"/>
      <c r="AP1281" s="343"/>
      <c r="AQ1281" s="249"/>
      <c r="AR1281" s="330"/>
      <c r="AS1281" s="343"/>
      <c r="AT1281" s="249"/>
      <c r="AU1281" s="330"/>
    </row>
    <row r="1282" spans="2:47">
      <c r="B1282" s="247">
        <f>'Table S2 Compound Identifiers'!C1284</f>
        <v>0</v>
      </c>
      <c r="C1282" s="247">
        <f>COUNTIF($D$6:D1282,"&lt;&gt;"&amp;"")</f>
        <v>1277</v>
      </c>
      <c r="D1282" s="247">
        <f>'Table S2 Compound Identifiers'!B1284</f>
        <v>0</v>
      </c>
      <c r="E1282" s="247"/>
      <c r="F1282" s="248"/>
      <c r="G1282" s="249"/>
      <c r="H1282" s="330"/>
      <c r="I1282" s="328"/>
      <c r="J1282" s="249"/>
      <c r="K1282" s="330"/>
      <c r="L1282" s="250"/>
      <c r="M1282" s="249"/>
      <c r="N1282" s="330"/>
      <c r="O1282" s="250"/>
      <c r="P1282" s="249"/>
      <c r="Q1282" s="330"/>
      <c r="R1282" s="250"/>
      <c r="S1282" s="249"/>
      <c r="T1282" s="330"/>
      <c r="U1282" s="250"/>
      <c r="V1282" s="249"/>
      <c r="W1282" s="330"/>
      <c r="X1282" s="343"/>
      <c r="Y1282" s="249"/>
      <c r="Z1282" s="330"/>
      <c r="AA1282" s="343"/>
      <c r="AB1282" s="249"/>
      <c r="AC1282" s="330"/>
      <c r="AD1282" s="343"/>
      <c r="AE1282" s="249"/>
      <c r="AF1282" s="330"/>
      <c r="AG1282" s="343"/>
      <c r="AH1282" s="249"/>
      <c r="AI1282" s="330"/>
      <c r="AJ1282" s="343"/>
      <c r="AK1282" s="249"/>
      <c r="AL1282" s="330"/>
      <c r="AM1282" s="343"/>
      <c r="AN1282" s="249"/>
      <c r="AO1282" s="330"/>
      <c r="AP1282" s="343"/>
      <c r="AQ1282" s="249"/>
      <c r="AR1282" s="330"/>
      <c r="AS1282" s="343"/>
      <c r="AT1282" s="249"/>
      <c r="AU1282" s="330"/>
    </row>
    <row r="1283" spans="2:47">
      <c r="B1283" s="247">
        <f>'Table S2 Compound Identifiers'!C1285</f>
        <v>0</v>
      </c>
      <c r="C1283" s="247">
        <f>COUNTIF($D$6:D1283,"&lt;&gt;"&amp;"")</f>
        <v>1278</v>
      </c>
      <c r="D1283" s="247">
        <f>'Table S2 Compound Identifiers'!B1285</f>
        <v>0</v>
      </c>
      <c r="E1283" s="247"/>
      <c r="F1283" s="248"/>
      <c r="G1283" s="249"/>
      <c r="H1283" s="330"/>
      <c r="I1283" s="328"/>
      <c r="J1283" s="249"/>
      <c r="K1283" s="330"/>
      <c r="L1283" s="250"/>
      <c r="M1283" s="249"/>
      <c r="N1283" s="330"/>
      <c r="O1283" s="250"/>
      <c r="P1283" s="249"/>
      <c r="Q1283" s="330"/>
      <c r="R1283" s="250"/>
      <c r="S1283" s="249"/>
      <c r="T1283" s="330"/>
      <c r="U1283" s="250"/>
      <c r="V1283" s="249"/>
      <c r="W1283" s="330"/>
      <c r="X1283" s="343"/>
      <c r="Y1283" s="249"/>
      <c r="Z1283" s="330"/>
      <c r="AA1283" s="343"/>
      <c r="AB1283" s="249"/>
      <c r="AC1283" s="330"/>
      <c r="AD1283" s="343"/>
      <c r="AE1283" s="249"/>
      <c r="AF1283" s="330"/>
      <c r="AG1283" s="343"/>
      <c r="AH1283" s="249"/>
      <c r="AI1283" s="330"/>
      <c r="AJ1283" s="343"/>
      <c r="AK1283" s="249"/>
      <c r="AL1283" s="330"/>
      <c r="AM1283" s="343"/>
      <c r="AN1283" s="249"/>
      <c r="AO1283" s="330"/>
      <c r="AP1283" s="343"/>
      <c r="AQ1283" s="249"/>
      <c r="AR1283" s="330"/>
      <c r="AS1283" s="343"/>
      <c r="AT1283" s="249"/>
      <c r="AU1283" s="330"/>
    </row>
    <row r="1284" spans="2:47">
      <c r="B1284" s="247">
        <f>'Table S2 Compound Identifiers'!C1286</f>
        <v>0</v>
      </c>
      <c r="C1284" s="247">
        <f>COUNTIF($D$6:D1284,"&lt;&gt;"&amp;"")</f>
        <v>1279</v>
      </c>
      <c r="D1284" s="247">
        <f>'Table S2 Compound Identifiers'!B1286</f>
        <v>0</v>
      </c>
      <c r="E1284" s="247"/>
      <c r="F1284" s="248"/>
      <c r="G1284" s="249"/>
      <c r="H1284" s="330"/>
      <c r="I1284" s="328"/>
      <c r="J1284" s="249"/>
      <c r="K1284" s="330"/>
      <c r="L1284" s="250"/>
      <c r="M1284" s="249"/>
      <c r="N1284" s="330"/>
      <c r="O1284" s="250"/>
      <c r="P1284" s="249"/>
      <c r="Q1284" s="330"/>
      <c r="R1284" s="250"/>
      <c r="S1284" s="249"/>
      <c r="T1284" s="330"/>
      <c r="U1284" s="250"/>
      <c r="V1284" s="249"/>
      <c r="W1284" s="330"/>
      <c r="X1284" s="343"/>
      <c r="Y1284" s="249"/>
      <c r="Z1284" s="330"/>
      <c r="AA1284" s="343"/>
      <c r="AB1284" s="249"/>
      <c r="AC1284" s="330"/>
      <c r="AD1284" s="343"/>
      <c r="AE1284" s="249"/>
      <c r="AF1284" s="330"/>
      <c r="AG1284" s="343"/>
      <c r="AH1284" s="249"/>
      <c r="AI1284" s="330"/>
      <c r="AJ1284" s="343"/>
      <c r="AK1284" s="249"/>
      <c r="AL1284" s="330"/>
      <c r="AM1284" s="343"/>
      <c r="AN1284" s="249"/>
      <c r="AO1284" s="330"/>
      <c r="AP1284" s="343"/>
      <c r="AQ1284" s="249"/>
      <c r="AR1284" s="330"/>
      <c r="AS1284" s="343"/>
      <c r="AT1284" s="249"/>
      <c r="AU1284" s="330"/>
    </row>
    <row r="1285" spans="2:47">
      <c r="B1285" s="247">
        <f>'Table S2 Compound Identifiers'!C1287</f>
        <v>0</v>
      </c>
      <c r="C1285" s="247">
        <f>COUNTIF($D$6:D1285,"&lt;&gt;"&amp;"")</f>
        <v>1280</v>
      </c>
      <c r="D1285" s="247">
        <f>'Table S2 Compound Identifiers'!B1287</f>
        <v>0</v>
      </c>
      <c r="E1285" s="247"/>
      <c r="F1285" s="248"/>
      <c r="G1285" s="249"/>
      <c r="H1285" s="330"/>
      <c r="I1285" s="328"/>
      <c r="J1285" s="249"/>
      <c r="K1285" s="330"/>
      <c r="L1285" s="250"/>
      <c r="M1285" s="249"/>
      <c r="N1285" s="330"/>
      <c r="O1285" s="250"/>
      <c r="P1285" s="249"/>
      <c r="Q1285" s="330"/>
      <c r="R1285" s="250"/>
      <c r="S1285" s="249"/>
      <c r="T1285" s="330"/>
      <c r="U1285" s="250"/>
      <c r="V1285" s="249"/>
      <c r="W1285" s="330"/>
      <c r="X1285" s="343"/>
      <c r="Y1285" s="249"/>
      <c r="Z1285" s="330"/>
      <c r="AA1285" s="343"/>
      <c r="AB1285" s="249"/>
      <c r="AC1285" s="330"/>
      <c r="AD1285" s="343"/>
      <c r="AE1285" s="249"/>
      <c r="AF1285" s="330"/>
      <c r="AG1285" s="343"/>
      <c r="AH1285" s="249"/>
      <c r="AI1285" s="330"/>
      <c r="AJ1285" s="343"/>
      <c r="AK1285" s="249"/>
      <c r="AL1285" s="330"/>
      <c r="AM1285" s="343"/>
      <c r="AN1285" s="249"/>
      <c r="AO1285" s="330"/>
      <c r="AP1285" s="343"/>
      <c r="AQ1285" s="249"/>
      <c r="AR1285" s="330"/>
      <c r="AS1285" s="343"/>
      <c r="AT1285" s="249"/>
      <c r="AU1285" s="330"/>
    </row>
    <row r="1286" spans="2:47">
      <c r="B1286" s="247">
        <f>'Table S2 Compound Identifiers'!C1288</f>
        <v>0</v>
      </c>
      <c r="C1286" s="247">
        <f>COUNTIF($D$6:D1286,"&lt;&gt;"&amp;"")</f>
        <v>1281</v>
      </c>
      <c r="D1286" s="247">
        <f>'Table S2 Compound Identifiers'!B1288</f>
        <v>0</v>
      </c>
      <c r="E1286" s="247"/>
      <c r="F1286" s="248"/>
      <c r="G1286" s="249"/>
      <c r="H1286" s="330"/>
      <c r="I1286" s="328"/>
      <c r="J1286" s="249"/>
      <c r="K1286" s="330"/>
      <c r="L1286" s="250"/>
      <c r="M1286" s="249"/>
      <c r="N1286" s="330"/>
      <c r="O1286" s="250"/>
      <c r="P1286" s="249"/>
      <c r="Q1286" s="330"/>
      <c r="R1286" s="250"/>
      <c r="S1286" s="249"/>
      <c r="T1286" s="330"/>
      <c r="U1286" s="250"/>
      <c r="V1286" s="249"/>
      <c r="W1286" s="330"/>
      <c r="X1286" s="343"/>
      <c r="Y1286" s="249"/>
      <c r="Z1286" s="330"/>
      <c r="AA1286" s="343"/>
      <c r="AB1286" s="249"/>
      <c r="AC1286" s="330"/>
      <c r="AD1286" s="343"/>
      <c r="AE1286" s="249"/>
      <c r="AF1286" s="330"/>
      <c r="AG1286" s="343"/>
      <c r="AH1286" s="249"/>
      <c r="AI1286" s="330"/>
      <c r="AJ1286" s="343"/>
      <c r="AK1286" s="249"/>
      <c r="AL1286" s="330"/>
      <c r="AM1286" s="343"/>
      <c r="AN1286" s="249"/>
      <c r="AO1286" s="330"/>
      <c r="AP1286" s="343"/>
      <c r="AQ1286" s="249"/>
      <c r="AR1286" s="330"/>
      <c r="AS1286" s="343"/>
      <c r="AT1286" s="249"/>
      <c r="AU1286" s="330"/>
    </row>
    <row r="1287" spans="2:47">
      <c r="B1287" s="247">
        <f>'Table S2 Compound Identifiers'!C1289</f>
        <v>0</v>
      </c>
      <c r="C1287" s="247">
        <f>COUNTIF($D$6:D1287,"&lt;&gt;"&amp;"")</f>
        <v>1282</v>
      </c>
      <c r="D1287" s="247">
        <f>'Table S2 Compound Identifiers'!B1289</f>
        <v>0</v>
      </c>
      <c r="E1287" s="247"/>
      <c r="F1287" s="248"/>
      <c r="G1287" s="249"/>
      <c r="H1287" s="330"/>
      <c r="I1287" s="328"/>
      <c r="J1287" s="249"/>
      <c r="K1287" s="330"/>
      <c r="L1287" s="250"/>
      <c r="M1287" s="249"/>
      <c r="N1287" s="330"/>
      <c r="O1287" s="250"/>
      <c r="P1287" s="249"/>
      <c r="Q1287" s="330"/>
      <c r="R1287" s="250"/>
      <c r="S1287" s="249"/>
      <c r="T1287" s="330"/>
      <c r="U1287" s="250"/>
      <c r="V1287" s="249"/>
      <c r="W1287" s="330"/>
      <c r="X1287" s="343"/>
      <c r="Y1287" s="249"/>
      <c r="Z1287" s="330"/>
      <c r="AA1287" s="343"/>
      <c r="AB1287" s="249"/>
      <c r="AC1287" s="330"/>
      <c r="AD1287" s="343"/>
      <c r="AE1287" s="249"/>
      <c r="AF1287" s="330"/>
      <c r="AG1287" s="343"/>
      <c r="AH1287" s="249"/>
      <c r="AI1287" s="330"/>
      <c r="AJ1287" s="343"/>
      <c r="AK1287" s="249"/>
      <c r="AL1287" s="330"/>
      <c r="AM1287" s="343"/>
      <c r="AN1287" s="249"/>
      <c r="AO1287" s="330"/>
      <c r="AP1287" s="343"/>
      <c r="AQ1287" s="249"/>
      <c r="AR1287" s="330"/>
      <c r="AS1287" s="343"/>
      <c r="AT1287" s="249"/>
      <c r="AU1287" s="330"/>
    </row>
    <row r="1288" spans="2:47">
      <c r="B1288" s="247">
        <f>'Table S2 Compound Identifiers'!C1290</f>
        <v>0</v>
      </c>
      <c r="C1288" s="247">
        <f>COUNTIF($D$6:D1288,"&lt;&gt;"&amp;"")</f>
        <v>1283</v>
      </c>
      <c r="D1288" s="247">
        <f>'Table S2 Compound Identifiers'!B1290</f>
        <v>0</v>
      </c>
      <c r="E1288" s="247"/>
      <c r="F1288" s="248"/>
      <c r="G1288" s="249"/>
      <c r="H1288" s="330"/>
      <c r="I1288" s="328"/>
      <c r="J1288" s="249"/>
      <c r="K1288" s="330"/>
      <c r="L1288" s="250"/>
      <c r="M1288" s="249"/>
      <c r="N1288" s="330"/>
      <c r="O1288" s="250"/>
      <c r="P1288" s="249"/>
      <c r="Q1288" s="330"/>
      <c r="R1288" s="250"/>
      <c r="S1288" s="249"/>
      <c r="T1288" s="330"/>
      <c r="U1288" s="250"/>
      <c r="V1288" s="249"/>
      <c r="W1288" s="330"/>
      <c r="X1288" s="343"/>
      <c r="Y1288" s="249"/>
      <c r="Z1288" s="330"/>
      <c r="AA1288" s="343"/>
      <c r="AB1288" s="249"/>
      <c r="AC1288" s="330"/>
      <c r="AD1288" s="343"/>
      <c r="AE1288" s="249"/>
      <c r="AF1288" s="330"/>
      <c r="AG1288" s="343"/>
      <c r="AH1288" s="249"/>
      <c r="AI1288" s="330"/>
      <c r="AJ1288" s="343"/>
      <c r="AK1288" s="249"/>
      <c r="AL1288" s="330"/>
      <c r="AM1288" s="343"/>
      <c r="AN1288" s="249"/>
      <c r="AO1288" s="330"/>
      <c r="AP1288" s="343"/>
      <c r="AQ1288" s="249"/>
      <c r="AR1288" s="330"/>
      <c r="AS1288" s="343"/>
      <c r="AT1288" s="249"/>
      <c r="AU1288" s="330"/>
    </row>
    <row r="1289" spans="2:47">
      <c r="B1289" s="247">
        <f>'Table S2 Compound Identifiers'!C1291</f>
        <v>0</v>
      </c>
      <c r="C1289" s="247">
        <f>COUNTIF($D$6:D1289,"&lt;&gt;"&amp;"")</f>
        <v>1284</v>
      </c>
      <c r="D1289" s="247">
        <f>'Table S2 Compound Identifiers'!B1291</f>
        <v>0</v>
      </c>
      <c r="E1289" s="247"/>
      <c r="F1289" s="248"/>
      <c r="G1289" s="249"/>
      <c r="H1289" s="330"/>
      <c r="I1289" s="328"/>
      <c r="J1289" s="249"/>
      <c r="K1289" s="330"/>
      <c r="L1289" s="250"/>
      <c r="M1289" s="249"/>
      <c r="N1289" s="330"/>
      <c r="O1289" s="250"/>
      <c r="P1289" s="249"/>
      <c r="Q1289" s="330"/>
      <c r="R1289" s="250"/>
      <c r="S1289" s="249"/>
      <c r="T1289" s="330"/>
      <c r="U1289" s="250"/>
      <c r="V1289" s="249"/>
      <c r="W1289" s="330"/>
      <c r="X1289" s="343"/>
      <c r="Y1289" s="249"/>
      <c r="Z1289" s="330"/>
      <c r="AA1289" s="343"/>
      <c r="AB1289" s="249"/>
      <c r="AC1289" s="330"/>
      <c r="AD1289" s="343"/>
      <c r="AE1289" s="249"/>
      <c r="AF1289" s="330"/>
      <c r="AG1289" s="343"/>
      <c r="AH1289" s="249"/>
      <c r="AI1289" s="330"/>
      <c r="AJ1289" s="343"/>
      <c r="AK1289" s="249"/>
      <c r="AL1289" s="330"/>
      <c r="AM1289" s="343"/>
      <c r="AN1289" s="249"/>
      <c r="AO1289" s="330"/>
      <c r="AP1289" s="343"/>
      <c r="AQ1289" s="249"/>
      <c r="AR1289" s="330"/>
      <c r="AS1289" s="343"/>
      <c r="AT1289" s="249"/>
      <c r="AU1289" s="330"/>
    </row>
    <row r="1290" spans="2:47">
      <c r="B1290" s="247">
        <f>'Table S2 Compound Identifiers'!C1292</f>
        <v>0</v>
      </c>
      <c r="C1290" s="247">
        <f>COUNTIF($D$6:D1290,"&lt;&gt;"&amp;"")</f>
        <v>1285</v>
      </c>
      <c r="D1290" s="247">
        <f>'Table S2 Compound Identifiers'!B1292</f>
        <v>0</v>
      </c>
      <c r="E1290" s="247"/>
      <c r="F1290" s="248"/>
      <c r="G1290" s="249"/>
      <c r="H1290" s="330"/>
      <c r="I1290" s="328"/>
      <c r="J1290" s="249"/>
      <c r="K1290" s="330"/>
      <c r="L1290" s="250"/>
      <c r="M1290" s="249"/>
      <c r="N1290" s="330"/>
      <c r="O1290" s="250"/>
      <c r="P1290" s="249"/>
      <c r="Q1290" s="330"/>
      <c r="R1290" s="250"/>
      <c r="S1290" s="249"/>
      <c r="T1290" s="330"/>
      <c r="U1290" s="250"/>
      <c r="V1290" s="249"/>
      <c r="W1290" s="330"/>
      <c r="X1290" s="343"/>
      <c r="Y1290" s="249"/>
      <c r="Z1290" s="330"/>
      <c r="AA1290" s="343"/>
      <c r="AB1290" s="249"/>
      <c r="AC1290" s="330"/>
      <c r="AD1290" s="343"/>
      <c r="AE1290" s="249"/>
      <c r="AF1290" s="330"/>
      <c r="AG1290" s="343"/>
      <c r="AH1290" s="249"/>
      <c r="AI1290" s="330"/>
      <c r="AJ1290" s="343"/>
      <c r="AK1290" s="249"/>
      <c r="AL1290" s="330"/>
      <c r="AM1290" s="343"/>
      <c r="AN1290" s="249"/>
      <c r="AO1290" s="330"/>
      <c r="AP1290" s="343"/>
      <c r="AQ1290" s="249"/>
      <c r="AR1290" s="330"/>
      <c r="AS1290" s="343"/>
      <c r="AT1290" s="249"/>
      <c r="AU1290" s="330"/>
    </row>
    <row r="1291" spans="2:47">
      <c r="B1291" s="247">
        <f>'Table S2 Compound Identifiers'!C1293</f>
        <v>0</v>
      </c>
      <c r="C1291" s="247">
        <f>COUNTIF($D$6:D1291,"&lt;&gt;"&amp;"")</f>
        <v>1286</v>
      </c>
      <c r="D1291" s="247">
        <f>'Table S2 Compound Identifiers'!B1293</f>
        <v>0</v>
      </c>
      <c r="E1291" s="247"/>
      <c r="F1291" s="248"/>
      <c r="G1291" s="249"/>
      <c r="H1291" s="330"/>
      <c r="I1291" s="328"/>
      <c r="J1291" s="249"/>
      <c r="K1291" s="330"/>
      <c r="L1291" s="250"/>
      <c r="M1291" s="249"/>
      <c r="N1291" s="330"/>
      <c r="O1291" s="250"/>
      <c r="P1291" s="249"/>
      <c r="Q1291" s="330"/>
      <c r="R1291" s="250"/>
      <c r="S1291" s="249"/>
      <c r="T1291" s="330"/>
      <c r="U1291" s="250"/>
      <c r="V1291" s="249"/>
      <c r="W1291" s="330"/>
      <c r="X1291" s="343"/>
      <c r="Y1291" s="249"/>
      <c r="Z1291" s="330"/>
      <c r="AA1291" s="343"/>
      <c r="AB1291" s="249"/>
      <c r="AC1291" s="330"/>
      <c r="AD1291" s="343"/>
      <c r="AE1291" s="249"/>
      <c r="AF1291" s="330"/>
      <c r="AG1291" s="343"/>
      <c r="AH1291" s="249"/>
      <c r="AI1291" s="330"/>
      <c r="AJ1291" s="343"/>
      <c r="AK1291" s="249"/>
      <c r="AL1291" s="330"/>
      <c r="AM1291" s="343"/>
      <c r="AN1291" s="249"/>
      <c r="AO1291" s="330"/>
      <c r="AP1291" s="343"/>
      <c r="AQ1291" s="249"/>
      <c r="AR1291" s="330"/>
      <c r="AS1291" s="343"/>
      <c r="AT1291" s="249"/>
      <c r="AU1291" s="330"/>
    </row>
    <row r="1292" spans="2:47">
      <c r="B1292" s="247">
        <f>'Table S2 Compound Identifiers'!C1294</f>
        <v>0</v>
      </c>
      <c r="C1292" s="247">
        <f>COUNTIF($D$6:D1292,"&lt;&gt;"&amp;"")</f>
        <v>1287</v>
      </c>
      <c r="D1292" s="247">
        <f>'Table S2 Compound Identifiers'!B1294</f>
        <v>0</v>
      </c>
      <c r="E1292" s="247"/>
      <c r="F1292" s="248"/>
      <c r="G1292" s="249"/>
      <c r="H1292" s="330"/>
      <c r="I1292" s="328"/>
      <c r="J1292" s="249"/>
      <c r="K1292" s="330"/>
      <c r="L1292" s="250"/>
      <c r="M1292" s="249"/>
      <c r="N1292" s="330"/>
      <c r="O1292" s="250"/>
      <c r="P1292" s="249"/>
      <c r="Q1292" s="330"/>
      <c r="R1292" s="250"/>
      <c r="S1292" s="249"/>
      <c r="T1292" s="330"/>
      <c r="U1292" s="250"/>
      <c r="V1292" s="249"/>
      <c r="W1292" s="330"/>
      <c r="X1292" s="343"/>
      <c r="Y1292" s="249"/>
      <c r="Z1292" s="330"/>
      <c r="AA1292" s="343"/>
      <c r="AB1292" s="249"/>
      <c r="AC1292" s="330"/>
      <c r="AD1292" s="343"/>
      <c r="AE1292" s="249"/>
      <c r="AF1292" s="330"/>
      <c r="AG1292" s="343"/>
      <c r="AH1292" s="249"/>
      <c r="AI1292" s="330"/>
      <c r="AJ1292" s="343"/>
      <c r="AK1292" s="249"/>
      <c r="AL1292" s="330"/>
      <c r="AM1292" s="343"/>
      <c r="AN1292" s="249"/>
      <c r="AO1292" s="330"/>
      <c r="AP1292" s="343"/>
      <c r="AQ1292" s="249"/>
      <c r="AR1292" s="330"/>
      <c r="AS1292" s="343"/>
      <c r="AT1292" s="249"/>
      <c r="AU1292" s="330"/>
    </row>
    <row r="1293" spans="2:47">
      <c r="B1293" s="247">
        <f>'Table S2 Compound Identifiers'!C1295</f>
        <v>0</v>
      </c>
      <c r="C1293" s="247">
        <f>COUNTIF($D$6:D1293,"&lt;&gt;"&amp;"")</f>
        <v>1288</v>
      </c>
      <c r="D1293" s="247">
        <f>'Table S2 Compound Identifiers'!B1295</f>
        <v>0</v>
      </c>
      <c r="E1293" s="247"/>
      <c r="F1293" s="248"/>
      <c r="G1293" s="249"/>
      <c r="H1293" s="330"/>
      <c r="I1293" s="328"/>
      <c r="J1293" s="249"/>
      <c r="K1293" s="330"/>
      <c r="L1293" s="250"/>
      <c r="M1293" s="249"/>
      <c r="N1293" s="330"/>
      <c r="O1293" s="250"/>
      <c r="P1293" s="249"/>
      <c r="Q1293" s="330"/>
      <c r="R1293" s="250"/>
      <c r="S1293" s="249"/>
      <c r="T1293" s="330"/>
      <c r="U1293" s="250"/>
      <c r="V1293" s="249"/>
      <c r="W1293" s="330"/>
      <c r="X1293" s="343"/>
      <c r="Y1293" s="249"/>
      <c r="Z1293" s="330"/>
      <c r="AA1293" s="343"/>
      <c r="AB1293" s="249"/>
      <c r="AC1293" s="330"/>
      <c r="AD1293" s="343"/>
      <c r="AE1293" s="249"/>
      <c r="AF1293" s="330"/>
      <c r="AG1293" s="343"/>
      <c r="AH1293" s="249"/>
      <c r="AI1293" s="330"/>
      <c r="AJ1293" s="343"/>
      <c r="AK1293" s="249"/>
      <c r="AL1293" s="330"/>
      <c r="AM1293" s="343"/>
      <c r="AN1293" s="249"/>
      <c r="AO1293" s="330"/>
      <c r="AP1293" s="343"/>
      <c r="AQ1293" s="249"/>
      <c r="AR1293" s="330"/>
      <c r="AS1293" s="343"/>
      <c r="AT1293" s="249"/>
      <c r="AU1293" s="330"/>
    </row>
    <row r="1294" spans="2:47">
      <c r="B1294" s="247">
        <f>'Table S2 Compound Identifiers'!C1296</f>
        <v>0</v>
      </c>
      <c r="C1294" s="247">
        <f>COUNTIF($D$6:D1294,"&lt;&gt;"&amp;"")</f>
        <v>1289</v>
      </c>
      <c r="D1294" s="247">
        <f>'Table S2 Compound Identifiers'!B1296</f>
        <v>0</v>
      </c>
      <c r="E1294" s="247"/>
      <c r="F1294" s="248"/>
      <c r="G1294" s="249"/>
      <c r="H1294" s="330"/>
      <c r="I1294" s="328"/>
      <c r="J1294" s="249"/>
      <c r="K1294" s="330"/>
      <c r="L1294" s="250"/>
      <c r="M1294" s="249"/>
      <c r="N1294" s="330"/>
      <c r="O1294" s="250"/>
      <c r="P1294" s="249"/>
      <c r="Q1294" s="330"/>
      <c r="R1294" s="250"/>
      <c r="S1294" s="249"/>
      <c r="T1294" s="330"/>
      <c r="U1294" s="250"/>
      <c r="V1294" s="249"/>
      <c r="W1294" s="330"/>
      <c r="X1294" s="343"/>
      <c r="Y1294" s="249"/>
      <c r="Z1294" s="330"/>
      <c r="AA1294" s="343"/>
      <c r="AB1294" s="249"/>
      <c r="AC1294" s="330"/>
      <c r="AD1294" s="343"/>
      <c r="AE1294" s="249"/>
      <c r="AF1294" s="330"/>
      <c r="AG1294" s="343"/>
      <c r="AH1294" s="249"/>
      <c r="AI1294" s="330"/>
      <c r="AJ1294" s="343"/>
      <c r="AK1294" s="249"/>
      <c r="AL1294" s="330"/>
      <c r="AM1294" s="343"/>
      <c r="AN1294" s="249"/>
      <c r="AO1294" s="330"/>
      <c r="AP1294" s="343"/>
      <c r="AQ1294" s="249"/>
      <c r="AR1294" s="330"/>
      <c r="AS1294" s="343"/>
      <c r="AT1294" s="249"/>
      <c r="AU1294" s="330"/>
    </row>
    <row r="1295" spans="2:47">
      <c r="B1295" s="247">
        <f>'Table S2 Compound Identifiers'!C1297</f>
        <v>0</v>
      </c>
      <c r="C1295" s="247">
        <f>COUNTIF($D$6:D1295,"&lt;&gt;"&amp;"")</f>
        <v>1290</v>
      </c>
      <c r="D1295" s="247">
        <f>'Table S2 Compound Identifiers'!B1297</f>
        <v>0</v>
      </c>
      <c r="E1295" s="247"/>
      <c r="F1295" s="248"/>
      <c r="G1295" s="249"/>
      <c r="H1295" s="330"/>
      <c r="I1295" s="328"/>
      <c r="J1295" s="249"/>
      <c r="K1295" s="330"/>
      <c r="L1295" s="250"/>
      <c r="M1295" s="249"/>
      <c r="N1295" s="330"/>
      <c r="O1295" s="250"/>
      <c r="P1295" s="249"/>
      <c r="Q1295" s="330"/>
      <c r="R1295" s="250"/>
      <c r="S1295" s="249"/>
      <c r="T1295" s="330"/>
      <c r="U1295" s="250"/>
      <c r="V1295" s="249"/>
      <c r="W1295" s="330"/>
      <c r="X1295" s="343"/>
      <c r="Y1295" s="249"/>
      <c r="Z1295" s="330"/>
      <c r="AA1295" s="343"/>
      <c r="AB1295" s="249"/>
      <c r="AC1295" s="330"/>
      <c r="AD1295" s="343"/>
      <c r="AE1295" s="249"/>
      <c r="AF1295" s="330"/>
      <c r="AG1295" s="343"/>
      <c r="AH1295" s="249"/>
      <c r="AI1295" s="330"/>
      <c r="AJ1295" s="343"/>
      <c r="AK1295" s="249"/>
      <c r="AL1295" s="330"/>
      <c r="AM1295" s="343"/>
      <c r="AN1295" s="249"/>
      <c r="AO1295" s="330"/>
      <c r="AP1295" s="343"/>
      <c r="AQ1295" s="249"/>
      <c r="AR1295" s="330"/>
      <c r="AS1295" s="343"/>
      <c r="AT1295" s="249"/>
      <c r="AU1295" s="330"/>
    </row>
    <row r="1296" spans="2:47">
      <c r="B1296" s="247">
        <f>'Table S2 Compound Identifiers'!C1298</f>
        <v>0</v>
      </c>
      <c r="C1296" s="247">
        <f>COUNTIF($D$6:D1296,"&lt;&gt;"&amp;"")</f>
        <v>1291</v>
      </c>
      <c r="D1296" s="247">
        <f>'Table S2 Compound Identifiers'!B1298</f>
        <v>0</v>
      </c>
      <c r="E1296" s="247"/>
      <c r="F1296" s="248"/>
      <c r="G1296" s="249"/>
      <c r="H1296" s="330"/>
      <c r="I1296" s="328"/>
      <c r="J1296" s="249"/>
      <c r="K1296" s="330"/>
      <c r="L1296" s="250"/>
      <c r="M1296" s="249"/>
      <c r="N1296" s="330"/>
      <c r="O1296" s="250"/>
      <c r="P1296" s="249"/>
      <c r="Q1296" s="330"/>
      <c r="R1296" s="250"/>
      <c r="S1296" s="249"/>
      <c r="T1296" s="330"/>
      <c r="U1296" s="250"/>
      <c r="V1296" s="249"/>
      <c r="W1296" s="330"/>
      <c r="X1296" s="343"/>
      <c r="Y1296" s="249"/>
      <c r="Z1296" s="330"/>
      <c r="AA1296" s="343"/>
      <c r="AB1296" s="249"/>
      <c r="AC1296" s="330"/>
      <c r="AD1296" s="343"/>
      <c r="AE1296" s="249"/>
      <c r="AF1296" s="330"/>
      <c r="AG1296" s="343"/>
      <c r="AH1296" s="249"/>
      <c r="AI1296" s="330"/>
      <c r="AJ1296" s="343"/>
      <c r="AK1296" s="249"/>
      <c r="AL1296" s="330"/>
      <c r="AM1296" s="343"/>
      <c r="AN1296" s="249"/>
      <c r="AO1296" s="330"/>
      <c r="AP1296" s="343"/>
      <c r="AQ1296" s="249"/>
      <c r="AR1296" s="330"/>
      <c r="AS1296" s="343"/>
      <c r="AT1296" s="249"/>
      <c r="AU1296" s="330"/>
    </row>
    <row r="1297" spans="2:47">
      <c r="B1297" s="247">
        <f>'Table S2 Compound Identifiers'!C1299</f>
        <v>0</v>
      </c>
      <c r="C1297" s="247">
        <f>COUNTIF($D$6:D1297,"&lt;&gt;"&amp;"")</f>
        <v>1292</v>
      </c>
      <c r="D1297" s="247">
        <f>'Table S2 Compound Identifiers'!B1299</f>
        <v>0</v>
      </c>
      <c r="E1297" s="247"/>
      <c r="F1297" s="248"/>
      <c r="G1297" s="249"/>
      <c r="H1297" s="330"/>
      <c r="I1297" s="328"/>
      <c r="J1297" s="249"/>
      <c r="K1297" s="330"/>
      <c r="L1297" s="250"/>
      <c r="M1297" s="249"/>
      <c r="N1297" s="330"/>
      <c r="O1297" s="250"/>
      <c r="P1297" s="249"/>
      <c r="Q1297" s="330"/>
      <c r="R1297" s="250"/>
      <c r="S1297" s="249"/>
      <c r="T1297" s="330"/>
      <c r="U1297" s="250"/>
      <c r="V1297" s="249"/>
      <c r="W1297" s="330"/>
      <c r="X1297" s="343"/>
      <c r="Y1297" s="249"/>
      <c r="Z1297" s="330"/>
      <c r="AA1297" s="343"/>
      <c r="AB1297" s="249"/>
      <c r="AC1297" s="330"/>
      <c r="AD1297" s="343"/>
      <c r="AE1297" s="249"/>
      <c r="AF1297" s="330"/>
      <c r="AG1297" s="343"/>
      <c r="AH1297" s="249"/>
      <c r="AI1297" s="330"/>
      <c r="AJ1297" s="343"/>
      <c r="AK1297" s="249"/>
      <c r="AL1297" s="330"/>
      <c r="AM1297" s="343"/>
      <c r="AN1297" s="249"/>
      <c r="AO1297" s="330"/>
      <c r="AP1297" s="343"/>
      <c r="AQ1297" s="249"/>
      <c r="AR1297" s="330"/>
      <c r="AS1297" s="343"/>
      <c r="AT1297" s="249"/>
      <c r="AU1297" s="330"/>
    </row>
    <row r="1298" spans="2:47">
      <c r="B1298" s="247">
        <f>'Table S2 Compound Identifiers'!C1300</f>
        <v>0</v>
      </c>
      <c r="C1298" s="247">
        <f>COUNTIF($D$6:D1298,"&lt;&gt;"&amp;"")</f>
        <v>1293</v>
      </c>
      <c r="D1298" s="247">
        <f>'Table S2 Compound Identifiers'!B1300</f>
        <v>0</v>
      </c>
      <c r="E1298" s="247"/>
      <c r="F1298" s="248"/>
      <c r="G1298" s="249"/>
      <c r="H1298" s="330"/>
      <c r="I1298" s="328"/>
      <c r="J1298" s="249"/>
      <c r="K1298" s="330"/>
      <c r="L1298" s="250"/>
      <c r="M1298" s="249"/>
      <c r="N1298" s="330"/>
      <c r="O1298" s="250"/>
      <c r="P1298" s="249"/>
      <c r="Q1298" s="330"/>
      <c r="R1298" s="250"/>
      <c r="S1298" s="249"/>
      <c r="T1298" s="330"/>
      <c r="U1298" s="250"/>
      <c r="V1298" s="249"/>
      <c r="W1298" s="330"/>
      <c r="X1298" s="343"/>
      <c r="Y1298" s="249"/>
      <c r="Z1298" s="330"/>
      <c r="AA1298" s="343"/>
      <c r="AB1298" s="249"/>
      <c r="AC1298" s="330"/>
      <c r="AD1298" s="343"/>
      <c r="AE1298" s="249"/>
      <c r="AF1298" s="330"/>
      <c r="AG1298" s="343"/>
      <c r="AH1298" s="249"/>
      <c r="AI1298" s="330"/>
      <c r="AJ1298" s="343"/>
      <c r="AK1298" s="249"/>
      <c r="AL1298" s="330"/>
      <c r="AM1298" s="343"/>
      <c r="AN1298" s="249"/>
      <c r="AO1298" s="330"/>
      <c r="AP1298" s="343"/>
      <c r="AQ1298" s="249"/>
      <c r="AR1298" s="330"/>
      <c r="AS1298" s="343"/>
      <c r="AT1298" s="249"/>
      <c r="AU1298" s="330"/>
    </row>
    <row r="1299" spans="2:47">
      <c r="B1299" s="247">
        <f>'Table S2 Compound Identifiers'!C1301</f>
        <v>0</v>
      </c>
      <c r="C1299" s="247">
        <f>COUNTIF($D$6:D1299,"&lt;&gt;"&amp;"")</f>
        <v>1294</v>
      </c>
      <c r="D1299" s="247">
        <f>'Table S2 Compound Identifiers'!B1301</f>
        <v>0</v>
      </c>
      <c r="E1299" s="247"/>
      <c r="F1299" s="248"/>
      <c r="G1299" s="249"/>
      <c r="H1299" s="330"/>
      <c r="I1299" s="328"/>
      <c r="J1299" s="249"/>
      <c r="K1299" s="330"/>
      <c r="L1299" s="250"/>
      <c r="M1299" s="249"/>
      <c r="N1299" s="330"/>
      <c r="O1299" s="250"/>
      <c r="P1299" s="249"/>
      <c r="Q1299" s="330"/>
      <c r="R1299" s="250"/>
      <c r="S1299" s="249"/>
      <c r="T1299" s="330"/>
      <c r="U1299" s="250"/>
      <c r="V1299" s="249"/>
      <c r="W1299" s="330"/>
      <c r="X1299" s="343"/>
      <c r="Y1299" s="249"/>
      <c r="Z1299" s="330"/>
      <c r="AA1299" s="343"/>
      <c r="AB1299" s="249"/>
      <c r="AC1299" s="330"/>
      <c r="AD1299" s="343"/>
      <c r="AE1299" s="249"/>
      <c r="AF1299" s="330"/>
      <c r="AG1299" s="343"/>
      <c r="AH1299" s="249"/>
      <c r="AI1299" s="330"/>
      <c r="AJ1299" s="343"/>
      <c r="AK1299" s="249"/>
      <c r="AL1299" s="330"/>
      <c r="AM1299" s="343"/>
      <c r="AN1299" s="249"/>
      <c r="AO1299" s="330"/>
      <c r="AP1299" s="343"/>
      <c r="AQ1299" s="249"/>
      <c r="AR1299" s="330"/>
      <c r="AS1299" s="343"/>
      <c r="AT1299" s="249"/>
      <c r="AU1299" s="330"/>
    </row>
    <row r="1300" spans="2:47">
      <c r="B1300" s="247">
        <f>'Table S2 Compound Identifiers'!C1302</f>
        <v>0</v>
      </c>
      <c r="C1300" s="247">
        <f>COUNTIF($D$6:D1300,"&lt;&gt;"&amp;"")</f>
        <v>1295</v>
      </c>
      <c r="D1300" s="247">
        <f>'Table S2 Compound Identifiers'!B1302</f>
        <v>0</v>
      </c>
      <c r="E1300" s="247"/>
      <c r="F1300" s="248"/>
      <c r="G1300" s="249"/>
      <c r="H1300" s="330"/>
      <c r="I1300" s="328"/>
      <c r="J1300" s="249"/>
      <c r="K1300" s="330"/>
      <c r="L1300" s="250"/>
      <c r="M1300" s="249"/>
      <c r="N1300" s="330"/>
      <c r="O1300" s="250"/>
      <c r="P1300" s="249"/>
      <c r="Q1300" s="330"/>
      <c r="R1300" s="250"/>
      <c r="S1300" s="249"/>
      <c r="T1300" s="330"/>
      <c r="U1300" s="250"/>
      <c r="V1300" s="249"/>
      <c r="W1300" s="330"/>
      <c r="X1300" s="343"/>
      <c r="Y1300" s="249"/>
      <c r="Z1300" s="330"/>
      <c r="AA1300" s="343"/>
      <c r="AB1300" s="249"/>
      <c r="AC1300" s="330"/>
      <c r="AD1300" s="343"/>
      <c r="AE1300" s="249"/>
      <c r="AF1300" s="330"/>
      <c r="AG1300" s="343"/>
      <c r="AH1300" s="249"/>
      <c r="AI1300" s="330"/>
      <c r="AJ1300" s="343"/>
      <c r="AK1300" s="249"/>
      <c r="AL1300" s="330"/>
      <c r="AM1300" s="343"/>
      <c r="AN1300" s="249"/>
      <c r="AO1300" s="330"/>
      <c r="AP1300" s="343"/>
      <c r="AQ1300" s="249"/>
      <c r="AR1300" s="330"/>
      <c r="AS1300" s="343"/>
      <c r="AT1300" s="249"/>
      <c r="AU1300" s="330"/>
    </row>
    <row r="1301" spans="2:47">
      <c r="B1301" s="247">
        <f>'Table S2 Compound Identifiers'!C1303</f>
        <v>0</v>
      </c>
      <c r="C1301" s="247">
        <f>COUNTIF($D$6:D1301,"&lt;&gt;"&amp;"")</f>
        <v>1296</v>
      </c>
      <c r="D1301" s="247">
        <f>'Table S2 Compound Identifiers'!B1303</f>
        <v>0</v>
      </c>
      <c r="E1301" s="247"/>
      <c r="F1301" s="248"/>
      <c r="G1301" s="249"/>
      <c r="H1301" s="330"/>
      <c r="I1301" s="328"/>
      <c r="J1301" s="249"/>
      <c r="K1301" s="330"/>
      <c r="L1301" s="250"/>
      <c r="M1301" s="249"/>
      <c r="N1301" s="330"/>
      <c r="O1301" s="250"/>
      <c r="P1301" s="249"/>
      <c r="Q1301" s="330"/>
      <c r="R1301" s="250"/>
      <c r="S1301" s="249"/>
      <c r="T1301" s="330"/>
      <c r="U1301" s="250"/>
      <c r="V1301" s="249"/>
      <c r="W1301" s="330"/>
      <c r="X1301" s="343"/>
      <c r="Y1301" s="249"/>
      <c r="Z1301" s="330"/>
      <c r="AA1301" s="343"/>
      <c r="AB1301" s="249"/>
      <c r="AC1301" s="330"/>
      <c r="AD1301" s="343"/>
      <c r="AE1301" s="249"/>
      <c r="AF1301" s="330"/>
      <c r="AG1301" s="343"/>
      <c r="AH1301" s="249"/>
      <c r="AI1301" s="330"/>
      <c r="AJ1301" s="343"/>
      <c r="AK1301" s="249"/>
      <c r="AL1301" s="330"/>
      <c r="AM1301" s="343"/>
      <c r="AN1301" s="249"/>
      <c r="AO1301" s="330"/>
      <c r="AP1301" s="343"/>
      <c r="AQ1301" s="249"/>
      <c r="AR1301" s="330"/>
      <c r="AS1301" s="343"/>
      <c r="AT1301" s="249"/>
      <c r="AU1301" s="330"/>
    </row>
    <row r="1302" spans="2:47">
      <c r="B1302" s="247">
        <f>'Table S2 Compound Identifiers'!C1304</f>
        <v>0</v>
      </c>
      <c r="C1302" s="247">
        <f>COUNTIF($D$6:D1302,"&lt;&gt;"&amp;"")</f>
        <v>1297</v>
      </c>
      <c r="D1302" s="247">
        <f>'Table S2 Compound Identifiers'!B1304</f>
        <v>0</v>
      </c>
      <c r="E1302" s="247"/>
      <c r="F1302" s="248"/>
      <c r="G1302" s="249"/>
      <c r="H1302" s="330"/>
      <c r="I1302" s="328"/>
      <c r="J1302" s="249"/>
      <c r="K1302" s="330"/>
      <c r="L1302" s="250"/>
      <c r="M1302" s="249"/>
      <c r="N1302" s="330"/>
      <c r="O1302" s="250"/>
      <c r="P1302" s="249"/>
      <c r="Q1302" s="330"/>
      <c r="R1302" s="250"/>
      <c r="S1302" s="249"/>
      <c r="T1302" s="330"/>
      <c r="U1302" s="250"/>
      <c r="V1302" s="249"/>
      <c r="W1302" s="330"/>
      <c r="X1302" s="343"/>
      <c r="Y1302" s="249"/>
      <c r="Z1302" s="330"/>
      <c r="AA1302" s="343"/>
      <c r="AB1302" s="249"/>
      <c r="AC1302" s="330"/>
      <c r="AD1302" s="343"/>
      <c r="AE1302" s="249"/>
      <c r="AF1302" s="330"/>
      <c r="AG1302" s="343"/>
      <c r="AH1302" s="249"/>
      <c r="AI1302" s="330"/>
      <c r="AJ1302" s="343"/>
      <c r="AK1302" s="249"/>
      <c r="AL1302" s="330"/>
      <c r="AM1302" s="343"/>
      <c r="AN1302" s="249"/>
      <c r="AO1302" s="330"/>
      <c r="AP1302" s="343"/>
      <c r="AQ1302" s="249"/>
      <c r="AR1302" s="330"/>
      <c r="AS1302" s="343"/>
      <c r="AT1302" s="249"/>
      <c r="AU1302" s="330"/>
    </row>
    <row r="1303" spans="2:47">
      <c r="B1303" s="247">
        <f>'Table S2 Compound Identifiers'!C1305</f>
        <v>0</v>
      </c>
      <c r="C1303" s="247">
        <f>COUNTIF($D$6:D1303,"&lt;&gt;"&amp;"")</f>
        <v>1298</v>
      </c>
      <c r="D1303" s="247">
        <f>'Table S2 Compound Identifiers'!B1305</f>
        <v>0</v>
      </c>
      <c r="E1303" s="247"/>
      <c r="F1303" s="248"/>
      <c r="G1303" s="249"/>
      <c r="H1303" s="330"/>
      <c r="I1303" s="328"/>
      <c r="J1303" s="249"/>
      <c r="K1303" s="330"/>
      <c r="L1303" s="250"/>
      <c r="M1303" s="249"/>
      <c r="N1303" s="330"/>
      <c r="O1303" s="250"/>
      <c r="P1303" s="249"/>
      <c r="Q1303" s="330"/>
      <c r="R1303" s="250"/>
      <c r="S1303" s="249"/>
      <c r="T1303" s="330"/>
      <c r="U1303" s="250"/>
      <c r="V1303" s="249"/>
      <c r="W1303" s="330"/>
      <c r="X1303" s="343"/>
      <c r="Y1303" s="249"/>
      <c r="Z1303" s="330"/>
      <c r="AA1303" s="343"/>
      <c r="AB1303" s="249"/>
      <c r="AC1303" s="330"/>
      <c r="AD1303" s="343"/>
      <c r="AE1303" s="249"/>
      <c r="AF1303" s="330"/>
      <c r="AG1303" s="343"/>
      <c r="AH1303" s="249"/>
      <c r="AI1303" s="330"/>
      <c r="AJ1303" s="343"/>
      <c r="AK1303" s="249"/>
      <c r="AL1303" s="330"/>
      <c r="AM1303" s="343"/>
      <c r="AN1303" s="249"/>
      <c r="AO1303" s="330"/>
      <c r="AP1303" s="343"/>
      <c r="AQ1303" s="249"/>
      <c r="AR1303" s="330"/>
      <c r="AS1303" s="343"/>
      <c r="AT1303" s="249"/>
      <c r="AU1303" s="330"/>
    </row>
    <row r="1304" spans="2:47">
      <c r="B1304" s="247">
        <f>'Table S2 Compound Identifiers'!C1306</f>
        <v>0</v>
      </c>
      <c r="C1304" s="247">
        <f>COUNTIF($D$6:D1304,"&lt;&gt;"&amp;"")</f>
        <v>1299</v>
      </c>
      <c r="D1304" s="247">
        <f>'Table S2 Compound Identifiers'!B1306</f>
        <v>0</v>
      </c>
      <c r="E1304" s="247"/>
      <c r="F1304" s="248"/>
      <c r="G1304" s="249"/>
      <c r="H1304" s="330"/>
      <c r="I1304" s="328"/>
      <c r="J1304" s="249"/>
      <c r="K1304" s="330"/>
      <c r="L1304" s="250"/>
      <c r="M1304" s="249"/>
      <c r="N1304" s="330"/>
      <c r="O1304" s="250"/>
      <c r="P1304" s="249"/>
      <c r="Q1304" s="330"/>
      <c r="R1304" s="250"/>
      <c r="S1304" s="249"/>
      <c r="T1304" s="330"/>
      <c r="U1304" s="250"/>
      <c r="V1304" s="249"/>
      <c r="W1304" s="330"/>
      <c r="X1304" s="343"/>
      <c r="Y1304" s="249"/>
      <c r="Z1304" s="330"/>
      <c r="AA1304" s="343"/>
      <c r="AB1304" s="249"/>
      <c r="AC1304" s="330"/>
      <c r="AD1304" s="343"/>
      <c r="AE1304" s="249"/>
      <c r="AF1304" s="330"/>
      <c r="AG1304" s="343"/>
      <c r="AH1304" s="249"/>
      <c r="AI1304" s="330"/>
      <c r="AJ1304" s="343"/>
      <c r="AK1304" s="249"/>
      <c r="AL1304" s="330"/>
      <c r="AM1304" s="343"/>
      <c r="AN1304" s="249"/>
      <c r="AO1304" s="330"/>
      <c r="AP1304" s="343"/>
      <c r="AQ1304" s="249"/>
      <c r="AR1304" s="330"/>
      <c r="AS1304" s="343"/>
      <c r="AT1304" s="249"/>
      <c r="AU1304" s="330"/>
    </row>
    <row r="1305" spans="2:47">
      <c r="B1305" s="247">
        <f>'Table S2 Compound Identifiers'!C1307</f>
        <v>0</v>
      </c>
      <c r="C1305" s="247">
        <f>COUNTIF($D$6:D1305,"&lt;&gt;"&amp;"")</f>
        <v>1300</v>
      </c>
      <c r="D1305" s="247">
        <f>'Table S2 Compound Identifiers'!B1307</f>
        <v>0</v>
      </c>
      <c r="E1305" s="247"/>
      <c r="F1305" s="248"/>
      <c r="G1305" s="249"/>
      <c r="H1305" s="330"/>
      <c r="I1305" s="328"/>
      <c r="J1305" s="249"/>
      <c r="K1305" s="330"/>
      <c r="L1305" s="250"/>
      <c r="M1305" s="249"/>
      <c r="N1305" s="330"/>
      <c r="O1305" s="250"/>
      <c r="P1305" s="249"/>
      <c r="Q1305" s="330"/>
      <c r="R1305" s="250"/>
      <c r="S1305" s="249"/>
      <c r="T1305" s="330"/>
      <c r="U1305" s="250"/>
      <c r="V1305" s="249"/>
      <c r="W1305" s="330"/>
      <c r="X1305" s="343"/>
      <c r="Y1305" s="249"/>
      <c r="Z1305" s="330"/>
      <c r="AA1305" s="343"/>
      <c r="AB1305" s="249"/>
      <c r="AC1305" s="330"/>
      <c r="AD1305" s="343"/>
      <c r="AE1305" s="249"/>
      <c r="AF1305" s="330"/>
      <c r="AG1305" s="343"/>
      <c r="AH1305" s="249"/>
      <c r="AI1305" s="330"/>
      <c r="AJ1305" s="343"/>
      <c r="AK1305" s="249"/>
      <c r="AL1305" s="330"/>
      <c r="AM1305" s="343"/>
      <c r="AN1305" s="249"/>
      <c r="AO1305" s="330"/>
      <c r="AP1305" s="343"/>
      <c r="AQ1305" s="249"/>
      <c r="AR1305" s="330"/>
      <c r="AS1305" s="343"/>
      <c r="AT1305" s="249"/>
      <c r="AU1305" s="330"/>
    </row>
    <row r="1306" spans="2:47">
      <c r="B1306" s="247">
        <f>'Table S2 Compound Identifiers'!C1308</f>
        <v>0</v>
      </c>
      <c r="C1306" s="247">
        <f>COUNTIF($D$6:D1306,"&lt;&gt;"&amp;"")</f>
        <v>1301</v>
      </c>
      <c r="D1306" s="247">
        <f>'Table S2 Compound Identifiers'!B1308</f>
        <v>0</v>
      </c>
      <c r="E1306" s="247"/>
      <c r="F1306" s="248"/>
      <c r="G1306" s="249"/>
      <c r="H1306" s="330"/>
      <c r="I1306" s="328"/>
      <c r="J1306" s="249"/>
      <c r="K1306" s="330"/>
      <c r="L1306" s="250"/>
      <c r="M1306" s="249"/>
      <c r="N1306" s="330"/>
      <c r="O1306" s="250"/>
      <c r="P1306" s="249"/>
      <c r="Q1306" s="330"/>
      <c r="R1306" s="250"/>
      <c r="S1306" s="249"/>
      <c r="T1306" s="330"/>
      <c r="U1306" s="250"/>
      <c r="V1306" s="249"/>
      <c r="W1306" s="330"/>
      <c r="X1306" s="343"/>
      <c r="Y1306" s="249"/>
      <c r="Z1306" s="330"/>
      <c r="AA1306" s="343"/>
      <c r="AB1306" s="249"/>
      <c r="AC1306" s="330"/>
      <c r="AD1306" s="343"/>
      <c r="AE1306" s="249"/>
      <c r="AF1306" s="330"/>
      <c r="AG1306" s="343"/>
      <c r="AH1306" s="249"/>
      <c r="AI1306" s="330"/>
      <c r="AJ1306" s="343"/>
      <c r="AK1306" s="249"/>
      <c r="AL1306" s="330"/>
      <c r="AM1306" s="343"/>
      <c r="AN1306" s="249"/>
      <c r="AO1306" s="330"/>
      <c r="AP1306" s="343"/>
      <c r="AQ1306" s="249"/>
      <c r="AR1306" s="330"/>
      <c r="AS1306" s="343"/>
      <c r="AT1306" s="249"/>
      <c r="AU1306" s="330"/>
    </row>
    <row r="1307" spans="2:47">
      <c r="B1307" s="247">
        <f>'Table S2 Compound Identifiers'!C1309</f>
        <v>0</v>
      </c>
      <c r="C1307" s="247">
        <f>COUNTIF($D$6:D1307,"&lt;&gt;"&amp;"")</f>
        <v>1302</v>
      </c>
      <c r="D1307" s="247">
        <f>'Table S2 Compound Identifiers'!B1309</f>
        <v>0</v>
      </c>
      <c r="E1307" s="247"/>
      <c r="F1307" s="248"/>
      <c r="G1307" s="249"/>
      <c r="H1307" s="330"/>
      <c r="I1307" s="328"/>
      <c r="J1307" s="249"/>
      <c r="K1307" s="330"/>
      <c r="L1307" s="250"/>
      <c r="M1307" s="249"/>
      <c r="N1307" s="330"/>
      <c r="O1307" s="250"/>
      <c r="P1307" s="249"/>
      <c r="Q1307" s="330"/>
      <c r="R1307" s="250"/>
      <c r="S1307" s="249"/>
      <c r="T1307" s="330"/>
      <c r="U1307" s="250"/>
      <c r="V1307" s="249"/>
      <c r="W1307" s="330"/>
      <c r="X1307" s="343"/>
      <c r="Y1307" s="249"/>
      <c r="Z1307" s="330"/>
      <c r="AA1307" s="343"/>
      <c r="AB1307" s="249"/>
      <c r="AC1307" s="330"/>
      <c r="AD1307" s="343"/>
      <c r="AE1307" s="249"/>
      <c r="AF1307" s="330"/>
      <c r="AG1307" s="343"/>
      <c r="AH1307" s="249"/>
      <c r="AI1307" s="330"/>
      <c r="AJ1307" s="343"/>
      <c r="AK1307" s="249"/>
      <c r="AL1307" s="330"/>
      <c r="AM1307" s="343"/>
      <c r="AN1307" s="249"/>
      <c r="AO1307" s="330"/>
      <c r="AP1307" s="343"/>
      <c r="AQ1307" s="249"/>
      <c r="AR1307" s="330"/>
      <c r="AS1307" s="343"/>
      <c r="AT1307" s="249"/>
      <c r="AU1307" s="330"/>
    </row>
    <row r="1308" spans="2:47">
      <c r="B1308" s="247">
        <f>'Table S2 Compound Identifiers'!C1310</f>
        <v>0</v>
      </c>
      <c r="C1308" s="247">
        <f>COUNTIF($D$6:D1308,"&lt;&gt;"&amp;"")</f>
        <v>1303</v>
      </c>
      <c r="D1308" s="247">
        <f>'Table S2 Compound Identifiers'!B1310</f>
        <v>0</v>
      </c>
      <c r="E1308" s="247"/>
      <c r="F1308" s="248"/>
      <c r="G1308" s="249"/>
      <c r="H1308" s="330"/>
      <c r="I1308" s="328"/>
      <c r="J1308" s="249"/>
      <c r="K1308" s="330"/>
      <c r="L1308" s="250"/>
      <c r="M1308" s="249"/>
      <c r="N1308" s="330"/>
      <c r="O1308" s="250"/>
      <c r="P1308" s="249"/>
      <c r="Q1308" s="330"/>
      <c r="R1308" s="250"/>
      <c r="S1308" s="249"/>
      <c r="T1308" s="330"/>
      <c r="U1308" s="250"/>
      <c r="V1308" s="249"/>
      <c r="W1308" s="330"/>
      <c r="X1308" s="343"/>
      <c r="Y1308" s="249"/>
      <c r="Z1308" s="330"/>
      <c r="AA1308" s="343"/>
      <c r="AB1308" s="249"/>
      <c r="AC1308" s="330"/>
      <c r="AD1308" s="343"/>
      <c r="AE1308" s="249"/>
      <c r="AF1308" s="330"/>
      <c r="AG1308" s="343"/>
      <c r="AH1308" s="249"/>
      <c r="AI1308" s="330"/>
      <c r="AJ1308" s="343"/>
      <c r="AK1308" s="249"/>
      <c r="AL1308" s="330"/>
      <c r="AM1308" s="343"/>
      <c r="AN1308" s="249"/>
      <c r="AO1308" s="330"/>
      <c r="AP1308" s="343"/>
      <c r="AQ1308" s="249"/>
      <c r="AR1308" s="330"/>
      <c r="AS1308" s="343"/>
      <c r="AT1308" s="249"/>
      <c r="AU1308" s="330"/>
    </row>
    <row r="1309" spans="2:47">
      <c r="B1309" s="247">
        <f>'Table S2 Compound Identifiers'!C1311</f>
        <v>0</v>
      </c>
      <c r="C1309" s="247">
        <f>COUNTIF($D$6:D1309,"&lt;&gt;"&amp;"")</f>
        <v>1304</v>
      </c>
      <c r="D1309" s="247">
        <f>'Table S2 Compound Identifiers'!B1311</f>
        <v>0</v>
      </c>
      <c r="E1309" s="247"/>
      <c r="F1309" s="248"/>
      <c r="G1309" s="249"/>
      <c r="H1309" s="330"/>
      <c r="I1309" s="328"/>
      <c r="J1309" s="249"/>
      <c r="K1309" s="330"/>
      <c r="L1309" s="250"/>
      <c r="M1309" s="249"/>
      <c r="N1309" s="330"/>
      <c r="O1309" s="250"/>
      <c r="P1309" s="249"/>
      <c r="Q1309" s="330"/>
      <c r="R1309" s="250"/>
      <c r="S1309" s="249"/>
      <c r="T1309" s="330"/>
      <c r="U1309" s="250"/>
      <c r="V1309" s="249"/>
      <c r="W1309" s="330"/>
      <c r="X1309" s="343"/>
      <c r="Y1309" s="249"/>
      <c r="Z1309" s="330"/>
      <c r="AA1309" s="343"/>
      <c r="AB1309" s="249"/>
      <c r="AC1309" s="330"/>
      <c r="AD1309" s="343"/>
      <c r="AE1309" s="249"/>
      <c r="AF1309" s="330"/>
      <c r="AG1309" s="343"/>
      <c r="AH1309" s="249"/>
      <c r="AI1309" s="330"/>
      <c r="AJ1309" s="343"/>
      <c r="AK1309" s="249"/>
      <c r="AL1309" s="330"/>
      <c r="AM1309" s="343"/>
      <c r="AN1309" s="249"/>
      <c r="AO1309" s="330"/>
      <c r="AP1309" s="343"/>
      <c r="AQ1309" s="249"/>
      <c r="AR1309" s="330"/>
      <c r="AS1309" s="343"/>
      <c r="AT1309" s="249"/>
      <c r="AU1309" s="330"/>
    </row>
    <row r="1310" spans="2:47">
      <c r="B1310" s="247">
        <f>'Table S2 Compound Identifiers'!C1312</f>
        <v>0</v>
      </c>
      <c r="C1310" s="247">
        <f>COUNTIF($D$6:D1310,"&lt;&gt;"&amp;"")</f>
        <v>1305</v>
      </c>
      <c r="D1310" s="247">
        <f>'Table S2 Compound Identifiers'!B1312</f>
        <v>0</v>
      </c>
      <c r="E1310" s="247"/>
      <c r="F1310" s="248"/>
      <c r="G1310" s="249"/>
      <c r="H1310" s="330"/>
      <c r="I1310" s="328"/>
      <c r="J1310" s="249"/>
      <c r="K1310" s="330"/>
      <c r="L1310" s="250"/>
      <c r="M1310" s="249"/>
      <c r="N1310" s="330"/>
      <c r="O1310" s="250"/>
      <c r="P1310" s="249"/>
      <c r="Q1310" s="330"/>
      <c r="R1310" s="250"/>
      <c r="S1310" s="249"/>
      <c r="T1310" s="330"/>
      <c r="U1310" s="250"/>
      <c r="V1310" s="249"/>
      <c r="W1310" s="330"/>
      <c r="X1310" s="343"/>
      <c r="Y1310" s="249"/>
      <c r="Z1310" s="330"/>
      <c r="AA1310" s="343"/>
      <c r="AB1310" s="249"/>
      <c r="AC1310" s="330"/>
      <c r="AD1310" s="343"/>
      <c r="AE1310" s="249"/>
      <c r="AF1310" s="330"/>
      <c r="AG1310" s="343"/>
      <c r="AH1310" s="249"/>
      <c r="AI1310" s="330"/>
      <c r="AJ1310" s="343"/>
      <c r="AK1310" s="249"/>
      <c r="AL1310" s="330"/>
      <c r="AM1310" s="343"/>
      <c r="AN1310" s="249"/>
      <c r="AO1310" s="330"/>
      <c r="AP1310" s="343"/>
      <c r="AQ1310" s="249"/>
      <c r="AR1310" s="330"/>
      <c r="AS1310" s="343"/>
      <c r="AT1310" s="249"/>
      <c r="AU1310" s="330"/>
    </row>
    <row r="1311" spans="2:47">
      <c r="B1311" s="247">
        <f>'Table S2 Compound Identifiers'!C1313</f>
        <v>0</v>
      </c>
      <c r="C1311" s="247">
        <f>COUNTIF($D$6:D1311,"&lt;&gt;"&amp;"")</f>
        <v>1306</v>
      </c>
      <c r="D1311" s="247">
        <f>'Table S2 Compound Identifiers'!B1313</f>
        <v>0</v>
      </c>
      <c r="E1311" s="247"/>
      <c r="F1311" s="248"/>
      <c r="G1311" s="249"/>
      <c r="H1311" s="330"/>
      <c r="I1311" s="328"/>
      <c r="J1311" s="249"/>
      <c r="K1311" s="330"/>
      <c r="L1311" s="250"/>
      <c r="M1311" s="249"/>
      <c r="N1311" s="330"/>
      <c r="O1311" s="250"/>
      <c r="P1311" s="249"/>
      <c r="Q1311" s="330"/>
      <c r="R1311" s="250"/>
      <c r="S1311" s="249"/>
      <c r="T1311" s="330"/>
      <c r="U1311" s="250"/>
      <c r="V1311" s="249"/>
      <c r="W1311" s="330"/>
      <c r="X1311" s="343"/>
      <c r="Y1311" s="249"/>
      <c r="Z1311" s="330"/>
      <c r="AA1311" s="343"/>
      <c r="AB1311" s="249"/>
      <c r="AC1311" s="330"/>
      <c r="AD1311" s="343"/>
      <c r="AE1311" s="249"/>
      <c r="AF1311" s="330"/>
      <c r="AG1311" s="343"/>
      <c r="AH1311" s="249"/>
      <c r="AI1311" s="330"/>
      <c r="AJ1311" s="343"/>
      <c r="AK1311" s="249"/>
      <c r="AL1311" s="330"/>
      <c r="AM1311" s="343"/>
      <c r="AN1311" s="249"/>
      <c r="AO1311" s="330"/>
      <c r="AP1311" s="343"/>
      <c r="AQ1311" s="249"/>
      <c r="AR1311" s="330"/>
      <c r="AS1311" s="343"/>
      <c r="AT1311" s="249"/>
      <c r="AU1311" s="330"/>
    </row>
    <row r="1312" spans="2:47">
      <c r="B1312" s="247">
        <f>'Table S2 Compound Identifiers'!C1314</f>
        <v>0</v>
      </c>
      <c r="C1312" s="247">
        <f>COUNTIF($D$6:D1312,"&lt;&gt;"&amp;"")</f>
        <v>1307</v>
      </c>
      <c r="D1312" s="247">
        <f>'Table S2 Compound Identifiers'!B1314</f>
        <v>0</v>
      </c>
      <c r="E1312" s="247"/>
      <c r="F1312" s="248"/>
      <c r="G1312" s="249"/>
      <c r="H1312" s="330"/>
      <c r="I1312" s="328"/>
      <c r="J1312" s="249"/>
      <c r="K1312" s="330"/>
      <c r="L1312" s="250"/>
      <c r="M1312" s="249"/>
      <c r="N1312" s="330"/>
      <c r="O1312" s="250"/>
      <c r="P1312" s="249"/>
      <c r="Q1312" s="330"/>
      <c r="R1312" s="250"/>
      <c r="S1312" s="249"/>
      <c r="T1312" s="330"/>
      <c r="U1312" s="250"/>
      <c r="V1312" s="249"/>
      <c r="W1312" s="330"/>
      <c r="X1312" s="343"/>
      <c r="Y1312" s="249"/>
      <c r="Z1312" s="330"/>
      <c r="AA1312" s="343"/>
      <c r="AB1312" s="249"/>
      <c r="AC1312" s="330"/>
      <c r="AD1312" s="343"/>
      <c r="AE1312" s="249"/>
      <c r="AF1312" s="330"/>
      <c r="AG1312" s="343"/>
      <c r="AH1312" s="249"/>
      <c r="AI1312" s="330"/>
      <c r="AJ1312" s="343"/>
      <c r="AK1312" s="249"/>
      <c r="AL1312" s="330"/>
      <c r="AM1312" s="343"/>
      <c r="AN1312" s="249"/>
      <c r="AO1312" s="330"/>
      <c r="AP1312" s="343"/>
      <c r="AQ1312" s="249"/>
      <c r="AR1312" s="330"/>
      <c r="AS1312" s="343"/>
      <c r="AT1312" s="249"/>
      <c r="AU1312" s="330"/>
    </row>
    <row r="1313" spans="2:47">
      <c r="B1313" s="247">
        <f>'Table S2 Compound Identifiers'!C1315</f>
        <v>0</v>
      </c>
      <c r="C1313" s="247">
        <f>COUNTIF($D$6:D1313,"&lt;&gt;"&amp;"")</f>
        <v>1308</v>
      </c>
      <c r="D1313" s="247">
        <f>'Table S2 Compound Identifiers'!B1315</f>
        <v>0</v>
      </c>
      <c r="E1313" s="247"/>
      <c r="F1313" s="248"/>
      <c r="G1313" s="249"/>
      <c r="H1313" s="330"/>
      <c r="I1313" s="328"/>
      <c r="J1313" s="249"/>
      <c r="K1313" s="330"/>
      <c r="L1313" s="250"/>
      <c r="M1313" s="249"/>
      <c r="N1313" s="330"/>
      <c r="O1313" s="250"/>
      <c r="P1313" s="249"/>
      <c r="Q1313" s="330"/>
      <c r="R1313" s="250"/>
      <c r="S1313" s="249"/>
      <c r="T1313" s="330"/>
      <c r="U1313" s="250"/>
      <c r="V1313" s="249"/>
      <c r="W1313" s="330"/>
      <c r="X1313" s="343"/>
      <c r="Y1313" s="249"/>
      <c r="Z1313" s="330"/>
      <c r="AA1313" s="343"/>
      <c r="AB1313" s="249"/>
      <c r="AC1313" s="330"/>
      <c r="AD1313" s="343"/>
      <c r="AE1313" s="249"/>
      <c r="AF1313" s="330"/>
      <c r="AG1313" s="343"/>
      <c r="AH1313" s="249"/>
      <c r="AI1313" s="330"/>
      <c r="AJ1313" s="343"/>
      <c r="AK1313" s="249"/>
      <c r="AL1313" s="330"/>
      <c r="AM1313" s="343"/>
      <c r="AN1313" s="249"/>
      <c r="AO1313" s="330"/>
      <c r="AP1313" s="343"/>
      <c r="AQ1313" s="249"/>
      <c r="AR1313" s="330"/>
      <c r="AS1313" s="343"/>
      <c r="AT1313" s="249"/>
      <c r="AU1313" s="330"/>
    </row>
    <row r="1314" spans="2:47">
      <c r="B1314" s="247">
        <f>'Table S2 Compound Identifiers'!C1316</f>
        <v>0</v>
      </c>
      <c r="C1314" s="247">
        <f>COUNTIF($D$6:D1314,"&lt;&gt;"&amp;"")</f>
        <v>1309</v>
      </c>
      <c r="D1314" s="247">
        <f>'Table S2 Compound Identifiers'!B1316</f>
        <v>0</v>
      </c>
      <c r="E1314" s="247"/>
      <c r="F1314" s="248"/>
      <c r="G1314" s="249"/>
      <c r="H1314" s="330"/>
      <c r="I1314" s="328"/>
      <c r="J1314" s="249"/>
      <c r="K1314" s="330"/>
      <c r="L1314" s="250"/>
      <c r="M1314" s="249"/>
      <c r="N1314" s="330"/>
      <c r="O1314" s="250"/>
      <c r="P1314" s="249"/>
      <c r="Q1314" s="330"/>
      <c r="R1314" s="250"/>
      <c r="S1314" s="249"/>
      <c r="T1314" s="330"/>
      <c r="U1314" s="250"/>
      <c r="V1314" s="249"/>
      <c r="W1314" s="330"/>
      <c r="X1314" s="343"/>
      <c r="Y1314" s="249"/>
      <c r="Z1314" s="330"/>
      <c r="AA1314" s="343"/>
      <c r="AB1314" s="249"/>
      <c r="AC1314" s="330"/>
      <c r="AD1314" s="343"/>
      <c r="AE1314" s="249"/>
      <c r="AF1314" s="330"/>
      <c r="AG1314" s="343"/>
      <c r="AH1314" s="249"/>
      <c r="AI1314" s="330"/>
      <c r="AJ1314" s="343"/>
      <c r="AK1314" s="249"/>
      <c r="AL1314" s="330"/>
      <c r="AM1314" s="343"/>
      <c r="AN1314" s="249"/>
      <c r="AO1314" s="330"/>
      <c r="AP1314" s="343"/>
      <c r="AQ1314" s="249"/>
      <c r="AR1314" s="330"/>
      <c r="AS1314" s="343"/>
      <c r="AT1314" s="249"/>
      <c r="AU1314" s="330"/>
    </row>
    <row r="1315" spans="2:47">
      <c r="B1315" s="247">
        <f>'Table S2 Compound Identifiers'!C1317</f>
        <v>0</v>
      </c>
      <c r="C1315" s="247">
        <f>COUNTIF($D$6:D1315,"&lt;&gt;"&amp;"")</f>
        <v>1310</v>
      </c>
      <c r="D1315" s="247">
        <f>'Table S2 Compound Identifiers'!B1317</f>
        <v>0</v>
      </c>
      <c r="E1315" s="247"/>
      <c r="F1315" s="248"/>
      <c r="G1315" s="249"/>
      <c r="H1315" s="330"/>
      <c r="I1315" s="328"/>
      <c r="J1315" s="249"/>
      <c r="K1315" s="330"/>
      <c r="L1315" s="250"/>
      <c r="M1315" s="249"/>
      <c r="N1315" s="330"/>
      <c r="O1315" s="250"/>
      <c r="P1315" s="249"/>
      <c r="Q1315" s="330"/>
      <c r="R1315" s="250"/>
      <c r="S1315" s="249"/>
      <c r="T1315" s="330"/>
      <c r="U1315" s="250"/>
      <c r="V1315" s="249"/>
      <c r="W1315" s="330"/>
      <c r="X1315" s="343"/>
      <c r="Y1315" s="249"/>
      <c r="Z1315" s="330"/>
      <c r="AA1315" s="343"/>
      <c r="AB1315" s="249"/>
      <c r="AC1315" s="330"/>
      <c r="AD1315" s="343"/>
      <c r="AE1315" s="249"/>
      <c r="AF1315" s="330"/>
      <c r="AG1315" s="343"/>
      <c r="AH1315" s="249"/>
      <c r="AI1315" s="330"/>
      <c r="AJ1315" s="343"/>
      <c r="AK1315" s="249"/>
      <c r="AL1315" s="330"/>
      <c r="AM1315" s="343"/>
      <c r="AN1315" s="249"/>
      <c r="AO1315" s="330"/>
      <c r="AP1315" s="343"/>
      <c r="AQ1315" s="249"/>
      <c r="AR1315" s="330"/>
      <c r="AS1315" s="343"/>
      <c r="AT1315" s="249"/>
      <c r="AU1315" s="330"/>
    </row>
    <row r="1316" spans="2:47">
      <c r="B1316" s="247">
        <f>'Table S2 Compound Identifiers'!C1318</f>
        <v>0</v>
      </c>
      <c r="C1316" s="247">
        <f>COUNTIF($D$6:D1316,"&lt;&gt;"&amp;"")</f>
        <v>1311</v>
      </c>
      <c r="D1316" s="247">
        <f>'Table S2 Compound Identifiers'!B1318</f>
        <v>0</v>
      </c>
      <c r="E1316" s="247"/>
      <c r="F1316" s="248"/>
      <c r="G1316" s="249"/>
      <c r="H1316" s="330"/>
      <c r="I1316" s="328"/>
      <c r="J1316" s="249"/>
      <c r="K1316" s="330"/>
      <c r="L1316" s="250"/>
      <c r="M1316" s="249"/>
      <c r="N1316" s="330"/>
      <c r="O1316" s="250"/>
      <c r="P1316" s="249"/>
      <c r="Q1316" s="330"/>
      <c r="R1316" s="250"/>
      <c r="S1316" s="249"/>
      <c r="T1316" s="330"/>
      <c r="U1316" s="250"/>
      <c r="V1316" s="249"/>
      <c r="W1316" s="330"/>
      <c r="X1316" s="343"/>
      <c r="Y1316" s="249"/>
      <c r="Z1316" s="330"/>
      <c r="AA1316" s="343"/>
      <c r="AB1316" s="249"/>
      <c r="AC1316" s="330"/>
      <c r="AD1316" s="343"/>
      <c r="AE1316" s="249"/>
      <c r="AF1316" s="330"/>
      <c r="AG1316" s="343"/>
      <c r="AH1316" s="249"/>
      <c r="AI1316" s="330"/>
      <c r="AJ1316" s="343"/>
      <c r="AK1316" s="249"/>
      <c r="AL1316" s="330"/>
      <c r="AM1316" s="343"/>
      <c r="AN1316" s="249"/>
      <c r="AO1316" s="330"/>
      <c r="AP1316" s="343"/>
      <c r="AQ1316" s="249"/>
      <c r="AR1316" s="330"/>
      <c r="AS1316" s="343"/>
      <c r="AT1316" s="249"/>
      <c r="AU1316" s="330"/>
    </row>
    <row r="1317" spans="2:47">
      <c r="B1317" s="247">
        <f>'Table S2 Compound Identifiers'!C1319</f>
        <v>0</v>
      </c>
      <c r="C1317" s="247">
        <f>COUNTIF($D$6:D1317,"&lt;&gt;"&amp;"")</f>
        <v>1312</v>
      </c>
      <c r="D1317" s="247">
        <f>'Table S2 Compound Identifiers'!B1319</f>
        <v>0</v>
      </c>
      <c r="E1317" s="247"/>
      <c r="F1317" s="248"/>
      <c r="G1317" s="249"/>
      <c r="H1317" s="330"/>
      <c r="I1317" s="328"/>
      <c r="J1317" s="249"/>
      <c r="K1317" s="330"/>
      <c r="L1317" s="250"/>
      <c r="M1317" s="249"/>
      <c r="N1317" s="330"/>
      <c r="O1317" s="250"/>
      <c r="P1317" s="249"/>
      <c r="Q1317" s="330"/>
      <c r="R1317" s="250"/>
      <c r="S1317" s="249"/>
      <c r="T1317" s="330"/>
      <c r="U1317" s="250"/>
      <c r="V1317" s="249"/>
      <c r="W1317" s="330"/>
      <c r="X1317" s="343"/>
      <c r="Y1317" s="249"/>
      <c r="Z1317" s="330"/>
      <c r="AA1317" s="343"/>
      <c r="AB1317" s="249"/>
      <c r="AC1317" s="330"/>
      <c r="AD1317" s="343"/>
      <c r="AE1317" s="249"/>
      <c r="AF1317" s="330"/>
      <c r="AG1317" s="343"/>
      <c r="AH1317" s="249"/>
      <c r="AI1317" s="330"/>
      <c r="AJ1317" s="343"/>
      <c r="AK1317" s="249"/>
      <c r="AL1317" s="330"/>
      <c r="AM1317" s="343"/>
      <c r="AN1317" s="249"/>
      <c r="AO1317" s="330"/>
      <c r="AP1317" s="343"/>
      <c r="AQ1317" s="249"/>
      <c r="AR1317" s="330"/>
      <c r="AS1317" s="343"/>
      <c r="AT1317" s="249"/>
      <c r="AU1317" s="330"/>
    </row>
    <row r="1318" spans="2:47">
      <c r="B1318" s="247">
        <f>'Table S2 Compound Identifiers'!C1320</f>
        <v>0</v>
      </c>
      <c r="C1318" s="247">
        <f>COUNTIF($D$6:D1318,"&lt;&gt;"&amp;"")</f>
        <v>1313</v>
      </c>
      <c r="D1318" s="247">
        <f>'Table S2 Compound Identifiers'!B1320</f>
        <v>0</v>
      </c>
      <c r="E1318" s="247"/>
      <c r="F1318" s="248"/>
      <c r="G1318" s="249"/>
      <c r="H1318" s="330"/>
      <c r="I1318" s="328"/>
      <c r="J1318" s="249"/>
      <c r="K1318" s="330"/>
      <c r="L1318" s="250"/>
      <c r="M1318" s="249"/>
      <c r="N1318" s="330"/>
      <c r="O1318" s="250"/>
      <c r="P1318" s="249"/>
      <c r="Q1318" s="330"/>
      <c r="R1318" s="250"/>
      <c r="S1318" s="249"/>
      <c r="T1318" s="330"/>
      <c r="U1318" s="250"/>
      <c r="V1318" s="249"/>
      <c r="W1318" s="330"/>
      <c r="X1318" s="343"/>
      <c r="Y1318" s="249"/>
      <c r="Z1318" s="330"/>
      <c r="AA1318" s="343"/>
      <c r="AB1318" s="249"/>
      <c r="AC1318" s="330"/>
      <c r="AD1318" s="343"/>
      <c r="AE1318" s="249"/>
      <c r="AF1318" s="330"/>
      <c r="AG1318" s="343"/>
      <c r="AH1318" s="249"/>
      <c r="AI1318" s="330"/>
      <c r="AJ1318" s="343"/>
      <c r="AK1318" s="249"/>
      <c r="AL1318" s="330"/>
      <c r="AM1318" s="343"/>
      <c r="AN1318" s="249"/>
      <c r="AO1318" s="330"/>
      <c r="AP1318" s="343"/>
      <c r="AQ1318" s="249"/>
      <c r="AR1318" s="330"/>
      <c r="AS1318" s="343"/>
      <c r="AT1318" s="249"/>
      <c r="AU1318" s="330"/>
    </row>
    <row r="1319" spans="2:47">
      <c r="B1319" s="247">
        <f>'Table S2 Compound Identifiers'!C1321</f>
        <v>0</v>
      </c>
      <c r="C1319" s="247">
        <f>COUNTIF($D$6:D1319,"&lt;&gt;"&amp;"")</f>
        <v>1314</v>
      </c>
      <c r="D1319" s="247">
        <f>'Table S2 Compound Identifiers'!B1321</f>
        <v>0</v>
      </c>
      <c r="E1319" s="247"/>
      <c r="F1319" s="248"/>
      <c r="G1319" s="249"/>
      <c r="H1319" s="330"/>
      <c r="I1319" s="328"/>
      <c r="J1319" s="249"/>
      <c r="K1319" s="330"/>
      <c r="L1319" s="250"/>
      <c r="M1319" s="249"/>
      <c r="N1319" s="330"/>
      <c r="O1319" s="250"/>
      <c r="P1319" s="249"/>
      <c r="Q1319" s="330"/>
      <c r="R1319" s="250"/>
      <c r="S1319" s="249"/>
      <c r="T1319" s="330"/>
      <c r="U1319" s="250"/>
      <c r="V1319" s="249"/>
      <c r="W1319" s="330"/>
      <c r="X1319" s="343"/>
      <c r="Y1319" s="249"/>
      <c r="Z1319" s="330"/>
      <c r="AA1319" s="343"/>
      <c r="AB1319" s="249"/>
      <c r="AC1319" s="330"/>
      <c r="AD1319" s="343"/>
      <c r="AE1319" s="249"/>
      <c r="AF1319" s="330"/>
      <c r="AG1319" s="343"/>
      <c r="AH1319" s="249"/>
      <c r="AI1319" s="330"/>
      <c r="AJ1319" s="343"/>
      <c r="AK1319" s="249"/>
      <c r="AL1319" s="330"/>
      <c r="AM1319" s="343"/>
      <c r="AN1319" s="249"/>
      <c r="AO1319" s="330"/>
      <c r="AP1319" s="343"/>
      <c r="AQ1319" s="249"/>
      <c r="AR1319" s="330"/>
      <c r="AS1319" s="343"/>
      <c r="AT1319" s="249"/>
      <c r="AU1319" s="330"/>
    </row>
    <row r="1320" spans="2:47">
      <c r="B1320" s="247">
        <f>'Table S2 Compound Identifiers'!C1322</f>
        <v>0</v>
      </c>
      <c r="C1320" s="247">
        <f>COUNTIF($D$6:D1320,"&lt;&gt;"&amp;"")</f>
        <v>1315</v>
      </c>
      <c r="D1320" s="432">
        <f>'Table S2 Compound Identifiers'!B1322</f>
        <v>0</v>
      </c>
      <c r="E1320" s="247"/>
      <c r="F1320" s="248"/>
      <c r="G1320" s="249"/>
      <c r="H1320" s="330"/>
      <c r="I1320" s="328"/>
      <c r="J1320" s="249"/>
      <c r="K1320" s="330"/>
      <c r="L1320" s="250"/>
      <c r="M1320" s="249"/>
      <c r="N1320" s="330"/>
      <c r="O1320" s="250"/>
      <c r="P1320" s="249"/>
      <c r="Q1320" s="330"/>
      <c r="R1320" s="250"/>
      <c r="S1320" s="249"/>
      <c r="T1320" s="330"/>
      <c r="U1320" s="250"/>
      <c r="V1320" s="249"/>
      <c r="W1320" s="330"/>
      <c r="X1320" s="343"/>
      <c r="Y1320" s="249"/>
      <c r="Z1320" s="330"/>
      <c r="AA1320" s="343"/>
      <c r="AB1320" s="249"/>
      <c r="AC1320" s="330"/>
      <c r="AD1320" s="343"/>
      <c r="AE1320" s="249"/>
      <c r="AF1320" s="330"/>
      <c r="AG1320" s="343"/>
      <c r="AH1320" s="249"/>
      <c r="AI1320" s="330"/>
      <c r="AJ1320" s="343"/>
      <c r="AK1320" s="249"/>
      <c r="AL1320" s="330"/>
      <c r="AM1320" s="343"/>
      <c r="AN1320" s="249"/>
      <c r="AO1320" s="330"/>
      <c r="AP1320" s="343"/>
      <c r="AQ1320" s="249"/>
      <c r="AR1320" s="330"/>
      <c r="AS1320" s="343"/>
      <c r="AT1320" s="249"/>
      <c r="AU1320" s="330"/>
    </row>
    <row r="1321" spans="2:47">
      <c r="B1321" s="247">
        <f>'Table S2 Compound Identifiers'!C1323</f>
        <v>0</v>
      </c>
      <c r="C1321" s="247">
        <f>COUNTIF($D$6:D1321,"&lt;&gt;"&amp;"")</f>
        <v>1316</v>
      </c>
      <c r="D1321" s="432">
        <f>'Table S2 Compound Identifiers'!B1323</f>
        <v>0</v>
      </c>
      <c r="E1321" s="247"/>
      <c r="F1321" s="248"/>
      <c r="G1321" s="249"/>
      <c r="H1321" s="330"/>
      <c r="I1321" s="328"/>
      <c r="J1321" s="249"/>
      <c r="K1321" s="330"/>
      <c r="L1321" s="250"/>
      <c r="M1321" s="249"/>
      <c r="N1321" s="330"/>
      <c r="O1321" s="250"/>
      <c r="P1321" s="249"/>
      <c r="Q1321" s="330"/>
      <c r="R1321" s="250"/>
      <c r="S1321" s="249"/>
      <c r="T1321" s="330"/>
      <c r="U1321" s="250"/>
      <c r="V1321" s="249"/>
      <c r="W1321" s="330"/>
      <c r="X1321" s="343"/>
      <c r="Y1321" s="249"/>
      <c r="Z1321" s="330"/>
      <c r="AA1321" s="343"/>
      <c r="AB1321" s="249"/>
      <c r="AC1321" s="330"/>
      <c r="AD1321" s="343"/>
      <c r="AE1321" s="249"/>
      <c r="AF1321" s="330"/>
      <c r="AG1321" s="343"/>
      <c r="AH1321" s="249"/>
      <c r="AI1321" s="330"/>
      <c r="AJ1321" s="343"/>
      <c r="AK1321" s="249"/>
      <c r="AL1321" s="330"/>
      <c r="AM1321" s="343"/>
      <c r="AN1321" s="249"/>
      <c r="AO1321" s="330"/>
      <c r="AP1321" s="343"/>
      <c r="AQ1321" s="249"/>
      <c r="AR1321" s="330"/>
      <c r="AS1321" s="343"/>
      <c r="AT1321" s="249"/>
      <c r="AU1321" s="330"/>
    </row>
    <row r="1322" spans="2:47">
      <c r="B1322" s="247">
        <f>'Table S2 Compound Identifiers'!C1324</f>
        <v>0</v>
      </c>
      <c r="C1322" s="247">
        <f>COUNTIF($D$6:D1322,"&lt;&gt;"&amp;"")</f>
        <v>1317</v>
      </c>
      <c r="D1322" s="432">
        <f>'Table S2 Compound Identifiers'!B1324</f>
        <v>0</v>
      </c>
      <c r="E1322" s="247"/>
      <c r="F1322" s="248"/>
      <c r="G1322" s="249"/>
      <c r="H1322" s="330"/>
      <c r="I1322" s="328"/>
      <c r="J1322" s="249"/>
      <c r="K1322" s="330"/>
      <c r="L1322" s="250"/>
      <c r="M1322" s="249"/>
      <c r="N1322" s="330"/>
      <c r="O1322" s="250"/>
      <c r="P1322" s="249"/>
      <c r="Q1322" s="330"/>
      <c r="R1322" s="250"/>
      <c r="S1322" s="249"/>
      <c r="T1322" s="330"/>
      <c r="U1322" s="250"/>
      <c r="V1322" s="249"/>
      <c r="W1322" s="330"/>
      <c r="X1322" s="343"/>
      <c r="Y1322" s="249"/>
      <c r="Z1322" s="330"/>
      <c r="AA1322" s="343"/>
      <c r="AB1322" s="249"/>
      <c r="AC1322" s="330"/>
      <c r="AD1322" s="343"/>
      <c r="AE1322" s="249"/>
      <c r="AF1322" s="330"/>
      <c r="AG1322" s="343"/>
      <c r="AH1322" s="249"/>
      <c r="AI1322" s="330"/>
      <c r="AJ1322" s="343"/>
      <c r="AK1322" s="249"/>
      <c r="AL1322" s="330"/>
      <c r="AM1322" s="343"/>
      <c r="AN1322" s="249"/>
      <c r="AO1322" s="330"/>
      <c r="AP1322" s="343"/>
      <c r="AQ1322" s="249"/>
      <c r="AR1322" s="330"/>
      <c r="AS1322" s="343"/>
      <c r="AT1322" s="249"/>
      <c r="AU1322" s="330"/>
    </row>
    <row r="1323" spans="2:47">
      <c r="B1323" s="247">
        <f>'Table S2 Compound Identifiers'!C1325</f>
        <v>0</v>
      </c>
      <c r="C1323" s="247">
        <f>COUNTIF($D$6:D1323,"&lt;&gt;"&amp;"")</f>
        <v>1318</v>
      </c>
      <c r="D1323" s="432">
        <f>'Table S2 Compound Identifiers'!B1325</f>
        <v>0</v>
      </c>
      <c r="E1323" s="247"/>
      <c r="F1323" s="248"/>
      <c r="G1323" s="249"/>
      <c r="H1323" s="330"/>
      <c r="I1323" s="328"/>
      <c r="J1323" s="249"/>
      <c r="K1323" s="330"/>
      <c r="L1323" s="250"/>
      <c r="M1323" s="249"/>
      <c r="N1323" s="330"/>
      <c r="O1323" s="250"/>
      <c r="P1323" s="249"/>
      <c r="Q1323" s="330"/>
      <c r="R1323" s="250"/>
      <c r="S1323" s="249"/>
      <c r="T1323" s="330"/>
      <c r="U1323" s="250"/>
      <c r="V1323" s="249"/>
      <c r="W1323" s="330"/>
      <c r="X1323" s="343"/>
      <c r="Y1323" s="249"/>
      <c r="Z1323" s="330"/>
      <c r="AA1323" s="343"/>
      <c r="AB1323" s="249"/>
      <c r="AC1323" s="330"/>
      <c r="AD1323" s="343"/>
      <c r="AE1323" s="249"/>
      <c r="AF1323" s="330"/>
      <c r="AG1323" s="343"/>
      <c r="AH1323" s="249"/>
      <c r="AI1323" s="330"/>
      <c r="AJ1323" s="343"/>
      <c r="AK1323" s="249"/>
      <c r="AL1323" s="330"/>
      <c r="AM1323" s="343"/>
      <c r="AN1323" s="249"/>
      <c r="AO1323" s="330"/>
      <c r="AP1323" s="343"/>
      <c r="AQ1323" s="249"/>
      <c r="AR1323" s="330"/>
      <c r="AS1323" s="343"/>
      <c r="AT1323" s="249"/>
      <c r="AU1323" s="330"/>
    </row>
    <row r="1324" spans="2:47">
      <c r="B1324" s="247">
        <f>'Table S2 Compound Identifiers'!C1326</f>
        <v>0</v>
      </c>
      <c r="C1324" s="247">
        <f>COUNTIF($D$6:D1324,"&lt;&gt;"&amp;"")</f>
        <v>1319</v>
      </c>
      <c r="D1324" s="432">
        <f>'Table S2 Compound Identifiers'!B1326</f>
        <v>0</v>
      </c>
      <c r="E1324" s="247"/>
      <c r="F1324" s="248"/>
      <c r="G1324" s="249"/>
      <c r="H1324" s="330"/>
      <c r="I1324" s="328"/>
      <c r="J1324" s="249"/>
      <c r="K1324" s="330"/>
      <c r="L1324" s="250"/>
      <c r="M1324" s="249"/>
      <c r="N1324" s="330"/>
      <c r="O1324" s="250"/>
      <c r="P1324" s="249"/>
      <c r="Q1324" s="330"/>
      <c r="R1324" s="250"/>
      <c r="S1324" s="249"/>
      <c r="T1324" s="330"/>
      <c r="U1324" s="250"/>
      <c r="V1324" s="249"/>
      <c r="W1324" s="330"/>
      <c r="X1324" s="343"/>
      <c r="Y1324" s="249"/>
      <c r="Z1324" s="330"/>
      <c r="AA1324" s="343"/>
      <c r="AB1324" s="249"/>
      <c r="AC1324" s="330"/>
      <c r="AD1324" s="343"/>
      <c r="AE1324" s="249"/>
      <c r="AF1324" s="330"/>
      <c r="AG1324" s="343"/>
      <c r="AH1324" s="249"/>
      <c r="AI1324" s="330"/>
      <c r="AJ1324" s="343"/>
      <c r="AK1324" s="249"/>
      <c r="AL1324" s="330"/>
      <c r="AM1324" s="343"/>
      <c r="AN1324" s="249"/>
      <c r="AO1324" s="330"/>
      <c r="AP1324" s="343"/>
      <c r="AQ1324" s="249"/>
      <c r="AR1324" s="330"/>
      <c r="AS1324" s="343"/>
      <c r="AT1324" s="249"/>
      <c r="AU1324" s="330"/>
    </row>
    <row r="1325" spans="2:47">
      <c r="B1325" s="247">
        <f>'Table S2 Compound Identifiers'!C1327</f>
        <v>0</v>
      </c>
      <c r="C1325" s="247">
        <f>COUNTIF($D$6:D1325,"&lt;&gt;"&amp;"")</f>
        <v>1320</v>
      </c>
      <c r="D1325" s="432">
        <f>'Table S2 Compound Identifiers'!B1327</f>
        <v>0</v>
      </c>
      <c r="E1325" s="247"/>
      <c r="F1325" s="248"/>
      <c r="G1325" s="249"/>
      <c r="H1325" s="330"/>
      <c r="I1325" s="328"/>
      <c r="J1325" s="249"/>
      <c r="K1325" s="330"/>
      <c r="L1325" s="250"/>
      <c r="M1325" s="249"/>
      <c r="N1325" s="330"/>
      <c r="O1325" s="250"/>
      <c r="P1325" s="249"/>
      <c r="Q1325" s="330"/>
      <c r="R1325" s="250"/>
      <c r="S1325" s="249"/>
      <c r="T1325" s="330"/>
      <c r="U1325" s="250"/>
      <c r="V1325" s="249"/>
      <c r="W1325" s="330"/>
      <c r="X1325" s="343"/>
      <c r="Y1325" s="249"/>
      <c r="Z1325" s="330"/>
      <c r="AA1325" s="343"/>
      <c r="AB1325" s="249"/>
      <c r="AC1325" s="330"/>
      <c r="AD1325" s="343"/>
      <c r="AE1325" s="249"/>
      <c r="AF1325" s="330"/>
      <c r="AG1325" s="343"/>
      <c r="AH1325" s="249"/>
      <c r="AI1325" s="330"/>
      <c r="AJ1325" s="343"/>
      <c r="AK1325" s="249"/>
      <c r="AL1325" s="330"/>
      <c r="AM1325" s="343"/>
      <c r="AN1325" s="249"/>
      <c r="AO1325" s="330"/>
      <c r="AP1325" s="343"/>
      <c r="AQ1325" s="249"/>
      <c r="AR1325" s="330"/>
      <c r="AS1325" s="343"/>
      <c r="AT1325" s="249"/>
      <c r="AU1325" s="330"/>
    </row>
    <row r="1326" spans="2:47">
      <c r="B1326" s="247">
        <f>'Table S2 Compound Identifiers'!C1328</f>
        <v>0</v>
      </c>
      <c r="C1326" s="247">
        <f>COUNTIF($D$6:D1326,"&lt;&gt;"&amp;"")</f>
        <v>1321</v>
      </c>
      <c r="D1326" s="432">
        <f>'Table S2 Compound Identifiers'!B1328</f>
        <v>0</v>
      </c>
      <c r="E1326" s="247"/>
      <c r="F1326" s="248"/>
      <c r="G1326" s="249"/>
      <c r="H1326" s="330"/>
      <c r="I1326" s="328"/>
      <c r="J1326" s="249"/>
      <c r="K1326" s="330"/>
      <c r="L1326" s="250"/>
      <c r="M1326" s="249"/>
      <c r="N1326" s="330"/>
      <c r="O1326" s="250"/>
      <c r="P1326" s="249"/>
      <c r="Q1326" s="330"/>
      <c r="R1326" s="250"/>
      <c r="S1326" s="249"/>
      <c r="T1326" s="330"/>
      <c r="U1326" s="250"/>
      <c r="V1326" s="249"/>
      <c r="W1326" s="330"/>
      <c r="X1326" s="343"/>
      <c r="Y1326" s="249"/>
      <c r="Z1326" s="330"/>
      <c r="AA1326" s="343"/>
      <c r="AB1326" s="249"/>
      <c r="AC1326" s="330"/>
      <c r="AD1326" s="343"/>
      <c r="AE1326" s="249"/>
      <c r="AF1326" s="330"/>
      <c r="AG1326" s="343"/>
      <c r="AH1326" s="249"/>
      <c r="AI1326" s="330"/>
      <c r="AJ1326" s="343"/>
      <c r="AK1326" s="249"/>
      <c r="AL1326" s="330"/>
      <c r="AM1326" s="343"/>
      <c r="AN1326" s="249"/>
      <c r="AO1326" s="330"/>
      <c r="AP1326" s="343"/>
      <c r="AQ1326" s="249"/>
      <c r="AR1326" s="330"/>
      <c r="AS1326" s="343"/>
      <c r="AT1326" s="249"/>
      <c r="AU1326" s="330"/>
    </row>
    <row r="1327" spans="2:47">
      <c r="B1327" s="247">
        <f>'Table S2 Compound Identifiers'!C1329</f>
        <v>0</v>
      </c>
      <c r="C1327" s="247">
        <f>COUNTIF($D$6:D1327,"&lt;&gt;"&amp;"")</f>
        <v>1322</v>
      </c>
      <c r="D1327" s="432">
        <f>'Table S2 Compound Identifiers'!B1329</f>
        <v>0</v>
      </c>
      <c r="E1327" s="247"/>
      <c r="F1327" s="248"/>
      <c r="G1327" s="249"/>
      <c r="H1327" s="330"/>
      <c r="I1327" s="328"/>
      <c r="J1327" s="249"/>
      <c r="K1327" s="330"/>
      <c r="L1327" s="250"/>
      <c r="M1327" s="249"/>
      <c r="N1327" s="330"/>
      <c r="O1327" s="250"/>
      <c r="P1327" s="249"/>
      <c r="Q1327" s="330"/>
      <c r="R1327" s="250"/>
      <c r="S1327" s="249"/>
      <c r="T1327" s="330"/>
      <c r="U1327" s="250"/>
      <c r="V1327" s="249"/>
      <c r="W1327" s="330"/>
      <c r="X1327" s="343"/>
      <c r="Y1327" s="249"/>
      <c r="Z1327" s="330"/>
      <c r="AA1327" s="343"/>
      <c r="AB1327" s="249"/>
      <c r="AC1327" s="330"/>
      <c r="AD1327" s="343"/>
      <c r="AE1327" s="249"/>
      <c r="AF1327" s="330"/>
      <c r="AG1327" s="343"/>
      <c r="AH1327" s="249"/>
      <c r="AI1327" s="330"/>
      <c r="AJ1327" s="343"/>
      <c r="AK1327" s="249"/>
      <c r="AL1327" s="330"/>
      <c r="AM1327" s="343"/>
      <c r="AN1327" s="249"/>
      <c r="AO1327" s="330"/>
      <c r="AP1327" s="343"/>
      <c r="AQ1327" s="249"/>
      <c r="AR1327" s="330"/>
      <c r="AS1327" s="343"/>
      <c r="AT1327" s="249"/>
      <c r="AU1327" s="330"/>
    </row>
    <row r="1328" spans="2:47">
      <c r="B1328" s="247">
        <f>'Table S2 Compound Identifiers'!C1330</f>
        <v>0</v>
      </c>
      <c r="C1328" s="247">
        <f>COUNTIF($D$6:D1328,"&lt;&gt;"&amp;"")</f>
        <v>1323</v>
      </c>
      <c r="D1328" s="432">
        <f>'Table S2 Compound Identifiers'!B1330</f>
        <v>0</v>
      </c>
      <c r="E1328" s="247"/>
      <c r="F1328" s="248"/>
      <c r="G1328" s="249"/>
      <c r="H1328" s="330"/>
      <c r="I1328" s="328"/>
      <c r="J1328" s="249"/>
      <c r="K1328" s="330"/>
      <c r="L1328" s="250"/>
      <c r="M1328" s="249"/>
      <c r="N1328" s="330"/>
      <c r="O1328" s="250"/>
      <c r="P1328" s="249"/>
      <c r="Q1328" s="330"/>
      <c r="R1328" s="250"/>
      <c r="S1328" s="249"/>
      <c r="T1328" s="330"/>
      <c r="U1328" s="250"/>
      <c r="V1328" s="249"/>
      <c r="W1328" s="330"/>
      <c r="X1328" s="343"/>
      <c r="Y1328" s="249"/>
      <c r="Z1328" s="330"/>
      <c r="AA1328" s="343"/>
      <c r="AB1328" s="249"/>
      <c r="AC1328" s="330"/>
      <c r="AD1328" s="343"/>
      <c r="AE1328" s="249"/>
      <c r="AF1328" s="330"/>
      <c r="AG1328" s="343"/>
      <c r="AH1328" s="249"/>
      <c r="AI1328" s="330"/>
      <c r="AJ1328" s="343"/>
      <c r="AK1328" s="249"/>
      <c r="AL1328" s="330"/>
      <c r="AM1328" s="343"/>
      <c r="AN1328" s="249"/>
      <c r="AO1328" s="330"/>
      <c r="AP1328" s="343"/>
      <c r="AQ1328" s="249"/>
      <c r="AR1328" s="330"/>
      <c r="AS1328" s="343"/>
      <c r="AT1328" s="249"/>
      <c r="AU1328" s="330"/>
    </row>
    <row r="1329" spans="2:47">
      <c r="B1329" s="247">
        <f>'Table S2 Compound Identifiers'!C1331</f>
        <v>0</v>
      </c>
      <c r="C1329" s="247">
        <f>COUNTIF($D$6:D1329,"&lt;&gt;"&amp;"")</f>
        <v>1324</v>
      </c>
      <c r="D1329" s="432">
        <f>'Table S2 Compound Identifiers'!B1331</f>
        <v>0</v>
      </c>
      <c r="E1329" s="247"/>
      <c r="F1329" s="248"/>
      <c r="G1329" s="249"/>
      <c r="H1329" s="330"/>
      <c r="I1329" s="328"/>
      <c r="J1329" s="249"/>
      <c r="K1329" s="330"/>
      <c r="L1329" s="250"/>
      <c r="M1329" s="249"/>
      <c r="N1329" s="330"/>
      <c r="O1329" s="250"/>
      <c r="P1329" s="249"/>
      <c r="Q1329" s="330"/>
      <c r="R1329" s="250"/>
      <c r="S1329" s="249"/>
      <c r="T1329" s="330"/>
      <c r="U1329" s="250"/>
      <c r="V1329" s="249"/>
      <c r="W1329" s="330"/>
      <c r="X1329" s="343"/>
      <c r="Y1329" s="249"/>
      <c r="Z1329" s="330"/>
      <c r="AA1329" s="343"/>
      <c r="AB1329" s="249"/>
      <c r="AC1329" s="330"/>
      <c r="AD1329" s="343"/>
      <c r="AE1329" s="249"/>
      <c r="AF1329" s="330"/>
      <c r="AG1329" s="343"/>
      <c r="AH1329" s="249"/>
      <c r="AI1329" s="330"/>
      <c r="AJ1329" s="343"/>
      <c r="AK1329" s="249"/>
      <c r="AL1329" s="330"/>
      <c r="AM1329" s="343"/>
      <c r="AN1329" s="249"/>
      <c r="AO1329" s="330"/>
      <c r="AP1329" s="343"/>
      <c r="AQ1329" s="249"/>
      <c r="AR1329" s="330"/>
      <c r="AS1329" s="343"/>
      <c r="AT1329" s="249"/>
      <c r="AU1329" s="330"/>
    </row>
    <row r="1330" spans="2:47">
      <c r="B1330" s="247">
        <f>'Table S2 Compound Identifiers'!C1332</f>
        <v>0</v>
      </c>
      <c r="C1330" s="247">
        <f>COUNTIF($D$6:D1330,"&lt;&gt;"&amp;"")</f>
        <v>1325</v>
      </c>
      <c r="D1330" s="247">
        <f>'Table S2 Compound Identifiers'!B1332</f>
        <v>0</v>
      </c>
      <c r="E1330" s="247"/>
      <c r="F1330" s="248"/>
      <c r="G1330" s="249"/>
      <c r="H1330" s="330"/>
      <c r="I1330" s="328"/>
      <c r="J1330" s="249"/>
      <c r="K1330" s="330"/>
      <c r="L1330" s="250"/>
      <c r="M1330" s="249"/>
      <c r="N1330" s="330"/>
      <c r="O1330" s="250"/>
      <c r="P1330" s="249"/>
      <c r="Q1330" s="330"/>
      <c r="R1330" s="250"/>
      <c r="S1330" s="249"/>
      <c r="T1330" s="330"/>
      <c r="U1330" s="250"/>
      <c r="V1330" s="249"/>
      <c r="W1330" s="330"/>
      <c r="X1330" s="343"/>
      <c r="Y1330" s="249"/>
      <c r="Z1330" s="330"/>
      <c r="AA1330" s="343"/>
      <c r="AB1330" s="249"/>
      <c r="AC1330" s="330"/>
      <c r="AD1330" s="343"/>
      <c r="AE1330" s="249"/>
      <c r="AF1330" s="330"/>
      <c r="AG1330" s="343"/>
      <c r="AH1330" s="249"/>
      <c r="AI1330" s="330"/>
      <c r="AJ1330" s="343"/>
      <c r="AK1330" s="249"/>
      <c r="AL1330" s="330"/>
      <c r="AM1330" s="343"/>
      <c r="AN1330" s="249"/>
      <c r="AO1330" s="330"/>
      <c r="AP1330" s="343"/>
      <c r="AQ1330" s="249"/>
      <c r="AR1330" s="330"/>
      <c r="AS1330" s="343"/>
      <c r="AT1330" s="249"/>
      <c r="AU1330" s="330"/>
    </row>
    <row r="1331" spans="2:47">
      <c r="B1331" s="247">
        <f>'Table S2 Compound Identifiers'!C1333</f>
        <v>0</v>
      </c>
      <c r="C1331" s="247">
        <f>COUNTIF($D$6:D1331,"&lt;&gt;"&amp;"")</f>
        <v>1326</v>
      </c>
      <c r="D1331" s="247">
        <f>'Table S2 Compound Identifiers'!B1333</f>
        <v>0</v>
      </c>
      <c r="E1331" s="247"/>
      <c r="F1331" s="248"/>
      <c r="G1331" s="249"/>
      <c r="H1331" s="330"/>
      <c r="I1331" s="328"/>
      <c r="J1331" s="249"/>
      <c r="K1331" s="330"/>
      <c r="L1331" s="250"/>
      <c r="M1331" s="249"/>
      <c r="N1331" s="330"/>
      <c r="O1331" s="250"/>
      <c r="P1331" s="249"/>
      <c r="Q1331" s="330"/>
      <c r="R1331" s="250"/>
      <c r="S1331" s="249"/>
      <c r="T1331" s="330"/>
      <c r="U1331" s="250"/>
      <c r="V1331" s="249"/>
      <c r="W1331" s="330"/>
      <c r="X1331" s="343"/>
      <c r="Y1331" s="249"/>
      <c r="Z1331" s="330"/>
      <c r="AA1331" s="343"/>
      <c r="AB1331" s="249"/>
      <c r="AC1331" s="330"/>
      <c r="AD1331" s="343"/>
      <c r="AE1331" s="249"/>
      <c r="AF1331" s="330"/>
      <c r="AG1331" s="343"/>
      <c r="AH1331" s="249"/>
      <c r="AI1331" s="330"/>
      <c r="AJ1331" s="343"/>
      <c r="AK1331" s="249"/>
      <c r="AL1331" s="330"/>
      <c r="AM1331" s="343"/>
      <c r="AN1331" s="249"/>
      <c r="AO1331" s="330"/>
      <c r="AP1331" s="343"/>
      <c r="AQ1331" s="249"/>
      <c r="AR1331" s="330"/>
      <c r="AS1331" s="343"/>
      <c r="AT1331" s="249"/>
      <c r="AU1331" s="330"/>
    </row>
    <row r="1332" spans="2:47">
      <c r="B1332" s="247">
        <f>'Table S2 Compound Identifiers'!C1334</f>
        <v>0</v>
      </c>
      <c r="C1332" s="247">
        <f>COUNTIF($D$6:D1332,"&lt;&gt;"&amp;"")</f>
        <v>1327</v>
      </c>
      <c r="D1332" s="247">
        <f>'Table S2 Compound Identifiers'!B1334</f>
        <v>0</v>
      </c>
      <c r="E1332" s="247"/>
      <c r="F1332" s="248"/>
      <c r="G1332" s="249"/>
      <c r="H1332" s="330"/>
      <c r="I1332" s="328"/>
      <c r="J1332" s="249"/>
      <c r="K1332" s="330"/>
      <c r="L1332" s="250"/>
      <c r="M1332" s="249"/>
      <c r="N1332" s="330"/>
      <c r="O1332" s="250"/>
      <c r="P1332" s="249"/>
      <c r="Q1332" s="330"/>
      <c r="R1332" s="250"/>
      <c r="S1332" s="249"/>
      <c r="T1332" s="330"/>
      <c r="U1332" s="250"/>
      <c r="V1332" s="249"/>
      <c r="W1332" s="330"/>
      <c r="X1332" s="343"/>
      <c r="Y1332" s="249"/>
      <c r="Z1332" s="330"/>
      <c r="AA1332" s="343"/>
      <c r="AB1332" s="249"/>
      <c r="AC1332" s="330"/>
      <c r="AD1332" s="343"/>
      <c r="AE1332" s="249"/>
      <c r="AF1332" s="330"/>
      <c r="AG1332" s="343"/>
      <c r="AH1332" s="249"/>
      <c r="AI1332" s="330"/>
      <c r="AJ1332" s="343"/>
      <c r="AK1332" s="249"/>
      <c r="AL1332" s="330"/>
      <c r="AM1332" s="343"/>
      <c r="AN1332" s="249"/>
      <c r="AO1332" s="330"/>
      <c r="AP1332" s="343"/>
      <c r="AQ1332" s="249"/>
      <c r="AR1332" s="330"/>
      <c r="AS1332" s="343"/>
      <c r="AT1332" s="249"/>
      <c r="AU1332" s="330"/>
    </row>
    <row r="1333" spans="2:47">
      <c r="B1333" s="247">
        <f>'Table S2 Compound Identifiers'!C1335</f>
        <v>0</v>
      </c>
      <c r="C1333" s="247">
        <f>COUNTIF($D$6:D1333,"&lt;&gt;"&amp;"")</f>
        <v>1328</v>
      </c>
      <c r="D1333" s="247">
        <f>'Table S2 Compound Identifiers'!B1335</f>
        <v>0</v>
      </c>
      <c r="E1333" s="247"/>
      <c r="F1333" s="248"/>
      <c r="G1333" s="249"/>
      <c r="H1333" s="330"/>
      <c r="I1333" s="328"/>
      <c r="J1333" s="249"/>
      <c r="K1333" s="330"/>
      <c r="L1333" s="250"/>
      <c r="M1333" s="249"/>
      <c r="N1333" s="330"/>
      <c r="O1333" s="250"/>
      <c r="P1333" s="249"/>
      <c r="Q1333" s="330"/>
      <c r="R1333" s="250"/>
      <c r="S1333" s="249"/>
      <c r="T1333" s="330"/>
      <c r="U1333" s="250"/>
      <c r="V1333" s="249"/>
      <c r="W1333" s="330"/>
      <c r="X1333" s="343"/>
      <c r="Y1333" s="249"/>
      <c r="Z1333" s="330"/>
      <c r="AA1333" s="343"/>
      <c r="AB1333" s="249"/>
      <c r="AC1333" s="330"/>
      <c r="AD1333" s="343"/>
      <c r="AE1333" s="249"/>
      <c r="AF1333" s="330"/>
      <c r="AG1333" s="343"/>
      <c r="AH1333" s="249"/>
      <c r="AI1333" s="330"/>
      <c r="AJ1333" s="343"/>
      <c r="AK1333" s="249"/>
      <c r="AL1333" s="330"/>
      <c r="AM1333" s="343"/>
      <c r="AN1333" s="249"/>
      <c r="AO1333" s="330"/>
      <c r="AP1333" s="343"/>
      <c r="AQ1333" s="249"/>
      <c r="AR1333" s="330"/>
      <c r="AS1333" s="343"/>
      <c r="AT1333" s="249"/>
      <c r="AU1333" s="330"/>
    </row>
    <row r="1334" spans="2:47">
      <c r="B1334" s="247">
        <f>'Table S2 Compound Identifiers'!C1336</f>
        <v>0</v>
      </c>
      <c r="C1334" s="247">
        <f>COUNTIF($D$6:D1334,"&lt;&gt;"&amp;"")</f>
        <v>1329</v>
      </c>
      <c r="D1334" s="247">
        <f>'Table S2 Compound Identifiers'!B1336</f>
        <v>0</v>
      </c>
      <c r="E1334" s="247"/>
      <c r="F1334" s="248"/>
      <c r="G1334" s="249"/>
      <c r="H1334" s="330"/>
      <c r="I1334" s="328"/>
      <c r="J1334" s="249"/>
      <c r="K1334" s="330"/>
      <c r="L1334" s="250"/>
      <c r="M1334" s="249"/>
      <c r="N1334" s="330"/>
      <c r="O1334" s="250"/>
      <c r="P1334" s="249"/>
      <c r="Q1334" s="330"/>
      <c r="R1334" s="250"/>
      <c r="S1334" s="249"/>
      <c r="T1334" s="330"/>
      <c r="U1334" s="250"/>
      <c r="V1334" s="249"/>
      <c r="W1334" s="330"/>
      <c r="X1334" s="343"/>
      <c r="Y1334" s="249"/>
      <c r="Z1334" s="330"/>
      <c r="AA1334" s="343"/>
      <c r="AB1334" s="249"/>
      <c r="AC1334" s="330"/>
      <c r="AD1334" s="343"/>
      <c r="AE1334" s="249"/>
      <c r="AF1334" s="330"/>
      <c r="AG1334" s="343"/>
      <c r="AH1334" s="249"/>
      <c r="AI1334" s="330"/>
      <c r="AJ1334" s="343"/>
      <c r="AK1334" s="249"/>
      <c r="AL1334" s="330"/>
      <c r="AM1334" s="343"/>
      <c r="AN1334" s="249"/>
      <c r="AO1334" s="330"/>
      <c r="AP1334" s="343"/>
      <c r="AQ1334" s="249"/>
      <c r="AR1334" s="330"/>
      <c r="AS1334" s="343"/>
      <c r="AT1334" s="249"/>
      <c r="AU1334" s="330"/>
    </row>
    <row r="1335" spans="2:47">
      <c r="B1335" s="247">
        <f>'Table S2 Compound Identifiers'!C1337</f>
        <v>0</v>
      </c>
      <c r="C1335" s="247">
        <f>COUNTIF($D$6:D1335,"&lt;&gt;"&amp;"")</f>
        <v>1330</v>
      </c>
      <c r="D1335" s="247">
        <f>'Table S2 Compound Identifiers'!B1337</f>
        <v>0</v>
      </c>
      <c r="E1335" s="247"/>
      <c r="F1335" s="248"/>
      <c r="G1335" s="249"/>
      <c r="H1335" s="330"/>
      <c r="I1335" s="328"/>
      <c r="J1335" s="249"/>
      <c r="K1335" s="330"/>
      <c r="L1335" s="250"/>
      <c r="M1335" s="249"/>
      <c r="N1335" s="330"/>
      <c r="O1335" s="250"/>
      <c r="P1335" s="249"/>
      <c r="Q1335" s="330"/>
      <c r="R1335" s="250"/>
      <c r="S1335" s="249"/>
      <c r="T1335" s="330"/>
      <c r="U1335" s="250"/>
      <c r="V1335" s="249"/>
      <c r="W1335" s="330"/>
      <c r="X1335" s="343"/>
      <c r="Y1335" s="249"/>
      <c r="Z1335" s="330"/>
      <c r="AA1335" s="343"/>
      <c r="AB1335" s="249"/>
      <c r="AC1335" s="330"/>
      <c r="AD1335" s="343"/>
      <c r="AE1335" s="249"/>
      <c r="AF1335" s="330"/>
      <c r="AG1335" s="343"/>
      <c r="AH1335" s="249"/>
      <c r="AI1335" s="330"/>
      <c r="AJ1335" s="343"/>
      <c r="AK1335" s="249"/>
      <c r="AL1335" s="330"/>
      <c r="AM1335" s="343"/>
      <c r="AN1335" s="249"/>
      <c r="AO1335" s="330"/>
      <c r="AP1335" s="343"/>
      <c r="AQ1335" s="249"/>
      <c r="AR1335" s="330"/>
      <c r="AS1335" s="343"/>
      <c r="AT1335" s="249"/>
      <c r="AU1335" s="330"/>
    </row>
    <row r="1336" spans="2:47">
      <c r="B1336" s="247">
        <f>'Table S2 Compound Identifiers'!C1338</f>
        <v>0</v>
      </c>
      <c r="C1336" s="247">
        <f>COUNTIF($D$6:D1336,"&lt;&gt;"&amp;"")</f>
        <v>1331</v>
      </c>
      <c r="D1336" s="247">
        <f>'Table S2 Compound Identifiers'!B1338</f>
        <v>0</v>
      </c>
      <c r="E1336" s="247"/>
      <c r="F1336" s="248"/>
      <c r="G1336" s="249"/>
      <c r="H1336" s="330"/>
      <c r="I1336" s="328"/>
      <c r="J1336" s="249"/>
      <c r="K1336" s="330"/>
      <c r="L1336" s="250"/>
      <c r="M1336" s="249"/>
      <c r="N1336" s="330"/>
      <c r="O1336" s="251"/>
      <c r="P1336" s="252"/>
      <c r="Q1336" s="330"/>
      <c r="R1336" s="251"/>
      <c r="S1336" s="252"/>
      <c r="T1336" s="330"/>
      <c r="U1336" s="251"/>
      <c r="V1336" s="252"/>
      <c r="W1336" s="330"/>
      <c r="X1336" s="343"/>
      <c r="Y1336" s="249"/>
      <c r="Z1336" s="330"/>
      <c r="AA1336" s="343"/>
      <c r="AB1336" s="249"/>
      <c r="AC1336" s="330"/>
      <c r="AD1336" s="343"/>
      <c r="AE1336" s="249"/>
      <c r="AF1336" s="330"/>
      <c r="AG1336" s="343"/>
      <c r="AH1336" s="249"/>
      <c r="AI1336" s="330"/>
      <c r="AJ1336" s="343"/>
      <c r="AK1336" s="249"/>
      <c r="AL1336" s="330"/>
      <c r="AM1336" s="343"/>
      <c r="AN1336" s="249"/>
      <c r="AO1336" s="330"/>
      <c r="AP1336" s="343"/>
      <c r="AQ1336" s="249"/>
      <c r="AR1336" s="330"/>
      <c r="AS1336" s="343"/>
      <c r="AT1336" s="249"/>
      <c r="AU1336" s="330"/>
    </row>
    <row r="1337" spans="2:47">
      <c r="B1337" s="247">
        <f>'Table S2 Compound Identifiers'!C1339</f>
        <v>0</v>
      </c>
      <c r="C1337" s="253">
        <f>COUNTIF($D$6:D1337,"&lt;&gt;"&amp;"")</f>
        <v>1332</v>
      </c>
      <c r="D1337" s="253">
        <f>'Table S2 Compound Identifiers'!B1339</f>
        <v>0</v>
      </c>
      <c r="E1337" s="253"/>
      <c r="F1337" s="254"/>
      <c r="G1337" s="252"/>
      <c r="H1337" s="330"/>
      <c r="I1337" s="333"/>
      <c r="J1337" s="252"/>
      <c r="K1337" s="330"/>
      <c r="L1337" s="251"/>
      <c r="M1337" s="252"/>
      <c r="N1337" s="330"/>
      <c r="O1337" s="251"/>
      <c r="P1337" s="252"/>
      <c r="Q1337" s="330"/>
      <c r="R1337" s="251"/>
      <c r="S1337" s="252"/>
      <c r="T1337" s="330"/>
      <c r="U1337" s="251"/>
      <c r="V1337" s="252"/>
      <c r="W1337" s="330"/>
      <c r="X1337" s="343"/>
      <c r="Y1337" s="249"/>
      <c r="Z1337" s="330"/>
      <c r="AA1337" s="343"/>
      <c r="AB1337" s="249"/>
      <c r="AC1337" s="330"/>
      <c r="AD1337" s="343"/>
      <c r="AE1337" s="249"/>
      <c r="AF1337" s="330"/>
      <c r="AG1337" s="343"/>
      <c r="AH1337" s="249"/>
      <c r="AI1337" s="330"/>
      <c r="AJ1337" s="343"/>
      <c r="AK1337" s="249"/>
      <c r="AL1337" s="330"/>
      <c r="AM1337" s="343"/>
      <c r="AN1337" s="249"/>
      <c r="AO1337" s="330"/>
      <c r="AP1337" s="343"/>
      <c r="AQ1337" s="249"/>
      <c r="AR1337" s="330"/>
      <c r="AS1337" s="343"/>
      <c r="AT1337" s="249"/>
      <c r="AU1337" s="330"/>
    </row>
    <row r="1338" spans="2:47">
      <c r="B1338" s="247">
        <f>'Table S2 Compound Identifiers'!C1340</f>
        <v>0</v>
      </c>
      <c r="C1338" s="247">
        <f>COUNTIF($D$6:D1338,"&lt;&gt;"&amp;"")</f>
        <v>1333</v>
      </c>
      <c r="D1338" s="247">
        <f>'Table S2 Compound Identifiers'!B1340</f>
        <v>0</v>
      </c>
      <c r="E1338" s="247"/>
      <c r="F1338" s="248"/>
      <c r="G1338" s="250"/>
      <c r="H1338" s="330"/>
      <c r="I1338" s="343"/>
      <c r="J1338" s="249"/>
      <c r="K1338" s="327"/>
      <c r="L1338" s="343"/>
      <c r="M1338" s="249"/>
      <c r="N1338" s="327"/>
      <c r="O1338" s="343"/>
      <c r="P1338" s="249"/>
      <c r="Q1338" s="327"/>
      <c r="R1338" s="343"/>
      <c r="S1338" s="249"/>
      <c r="T1338" s="327"/>
      <c r="U1338" s="343"/>
      <c r="V1338" s="249"/>
      <c r="W1338" s="327"/>
      <c r="X1338" s="343"/>
      <c r="Y1338" s="249"/>
      <c r="Z1338" s="327"/>
      <c r="AA1338" s="343"/>
      <c r="AB1338" s="249"/>
      <c r="AC1338" s="343"/>
      <c r="AD1338" s="343"/>
      <c r="AE1338" s="249"/>
      <c r="AF1338" s="249"/>
      <c r="AG1338" s="343"/>
      <c r="AH1338" s="249"/>
      <c r="AI1338" s="343"/>
      <c r="AJ1338" s="343"/>
      <c r="AK1338" s="249"/>
      <c r="AL1338" s="249"/>
      <c r="AM1338" s="343"/>
      <c r="AN1338" s="249"/>
      <c r="AO1338" s="343"/>
      <c r="AP1338" s="343"/>
      <c r="AQ1338" s="249"/>
      <c r="AR1338" s="249"/>
      <c r="AS1338" s="343"/>
      <c r="AT1338" s="249"/>
      <c r="AU1338" s="343"/>
    </row>
    <row r="1339" spans="2:47">
      <c r="B1339" s="247">
        <f>'Table S2 Compound Identifiers'!C1341</f>
        <v>0</v>
      </c>
      <c r="C1339" s="247">
        <f>COUNTIF($D$6:D1339,"&lt;&gt;"&amp;"")</f>
        <v>1334</v>
      </c>
      <c r="D1339" s="247">
        <f>'Table S2 Compound Identifiers'!B1341</f>
        <v>0</v>
      </c>
      <c r="E1339" s="247"/>
      <c r="F1339" s="248"/>
      <c r="G1339" s="249"/>
      <c r="H1339" s="330"/>
      <c r="I1339" s="332"/>
      <c r="J1339" s="330"/>
      <c r="K1339" s="330"/>
      <c r="L1339" s="330"/>
      <c r="M1339" s="330"/>
      <c r="N1339" s="330"/>
      <c r="O1339" s="330"/>
      <c r="P1339" s="330"/>
      <c r="Q1339" s="330"/>
      <c r="R1339" s="330"/>
      <c r="S1339" s="330"/>
      <c r="T1339" s="330"/>
      <c r="U1339" s="330"/>
      <c r="V1339" s="330"/>
      <c r="W1339" s="330"/>
      <c r="X1339" s="343"/>
      <c r="Y1339" s="249"/>
      <c r="Z1339" s="330"/>
      <c r="AA1339" s="343"/>
      <c r="AB1339" s="249"/>
      <c r="AC1339" s="330"/>
      <c r="AD1339" s="343"/>
      <c r="AE1339" s="249"/>
      <c r="AF1339" s="330"/>
      <c r="AG1339" s="343"/>
      <c r="AH1339" s="249"/>
      <c r="AI1339" s="330"/>
      <c r="AJ1339" s="343"/>
      <c r="AK1339" s="249"/>
      <c r="AL1339" s="330"/>
      <c r="AM1339" s="343"/>
      <c r="AN1339" s="249"/>
      <c r="AO1339" s="330"/>
      <c r="AP1339" s="343"/>
      <c r="AQ1339" s="249"/>
      <c r="AR1339" s="330"/>
      <c r="AS1339" s="343"/>
      <c r="AT1339" s="249"/>
      <c r="AU1339" s="330"/>
    </row>
    <row r="1340" spans="2:47">
      <c r="B1340" s="247">
        <f>'Table S2 Compound Identifiers'!C1342</f>
        <v>0</v>
      </c>
      <c r="C1340" s="247">
        <f>COUNTIF($D$6:D1340,"&lt;&gt;"&amp;"")</f>
        <v>1335</v>
      </c>
      <c r="D1340" s="247">
        <f>'Table S2 Compound Identifiers'!B1342</f>
        <v>0</v>
      </c>
      <c r="E1340" s="247"/>
      <c r="F1340" s="248"/>
      <c r="G1340" s="249"/>
      <c r="H1340" s="330"/>
      <c r="I1340" s="332"/>
      <c r="J1340" s="330"/>
      <c r="K1340" s="330"/>
      <c r="L1340" s="330"/>
      <c r="M1340" s="330"/>
      <c r="N1340" s="330"/>
      <c r="O1340" s="330"/>
      <c r="P1340" s="330"/>
      <c r="Q1340" s="330"/>
      <c r="R1340" s="330"/>
      <c r="S1340" s="330"/>
      <c r="T1340" s="330"/>
      <c r="U1340" s="330"/>
      <c r="V1340" s="330"/>
      <c r="W1340" s="330"/>
      <c r="X1340" s="343"/>
      <c r="Y1340" s="249"/>
      <c r="Z1340" s="330"/>
      <c r="AA1340" s="343"/>
      <c r="AB1340" s="249"/>
      <c r="AC1340" s="330"/>
      <c r="AD1340" s="343"/>
      <c r="AE1340" s="249"/>
      <c r="AF1340" s="330"/>
      <c r="AG1340" s="343"/>
      <c r="AH1340" s="249"/>
      <c r="AI1340" s="330"/>
      <c r="AJ1340" s="343"/>
      <c r="AK1340" s="249"/>
      <c r="AL1340" s="330"/>
      <c r="AM1340" s="343"/>
      <c r="AN1340" s="249"/>
      <c r="AO1340" s="330"/>
      <c r="AP1340" s="343"/>
      <c r="AQ1340" s="249"/>
      <c r="AR1340" s="330"/>
      <c r="AS1340" s="343"/>
      <c r="AT1340" s="249"/>
      <c r="AU1340" s="330"/>
    </row>
    <row r="1341" spans="2:47">
      <c r="B1341" s="247">
        <f>'Table S2 Compound Identifiers'!C1343</f>
        <v>0</v>
      </c>
      <c r="C1341" s="247">
        <f>COUNTIF($D$6:D1341,"&lt;&gt;"&amp;"")</f>
        <v>1336</v>
      </c>
      <c r="D1341" s="247">
        <f>'Table S2 Compound Identifiers'!B1343</f>
        <v>0</v>
      </c>
      <c r="E1341" s="247"/>
      <c r="F1341" s="248"/>
      <c r="G1341" s="249"/>
      <c r="H1341" s="330"/>
      <c r="I1341" s="332"/>
      <c r="J1341" s="330"/>
      <c r="K1341" s="330"/>
      <c r="L1341" s="330"/>
      <c r="M1341" s="330"/>
      <c r="N1341" s="330"/>
      <c r="O1341" s="330"/>
      <c r="P1341" s="330"/>
      <c r="Q1341" s="330"/>
      <c r="R1341" s="330"/>
      <c r="S1341" s="330"/>
      <c r="T1341" s="330"/>
      <c r="U1341" s="330"/>
      <c r="V1341" s="330"/>
      <c r="W1341" s="330"/>
      <c r="X1341" s="343"/>
      <c r="Y1341" s="249"/>
      <c r="Z1341" s="330"/>
      <c r="AA1341" s="343"/>
      <c r="AB1341" s="249"/>
      <c r="AC1341" s="330"/>
      <c r="AD1341" s="343"/>
      <c r="AE1341" s="249"/>
      <c r="AF1341" s="330"/>
      <c r="AG1341" s="343"/>
      <c r="AH1341" s="249"/>
      <c r="AI1341" s="330"/>
      <c r="AJ1341" s="343"/>
      <c r="AK1341" s="249"/>
      <c r="AL1341" s="330"/>
      <c r="AM1341" s="343"/>
      <c r="AN1341" s="249"/>
      <c r="AO1341" s="330"/>
      <c r="AP1341" s="343"/>
      <c r="AQ1341" s="249"/>
      <c r="AR1341" s="330"/>
      <c r="AS1341" s="343"/>
      <c r="AT1341" s="249"/>
      <c r="AU1341" s="330"/>
    </row>
    <row r="1342" spans="2:47">
      <c r="B1342" s="247">
        <f>'Table S2 Compound Identifiers'!C1344</f>
        <v>0</v>
      </c>
      <c r="C1342" s="247">
        <f>COUNTIF($D$6:D1342,"&lt;&gt;"&amp;"")</f>
        <v>1337</v>
      </c>
      <c r="D1342" s="247">
        <f>'Table S2 Compound Identifiers'!B1344</f>
        <v>0</v>
      </c>
      <c r="E1342" s="247"/>
      <c r="F1342" s="248"/>
      <c r="G1342" s="249"/>
      <c r="H1342" s="330"/>
      <c r="I1342" s="328"/>
      <c r="J1342" s="249"/>
      <c r="K1342" s="330"/>
      <c r="L1342" s="250"/>
      <c r="M1342" s="249"/>
      <c r="N1342" s="330"/>
      <c r="O1342" s="250"/>
      <c r="P1342" s="249"/>
      <c r="Q1342" s="330"/>
      <c r="R1342" s="250"/>
      <c r="S1342" s="249"/>
      <c r="T1342" s="330"/>
      <c r="U1342" s="250"/>
      <c r="V1342" s="249"/>
      <c r="W1342" s="330"/>
      <c r="X1342" s="343"/>
      <c r="Y1342" s="249"/>
      <c r="Z1342" s="330"/>
      <c r="AA1342" s="343"/>
      <c r="AB1342" s="249"/>
      <c r="AC1342" s="330"/>
      <c r="AD1342" s="343"/>
      <c r="AE1342" s="249"/>
      <c r="AF1342" s="330"/>
      <c r="AG1342" s="343"/>
      <c r="AH1342" s="249"/>
      <c r="AI1342" s="330"/>
      <c r="AJ1342" s="343"/>
      <c r="AK1342" s="249"/>
      <c r="AL1342" s="330"/>
      <c r="AM1342" s="343"/>
      <c r="AN1342" s="249"/>
      <c r="AO1342" s="330"/>
      <c r="AP1342" s="343"/>
      <c r="AQ1342" s="249"/>
      <c r="AR1342" s="330"/>
      <c r="AS1342" s="343"/>
      <c r="AT1342" s="249"/>
      <c r="AU1342" s="330"/>
    </row>
    <row r="1343" spans="2:47">
      <c r="B1343" s="247">
        <f>'Table S2 Compound Identifiers'!C1345</f>
        <v>0</v>
      </c>
      <c r="C1343" s="247">
        <f>COUNTIF($D$6:D1343,"&lt;&gt;"&amp;"")</f>
        <v>1338</v>
      </c>
      <c r="D1343" s="247">
        <f>'Table S2 Compound Identifiers'!B1345</f>
        <v>0</v>
      </c>
      <c r="E1343" s="247"/>
      <c r="F1343" s="248"/>
      <c r="G1343" s="249"/>
      <c r="H1343" s="330"/>
      <c r="I1343" s="328"/>
      <c r="J1343" s="249"/>
      <c r="K1343" s="330"/>
      <c r="L1343" s="250"/>
      <c r="M1343" s="249"/>
      <c r="N1343" s="330"/>
      <c r="O1343" s="250"/>
      <c r="P1343" s="249"/>
      <c r="Q1343" s="330"/>
      <c r="R1343" s="250"/>
      <c r="S1343" s="249"/>
      <c r="T1343" s="330"/>
      <c r="U1343" s="250"/>
      <c r="V1343" s="249"/>
      <c r="W1343" s="330"/>
      <c r="X1343" s="343"/>
      <c r="Y1343" s="249"/>
      <c r="Z1343" s="330"/>
      <c r="AA1343" s="343"/>
      <c r="AB1343" s="249"/>
      <c r="AC1343" s="330"/>
      <c r="AD1343" s="343"/>
      <c r="AE1343" s="249"/>
      <c r="AF1343" s="330"/>
      <c r="AG1343" s="343"/>
      <c r="AH1343" s="249"/>
      <c r="AI1343" s="330"/>
      <c r="AJ1343" s="343"/>
      <c r="AK1343" s="249"/>
      <c r="AL1343" s="330"/>
      <c r="AM1343" s="343"/>
      <c r="AN1343" s="249"/>
      <c r="AO1343" s="330"/>
      <c r="AP1343" s="343"/>
      <c r="AQ1343" s="249"/>
      <c r="AR1343" s="330"/>
      <c r="AS1343" s="343"/>
      <c r="AT1343" s="249"/>
      <c r="AU1343" s="330"/>
    </row>
    <row r="1344" spans="2:47">
      <c r="B1344" s="247">
        <f>'Table S2 Compound Identifiers'!C1346</f>
        <v>0</v>
      </c>
      <c r="C1344" s="247">
        <f>COUNTIF($D$6:D1344,"&lt;&gt;"&amp;"")</f>
        <v>1339</v>
      </c>
      <c r="D1344" s="247">
        <f>'Table S2 Compound Identifiers'!B1346</f>
        <v>0</v>
      </c>
      <c r="E1344" s="247"/>
      <c r="F1344" s="248"/>
      <c r="G1344" s="249"/>
      <c r="H1344" s="330"/>
      <c r="I1344" s="328"/>
      <c r="J1344" s="249"/>
      <c r="K1344" s="330"/>
      <c r="L1344" s="250"/>
      <c r="M1344" s="249"/>
      <c r="N1344" s="330"/>
      <c r="O1344" s="250"/>
      <c r="P1344" s="249"/>
      <c r="Q1344" s="330"/>
      <c r="R1344" s="250"/>
      <c r="S1344" s="249"/>
      <c r="T1344" s="330"/>
      <c r="U1344" s="250"/>
      <c r="V1344" s="249"/>
      <c r="W1344" s="330"/>
      <c r="X1344" s="343"/>
      <c r="Y1344" s="249"/>
      <c r="Z1344" s="330"/>
      <c r="AA1344" s="343"/>
      <c r="AB1344" s="249"/>
      <c r="AC1344" s="330"/>
      <c r="AD1344" s="343"/>
      <c r="AE1344" s="249"/>
      <c r="AF1344" s="330"/>
      <c r="AG1344" s="343"/>
      <c r="AH1344" s="249"/>
      <c r="AI1344" s="330"/>
      <c r="AJ1344" s="343"/>
      <c r="AK1344" s="249"/>
      <c r="AL1344" s="330"/>
      <c r="AM1344" s="343"/>
      <c r="AN1344" s="249"/>
      <c r="AO1344" s="330"/>
      <c r="AP1344" s="343"/>
      <c r="AQ1344" s="249"/>
      <c r="AR1344" s="330"/>
      <c r="AS1344" s="343"/>
      <c r="AT1344" s="249"/>
      <c r="AU1344" s="330"/>
    </row>
    <row r="1345" spans="2:47">
      <c r="B1345" s="247">
        <f>'Table S2 Compound Identifiers'!C1347</f>
        <v>0</v>
      </c>
      <c r="C1345" s="247">
        <f>COUNTIF($D$6:D1345,"&lt;&gt;"&amp;"")</f>
        <v>1340</v>
      </c>
      <c r="D1345" s="247">
        <f>'Table S2 Compound Identifiers'!B1347</f>
        <v>0</v>
      </c>
      <c r="E1345" s="247"/>
      <c r="F1345" s="248"/>
      <c r="G1345" s="249"/>
      <c r="H1345" s="330"/>
      <c r="I1345" s="328"/>
      <c r="J1345" s="249"/>
      <c r="K1345" s="330"/>
      <c r="L1345" s="250"/>
      <c r="M1345" s="249"/>
      <c r="N1345" s="330"/>
      <c r="O1345" s="250"/>
      <c r="P1345" s="249"/>
      <c r="Q1345" s="330"/>
      <c r="R1345" s="250"/>
      <c r="S1345" s="249"/>
      <c r="T1345" s="330"/>
      <c r="U1345" s="250"/>
      <c r="V1345" s="249"/>
      <c r="W1345" s="330"/>
      <c r="X1345" s="343"/>
      <c r="Y1345" s="249"/>
      <c r="Z1345" s="330"/>
      <c r="AA1345" s="343"/>
      <c r="AB1345" s="249"/>
      <c r="AC1345" s="330"/>
      <c r="AD1345" s="343"/>
      <c r="AE1345" s="249"/>
      <c r="AF1345" s="330"/>
      <c r="AG1345" s="343"/>
      <c r="AH1345" s="249"/>
      <c r="AI1345" s="330"/>
      <c r="AJ1345" s="343"/>
      <c r="AK1345" s="249"/>
      <c r="AL1345" s="330"/>
      <c r="AM1345" s="343"/>
      <c r="AN1345" s="249"/>
      <c r="AO1345" s="330"/>
      <c r="AP1345" s="343"/>
      <c r="AQ1345" s="249"/>
      <c r="AR1345" s="330"/>
      <c r="AS1345" s="343"/>
      <c r="AT1345" s="249"/>
      <c r="AU1345" s="330"/>
    </row>
    <row r="1346" spans="2:47">
      <c r="B1346" s="247">
        <f>'Table S2 Compound Identifiers'!C1348</f>
        <v>0</v>
      </c>
      <c r="C1346" s="247">
        <f>COUNTIF($D$6:D1346,"&lt;&gt;"&amp;"")</f>
        <v>1341</v>
      </c>
      <c r="D1346" s="247">
        <f>'Table S2 Compound Identifiers'!B1348</f>
        <v>0</v>
      </c>
      <c r="E1346" s="247"/>
      <c r="F1346" s="248"/>
      <c r="G1346" s="249"/>
      <c r="H1346" s="330"/>
      <c r="I1346" s="328"/>
      <c r="J1346" s="249"/>
      <c r="K1346" s="330"/>
      <c r="L1346" s="250"/>
      <c r="M1346" s="249"/>
      <c r="N1346" s="330"/>
      <c r="O1346" s="250"/>
      <c r="P1346" s="249"/>
      <c r="Q1346" s="330"/>
      <c r="R1346" s="250"/>
      <c r="S1346" s="249"/>
      <c r="T1346" s="330"/>
      <c r="U1346" s="250"/>
      <c r="V1346" s="249"/>
      <c r="W1346" s="330"/>
      <c r="X1346" s="343"/>
      <c r="Y1346" s="249"/>
      <c r="Z1346" s="330"/>
      <c r="AA1346" s="343"/>
      <c r="AB1346" s="249"/>
      <c r="AC1346" s="330"/>
      <c r="AD1346" s="343"/>
      <c r="AE1346" s="249"/>
      <c r="AF1346" s="330"/>
      <c r="AG1346" s="343"/>
      <c r="AH1346" s="249"/>
      <c r="AI1346" s="330"/>
      <c r="AJ1346" s="343"/>
      <c r="AK1346" s="249"/>
      <c r="AL1346" s="330"/>
      <c r="AM1346" s="343"/>
      <c r="AN1346" s="249"/>
      <c r="AO1346" s="330"/>
      <c r="AP1346" s="343"/>
      <c r="AQ1346" s="249"/>
      <c r="AR1346" s="330"/>
      <c r="AS1346" s="343"/>
      <c r="AT1346" s="249"/>
      <c r="AU1346" s="330"/>
    </row>
    <row r="1347" spans="2:47">
      <c r="B1347" s="247">
        <f>'Table S2 Compound Identifiers'!C1349</f>
        <v>0</v>
      </c>
      <c r="C1347" s="247">
        <f>COUNTIF($D$6:D1347,"&lt;&gt;"&amp;"")</f>
        <v>1342</v>
      </c>
      <c r="D1347" s="247">
        <f>'Table S2 Compound Identifiers'!B1349</f>
        <v>0</v>
      </c>
      <c r="E1347" s="247"/>
      <c r="F1347" s="248"/>
      <c r="G1347" s="249"/>
      <c r="H1347" s="330"/>
      <c r="I1347" s="328"/>
      <c r="J1347" s="249"/>
      <c r="K1347" s="330"/>
      <c r="L1347" s="250"/>
      <c r="M1347" s="249"/>
      <c r="N1347" s="330"/>
      <c r="O1347" s="250"/>
      <c r="P1347" s="249"/>
      <c r="Q1347" s="330"/>
      <c r="R1347" s="250"/>
      <c r="S1347" s="249"/>
      <c r="T1347" s="330"/>
      <c r="U1347" s="250"/>
      <c r="V1347" s="249"/>
      <c r="W1347" s="330"/>
      <c r="X1347" s="343"/>
      <c r="Y1347" s="249"/>
      <c r="Z1347" s="330"/>
      <c r="AA1347" s="343"/>
      <c r="AB1347" s="249"/>
      <c r="AC1347" s="330"/>
      <c r="AD1347" s="343"/>
      <c r="AE1347" s="249"/>
      <c r="AF1347" s="330"/>
      <c r="AG1347" s="343"/>
      <c r="AH1347" s="249"/>
      <c r="AI1347" s="330"/>
      <c r="AJ1347" s="343"/>
      <c r="AK1347" s="249"/>
      <c r="AL1347" s="330"/>
      <c r="AM1347" s="343"/>
      <c r="AN1347" s="249"/>
      <c r="AO1347" s="330"/>
      <c r="AP1347" s="343"/>
      <c r="AQ1347" s="249"/>
      <c r="AR1347" s="330"/>
      <c r="AS1347" s="343"/>
      <c r="AT1347" s="249"/>
      <c r="AU1347" s="330"/>
    </row>
    <row r="1348" spans="2:47">
      <c r="B1348" s="247">
        <f>'Table S2 Compound Identifiers'!C1350</f>
        <v>0</v>
      </c>
      <c r="C1348" s="247">
        <f>COUNTIF($D$6:D1348,"&lt;&gt;"&amp;"")</f>
        <v>1343</v>
      </c>
      <c r="D1348" s="247">
        <f>'Table S2 Compound Identifiers'!B1350</f>
        <v>0</v>
      </c>
      <c r="E1348" s="247"/>
      <c r="F1348" s="248"/>
      <c r="G1348" s="249"/>
      <c r="H1348" s="330"/>
      <c r="I1348" s="328"/>
      <c r="J1348" s="249"/>
      <c r="K1348" s="330"/>
      <c r="L1348" s="250"/>
      <c r="M1348" s="249"/>
      <c r="N1348" s="330"/>
      <c r="O1348" s="250"/>
      <c r="P1348" s="249"/>
      <c r="Q1348" s="330"/>
      <c r="R1348" s="250"/>
      <c r="S1348" s="249"/>
      <c r="T1348" s="330"/>
      <c r="U1348" s="250"/>
      <c r="V1348" s="249"/>
      <c r="W1348" s="330"/>
      <c r="X1348" s="343"/>
      <c r="Y1348" s="249"/>
      <c r="Z1348" s="330"/>
      <c r="AA1348" s="343"/>
      <c r="AB1348" s="249"/>
      <c r="AC1348" s="330"/>
      <c r="AD1348" s="343"/>
      <c r="AE1348" s="249"/>
      <c r="AF1348" s="330"/>
      <c r="AG1348" s="343"/>
      <c r="AH1348" s="249"/>
      <c r="AI1348" s="330"/>
      <c r="AJ1348" s="343"/>
      <c r="AK1348" s="249"/>
      <c r="AL1348" s="330"/>
      <c r="AM1348" s="343"/>
      <c r="AN1348" s="249"/>
      <c r="AO1348" s="330"/>
      <c r="AP1348" s="343"/>
      <c r="AQ1348" s="249"/>
      <c r="AR1348" s="330"/>
      <c r="AS1348" s="343"/>
      <c r="AT1348" s="249"/>
      <c r="AU1348" s="330"/>
    </row>
    <row r="1349" spans="2:47">
      <c r="B1349" s="247">
        <f>'Table S2 Compound Identifiers'!C1351</f>
        <v>0</v>
      </c>
      <c r="C1349" s="247">
        <f>COUNTIF($D$6:D1349,"&lt;&gt;"&amp;"")</f>
        <v>1344</v>
      </c>
      <c r="D1349" s="247">
        <f>'Table S2 Compound Identifiers'!B1351</f>
        <v>0</v>
      </c>
      <c r="E1349" s="247"/>
      <c r="F1349" s="248"/>
      <c r="G1349" s="249"/>
      <c r="H1349" s="330"/>
      <c r="I1349" s="328"/>
      <c r="J1349" s="249"/>
      <c r="K1349" s="330"/>
      <c r="L1349" s="250"/>
      <c r="M1349" s="249"/>
      <c r="N1349" s="330"/>
      <c r="O1349" s="250"/>
      <c r="P1349" s="249"/>
      <c r="Q1349" s="330"/>
      <c r="R1349" s="250"/>
      <c r="S1349" s="249"/>
      <c r="T1349" s="330"/>
      <c r="U1349" s="250"/>
      <c r="V1349" s="249"/>
      <c r="W1349" s="330"/>
      <c r="X1349" s="343"/>
      <c r="Y1349" s="249"/>
      <c r="Z1349" s="330"/>
      <c r="AA1349" s="343"/>
      <c r="AB1349" s="249"/>
      <c r="AC1349" s="330"/>
      <c r="AD1349" s="343"/>
      <c r="AE1349" s="249"/>
      <c r="AF1349" s="330"/>
      <c r="AG1349" s="343"/>
      <c r="AH1349" s="249"/>
      <c r="AI1349" s="330"/>
      <c r="AJ1349" s="343"/>
      <c r="AK1349" s="249"/>
      <c r="AL1349" s="330"/>
      <c r="AM1349" s="343"/>
      <c r="AN1349" s="249"/>
      <c r="AO1349" s="330"/>
      <c r="AP1349" s="343"/>
      <c r="AQ1349" s="249"/>
      <c r="AR1349" s="330"/>
      <c r="AS1349" s="343"/>
      <c r="AT1349" s="249"/>
      <c r="AU1349" s="330"/>
    </row>
    <row r="1350" spans="2:47">
      <c r="B1350" s="247">
        <f>'Table S2 Compound Identifiers'!C1352</f>
        <v>0</v>
      </c>
      <c r="C1350" s="247">
        <f>COUNTIF($D$6:D1350,"&lt;&gt;"&amp;"")</f>
        <v>1345</v>
      </c>
      <c r="D1350" s="247">
        <f>'Table S2 Compound Identifiers'!B1352</f>
        <v>0</v>
      </c>
      <c r="E1350" s="247"/>
      <c r="F1350" s="248"/>
      <c r="G1350" s="249"/>
      <c r="H1350" s="330"/>
      <c r="I1350" s="328"/>
      <c r="J1350" s="249"/>
      <c r="K1350" s="330"/>
      <c r="L1350" s="250"/>
      <c r="M1350" s="249"/>
      <c r="N1350" s="330"/>
      <c r="O1350" s="250"/>
      <c r="P1350" s="249"/>
      <c r="Q1350" s="330"/>
      <c r="R1350" s="250"/>
      <c r="S1350" s="249"/>
      <c r="T1350" s="330"/>
      <c r="U1350" s="250"/>
      <c r="V1350" s="249"/>
      <c r="W1350" s="330"/>
      <c r="X1350" s="343"/>
      <c r="Y1350" s="249"/>
      <c r="Z1350" s="330"/>
      <c r="AA1350" s="343"/>
      <c r="AB1350" s="249"/>
      <c r="AC1350" s="330"/>
      <c r="AD1350" s="343"/>
      <c r="AE1350" s="249"/>
      <c r="AF1350" s="330"/>
      <c r="AG1350" s="343"/>
      <c r="AH1350" s="249"/>
      <c r="AI1350" s="330"/>
      <c r="AJ1350" s="343"/>
      <c r="AK1350" s="249"/>
      <c r="AL1350" s="330"/>
      <c r="AM1350" s="343"/>
      <c r="AN1350" s="249"/>
      <c r="AO1350" s="330"/>
      <c r="AP1350" s="343"/>
      <c r="AQ1350" s="249"/>
      <c r="AR1350" s="330"/>
      <c r="AS1350" s="343"/>
      <c r="AT1350" s="249"/>
      <c r="AU1350" s="330"/>
    </row>
    <row r="1351" spans="2:47">
      <c r="B1351" s="247">
        <f>'Table S2 Compound Identifiers'!C1353</f>
        <v>0</v>
      </c>
      <c r="C1351" s="247">
        <f>COUNTIF($D$6:D1351,"&lt;&gt;"&amp;"")</f>
        <v>1346</v>
      </c>
      <c r="D1351" s="247">
        <f>'Table S2 Compound Identifiers'!B1353</f>
        <v>0</v>
      </c>
      <c r="E1351" s="247"/>
      <c r="F1351" s="248"/>
      <c r="G1351" s="249"/>
      <c r="H1351" s="330"/>
      <c r="I1351" s="328"/>
      <c r="J1351" s="249"/>
      <c r="K1351" s="330"/>
      <c r="L1351" s="250"/>
      <c r="M1351" s="249"/>
      <c r="N1351" s="330"/>
      <c r="O1351" s="250"/>
      <c r="P1351" s="249"/>
      <c r="Q1351" s="330"/>
      <c r="R1351" s="250"/>
      <c r="S1351" s="249"/>
      <c r="T1351" s="330"/>
      <c r="U1351" s="250"/>
      <c r="V1351" s="249"/>
      <c r="W1351" s="330"/>
      <c r="X1351" s="343"/>
      <c r="Y1351" s="249"/>
      <c r="Z1351" s="330"/>
      <c r="AA1351" s="343"/>
      <c r="AB1351" s="249"/>
      <c r="AC1351" s="330"/>
      <c r="AD1351" s="343"/>
      <c r="AE1351" s="249"/>
      <c r="AF1351" s="330"/>
      <c r="AG1351" s="343"/>
      <c r="AH1351" s="249"/>
      <c r="AI1351" s="330"/>
      <c r="AJ1351" s="343"/>
      <c r="AK1351" s="249"/>
      <c r="AL1351" s="330"/>
      <c r="AM1351" s="343"/>
      <c r="AN1351" s="249"/>
      <c r="AO1351" s="330"/>
      <c r="AP1351" s="343"/>
      <c r="AQ1351" s="249"/>
      <c r="AR1351" s="330"/>
      <c r="AS1351" s="343"/>
      <c r="AT1351" s="249"/>
      <c r="AU1351" s="330"/>
    </row>
    <row r="1352" spans="2:47">
      <c r="B1352" s="247">
        <f>'Table S2 Compound Identifiers'!C1354</f>
        <v>0</v>
      </c>
      <c r="C1352" s="247">
        <f>COUNTIF($D$6:D1352,"&lt;&gt;"&amp;"")</f>
        <v>1347</v>
      </c>
      <c r="D1352" s="247">
        <f>'Table S2 Compound Identifiers'!B1354</f>
        <v>0</v>
      </c>
      <c r="E1352" s="247"/>
      <c r="F1352" s="248"/>
      <c r="G1352" s="249"/>
      <c r="H1352" s="330"/>
      <c r="I1352" s="328"/>
      <c r="J1352" s="249"/>
      <c r="K1352" s="330"/>
      <c r="L1352" s="250"/>
      <c r="M1352" s="249"/>
      <c r="N1352" s="330"/>
      <c r="O1352" s="250"/>
      <c r="P1352" s="249"/>
      <c r="Q1352" s="330"/>
      <c r="R1352" s="250"/>
      <c r="S1352" s="249"/>
      <c r="T1352" s="330"/>
      <c r="U1352" s="250"/>
      <c r="V1352" s="249"/>
      <c r="W1352" s="330"/>
      <c r="X1352" s="343"/>
      <c r="Y1352" s="249"/>
      <c r="Z1352" s="330"/>
      <c r="AA1352" s="343"/>
      <c r="AB1352" s="249"/>
      <c r="AC1352" s="330"/>
      <c r="AD1352" s="343"/>
      <c r="AE1352" s="249"/>
      <c r="AF1352" s="330"/>
      <c r="AG1352" s="343"/>
      <c r="AH1352" s="249"/>
      <c r="AI1352" s="330"/>
      <c r="AJ1352" s="343"/>
      <c r="AK1352" s="249"/>
      <c r="AL1352" s="330"/>
      <c r="AM1352" s="343"/>
      <c r="AN1352" s="249"/>
      <c r="AO1352" s="330"/>
      <c r="AP1352" s="343"/>
      <c r="AQ1352" s="249"/>
      <c r="AR1352" s="330"/>
      <c r="AS1352" s="343"/>
      <c r="AT1352" s="249"/>
      <c r="AU1352" s="330"/>
    </row>
    <row r="1353" spans="2:47">
      <c r="B1353" s="247">
        <f>'Table S2 Compound Identifiers'!C1355</f>
        <v>0</v>
      </c>
      <c r="C1353" s="247">
        <f>COUNTIF($D$6:D1353,"&lt;&gt;"&amp;"")</f>
        <v>1348</v>
      </c>
      <c r="D1353" s="247">
        <f>'Table S2 Compound Identifiers'!B1355</f>
        <v>0</v>
      </c>
      <c r="E1353" s="247"/>
      <c r="F1353" s="248"/>
      <c r="G1353" s="249"/>
      <c r="H1353" s="330"/>
      <c r="I1353" s="328"/>
      <c r="J1353" s="249"/>
      <c r="K1353" s="330"/>
      <c r="L1353" s="250"/>
      <c r="M1353" s="249"/>
      <c r="N1353" s="330"/>
      <c r="O1353" s="250"/>
      <c r="P1353" s="249"/>
      <c r="Q1353" s="330"/>
      <c r="R1353" s="250"/>
      <c r="S1353" s="249"/>
      <c r="T1353" s="330"/>
      <c r="U1353" s="250"/>
      <c r="V1353" s="249"/>
      <c r="W1353" s="330"/>
      <c r="X1353" s="343"/>
      <c r="Y1353" s="249"/>
      <c r="Z1353" s="330"/>
      <c r="AA1353" s="343"/>
      <c r="AB1353" s="249"/>
      <c r="AC1353" s="330"/>
      <c r="AD1353" s="343"/>
      <c r="AE1353" s="249"/>
      <c r="AF1353" s="330"/>
      <c r="AG1353" s="343"/>
      <c r="AH1353" s="249"/>
      <c r="AI1353" s="330"/>
      <c r="AJ1353" s="343"/>
      <c r="AK1353" s="249"/>
      <c r="AL1353" s="330"/>
      <c r="AM1353" s="343"/>
      <c r="AN1353" s="249"/>
      <c r="AO1353" s="330"/>
      <c r="AP1353" s="343"/>
      <c r="AQ1353" s="249"/>
      <c r="AR1353" s="330"/>
      <c r="AS1353" s="343"/>
      <c r="AT1353" s="249"/>
      <c r="AU1353" s="330"/>
    </row>
    <row r="1354" spans="2:47">
      <c r="B1354" s="247">
        <f>'Table S2 Compound Identifiers'!C1356</f>
        <v>0</v>
      </c>
      <c r="C1354" s="247">
        <f>COUNTIF($D$6:D1354,"&lt;&gt;"&amp;"")</f>
        <v>1349</v>
      </c>
      <c r="D1354" s="247">
        <f>'Table S2 Compound Identifiers'!B1356</f>
        <v>0</v>
      </c>
      <c r="E1354" s="247"/>
      <c r="F1354" s="248"/>
      <c r="G1354" s="249"/>
      <c r="H1354" s="330"/>
      <c r="I1354" s="328"/>
      <c r="J1354" s="249"/>
      <c r="K1354" s="330"/>
      <c r="L1354" s="250"/>
      <c r="M1354" s="249"/>
      <c r="N1354" s="330"/>
      <c r="O1354" s="250"/>
      <c r="P1354" s="249"/>
      <c r="Q1354" s="330"/>
      <c r="R1354" s="250"/>
      <c r="S1354" s="249"/>
      <c r="T1354" s="330"/>
      <c r="U1354" s="250"/>
      <c r="V1354" s="249"/>
      <c r="W1354" s="330"/>
      <c r="X1354" s="343"/>
      <c r="Y1354" s="249"/>
      <c r="Z1354" s="330"/>
      <c r="AA1354" s="343"/>
      <c r="AB1354" s="249"/>
      <c r="AC1354" s="330"/>
      <c r="AD1354" s="343"/>
      <c r="AE1354" s="249"/>
      <c r="AF1354" s="330"/>
      <c r="AG1354" s="343"/>
      <c r="AH1354" s="249"/>
      <c r="AI1354" s="330"/>
      <c r="AJ1354" s="343"/>
      <c r="AK1354" s="249"/>
      <c r="AL1354" s="330"/>
      <c r="AM1354" s="343"/>
      <c r="AN1354" s="249"/>
      <c r="AO1354" s="330"/>
      <c r="AP1354" s="343"/>
      <c r="AQ1354" s="249"/>
      <c r="AR1354" s="330"/>
      <c r="AS1354" s="343"/>
      <c r="AT1354" s="249"/>
      <c r="AU1354" s="330"/>
    </row>
    <row r="1355" spans="2:47">
      <c r="B1355" s="247">
        <f>'Table S2 Compound Identifiers'!C1357</f>
        <v>0</v>
      </c>
      <c r="C1355" s="247">
        <f>COUNTIF($D$6:D1355,"&lt;&gt;"&amp;"")</f>
        <v>1350</v>
      </c>
      <c r="D1355" s="247">
        <f>'Table S2 Compound Identifiers'!B1357</f>
        <v>0</v>
      </c>
      <c r="E1355" s="247"/>
      <c r="F1355" s="248"/>
      <c r="G1355" s="249"/>
      <c r="H1355" s="330"/>
      <c r="I1355" s="328"/>
      <c r="J1355" s="249"/>
      <c r="K1355" s="330"/>
      <c r="L1355" s="250"/>
      <c r="M1355" s="249"/>
      <c r="N1355" s="330"/>
      <c r="O1355" s="250"/>
      <c r="P1355" s="249"/>
      <c r="Q1355" s="330"/>
      <c r="R1355" s="250"/>
      <c r="S1355" s="249"/>
      <c r="T1355" s="330"/>
      <c r="U1355" s="250"/>
      <c r="V1355" s="249"/>
      <c r="W1355" s="330"/>
      <c r="X1355" s="343"/>
      <c r="Y1355" s="249"/>
      <c r="Z1355" s="330"/>
      <c r="AA1355" s="343"/>
      <c r="AB1355" s="249"/>
      <c r="AC1355" s="330"/>
      <c r="AD1355" s="343"/>
      <c r="AE1355" s="249"/>
      <c r="AF1355" s="330"/>
      <c r="AG1355" s="343"/>
      <c r="AH1355" s="249"/>
      <c r="AI1355" s="330"/>
      <c r="AJ1355" s="343"/>
      <c r="AK1355" s="249"/>
      <c r="AL1355" s="330"/>
      <c r="AM1355" s="343"/>
      <c r="AN1355" s="249"/>
      <c r="AO1355" s="330"/>
      <c r="AP1355" s="343"/>
      <c r="AQ1355" s="249"/>
      <c r="AR1355" s="330"/>
      <c r="AS1355" s="343"/>
      <c r="AT1355" s="249"/>
      <c r="AU1355" s="330"/>
    </row>
    <row r="1356" spans="2:47">
      <c r="B1356" s="247">
        <f>'Table S2 Compound Identifiers'!C1358</f>
        <v>0</v>
      </c>
      <c r="C1356" s="247">
        <f>COUNTIF($D$6:D1356,"&lt;&gt;"&amp;"")</f>
        <v>1351</v>
      </c>
      <c r="D1356" s="247">
        <f>'Table S2 Compound Identifiers'!B1358</f>
        <v>0</v>
      </c>
      <c r="E1356" s="247"/>
      <c r="F1356" s="248"/>
      <c r="G1356" s="249"/>
      <c r="H1356" s="330"/>
      <c r="I1356" s="328"/>
      <c r="J1356" s="249"/>
      <c r="K1356" s="330"/>
      <c r="L1356" s="250"/>
      <c r="M1356" s="249"/>
      <c r="N1356" s="330"/>
      <c r="O1356" s="250"/>
      <c r="P1356" s="249"/>
      <c r="Q1356" s="330"/>
      <c r="R1356" s="250"/>
      <c r="S1356" s="249"/>
      <c r="T1356" s="330"/>
      <c r="U1356" s="250"/>
      <c r="V1356" s="249"/>
      <c r="W1356" s="330"/>
      <c r="X1356" s="343"/>
      <c r="Y1356" s="249"/>
      <c r="Z1356" s="330"/>
      <c r="AA1356" s="343"/>
      <c r="AB1356" s="249"/>
      <c r="AC1356" s="330"/>
      <c r="AD1356" s="343"/>
      <c r="AE1356" s="249"/>
      <c r="AF1356" s="330"/>
      <c r="AG1356" s="343"/>
      <c r="AH1356" s="249"/>
      <c r="AI1356" s="330"/>
      <c r="AJ1356" s="343"/>
      <c r="AK1356" s="249"/>
      <c r="AL1356" s="330"/>
      <c r="AM1356" s="343"/>
      <c r="AN1356" s="249"/>
      <c r="AO1356" s="330"/>
      <c r="AP1356" s="343"/>
      <c r="AQ1356" s="249"/>
      <c r="AR1356" s="330"/>
      <c r="AS1356" s="343"/>
      <c r="AT1356" s="249"/>
      <c r="AU1356" s="330"/>
    </row>
    <row r="1357" spans="2:47">
      <c r="B1357" s="247">
        <f>'Table S2 Compound Identifiers'!C1359</f>
        <v>0</v>
      </c>
      <c r="C1357" s="247">
        <f>COUNTIF($D$6:D1357,"&lt;&gt;"&amp;"")</f>
        <v>1352</v>
      </c>
      <c r="D1357" s="247">
        <f>'Table S2 Compound Identifiers'!B1359</f>
        <v>0</v>
      </c>
      <c r="E1357" s="247"/>
      <c r="F1357" s="248"/>
      <c r="G1357" s="249"/>
      <c r="H1357" s="330"/>
      <c r="I1357" s="328"/>
      <c r="J1357" s="249"/>
      <c r="K1357" s="330"/>
      <c r="L1357" s="250"/>
      <c r="M1357" s="249"/>
      <c r="N1357" s="330"/>
      <c r="O1357" s="250"/>
      <c r="P1357" s="249"/>
      <c r="Q1357" s="330"/>
      <c r="R1357" s="250"/>
      <c r="S1357" s="249"/>
      <c r="T1357" s="330"/>
      <c r="U1357" s="250"/>
      <c r="V1357" s="249"/>
      <c r="W1357" s="330"/>
      <c r="X1357" s="343"/>
      <c r="Y1357" s="249"/>
      <c r="Z1357" s="330"/>
      <c r="AA1357" s="343"/>
      <c r="AB1357" s="249"/>
      <c r="AC1357" s="330"/>
      <c r="AD1357" s="343"/>
      <c r="AE1357" s="249"/>
      <c r="AF1357" s="330"/>
      <c r="AG1357" s="343"/>
      <c r="AH1357" s="249"/>
      <c r="AI1357" s="330"/>
      <c r="AJ1357" s="343"/>
      <c r="AK1357" s="249"/>
      <c r="AL1357" s="330"/>
      <c r="AM1357" s="343"/>
      <c r="AN1357" s="249"/>
      <c r="AO1357" s="330"/>
      <c r="AP1357" s="343"/>
      <c r="AQ1357" s="249"/>
      <c r="AR1357" s="330"/>
      <c r="AS1357" s="343"/>
      <c r="AT1357" s="249"/>
      <c r="AU1357" s="330"/>
    </row>
    <row r="1358" spans="2:47">
      <c r="B1358" s="247">
        <f>'Table S2 Compound Identifiers'!C1360</f>
        <v>0</v>
      </c>
      <c r="C1358" s="247">
        <f>COUNTIF($D$6:D1358,"&lt;&gt;"&amp;"")</f>
        <v>1353</v>
      </c>
      <c r="D1358" s="247">
        <f>'Table S2 Compound Identifiers'!B1360</f>
        <v>0</v>
      </c>
      <c r="E1358" s="247"/>
      <c r="F1358" s="248"/>
      <c r="G1358" s="249"/>
      <c r="H1358" s="330"/>
      <c r="I1358" s="328"/>
      <c r="J1358" s="249"/>
      <c r="K1358" s="330"/>
      <c r="L1358" s="250"/>
      <c r="M1358" s="249"/>
      <c r="N1358" s="330"/>
      <c r="O1358" s="250"/>
      <c r="P1358" s="249"/>
      <c r="Q1358" s="330"/>
      <c r="R1358" s="250"/>
      <c r="S1358" s="249"/>
      <c r="T1358" s="330"/>
      <c r="U1358" s="250"/>
      <c r="V1358" s="249"/>
      <c r="W1358" s="330"/>
      <c r="X1358" s="343"/>
      <c r="Y1358" s="249"/>
      <c r="Z1358" s="330"/>
      <c r="AA1358" s="343"/>
      <c r="AB1358" s="249"/>
      <c r="AC1358" s="330"/>
      <c r="AD1358" s="343"/>
      <c r="AE1358" s="249"/>
      <c r="AF1358" s="330"/>
      <c r="AG1358" s="343"/>
      <c r="AH1358" s="249"/>
      <c r="AI1358" s="330"/>
      <c r="AJ1358" s="343"/>
      <c r="AK1358" s="249"/>
      <c r="AL1358" s="330"/>
      <c r="AM1358" s="343"/>
      <c r="AN1358" s="249"/>
      <c r="AO1358" s="330"/>
      <c r="AP1358" s="343"/>
      <c r="AQ1358" s="249"/>
      <c r="AR1358" s="330"/>
      <c r="AS1358" s="343"/>
      <c r="AT1358" s="249"/>
      <c r="AU1358" s="330"/>
    </row>
    <row r="1359" spans="2:47">
      <c r="B1359" s="247">
        <f>'Table S2 Compound Identifiers'!C1361</f>
        <v>0</v>
      </c>
      <c r="C1359" s="247">
        <f>COUNTIF($D$6:D1359,"&lt;&gt;"&amp;"")</f>
        <v>1354</v>
      </c>
      <c r="D1359" s="247">
        <f>'Table S2 Compound Identifiers'!B1361</f>
        <v>0</v>
      </c>
      <c r="E1359" s="247"/>
      <c r="F1359" s="248"/>
      <c r="G1359" s="249"/>
      <c r="H1359" s="330"/>
      <c r="I1359" s="328"/>
      <c r="J1359" s="249"/>
      <c r="K1359" s="330"/>
      <c r="L1359" s="250"/>
      <c r="M1359" s="249"/>
      <c r="N1359" s="330"/>
      <c r="O1359" s="250"/>
      <c r="P1359" s="249"/>
      <c r="Q1359" s="330"/>
      <c r="R1359" s="250"/>
      <c r="S1359" s="249"/>
      <c r="T1359" s="330"/>
      <c r="U1359" s="250"/>
      <c r="V1359" s="249"/>
      <c r="W1359" s="330"/>
      <c r="X1359" s="343"/>
      <c r="Y1359" s="249"/>
      <c r="Z1359" s="330"/>
      <c r="AA1359" s="343"/>
      <c r="AB1359" s="249"/>
      <c r="AC1359" s="330"/>
      <c r="AD1359" s="343"/>
      <c r="AE1359" s="249"/>
      <c r="AF1359" s="330"/>
      <c r="AG1359" s="343"/>
      <c r="AH1359" s="249"/>
      <c r="AI1359" s="330"/>
      <c r="AJ1359" s="343"/>
      <c r="AK1359" s="249"/>
      <c r="AL1359" s="330"/>
      <c r="AM1359" s="343"/>
      <c r="AN1359" s="249"/>
      <c r="AO1359" s="330"/>
      <c r="AP1359" s="343"/>
      <c r="AQ1359" s="249"/>
      <c r="AR1359" s="330"/>
      <c r="AS1359" s="343"/>
      <c r="AT1359" s="249"/>
      <c r="AU1359" s="330"/>
    </row>
    <row r="1360" spans="2:47">
      <c r="B1360" s="247">
        <f>'Table S2 Compound Identifiers'!C1362</f>
        <v>0</v>
      </c>
      <c r="C1360" s="247">
        <f>COUNTIF($D$6:D1360,"&lt;&gt;"&amp;"")</f>
        <v>1355</v>
      </c>
      <c r="D1360" s="247">
        <f>'Table S2 Compound Identifiers'!B1362</f>
        <v>0</v>
      </c>
      <c r="E1360" s="247"/>
      <c r="F1360" s="248"/>
      <c r="G1360" s="249"/>
      <c r="H1360" s="330"/>
      <c r="I1360" s="328"/>
      <c r="J1360" s="249"/>
      <c r="K1360" s="330"/>
      <c r="L1360" s="250"/>
      <c r="M1360" s="249"/>
      <c r="N1360" s="330"/>
      <c r="O1360" s="250"/>
      <c r="P1360" s="249"/>
      <c r="Q1360" s="330"/>
      <c r="R1360" s="250"/>
      <c r="S1360" s="249"/>
      <c r="T1360" s="330"/>
      <c r="U1360" s="250"/>
      <c r="V1360" s="249"/>
      <c r="W1360" s="330"/>
      <c r="X1360" s="343"/>
      <c r="Y1360" s="249"/>
      <c r="Z1360" s="330"/>
      <c r="AA1360" s="343"/>
      <c r="AB1360" s="249"/>
      <c r="AC1360" s="330"/>
      <c r="AD1360" s="343"/>
      <c r="AE1360" s="249"/>
      <c r="AF1360" s="330"/>
      <c r="AG1360" s="343"/>
      <c r="AH1360" s="249"/>
      <c r="AI1360" s="330"/>
      <c r="AJ1360" s="343"/>
      <c r="AK1360" s="249"/>
      <c r="AL1360" s="330"/>
      <c r="AM1360" s="343"/>
      <c r="AN1360" s="249"/>
      <c r="AO1360" s="330"/>
      <c r="AP1360" s="343"/>
      <c r="AQ1360" s="249"/>
      <c r="AR1360" s="330"/>
      <c r="AS1360" s="343"/>
      <c r="AT1360" s="249"/>
      <c r="AU1360" s="330"/>
    </row>
    <row r="1361" spans="2:47">
      <c r="B1361" s="247">
        <f>'Table S2 Compound Identifiers'!C1363</f>
        <v>0</v>
      </c>
      <c r="C1361" s="247">
        <f>COUNTIF($D$6:D1361,"&lt;&gt;"&amp;"")</f>
        <v>1356</v>
      </c>
      <c r="D1361" s="247">
        <f>'Table S2 Compound Identifiers'!B1363</f>
        <v>0</v>
      </c>
      <c r="E1361" s="247"/>
      <c r="F1361" s="248"/>
      <c r="G1361" s="249"/>
      <c r="H1361" s="330"/>
      <c r="I1361" s="328"/>
      <c r="J1361" s="249"/>
      <c r="K1361" s="330"/>
      <c r="L1361" s="250"/>
      <c r="M1361" s="249"/>
      <c r="N1361" s="330"/>
      <c r="O1361" s="250"/>
      <c r="P1361" s="249"/>
      <c r="Q1361" s="330"/>
      <c r="R1361" s="250"/>
      <c r="S1361" s="249"/>
      <c r="T1361" s="330"/>
      <c r="U1361" s="250"/>
      <c r="V1361" s="249"/>
      <c r="W1361" s="330"/>
      <c r="X1361" s="343"/>
      <c r="Y1361" s="249"/>
      <c r="Z1361" s="330"/>
      <c r="AA1361" s="343"/>
      <c r="AB1361" s="249"/>
      <c r="AC1361" s="330"/>
      <c r="AD1361" s="343"/>
      <c r="AE1361" s="249"/>
      <c r="AF1361" s="330"/>
      <c r="AG1361" s="343"/>
      <c r="AH1361" s="249"/>
      <c r="AI1361" s="330"/>
      <c r="AJ1361" s="343"/>
      <c r="AK1361" s="249"/>
      <c r="AL1361" s="330"/>
      <c r="AM1361" s="343"/>
      <c r="AN1361" s="249"/>
      <c r="AO1361" s="330"/>
      <c r="AP1361" s="343"/>
      <c r="AQ1361" s="249"/>
      <c r="AR1361" s="330"/>
      <c r="AS1361" s="343"/>
      <c r="AT1361" s="249"/>
      <c r="AU1361" s="330"/>
    </row>
    <row r="1362" spans="2:47">
      <c r="B1362" s="247">
        <f>'Table S2 Compound Identifiers'!C1364</f>
        <v>0</v>
      </c>
      <c r="C1362" s="247">
        <f>COUNTIF($D$6:D1362,"&lt;&gt;"&amp;"")</f>
        <v>1357</v>
      </c>
      <c r="D1362" s="247">
        <f>'Table S2 Compound Identifiers'!B1364</f>
        <v>0</v>
      </c>
      <c r="E1362" s="247"/>
      <c r="F1362" s="248"/>
      <c r="G1362" s="249"/>
      <c r="H1362" s="330"/>
      <c r="I1362" s="328"/>
      <c r="J1362" s="249"/>
      <c r="K1362" s="330"/>
      <c r="L1362" s="250"/>
      <c r="M1362" s="249"/>
      <c r="N1362" s="330"/>
      <c r="O1362" s="250"/>
      <c r="P1362" s="249"/>
      <c r="Q1362" s="330"/>
      <c r="R1362" s="250"/>
      <c r="S1362" s="249"/>
      <c r="T1362" s="330"/>
      <c r="U1362" s="250"/>
      <c r="V1362" s="249"/>
      <c r="W1362" s="330"/>
      <c r="X1362" s="343"/>
      <c r="Y1362" s="249"/>
      <c r="Z1362" s="330"/>
      <c r="AA1362" s="343"/>
      <c r="AB1362" s="249"/>
      <c r="AC1362" s="330"/>
      <c r="AD1362" s="343"/>
      <c r="AE1362" s="249"/>
      <c r="AF1362" s="330"/>
      <c r="AG1362" s="343"/>
      <c r="AH1362" s="249"/>
      <c r="AI1362" s="330"/>
      <c r="AJ1362" s="343"/>
      <c r="AK1362" s="249"/>
      <c r="AL1362" s="330"/>
      <c r="AM1362" s="343"/>
      <c r="AN1362" s="249"/>
      <c r="AO1362" s="330"/>
      <c r="AP1362" s="343"/>
      <c r="AQ1362" s="249"/>
      <c r="AR1362" s="330"/>
      <c r="AS1362" s="343"/>
      <c r="AT1362" s="249"/>
      <c r="AU1362" s="330"/>
    </row>
    <row r="1363" spans="2:47">
      <c r="B1363" s="247">
        <f>'Table S2 Compound Identifiers'!C1365</f>
        <v>0</v>
      </c>
      <c r="C1363" s="247">
        <f>COUNTIF($D$6:D1363,"&lt;&gt;"&amp;"")</f>
        <v>1358</v>
      </c>
      <c r="D1363" s="247">
        <f>'Table S2 Compound Identifiers'!B1365</f>
        <v>0</v>
      </c>
      <c r="E1363" s="247"/>
      <c r="F1363" s="248"/>
      <c r="G1363" s="249"/>
      <c r="H1363" s="330"/>
      <c r="I1363" s="328"/>
      <c r="J1363" s="249"/>
      <c r="K1363" s="330"/>
      <c r="L1363" s="250"/>
      <c r="M1363" s="249"/>
      <c r="N1363" s="330"/>
      <c r="O1363" s="250"/>
      <c r="P1363" s="249"/>
      <c r="Q1363" s="330"/>
      <c r="R1363" s="250"/>
      <c r="S1363" s="249"/>
      <c r="T1363" s="330"/>
      <c r="U1363" s="250"/>
      <c r="V1363" s="249"/>
      <c r="W1363" s="330"/>
      <c r="X1363" s="343"/>
      <c r="Y1363" s="249"/>
      <c r="Z1363" s="330"/>
      <c r="AA1363" s="343"/>
      <c r="AB1363" s="249"/>
      <c r="AC1363" s="330"/>
      <c r="AD1363" s="343"/>
      <c r="AE1363" s="249"/>
      <c r="AF1363" s="330"/>
      <c r="AG1363" s="343"/>
      <c r="AH1363" s="249"/>
      <c r="AI1363" s="330"/>
      <c r="AJ1363" s="343"/>
      <c r="AK1363" s="249"/>
      <c r="AL1363" s="330"/>
      <c r="AM1363" s="343"/>
      <c r="AN1363" s="249"/>
      <c r="AO1363" s="330"/>
      <c r="AP1363" s="343"/>
      <c r="AQ1363" s="249"/>
      <c r="AR1363" s="330"/>
      <c r="AS1363" s="343"/>
      <c r="AT1363" s="249"/>
      <c r="AU1363" s="330"/>
    </row>
    <row r="1364" spans="2:47">
      <c r="B1364" s="247">
        <f>'Table S2 Compound Identifiers'!C1366</f>
        <v>0</v>
      </c>
      <c r="C1364" s="247">
        <f>COUNTIF($D$6:D1364,"&lt;&gt;"&amp;"")</f>
        <v>1359</v>
      </c>
      <c r="D1364" s="247">
        <f>'Table S2 Compound Identifiers'!B1366</f>
        <v>0</v>
      </c>
      <c r="E1364" s="247"/>
      <c r="F1364" s="248"/>
      <c r="G1364" s="249"/>
      <c r="H1364" s="330"/>
      <c r="I1364" s="328"/>
      <c r="J1364" s="249"/>
      <c r="K1364" s="330"/>
      <c r="L1364" s="250"/>
      <c r="M1364" s="249"/>
      <c r="N1364" s="330"/>
      <c r="O1364" s="250"/>
      <c r="P1364" s="249"/>
      <c r="Q1364" s="330"/>
      <c r="R1364" s="250"/>
      <c r="S1364" s="249"/>
      <c r="T1364" s="330"/>
      <c r="U1364" s="250"/>
      <c r="V1364" s="249"/>
      <c r="W1364" s="330"/>
      <c r="X1364" s="343"/>
      <c r="Y1364" s="249"/>
      <c r="Z1364" s="330"/>
      <c r="AA1364" s="343"/>
      <c r="AB1364" s="249"/>
      <c r="AC1364" s="330"/>
      <c r="AD1364" s="343"/>
      <c r="AE1364" s="249"/>
      <c r="AF1364" s="330"/>
      <c r="AG1364" s="343"/>
      <c r="AH1364" s="249"/>
      <c r="AI1364" s="330"/>
      <c r="AJ1364" s="343"/>
      <c r="AK1364" s="249"/>
      <c r="AL1364" s="330"/>
      <c r="AM1364" s="343"/>
      <c r="AN1364" s="249"/>
      <c r="AO1364" s="330"/>
      <c r="AP1364" s="343"/>
      <c r="AQ1364" s="249"/>
      <c r="AR1364" s="330"/>
      <c r="AS1364" s="343"/>
      <c r="AT1364" s="249"/>
      <c r="AU1364" s="330"/>
    </row>
    <row r="1365" spans="2:47">
      <c r="B1365" s="247">
        <f>'Table S2 Compound Identifiers'!C1367</f>
        <v>0</v>
      </c>
      <c r="C1365" s="247">
        <f>COUNTIF($D$6:D1365,"&lt;&gt;"&amp;"")</f>
        <v>1360</v>
      </c>
      <c r="D1365" s="247">
        <f>'Table S2 Compound Identifiers'!B1367</f>
        <v>0</v>
      </c>
      <c r="E1365" s="247"/>
      <c r="F1365" s="248"/>
      <c r="G1365" s="249"/>
      <c r="H1365" s="330"/>
      <c r="I1365" s="328"/>
      <c r="J1365" s="249"/>
      <c r="K1365" s="330"/>
      <c r="L1365" s="250"/>
      <c r="M1365" s="249"/>
      <c r="N1365" s="330"/>
      <c r="O1365" s="250"/>
      <c r="P1365" s="249"/>
      <c r="Q1365" s="330"/>
      <c r="R1365" s="250"/>
      <c r="S1365" s="249"/>
      <c r="T1365" s="330"/>
      <c r="U1365" s="250"/>
      <c r="V1365" s="249"/>
      <c r="W1365" s="330"/>
      <c r="X1365" s="343"/>
      <c r="Y1365" s="249"/>
      <c r="Z1365" s="330"/>
      <c r="AA1365" s="343"/>
      <c r="AB1365" s="249"/>
      <c r="AC1365" s="330"/>
      <c r="AD1365" s="343"/>
      <c r="AE1365" s="249"/>
      <c r="AF1365" s="330"/>
      <c r="AG1365" s="343"/>
      <c r="AH1365" s="249"/>
      <c r="AI1365" s="330"/>
      <c r="AJ1365" s="343"/>
      <c r="AK1365" s="249"/>
      <c r="AL1365" s="330"/>
      <c r="AM1365" s="343"/>
      <c r="AN1365" s="249"/>
      <c r="AO1365" s="330"/>
      <c r="AP1365" s="343"/>
      <c r="AQ1365" s="249"/>
      <c r="AR1365" s="330"/>
      <c r="AS1365" s="343"/>
      <c r="AT1365" s="249"/>
      <c r="AU1365" s="330"/>
    </row>
    <row r="1366" spans="2:47">
      <c r="B1366" s="247">
        <f>'Table S2 Compound Identifiers'!C1368</f>
        <v>0</v>
      </c>
      <c r="C1366" s="247">
        <f>COUNTIF($D$6:D1366,"&lt;&gt;"&amp;"")</f>
        <v>1361</v>
      </c>
      <c r="D1366" s="247">
        <f>'Table S2 Compound Identifiers'!B1368</f>
        <v>0</v>
      </c>
      <c r="E1366" s="247"/>
      <c r="F1366" s="248"/>
      <c r="G1366" s="249"/>
      <c r="H1366" s="330"/>
      <c r="I1366" s="328"/>
      <c r="J1366" s="249"/>
      <c r="K1366" s="330"/>
      <c r="L1366" s="250"/>
      <c r="M1366" s="249"/>
      <c r="N1366" s="330"/>
      <c r="O1366" s="250"/>
      <c r="P1366" s="249"/>
      <c r="Q1366" s="330"/>
      <c r="R1366" s="250"/>
      <c r="S1366" s="249"/>
      <c r="T1366" s="330"/>
      <c r="U1366" s="250"/>
      <c r="V1366" s="249"/>
      <c r="W1366" s="330"/>
      <c r="X1366" s="343"/>
      <c r="Y1366" s="249"/>
      <c r="Z1366" s="330"/>
      <c r="AA1366" s="343"/>
      <c r="AB1366" s="249"/>
      <c r="AC1366" s="330"/>
      <c r="AD1366" s="343"/>
      <c r="AE1366" s="249"/>
      <c r="AF1366" s="330"/>
      <c r="AG1366" s="343"/>
      <c r="AH1366" s="249"/>
      <c r="AI1366" s="330"/>
      <c r="AJ1366" s="343"/>
      <c r="AK1366" s="249"/>
      <c r="AL1366" s="330"/>
      <c r="AM1366" s="343"/>
      <c r="AN1366" s="249"/>
      <c r="AO1366" s="330"/>
      <c r="AP1366" s="343"/>
      <c r="AQ1366" s="249"/>
      <c r="AR1366" s="330"/>
      <c r="AS1366" s="343"/>
      <c r="AT1366" s="249"/>
      <c r="AU1366" s="330"/>
    </row>
    <row r="1367" spans="2:47">
      <c r="B1367" s="247">
        <f>'Table S2 Compound Identifiers'!C1369</f>
        <v>0</v>
      </c>
      <c r="C1367" s="247">
        <f>COUNTIF($D$6:D1367,"&lt;&gt;"&amp;"")</f>
        <v>1362</v>
      </c>
      <c r="D1367" s="247">
        <f>'Table S2 Compound Identifiers'!B1369</f>
        <v>0</v>
      </c>
      <c r="E1367" s="247"/>
      <c r="F1367" s="248"/>
      <c r="G1367" s="249"/>
      <c r="H1367" s="330"/>
      <c r="I1367" s="328"/>
      <c r="J1367" s="249"/>
      <c r="K1367" s="330"/>
      <c r="L1367" s="250"/>
      <c r="M1367" s="249"/>
      <c r="N1367" s="330"/>
      <c r="O1367" s="250"/>
      <c r="P1367" s="249"/>
      <c r="Q1367" s="330"/>
      <c r="R1367" s="250"/>
      <c r="S1367" s="249"/>
      <c r="T1367" s="330"/>
      <c r="U1367" s="250"/>
      <c r="V1367" s="249"/>
      <c r="W1367" s="330"/>
      <c r="X1367" s="343"/>
      <c r="Y1367" s="249"/>
      <c r="Z1367" s="330"/>
      <c r="AA1367" s="343"/>
      <c r="AB1367" s="249"/>
      <c r="AC1367" s="330"/>
      <c r="AD1367" s="343"/>
      <c r="AE1367" s="249"/>
      <c r="AF1367" s="330"/>
      <c r="AG1367" s="343"/>
      <c r="AH1367" s="249"/>
      <c r="AI1367" s="330"/>
      <c r="AJ1367" s="343"/>
      <c r="AK1367" s="249"/>
      <c r="AL1367" s="330"/>
      <c r="AM1367" s="343"/>
      <c r="AN1367" s="249"/>
      <c r="AO1367" s="330"/>
      <c r="AP1367" s="343"/>
      <c r="AQ1367" s="249"/>
      <c r="AR1367" s="330"/>
      <c r="AS1367" s="343"/>
      <c r="AT1367" s="249"/>
      <c r="AU1367" s="330"/>
    </row>
    <row r="1368" spans="2:47">
      <c r="B1368" s="247">
        <f>'Table S2 Compound Identifiers'!C1370</f>
        <v>0</v>
      </c>
      <c r="C1368" s="247">
        <f>COUNTIF($D$6:D1368,"&lt;&gt;"&amp;"")</f>
        <v>1363</v>
      </c>
      <c r="D1368" s="247">
        <f>'Table S2 Compound Identifiers'!B1370</f>
        <v>0</v>
      </c>
      <c r="E1368" s="247"/>
      <c r="F1368" s="248"/>
      <c r="G1368" s="249"/>
      <c r="H1368" s="330"/>
      <c r="I1368" s="328"/>
      <c r="J1368" s="249"/>
      <c r="K1368" s="330"/>
      <c r="L1368" s="250"/>
      <c r="M1368" s="249"/>
      <c r="N1368" s="330"/>
      <c r="O1368" s="250"/>
      <c r="P1368" s="249"/>
      <c r="Q1368" s="330"/>
      <c r="R1368" s="250"/>
      <c r="S1368" s="249"/>
      <c r="T1368" s="330"/>
      <c r="U1368" s="250"/>
      <c r="V1368" s="249"/>
      <c r="W1368" s="330"/>
      <c r="X1368" s="343"/>
      <c r="Y1368" s="249"/>
      <c r="Z1368" s="330"/>
      <c r="AA1368" s="343"/>
      <c r="AB1368" s="249"/>
      <c r="AC1368" s="330"/>
      <c r="AD1368" s="343"/>
      <c r="AE1368" s="249"/>
      <c r="AF1368" s="330"/>
      <c r="AG1368" s="343"/>
      <c r="AH1368" s="249"/>
      <c r="AI1368" s="330"/>
      <c r="AJ1368" s="343"/>
      <c r="AK1368" s="249"/>
      <c r="AL1368" s="330"/>
      <c r="AM1368" s="343"/>
      <c r="AN1368" s="249"/>
      <c r="AO1368" s="330"/>
      <c r="AP1368" s="343"/>
      <c r="AQ1368" s="249"/>
      <c r="AR1368" s="330"/>
      <c r="AS1368" s="343"/>
      <c r="AT1368" s="249"/>
      <c r="AU1368" s="330"/>
    </row>
    <row r="1369" spans="2:47">
      <c r="B1369" s="247">
        <f>'Table S2 Compound Identifiers'!C1371</f>
        <v>0</v>
      </c>
      <c r="C1369" s="247">
        <f>COUNTIF($D$6:D1369,"&lt;&gt;"&amp;"")</f>
        <v>1364</v>
      </c>
      <c r="D1369" s="247">
        <f>'Table S2 Compound Identifiers'!B1371</f>
        <v>0</v>
      </c>
      <c r="E1369" s="247"/>
      <c r="F1369" s="248"/>
      <c r="G1369" s="249"/>
      <c r="H1369" s="330"/>
      <c r="I1369" s="328"/>
      <c r="J1369" s="249"/>
      <c r="K1369" s="330"/>
      <c r="L1369" s="250"/>
      <c r="M1369" s="249"/>
      <c r="N1369" s="330"/>
      <c r="O1369" s="250"/>
      <c r="P1369" s="249"/>
      <c r="Q1369" s="330"/>
      <c r="R1369" s="250"/>
      <c r="S1369" s="249"/>
      <c r="T1369" s="330"/>
      <c r="U1369" s="250"/>
      <c r="V1369" s="249"/>
      <c r="W1369" s="330"/>
      <c r="X1369" s="343"/>
      <c r="Y1369" s="249"/>
      <c r="Z1369" s="330"/>
      <c r="AA1369" s="343"/>
      <c r="AB1369" s="249"/>
      <c r="AC1369" s="330"/>
      <c r="AD1369" s="343"/>
      <c r="AE1369" s="249"/>
      <c r="AF1369" s="330"/>
      <c r="AG1369" s="343"/>
      <c r="AH1369" s="249"/>
      <c r="AI1369" s="330"/>
      <c r="AJ1369" s="343"/>
      <c r="AK1369" s="249"/>
      <c r="AL1369" s="330"/>
      <c r="AM1369" s="343"/>
      <c r="AN1369" s="249"/>
      <c r="AO1369" s="330"/>
      <c r="AP1369" s="343"/>
      <c r="AQ1369" s="249"/>
      <c r="AR1369" s="330"/>
      <c r="AS1369" s="343"/>
      <c r="AT1369" s="249"/>
      <c r="AU1369" s="330"/>
    </row>
    <row r="1370" spans="2:47">
      <c r="B1370" s="247">
        <f>'Table S2 Compound Identifiers'!C1372</f>
        <v>0</v>
      </c>
      <c r="C1370" s="247">
        <f>COUNTIF($D$6:D1370,"&lt;&gt;"&amp;"")</f>
        <v>1365</v>
      </c>
      <c r="D1370" s="247">
        <f>'Table S2 Compound Identifiers'!B1372</f>
        <v>0</v>
      </c>
      <c r="E1370" s="247"/>
      <c r="F1370" s="248"/>
      <c r="G1370" s="249"/>
      <c r="H1370" s="330"/>
      <c r="I1370" s="328"/>
      <c r="J1370" s="249"/>
      <c r="K1370" s="330"/>
      <c r="L1370" s="250"/>
      <c r="M1370" s="249"/>
      <c r="N1370" s="330"/>
      <c r="O1370" s="250"/>
      <c r="P1370" s="249"/>
      <c r="Q1370" s="330"/>
      <c r="R1370" s="250"/>
      <c r="S1370" s="249"/>
      <c r="T1370" s="330"/>
      <c r="U1370" s="250"/>
      <c r="V1370" s="249"/>
      <c r="W1370" s="330"/>
      <c r="X1370" s="343"/>
      <c r="Y1370" s="249"/>
      <c r="Z1370" s="330"/>
      <c r="AA1370" s="343"/>
      <c r="AB1370" s="249"/>
      <c r="AC1370" s="330"/>
      <c r="AD1370" s="343"/>
      <c r="AE1370" s="249"/>
      <c r="AF1370" s="330"/>
      <c r="AG1370" s="343"/>
      <c r="AH1370" s="249"/>
      <c r="AI1370" s="330"/>
      <c r="AJ1370" s="343"/>
      <c r="AK1370" s="249"/>
      <c r="AL1370" s="330"/>
      <c r="AM1370" s="343"/>
      <c r="AN1370" s="249"/>
      <c r="AO1370" s="330"/>
      <c r="AP1370" s="343"/>
      <c r="AQ1370" s="249"/>
      <c r="AR1370" s="330"/>
      <c r="AS1370" s="343"/>
      <c r="AT1370" s="249"/>
      <c r="AU1370" s="330"/>
    </row>
    <row r="1371" spans="2:47">
      <c r="B1371" s="247">
        <f>'Table S2 Compound Identifiers'!C1373</f>
        <v>0</v>
      </c>
      <c r="C1371" s="247">
        <f>COUNTIF($D$6:D1371,"&lt;&gt;"&amp;"")</f>
        <v>1366</v>
      </c>
      <c r="D1371" s="247">
        <f>'Table S2 Compound Identifiers'!B1373</f>
        <v>0</v>
      </c>
      <c r="E1371" s="247"/>
      <c r="F1371" s="248"/>
      <c r="G1371" s="249"/>
      <c r="H1371" s="330"/>
      <c r="I1371" s="328"/>
      <c r="J1371" s="249"/>
      <c r="K1371" s="330"/>
      <c r="L1371" s="250"/>
      <c r="M1371" s="249"/>
      <c r="N1371" s="330"/>
      <c r="O1371" s="250"/>
      <c r="P1371" s="249"/>
      <c r="Q1371" s="330"/>
      <c r="R1371" s="250"/>
      <c r="S1371" s="249"/>
      <c r="T1371" s="330"/>
      <c r="U1371" s="250"/>
      <c r="V1371" s="249"/>
      <c r="W1371" s="330"/>
      <c r="X1371" s="343"/>
      <c r="Y1371" s="249"/>
      <c r="Z1371" s="330"/>
      <c r="AA1371" s="343"/>
      <c r="AB1371" s="249"/>
      <c r="AC1371" s="330"/>
      <c r="AD1371" s="343"/>
      <c r="AE1371" s="249"/>
      <c r="AF1371" s="330"/>
      <c r="AG1371" s="343"/>
      <c r="AH1371" s="249"/>
      <c r="AI1371" s="330"/>
      <c r="AJ1371" s="343"/>
      <c r="AK1371" s="249"/>
      <c r="AL1371" s="330"/>
      <c r="AM1371" s="343"/>
      <c r="AN1371" s="249"/>
      <c r="AO1371" s="330"/>
      <c r="AP1371" s="343"/>
      <c r="AQ1371" s="249"/>
      <c r="AR1371" s="330"/>
      <c r="AS1371" s="343"/>
      <c r="AT1371" s="249"/>
      <c r="AU1371" s="330"/>
    </row>
    <row r="1372" spans="2:47">
      <c r="B1372" s="247">
        <f>'Table S2 Compound Identifiers'!C1374</f>
        <v>0</v>
      </c>
      <c r="C1372" s="247">
        <f>COUNTIF($D$6:D1372,"&lt;&gt;"&amp;"")</f>
        <v>1367</v>
      </c>
      <c r="D1372" s="247">
        <f>'Table S2 Compound Identifiers'!B1374</f>
        <v>0</v>
      </c>
      <c r="E1372" s="247"/>
      <c r="F1372" s="248"/>
      <c r="G1372" s="249"/>
      <c r="H1372" s="330"/>
      <c r="I1372" s="328"/>
      <c r="J1372" s="249"/>
      <c r="K1372" s="330"/>
      <c r="L1372" s="250"/>
      <c r="M1372" s="249"/>
      <c r="N1372" s="330"/>
      <c r="O1372" s="250"/>
      <c r="P1372" s="249"/>
      <c r="Q1372" s="330"/>
      <c r="R1372" s="250"/>
      <c r="S1372" s="249"/>
      <c r="T1372" s="330"/>
      <c r="U1372" s="250"/>
      <c r="V1372" s="249"/>
      <c r="W1372" s="330"/>
      <c r="X1372" s="343"/>
      <c r="Y1372" s="249"/>
      <c r="Z1372" s="330"/>
      <c r="AA1372" s="343"/>
      <c r="AB1372" s="249"/>
      <c r="AC1372" s="330"/>
      <c r="AD1372" s="343"/>
      <c r="AE1372" s="249"/>
      <c r="AF1372" s="330"/>
      <c r="AG1372" s="343"/>
      <c r="AH1372" s="249"/>
      <c r="AI1372" s="330"/>
      <c r="AJ1372" s="343"/>
      <c r="AK1372" s="249"/>
      <c r="AL1372" s="330"/>
      <c r="AM1372" s="343"/>
      <c r="AN1372" s="249"/>
      <c r="AO1372" s="330"/>
      <c r="AP1372" s="343"/>
      <c r="AQ1372" s="249"/>
      <c r="AR1372" s="330"/>
      <c r="AS1372" s="343"/>
      <c r="AT1372" s="249"/>
      <c r="AU1372" s="330"/>
    </row>
    <row r="1373" spans="2:47">
      <c r="B1373" s="247">
        <f>'Table S2 Compound Identifiers'!C1375</f>
        <v>0</v>
      </c>
      <c r="C1373" s="247">
        <f>COUNTIF($D$6:D1373,"&lt;&gt;"&amp;"")</f>
        <v>1368</v>
      </c>
      <c r="D1373" s="247">
        <f>'Table S2 Compound Identifiers'!B1375</f>
        <v>0</v>
      </c>
      <c r="E1373" s="247"/>
      <c r="F1373" s="248"/>
      <c r="G1373" s="249"/>
      <c r="H1373" s="330"/>
      <c r="I1373" s="328"/>
      <c r="J1373" s="249"/>
      <c r="K1373" s="330"/>
      <c r="L1373" s="250"/>
      <c r="M1373" s="249"/>
      <c r="N1373" s="330"/>
      <c r="O1373" s="250"/>
      <c r="P1373" s="249"/>
      <c r="Q1373" s="330"/>
      <c r="R1373" s="250"/>
      <c r="S1373" s="249"/>
      <c r="T1373" s="330"/>
      <c r="U1373" s="250"/>
      <c r="V1373" s="249"/>
      <c r="W1373" s="330"/>
      <c r="X1373" s="343"/>
      <c r="Y1373" s="249"/>
      <c r="Z1373" s="330"/>
      <c r="AA1373" s="343"/>
      <c r="AB1373" s="249"/>
      <c r="AC1373" s="330"/>
      <c r="AD1373" s="343"/>
      <c r="AE1373" s="249"/>
      <c r="AF1373" s="330"/>
      <c r="AG1373" s="343"/>
      <c r="AH1373" s="249"/>
      <c r="AI1373" s="330"/>
      <c r="AJ1373" s="343"/>
      <c r="AK1373" s="249"/>
      <c r="AL1373" s="330"/>
      <c r="AM1373" s="343"/>
      <c r="AN1373" s="249"/>
      <c r="AO1373" s="330"/>
      <c r="AP1373" s="343"/>
      <c r="AQ1373" s="249"/>
      <c r="AR1373" s="330"/>
      <c r="AS1373" s="343"/>
      <c r="AT1373" s="249"/>
      <c r="AU1373" s="330"/>
    </row>
    <row r="1374" spans="2:47">
      <c r="B1374" s="247">
        <f>'Table S2 Compound Identifiers'!C1376</f>
        <v>0</v>
      </c>
      <c r="C1374" s="247">
        <f>COUNTIF($D$6:D1374,"&lt;&gt;"&amp;"")</f>
        <v>1369</v>
      </c>
      <c r="D1374" s="247">
        <f>'Table S2 Compound Identifiers'!B1376</f>
        <v>0</v>
      </c>
      <c r="E1374" s="247"/>
      <c r="F1374" s="248"/>
      <c r="G1374" s="249"/>
      <c r="H1374" s="330"/>
      <c r="I1374" s="328"/>
      <c r="J1374" s="249"/>
      <c r="K1374" s="330"/>
      <c r="L1374" s="250"/>
      <c r="M1374" s="249"/>
      <c r="N1374" s="330"/>
      <c r="O1374" s="250"/>
      <c r="P1374" s="249"/>
      <c r="Q1374" s="330"/>
      <c r="R1374" s="250"/>
      <c r="S1374" s="249"/>
      <c r="T1374" s="330"/>
      <c r="U1374" s="250"/>
      <c r="V1374" s="249"/>
      <c r="W1374" s="330"/>
      <c r="X1374" s="343"/>
      <c r="Y1374" s="249"/>
      <c r="Z1374" s="330"/>
      <c r="AA1374" s="343"/>
      <c r="AB1374" s="249"/>
      <c r="AC1374" s="330"/>
      <c r="AD1374" s="343"/>
      <c r="AE1374" s="249"/>
      <c r="AF1374" s="330"/>
      <c r="AG1374" s="343"/>
      <c r="AH1374" s="249"/>
      <c r="AI1374" s="330"/>
      <c r="AJ1374" s="343"/>
      <c r="AK1374" s="249"/>
      <c r="AL1374" s="330"/>
      <c r="AM1374" s="343"/>
      <c r="AN1374" s="249"/>
      <c r="AO1374" s="330"/>
      <c r="AP1374" s="343"/>
      <c r="AQ1374" s="249"/>
      <c r="AR1374" s="330"/>
      <c r="AS1374" s="343"/>
      <c r="AT1374" s="249"/>
      <c r="AU1374" s="330"/>
    </row>
    <row r="1375" spans="2:47">
      <c r="B1375" s="247">
        <f>'Table S2 Compound Identifiers'!C1377</f>
        <v>0</v>
      </c>
      <c r="C1375" s="247">
        <f>COUNTIF($D$6:D1375,"&lt;&gt;"&amp;"")</f>
        <v>1370</v>
      </c>
      <c r="D1375" s="247">
        <f>'Table S2 Compound Identifiers'!B1377</f>
        <v>0</v>
      </c>
      <c r="E1375" s="247"/>
      <c r="F1375" s="248"/>
      <c r="G1375" s="249"/>
      <c r="H1375" s="330"/>
      <c r="I1375" s="328"/>
      <c r="J1375" s="249"/>
      <c r="K1375" s="330"/>
      <c r="L1375" s="250"/>
      <c r="M1375" s="249"/>
      <c r="N1375" s="330"/>
      <c r="O1375" s="250"/>
      <c r="P1375" s="249"/>
      <c r="Q1375" s="330"/>
      <c r="R1375" s="250"/>
      <c r="S1375" s="249"/>
      <c r="T1375" s="330"/>
      <c r="U1375" s="250"/>
      <c r="V1375" s="249"/>
      <c r="W1375" s="330"/>
      <c r="X1375" s="343"/>
      <c r="Y1375" s="249"/>
      <c r="Z1375" s="330"/>
      <c r="AA1375" s="343"/>
      <c r="AB1375" s="249"/>
      <c r="AC1375" s="330"/>
      <c r="AD1375" s="343"/>
      <c r="AE1375" s="249"/>
      <c r="AF1375" s="330"/>
      <c r="AG1375" s="343"/>
      <c r="AH1375" s="249"/>
      <c r="AI1375" s="330"/>
      <c r="AJ1375" s="343"/>
      <c r="AK1375" s="249"/>
      <c r="AL1375" s="330"/>
      <c r="AM1375" s="343"/>
      <c r="AN1375" s="249"/>
      <c r="AO1375" s="330"/>
      <c r="AP1375" s="343"/>
      <c r="AQ1375" s="249"/>
      <c r="AR1375" s="330"/>
      <c r="AS1375" s="343"/>
      <c r="AT1375" s="249"/>
      <c r="AU1375" s="330"/>
    </row>
    <row r="1376" spans="2:47">
      <c r="B1376" s="247">
        <f>'Table S2 Compound Identifiers'!C1378</f>
        <v>0</v>
      </c>
      <c r="C1376" s="247">
        <f>COUNTIF($D$6:D1376,"&lt;&gt;"&amp;"")</f>
        <v>1371</v>
      </c>
      <c r="D1376" s="247">
        <f>'Table S2 Compound Identifiers'!B1378</f>
        <v>0</v>
      </c>
      <c r="E1376" s="247"/>
      <c r="F1376" s="248"/>
      <c r="G1376" s="249"/>
      <c r="H1376" s="330"/>
      <c r="I1376" s="328"/>
      <c r="J1376" s="249"/>
      <c r="K1376" s="330"/>
      <c r="L1376" s="250"/>
      <c r="M1376" s="249"/>
      <c r="N1376" s="330"/>
      <c r="O1376" s="250"/>
      <c r="P1376" s="249"/>
      <c r="Q1376" s="330"/>
      <c r="R1376" s="250"/>
      <c r="S1376" s="249"/>
      <c r="T1376" s="330"/>
      <c r="U1376" s="250"/>
      <c r="V1376" s="249"/>
      <c r="W1376" s="330"/>
      <c r="X1376" s="343"/>
      <c r="Y1376" s="249"/>
      <c r="Z1376" s="330"/>
      <c r="AA1376" s="343"/>
      <c r="AB1376" s="249"/>
      <c r="AC1376" s="330"/>
      <c r="AD1376" s="343"/>
      <c r="AE1376" s="249"/>
      <c r="AF1376" s="330"/>
      <c r="AG1376" s="343"/>
      <c r="AH1376" s="249"/>
      <c r="AI1376" s="330"/>
      <c r="AJ1376" s="343"/>
      <c r="AK1376" s="249"/>
      <c r="AL1376" s="330"/>
      <c r="AM1376" s="343"/>
      <c r="AN1376" s="249"/>
      <c r="AO1376" s="330"/>
      <c r="AP1376" s="343"/>
      <c r="AQ1376" s="249"/>
      <c r="AR1376" s="330"/>
      <c r="AS1376" s="343"/>
      <c r="AT1376" s="249"/>
      <c r="AU1376" s="330"/>
    </row>
    <row r="1377" spans="2:47">
      <c r="B1377" s="247">
        <f>'Table S2 Compound Identifiers'!C1379</f>
        <v>0</v>
      </c>
      <c r="C1377" s="247">
        <f>COUNTIF($D$6:D1377,"&lt;&gt;"&amp;"")</f>
        <v>1372</v>
      </c>
      <c r="D1377" s="247">
        <f>'Table S2 Compound Identifiers'!B1379</f>
        <v>0</v>
      </c>
      <c r="E1377" s="247"/>
      <c r="F1377" s="248"/>
      <c r="G1377" s="249"/>
      <c r="H1377" s="330"/>
      <c r="I1377" s="328"/>
      <c r="J1377" s="249"/>
      <c r="K1377" s="330"/>
      <c r="L1377" s="250"/>
      <c r="M1377" s="249"/>
      <c r="N1377" s="330"/>
      <c r="O1377" s="250"/>
      <c r="P1377" s="249"/>
      <c r="Q1377" s="330"/>
      <c r="R1377" s="250"/>
      <c r="S1377" s="249"/>
      <c r="T1377" s="330"/>
      <c r="U1377" s="250"/>
      <c r="V1377" s="249"/>
      <c r="W1377" s="330"/>
      <c r="X1377" s="343"/>
      <c r="Y1377" s="249"/>
      <c r="Z1377" s="330"/>
      <c r="AA1377" s="343"/>
      <c r="AB1377" s="249"/>
      <c r="AC1377" s="330"/>
      <c r="AD1377" s="343"/>
      <c r="AE1377" s="249"/>
      <c r="AF1377" s="330"/>
      <c r="AG1377" s="343"/>
      <c r="AH1377" s="249"/>
      <c r="AI1377" s="330"/>
      <c r="AJ1377" s="343"/>
      <c r="AK1377" s="249"/>
      <c r="AL1377" s="330"/>
      <c r="AM1377" s="343"/>
      <c r="AN1377" s="249"/>
      <c r="AO1377" s="330"/>
      <c r="AP1377" s="343"/>
      <c r="AQ1377" s="249"/>
      <c r="AR1377" s="330"/>
      <c r="AS1377" s="343"/>
      <c r="AT1377" s="249"/>
      <c r="AU1377" s="330"/>
    </row>
    <row r="1378" spans="2:47">
      <c r="B1378" s="247">
        <f>'Table S2 Compound Identifiers'!C1380</f>
        <v>0</v>
      </c>
      <c r="C1378" s="247">
        <f>COUNTIF($D$6:D1378,"&lt;&gt;"&amp;"")</f>
        <v>1373</v>
      </c>
      <c r="D1378" s="247">
        <f>'Table S2 Compound Identifiers'!B1380</f>
        <v>0</v>
      </c>
      <c r="E1378" s="247"/>
      <c r="F1378" s="248"/>
      <c r="G1378" s="249"/>
      <c r="H1378" s="330"/>
      <c r="I1378" s="328"/>
      <c r="J1378" s="249"/>
      <c r="K1378" s="330"/>
      <c r="L1378" s="250"/>
      <c r="M1378" s="249"/>
      <c r="N1378" s="330"/>
      <c r="O1378" s="250"/>
      <c r="P1378" s="249"/>
      <c r="Q1378" s="330"/>
      <c r="R1378" s="250"/>
      <c r="S1378" s="249"/>
      <c r="T1378" s="330"/>
      <c r="U1378" s="250"/>
      <c r="V1378" s="249"/>
      <c r="W1378" s="330"/>
      <c r="X1378" s="343"/>
      <c r="Y1378" s="249"/>
      <c r="Z1378" s="330"/>
      <c r="AA1378" s="343"/>
      <c r="AB1378" s="249"/>
      <c r="AC1378" s="330"/>
      <c r="AD1378" s="343"/>
      <c r="AE1378" s="249"/>
      <c r="AF1378" s="330"/>
      <c r="AG1378" s="343"/>
      <c r="AH1378" s="249"/>
      <c r="AI1378" s="330"/>
      <c r="AJ1378" s="343"/>
      <c r="AK1378" s="249"/>
      <c r="AL1378" s="330"/>
      <c r="AM1378" s="343"/>
      <c r="AN1378" s="249"/>
      <c r="AO1378" s="330"/>
      <c r="AP1378" s="343"/>
      <c r="AQ1378" s="249"/>
      <c r="AR1378" s="330"/>
      <c r="AS1378" s="343"/>
      <c r="AT1378" s="249"/>
      <c r="AU1378" s="330"/>
    </row>
    <row r="1379" spans="2:47">
      <c r="B1379" s="247">
        <f>'Table S2 Compound Identifiers'!C1381</f>
        <v>0</v>
      </c>
      <c r="C1379" s="247">
        <f>COUNTIF($D$6:D1379,"&lt;&gt;"&amp;"")</f>
        <v>1374</v>
      </c>
      <c r="D1379" s="247">
        <f>'Table S2 Compound Identifiers'!B1381</f>
        <v>0</v>
      </c>
      <c r="E1379" s="247"/>
      <c r="F1379" s="248"/>
      <c r="G1379" s="249"/>
      <c r="H1379" s="330"/>
      <c r="I1379" s="328"/>
      <c r="J1379" s="249"/>
      <c r="K1379" s="330"/>
      <c r="L1379" s="250"/>
      <c r="M1379" s="249"/>
      <c r="N1379" s="330"/>
      <c r="O1379" s="250"/>
      <c r="P1379" s="249"/>
      <c r="Q1379" s="330"/>
      <c r="R1379" s="250"/>
      <c r="S1379" s="249"/>
      <c r="T1379" s="330"/>
      <c r="U1379" s="250"/>
      <c r="V1379" s="249"/>
      <c r="W1379" s="330"/>
      <c r="X1379" s="343"/>
      <c r="Y1379" s="249"/>
      <c r="Z1379" s="330"/>
      <c r="AA1379" s="343"/>
      <c r="AB1379" s="249"/>
      <c r="AC1379" s="330"/>
      <c r="AD1379" s="343"/>
      <c r="AE1379" s="249"/>
      <c r="AF1379" s="330"/>
      <c r="AG1379" s="343"/>
      <c r="AH1379" s="249"/>
      <c r="AI1379" s="330"/>
      <c r="AJ1379" s="343"/>
      <c r="AK1379" s="249"/>
      <c r="AL1379" s="330"/>
      <c r="AM1379" s="343"/>
      <c r="AN1379" s="249"/>
      <c r="AO1379" s="330"/>
      <c r="AP1379" s="343"/>
      <c r="AQ1379" s="249"/>
      <c r="AR1379" s="330"/>
      <c r="AS1379" s="343"/>
      <c r="AT1379" s="249"/>
      <c r="AU1379" s="330"/>
    </row>
    <row r="1380" spans="2:47">
      <c r="B1380" s="247">
        <f>'Table S2 Compound Identifiers'!C1382</f>
        <v>0</v>
      </c>
      <c r="C1380" s="247">
        <f>COUNTIF($D$6:D1380,"&lt;&gt;"&amp;"")</f>
        <v>1375</v>
      </c>
      <c r="D1380" s="247">
        <f>'Table S2 Compound Identifiers'!B1382</f>
        <v>0</v>
      </c>
      <c r="E1380" s="247"/>
      <c r="F1380" s="248"/>
      <c r="G1380" s="249"/>
      <c r="H1380" s="330"/>
      <c r="I1380" s="328"/>
      <c r="J1380" s="249"/>
      <c r="K1380" s="330"/>
      <c r="L1380" s="250"/>
      <c r="M1380" s="249"/>
      <c r="N1380" s="330"/>
      <c r="O1380" s="250"/>
      <c r="P1380" s="249"/>
      <c r="Q1380" s="330"/>
      <c r="R1380" s="250"/>
      <c r="S1380" s="249"/>
      <c r="T1380" s="330"/>
      <c r="U1380" s="250"/>
      <c r="V1380" s="249"/>
      <c r="W1380" s="330"/>
      <c r="X1380" s="343"/>
      <c r="Y1380" s="249"/>
      <c r="Z1380" s="330"/>
      <c r="AA1380" s="343"/>
      <c r="AB1380" s="249"/>
      <c r="AC1380" s="330"/>
      <c r="AD1380" s="343"/>
      <c r="AE1380" s="249"/>
      <c r="AF1380" s="330"/>
      <c r="AG1380" s="343"/>
      <c r="AH1380" s="249"/>
      <c r="AI1380" s="330"/>
      <c r="AJ1380" s="343"/>
      <c r="AK1380" s="249"/>
      <c r="AL1380" s="330"/>
      <c r="AM1380" s="343"/>
      <c r="AN1380" s="249"/>
      <c r="AO1380" s="330"/>
      <c r="AP1380" s="343"/>
      <c r="AQ1380" s="249"/>
      <c r="AR1380" s="330"/>
      <c r="AS1380" s="343"/>
      <c r="AT1380" s="249"/>
      <c r="AU1380" s="330"/>
    </row>
    <row r="1381" spans="2:47">
      <c r="B1381" s="247">
        <f>'Table S2 Compound Identifiers'!C1383</f>
        <v>0</v>
      </c>
      <c r="C1381" s="247">
        <f>COUNTIF($D$6:D1381,"&lt;&gt;"&amp;"")</f>
        <v>1376</v>
      </c>
      <c r="D1381" s="247">
        <f>'Table S2 Compound Identifiers'!B1383</f>
        <v>0</v>
      </c>
      <c r="E1381" s="247"/>
      <c r="F1381" s="248"/>
      <c r="G1381" s="249"/>
      <c r="H1381" s="330"/>
      <c r="I1381" s="328"/>
      <c r="J1381" s="249"/>
      <c r="K1381" s="330"/>
      <c r="L1381" s="250"/>
      <c r="M1381" s="249"/>
      <c r="N1381" s="330"/>
      <c r="O1381" s="250"/>
      <c r="P1381" s="249"/>
      <c r="Q1381" s="330"/>
      <c r="R1381" s="250"/>
      <c r="S1381" s="249"/>
      <c r="T1381" s="330"/>
      <c r="U1381" s="250"/>
      <c r="V1381" s="249"/>
      <c r="W1381" s="330"/>
      <c r="X1381" s="343"/>
      <c r="Y1381" s="249"/>
      <c r="Z1381" s="330"/>
      <c r="AA1381" s="343"/>
      <c r="AB1381" s="249"/>
      <c r="AC1381" s="330"/>
      <c r="AD1381" s="343"/>
      <c r="AE1381" s="249"/>
      <c r="AF1381" s="330"/>
      <c r="AG1381" s="343"/>
      <c r="AH1381" s="249"/>
      <c r="AI1381" s="330"/>
      <c r="AJ1381" s="343"/>
      <c r="AK1381" s="249"/>
      <c r="AL1381" s="330"/>
      <c r="AM1381" s="343"/>
      <c r="AN1381" s="249"/>
      <c r="AO1381" s="330"/>
      <c r="AP1381" s="343"/>
      <c r="AQ1381" s="249"/>
      <c r="AR1381" s="330"/>
      <c r="AS1381" s="343"/>
      <c r="AT1381" s="249"/>
      <c r="AU1381" s="330"/>
    </row>
    <row r="1382" spans="2:47">
      <c r="B1382" s="247">
        <f>'Table S2 Compound Identifiers'!C1384</f>
        <v>0</v>
      </c>
      <c r="C1382" s="247">
        <f>COUNTIF($D$6:D1382,"&lt;&gt;"&amp;"")</f>
        <v>1377</v>
      </c>
      <c r="D1382" s="247">
        <f>'Table S2 Compound Identifiers'!B1384</f>
        <v>0</v>
      </c>
      <c r="E1382" s="247"/>
      <c r="F1382" s="248"/>
      <c r="G1382" s="249"/>
      <c r="H1382" s="330"/>
      <c r="I1382" s="328"/>
      <c r="J1382" s="249"/>
      <c r="K1382" s="330"/>
      <c r="L1382" s="250"/>
      <c r="M1382" s="249"/>
      <c r="N1382" s="330"/>
      <c r="O1382" s="250"/>
      <c r="P1382" s="249"/>
      <c r="Q1382" s="330"/>
      <c r="R1382" s="250"/>
      <c r="S1382" s="249"/>
      <c r="T1382" s="330"/>
      <c r="U1382" s="250"/>
      <c r="V1382" s="249"/>
      <c r="W1382" s="330"/>
      <c r="X1382" s="343"/>
      <c r="Y1382" s="249"/>
      <c r="Z1382" s="330"/>
      <c r="AA1382" s="343"/>
      <c r="AB1382" s="249"/>
      <c r="AC1382" s="330"/>
      <c r="AD1382" s="343"/>
      <c r="AE1382" s="249"/>
      <c r="AF1382" s="330"/>
      <c r="AG1382" s="343"/>
      <c r="AH1382" s="249"/>
      <c r="AI1382" s="330"/>
      <c r="AJ1382" s="343"/>
      <c r="AK1382" s="249"/>
      <c r="AL1382" s="330"/>
      <c r="AM1382" s="343"/>
      <c r="AN1382" s="249"/>
      <c r="AO1382" s="330"/>
      <c r="AP1382" s="343"/>
      <c r="AQ1382" s="249"/>
      <c r="AR1382" s="330"/>
      <c r="AS1382" s="343"/>
      <c r="AT1382" s="249"/>
      <c r="AU1382" s="330"/>
    </row>
    <row r="1383" spans="2:47">
      <c r="B1383" s="247">
        <f>'Table S2 Compound Identifiers'!C1385</f>
        <v>0</v>
      </c>
      <c r="C1383" s="247">
        <f>COUNTIF($D$6:D1383,"&lt;&gt;"&amp;"")</f>
        <v>1378</v>
      </c>
      <c r="D1383" s="247">
        <f>'Table S2 Compound Identifiers'!B1385</f>
        <v>0</v>
      </c>
      <c r="E1383" s="247"/>
      <c r="F1383" s="248"/>
      <c r="G1383" s="249"/>
      <c r="H1383" s="330"/>
      <c r="I1383" s="328"/>
      <c r="J1383" s="249"/>
      <c r="K1383" s="330"/>
      <c r="L1383" s="250"/>
      <c r="M1383" s="249"/>
      <c r="N1383" s="330"/>
      <c r="O1383" s="250"/>
      <c r="P1383" s="249"/>
      <c r="Q1383" s="330"/>
      <c r="R1383" s="250"/>
      <c r="S1383" s="249"/>
      <c r="T1383" s="330"/>
      <c r="U1383" s="250"/>
      <c r="V1383" s="249"/>
      <c r="W1383" s="330"/>
      <c r="X1383" s="343"/>
      <c r="Y1383" s="249"/>
      <c r="Z1383" s="330"/>
      <c r="AA1383" s="343"/>
      <c r="AB1383" s="249"/>
      <c r="AC1383" s="330"/>
      <c r="AD1383" s="343"/>
      <c r="AE1383" s="249"/>
      <c r="AF1383" s="330"/>
      <c r="AG1383" s="343"/>
      <c r="AH1383" s="249"/>
      <c r="AI1383" s="330"/>
      <c r="AJ1383" s="343"/>
      <c r="AK1383" s="249"/>
      <c r="AL1383" s="330"/>
      <c r="AM1383" s="343"/>
      <c r="AN1383" s="249"/>
      <c r="AO1383" s="330"/>
      <c r="AP1383" s="343"/>
      <c r="AQ1383" s="249"/>
      <c r="AR1383" s="330"/>
      <c r="AS1383" s="343"/>
      <c r="AT1383" s="249"/>
      <c r="AU1383" s="330"/>
    </row>
    <row r="1384" spans="2:47">
      <c r="B1384" s="247">
        <f>'Table S2 Compound Identifiers'!C1386</f>
        <v>0</v>
      </c>
      <c r="C1384" s="247">
        <f>COUNTIF($D$6:D1384,"&lt;&gt;"&amp;"")</f>
        <v>1379</v>
      </c>
      <c r="D1384" s="247">
        <f>'Table S2 Compound Identifiers'!B1386</f>
        <v>0</v>
      </c>
      <c r="E1384" s="247"/>
      <c r="F1384" s="248"/>
      <c r="G1384" s="249"/>
      <c r="H1384" s="330"/>
      <c r="I1384" s="328"/>
      <c r="J1384" s="249"/>
      <c r="K1384" s="330"/>
      <c r="L1384" s="250"/>
      <c r="M1384" s="249"/>
      <c r="N1384" s="330"/>
      <c r="O1384" s="250"/>
      <c r="P1384" s="249"/>
      <c r="Q1384" s="330"/>
      <c r="R1384" s="250"/>
      <c r="S1384" s="249"/>
      <c r="T1384" s="330"/>
      <c r="U1384" s="250"/>
      <c r="V1384" s="249"/>
      <c r="W1384" s="330"/>
      <c r="X1384" s="343"/>
      <c r="Y1384" s="249"/>
      <c r="Z1384" s="330"/>
      <c r="AA1384" s="343"/>
      <c r="AB1384" s="249"/>
      <c r="AC1384" s="330"/>
      <c r="AD1384" s="343"/>
      <c r="AE1384" s="249"/>
      <c r="AF1384" s="330"/>
      <c r="AG1384" s="343"/>
      <c r="AH1384" s="249"/>
      <c r="AI1384" s="330"/>
      <c r="AJ1384" s="343"/>
      <c r="AK1384" s="249"/>
      <c r="AL1384" s="330"/>
      <c r="AM1384" s="343"/>
      <c r="AN1384" s="249"/>
      <c r="AO1384" s="330"/>
      <c r="AP1384" s="343"/>
      <c r="AQ1384" s="249"/>
      <c r="AR1384" s="330"/>
      <c r="AS1384" s="343"/>
      <c r="AT1384" s="249"/>
      <c r="AU1384" s="330"/>
    </row>
    <row r="1385" spans="2:47">
      <c r="B1385" s="247">
        <f>'Table S2 Compound Identifiers'!C1387</f>
        <v>0</v>
      </c>
      <c r="C1385" s="247">
        <f>COUNTIF($D$6:D1385,"&lt;&gt;"&amp;"")</f>
        <v>1380</v>
      </c>
      <c r="D1385" s="247">
        <f>'Table S2 Compound Identifiers'!B1387</f>
        <v>0</v>
      </c>
      <c r="E1385" s="247"/>
      <c r="F1385" s="248"/>
      <c r="G1385" s="249"/>
      <c r="H1385" s="330"/>
      <c r="I1385" s="328"/>
      <c r="J1385" s="249"/>
      <c r="K1385" s="330"/>
      <c r="L1385" s="250"/>
      <c r="M1385" s="249"/>
      <c r="N1385" s="330"/>
      <c r="O1385" s="250"/>
      <c r="P1385" s="249"/>
      <c r="Q1385" s="330"/>
      <c r="R1385" s="250"/>
      <c r="S1385" s="249"/>
      <c r="T1385" s="330"/>
      <c r="U1385" s="250"/>
      <c r="V1385" s="249"/>
      <c r="W1385" s="330"/>
      <c r="X1385" s="343"/>
      <c r="Y1385" s="249"/>
      <c r="Z1385" s="330"/>
      <c r="AA1385" s="343"/>
      <c r="AB1385" s="249"/>
      <c r="AC1385" s="330"/>
      <c r="AD1385" s="343"/>
      <c r="AE1385" s="249"/>
      <c r="AF1385" s="330"/>
      <c r="AG1385" s="343"/>
      <c r="AH1385" s="249"/>
      <c r="AI1385" s="330"/>
      <c r="AJ1385" s="343"/>
      <c r="AK1385" s="249"/>
      <c r="AL1385" s="330"/>
      <c r="AM1385" s="343"/>
      <c r="AN1385" s="249"/>
      <c r="AO1385" s="330"/>
      <c r="AP1385" s="343"/>
      <c r="AQ1385" s="249"/>
      <c r="AR1385" s="330"/>
      <c r="AS1385" s="343"/>
      <c r="AT1385" s="249"/>
      <c r="AU1385" s="330"/>
    </row>
    <row r="1386" spans="2:47">
      <c r="B1386" s="247">
        <f>'Table S2 Compound Identifiers'!C1388</f>
        <v>0</v>
      </c>
      <c r="C1386" s="247">
        <f>COUNTIF($D$6:D1386,"&lt;&gt;"&amp;"")</f>
        <v>1381</v>
      </c>
      <c r="D1386" s="247">
        <f>'Table S2 Compound Identifiers'!B1388</f>
        <v>0</v>
      </c>
      <c r="E1386" s="247"/>
      <c r="F1386" s="248"/>
      <c r="G1386" s="249"/>
      <c r="H1386" s="330"/>
      <c r="I1386" s="328"/>
      <c r="J1386" s="249"/>
      <c r="K1386" s="330"/>
      <c r="L1386" s="250"/>
      <c r="M1386" s="249"/>
      <c r="N1386" s="330"/>
      <c r="O1386" s="250"/>
      <c r="P1386" s="249"/>
      <c r="Q1386" s="330"/>
      <c r="R1386" s="250"/>
      <c r="S1386" s="249"/>
      <c r="T1386" s="330"/>
      <c r="U1386" s="250"/>
      <c r="V1386" s="249"/>
      <c r="W1386" s="330"/>
      <c r="X1386" s="343"/>
      <c r="Y1386" s="249"/>
      <c r="Z1386" s="330"/>
      <c r="AA1386" s="343"/>
      <c r="AB1386" s="249"/>
      <c r="AC1386" s="330"/>
      <c r="AD1386" s="343"/>
      <c r="AE1386" s="249"/>
      <c r="AF1386" s="330"/>
      <c r="AG1386" s="343"/>
      <c r="AH1386" s="249"/>
      <c r="AI1386" s="330"/>
      <c r="AJ1386" s="343"/>
      <c r="AK1386" s="249"/>
      <c r="AL1386" s="330"/>
      <c r="AM1386" s="343"/>
      <c r="AN1386" s="249"/>
      <c r="AO1386" s="330"/>
      <c r="AP1386" s="343"/>
      <c r="AQ1386" s="249"/>
      <c r="AR1386" s="330"/>
      <c r="AS1386" s="343"/>
      <c r="AT1386" s="249"/>
      <c r="AU1386" s="330"/>
    </row>
    <row r="1387" spans="2:47">
      <c r="B1387" s="247">
        <f>'Table S2 Compound Identifiers'!C1389</f>
        <v>0</v>
      </c>
      <c r="C1387" s="247">
        <f>COUNTIF($D$6:D1387,"&lt;&gt;"&amp;"")</f>
        <v>1382</v>
      </c>
      <c r="D1387" s="247">
        <f>'Table S2 Compound Identifiers'!B1389</f>
        <v>0</v>
      </c>
      <c r="E1387" s="247"/>
      <c r="F1387" s="248"/>
      <c r="G1387" s="249"/>
      <c r="H1387" s="330"/>
      <c r="I1387" s="328"/>
      <c r="J1387" s="249"/>
      <c r="K1387" s="330"/>
      <c r="L1387" s="250"/>
      <c r="M1387" s="249"/>
      <c r="N1387" s="330"/>
      <c r="O1387" s="250"/>
      <c r="P1387" s="249"/>
      <c r="Q1387" s="330"/>
      <c r="R1387" s="250"/>
      <c r="S1387" s="249"/>
      <c r="T1387" s="330"/>
      <c r="U1387" s="250"/>
      <c r="V1387" s="249"/>
      <c r="W1387" s="330"/>
      <c r="X1387" s="343"/>
      <c r="Y1387" s="249"/>
      <c r="Z1387" s="330"/>
      <c r="AA1387" s="343"/>
      <c r="AB1387" s="249"/>
      <c r="AC1387" s="330"/>
      <c r="AD1387" s="343"/>
      <c r="AE1387" s="249"/>
      <c r="AF1387" s="330"/>
      <c r="AG1387" s="343"/>
      <c r="AH1387" s="249"/>
      <c r="AI1387" s="330"/>
      <c r="AJ1387" s="343"/>
      <c r="AK1387" s="249"/>
      <c r="AL1387" s="330"/>
      <c r="AM1387" s="343"/>
      <c r="AN1387" s="249"/>
      <c r="AO1387" s="330"/>
      <c r="AP1387" s="343"/>
      <c r="AQ1387" s="249"/>
      <c r="AR1387" s="330"/>
      <c r="AS1387" s="343"/>
      <c r="AT1387" s="249"/>
      <c r="AU1387" s="330"/>
    </row>
    <row r="1388" spans="2:47">
      <c r="B1388" s="247">
        <f>'Table S2 Compound Identifiers'!C1390</f>
        <v>0</v>
      </c>
      <c r="C1388" s="247">
        <f>COUNTIF($D$6:D1388,"&lt;&gt;"&amp;"")</f>
        <v>1383</v>
      </c>
      <c r="D1388" s="247">
        <f>'Table S2 Compound Identifiers'!B1390</f>
        <v>0</v>
      </c>
      <c r="E1388" s="247"/>
      <c r="F1388" s="248"/>
      <c r="G1388" s="249"/>
      <c r="H1388" s="330"/>
      <c r="I1388" s="328"/>
      <c r="J1388" s="249"/>
      <c r="K1388" s="330"/>
      <c r="L1388" s="250"/>
      <c r="M1388" s="249"/>
      <c r="N1388" s="330"/>
      <c r="O1388" s="250"/>
      <c r="P1388" s="249"/>
      <c r="Q1388" s="330"/>
      <c r="R1388" s="250"/>
      <c r="S1388" s="249"/>
      <c r="T1388" s="330"/>
      <c r="U1388" s="250"/>
      <c r="V1388" s="249"/>
      <c r="W1388" s="330"/>
      <c r="X1388" s="343"/>
      <c r="Y1388" s="249"/>
      <c r="Z1388" s="330"/>
      <c r="AA1388" s="343"/>
      <c r="AB1388" s="249"/>
      <c r="AC1388" s="330"/>
      <c r="AD1388" s="343"/>
      <c r="AE1388" s="249"/>
      <c r="AF1388" s="330"/>
      <c r="AG1388" s="343"/>
      <c r="AH1388" s="249"/>
      <c r="AI1388" s="330"/>
      <c r="AJ1388" s="343"/>
      <c r="AK1388" s="249"/>
      <c r="AL1388" s="330"/>
      <c r="AM1388" s="343"/>
      <c r="AN1388" s="249"/>
      <c r="AO1388" s="330"/>
      <c r="AP1388" s="343"/>
      <c r="AQ1388" s="249"/>
      <c r="AR1388" s="330"/>
      <c r="AS1388" s="343"/>
      <c r="AT1388" s="249"/>
      <c r="AU1388" s="330"/>
    </row>
    <row r="1389" spans="2:47">
      <c r="B1389" s="247">
        <f>'Table S2 Compound Identifiers'!C1391</f>
        <v>0</v>
      </c>
      <c r="C1389" s="247">
        <f>COUNTIF($D$6:D1389,"&lt;&gt;"&amp;"")</f>
        <v>1384</v>
      </c>
      <c r="D1389" s="247">
        <f>'Table S2 Compound Identifiers'!B1391</f>
        <v>0</v>
      </c>
      <c r="E1389" s="247"/>
      <c r="F1389" s="248"/>
      <c r="G1389" s="249"/>
      <c r="H1389" s="330"/>
      <c r="I1389" s="328"/>
      <c r="J1389" s="249"/>
      <c r="K1389" s="330"/>
      <c r="L1389" s="250"/>
      <c r="M1389" s="249"/>
      <c r="N1389" s="330"/>
      <c r="O1389" s="250"/>
      <c r="P1389" s="249"/>
      <c r="Q1389" s="330"/>
      <c r="R1389" s="250"/>
      <c r="S1389" s="249"/>
      <c r="T1389" s="330"/>
      <c r="U1389" s="250"/>
      <c r="V1389" s="249"/>
      <c r="W1389" s="330"/>
      <c r="X1389" s="343"/>
      <c r="Y1389" s="249"/>
      <c r="Z1389" s="330"/>
      <c r="AA1389" s="343"/>
      <c r="AB1389" s="249"/>
      <c r="AC1389" s="330"/>
      <c r="AD1389" s="343"/>
      <c r="AE1389" s="249"/>
      <c r="AF1389" s="330"/>
      <c r="AG1389" s="343"/>
      <c r="AH1389" s="249"/>
      <c r="AI1389" s="330"/>
      <c r="AJ1389" s="343"/>
      <c r="AK1389" s="249"/>
      <c r="AL1389" s="330"/>
      <c r="AM1389" s="343"/>
      <c r="AN1389" s="249"/>
      <c r="AO1389" s="330"/>
      <c r="AP1389" s="343"/>
      <c r="AQ1389" s="249"/>
      <c r="AR1389" s="330"/>
      <c r="AS1389" s="343"/>
      <c r="AT1389" s="249"/>
      <c r="AU1389" s="330"/>
    </row>
    <row r="1390" spans="2:47">
      <c r="B1390" s="247">
        <f>'Table S2 Compound Identifiers'!C1392</f>
        <v>0</v>
      </c>
      <c r="C1390" s="247">
        <f>COUNTIF($D$6:D1390,"&lt;&gt;"&amp;"")</f>
        <v>1385</v>
      </c>
      <c r="D1390" s="247">
        <f>'Table S2 Compound Identifiers'!B1392</f>
        <v>0</v>
      </c>
      <c r="E1390" s="247"/>
      <c r="F1390" s="248"/>
      <c r="G1390" s="249"/>
      <c r="H1390" s="330"/>
      <c r="I1390" s="328"/>
      <c r="J1390" s="249"/>
      <c r="K1390" s="330"/>
      <c r="L1390" s="250"/>
      <c r="M1390" s="249"/>
      <c r="N1390" s="330"/>
      <c r="O1390" s="250"/>
      <c r="P1390" s="249"/>
      <c r="Q1390" s="330"/>
      <c r="R1390" s="250"/>
      <c r="S1390" s="249"/>
      <c r="T1390" s="330"/>
      <c r="U1390" s="250"/>
      <c r="V1390" s="249"/>
      <c r="W1390" s="330"/>
      <c r="X1390" s="343"/>
      <c r="Y1390" s="249"/>
      <c r="Z1390" s="330"/>
      <c r="AA1390" s="343"/>
      <c r="AB1390" s="249"/>
      <c r="AC1390" s="330"/>
      <c r="AD1390" s="343"/>
      <c r="AE1390" s="249"/>
      <c r="AF1390" s="330"/>
      <c r="AG1390" s="343"/>
      <c r="AH1390" s="249"/>
      <c r="AI1390" s="330"/>
      <c r="AJ1390" s="343"/>
      <c r="AK1390" s="249"/>
      <c r="AL1390" s="330"/>
      <c r="AM1390" s="343"/>
      <c r="AN1390" s="249"/>
      <c r="AO1390" s="330"/>
      <c r="AP1390" s="343"/>
      <c r="AQ1390" s="249"/>
      <c r="AR1390" s="330"/>
      <c r="AS1390" s="343"/>
      <c r="AT1390" s="249"/>
      <c r="AU1390" s="330"/>
    </row>
    <row r="1391" spans="2:47">
      <c r="B1391" s="247">
        <f>'Table S2 Compound Identifiers'!C1393</f>
        <v>0</v>
      </c>
      <c r="C1391" s="247">
        <f>COUNTIF($D$6:D1391,"&lt;&gt;"&amp;"")</f>
        <v>1386</v>
      </c>
      <c r="D1391" s="247">
        <f>'Table S2 Compound Identifiers'!B1393</f>
        <v>0</v>
      </c>
      <c r="E1391" s="247"/>
      <c r="F1391" s="248"/>
      <c r="G1391" s="249"/>
      <c r="H1391" s="330"/>
      <c r="I1391" s="328"/>
      <c r="J1391" s="249"/>
      <c r="K1391" s="330"/>
      <c r="L1391" s="250"/>
      <c r="M1391" s="249"/>
      <c r="N1391" s="330"/>
      <c r="O1391" s="250"/>
      <c r="P1391" s="249"/>
      <c r="Q1391" s="330"/>
      <c r="R1391" s="250"/>
      <c r="S1391" s="249"/>
      <c r="T1391" s="330"/>
      <c r="U1391" s="250"/>
      <c r="V1391" s="249"/>
      <c r="W1391" s="330"/>
      <c r="X1391" s="343"/>
      <c r="Y1391" s="249"/>
      <c r="Z1391" s="330"/>
      <c r="AA1391" s="343"/>
      <c r="AB1391" s="249"/>
      <c r="AC1391" s="330"/>
      <c r="AD1391" s="343"/>
      <c r="AE1391" s="249"/>
      <c r="AF1391" s="330"/>
      <c r="AG1391" s="343"/>
      <c r="AH1391" s="249"/>
      <c r="AI1391" s="330"/>
      <c r="AJ1391" s="343"/>
      <c r="AK1391" s="249"/>
      <c r="AL1391" s="330"/>
      <c r="AM1391" s="343"/>
      <c r="AN1391" s="249"/>
      <c r="AO1391" s="330"/>
      <c r="AP1391" s="343"/>
      <c r="AQ1391" s="249"/>
      <c r="AR1391" s="330"/>
      <c r="AS1391" s="343"/>
      <c r="AT1391" s="249"/>
      <c r="AU1391" s="330"/>
    </row>
    <row r="1392" spans="2:47">
      <c r="B1392" s="247">
        <f>'Table S2 Compound Identifiers'!C1394</f>
        <v>0</v>
      </c>
      <c r="C1392" s="247">
        <f>COUNTIF($D$6:D1392,"&lt;&gt;"&amp;"")</f>
        <v>1387</v>
      </c>
      <c r="D1392" s="247">
        <f>'Table S2 Compound Identifiers'!B1394</f>
        <v>0</v>
      </c>
      <c r="E1392" s="247"/>
      <c r="F1392" s="248"/>
      <c r="G1392" s="249"/>
      <c r="H1392" s="330"/>
      <c r="I1392" s="328"/>
      <c r="J1392" s="249"/>
      <c r="K1392" s="330"/>
      <c r="L1392" s="250"/>
      <c r="M1392" s="249"/>
      <c r="N1392" s="330"/>
      <c r="O1392" s="250"/>
      <c r="P1392" s="249"/>
      <c r="Q1392" s="330"/>
      <c r="R1392" s="250"/>
      <c r="S1392" s="249"/>
      <c r="T1392" s="330"/>
      <c r="U1392" s="250"/>
      <c r="V1392" s="249"/>
      <c r="W1392" s="330"/>
      <c r="X1392" s="343"/>
      <c r="Y1392" s="249"/>
      <c r="Z1392" s="330"/>
      <c r="AA1392" s="343"/>
      <c r="AB1392" s="249"/>
      <c r="AC1392" s="330"/>
      <c r="AD1392" s="343"/>
      <c r="AE1392" s="249"/>
      <c r="AF1392" s="330"/>
      <c r="AG1392" s="343"/>
      <c r="AH1392" s="249"/>
      <c r="AI1392" s="330"/>
      <c r="AJ1392" s="343"/>
      <c r="AK1392" s="249"/>
      <c r="AL1392" s="330"/>
      <c r="AM1392" s="343"/>
      <c r="AN1392" s="249"/>
      <c r="AO1392" s="330"/>
      <c r="AP1392" s="343"/>
      <c r="AQ1392" s="249"/>
      <c r="AR1392" s="330"/>
      <c r="AS1392" s="343"/>
      <c r="AT1392" s="249"/>
      <c r="AU1392" s="330"/>
    </row>
    <row r="1393" spans="2:47">
      <c r="B1393" s="247">
        <f>'Table S2 Compound Identifiers'!C1395</f>
        <v>0</v>
      </c>
      <c r="C1393" s="247">
        <f>COUNTIF($D$6:D1393,"&lt;&gt;"&amp;"")</f>
        <v>1388</v>
      </c>
      <c r="D1393" s="247">
        <f>'Table S2 Compound Identifiers'!B1395</f>
        <v>0</v>
      </c>
      <c r="E1393" s="247"/>
      <c r="F1393" s="248"/>
      <c r="G1393" s="249"/>
      <c r="H1393" s="330"/>
      <c r="I1393" s="328"/>
      <c r="J1393" s="249"/>
      <c r="K1393" s="330"/>
      <c r="L1393" s="250"/>
      <c r="M1393" s="249"/>
      <c r="N1393" s="330"/>
      <c r="O1393" s="250"/>
      <c r="P1393" s="249"/>
      <c r="Q1393" s="330"/>
      <c r="R1393" s="250"/>
      <c r="S1393" s="249"/>
      <c r="T1393" s="330"/>
      <c r="U1393" s="250"/>
      <c r="V1393" s="249"/>
      <c r="W1393" s="330"/>
      <c r="X1393" s="343"/>
      <c r="Y1393" s="249"/>
      <c r="Z1393" s="330"/>
      <c r="AA1393" s="343"/>
      <c r="AB1393" s="249"/>
      <c r="AC1393" s="330"/>
      <c r="AD1393" s="343"/>
      <c r="AE1393" s="249"/>
      <c r="AF1393" s="330"/>
      <c r="AG1393" s="343"/>
      <c r="AH1393" s="249"/>
      <c r="AI1393" s="330"/>
      <c r="AJ1393" s="343"/>
      <c r="AK1393" s="249"/>
      <c r="AL1393" s="330"/>
      <c r="AM1393" s="343"/>
      <c r="AN1393" s="249"/>
      <c r="AO1393" s="330"/>
      <c r="AP1393" s="343"/>
      <c r="AQ1393" s="249"/>
      <c r="AR1393" s="330"/>
      <c r="AS1393" s="343"/>
      <c r="AT1393" s="249"/>
      <c r="AU1393" s="330"/>
    </row>
    <row r="1394" spans="2:47">
      <c r="B1394" s="247">
        <f>'Table S2 Compound Identifiers'!C1396</f>
        <v>0</v>
      </c>
      <c r="C1394" s="247">
        <f>COUNTIF($D$6:D1394,"&lt;&gt;"&amp;"")</f>
        <v>1389</v>
      </c>
      <c r="D1394" s="432">
        <f>'Table S2 Compound Identifiers'!B1396</f>
        <v>0</v>
      </c>
      <c r="E1394" s="247"/>
      <c r="F1394" s="248"/>
      <c r="G1394" s="249"/>
      <c r="H1394" s="330"/>
      <c r="I1394" s="328"/>
      <c r="J1394" s="249"/>
      <c r="K1394" s="330"/>
      <c r="L1394" s="250"/>
      <c r="M1394" s="249"/>
      <c r="N1394" s="330"/>
      <c r="O1394" s="250"/>
      <c r="P1394" s="249"/>
      <c r="Q1394" s="330"/>
      <c r="R1394" s="250"/>
      <c r="S1394" s="249"/>
      <c r="T1394" s="330"/>
      <c r="U1394" s="250"/>
      <c r="V1394" s="249"/>
      <c r="W1394" s="330"/>
      <c r="X1394" s="343"/>
      <c r="Y1394" s="249"/>
      <c r="Z1394" s="330"/>
      <c r="AA1394" s="343"/>
      <c r="AB1394" s="249"/>
      <c r="AC1394" s="330"/>
      <c r="AD1394" s="343"/>
      <c r="AE1394" s="249"/>
      <c r="AF1394" s="330"/>
      <c r="AG1394" s="343"/>
      <c r="AH1394" s="249"/>
      <c r="AI1394" s="330"/>
      <c r="AJ1394" s="343"/>
      <c r="AK1394" s="249"/>
      <c r="AL1394" s="330"/>
      <c r="AM1394" s="343"/>
      <c r="AN1394" s="249"/>
      <c r="AO1394" s="330"/>
      <c r="AP1394" s="343"/>
      <c r="AQ1394" s="249"/>
      <c r="AR1394" s="330"/>
      <c r="AS1394" s="343"/>
      <c r="AT1394" s="249"/>
      <c r="AU1394" s="330"/>
    </row>
    <row r="1395" spans="2:47">
      <c r="B1395" s="247">
        <f>'Table S2 Compound Identifiers'!C1397</f>
        <v>0</v>
      </c>
      <c r="C1395" s="247">
        <f>COUNTIF($D$6:D1395,"&lt;&gt;"&amp;"")</f>
        <v>1390</v>
      </c>
      <c r="D1395" s="432">
        <f>'Table S2 Compound Identifiers'!B1397</f>
        <v>0</v>
      </c>
      <c r="E1395" s="247"/>
      <c r="F1395" s="248"/>
      <c r="G1395" s="249"/>
      <c r="H1395" s="330"/>
      <c r="I1395" s="328"/>
      <c r="J1395" s="249"/>
      <c r="K1395" s="330"/>
      <c r="L1395" s="250"/>
      <c r="M1395" s="249"/>
      <c r="N1395" s="330"/>
      <c r="O1395" s="250"/>
      <c r="P1395" s="249"/>
      <c r="Q1395" s="330"/>
      <c r="R1395" s="250"/>
      <c r="S1395" s="249"/>
      <c r="T1395" s="330"/>
      <c r="U1395" s="250"/>
      <c r="V1395" s="249"/>
      <c r="W1395" s="330"/>
      <c r="X1395" s="343"/>
      <c r="Y1395" s="249"/>
      <c r="Z1395" s="330"/>
      <c r="AA1395" s="343"/>
      <c r="AB1395" s="249"/>
      <c r="AC1395" s="330"/>
      <c r="AD1395" s="343"/>
      <c r="AE1395" s="249"/>
      <c r="AF1395" s="330"/>
      <c r="AG1395" s="343"/>
      <c r="AH1395" s="249"/>
      <c r="AI1395" s="330"/>
      <c r="AJ1395" s="343"/>
      <c r="AK1395" s="249"/>
      <c r="AL1395" s="330"/>
      <c r="AM1395" s="343"/>
      <c r="AN1395" s="249"/>
      <c r="AO1395" s="330"/>
      <c r="AP1395" s="343"/>
      <c r="AQ1395" s="249"/>
      <c r="AR1395" s="330"/>
      <c r="AS1395" s="343"/>
      <c r="AT1395" s="249"/>
      <c r="AU1395" s="330"/>
    </row>
    <row r="1396" spans="2:47">
      <c r="B1396" s="247">
        <f>'Table S2 Compound Identifiers'!C1398</f>
        <v>0</v>
      </c>
      <c r="C1396" s="247">
        <f>COUNTIF($D$6:D1396,"&lt;&gt;"&amp;"")</f>
        <v>1391</v>
      </c>
      <c r="D1396" s="432">
        <f>'Table S2 Compound Identifiers'!B1398</f>
        <v>0</v>
      </c>
      <c r="E1396" s="247"/>
      <c r="F1396" s="248"/>
      <c r="G1396" s="249"/>
      <c r="H1396" s="330"/>
      <c r="I1396" s="328"/>
      <c r="J1396" s="249"/>
      <c r="K1396" s="330"/>
      <c r="L1396" s="250"/>
      <c r="M1396" s="249"/>
      <c r="N1396" s="330"/>
      <c r="O1396" s="250"/>
      <c r="P1396" s="249"/>
      <c r="Q1396" s="330"/>
      <c r="R1396" s="250"/>
      <c r="S1396" s="249"/>
      <c r="T1396" s="330"/>
      <c r="U1396" s="250"/>
      <c r="V1396" s="249"/>
      <c r="W1396" s="330"/>
      <c r="X1396" s="343"/>
      <c r="Y1396" s="249"/>
      <c r="Z1396" s="330"/>
      <c r="AA1396" s="343"/>
      <c r="AB1396" s="249"/>
      <c r="AC1396" s="330"/>
      <c r="AD1396" s="343"/>
      <c r="AE1396" s="249"/>
      <c r="AF1396" s="330"/>
      <c r="AG1396" s="343"/>
      <c r="AH1396" s="249"/>
      <c r="AI1396" s="330"/>
      <c r="AJ1396" s="343"/>
      <c r="AK1396" s="249"/>
      <c r="AL1396" s="330"/>
      <c r="AM1396" s="343"/>
      <c r="AN1396" s="249"/>
      <c r="AO1396" s="330"/>
      <c r="AP1396" s="343"/>
      <c r="AQ1396" s="249"/>
      <c r="AR1396" s="330"/>
      <c r="AS1396" s="343"/>
      <c r="AT1396" s="249"/>
      <c r="AU1396" s="330"/>
    </row>
    <row r="1397" spans="2:47">
      <c r="B1397" s="247">
        <f>'Table S2 Compound Identifiers'!C1399</f>
        <v>0</v>
      </c>
      <c r="C1397" s="247">
        <f>COUNTIF($D$6:D1397,"&lt;&gt;"&amp;"")</f>
        <v>1392</v>
      </c>
      <c r="D1397" s="432">
        <f>'Table S2 Compound Identifiers'!B1399</f>
        <v>0</v>
      </c>
      <c r="E1397" s="247"/>
      <c r="F1397" s="248"/>
      <c r="G1397" s="249"/>
      <c r="H1397" s="330"/>
      <c r="I1397" s="328"/>
      <c r="J1397" s="249"/>
      <c r="K1397" s="330"/>
      <c r="L1397" s="250"/>
      <c r="M1397" s="249"/>
      <c r="N1397" s="330"/>
      <c r="O1397" s="250"/>
      <c r="P1397" s="249"/>
      <c r="Q1397" s="330"/>
      <c r="R1397" s="250"/>
      <c r="S1397" s="249"/>
      <c r="T1397" s="330"/>
      <c r="U1397" s="250"/>
      <c r="V1397" s="249"/>
      <c r="W1397" s="330"/>
      <c r="X1397" s="343"/>
      <c r="Y1397" s="249"/>
      <c r="Z1397" s="330"/>
      <c r="AA1397" s="343"/>
      <c r="AB1397" s="249"/>
      <c r="AC1397" s="330"/>
      <c r="AD1397" s="343"/>
      <c r="AE1397" s="249"/>
      <c r="AF1397" s="330"/>
      <c r="AG1397" s="343"/>
      <c r="AH1397" s="249"/>
      <c r="AI1397" s="330"/>
      <c r="AJ1397" s="343"/>
      <c r="AK1397" s="249"/>
      <c r="AL1397" s="330"/>
      <c r="AM1397" s="343"/>
      <c r="AN1397" s="249"/>
      <c r="AO1397" s="330"/>
      <c r="AP1397" s="343"/>
      <c r="AQ1397" s="249"/>
      <c r="AR1397" s="330"/>
      <c r="AS1397" s="343"/>
      <c r="AT1397" s="249"/>
      <c r="AU1397" s="330"/>
    </row>
    <row r="1398" spans="2:47">
      <c r="B1398" s="247">
        <f>'Table S2 Compound Identifiers'!C1400</f>
        <v>0</v>
      </c>
      <c r="C1398" s="247">
        <f>COUNTIF($D$6:D1398,"&lt;&gt;"&amp;"")</f>
        <v>1393</v>
      </c>
      <c r="D1398" s="432">
        <f>'Table S2 Compound Identifiers'!B1400</f>
        <v>0</v>
      </c>
      <c r="E1398" s="247"/>
      <c r="F1398" s="248"/>
      <c r="G1398" s="249"/>
      <c r="H1398" s="330"/>
      <c r="I1398" s="328"/>
      <c r="J1398" s="249"/>
      <c r="K1398" s="330"/>
      <c r="L1398" s="250"/>
      <c r="M1398" s="249"/>
      <c r="N1398" s="330"/>
      <c r="O1398" s="250"/>
      <c r="P1398" s="249"/>
      <c r="Q1398" s="330"/>
      <c r="R1398" s="250"/>
      <c r="S1398" s="249"/>
      <c r="T1398" s="330"/>
      <c r="U1398" s="250"/>
      <c r="V1398" s="249"/>
      <c r="W1398" s="330"/>
      <c r="X1398" s="343"/>
      <c r="Y1398" s="249"/>
      <c r="Z1398" s="330"/>
      <c r="AA1398" s="343"/>
      <c r="AB1398" s="249"/>
      <c r="AC1398" s="330"/>
      <c r="AD1398" s="343"/>
      <c r="AE1398" s="249"/>
      <c r="AF1398" s="330"/>
      <c r="AG1398" s="343"/>
      <c r="AH1398" s="249"/>
      <c r="AI1398" s="330"/>
      <c r="AJ1398" s="343"/>
      <c r="AK1398" s="249"/>
      <c r="AL1398" s="330"/>
      <c r="AM1398" s="343"/>
      <c r="AN1398" s="249"/>
      <c r="AO1398" s="330"/>
      <c r="AP1398" s="343"/>
      <c r="AQ1398" s="249"/>
      <c r="AR1398" s="330"/>
      <c r="AS1398" s="343"/>
      <c r="AT1398" s="249"/>
      <c r="AU1398" s="330"/>
    </row>
    <row r="1399" spans="2:47">
      <c r="B1399" s="247">
        <f>'Table S2 Compound Identifiers'!C1401</f>
        <v>0</v>
      </c>
      <c r="C1399" s="247">
        <f>COUNTIF($D$6:D1399,"&lt;&gt;"&amp;"")</f>
        <v>1394</v>
      </c>
      <c r="D1399" s="432">
        <f>'Table S2 Compound Identifiers'!B1401</f>
        <v>0</v>
      </c>
      <c r="E1399" s="247"/>
      <c r="F1399" s="248"/>
      <c r="G1399" s="249"/>
      <c r="H1399" s="330"/>
      <c r="I1399" s="328"/>
      <c r="J1399" s="249"/>
      <c r="K1399" s="330"/>
      <c r="L1399" s="250"/>
      <c r="M1399" s="249"/>
      <c r="N1399" s="330"/>
      <c r="O1399" s="250"/>
      <c r="P1399" s="249"/>
      <c r="Q1399" s="330"/>
      <c r="R1399" s="250"/>
      <c r="S1399" s="249"/>
      <c r="T1399" s="330"/>
      <c r="U1399" s="250"/>
      <c r="V1399" s="249"/>
      <c r="W1399" s="330"/>
      <c r="X1399" s="343"/>
      <c r="Y1399" s="249"/>
      <c r="Z1399" s="330"/>
      <c r="AA1399" s="343"/>
      <c r="AB1399" s="249"/>
      <c r="AC1399" s="330"/>
      <c r="AD1399" s="343"/>
      <c r="AE1399" s="249"/>
      <c r="AF1399" s="330"/>
      <c r="AG1399" s="343"/>
      <c r="AH1399" s="249"/>
      <c r="AI1399" s="330"/>
      <c r="AJ1399" s="343"/>
      <c r="AK1399" s="249"/>
      <c r="AL1399" s="330"/>
      <c r="AM1399" s="343"/>
      <c r="AN1399" s="249"/>
      <c r="AO1399" s="330"/>
      <c r="AP1399" s="343"/>
      <c r="AQ1399" s="249"/>
      <c r="AR1399" s="330"/>
      <c r="AS1399" s="343"/>
      <c r="AT1399" s="249"/>
      <c r="AU1399" s="330"/>
    </row>
    <row r="1400" spans="2:47">
      <c r="B1400" s="247">
        <f>'Table S2 Compound Identifiers'!C1402</f>
        <v>0</v>
      </c>
      <c r="C1400" s="247">
        <f>COUNTIF($D$6:D1400,"&lt;&gt;"&amp;"")</f>
        <v>1395</v>
      </c>
      <c r="D1400" s="432">
        <f>'Table S2 Compound Identifiers'!B1402</f>
        <v>0</v>
      </c>
      <c r="E1400" s="247"/>
      <c r="F1400" s="248"/>
      <c r="G1400" s="249"/>
      <c r="H1400" s="330"/>
      <c r="I1400" s="328"/>
      <c r="J1400" s="249"/>
      <c r="K1400" s="330"/>
      <c r="L1400" s="250"/>
      <c r="M1400" s="249"/>
      <c r="N1400" s="330"/>
      <c r="O1400" s="250"/>
      <c r="P1400" s="249"/>
      <c r="Q1400" s="330"/>
      <c r="R1400" s="250"/>
      <c r="S1400" s="249"/>
      <c r="T1400" s="330"/>
      <c r="U1400" s="250"/>
      <c r="V1400" s="249"/>
      <c r="W1400" s="330"/>
      <c r="X1400" s="343"/>
      <c r="Y1400" s="249"/>
      <c r="Z1400" s="330"/>
      <c r="AA1400" s="343"/>
      <c r="AB1400" s="249"/>
      <c r="AC1400" s="330"/>
      <c r="AD1400" s="343"/>
      <c r="AE1400" s="249"/>
      <c r="AF1400" s="330"/>
      <c r="AG1400" s="343"/>
      <c r="AH1400" s="249"/>
      <c r="AI1400" s="330"/>
      <c r="AJ1400" s="343"/>
      <c r="AK1400" s="249"/>
      <c r="AL1400" s="330"/>
      <c r="AM1400" s="343"/>
      <c r="AN1400" s="249"/>
      <c r="AO1400" s="330"/>
      <c r="AP1400" s="343"/>
      <c r="AQ1400" s="249"/>
      <c r="AR1400" s="330"/>
      <c r="AS1400" s="343"/>
      <c r="AT1400" s="249"/>
      <c r="AU1400" s="330"/>
    </row>
    <row r="1401" spans="2:47">
      <c r="B1401" s="247">
        <f>'Table S2 Compound Identifiers'!C1403</f>
        <v>0</v>
      </c>
      <c r="C1401" s="247">
        <f>COUNTIF($D$6:D1401,"&lt;&gt;"&amp;"")</f>
        <v>1396</v>
      </c>
      <c r="D1401" s="432">
        <f>'Table S2 Compound Identifiers'!B1403</f>
        <v>0</v>
      </c>
      <c r="E1401" s="247"/>
      <c r="F1401" s="248"/>
      <c r="G1401" s="249"/>
      <c r="H1401" s="330"/>
      <c r="I1401" s="328"/>
      <c r="J1401" s="249"/>
      <c r="K1401" s="330"/>
      <c r="L1401" s="250"/>
      <c r="M1401" s="249"/>
      <c r="N1401" s="330"/>
      <c r="O1401" s="250"/>
      <c r="P1401" s="249"/>
      <c r="Q1401" s="330"/>
      <c r="R1401" s="250"/>
      <c r="S1401" s="249"/>
      <c r="T1401" s="330"/>
      <c r="U1401" s="250"/>
      <c r="V1401" s="249"/>
      <c r="W1401" s="330"/>
      <c r="X1401" s="343"/>
      <c r="Y1401" s="249"/>
      <c r="Z1401" s="330"/>
      <c r="AA1401" s="343"/>
      <c r="AB1401" s="249"/>
      <c r="AC1401" s="330"/>
      <c r="AD1401" s="343"/>
      <c r="AE1401" s="249"/>
      <c r="AF1401" s="330"/>
      <c r="AG1401" s="343"/>
      <c r="AH1401" s="249"/>
      <c r="AI1401" s="330"/>
      <c r="AJ1401" s="343"/>
      <c r="AK1401" s="249"/>
      <c r="AL1401" s="330"/>
      <c r="AM1401" s="343"/>
      <c r="AN1401" s="249"/>
      <c r="AO1401" s="330"/>
      <c r="AP1401" s="343"/>
      <c r="AQ1401" s="249"/>
      <c r="AR1401" s="330"/>
      <c r="AS1401" s="343"/>
      <c r="AT1401" s="249"/>
      <c r="AU1401" s="330"/>
    </row>
    <row r="1402" spans="2:47">
      <c r="B1402" s="247">
        <f>'Table S2 Compound Identifiers'!C1404</f>
        <v>0</v>
      </c>
      <c r="C1402" s="247">
        <f>COUNTIF($D$6:D1402,"&lt;&gt;"&amp;"")</f>
        <v>1397</v>
      </c>
      <c r="D1402" s="432">
        <f>'Table S2 Compound Identifiers'!B1404</f>
        <v>0</v>
      </c>
      <c r="E1402" s="247"/>
      <c r="F1402" s="248"/>
      <c r="G1402" s="249"/>
      <c r="H1402" s="330"/>
      <c r="I1402" s="328"/>
      <c r="J1402" s="249"/>
      <c r="K1402" s="330"/>
      <c r="L1402" s="250"/>
      <c r="M1402" s="249"/>
      <c r="N1402" s="330"/>
      <c r="O1402" s="250"/>
      <c r="P1402" s="249"/>
      <c r="Q1402" s="330"/>
      <c r="R1402" s="250"/>
      <c r="S1402" s="249"/>
      <c r="T1402" s="330"/>
      <c r="U1402" s="250"/>
      <c r="V1402" s="249"/>
      <c r="W1402" s="330"/>
      <c r="X1402" s="343"/>
      <c r="Y1402" s="249"/>
      <c r="Z1402" s="330"/>
      <c r="AA1402" s="343"/>
      <c r="AB1402" s="249"/>
      <c r="AC1402" s="330"/>
      <c r="AD1402" s="343"/>
      <c r="AE1402" s="249"/>
      <c r="AF1402" s="330"/>
      <c r="AG1402" s="343"/>
      <c r="AH1402" s="249"/>
      <c r="AI1402" s="330"/>
      <c r="AJ1402" s="343"/>
      <c r="AK1402" s="249"/>
      <c r="AL1402" s="330"/>
      <c r="AM1402" s="343"/>
      <c r="AN1402" s="249"/>
      <c r="AO1402" s="330"/>
      <c r="AP1402" s="343"/>
      <c r="AQ1402" s="249"/>
      <c r="AR1402" s="330"/>
      <c r="AS1402" s="343"/>
      <c r="AT1402" s="249"/>
      <c r="AU1402" s="330"/>
    </row>
    <row r="1403" spans="2:47">
      <c r="B1403" s="247">
        <f>'Table S2 Compound Identifiers'!C1405</f>
        <v>0</v>
      </c>
      <c r="C1403" s="247">
        <f>COUNTIF($D$6:D1403,"&lt;&gt;"&amp;"")</f>
        <v>1398</v>
      </c>
      <c r="D1403" s="432">
        <f>'Table S2 Compound Identifiers'!B1405</f>
        <v>0</v>
      </c>
      <c r="E1403" s="247"/>
      <c r="F1403" s="248"/>
      <c r="G1403" s="249"/>
      <c r="H1403" s="330"/>
      <c r="I1403" s="328"/>
      <c r="J1403" s="249"/>
      <c r="K1403" s="330"/>
      <c r="L1403" s="250"/>
      <c r="M1403" s="249"/>
      <c r="N1403" s="330"/>
      <c r="O1403" s="250"/>
      <c r="P1403" s="249"/>
      <c r="Q1403" s="330"/>
      <c r="R1403" s="250"/>
      <c r="S1403" s="249"/>
      <c r="T1403" s="330"/>
      <c r="U1403" s="250"/>
      <c r="V1403" s="249"/>
      <c r="W1403" s="330"/>
      <c r="X1403" s="343"/>
      <c r="Y1403" s="249"/>
      <c r="Z1403" s="330"/>
      <c r="AA1403" s="343"/>
      <c r="AB1403" s="249"/>
      <c r="AC1403" s="330"/>
      <c r="AD1403" s="343"/>
      <c r="AE1403" s="249"/>
      <c r="AF1403" s="330"/>
      <c r="AG1403" s="343"/>
      <c r="AH1403" s="249"/>
      <c r="AI1403" s="330"/>
      <c r="AJ1403" s="343"/>
      <c r="AK1403" s="249"/>
      <c r="AL1403" s="330"/>
      <c r="AM1403" s="343"/>
      <c r="AN1403" s="249"/>
      <c r="AO1403" s="330"/>
      <c r="AP1403" s="343"/>
      <c r="AQ1403" s="249"/>
      <c r="AR1403" s="330"/>
      <c r="AS1403" s="343"/>
      <c r="AT1403" s="249"/>
      <c r="AU1403" s="330"/>
    </row>
    <row r="1404" spans="2:47">
      <c r="B1404" s="247">
        <f>'Table S2 Compound Identifiers'!C1406</f>
        <v>0</v>
      </c>
      <c r="C1404" s="247">
        <f>COUNTIF($D$6:D1404,"&lt;&gt;"&amp;"")</f>
        <v>1399</v>
      </c>
      <c r="D1404" s="247">
        <f>'Table S2 Compound Identifiers'!B1406</f>
        <v>0</v>
      </c>
      <c r="E1404" s="247"/>
      <c r="F1404" s="248"/>
      <c r="G1404" s="249"/>
      <c r="H1404" s="330"/>
      <c r="I1404" s="328"/>
      <c r="J1404" s="249"/>
      <c r="K1404" s="330"/>
      <c r="L1404" s="250"/>
      <c r="M1404" s="249"/>
      <c r="N1404" s="330"/>
      <c r="O1404" s="250"/>
      <c r="P1404" s="249"/>
      <c r="Q1404" s="330"/>
      <c r="R1404" s="250"/>
      <c r="S1404" s="249"/>
      <c r="T1404" s="330"/>
      <c r="U1404" s="250"/>
      <c r="V1404" s="249"/>
      <c r="W1404" s="330"/>
      <c r="X1404" s="343"/>
      <c r="Y1404" s="249"/>
      <c r="Z1404" s="330"/>
      <c r="AA1404" s="343"/>
      <c r="AB1404" s="249"/>
      <c r="AC1404" s="330"/>
      <c r="AD1404" s="343"/>
      <c r="AE1404" s="249"/>
      <c r="AF1404" s="330"/>
      <c r="AG1404" s="343"/>
      <c r="AH1404" s="249"/>
      <c r="AI1404" s="330"/>
      <c r="AJ1404" s="343"/>
      <c r="AK1404" s="249"/>
      <c r="AL1404" s="330"/>
      <c r="AM1404" s="343"/>
      <c r="AN1404" s="249"/>
      <c r="AO1404" s="330"/>
      <c r="AP1404" s="343"/>
      <c r="AQ1404" s="249"/>
      <c r="AR1404" s="330"/>
      <c r="AS1404" s="343"/>
      <c r="AT1404" s="249"/>
      <c r="AU1404" s="330"/>
    </row>
    <row r="1405" spans="2:47">
      <c r="B1405" s="247">
        <f>'Table S2 Compound Identifiers'!C1407</f>
        <v>0</v>
      </c>
      <c r="C1405" s="247">
        <f>COUNTIF($D$6:D1405,"&lt;&gt;"&amp;"")</f>
        <v>1400</v>
      </c>
      <c r="D1405" s="247">
        <f>'Table S2 Compound Identifiers'!B1407</f>
        <v>0</v>
      </c>
      <c r="E1405" s="247"/>
      <c r="F1405" s="248"/>
      <c r="G1405" s="249"/>
      <c r="H1405" s="330"/>
      <c r="I1405" s="328"/>
      <c r="J1405" s="249"/>
      <c r="K1405" s="330"/>
      <c r="L1405" s="250"/>
      <c r="M1405" s="249"/>
      <c r="N1405" s="330"/>
      <c r="O1405" s="250"/>
      <c r="P1405" s="249"/>
      <c r="Q1405" s="330"/>
      <c r="R1405" s="250"/>
      <c r="S1405" s="249"/>
      <c r="T1405" s="330"/>
      <c r="U1405" s="250"/>
      <c r="V1405" s="249"/>
      <c r="W1405" s="330"/>
      <c r="X1405" s="343"/>
      <c r="Y1405" s="249"/>
      <c r="Z1405" s="330"/>
      <c r="AA1405" s="343"/>
      <c r="AB1405" s="249"/>
      <c r="AC1405" s="330"/>
      <c r="AD1405" s="343"/>
      <c r="AE1405" s="249"/>
      <c r="AF1405" s="330"/>
      <c r="AG1405" s="343"/>
      <c r="AH1405" s="249"/>
      <c r="AI1405" s="330"/>
      <c r="AJ1405" s="343"/>
      <c r="AK1405" s="249"/>
      <c r="AL1405" s="330"/>
      <c r="AM1405" s="343"/>
      <c r="AN1405" s="249"/>
      <c r="AO1405" s="330"/>
      <c r="AP1405" s="343"/>
      <c r="AQ1405" s="249"/>
      <c r="AR1405" s="330"/>
      <c r="AS1405" s="343"/>
      <c r="AT1405" s="249"/>
      <c r="AU1405" s="330"/>
    </row>
    <row r="1406" spans="2:47">
      <c r="B1406" s="247">
        <f>'Table S2 Compound Identifiers'!C1408</f>
        <v>0</v>
      </c>
      <c r="C1406" s="247">
        <f>COUNTIF($D$6:D1406,"&lt;&gt;"&amp;"")</f>
        <v>1401</v>
      </c>
      <c r="D1406" s="247">
        <f>'Table S2 Compound Identifiers'!B1408</f>
        <v>0</v>
      </c>
      <c r="E1406" s="247"/>
      <c r="F1406" s="248"/>
      <c r="G1406" s="249"/>
      <c r="H1406" s="330"/>
      <c r="I1406" s="328"/>
      <c r="J1406" s="249"/>
      <c r="K1406" s="330"/>
      <c r="L1406" s="250"/>
      <c r="M1406" s="249"/>
      <c r="N1406" s="330"/>
      <c r="O1406" s="250"/>
      <c r="P1406" s="249"/>
      <c r="Q1406" s="330"/>
      <c r="R1406" s="250"/>
      <c r="S1406" s="249"/>
      <c r="T1406" s="330"/>
      <c r="U1406" s="250"/>
      <c r="V1406" s="249"/>
      <c r="W1406" s="330"/>
      <c r="X1406" s="343"/>
      <c r="Y1406" s="249"/>
      <c r="Z1406" s="330"/>
      <c r="AA1406" s="343"/>
      <c r="AB1406" s="249"/>
      <c r="AC1406" s="330"/>
      <c r="AD1406" s="343"/>
      <c r="AE1406" s="249"/>
      <c r="AF1406" s="330"/>
      <c r="AG1406" s="343"/>
      <c r="AH1406" s="249"/>
      <c r="AI1406" s="330"/>
      <c r="AJ1406" s="343"/>
      <c r="AK1406" s="249"/>
      <c r="AL1406" s="330"/>
      <c r="AM1406" s="343"/>
      <c r="AN1406" s="249"/>
      <c r="AO1406" s="330"/>
      <c r="AP1406" s="343"/>
      <c r="AQ1406" s="249"/>
      <c r="AR1406" s="330"/>
      <c r="AS1406" s="343"/>
      <c r="AT1406" s="249"/>
      <c r="AU1406" s="330"/>
    </row>
    <row r="1407" spans="2:47">
      <c r="B1407" s="247">
        <f>'Table S2 Compound Identifiers'!C1409</f>
        <v>0</v>
      </c>
      <c r="C1407" s="247">
        <f>COUNTIF($D$6:D1407,"&lt;&gt;"&amp;"")</f>
        <v>1402</v>
      </c>
      <c r="D1407" s="247">
        <f>'Table S2 Compound Identifiers'!B1409</f>
        <v>0</v>
      </c>
      <c r="E1407" s="247"/>
      <c r="F1407" s="248"/>
      <c r="G1407" s="249"/>
      <c r="H1407" s="330"/>
      <c r="I1407" s="328"/>
      <c r="J1407" s="249"/>
      <c r="K1407" s="330"/>
      <c r="L1407" s="250"/>
      <c r="M1407" s="249"/>
      <c r="N1407" s="330"/>
      <c r="O1407" s="250"/>
      <c r="P1407" s="249"/>
      <c r="Q1407" s="330"/>
      <c r="R1407" s="250"/>
      <c r="S1407" s="249"/>
      <c r="T1407" s="330"/>
      <c r="U1407" s="250"/>
      <c r="V1407" s="249"/>
      <c r="W1407" s="330"/>
      <c r="X1407" s="343"/>
      <c r="Y1407" s="249"/>
      <c r="Z1407" s="330"/>
      <c r="AA1407" s="343"/>
      <c r="AB1407" s="249"/>
      <c r="AC1407" s="330"/>
      <c r="AD1407" s="343"/>
      <c r="AE1407" s="249"/>
      <c r="AF1407" s="330"/>
      <c r="AG1407" s="343"/>
      <c r="AH1407" s="249"/>
      <c r="AI1407" s="330"/>
      <c r="AJ1407" s="343"/>
      <c r="AK1407" s="249"/>
      <c r="AL1407" s="330"/>
      <c r="AM1407" s="343"/>
      <c r="AN1407" s="249"/>
      <c r="AO1407" s="330"/>
      <c r="AP1407" s="343"/>
      <c r="AQ1407" s="249"/>
      <c r="AR1407" s="330"/>
      <c r="AS1407" s="343"/>
      <c r="AT1407" s="249"/>
      <c r="AU1407" s="330"/>
    </row>
    <row r="1408" spans="2:47">
      <c r="B1408" s="247">
        <f>'Table S2 Compound Identifiers'!C1410</f>
        <v>0</v>
      </c>
      <c r="C1408" s="247">
        <f>COUNTIF($D$6:D1408,"&lt;&gt;"&amp;"")</f>
        <v>1403</v>
      </c>
      <c r="D1408" s="247">
        <f>'Table S2 Compound Identifiers'!B1410</f>
        <v>0</v>
      </c>
      <c r="E1408" s="247"/>
      <c r="F1408" s="248"/>
      <c r="G1408" s="249"/>
      <c r="H1408" s="330"/>
      <c r="I1408" s="328"/>
      <c r="J1408" s="249"/>
      <c r="K1408" s="330"/>
      <c r="L1408" s="250"/>
      <c r="M1408" s="249"/>
      <c r="N1408" s="330"/>
      <c r="O1408" s="250"/>
      <c r="P1408" s="249"/>
      <c r="Q1408" s="330"/>
      <c r="R1408" s="250"/>
      <c r="S1408" s="249"/>
      <c r="T1408" s="330"/>
      <c r="U1408" s="250"/>
      <c r="V1408" s="249"/>
      <c r="W1408" s="330"/>
      <c r="X1408" s="343"/>
      <c r="Y1408" s="249"/>
      <c r="Z1408" s="330"/>
      <c r="AA1408" s="343"/>
      <c r="AB1408" s="249"/>
      <c r="AC1408" s="330"/>
      <c r="AD1408" s="343"/>
      <c r="AE1408" s="249"/>
      <c r="AF1408" s="330"/>
      <c r="AG1408" s="343"/>
      <c r="AH1408" s="249"/>
      <c r="AI1408" s="330"/>
      <c r="AJ1408" s="343"/>
      <c r="AK1408" s="249"/>
      <c r="AL1408" s="330"/>
      <c r="AM1408" s="343"/>
      <c r="AN1408" s="249"/>
      <c r="AO1408" s="330"/>
      <c r="AP1408" s="343"/>
      <c r="AQ1408" s="249"/>
      <c r="AR1408" s="330"/>
      <c r="AS1408" s="343"/>
      <c r="AT1408" s="249"/>
      <c r="AU1408" s="330"/>
    </row>
    <row r="1409" spans="2:47">
      <c r="B1409" s="247">
        <f>'Table S2 Compound Identifiers'!C1411</f>
        <v>0</v>
      </c>
      <c r="C1409" s="247">
        <f>COUNTIF($D$6:D1409,"&lt;&gt;"&amp;"")</f>
        <v>1404</v>
      </c>
      <c r="D1409" s="247">
        <f>'Table S2 Compound Identifiers'!B1411</f>
        <v>0</v>
      </c>
      <c r="E1409" s="247"/>
      <c r="F1409" s="248"/>
      <c r="G1409" s="249"/>
      <c r="H1409" s="330"/>
      <c r="I1409" s="328"/>
      <c r="J1409" s="249"/>
      <c r="K1409" s="330"/>
      <c r="L1409" s="250"/>
      <c r="M1409" s="249"/>
      <c r="N1409" s="330"/>
      <c r="O1409" s="250"/>
      <c r="P1409" s="249"/>
      <c r="Q1409" s="330"/>
      <c r="R1409" s="250"/>
      <c r="S1409" s="249"/>
      <c r="T1409" s="330"/>
      <c r="U1409" s="250"/>
      <c r="V1409" s="249"/>
      <c r="W1409" s="330"/>
      <c r="X1409" s="343"/>
      <c r="Y1409" s="249"/>
      <c r="Z1409" s="330"/>
      <c r="AA1409" s="343"/>
      <c r="AB1409" s="249"/>
      <c r="AC1409" s="330"/>
      <c r="AD1409" s="343"/>
      <c r="AE1409" s="249"/>
      <c r="AF1409" s="330"/>
      <c r="AG1409" s="343"/>
      <c r="AH1409" s="249"/>
      <c r="AI1409" s="330"/>
      <c r="AJ1409" s="343"/>
      <c r="AK1409" s="249"/>
      <c r="AL1409" s="330"/>
      <c r="AM1409" s="343"/>
      <c r="AN1409" s="249"/>
      <c r="AO1409" s="330"/>
      <c r="AP1409" s="343"/>
      <c r="AQ1409" s="249"/>
      <c r="AR1409" s="330"/>
      <c r="AS1409" s="343"/>
      <c r="AT1409" s="249"/>
      <c r="AU1409" s="330"/>
    </row>
    <row r="1410" spans="2:47">
      <c r="B1410" s="247">
        <f>'Table S2 Compound Identifiers'!C1412</f>
        <v>0</v>
      </c>
      <c r="C1410" s="247">
        <f>COUNTIF($D$6:D1410,"&lt;&gt;"&amp;"")</f>
        <v>1405</v>
      </c>
      <c r="D1410" s="247">
        <f>'Table S2 Compound Identifiers'!B1412</f>
        <v>0</v>
      </c>
      <c r="E1410" s="247"/>
      <c r="F1410" s="248"/>
      <c r="G1410" s="249"/>
      <c r="H1410" s="330"/>
      <c r="I1410" s="328"/>
      <c r="J1410" s="249"/>
      <c r="K1410" s="330"/>
      <c r="L1410" s="250"/>
      <c r="M1410" s="249"/>
      <c r="N1410" s="330"/>
      <c r="O1410" s="251"/>
      <c r="P1410" s="252"/>
      <c r="Q1410" s="330"/>
      <c r="R1410" s="251"/>
      <c r="S1410" s="252"/>
      <c r="T1410" s="330"/>
      <c r="U1410" s="251"/>
      <c r="V1410" s="252"/>
      <c r="W1410" s="330"/>
      <c r="X1410" s="343"/>
      <c r="Y1410" s="249"/>
      <c r="Z1410" s="330"/>
      <c r="AA1410" s="343"/>
      <c r="AB1410" s="249"/>
      <c r="AC1410" s="330"/>
      <c r="AD1410" s="343"/>
      <c r="AE1410" s="249"/>
      <c r="AF1410" s="330"/>
      <c r="AG1410" s="343"/>
      <c r="AH1410" s="249"/>
      <c r="AI1410" s="330"/>
      <c r="AJ1410" s="343"/>
      <c r="AK1410" s="249"/>
      <c r="AL1410" s="330"/>
      <c r="AM1410" s="343"/>
      <c r="AN1410" s="249"/>
      <c r="AO1410" s="330"/>
      <c r="AP1410" s="343"/>
      <c r="AQ1410" s="249"/>
      <c r="AR1410" s="330"/>
      <c r="AS1410" s="343"/>
      <c r="AT1410" s="249"/>
      <c r="AU1410" s="330"/>
    </row>
    <row r="1411" spans="2:47">
      <c r="B1411" s="247">
        <f>'Table S2 Compound Identifiers'!C1413</f>
        <v>0</v>
      </c>
      <c r="C1411" s="253">
        <f>COUNTIF($D$6:D1411,"&lt;&gt;"&amp;"")</f>
        <v>1406</v>
      </c>
      <c r="D1411" s="253">
        <f>'Table S2 Compound Identifiers'!B1413</f>
        <v>0</v>
      </c>
      <c r="E1411" s="253"/>
      <c r="F1411" s="254"/>
      <c r="G1411" s="252"/>
      <c r="H1411" s="330"/>
      <c r="I1411" s="333"/>
      <c r="J1411" s="252"/>
      <c r="K1411" s="330"/>
      <c r="L1411" s="251"/>
      <c r="M1411" s="252"/>
      <c r="N1411" s="330"/>
      <c r="O1411" s="251"/>
      <c r="P1411" s="252"/>
      <c r="Q1411" s="330"/>
      <c r="R1411" s="251"/>
      <c r="S1411" s="252"/>
      <c r="T1411" s="330"/>
      <c r="U1411" s="251"/>
      <c r="V1411" s="252"/>
      <c r="W1411" s="330"/>
      <c r="X1411" s="343"/>
      <c r="Y1411" s="249"/>
      <c r="Z1411" s="330"/>
      <c r="AA1411" s="343"/>
      <c r="AB1411" s="249"/>
      <c r="AC1411" s="330"/>
      <c r="AD1411" s="343"/>
      <c r="AE1411" s="249"/>
      <c r="AF1411" s="330"/>
      <c r="AG1411" s="343"/>
      <c r="AH1411" s="249"/>
      <c r="AI1411" s="330"/>
      <c r="AJ1411" s="343"/>
      <c r="AK1411" s="249"/>
      <c r="AL1411" s="330"/>
      <c r="AM1411" s="343"/>
      <c r="AN1411" s="249"/>
      <c r="AO1411" s="330"/>
      <c r="AP1411" s="343"/>
      <c r="AQ1411" s="249"/>
      <c r="AR1411" s="330"/>
      <c r="AS1411" s="343"/>
      <c r="AT1411" s="249"/>
      <c r="AU1411" s="330"/>
    </row>
    <row r="1412" spans="2:47">
      <c r="B1412" s="247">
        <f>'Table S2 Compound Identifiers'!C1414</f>
        <v>0</v>
      </c>
      <c r="C1412" s="247">
        <f>COUNTIF($D$6:D1412,"&lt;&gt;"&amp;"")</f>
        <v>1407</v>
      </c>
      <c r="D1412" s="247">
        <f>'Table S2 Compound Identifiers'!B1414</f>
        <v>0</v>
      </c>
      <c r="E1412" s="247"/>
      <c r="F1412" s="248"/>
      <c r="G1412" s="250"/>
      <c r="H1412" s="330"/>
      <c r="I1412" s="343"/>
      <c r="J1412" s="249"/>
      <c r="K1412" s="327"/>
      <c r="L1412" s="343"/>
      <c r="M1412" s="249"/>
      <c r="N1412" s="327"/>
      <c r="O1412" s="343"/>
      <c r="P1412" s="249"/>
      <c r="Q1412" s="327"/>
      <c r="R1412" s="343"/>
      <c r="S1412" s="249"/>
      <c r="T1412" s="327"/>
      <c r="U1412" s="343"/>
      <c r="V1412" s="249"/>
      <c r="W1412" s="327"/>
      <c r="X1412" s="343"/>
      <c r="Y1412" s="249"/>
      <c r="Z1412" s="327"/>
      <c r="AA1412" s="343"/>
      <c r="AB1412" s="249"/>
      <c r="AC1412" s="343"/>
      <c r="AD1412" s="343"/>
      <c r="AE1412" s="249"/>
      <c r="AF1412" s="249"/>
      <c r="AG1412" s="343"/>
      <c r="AH1412" s="249"/>
      <c r="AI1412" s="343"/>
      <c r="AJ1412" s="343"/>
      <c r="AK1412" s="249"/>
      <c r="AL1412" s="249"/>
      <c r="AM1412" s="343"/>
      <c r="AN1412" s="249"/>
      <c r="AO1412" s="343"/>
      <c r="AP1412" s="343"/>
      <c r="AQ1412" s="249"/>
      <c r="AR1412" s="249"/>
      <c r="AS1412" s="343"/>
      <c r="AT1412" s="249"/>
      <c r="AU1412" s="343"/>
    </row>
    <row r="1413" spans="2:47">
      <c r="B1413" s="247">
        <f>'Table S2 Compound Identifiers'!C1415</f>
        <v>0</v>
      </c>
      <c r="C1413" s="247">
        <f>COUNTIF($D$6:D1413,"&lt;&gt;"&amp;"")</f>
        <v>1408</v>
      </c>
      <c r="D1413" s="247">
        <f>'Table S2 Compound Identifiers'!B1415</f>
        <v>0</v>
      </c>
      <c r="E1413" s="247"/>
      <c r="F1413" s="248"/>
      <c r="G1413" s="249"/>
      <c r="H1413" s="330"/>
      <c r="I1413" s="332"/>
      <c r="J1413" s="330"/>
      <c r="K1413" s="330"/>
      <c r="L1413" s="330"/>
      <c r="M1413" s="330"/>
      <c r="N1413" s="330"/>
      <c r="O1413" s="330"/>
      <c r="P1413" s="330"/>
      <c r="Q1413" s="330"/>
      <c r="R1413" s="330"/>
      <c r="S1413" s="330"/>
      <c r="T1413" s="330"/>
      <c r="U1413" s="330"/>
      <c r="V1413" s="330"/>
      <c r="W1413" s="330"/>
      <c r="X1413" s="343"/>
      <c r="Y1413" s="249"/>
      <c r="Z1413" s="330"/>
      <c r="AA1413" s="343"/>
      <c r="AB1413" s="249"/>
      <c r="AC1413" s="330"/>
      <c r="AD1413" s="343"/>
      <c r="AE1413" s="249"/>
      <c r="AF1413" s="330"/>
      <c r="AG1413" s="343"/>
      <c r="AH1413" s="249"/>
      <c r="AI1413" s="330"/>
      <c r="AJ1413" s="343"/>
      <c r="AK1413" s="249"/>
      <c r="AL1413" s="330"/>
      <c r="AM1413" s="343"/>
      <c r="AN1413" s="249"/>
      <c r="AO1413" s="330"/>
      <c r="AP1413" s="343"/>
      <c r="AQ1413" s="249"/>
      <c r="AR1413" s="330"/>
      <c r="AS1413" s="343"/>
      <c r="AT1413" s="249"/>
      <c r="AU1413" s="330"/>
    </row>
    <row r="1414" spans="2:47">
      <c r="B1414" s="247">
        <f>'Table S2 Compound Identifiers'!C1416</f>
        <v>0</v>
      </c>
      <c r="C1414" s="247">
        <f>COUNTIF($D$6:D1414,"&lt;&gt;"&amp;"")</f>
        <v>1409</v>
      </c>
      <c r="D1414" s="247">
        <f>'Table S2 Compound Identifiers'!B1416</f>
        <v>0</v>
      </c>
      <c r="E1414" s="247"/>
      <c r="F1414" s="248"/>
      <c r="G1414" s="249"/>
      <c r="H1414" s="330"/>
      <c r="I1414" s="332"/>
      <c r="J1414" s="330"/>
      <c r="K1414" s="330"/>
      <c r="L1414" s="330"/>
      <c r="M1414" s="330"/>
      <c r="N1414" s="330"/>
      <c r="O1414" s="330"/>
      <c r="P1414" s="330"/>
      <c r="Q1414" s="330"/>
      <c r="R1414" s="330"/>
      <c r="S1414" s="330"/>
      <c r="T1414" s="330"/>
      <c r="U1414" s="330"/>
      <c r="V1414" s="330"/>
      <c r="W1414" s="330"/>
      <c r="X1414" s="343"/>
      <c r="Y1414" s="249"/>
      <c r="Z1414" s="330"/>
      <c r="AA1414" s="343"/>
      <c r="AB1414" s="249"/>
      <c r="AC1414" s="330"/>
      <c r="AD1414" s="343"/>
      <c r="AE1414" s="249"/>
      <c r="AF1414" s="330"/>
      <c r="AG1414" s="343"/>
      <c r="AH1414" s="249"/>
      <c r="AI1414" s="330"/>
      <c r="AJ1414" s="343"/>
      <c r="AK1414" s="249"/>
      <c r="AL1414" s="330"/>
      <c r="AM1414" s="343"/>
      <c r="AN1414" s="249"/>
      <c r="AO1414" s="330"/>
      <c r="AP1414" s="343"/>
      <c r="AQ1414" s="249"/>
      <c r="AR1414" s="330"/>
      <c r="AS1414" s="343"/>
      <c r="AT1414" s="249"/>
      <c r="AU1414" s="330"/>
    </row>
    <row r="1415" spans="2:47">
      <c r="B1415" s="247">
        <f>'Table S2 Compound Identifiers'!C1417</f>
        <v>0</v>
      </c>
      <c r="C1415" s="247">
        <f>COUNTIF($D$6:D1415,"&lt;&gt;"&amp;"")</f>
        <v>1410</v>
      </c>
      <c r="D1415" s="247">
        <f>'Table S2 Compound Identifiers'!B1417</f>
        <v>0</v>
      </c>
      <c r="E1415" s="247"/>
      <c r="F1415" s="248"/>
      <c r="G1415" s="249"/>
      <c r="H1415" s="330"/>
      <c r="I1415" s="332"/>
      <c r="J1415" s="330"/>
      <c r="K1415" s="330"/>
      <c r="L1415" s="330"/>
      <c r="M1415" s="330"/>
      <c r="N1415" s="330"/>
      <c r="O1415" s="330"/>
      <c r="P1415" s="330"/>
      <c r="Q1415" s="330"/>
      <c r="R1415" s="330"/>
      <c r="S1415" s="330"/>
      <c r="T1415" s="330"/>
      <c r="U1415" s="330"/>
      <c r="V1415" s="330"/>
      <c r="W1415" s="330"/>
      <c r="X1415" s="343"/>
      <c r="Y1415" s="249"/>
      <c r="Z1415" s="330"/>
      <c r="AA1415" s="343"/>
      <c r="AB1415" s="249"/>
      <c r="AC1415" s="330"/>
      <c r="AD1415" s="343"/>
      <c r="AE1415" s="249"/>
      <c r="AF1415" s="330"/>
      <c r="AG1415" s="343"/>
      <c r="AH1415" s="249"/>
      <c r="AI1415" s="330"/>
      <c r="AJ1415" s="343"/>
      <c r="AK1415" s="249"/>
      <c r="AL1415" s="330"/>
      <c r="AM1415" s="343"/>
      <c r="AN1415" s="249"/>
      <c r="AO1415" s="330"/>
      <c r="AP1415" s="343"/>
      <c r="AQ1415" s="249"/>
      <c r="AR1415" s="330"/>
      <c r="AS1415" s="343"/>
      <c r="AT1415" s="249"/>
      <c r="AU1415" s="330"/>
    </row>
    <row r="1416" spans="2:47">
      <c r="B1416" s="247">
        <f>'Table S2 Compound Identifiers'!C1418</f>
        <v>0</v>
      </c>
      <c r="C1416" s="247">
        <f>COUNTIF($D$6:D1416,"&lt;&gt;"&amp;"")</f>
        <v>1411</v>
      </c>
      <c r="D1416" s="247">
        <f>'Table S2 Compound Identifiers'!B1418</f>
        <v>0</v>
      </c>
      <c r="E1416" s="247"/>
      <c r="F1416" s="248"/>
      <c r="G1416" s="249"/>
      <c r="H1416" s="330"/>
      <c r="I1416" s="328"/>
      <c r="J1416" s="249"/>
      <c r="K1416" s="330"/>
      <c r="L1416" s="250"/>
      <c r="M1416" s="249"/>
      <c r="N1416" s="330"/>
      <c r="O1416" s="250"/>
      <c r="P1416" s="249"/>
      <c r="Q1416" s="330"/>
      <c r="R1416" s="250"/>
      <c r="S1416" s="249"/>
      <c r="T1416" s="330"/>
      <c r="U1416" s="250"/>
      <c r="V1416" s="249"/>
      <c r="W1416" s="330"/>
      <c r="X1416" s="343"/>
      <c r="Y1416" s="249"/>
      <c r="Z1416" s="330"/>
      <c r="AA1416" s="343"/>
      <c r="AB1416" s="249"/>
      <c r="AC1416" s="330"/>
      <c r="AD1416" s="343"/>
      <c r="AE1416" s="249"/>
      <c r="AF1416" s="330"/>
      <c r="AG1416" s="343"/>
      <c r="AH1416" s="249"/>
      <c r="AI1416" s="330"/>
      <c r="AJ1416" s="343"/>
      <c r="AK1416" s="249"/>
      <c r="AL1416" s="330"/>
      <c r="AM1416" s="343"/>
      <c r="AN1416" s="249"/>
      <c r="AO1416" s="330"/>
      <c r="AP1416" s="343"/>
      <c r="AQ1416" s="249"/>
      <c r="AR1416" s="330"/>
      <c r="AS1416" s="343"/>
      <c r="AT1416" s="249"/>
      <c r="AU1416" s="330"/>
    </row>
    <row r="1417" spans="2:47">
      <c r="B1417" s="247">
        <f>'Table S2 Compound Identifiers'!C1419</f>
        <v>0</v>
      </c>
      <c r="C1417" s="247">
        <f>COUNTIF($D$6:D1417,"&lt;&gt;"&amp;"")</f>
        <v>1412</v>
      </c>
      <c r="D1417" s="247">
        <f>'Table S2 Compound Identifiers'!B1419</f>
        <v>0</v>
      </c>
      <c r="E1417" s="247"/>
      <c r="F1417" s="248"/>
      <c r="G1417" s="249"/>
      <c r="H1417" s="330"/>
      <c r="I1417" s="328"/>
      <c r="J1417" s="249"/>
      <c r="K1417" s="330"/>
      <c r="L1417" s="250"/>
      <c r="M1417" s="249"/>
      <c r="N1417" s="330"/>
      <c r="O1417" s="250"/>
      <c r="P1417" s="249"/>
      <c r="Q1417" s="330"/>
      <c r="R1417" s="250"/>
      <c r="S1417" s="249"/>
      <c r="T1417" s="330"/>
      <c r="U1417" s="250"/>
      <c r="V1417" s="249"/>
      <c r="W1417" s="330"/>
      <c r="X1417" s="343"/>
      <c r="Y1417" s="249"/>
      <c r="Z1417" s="330"/>
      <c r="AA1417" s="343"/>
      <c r="AB1417" s="249"/>
      <c r="AC1417" s="330"/>
      <c r="AD1417" s="343"/>
      <c r="AE1417" s="249"/>
      <c r="AF1417" s="330"/>
      <c r="AG1417" s="343"/>
      <c r="AH1417" s="249"/>
      <c r="AI1417" s="330"/>
      <c r="AJ1417" s="343"/>
      <c r="AK1417" s="249"/>
      <c r="AL1417" s="330"/>
      <c r="AM1417" s="343"/>
      <c r="AN1417" s="249"/>
      <c r="AO1417" s="330"/>
      <c r="AP1417" s="343"/>
      <c r="AQ1417" s="249"/>
      <c r="AR1417" s="330"/>
      <c r="AS1417" s="343"/>
      <c r="AT1417" s="249"/>
      <c r="AU1417" s="330"/>
    </row>
    <row r="1418" spans="2:47">
      <c r="B1418" s="247">
        <f>'Table S2 Compound Identifiers'!C1420</f>
        <v>0</v>
      </c>
      <c r="C1418" s="247">
        <f>COUNTIF($D$6:D1418,"&lt;&gt;"&amp;"")</f>
        <v>1413</v>
      </c>
      <c r="D1418" s="247">
        <f>'Table S2 Compound Identifiers'!B1420</f>
        <v>0</v>
      </c>
      <c r="E1418" s="247"/>
      <c r="F1418" s="248"/>
      <c r="G1418" s="249"/>
      <c r="H1418" s="330"/>
      <c r="I1418" s="328"/>
      <c r="J1418" s="249"/>
      <c r="K1418" s="330"/>
      <c r="L1418" s="250"/>
      <c r="M1418" s="249"/>
      <c r="N1418" s="330"/>
      <c r="O1418" s="250"/>
      <c r="P1418" s="249"/>
      <c r="Q1418" s="330"/>
      <c r="R1418" s="250"/>
      <c r="S1418" s="249"/>
      <c r="T1418" s="330"/>
      <c r="U1418" s="250"/>
      <c r="V1418" s="249"/>
      <c r="W1418" s="330"/>
      <c r="X1418" s="343"/>
      <c r="Y1418" s="249"/>
      <c r="Z1418" s="330"/>
      <c r="AA1418" s="343"/>
      <c r="AB1418" s="249"/>
      <c r="AC1418" s="330"/>
      <c r="AD1418" s="343"/>
      <c r="AE1418" s="249"/>
      <c r="AF1418" s="330"/>
      <c r="AG1418" s="343"/>
      <c r="AH1418" s="249"/>
      <c r="AI1418" s="330"/>
      <c r="AJ1418" s="343"/>
      <c r="AK1418" s="249"/>
      <c r="AL1418" s="330"/>
      <c r="AM1418" s="343"/>
      <c r="AN1418" s="249"/>
      <c r="AO1418" s="330"/>
      <c r="AP1418" s="343"/>
      <c r="AQ1418" s="249"/>
      <c r="AR1418" s="330"/>
      <c r="AS1418" s="343"/>
      <c r="AT1418" s="249"/>
      <c r="AU1418" s="330"/>
    </row>
    <row r="1419" spans="2:47">
      <c r="B1419" s="247">
        <f>'Table S2 Compound Identifiers'!C1421</f>
        <v>0</v>
      </c>
      <c r="C1419" s="247">
        <f>COUNTIF($D$6:D1419,"&lt;&gt;"&amp;"")</f>
        <v>1414</v>
      </c>
      <c r="D1419" s="247">
        <f>'Table S2 Compound Identifiers'!B1421</f>
        <v>0</v>
      </c>
      <c r="E1419" s="247"/>
      <c r="F1419" s="248"/>
      <c r="G1419" s="249"/>
      <c r="H1419" s="330"/>
      <c r="I1419" s="328"/>
      <c r="J1419" s="249"/>
      <c r="K1419" s="330"/>
      <c r="L1419" s="250"/>
      <c r="M1419" s="249"/>
      <c r="N1419" s="330"/>
      <c r="O1419" s="250"/>
      <c r="P1419" s="249"/>
      <c r="Q1419" s="330"/>
      <c r="R1419" s="250"/>
      <c r="S1419" s="249"/>
      <c r="T1419" s="330"/>
      <c r="U1419" s="250"/>
      <c r="V1419" s="249"/>
      <c r="W1419" s="330"/>
      <c r="X1419" s="343"/>
      <c r="Y1419" s="249"/>
      <c r="Z1419" s="330"/>
      <c r="AA1419" s="343"/>
      <c r="AB1419" s="249"/>
      <c r="AC1419" s="330"/>
      <c r="AD1419" s="343"/>
      <c r="AE1419" s="249"/>
      <c r="AF1419" s="330"/>
      <c r="AG1419" s="343"/>
      <c r="AH1419" s="249"/>
      <c r="AI1419" s="330"/>
      <c r="AJ1419" s="343"/>
      <c r="AK1419" s="249"/>
      <c r="AL1419" s="330"/>
      <c r="AM1419" s="343"/>
      <c r="AN1419" s="249"/>
      <c r="AO1419" s="330"/>
      <c r="AP1419" s="343"/>
      <c r="AQ1419" s="249"/>
      <c r="AR1419" s="330"/>
      <c r="AS1419" s="343"/>
      <c r="AT1419" s="249"/>
      <c r="AU1419" s="330"/>
    </row>
    <row r="1420" spans="2:47">
      <c r="B1420" s="247">
        <f>'Table S2 Compound Identifiers'!C1422</f>
        <v>0</v>
      </c>
      <c r="C1420" s="247">
        <f>COUNTIF($D$6:D1420,"&lt;&gt;"&amp;"")</f>
        <v>1415</v>
      </c>
      <c r="D1420" s="247">
        <f>'Table S2 Compound Identifiers'!B1422</f>
        <v>0</v>
      </c>
      <c r="E1420" s="247"/>
      <c r="F1420" s="248"/>
      <c r="G1420" s="249"/>
      <c r="H1420" s="330"/>
      <c r="I1420" s="328"/>
      <c r="J1420" s="249"/>
      <c r="K1420" s="330"/>
      <c r="L1420" s="250"/>
      <c r="M1420" s="249"/>
      <c r="N1420" s="330"/>
      <c r="O1420" s="250"/>
      <c r="P1420" s="249"/>
      <c r="Q1420" s="330"/>
      <c r="R1420" s="250"/>
      <c r="S1420" s="249"/>
      <c r="T1420" s="330"/>
      <c r="U1420" s="250"/>
      <c r="V1420" s="249"/>
      <c r="W1420" s="330"/>
      <c r="X1420" s="343"/>
      <c r="Y1420" s="249"/>
      <c r="Z1420" s="330"/>
      <c r="AA1420" s="343"/>
      <c r="AB1420" s="249"/>
      <c r="AC1420" s="330"/>
      <c r="AD1420" s="343"/>
      <c r="AE1420" s="249"/>
      <c r="AF1420" s="330"/>
      <c r="AG1420" s="343"/>
      <c r="AH1420" s="249"/>
      <c r="AI1420" s="330"/>
      <c r="AJ1420" s="343"/>
      <c r="AK1420" s="249"/>
      <c r="AL1420" s="330"/>
      <c r="AM1420" s="343"/>
      <c r="AN1420" s="249"/>
      <c r="AO1420" s="330"/>
      <c r="AP1420" s="343"/>
      <c r="AQ1420" s="249"/>
      <c r="AR1420" s="330"/>
      <c r="AS1420" s="343"/>
      <c r="AT1420" s="249"/>
      <c r="AU1420" s="330"/>
    </row>
    <row r="1421" spans="2:47">
      <c r="B1421" s="247">
        <f>'Table S2 Compound Identifiers'!C1423</f>
        <v>0</v>
      </c>
      <c r="C1421" s="247">
        <f>COUNTIF($D$6:D1421,"&lt;&gt;"&amp;"")</f>
        <v>1416</v>
      </c>
      <c r="D1421" s="247">
        <f>'Table S2 Compound Identifiers'!B1423</f>
        <v>0</v>
      </c>
      <c r="E1421" s="247"/>
      <c r="F1421" s="248"/>
      <c r="G1421" s="249"/>
      <c r="H1421" s="330"/>
      <c r="I1421" s="328"/>
      <c r="J1421" s="249"/>
      <c r="K1421" s="330"/>
      <c r="L1421" s="250"/>
      <c r="M1421" s="249"/>
      <c r="N1421" s="330"/>
      <c r="O1421" s="250"/>
      <c r="P1421" s="249"/>
      <c r="Q1421" s="330"/>
      <c r="R1421" s="250"/>
      <c r="S1421" s="249"/>
      <c r="T1421" s="330"/>
      <c r="U1421" s="250"/>
      <c r="V1421" s="249"/>
      <c r="W1421" s="330"/>
      <c r="X1421" s="343"/>
      <c r="Y1421" s="249"/>
      <c r="Z1421" s="330"/>
      <c r="AA1421" s="343"/>
      <c r="AB1421" s="249"/>
      <c r="AC1421" s="330"/>
      <c r="AD1421" s="343"/>
      <c r="AE1421" s="249"/>
      <c r="AF1421" s="330"/>
      <c r="AG1421" s="343"/>
      <c r="AH1421" s="249"/>
      <c r="AI1421" s="330"/>
      <c r="AJ1421" s="343"/>
      <c r="AK1421" s="249"/>
      <c r="AL1421" s="330"/>
      <c r="AM1421" s="343"/>
      <c r="AN1421" s="249"/>
      <c r="AO1421" s="330"/>
      <c r="AP1421" s="343"/>
      <c r="AQ1421" s="249"/>
      <c r="AR1421" s="330"/>
      <c r="AS1421" s="343"/>
      <c r="AT1421" s="249"/>
      <c r="AU1421" s="330"/>
    </row>
    <row r="1422" spans="2:47">
      <c r="B1422" s="247">
        <f>'Table S2 Compound Identifiers'!C1424</f>
        <v>0</v>
      </c>
      <c r="C1422" s="247">
        <f>COUNTIF($D$6:D1422,"&lt;&gt;"&amp;"")</f>
        <v>1417</v>
      </c>
      <c r="D1422" s="247">
        <f>'Table S2 Compound Identifiers'!B1424</f>
        <v>0</v>
      </c>
      <c r="E1422" s="247"/>
      <c r="F1422" s="248"/>
      <c r="G1422" s="249"/>
      <c r="H1422" s="330"/>
      <c r="I1422" s="328"/>
      <c r="J1422" s="249"/>
      <c r="K1422" s="330"/>
      <c r="L1422" s="250"/>
      <c r="M1422" s="249"/>
      <c r="N1422" s="330"/>
      <c r="O1422" s="250"/>
      <c r="P1422" s="249"/>
      <c r="Q1422" s="330"/>
      <c r="R1422" s="250"/>
      <c r="S1422" s="249"/>
      <c r="T1422" s="330"/>
      <c r="U1422" s="250"/>
      <c r="V1422" s="249"/>
      <c r="W1422" s="330"/>
      <c r="X1422" s="343"/>
      <c r="Y1422" s="249"/>
      <c r="Z1422" s="330"/>
      <c r="AA1422" s="343"/>
      <c r="AB1422" s="249"/>
      <c r="AC1422" s="330"/>
      <c r="AD1422" s="343"/>
      <c r="AE1422" s="249"/>
      <c r="AF1422" s="330"/>
      <c r="AG1422" s="343"/>
      <c r="AH1422" s="249"/>
      <c r="AI1422" s="330"/>
      <c r="AJ1422" s="343"/>
      <c r="AK1422" s="249"/>
      <c r="AL1422" s="330"/>
      <c r="AM1422" s="343"/>
      <c r="AN1422" s="249"/>
      <c r="AO1422" s="330"/>
      <c r="AP1422" s="343"/>
      <c r="AQ1422" s="249"/>
      <c r="AR1422" s="330"/>
      <c r="AS1422" s="343"/>
      <c r="AT1422" s="249"/>
      <c r="AU1422" s="330"/>
    </row>
    <row r="1423" spans="2:47">
      <c r="B1423" s="247">
        <f>'Table S2 Compound Identifiers'!C1425</f>
        <v>0</v>
      </c>
      <c r="C1423" s="247">
        <f>COUNTIF($D$6:D1423,"&lt;&gt;"&amp;"")</f>
        <v>1418</v>
      </c>
      <c r="D1423" s="247">
        <f>'Table S2 Compound Identifiers'!B1425</f>
        <v>0</v>
      </c>
      <c r="E1423" s="247"/>
      <c r="F1423" s="248"/>
      <c r="G1423" s="249"/>
      <c r="H1423" s="330"/>
      <c r="I1423" s="328"/>
      <c r="J1423" s="249"/>
      <c r="K1423" s="330"/>
      <c r="L1423" s="250"/>
      <c r="M1423" s="249"/>
      <c r="N1423" s="330"/>
      <c r="O1423" s="250"/>
      <c r="P1423" s="249"/>
      <c r="Q1423" s="330"/>
      <c r="R1423" s="250"/>
      <c r="S1423" s="249"/>
      <c r="T1423" s="330"/>
      <c r="U1423" s="250"/>
      <c r="V1423" s="249"/>
      <c r="W1423" s="330"/>
      <c r="X1423" s="343"/>
      <c r="Y1423" s="249"/>
      <c r="Z1423" s="330"/>
      <c r="AA1423" s="343"/>
      <c r="AB1423" s="249"/>
      <c r="AC1423" s="330"/>
      <c r="AD1423" s="343"/>
      <c r="AE1423" s="249"/>
      <c r="AF1423" s="330"/>
      <c r="AG1423" s="343"/>
      <c r="AH1423" s="249"/>
      <c r="AI1423" s="330"/>
      <c r="AJ1423" s="343"/>
      <c r="AK1423" s="249"/>
      <c r="AL1423" s="330"/>
      <c r="AM1423" s="343"/>
      <c r="AN1423" s="249"/>
      <c r="AO1423" s="330"/>
      <c r="AP1423" s="343"/>
      <c r="AQ1423" s="249"/>
      <c r="AR1423" s="330"/>
      <c r="AS1423" s="343"/>
      <c r="AT1423" s="249"/>
      <c r="AU1423" s="330"/>
    </row>
    <row r="1424" spans="2:47">
      <c r="B1424" s="247">
        <f>'Table S2 Compound Identifiers'!C1426</f>
        <v>0</v>
      </c>
      <c r="C1424" s="247">
        <f>COUNTIF($D$6:D1424,"&lt;&gt;"&amp;"")</f>
        <v>1419</v>
      </c>
      <c r="D1424" s="247">
        <f>'Table S2 Compound Identifiers'!B1426</f>
        <v>0</v>
      </c>
      <c r="E1424" s="247"/>
      <c r="F1424" s="248"/>
      <c r="G1424" s="249"/>
      <c r="H1424" s="330"/>
      <c r="I1424" s="328"/>
      <c r="J1424" s="249"/>
      <c r="K1424" s="330"/>
      <c r="L1424" s="250"/>
      <c r="M1424" s="249"/>
      <c r="N1424" s="330"/>
      <c r="O1424" s="250"/>
      <c r="P1424" s="249"/>
      <c r="Q1424" s="330"/>
      <c r="R1424" s="250"/>
      <c r="S1424" s="249"/>
      <c r="T1424" s="330"/>
      <c r="U1424" s="250"/>
      <c r="V1424" s="249"/>
      <c r="W1424" s="330"/>
      <c r="X1424" s="343"/>
      <c r="Y1424" s="249"/>
      <c r="Z1424" s="330"/>
      <c r="AA1424" s="343"/>
      <c r="AB1424" s="249"/>
      <c r="AC1424" s="330"/>
      <c r="AD1424" s="343"/>
      <c r="AE1424" s="249"/>
      <c r="AF1424" s="330"/>
      <c r="AG1424" s="343"/>
      <c r="AH1424" s="249"/>
      <c r="AI1424" s="330"/>
      <c r="AJ1424" s="343"/>
      <c r="AK1424" s="249"/>
      <c r="AL1424" s="330"/>
      <c r="AM1424" s="343"/>
      <c r="AN1424" s="249"/>
      <c r="AO1424" s="330"/>
      <c r="AP1424" s="343"/>
      <c r="AQ1424" s="249"/>
      <c r="AR1424" s="330"/>
      <c r="AS1424" s="343"/>
      <c r="AT1424" s="249"/>
      <c r="AU1424" s="330"/>
    </row>
    <row r="1425" spans="2:47">
      <c r="B1425" s="247">
        <f>'Table S2 Compound Identifiers'!C1427</f>
        <v>0</v>
      </c>
      <c r="C1425" s="247">
        <f>COUNTIF($D$6:D1425,"&lt;&gt;"&amp;"")</f>
        <v>1420</v>
      </c>
      <c r="D1425" s="247">
        <f>'Table S2 Compound Identifiers'!B1427</f>
        <v>0</v>
      </c>
      <c r="E1425" s="247"/>
      <c r="F1425" s="248"/>
      <c r="G1425" s="249"/>
      <c r="H1425" s="330"/>
      <c r="I1425" s="328"/>
      <c r="J1425" s="249"/>
      <c r="K1425" s="330"/>
      <c r="L1425" s="250"/>
      <c r="M1425" s="249"/>
      <c r="N1425" s="330"/>
      <c r="O1425" s="250"/>
      <c r="P1425" s="249"/>
      <c r="Q1425" s="330"/>
      <c r="R1425" s="250"/>
      <c r="S1425" s="249"/>
      <c r="T1425" s="330"/>
      <c r="U1425" s="250"/>
      <c r="V1425" s="249"/>
      <c r="W1425" s="330"/>
      <c r="X1425" s="343"/>
      <c r="Y1425" s="249"/>
      <c r="Z1425" s="330"/>
      <c r="AA1425" s="343"/>
      <c r="AB1425" s="249"/>
      <c r="AC1425" s="330"/>
      <c r="AD1425" s="343"/>
      <c r="AE1425" s="249"/>
      <c r="AF1425" s="330"/>
      <c r="AG1425" s="343"/>
      <c r="AH1425" s="249"/>
      <c r="AI1425" s="330"/>
      <c r="AJ1425" s="343"/>
      <c r="AK1425" s="249"/>
      <c r="AL1425" s="330"/>
      <c r="AM1425" s="343"/>
      <c r="AN1425" s="249"/>
      <c r="AO1425" s="330"/>
      <c r="AP1425" s="343"/>
      <c r="AQ1425" s="249"/>
      <c r="AR1425" s="330"/>
      <c r="AS1425" s="343"/>
      <c r="AT1425" s="249"/>
      <c r="AU1425" s="330"/>
    </row>
    <row r="1426" spans="2:47">
      <c r="B1426" s="247">
        <f>'Table S2 Compound Identifiers'!C1428</f>
        <v>0</v>
      </c>
      <c r="C1426" s="247">
        <f>COUNTIF($D$6:D1426,"&lt;&gt;"&amp;"")</f>
        <v>1421</v>
      </c>
      <c r="D1426" s="247">
        <f>'Table S2 Compound Identifiers'!B1428</f>
        <v>0</v>
      </c>
      <c r="E1426" s="247"/>
      <c r="F1426" s="248"/>
      <c r="G1426" s="249"/>
      <c r="H1426" s="330"/>
      <c r="I1426" s="328"/>
      <c r="J1426" s="249"/>
      <c r="K1426" s="330"/>
      <c r="L1426" s="250"/>
      <c r="M1426" s="249"/>
      <c r="N1426" s="330"/>
      <c r="O1426" s="250"/>
      <c r="P1426" s="249"/>
      <c r="Q1426" s="330"/>
      <c r="R1426" s="250"/>
      <c r="S1426" s="249"/>
      <c r="T1426" s="330"/>
      <c r="U1426" s="250"/>
      <c r="V1426" s="249"/>
      <c r="W1426" s="330"/>
      <c r="X1426" s="343"/>
      <c r="Y1426" s="249"/>
      <c r="Z1426" s="330"/>
      <c r="AA1426" s="343"/>
      <c r="AB1426" s="249"/>
      <c r="AC1426" s="330"/>
      <c r="AD1426" s="343"/>
      <c r="AE1426" s="249"/>
      <c r="AF1426" s="330"/>
      <c r="AG1426" s="343"/>
      <c r="AH1426" s="249"/>
      <c r="AI1426" s="330"/>
      <c r="AJ1426" s="343"/>
      <c r="AK1426" s="249"/>
      <c r="AL1426" s="330"/>
      <c r="AM1426" s="343"/>
      <c r="AN1426" s="249"/>
      <c r="AO1426" s="330"/>
      <c r="AP1426" s="343"/>
      <c r="AQ1426" s="249"/>
      <c r="AR1426" s="330"/>
      <c r="AS1426" s="343"/>
      <c r="AT1426" s="249"/>
      <c r="AU1426" s="330"/>
    </row>
    <row r="1427" spans="2:47">
      <c r="B1427" s="247">
        <f>'Table S2 Compound Identifiers'!C1429</f>
        <v>0</v>
      </c>
      <c r="C1427" s="247">
        <f>COUNTIF($D$6:D1427,"&lt;&gt;"&amp;"")</f>
        <v>1422</v>
      </c>
      <c r="D1427" s="247">
        <f>'Table S2 Compound Identifiers'!B1429</f>
        <v>0</v>
      </c>
      <c r="E1427" s="247"/>
      <c r="F1427" s="248"/>
      <c r="G1427" s="249"/>
      <c r="H1427" s="330"/>
      <c r="I1427" s="328"/>
      <c r="J1427" s="249"/>
      <c r="K1427" s="330"/>
      <c r="L1427" s="250"/>
      <c r="M1427" s="249"/>
      <c r="N1427" s="330"/>
      <c r="O1427" s="250"/>
      <c r="P1427" s="249"/>
      <c r="Q1427" s="330"/>
      <c r="R1427" s="250"/>
      <c r="S1427" s="249"/>
      <c r="T1427" s="330"/>
      <c r="U1427" s="250"/>
      <c r="V1427" s="249"/>
      <c r="W1427" s="330"/>
      <c r="X1427" s="343"/>
      <c r="Y1427" s="249"/>
      <c r="Z1427" s="330"/>
      <c r="AA1427" s="343"/>
      <c r="AB1427" s="249"/>
      <c r="AC1427" s="330"/>
      <c r="AD1427" s="343"/>
      <c r="AE1427" s="249"/>
      <c r="AF1427" s="330"/>
      <c r="AG1427" s="343"/>
      <c r="AH1427" s="249"/>
      <c r="AI1427" s="330"/>
      <c r="AJ1427" s="343"/>
      <c r="AK1427" s="249"/>
      <c r="AL1427" s="330"/>
      <c r="AM1427" s="343"/>
      <c r="AN1427" s="249"/>
      <c r="AO1427" s="330"/>
      <c r="AP1427" s="343"/>
      <c r="AQ1427" s="249"/>
      <c r="AR1427" s="330"/>
      <c r="AS1427" s="343"/>
      <c r="AT1427" s="249"/>
      <c r="AU1427" s="330"/>
    </row>
    <row r="1428" spans="2:47">
      <c r="B1428" s="247">
        <f>'Table S2 Compound Identifiers'!C1430</f>
        <v>0</v>
      </c>
      <c r="C1428" s="247">
        <f>COUNTIF($D$6:D1428,"&lt;&gt;"&amp;"")</f>
        <v>1423</v>
      </c>
      <c r="D1428" s="247">
        <f>'Table S2 Compound Identifiers'!B1430</f>
        <v>0</v>
      </c>
      <c r="E1428" s="247"/>
      <c r="F1428" s="248"/>
      <c r="G1428" s="249"/>
      <c r="H1428" s="330"/>
      <c r="I1428" s="328"/>
      <c r="J1428" s="249"/>
      <c r="K1428" s="330"/>
      <c r="L1428" s="250"/>
      <c r="M1428" s="249"/>
      <c r="N1428" s="330"/>
      <c r="O1428" s="250"/>
      <c r="P1428" s="249"/>
      <c r="Q1428" s="330"/>
      <c r="R1428" s="250"/>
      <c r="S1428" s="249"/>
      <c r="T1428" s="330"/>
      <c r="U1428" s="250"/>
      <c r="V1428" s="249"/>
      <c r="W1428" s="330"/>
      <c r="X1428" s="343"/>
      <c r="Y1428" s="249"/>
      <c r="Z1428" s="330"/>
      <c r="AA1428" s="343"/>
      <c r="AB1428" s="249"/>
      <c r="AC1428" s="330"/>
      <c r="AD1428" s="343"/>
      <c r="AE1428" s="249"/>
      <c r="AF1428" s="330"/>
      <c r="AG1428" s="343"/>
      <c r="AH1428" s="249"/>
      <c r="AI1428" s="330"/>
      <c r="AJ1428" s="343"/>
      <c r="AK1428" s="249"/>
      <c r="AL1428" s="330"/>
      <c r="AM1428" s="343"/>
      <c r="AN1428" s="249"/>
      <c r="AO1428" s="330"/>
      <c r="AP1428" s="343"/>
      <c r="AQ1428" s="249"/>
      <c r="AR1428" s="330"/>
      <c r="AS1428" s="343"/>
      <c r="AT1428" s="249"/>
      <c r="AU1428" s="330"/>
    </row>
    <row r="1429" spans="2:47">
      <c r="B1429" s="247">
        <f>'Table S2 Compound Identifiers'!C1431</f>
        <v>0</v>
      </c>
      <c r="C1429" s="247">
        <f>COUNTIF($D$6:D1429,"&lt;&gt;"&amp;"")</f>
        <v>1424</v>
      </c>
      <c r="D1429" s="247">
        <f>'Table S2 Compound Identifiers'!B1431</f>
        <v>0</v>
      </c>
      <c r="E1429" s="247"/>
      <c r="F1429" s="248"/>
      <c r="G1429" s="249"/>
      <c r="H1429" s="330"/>
      <c r="I1429" s="328"/>
      <c r="J1429" s="249"/>
      <c r="K1429" s="330"/>
      <c r="L1429" s="250"/>
      <c r="M1429" s="249"/>
      <c r="N1429" s="330"/>
      <c r="O1429" s="250"/>
      <c r="P1429" s="249"/>
      <c r="Q1429" s="330"/>
      <c r="R1429" s="250"/>
      <c r="S1429" s="249"/>
      <c r="T1429" s="330"/>
      <c r="U1429" s="250"/>
      <c r="V1429" s="249"/>
      <c r="W1429" s="330"/>
      <c r="X1429" s="343"/>
      <c r="Y1429" s="249"/>
      <c r="Z1429" s="330"/>
      <c r="AA1429" s="343"/>
      <c r="AB1429" s="249"/>
      <c r="AC1429" s="330"/>
      <c r="AD1429" s="343"/>
      <c r="AE1429" s="249"/>
      <c r="AF1429" s="330"/>
      <c r="AG1429" s="343"/>
      <c r="AH1429" s="249"/>
      <c r="AI1429" s="330"/>
      <c r="AJ1429" s="343"/>
      <c r="AK1429" s="249"/>
      <c r="AL1429" s="330"/>
      <c r="AM1429" s="343"/>
      <c r="AN1429" s="249"/>
      <c r="AO1429" s="330"/>
      <c r="AP1429" s="343"/>
      <c r="AQ1429" s="249"/>
      <c r="AR1429" s="330"/>
      <c r="AS1429" s="343"/>
      <c r="AT1429" s="249"/>
      <c r="AU1429" s="330"/>
    </row>
    <row r="1430" spans="2:47">
      <c r="B1430" s="247">
        <f>'Table S2 Compound Identifiers'!C1432</f>
        <v>0</v>
      </c>
      <c r="C1430" s="247">
        <f>COUNTIF($D$6:D1430,"&lt;&gt;"&amp;"")</f>
        <v>1425</v>
      </c>
      <c r="D1430" s="247">
        <f>'Table S2 Compound Identifiers'!B1432</f>
        <v>0</v>
      </c>
      <c r="E1430" s="247"/>
      <c r="F1430" s="248"/>
      <c r="G1430" s="249"/>
      <c r="H1430" s="330"/>
      <c r="I1430" s="328"/>
      <c r="J1430" s="249"/>
      <c r="K1430" s="330"/>
      <c r="L1430" s="250"/>
      <c r="M1430" s="249"/>
      <c r="N1430" s="330"/>
      <c r="O1430" s="250"/>
      <c r="P1430" s="249"/>
      <c r="Q1430" s="330"/>
      <c r="R1430" s="250"/>
      <c r="S1430" s="249"/>
      <c r="T1430" s="330"/>
      <c r="U1430" s="250"/>
      <c r="V1430" s="249"/>
      <c r="W1430" s="330"/>
      <c r="X1430" s="343"/>
      <c r="Y1430" s="249"/>
      <c r="Z1430" s="330"/>
      <c r="AA1430" s="343"/>
      <c r="AB1430" s="249"/>
      <c r="AC1430" s="330"/>
      <c r="AD1430" s="343"/>
      <c r="AE1430" s="249"/>
      <c r="AF1430" s="330"/>
      <c r="AG1430" s="343"/>
      <c r="AH1430" s="249"/>
      <c r="AI1430" s="330"/>
      <c r="AJ1430" s="343"/>
      <c r="AK1430" s="249"/>
      <c r="AL1430" s="330"/>
      <c r="AM1430" s="343"/>
      <c r="AN1430" s="249"/>
      <c r="AO1430" s="330"/>
      <c r="AP1430" s="343"/>
      <c r="AQ1430" s="249"/>
      <c r="AR1430" s="330"/>
      <c r="AS1430" s="343"/>
      <c r="AT1430" s="249"/>
      <c r="AU1430" s="330"/>
    </row>
    <row r="1431" spans="2:47">
      <c r="B1431" s="247">
        <f>'Table S2 Compound Identifiers'!C1433</f>
        <v>0</v>
      </c>
      <c r="C1431" s="247">
        <f>COUNTIF($D$6:D1431,"&lt;&gt;"&amp;"")</f>
        <v>1426</v>
      </c>
      <c r="D1431" s="247">
        <f>'Table S2 Compound Identifiers'!B1433</f>
        <v>0</v>
      </c>
      <c r="E1431" s="247"/>
      <c r="F1431" s="248"/>
      <c r="G1431" s="249"/>
      <c r="H1431" s="330"/>
      <c r="I1431" s="328"/>
      <c r="J1431" s="249"/>
      <c r="K1431" s="330"/>
      <c r="L1431" s="250"/>
      <c r="M1431" s="249"/>
      <c r="N1431" s="330"/>
      <c r="O1431" s="250"/>
      <c r="P1431" s="249"/>
      <c r="Q1431" s="330"/>
      <c r="R1431" s="250"/>
      <c r="S1431" s="249"/>
      <c r="T1431" s="330"/>
      <c r="U1431" s="250"/>
      <c r="V1431" s="249"/>
      <c r="W1431" s="330"/>
      <c r="X1431" s="343"/>
      <c r="Y1431" s="249"/>
      <c r="Z1431" s="330"/>
      <c r="AA1431" s="343"/>
      <c r="AB1431" s="249"/>
      <c r="AC1431" s="330"/>
      <c r="AD1431" s="343"/>
      <c r="AE1431" s="249"/>
      <c r="AF1431" s="330"/>
      <c r="AG1431" s="343"/>
      <c r="AH1431" s="249"/>
      <c r="AI1431" s="330"/>
      <c r="AJ1431" s="343"/>
      <c r="AK1431" s="249"/>
      <c r="AL1431" s="330"/>
      <c r="AM1431" s="343"/>
      <c r="AN1431" s="249"/>
      <c r="AO1431" s="330"/>
      <c r="AP1431" s="343"/>
      <c r="AQ1431" s="249"/>
      <c r="AR1431" s="330"/>
      <c r="AS1431" s="343"/>
      <c r="AT1431" s="249"/>
      <c r="AU1431" s="330"/>
    </row>
    <row r="1432" spans="2:47">
      <c r="B1432" s="247">
        <f>'Table S2 Compound Identifiers'!C1434</f>
        <v>0</v>
      </c>
      <c r="C1432" s="247">
        <f>COUNTIF($D$6:D1432,"&lt;&gt;"&amp;"")</f>
        <v>1427</v>
      </c>
      <c r="D1432" s="247">
        <f>'Table S2 Compound Identifiers'!B1434</f>
        <v>0</v>
      </c>
      <c r="E1432" s="247"/>
      <c r="F1432" s="248"/>
      <c r="G1432" s="249"/>
      <c r="H1432" s="330"/>
      <c r="I1432" s="328"/>
      <c r="J1432" s="249"/>
      <c r="K1432" s="330"/>
      <c r="L1432" s="250"/>
      <c r="M1432" s="249"/>
      <c r="N1432" s="330"/>
      <c r="O1432" s="250"/>
      <c r="P1432" s="249"/>
      <c r="Q1432" s="330"/>
      <c r="R1432" s="250"/>
      <c r="S1432" s="249"/>
      <c r="T1432" s="330"/>
      <c r="U1432" s="250"/>
      <c r="V1432" s="249"/>
      <c r="W1432" s="330"/>
      <c r="X1432" s="343"/>
      <c r="Y1432" s="249"/>
      <c r="Z1432" s="330"/>
      <c r="AA1432" s="343"/>
      <c r="AB1432" s="249"/>
      <c r="AC1432" s="330"/>
      <c r="AD1432" s="343"/>
      <c r="AE1432" s="249"/>
      <c r="AF1432" s="330"/>
      <c r="AG1432" s="343"/>
      <c r="AH1432" s="249"/>
      <c r="AI1432" s="330"/>
      <c r="AJ1432" s="343"/>
      <c r="AK1432" s="249"/>
      <c r="AL1432" s="330"/>
      <c r="AM1432" s="343"/>
      <c r="AN1432" s="249"/>
      <c r="AO1432" s="330"/>
      <c r="AP1432" s="343"/>
      <c r="AQ1432" s="249"/>
      <c r="AR1432" s="330"/>
      <c r="AS1432" s="343"/>
      <c r="AT1432" s="249"/>
      <c r="AU1432" s="330"/>
    </row>
    <row r="1433" spans="2:47">
      <c r="B1433" s="247">
        <f>'Table S2 Compound Identifiers'!C1435</f>
        <v>0</v>
      </c>
      <c r="C1433" s="247">
        <f>COUNTIF($D$6:D1433,"&lt;&gt;"&amp;"")</f>
        <v>1428</v>
      </c>
      <c r="D1433" s="247">
        <f>'Table S2 Compound Identifiers'!B1435</f>
        <v>0</v>
      </c>
      <c r="E1433" s="247"/>
      <c r="F1433" s="248"/>
      <c r="G1433" s="249"/>
      <c r="H1433" s="330"/>
      <c r="I1433" s="328"/>
      <c r="J1433" s="249"/>
      <c r="K1433" s="330"/>
      <c r="L1433" s="250"/>
      <c r="M1433" s="249"/>
      <c r="N1433" s="330"/>
      <c r="O1433" s="250"/>
      <c r="P1433" s="249"/>
      <c r="Q1433" s="330"/>
      <c r="R1433" s="250"/>
      <c r="S1433" s="249"/>
      <c r="T1433" s="330"/>
      <c r="U1433" s="250"/>
      <c r="V1433" s="249"/>
      <c r="W1433" s="330"/>
      <c r="X1433" s="343"/>
      <c r="Y1433" s="249"/>
      <c r="Z1433" s="330"/>
      <c r="AA1433" s="343"/>
      <c r="AB1433" s="249"/>
      <c r="AC1433" s="330"/>
      <c r="AD1433" s="343"/>
      <c r="AE1433" s="249"/>
      <c r="AF1433" s="330"/>
      <c r="AG1433" s="343"/>
      <c r="AH1433" s="249"/>
      <c r="AI1433" s="330"/>
      <c r="AJ1433" s="343"/>
      <c r="AK1433" s="249"/>
      <c r="AL1433" s="330"/>
      <c r="AM1433" s="343"/>
      <c r="AN1433" s="249"/>
      <c r="AO1433" s="330"/>
      <c r="AP1433" s="343"/>
      <c r="AQ1433" s="249"/>
      <c r="AR1433" s="330"/>
      <c r="AS1433" s="343"/>
      <c r="AT1433" s="249"/>
      <c r="AU1433" s="330"/>
    </row>
    <row r="1434" spans="2:47">
      <c r="B1434" s="247">
        <f>'Table S2 Compound Identifiers'!C1436</f>
        <v>0</v>
      </c>
      <c r="C1434" s="247">
        <f>COUNTIF($D$6:D1434,"&lt;&gt;"&amp;"")</f>
        <v>1429</v>
      </c>
      <c r="D1434" s="247">
        <f>'Table S2 Compound Identifiers'!B1436</f>
        <v>0</v>
      </c>
      <c r="E1434" s="247"/>
      <c r="F1434" s="248"/>
      <c r="G1434" s="249"/>
      <c r="H1434" s="330"/>
      <c r="I1434" s="328"/>
      <c r="J1434" s="249"/>
      <c r="K1434" s="330"/>
      <c r="L1434" s="250"/>
      <c r="M1434" s="249"/>
      <c r="N1434" s="330"/>
      <c r="O1434" s="250"/>
      <c r="P1434" s="249"/>
      <c r="Q1434" s="330"/>
      <c r="R1434" s="250"/>
      <c r="S1434" s="249"/>
      <c r="T1434" s="330"/>
      <c r="U1434" s="250"/>
      <c r="V1434" s="249"/>
      <c r="W1434" s="330"/>
      <c r="X1434" s="343"/>
      <c r="Y1434" s="249"/>
      <c r="Z1434" s="330"/>
      <c r="AA1434" s="343"/>
      <c r="AB1434" s="249"/>
      <c r="AC1434" s="330"/>
      <c r="AD1434" s="343"/>
      <c r="AE1434" s="249"/>
      <c r="AF1434" s="330"/>
      <c r="AG1434" s="343"/>
      <c r="AH1434" s="249"/>
      <c r="AI1434" s="330"/>
      <c r="AJ1434" s="343"/>
      <c r="AK1434" s="249"/>
      <c r="AL1434" s="330"/>
      <c r="AM1434" s="343"/>
      <c r="AN1434" s="249"/>
      <c r="AO1434" s="330"/>
      <c r="AP1434" s="343"/>
      <c r="AQ1434" s="249"/>
      <c r="AR1434" s="330"/>
      <c r="AS1434" s="343"/>
      <c r="AT1434" s="249"/>
      <c r="AU1434" s="330"/>
    </row>
    <row r="1435" spans="2:47">
      <c r="B1435" s="247">
        <f>'Table S2 Compound Identifiers'!C1437</f>
        <v>0</v>
      </c>
      <c r="C1435" s="247">
        <f>COUNTIF($D$6:D1435,"&lt;&gt;"&amp;"")</f>
        <v>1430</v>
      </c>
      <c r="D1435" s="247">
        <f>'Table S2 Compound Identifiers'!B1437</f>
        <v>0</v>
      </c>
      <c r="E1435" s="247"/>
      <c r="F1435" s="248"/>
      <c r="G1435" s="249"/>
      <c r="H1435" s="330"/>
      <c r="I1435" s="328"/>
      <c r="J1435" s="249"/>
      <c r="K1435" s="330"/>
      <c r="L1435" s="250"/>
      <c r="M1435" s="249"/>
      <c r="N1435" s="330"/>
      <c r="O1435" s="250"/>
      <c r="P1435" s="249"/>
      <c r="Q1435" s="330"/>
      <c r="R1435" s="250"/>
      <c r="S1435" s="249"/>
      <c r="T1435" s="330"/>
      <c r="U1435" s="250"/>
      <c r="V1435" s="249"/>
      <c r="W1435" s="330"/>
      <c r="X1435" s="343"/>
      <c r="Y1435" s="249"/>
      <c r="Z1435" s="330"/>
      <c r="AA1435" s="343"/>
      <c r="AB1435" s="249"/>
      <c r="AC1435" s="330"/>
      <c r="AD1435" s="343"/>
      <c r="AE1435" s="249"/>
      <c r="AF1435" s="330"/>
      <c r="AG1435" s="343"/>
      <c r="AH1435" s="249"/>
      <c r="AI1435" s="330"/>
      <c r="AJ1435" s="343"/>
      <c r="AK1435" s="249"/>
      <c r="AL1435" s="330"/>
      <c r="AM1435" s="343"/>
      <c r="AN1435" s="249"/>
      <c r="AO1435" s="330"/>
      <c r="AP1435" s="343"/>
      <c r="AQ1435" s="249"/>
      <c r="AR1435" s="330"/>
      <c r="AS1435" s="343"/>
      <c r="AT1435" s="249"/>
      <c r="AU1435" s="330"/>
    </row>
    <row r="1436" spans="2:47">
      <c r="B1436" s="247">
        <f>'Table S2 Compound Identifiers'!C1438</f>
        <v>0</v>
      </c>
      <c r="C1436" s="247">
        <f>COUNTIF($D$6:D1436,"&lt;&gt;"&amp;"")</f>
        <v>1431</v>
      </c>
      <c r="D1436" s="247">
        <f>'Table S2 Compound Identifiers'!B1438</f>
        <v>0</v>
      </c>
      <c r="E1436" s="247"/>
      <c r="F1436" s="248"/>
      <c r="G1436" s="249"/>
      <c r="H1436" s="330"/>
      <c r="I1436" s="328"/>
      <c r="J1436" s="249"/>
      <c r="K1436" s="330"/>
      <c r="L1436" s="250"/>
      <c r="M1436" s="249"/>
      <c r="N1436" s="330"/>
      <c r="O1436" s="250"/>
      <c r="P1436" s="249"/>
      <c r="Q1436" s="330"/>
      <c r="R1436" s="250"/>
      <c r="S1436" s="249"/>
      <c r="T1436" s="330"/>
      <c r="U1436" s="250"/>
      <c r="V1436" s="249"/>
      <c r="W1436" s="330"/>
      <c r="X1436" s="343"/>
      <c r="Y1436" s="249"/>
      <c r="Z1436" s="330"/>
      <c r="AA1436" s="343"/>
      <c r="AB1436" s="249"/>
      <c r="AC1436" s="330"/>
      <c r="AD1436" s="343"/>
      <c r="AE1436" s="249"/>
      <c r="AF1436" s="330"/>
      <c r="AG1436" s="343"/>
      <c r="AH1436" s="249"/>
      <c r="AI1436" s="330"/>
      <c r="AJ1436" s="343"/>
      <c r="AK1436" s="249"/>
      <c r="AL1436" s="330"/>
      <c r="AM1436" s="343"/>
      <c r="AN1436" s="249"/>
      <c r="AO1436" s="330"/>
      <c r="AP1436" s="343"/>
      <c r="AQ1436" s="249"/>
      <c r="AR1436" s="330"/>
      <c r="AS1436" s="343"/>
      <c r="AT1436" s="249"/>
      <c r="AU1436" s="330"/>
    </row>
    <row r="1437" spans="2:47">
      <c r="B1437" s="247">
        <f>'Table S2 Compound Identifiers'!C1439</f>
        <v>0</v>
      </c>
      <c r="C1437" s="247">
        <f>COUNTIF($D$6:D1437,"&lt;&gt;"&amp;"")</f>
        <v>1432</v>
      </c>
      <c r="D1437" s="247">
        <f>'Table S2 Compound Identifiers'!B1439</f>
        <v>0</v>
      </c>
      <c r="E1437" s="247"/>
      <c r="F1437" s="248"/>
      <c r="G1437" s="249"/>
      <c r="H1437" s="330"/>
      <c r="I1437" s="328"/>
      <c r="J1437" s="249"/>
      <c r="K1437" s="330"/>
      <c r="L1437" s="250"/>
      <c r="M1437" s="249"/>
      <c r="N1437" s="330"/>
      <c r="O1437" s="250"/>
      <c r="P1437" s="249"/>
      <c r="Q1437" s="330"/>
      <c r="R1437" s="250"/>
      <c r="S1437" s="249"/>
      <c r="T1437" s="330"/>
      <c r="U1437" s="250"/>
      <c r="V1437" s="249"/>
      <c r="W1437" s="330"/>
      <c r="X1437" s="343"/>
      <c r="Y1437" s="249"/>
      <c r="Z1437" s="330"/>
      <c r="AA1437" s="343"/>
      <c r="AB1437" s="249"/>
      <c r="AC1437" s="330"/>
      <c r="AD1437" s="343"/>
      <c r="AE1437" s="249"/>
      <c r="AF1437" s="330"/>
      <c r="AG1437" s="343"/>
      <c r="AH1437" s="249"/>
      <c r="AI1437" s="330"/>
      <c r="AJ1437" s="343"/>
      <c r="AK1437" s="249"/>
      <c r="AL1437" s="330"/>
      <c r="AM1437" s="343"/>
      <c r="AN1437" s="249"/>
      <c r="AO1437" s="330"/>
      <c r="AP1437" s="343"/>
      <c r="AQ1437" s="249"/>
      <c r="AR1437" s="330"/>
      <c r="AS1437" s="343"/>
      <c r="AT1437" s="249"/>
      <c r="AU1437" s="330"/>
    </row>
    <row r="1438" spans="2:47">
      <c r="B1438" s="247">
        <f>'Table S2 Compound Identifiers'!C1440</f>
        <v>0</v>
      </c>
      <c r="C1438" s="247">
        <f>COUNTIF($D$6:D1438,"&lt;&gt;"&amp;"")</f>
        <v>1433</v>
      </c>
      <c r="D1438" s="247">
        <f>'Table S2 Compound Identifiers'!B1440</f>
        <v>0</v>
      </c>
      <c r="E1438" s="247"/>
      <c r="F1438" s="248"/>
      <c r="G1438" s="249"/>
      <c r="H1438" s="330"/>
      <c r="I1438" s="328"/>
      <c r="J1438" s="249"/>
      <c r="K1438" s="330"/>
      <c r="L1438" s="250"/>
      <c r="M1438" s="249"/>
      <c r="N1438" s="330"/>
      <c r="O1438" s="250"/>
      <c r="P1438" s="249"/>
      <c r="Q1438" s="330"/>
      <c r="R1438" s="250"/>
      <c r="S1438" s="249"/>
      <c r="T1438" s="330"/>
      <c r="U1438" s="250"/>
      <c r="V1438" s="249"/>
      <c r="W1438" s="330"/>
      <c r="X1438" s="343"/>
      <c r="Y1438" s="249"/>
      <c r="Z1438" s="330"/>
      <c r="AA1438" s="343"/>
      <c r="AB1438" s="249"/>
      <c r="AC1438" s="330"/>
      <c r="AD1438" s="343"/>
      <c r="AE1438" s="249"/>
      <c r="AF1438" s="330"/>
      <c r="AG1438" s="343"/>
      <c r="AH1438" s="249"/>
      <c r="AI1438" s="330"/>
      <c r="AJ1438" s="343"/>
      <c r="AK1438" s="249"/>
      <c r="AL1438" s="330"/>
      <c r="AM1438" s="343"/>
      <c r="AN1438" s="249"/>
      <c r="AO1438" s="330"/>
      <c r="AP1438" s="343"/>
      <c r="AQ1438" s="249"/>
      <c r="AR1438" s="330"/>
      <c r="AS1438" s="343"/>
      <c r="AT1438" s="249"/>
      <c r="AU1438" s="330"/>
    </row>
    <row r="1439" spans="2:47">
      <c r="B1439" s="247">
        <f>'Table S2 Compound Identifiers'!C1441</f>
        <v>0</v>
      </c>
      <c r="C1439" s="247">
        <f>COUNTIF($D$6:D1439,"&lt;&gt;"&amp;"")</f>
        <v>1434</v>
      </c>
      <c r="D1439" s="247">
        <f>'Table S2 Compound Identifiers'!B1441</f>
        <v>0</v>
      </c>
      <c r="E1439" s="247"/>
      <c r="F1439" s="248"/>
      <c r="G1439" s="249"/>
      <c r="H1439" s="330"/>
      <c r="I1439" s="328"/>
      <c r="J1439" s="249"/>
      <c r="K1439" s="330"/>
      <c r="L1439" s="250"/>
      <c r="M1439" s="249"/>
      <c r="N1439" s="330"/>
      <c r="O1439" s="250"/>
      <c r="P1439" s="249"/>
      <c r="Q1439" s="330"/>
      <c r="R1439" s="250"/>
      <c r="S1439" s="249"/>
      <c r="T1439" s="330"/>
      <c r="U1439" s="250"/>
      <c r="V1439" s="249"/>
      <c r="W1439" s="330"/>
      <c r="X1439" s="343"/>
      <c r="Y1439" s="249"/>
      <c r="Z1439" s="330"/>
      <c r="AA1439" s="343"/>
      <c r="AB1439" s="249"/>
      <c r="AC1439" s="330"/>
      <c r="AD1439" s="343"/>
      <c r="AE1439" s="249"/>
      <c r="AF1439" s="330"/>
      <c r="AG1439" s="343"/>
      <c r="AH1439" s="249"/>
      <c r="AI1439" s="330"/>
      <c r="AJ1439" s="343"/>
      <c r="AK1439" s="249"/>
      <c r="AL1439" s="330"/>
      <c r="AM1439" s="343"/>
      <c r="AN1439" s="249"/>
      <c r="AO1439" s="330"/>
      <c r="AP1439" s="343"/>
      <c r="AQ1439" s="249"/>
      <c r="AR1439" s="330"/>
      <c r="AS1439" s="343"/>
      <c r="AT1439" s="249"/>
      <c r="AU1439" s="330"/>
    </row>
    <row r="1440" spans="2:47">
      <c r="B1440" s="247">
        <f>'Table S2 Compound Identifiers'!C1442</f>
        <v>0</v>
      </c>
      <c r="C1440" s="247">
        <f>COUNTIF($D$6:D1440,"&lt;&gt;"&amp;"")</f>
        <v>1435</v>
      </c>
      <c r="D1440" s="247">
        <f>'Table S2 Compound Identifiers'!B1442</f>
        <v>0</v>
      </c>
      <c r="E1440" s="247"/>
      <c r="F1440" s="248"/>
      <c r="G1440" s="249"/>
      <c r="H1440" s="330"/>
      <c r="I1440" s="328"/>
      <c r="J1440" s="249"/>
      <c r="K1440" s="330"/>
      <c r="L1440" s="250"/>
      <c r="M1440" s="249"/>
      <c r="N1440" s="330"/>
      <c r="O1440" s="250"/>
      <c r="P1440" s="249"/>
      <c r="Q1440" s="330"/>
      <c r="R1440" s="250"/>
      <c r="S1440" s="249"/>
      <c r="T1440" s="330"/>
      <c r="U1440" s="250"/>
      <c r="V1440" s="249"/>
      <c r="W1440" s="330"/>
      <c r="X1440" s="343"/>
      <c r="Y1440" s="249"/>
      <c r="Z1440" s="330"/>
      <c r="AA1440" s="343"/>
      <c r="AB1440" s="249"/>
      <c r="AC1440" s="330"/>
      <c r="AD1440" s="343"/>
      <c r="AE1440" s="249"/>
      <c r="AF1440" s="330"/>
      <c r="AG1440" s="343"/>
      <c r="AH1440" s="249"/>
      <c r="AI1440" s="330"/>
      <c r="AJ1440" s="343"/>
      <c r="AK1440" s="249"/>
      <c r="AL1440" s="330"/>
      <c r="AM1440" s="343"/>
      <c r="AN1440" s="249"/>
      <c r="AO1440" s="330"/>
      <c r="AP1440" s="343"/>
      <c r="AQ1440" s="249"/>
      <c r="AR1440" s="330"/>
      <c r="AS1440" s="343"/>
      <c r="AT1440" s="249"/>
      <c r="AU1440" s="330"/>
    </row>
    <row r="1441" spans="2:47">
      <c r="B1441" s="247">
        <f>'Table S2 Compound Identifiers'!C1443</f>
        <v>0</v>
      </c>
      <c r="C1441" s="247">
        <f>COUNTIF($D$6:D1441,"&lt;&gt;"&amp;"")</f>
        <v>1436</v>
      </c>
      <c r="D1441" s="247">
        <f>'Table S2 Compound Identifiers'!B1443</f>
        <v>0</v>
      </c>
      <c r="E1441" s="247"/>
      <c r="F1441" s="248"/>
      <c r="G1441" s="249"/>
      <c r="H1441" s="330"/>
      <c r="I1441" s="328"/>
      <c r="J1441" s="249"/>
      <c r="K1441" s="330"/>
      <c r="L1441" s="250"/>
      <c r="M1441" s="249"/>
      <c r="N1441" s="330"/>
      <c r="O1441" s="250"/>
      <c r="P1441" s="249"/>
      <c r="Q1441" s="330"/>
      <c r="R1441" s="250"/>
      <c r="S1441" s="249"/>
      <c r="T1441" s="330"/>
      <c r="U1441" s="250"/>
      <c r="V1441" s="249"/>
      <c r="W1441" s="330"/>
      <c r="X1441" s="343"/>
      <c r="Y1441" s="249"/>
      <c r="Z1441" s="330"/>
      <c r="AA1441" s="343"/>
      <c r="AB1441" s="249"/>
      <c r="AC1441" s="330"/>
      <c r="AD1441" s="343"/>
      <c r="AE1441" s="249"/>
      <c r="AF1441" s="330"/>
      <c r="AG1441" s="343"/>
      <c r="AH1441" s="249"/>
      <c r="AI1441" s="330"/>
      <c r="AJ1441" s="343"/>
      <c r="AK1441" s="249"/>
      <c r="AL1441" s="330"/>
      <c r="AM1441" s="343"/>
      <c r="AN1441" s="249"/>
      <c r="AO1441" s="330"/>
      <c r="AP1441" s="343"/>
      <c r="AQ1441" s="249"/>
      <c r="AR1441" s="330"/>
      <c r="AS1441" s="343"/>
      <c r="AT1441" s="249"/>
      <c r="AU1441" s="330"/>
    </row>
    <row r="1442" spans="2:47">
      <c r="B1442" s="247">
        <f>'Table S2 Compound Identifiers'!C1444</f>
        <v>0</v>
      </c>
      <c r="C1442" s="247">
        <f>COUNTIF($D$6:D1442,"&lt;&gt;"&amp;"")</f>
        <v>1437</v>
      </c>
      <c r="D1442" s="247">
        <f>'Table S2 Compound Identifiers'!B1444</f>
        <v>0</v>
      </c>
      <c r="E1442" s="247"/>
      <c r="F1442" s="248"/>
      <c r="G1442" s="249"/>
      <c r="H1442" s="330"/>
      <c r="I1442" s="328"/>
      <c r="J1442" s="249"/>
      <c r="K1442" s="330"/>
      <c r="L1442" s="250"/>
      <c r="M1442" s="249"/>
      <c r="N1442" s="330"/>
      <c r="O1442" s="250"/>
      <c r="P1442" s="249"/>
      <c r="Q1442" s="330"/>
      <c r="R1442" s="250"/>
      <c r="S1442" s="249"/>
      <c r="T1442" s="330"/>
      <c r="U1442" s="250"/>
      <c r="V1442" s="249"/>
      <c r="W1442" s="330"/>
      <c r="X1442" s="343"/>
      <c r="Y1442" s="249"/>
      <c r="Z1442" s="330"/>
      <c r="AA1442" s="343"/>
      <c r="AB1442" s="249"/>
      <c r="AC1442" s="330"/>
      <c r="AD1442" s="343"/>
      <c r="AE1442" s="249"/>
      <c r="AF1442" s="330"/>
      <c r="AG1442" s="343"/>
      <c r="AH1442" s="249"/>
      <c r="AI1442" s="330"/>
      <c r="AJ1442" s="343"/>
      <c r="AK1442" s="249"/>
      <c r="AL1442" s="330"/>
      <c r="AM1442" s="343"/>
      <c r="AN1442" s="249"/>
      <c r="AO1442" s="330"/>
      <c r="AP1442" s="343"/>
      <c r="AQ1442" s="249"/>
      <c r="AR1442" s="330"/>
      <c r="AS1442" s="343"/>
      <c r="AT1442" s="249"/>
      <c r="AU1442" s="330"/>
    </row>
    <row r="1443" spans="2:47">
      <c r="B1443" s="247">
        <f>'Table S2 Compound Identifiers'!C1445</f>
        <v>0</v>
      </c>
      <c r="C1443" s="247">
        <f>COUNTIF($D$6:D1443,"&lt;&gt;"&amp;"")</f>
        <v>1438</v>
      </c>
      <c r="D1443" s="247">
        <f>'Table S2 Compound Identifiers'!B1445</f>
        <v>0</v>
      </c>
      <c r="E1443" s="247"/>
      <c r="F1443" s="248"/>
      <c r="G1443" s="249"/>
      <c r="H1443" s="330"/>
      <c r="I1443" s="328"/>
      <c r="J1443" s="249"/>
      <c r="K1443" s="330"/>
      <c r="L1443" s="250"/>
      <c r="M1443" s="249"/>
      <c r="N1443" s="330"/>
      <c r="O1443" s="250"/>
      <c r="P1443" s="249"/>
      <c r="Q1443" s="330"/>
      <c r="R1443" s="250"/>
      <c r="S1443" s="249"/>
      <c r="T1443" s="330"/>
      <c r="U1443" s="250"/>
      <c r="V1443" s="249"/>
      <c r="W1443" s="330"/>
      <c r="X1443" s="343"/>
      <c r="Y1443" s="249"/>
      <c r="Z1443" s="330"/>
      <c r="AA1443" s="343"/>
      <c r="AB1443" s="249"/>
      <c r="AC1443" s="330"/>
      <c r="AD1443" s="343"/>
      <c r="AE1443" s="249"/>
      <c r="AF1443" s="330"/>
      <c r="AG1443" s="343"/>
      <c r="AH1443" s="249"/>
      <c r="AI1443" s="330"/>
      <c r="AJ1443" s="343"/>
      <c r="AK1443" s="249"/>
      <c r="AL1443" s="330"/>
      <c r="AM1443" s="343"/>
      <c r="AN1443" s="249"/>
      <c r="AO1443" s="330"/>
      <c r="AP1443" s="343"/>
      <c r="AQ1443" s="249"/>
      <c r="AR1443" s="330"/>
      <c r="AS1443" s="343"/>
      <c r="AT1443" s="249"/>
      <c r="AU1443" s="330"/>
    </row>
    <row r="1444" spans="2:47">
      <c r="B1444" s="247">
        <f>'Table S2 Compound Identifiers'!C1446</f>
        <v>0</v>
      </c>
      <c r="C1444" s="247">
        <f>COUNTIF($D$6:D1444,"&lt;&gt;"&amp;"")</f>
        <v>1439</v>
      </c>
      <c r="D1444" s="247">
        <f>'Table S2 Compound Identifiers'!B1446</f>
        <v>0</v>
      </c>
      <c r="E1444" s="247"/>
      <c r="F1444" s="248"/>
      <c r="G1444" s="249"/>
      <c r="H1444" s="330"/>
      <c r="I1444" s="328"/>
      <c r="J1444" s="249"/>
      <c r="K1444" s="330"/>
      <c r="L1444" s="250"/>
      <c r="M1444" s="249"/>
      <c r="N1444" s="330"/>
      <c r="O1444" s="250"/>
      <c r="P1444" s="249"/>
      <c r="Q1444" s="330"/>
      <c r="R1444" s="250"/>
      <c r="S1444" s="249"/>
      <c r="T1444" s="330"/>
      <c r="U1444" s="250"/>
      <c r="V1444" s="249"/>
      <c r="W1444" s="330"/>
      <c r="X1444" s="343"/>
      <c r="Y1444" s="249"/>
      <c r="Z1444" s="330"/>
      <c r="AA1444" s="343"/>
      <c r="AB1444" s="249"/>
      <c r="AC1444" s="330"/>
      <c r="AD1444" s="343"/>
      <c r="AE1444" s="249"/>
      <c r="AF1444" s="330"/>
      <c r="AG1444" s="343"/>
      <c r="AH1444" s="249"/>
      <c r="AI1444" s="330"/>
      <c r="AJ1444" s="343"/>
      <c r="AK1444" s="249"/>
      <c r="AL1444" s="330"/>
      <c r="AM1444" s="343"/>
      <c r="AN1444" s="249"/>
      <c r="AO1444" s="330"/>
      <c r="AP1444" s="343"/>
      <c r="AQ1444" s="249"/>
      <c r="AR1444" s="330"/>
      <c r="AS1444" s="343"/>
      <c r="AT1444" s="249"/>
      <c r="AU1444" s="330"/>
    </row>
    <row r="1445" spans="2:47">
      <c r="B1445" s="247">
        <f>'Table S2 Compound Identifiers'!C1447</f>
        <v>0</v>
      </c>
      <c r="C1445" s="247">
        <f>COUNTIF($D$6:D1445,"&lt;&gt;"&amp;"")</f>
        <v>1440</v>
      </c>
      <c r="D1445" s="247">
        <f>'Table S2 Compound Identifiers'!B1447</f>
        <v>0</v>
      </c>
      <c r="E1445" s="247"/>
      <c r="F1445" s="248"/>
      <c r="G1445" s="249"/>
      <c r="H1445" s="330"/>
      <c r="I1445" s="328"/>
      <c r="J1445" s="249"/>
      <c r="K1445" s="330"/>
      <c r="L1445" s="250"/>
      <c r="M1445" s="249"/>
      <c r="N1445" s="330"/>
      <c r="O1445" s="250"/>
      <c r="P1445" s="249"/>
      <c r="Q1445" s="330"/>
      <c r="R1445" s="250"/>
      <c r="S1445" s="249"/>
      <c r="T1445" s="330"/>
      <c r="U1445" s="250"/>
      <c r="V1445" s="249"/>
      <c r="W1445" s="330"/>
      <c r="X1445" s="343"/>
      <c r="Y1445" s="249"/>
      <c r="Z1445" s="330"/>
      <c r="AA1445" s="343"/>
      <c r="AB1445" s="249"/>
      <c r="AC1445" s="330"/>
      <c r="AD1445" s="343"/>
      <c r="AE1445" s="249"/>
      <c r="AF1445" s="330"/>
      <c r="AG1445" s="343"/>
      <c r="AH1445" s="249"/>
      <c r="AI1445" s="330"/>
      <c r="AJ1445" s="343"/>
      <c r="AK1445" s="249"/>
      <c r="AL1445" s="330"/>
      <c r="AM1445" s="343"/>
      <c r="AN1445" s="249"/>
      <c r="AO1445" s="330"/>
      <c r="AP1445" s="343"/>
      <c r="AQ1445" s="249"/>
      <c r="AR1445" s="330"/>
      <c r="AS1445" s="343"/>
      <c r="AT1445" s="249"/>
      <c r="AU1445" s="330"/>
    </row>
    <row r="1446" spans="2:47">
      <c r="B1446" s="247">
        <f>'Table S2 Compound Identifiers'!C1448</f>
        <v>0</v>
      </c>
      <c r="C1446" s="247">
        <f>COUNTIF($D$6:D1446,"&lt;&gt;"&amp;"")</f>
        <v>1441</v>
      </c>
      <c r="D1446" s="247">
        <f>'Table S2 Compound Identifiers'!B1448</f>
        <v>0</v>
      </c>
      <c r="E1446" s="247"/>
      <c r="F1446" s="248"/>
      <c r="G1446" s="249"/>
      <c r="H1446" s="330"/>
      <c r="I1446" s="328"/>
      <c r="J1446" s="249"/>
      <c r="K1446" s="330"/>
      <c r="L1446" s="250"/>
      <c r="M1446" s="249"/>
      <c r="N1446" s="330"/>
      <c r="O1446" s="250"/>
      <c r="P1446" s="249"/>
      <c r="Q1446" s="330"/>
      <c r="R1446" s="250"/>
      <c r="S1446" s="249"/>
      <c r="T1446" s="330"/>
      <c r="U1446" s="250"/>
      <c r="V1446" s="249"/>
      <c r="W1446" s="330"/>
      <c r="X1446" s="343"/>
      <c r="Y1446" s="249"/>
      <c r="Z1446" s="330"/>
      <c r="AA1446" s="343"/>
      <c r="AB1446" s="249"/>
      <c r="AC1446" s="330"/>
      <c r="AD1446" s="343"/>
      <c r="AE1446" s="249"/>
      <c r="AF1446" s="330"/>
      <c r="AG1446" s="343"/>
      <c r="AH1446" s="249"/>
      <c r="AI1446" s="330"/>
      <c r="AJ1446" s="343"/>
      <c r="AK1446" s="249"/>
      <c r="AL1446" s="330"/>
      <c r="AM1446" s="343"/>
      <c r="AN1446" s="249"/>
      <c r="AO1446" s="330"/>
      <c r="AP1446" s="343"/>
      <c r="AQ1446" s="249"/>
      <c r="AR1446" s="330"/>
      <c r="AS1446" s="343"/>
      <c r="AT1446" s="249"/>
      <c r="AU1446" s="330"/>
    </row>
    <row r="1447" spans="2:47">
      <c r="B1447" s="247">
        <f>'Table S2 Compound Identifiers'!C1449</f>
        <v>0</v>
      </c>
      <c r="C1447" s="247">
        <f>COUNTIF($D$6:D1447,"&lt;&gt;"&amp;"")</f>
        <v>1442</v>
      </c>
      <c r="D1447" s="247">
        <f>'Table S2 Compound Identifiers'!B1449</f>
        <v>0</v>
      </c>
      <c r="E1447" s="247"/>
      <c r="F1447" s="248"/>
      <c r="G1447" s="249"/>
      <c r="H1447" s="330"/>
      <c r="I1447" s="328"/>
      <c r="J1447" s="249"/>
      <c r="K1447" s="330"/>
      <c r="L1447" s="250"/>
      <c r="M1447" s="249"/>
      <c r="N1447" s="330"/>
      <c r="O1447" s="250"/>
      <c r="P1447" s="249"/>
      <c r="Q1447" s="330"/>
      <c r="R1447" s="250"/>
      <c r="S1447" s="249"/>
      <c r="T1447" s="330"/>
      <c r="U1447" s="250"/>
      <c r="V1447" s="249"/>
      <c r="W1447" s="330"/>
      <c r="X1447" s="343"/>
      <c r="Y1447" s="249"/>
      <c r="Z1447" s="330"/>
      <c r="AA1447" s="343"/>
      <c r="AB1447" s="249"/>
      <c r="AC1447" s="330"/>
      <c r="AD1447" s="343"/>
      <c r="AE1447" s="249"/>
      <c r="AF1447" s="330"/>
      <c r="AG1447" s="343"/>
      <c r="AH1447" s="249"/>
      <c r="AI1447" s="330"/>
      <c r="AJ1447" s="343"/>
      <c r="AK1447" s="249"/>
      <c r="AL1447" s="330"/>
      <c r="AM1447" s="343"/>
      <c r="AN1447" s="249"/>
      <c r="AO1447" s="330"/>
      <c r="AP1447" s="343"/>
      <c r="AQ1447" s="249"/>
      <c r="AR1447" s="330"/>
      <c r="AS1447" s="343"/>
      <c r="AT1447" s="249"/>
      <c r="AU1447" s="330"/>
    </row>
    <row r="1448" spans="2:47">
      <c r="B1448" s="247">
        <f>'Table S2 Compound Identifiers'!C1450</f>
        <v>0</v>
      </c>
      <c r="C1448" s="247">
        <f>COUNTIF($D$6:D1448,"&lt;&gt;"&amp;"")</f>
        <v>1443</v>
      </c>
      <c r="D1448" s="247">
        <f>'Table S2 Compound Identifiers'!B1450</f>
        <v>0</v>
      </c>
      <c r="E1448" s="247"/>
      <c r="F1448" s="248"/>
      <c r="G1448" s="249"/>
      <c r="H1448" s="330"/>
      <c r="I1448" s="328"/>
      <c r="J1448" s="249"/>
      <c r="K1448" s="330"/>
      <c r="L1448" s="250"/>
      <c r="M1448" s="249"/>
      <c r="N1448" s="330"/>
      <c r="O1448" s="250"/>
      <c r="P1448" s="249"/>
      <c r="Q1448" s="330"/>
      <c r="R1448" s="250"/>
      <c r="S1448" s="249"/>
      <c r="T1448" s="330"/>
      <c r="U1448" s="250"/>
      <c r="V1448" s="249"/>
      <c r="W1448" s="330"/>
      <c r="X1448" s="343"/>
      <c r="Y1448" s="249"/>
      <c r="Z1448" s="330"/>
      <c r="AA1448" s="343"/>
      <c r="AB1448" s="249"/>
      <c r="AC1448" s="330"/>
      <c r="AD1448" s="343"/>
      <c r="AE1448" s="249"/>
      <c r="AF1448" s="330"/>
      <c r="AG1448" s="343"/>
      <c r="AH1448" s="249"/>
      <c r="AI1448" s="330"/>
      <c r="AJ1448" s="343"/>
      <c r="AK1448" s="249"/>
      <c r="AL1448" s="330"/>
      <c r="AM1448" s="343"/>
      <c r="AN1448" s="249"/>
      <c r="AO1448" s="330"/>
      <c r="AP1448" s="343"/>
      <c r="AQ1448" s="249"/>
      <c r="AR1448" s="330"/>
      <c r="AS1448" s="343"/>
      <c r="AT1448" s="249"/>
      <c r="AU1448" s="330"/>
    </row>
    <row r="1449" spans="2:47">
      <c r="B1449" s="247">
        <f>'Table S2 Compound Identifiers'!C1451</f>
        <v>0</v>
      </c>
      <c r="C1449" s="247">
        <f>COUNTIF($D$6:D1449,"&lt;&gt;"&amp;"")</f>
        <v>1444</v>
      </c>
      <c r="D1449" s="247">
        <f>'Table S2 Compound Identifiers'!B1451</f>
        <v>0</v>
      </c>
      <c r="E1449" s="247"/>
      <c r="F1449" s="248"/>
      <c r="G1449" s="249"/>
      <c r="H1449" s="330"/>
      <c r="I1449" s="328"/>
      <c r="J1449" s="249"/>
      <c r="K1449" s="330"/>
      <c r="L1449" s="250"/>
      <c r="M1449" s="249"/>
      <c r="N1449" s="330"/>
      <c r="O1449" s="250"/>
      <c r="P1449" s="249"/>
      <c r="Q1449" s="330"/>
      <c r="R1449" s="250"/>
      <c r="S1449" s="249"/>
      <c r="T1449" s="330"/>
      <c r="U1449" s="250"/>
      <c r="V1449" s="249"/>
      <c r="W1449" s="330"/>
      <c r="X1449" s="343"/>
      <c r="Y1449" s="249"/>
      <c r="Z1449" s="330"/>
      <c r="AA1449" s="343"/>
      <c r="AB1449" s="249"/>
      <c r="AC1449" s="330"/>
      <c r="AD1449" s="343"/>
      <c r="AE1449" s="249"/>
      <c r="AF1449" s="330"/>
      <c r="AG1449" s="343"/>
      <c r="AH1449" s="249"/>
      <c r="AI1449" s="330"/>
      <c r="AJ1449" s="343"/>
      <c r="AK1449" s="249"/>
      <c r="AL1449" s="330"/>
      <c r="AM1449" s="343"/>
      <c r="AN1449" s="249"/>
      <c r="AO1449" s="330"/>
      <c r="AP1449" s="343"/>
      <c r="AQ1449" s="249"/>
      <c r="AR1449" s="330"/>
      <c r="AS1449" s="343"/>
      <c r="AT1449" s="249"/>
      <c r="AU1449" s="330"/>
    </row>
    <row r="1450" spans="2:47">
      <c r="B1450" s="247">
        <f>'Table S2 Compound Identifiers'!C1452</f>
        <v>0</v>
      </c>
      <c r="C1450" s="247">
        <f>COUNTIF($D$6:D1450,"&lt;&gt;"&amp;"")</f>
        <v>1445</v>
      </c>
      <c r="D1450" s="247">
        <f>'Table S2 Compound Identifiers'!B1452</f>
        <v>0</v>
      </c>
      <c r="E1450" s="247"/>
      <c r="F1450" s="248"/>
      <c r="G1450" s="249"/>
      <c r="H1450" s="330"/>
      <c r="I1450" s="328"/>
      <c r="J1450" s="249"/>
      <c r="K1450" s="330"/>
      <c r="L1450" s="250"/>
      <c r="M1450" s="249"/>
      <c r="N1450" s="330"/>
      <c r="O1450" s="250"/>
      <c r="P1450" s="249"/>
      <c r="Q1450" s="330"/>
      <c r="R1450" s="250"/>
      <c r="S1450" s="249"/>
      <c r="T1450" s="330"/>
      <c r="U1450" s="250"/>
      <c r="V1450" s="249"/>
      <c r="W1450" s="330"/>
      <c r="X1450" s="343"/>
      <c r="Y1450" s="249"/>
      <c r="Z1450" s="330"/>
      <c r="AA1450" s="343"/>
      <c r="AB1450" s="249"/>
      <c r="AC1450" s="330"/>
      <c r="AD1450" s="343"/>
      <c r="AE1450" s="249"/>
      <c r="AF1450" s="330"/>
      <c r="AG1450" s="343"/>
      <c r="AH1450" s="249"/>
      <c r="AI1450" s="330"/>
      <c r="AJ1450" s="343"/>
      <c r="AK1450" s="249"/>
      <c r="AL1450" s="330"/>
      <c r="AM1450" s="343"/>
      <c r="AN1450" s="249"/>
      <c r="AO1450" s="330"/>
      <c r="AP1450" s="343"/>
      <c r="AQ1450" s="249"/>
      <c r="AR1450" s="330"/>
      <c r="AS1450" s="343"/>
      <c r="AT1450" s="249"/>
      <c r="AU1450" s="330"/>
    </row>
    <row r="1451" spans="2:47">
      <c r="B1451" s="247">
        <f>'Table S2 Compound Identifiers'!C1453</f>
        <v>0</v>
      </c>
      <c r="C1451" s="247">
        <f>COUNTIF($D$6:D1451,"&lt;&gt;"&amp;"")</f>
        <v>1446</v>
      </c>
      <c r="D1451" s="247">
        <f>'Table S2 Compound Identifiers'!B1453</f>
        <v>0</v>
      </c>
      <c r="E1451" s="247"/>
      <c r="F1451" s="248"/>
      <c r="G1451" s="249"/>
      <c r="H1451" s="330"/>
      <c r="I1451" s="328"/>
      <c r="J1451" s="249"/>
      <c r="K1451" s="330"/>
      <c r="L1451" s="250"/>
      <c r="M1451" s="249"/>
      <c r="N1451" s="330"/>
      <c r="O1451" s="250"/>
      <c r="P1451" s="249"/>
      <c r="Q1451" s="330"/>
      <c r="R1451" s="250"/>
      <c r="S1451" s="249"/>
      <c r="T1451" s="330"/>
      <c r="U1451" s="250"/>
      <c r="V1451" s="249"/>
      <c r="W1451" s="330"/>
      <c r="X1451" s="343"/>
      <c r="Y1451" s="249"/>
      <c r="Z1451" s="330"/>
      <c r="AA1451" s="343"/>
      <c r="AB1451" s="249"/>
      <c r="AC1451" s="330"/>
      <c r="AD1451" s="343"/>
      <c r="AE1451" s="249"/>
      <c r="AF1451" s="330"/>
      <c r="AG1451" s="343"/>
      <c r="AH1451" s="249"/>
      <c r="AI1451" s="330"/>
      <c r="AJ1451" s="343"/>
      <c r="AK1451" s="249"/>
      <c r="AL1451" s="330"/>
      <c r="AM1451" s="343"/>
      <c r="AN1451" s="249"/>
      <c r="AO1451" s="330"/>
      <c r="AP1451" s="343"/>
      <c r="AQ1451" s="249"/>
      <c r="AR1451" s="330"/>
      <c r="AS1451" s="343"/>
      <c r="AT1451" s="249"/>
      <c r="AU1451" s="330"/>
    </row>
    <row r="1452" spans="2:47">
      <c r="B1452" s="247">
        <f>'Table S2 Compound Identifiers'!C1454</f>
        <v>0</v>
      </c>
      <c r="C1452" s="247">
        <f>COUNTIF($D$6:D1452,"&lt;&gt;"&amp;"")</f>
        <v>1447</v>
      </c>
      <c r="D1452" s="247">
        <f>'Table S2 Compound Identifiers'!B1454</f>
        <v>0</v>
      </c>
      <c r="E1452" s="247"/>
      <c r="F1452" s="248"/>
      <c r="G1452" s="249"/>
      <c r="H1452" s="330"/>
      <c r="I1452" s="328"/>
      <c r="J1452" s="249"/>
      <c r="K1452" s="330"/>
      <c r="L1452" s="250"/>
      <c r="M1452" s="249"/>
      <c r="N1452" s="330"/>
      <c r="O1452" s="250"/>
      <c r="P1452" s="249"/>
      <c r="Q1452" s="330"/>
      <c r="R1452" s="250"/>
      <c r="S1452" s="249"/>
      <c r="T1452" s="330"/>
      <c r="U1452" s="250"/>
      <c r="V1452" s="249"/>
      <c r="W1452" s="330"/>
      <c r="X1452" s="343"/>
      <c r="Y1452" s="249"/>
      <c r="Z1452" s="330"/>
      <c r="AA1452" s="343"/>
      <c r="AB1452" s="249"/>
      <c r="AC1452" s="330"/>
      <c r="AD1452" s="343"/>
      <c r="AE1452" s="249"/>
      <c r="AF1452" s="330"/>
      <c r="AG1452" s="343"/>
      <c r="AH1452" s="249"/>
      <c r="AI1452" s="330"/>
      <c r="AJ1452" s="343"/>
      <c r="AK1452" s="249"/>
      <c r="AL1452" s="330"/>
      <c r="AM1452" s="343"/>
      <c r="AN1452" s="249"/>
      <c r="AO1452" s="330"/>
      <c r="AP1452" s="343"/>
      <c r="AQ1452" s="249"/>
      <c r="AR1452" s="330"/>
      <c r="AS1452" s="343"/>
      <c r="AT1452" s="249"/>
      <c r="AU1452" s="330"/>
    </row>
    <row r="1453" spans="2:47">
      <c r="B1453" s="247">
        <f>'Table S2 Compound Identifiers'!C1455</f>
        <v>0</v>
      </c>
      <c r="C1453" s="247">
        <f>COUNTIF($D$6:D1453,"&lt;&gt;"&amp;"")</f>
        <v>1448</v>
      </c>
      <c r="D1453" s="247">
        <f>'Table S2 Compound Identifiers'!B1455</f>
        <v>0</v>
      </c>
      <c r="E1453" s="247"/>
      <c r="F1453" s="248"/>
      <c r="G1453" s="249"/>
      <c r="H1453" s="330"/>
      <c r="I1453" s="328"/>
      <c r="J1453" s="249"/>
      <c r="K1453" s="330"/>
      <c r="L1453" s="250"/>
      <c r="M1453" s="249"/>
      <c r="N1453" s="330"/>
      <c r="O1453" s="250"/>
      <c r="P1453" s="249"/>
      <c r="Q1453" s="330"/>
      <c r="R1453" s="250"/>
      <c r="S1453" s="249"/>
      <c r="T1453" s="330"/>
      <c r="U1453" s="250"/>
      <c r="V1453" s="249"/>
      <c r="W1453" s="330"/>
      <c r="X1453" s="343"/>
      <c r="Y1453" s="249"/>
      <c r="Z1453" s="330"/>
      <c r="AA1453" s="343"/>
      <c r="AB1453" s="249"/>
      <c r="AC1453" s="330"/>
      <c r="AD1453" s="343"/>
      <c r="AE1453" s="249"/>
      <c r="AF1453" s="330"/>
      <c r="AG1453" s="343"/>
      <c r="AH1453" s="249"/>
      <c r="AI1453" s="330"/>
      <c r="AJ1453" s="343"/>
      <c r="AK1453" s="249"/>
      <c r="AL1453" s="330"/>
      <c r="AM1453" s="343"/>
      <c r="AN1453" s="249"/>
      <c r="AO1453" s="330"/>
      <c r="AP1453" s="343"/>
      <c r="AQ1453" s="249"/>
      <c r="AR1453" s="330"/>
      <c r="AS1453" s="343"/>
      <c r="AT1453" s="249"/>
      <c r="AU1453" s="330"/>
    </row>
    <row r="1454" spans="2:47">
      <c r="B1454" s="247">
        <f>'Table S2 Compound Identifiers'!C1456</f>
        <v>0</v>
      </c>
      <c r="C1454" s="247">
        <f>COUNTIF($D$6:D1454,"&lt;&gt;"&amp;"")</f>
        <v>1449</v>
      </c>
      <c r="D1454" s="247">
        <f>'Table S2 Compound Identifiers'!B1456</f>
        <v>0</v>
      </c>
      <c r="E1454" s="247"/>
      <c r="F1454" s="248"/>
      <c r="G1454" s="249"/>
      <c r="H1454" s="330"/>
      <c r="I1454" s="328"/>
      <c r="J1454" s="249"/>
      <c r="K1454" s="330"/>
      <c r="L1454" s="250"/>
      <c r="M1454" s="249"/>
      <c r="N1454" s="330"/>
      <c r="O1454" s="250"/>
      <c r="P1454" s="249"/>
      <c r="Q1454" s="330"/>
      <c r="R1454" s="250"/>
      <c r="S1454" s="249"/>
      <c r="T1454" s="330"/>
      <c r="U1454" s="250"/>
      <c r="V1454" s="249"/>
      <c r="W1454" s="330"/>
      <c r="X1454" s="343"/>
      <c r="Y1454" s="249"/>
      <c r="Z1454" s="330"/>
      <c r="AA1454" s="343"/>
      <c r="AB1454" s="249"/>
      <c r="AC1454" s="330"/>
      <c r="AD1454" s="343"/>
      <c r="AE1454" s="249"/>
      <c r="AF1454" s="330"/>
      <c r="AG1454" s="343"/>
      <c r="AH1454" s="249"/>
      <c r="AI1454" s="330"/>
      <c r="AJ1454" s="343"/>
      <c r="AK1454" s="249"/>
      <c r="AL1454" s="330"/>
      <c r="AM1454" s="343"/>
      <c r="AN1454" s="249"/>
      <c r="AO1454" s="330"/>
      <c r="AP1454" s="343"/>
      <c r="AQ1454" s="249"/>
      <c r="AR1454" s="330"/>
      <c r="AS1454" s="343"/>
      <c r="AT1454" s="249"/>
      <c r="AU1454" s="330"/>
    </row>
    <row r="1455" spans="2:47">
      <c r="B1455" s="247">
        <f>'Table S2 Compound Identifiers'!C1457</f>
        <v>0</v>
      </c>
      <c r="C1455" s="247">
        <f>COUNTIF($D$6:D1455,"&lt;&gt;"&amp;"")</f>
        <v>1450</v>
      </c>
      <c r="D1455" s="247">
        <f>'Table S2 Compound Identifiers'!B1457</f>
        <v>0</v>
      </c>
      <c r="E1455" s="247"/>
      <c r="F1455" s="248"/>
      <c r="G1455" s="249"/>
      <c r="H1455" s="330"/>
      <c r="I1455" s="328"/>
      <c r="J1455" s="249"/>
      <c r="K1455" s="330"/>
      <c r="L1455" s="250"/>
      <c r="M1455" s="249"/>
      <c r="N1455" s="330"/>
      <c r="O1455" s="250"/>
      <c r="P1455" s="249"/>
      <c r="Q1455" s="330"/>
      <c r="R1455" s="250"/>
      <c r="S1455" s="249"/>
      <c r="T1455" s="330"/>
      <c r="U1455" s="250"/>
      <c r="V1455" s="249"/>
      <c r="W1455" s="330"/>
      <c r="X1455" s="343"/>
      <c r="Y1455" s="249"/>
      <c r="Z1455" s="330"/>
      <c r="AA1455" s="343"/>
      <c r="AB1455" s="249"/>
      <c r="AC1455" s="330"/>
      <c r="AD1455" s="343"/>
      <c r="AE1455" s="249"/>
      <c r="AF1455" s="330"/>
      <c r="AG1455" s="343"/>
      <c r="AH1455" s="249"/>
      <c r="AI1455" s="330"/>
      <c r="AJ1455" s="343"/>
      <c r="AK1455" s="249"/>
      <c r="AL1455" s="330"/>
      <c r="AM1455" s="343"/>
      <c r="AN1455" s="249"/>
      <c r="AO1455" s="330"/>
      <c r="AP1455" s="343"/>
      <c r="AQ1455" s="249"/>
      <c r="AR1455" s="330"/>
      <c r="AS1455" s="343"/>
      <c r="AT1455" s="249"/>
      <c r="AU1455" s="330"/>
    </row>
    <row r="1456" spans="2:47">
      <c r="B1456" s="247">
        <f>'Table S2 Compound Identifiers'!C1458</f>
        <v>0</v>
      </c>
      <c r="C1456" s="247">
        <f>COUNTIF($D$6:D1456,"&lt;&gt;"&amp;"")</f>
        <v>1451</v>
      </c>
      <c r="D1456" s="247">
        <f>'Table S2 Compound Identifiers'!B1458</f>
        <v>0</v>
      </c>
      <c r="E1456" s="247"/>
      <c r="F1456" s="248"/>
      <c r="G1456" s="249"/>
      <c r="H1456" s="330"/>
      <c r="I1456" s="328"/>
      <c r="J1456" s="249"/>
      <c r="K1456" s="330"/>
      <c r="L1456" s="250"/>
      <c r="M1456" s="249"/>
      <c r="N1456" s="330"/>
      <c r="O1456" s="250"/>
      <c r="P1456" s="249"/>
      <c r="Q1456" s="330"/>
      <c r="R1456" s="250"/>
      <c r="S1456" s="249"/>
      <c r="T1456" s="330"/>
      <c r="U1456" s="250"/>
      <c r="V1456" s="249"/>
      <c r="W1456" s="330"/>
      <c r="X1456" s="343"/>
      <c r="Y1456" s="249"/>
      <c r="Z1456" s="330"/>
      <c r="AA1456" s="343"/>
      <c r="AB1456" s="249"/>
      <c r="AC1456" s="330"/>
      <c r="AD1456" s="343"/>
      <c r="AE1456" s="249"/>
      <c r="AF1456" s="330"/>
      <c r="AG1456" s="343"/>
      <c r="AH1456" s="249"/>
      <c r="AI1456" s="330"/>
      <c r="AJ1456" s="343"/>
      <c r="AK1456" s="249"/>
      <c r="AL1456" s="330"/>
      <c r="AM1456" s="343"/>
      <c r="AN1456" s="249"/>
      <c r="AO1456" s="330"/>
      <c r="AP1456" s="343"/>
      <c r="AQ1456" s="249"/>
      <c r="AR1456" s="330"/>
      <c r="AS1456" s="343"/>
      <c r="AT1456" s="249"/>
      <c r="AU1456" s="330"/>
    </row>
    <row r="1457" spans="2:47">
      <c r="B1457" s="247">
        <f>'Table S2 Compound Identifiers'!C1459</f>
        <v>0</v>
      </c>
      <c r="C1457" s="247">
        <f>COUNTIF($D$6:D1457,"&lt;&gt;"&amp;"")</f>
        <v>1452</v>
      </c>
      <c r="D1457" s="247">
        <f>'Table S2 Compound Identifiers'!B1459</f>
        <v>0</v>
      </c>
      <c r="E1457" s="247"/>
      <c r="F1457" s="248"/>
      <c r="G1457" s="249"/>
      <c r="H1457" s="330"/>
      <c r="I1457" s="328"/>
      <c r="J1457" s="249"/>
      <c r="K1457" s="330"/>
      <c r="L1457" s="250"/>
      <c r="M1457" s="249"/>
      <c r="N1457" s="330"/>
      <c r="O1457" s="250"/>
      <c r="P1457" s="249"/>
      <c r="Q1457" s="330"/>
      <c r="R1457" s="250"/>
      <c r="S1457" s="249"/>
      <c r="T1457" s="330"/>
      <c r="U1457" s="250"/>
      <c r="V1457" s="249"/>
      <c r="W1457" s="330"/>
      <c r="X1457" s="343"/>
      <c r="Y1457" s="249"/>
      <c r="Z1457" s="330"/>
      <c r="AA1457" s="343"/>
      <c r="AB1457" s="249"/>
      <c r="AC1457" s="330"/>
      <c r="AD1457" s="343"/>
      <c r="AE1457" s="249"/>
      <c r="AF1457" s="330"/>
      <c r="AG1457" s="343"/>
      <c r="AH1457" s="249"/>
      <c r="AI1457" s="330"/>
      <c r="AJ1457" s="343"/>
      <c r="AK1457" s="249"/>
      <c r="AL1457" s="330"/>
      <c r="AM1457" s="343"/>
      <c r="AN1457" s="249"/>
      <c r="AO1457" s="330"/>
      <c r="AP1457" s="343"/>
      <c r="AQ1457" s="249"/>
      <c r="AR1457" s="330"/>
      <c r="AS1457" s="343"/>
      <c r="AT1457" s="249"/>
      <c r="AU1457" s="330"/>
    </row>
    <row r="1458" spans="2:47">
      <c r="B1458" s="247">
        <f>'Table S2 Compound Identifiers'!C1460</f>
        <v>0</v>
      </c>
      <c r="C1458" s="247">
        <f>COUNTIF($D$6:D1458,"&lt;&gt;"&amp;"")</f>
        <v>1453</v>
      </c>
      <c r="D1458" s="247">
        <f>'Table S2 Compound Identifiers'!B1460</f>
        <v>0</v>
      </c>
      <c r="E1458" s="247"/>
      <c r="F1458" s="248"/>
      <c r="G1458" s="249"/>
      <c r="H1458" s="330"/>
      <c r="I1458" s="328"/>
      <c r="J1458" s="249"/>
      <c r="K1458" s="330"/>
      <c r="L1458" s="250"/>
      <c r="M1458" s="249"/>
      <c r="N1458" s="330"/>
      <c r="O1458" s="250"/>
      <c r="P1458" s="249"/>
      <c r="Q1458" s="330"/>
      <c r="R1458" s="250"/>
      <c r="S1458" s="249"/>
      <c r="T1458" s="330"/>
      <c r="U1458" s="250"/>
      <c r="V1458" s="249"/>
      <c r="W1458" s="330"/>
      <c r="X1458" s="343"/>
      <c r="Y1458" s="249"/>
      <c r="Z1458" s="330"/>
      <c r="AA1458" s="343"/>
      <c r="AB1458" s="249"/>
      <c r="AC1458" s="330"/>
      <c r="AD1458" s="343"/>
      <c r="AE1458" s="249"/>
      <c r="AF1458" s="330"/>
      <c r="AG1458" s="343"/>
      <c r="AH1458" s="249"/>
      <c r="AI1458" s="330"/>
      <c r="AJ1458" s="343"/>
      <c r="AK1458" s="249"/>
      <c r="AL1458" s="330"/>
      <c r="AM1458" s="343"/>
      <c r="AN1458" s="249"/>
      <c r="AO1458" s="330"/>
      <c r="AP1458" s="343"/>
      <c r="AQ1458" s="249"/>
      <c r="AR1458" s="330"/>
      <c r="AS1458" s="343"/>
      <c r="AT1458" s="249"/>
      <c r="AU1458" s="330"/>
    </row>
    <row r="1459" spans="2:47">
      <c r="B1459" s="247">
        <f>'Table S2 Compound Identifiers'!C1461</f>
        <v>0</v>
      </c>
      <c r="C1459" s="247">
        <f>COUNTIF($D$6:D1459,"&lt;&gt;"&amp;"")</f>
        <v>1454</v>
      </c>
      <c r="D1459" s="247">
        <f>'Table S2 Compound Identifiers'!B1461</f>
        <v>0</v>
      </c>
      <c r="E1459" s="247"/>
      <c r="F1459" s="248"/>
      <c r="G1459" s="249"/>
      <c r="H1459" s="330"/>
      <c r="I1459" s="328"/>
      <c r="J1459" s="249"/>
      <c r="K1459" s="330"/>
      <c r="L1459" s="250"/>
      <c r="M1459" s="249"/>
      <c r="N1459" s="330"/>
      <c r="O1459" s="250"/>
      <c r="P1459" s="249"/>
      <c r="Q1459" s="330"/>
      <c r="R1459" s="250"/>
      <c r="S1459" s="249"/>
      <c r="T1459" s="330"/>
      <c r="U1459" s="250"/>
      <c r="V1459" s="249"/>
      <c r="W1459" s="330"/>
      <c r="X1459" s="343"/>
      <c r="Y1459" s="249"/>
      <c r="Z1459" s="330"/>
      <c r="AA1459" s="343"/>
      <c r="AB1459" s="249"/>
      <c r="AC1459" s="330"/>
      <c r="AD1459" s="343"/>
      <c r="AE1459" s="249"/>
      <c r="AF1459" s="330"/>
      <c r="AG1459" s="343"/>
      <c r="AH1459" s="249"/>
      <c r="AI1459" s="330"/>
      <c r="AJ1459" s="343"/>
      <c r="AK1459" s="249"/>
      <c r="AL1459" s="330"/>
      <c r="AM1459" s="343"/>
      <c r="AN1459" s="249"/>
      <c r="AO1459" s="330"/>
      <c r="AP1459" s="343"/>
      <c r="AQ1459" s="249"/>
      <c r="AR1459" s="330"/>
      <c r="AS1459" s="343"/>
      <c r="AT1459" s="249"/>
      <c r="AU1459" s="330"/>
    </row>
    <row r="1460" spans="2:47">
      <c r="B1460" s="247">
        <f>'Table S2 Compound Identifiers'!C1462</f>
        <v>0</v>
      </c>
      <c r="C1460" s="247">
        <f>COUNTIF($D$6:D1460,"&lt;&gt;"&amp;"")</f>
        <v>1455</v>
      </c>
      <c r="D1460" s="247">
        <f>'Table S2 Compound Identifiers'!B1462</f>
        <v>0</v>
      </c>
      <c r="E1460" s="247"/>
      <c r="F1460" s="248"/>
      <c r="G1460" s="249"/>
      <c r="H1460" s="330"/>
      <c r="I1460" s="328"/>
      <c r="J1460" s="249"/>
      <c r="K1460" s="330"/>
      <c r="L1460" s="250"/>
      <c r="M1460" s="249"/>
      <c r="N1460" s="330"/>
      <c r="O1460" s="250"/>
      <c r="P1460" s="249"/>
      <c r="Q1460" s="330"/>
      <c r="R1460" s="250"/>
      <c r="S1460" s="249"/>
      <c r="T1460" s="330"/>
      <c r="U1460" s="250"/>
      <c r="V1460" s="249"/>
      <c r="W1460" s="330"/>
      <c r="X1460" s="343"/>
      <c r="Y1460" s="249"/>
      <c r="Z1460" s="330"/>
      <c r="AA1460" s="343"/>
      <c r="AB1460" s="249"/>
      <c r="AC1460" s="330"/>
      <c r="AD1460" s="343"/>
      <c r="AE1460" s="249"/>
      <c r="AF1460" s="330"/>
      <c r="AG1460" s="343"/>
      <c r="AH1460" s="249"/>
      <c r="AI1460" s="330"/>
      <c r="AJ1460" s="343"/>
      <c r="AK1460" s="249"/>
      <c r="AL1460" s="330"/>
      <c r="AM1460" s="343"/>
      <c r="AN1460" s="249"/>
      <c r="AO1460" s="330"/>
      <c r="AP1460" s="343"/>
      <c r="AQ1460" s="249"/>
      <c r="AR1460" s="330"/>
      <c r="AS1460" s="343"/>
      <c r="AT1460" s="249"/>
      <c r="AU1460" s="330"/>
    </row>
    <row r="1461" spans="2:47">
      <c r="B1461" s="247">
        <f>'Table S2 Compound Identifiers'!C1463</f>
        <v>0</v>
      </c>
      <c r="C1461" s="247">
        <f>COUNTIF($D$6:D1461,"&lt;&gt;"&amp;"")</f>
        <v>1456</v>
      </c>
      <c r="D1461" s="247">
        <f>'Table S2 Compound Identifiers'!B1463</f>
        <v>0</v>
      </c>
      <c r="E1461" s="247"/>
      <c r="F1461" s="248"/>
      <c r="G1461" s="249"/>
      <c r="H1461" s="330"/>
      <c r="I1461" s="328"/>
      <c r="J1461" s="249"/>
      <c r="K1461" s="330"/>
      <c r="L1461" s="250"/>
      <c r="M1461" s="249"/>
      <c r="N1461" s="330"/>
      <c r="O1461" s="250"/>
      <c r="P1461" s="249"/>
      <c r="Q1461" s="330"/>
      <c r="R1461" s="250"/>
      <c r="S1461" s="249"/>
      <c r="T1461" s="330"/>
      <c r="U1461" s="250"/>
      <c r="V1461" s="249"/>
      <c r="W1461" s="330"/>
      <c r="X1461" s="343"/>
      <c r="Y1461" s="249"/>
      <c r="Z1461" s="330"/>
      <c r="AA1461" s="343"/>
      <c r="AB1461" s="249"/>
      <c r="AC1461" s="330"/>
      <c r="AD1461" s="343"/>
      <c r="AE1461" s="249"/>
      <c r="AF1461" s="330"/>
      <c r="AG1461" s="343"/>
      <c r="AH1461" s="249"/>
      <c r="AI1461" s="330"/>
      <c r="AJ1461" s="343"/>
      <c r="AK1461" s="249"/>
      <c r="AL1461" s="330"/>
      <c r="AM1461" s="343"/>
      <c r="AN1461" s="249"/>
      <c r="AO1461" s="330"/>
      <c r="AP1461" s="343"/>
      <c r="AQ1461" s="249"/>
      <c r="AR1461" s="330"/>
      <c r="AS1461" s="343"/>
      <c r="AT1461" s="249"/>
      <c r="AU1461" s="330"/>
    </row>
    <row r="1462" spans="2:47">
      <c r="B1462" s="247">
        <f>'Table S2 Compound Identifiers'!C1464</f>
        <v>0</v>
      </c>
      <c r="C1462" s="247">
        <f>COUNTIF($D$6:D1462,"&lt;&gt;"&amp;"")</f>
        <v>1457</v>
      </c>
      <c r="D1462" s="247">
        <f>'Table S2 Compound Identifiers'!B1464</f>
        <v>0</v>
      </c>
      <c r="E1462" s="247"/>
      <c r="F1462" s="248"/>
      <c r="G1462" s="249"/>
      <c r="H1462" s="330"/>
      <c r="I1462" s="328"/>
      <c r="J1462" s="249"/>
      <c r="K1462" s="330"/>
      <c r="L1462" s="250"/>
      <c r="M1462" s="249"/>
      <c r="N1462" s="330"/>
      <c r="O1462" s="250"/>
      <c r="P1462" s="249"/>
      <c r="Q1462" s="330"/>
      <c r="R1462" s="250"/>
      <c r="S1462" s="249"/>
      <c r="T1462" s="330"/>
      <c r="U1462" s="250"/>
      <c r="V1462" s="249"/>
      <c r="W1462" s="330"/>
      <c r="X1462" s="343"/>
      <c r="Y1462" s="249"/>
      <c r="Z1462" s="330"/>
      <c r="AA1462" s="343"/>
      <c r="AB1462" s="249"/>
      <c r="AC1462" s="330"/>
      <c r="AD1462" s="343"/>
      <c r="AE1462" s="249"/>
      <c r="AF1462" s="330"/>
      <c r="AG1462" s="343"/>
      <c r="AH1462" s="249"/>
      <c r="AI1462" s="330"/>
      <c r="AJ1462" s="343"/>
      <c r="AK1462" s="249"/>
      <c r="AL1462" s="330"/>
      <c r="AM1462" s="343"/>
      <c r="AN1462" s="249"/>
      <c r="AO1462" s="330"/>
      <c r="AP1462" s="343"/>
      <c r="AQ1462" s="249"/>
      <c r="AR1462" s="330"/>
      <c r="AS1462" s="343"/>
      <c r="AT1462" s="249"/>
      <c r="AU1462" s="330"/>
    </row>
    <row r="1463" spans="2:47">
      <c r="B1463" s="247">
        <f>'Table S2 Compound Identifiers'!C1465</f>
        <v>0</v>
      </c>
      <c r="C1463" s="247">
        <f>COUNTIF($D$6:D1463,"&lt;&gt;"&amp;"")</f>
        <v>1458</v>
      </c>
      <c r="D1463" s="247">
        <f>'Table S2 Compound Identifiers'!B1465</f>
        <v>0</v>
      </c>
      <c r="E1463" s="247"/>
      <c r="F1463" s="248"/>
      <c r="G1463" s="249"/>
      <c r="H1463" s="330"/>
      <c r="I1463" s="328"/>
      <c r="J1463" s="249"/>
      <c r="K1463" s="330"/>
      <c r="L1463" s="250"/>
      <c r="M1463" s="249"/>
      <c r="N1463" s="330"/>
      <c r="O1463" s="250"/>
      <c r="P1463" s="249"/>
      <c r="Q1463" s="330"/>
      <c r="R1463" s="250"/>
      <c r="S1463" s="249"/>
      <c r="T1463" s="330"/>
      <c r="U1463" s="250"/>
      <c r="V1463" s="249"/>
      <c r="W1463" s="330"/>
      <c r="X1463" s="343"/>
      <c r="Y1463" s="249"/>
      <c r="Z1463" s="330"/>
      <c r="AA1463" s="343"/>
      <c r="AB1463" s="249"/>
      <c r="AC1463" s="330"/>
      <c r="AD1463" s="343"/>
      <c r="AE1463" s="249"/>
      <c r="AF1463" s="330"/>
      <c r="AG1463" s="343"/>
      <c r="AH1463" s="249"/>
      <c r="AI1463" s="330"/>
      <c r="AJ1463" s="343"/>
      <c r="AK1463" s="249"/>
      <c r="AL1463" s="330"/>
      <c r="AM1463" s="343"/>
      <c r="AN1463" s="249"/>
      <c r="AO1463" s="330"/>
      <c r="AP1463" s="343"/>
      <c r="AQ1463" s="249"/>
      <c r="AR1463" s="330"/>
      <c r="AS1463" s="343"/>
      <c r="AT1463" s="249"/>
      <c r="AU1463" s="330"/>
    </row>
    <row r="1464" spans="2:47">
      <c r="B1464" s="247">
        <f>'Table S2 Compound Identifiers'!C1466</f>
        <v>0</v>
      </c>
      <c r="C1464" s="247">
        <f>COUNTIF($D$6:D1464,"&lt;&gt;"&amp;"")</f>
        <v>1459</v>
      </c>
      <c r="D1464" s="247">
        <f>'Table S2 Compound Identifiers'!B1466</f>
        <v>0</v>
      </c>
      <c r="E1464" s="247"/>
      <c r="F1464" s="248"/>
      <c r="G1464" s="249"/>
      <c r="H1464" s="330"/>
      <c r="I1464" s="328"/>
      <c r="J1464" s="249"/>
      <c r="K1464" s="330"/>
      <c r="L1464" s="250"/>
      <c r="M1464" s="249"/>
      <c r="N1464" s="330"/>
      <c r="O1464" s="250"/>
      <c r="P1464" s="249"/>
      <c r="Q1464" s="330"/>
      <c r="R1464" s="250"/>
      <c r="S1464" s="249"/>
      <c r="T1464" s="330"/>
      <c r="U1464" s="250"/>
      <c r="V1464" s="249"/>
      <c r="W1464" s="330"/>
      <c r="X1464" s="343"/>
      <c r="Y1464" s="249"/>
      <c r="Z1464" s="330"/>
      <c r="AA1464" s="343"/>
      <c r="AB1464" s="249"/>
      <c r="AC1464" s="330"/>
      <c r="AD1464" s="343"/>
      <c r="AE1464" s="249"/>
      <c r="AF1464" s="330"/>
      <c r="AG1464" s="343"/>
      <c r="AH1464" s="249"/>
      <c r="AI1464" s="330"/>
      <c r="AJ1464" s="343"/>
      <c r="AK1464" s="249"/>
      <c r="AL1464" s="330"/>
      <c r="AM1464" s="343"/>
      <c r="AN1464" s="249"/>
      <c r="AO1464" s="330"/>
      <c r="AP1464" s="343"/>
      <c r="AQ1464" s="249"/>
      <c r="AR1464" s="330"/>
      <c r="AS1464" s="343"/>
      <c r="AT1464" s="249"/>
      <c r="AU1464" s="330"/>
    </row>
    <row r="1465" spans="2:47">
      <c r="B1465" s="247">
        <f>'Table S2 Compound Identifiers'!C1467</f>
        <v>0</v>
      </c>
      <c r="C1465" s="247">
        <f>COUNTIF($D$6:D1465,"&lt;&gt;"&amp;"")</f>
        <v>1460</v>
      </c>
      <c r="D1465" s="247">
        <f>'Table S2 Compound Identifiers'!B1467</f>
        <v>0</v>
      </c>
      <c r="E1465" s="247"/>
      <c r="F1465" s="248"/>
      <c r="G1465" s="249"/>
      <c r="H1465" s="330"/>
      <c r="I1465" s="328"/>
      <c r="J1465" s="249"/>
      <c r="K1465" s="330"/>
      <c r="L1465" s="250"/>
      <c r="M1465" s="249"/>
      <c r="N1465" s="330"/>
      <c r="O1465" s="250"/>
      <c r="P1465" s="249"/>
      <c r="Q1465" s="330"/>
      <c r="R1465" s="250"/>
      <c r="S1465" s="249"/>
      <c r="T1465" s="330"/>
      <c r="U1465" s="250"/>
      <c r="V1465" s="249"/>
      <c r="W1465" s="330"/>
      <c r="X1465" s="343"/>
      <c r="Y1465" s="249"/>
      <c r="Z1465" s="330"/>
      <c r="AA1465" s="343"/>
      <c r="AB1465" s="249"/>
      <c r="AC1465" s="330"/>
      <c r="AD1465" s="343"/>
      <c r="AE1465" s="249"/>
      <c r="AF1465" s="330"/>
      <c r="AG1465" s="343"/>
      <c r="AH1465" s="249"/>
      <c r="AI1465" s="330"/>
      <c r="AJ1465" s="343"/>
      <c r="AK1465" s="249"/>
      <c r="AL1465" s="330"/>
      <c r="AM1465" s="343"/>
      <c r="AN1465" s="249"/>
      <c r="AO1465" s="330"/>
      <c r="AP1465" s="343"/>
      <c r="AQ1465" s="249"/>
      <c r="AR1465" s="330"/>
      <c r="AS1465" s="343"/>
      <c r="AT1465" s="249"/>
      <c r="AU1465" s="330"/>
    </row>
    <row r="1466" spans="2:47">
      <c r="B1466" s="247">
        <f>'Table S2 Compound Identifiers'!C1468</f>
        <v>0</v>
      </c>
      <c r="C1466" s="247">
        <f>COUNTIF($D$6:D1466,"&lt;&gt;"&amp;"")</f>
        <v>1461</v>
      </c>
      <c r="D1466" s="247">
        <f>'Table S2 Compound Identifiers'!B1468</f>
        <v>0</v>
      </c>
      <c r="E1466" s="247"/>
      <c r="F1466" s="248"/>
      <c r="G1466" s="249"/>
      <c r="H1466" s="330"/>
      <c r="I1466" s="328"/>
      <c r="J1466" s="249"/>
      <c r="K1466" s="330"/>
      <c r="L1466" s="250"/>
      <c r="M1466" s="249"/>
      <c r="N1466" s="330"/>
      <c r="O1466" s="250"/>
      <c r="P1466" s="249"/>
      <c r="Q1466" s="330"/>
      <c r="R1466" s="250"/>
      <c r="S1466" s="249"/>
      <c r="T1466" s="330"/>
      <c r="U1466" s="250"/>
      <c r="V1466" s="249"/>
      <c r="W1466" s="330"/>
      <c r="X1466" s="343"/>
      <c r="Y1466" s="249"/>
      <c r="Z1466" s="330"/>
      <c r="AA1466" s="343"/>
      <c r="AB1466" s="249"/>
      <c r="AC1466" s="330"/>
      <c r="AD1466" s="343"/>
      <c r="AE1466" s="249"/>
      <c r="AF1466" s="330"/>
      <c r="AG1466" s="343"/>
      <c r="AH1466" s="249"/>
      <c r="AI1466" s="330"/>
      <c r="AJ1466" s="343"/>
      <c r="AK1466" s="249"/>
      <c r="AL1466" s="330"/>
      <c r="AM1466" s="343"/>
      <c r="AN1466" s="249"/>
      <c r="AO1466" s="330"/>
      <c r="AP1466" s="343"/>
      <c r="AQ1466" s="249"/>
      <c r="AR1466" s="330"/>
      <c r="AS1466" s="343"/>
      <c r="AT1466" s="249"/>
      <c r="AU1466" s="330"/>
    </row>
    <row r="1467" spans="2:47">
      <c r="B1467" s="247">
        <f>'Table S2 Compound Identifiers'!C1469</f>
        <v>0</v>
      </c>
      <c r="C1467" s="247">
        <f>COUNTIF($D$6:D1467,"&lt;&gt;"&amp;"")</f>
        <v>1462</v>
      </c>
      <c r="D1467" s="247">
        <f>'Table S2 Compound Identifiers'!B1469</f>
        <v>0</v>
      </c>
      <c r="E1467" s="247"/>
      <c r="F1467" s="248"/>
      <c r="G1467" s="249"/>
      <c r="H1467" s="330"/>
      <c r="I1467" s="328"/>
      <c r="J1467" s="249"/>
      <c r="K1467" s="330"/>
      <c r="L1467" s="250"/>
      <c r="M1467" s="249"/>
      <c r="N1467" s="330"/>
      <c r="O1467" s="250"/>
      <c r="P1467" s="249"/>
      <c r="Q1467" s="330"/>
      <c r="R1467" s="250"/>
      <c r="S1467" s="249"/>
      <c r="T1467" s="330"/>
      <c r="U1467" s="250"/>
      <c r="V1467" s="249"/>
      <c r="W1467" s="330"/>
      <c r="X1467" s="343"/>
      <c r="Y1467" s="249"/>
      <c r="Z1467" s="330"/>
      <c r="AA1467" s="343"/>
      <c r="AB1467" s="249"/>
      <c r="AC1467" s="330"/>
      <c r="AD1467" s="343"/>
      <c r="AE1467" s="249"/>
      <c r="AF1467" s="330"/>
      <c r="AG1467" s="343"/>
      <c r="AH1467" s="249"/>
      <c r="AI1467" s="330"/>
      <c r="AJ1467" s="343"/>
      <c r="AK1467" s="249"/>
      <c r="AL1467" s="330"/>
      <c r="AM1467" s="343"/>
      <c r="AN1467" s="249"/>
      <c r="AO1467" s="330"/>
      <c r="AP1467" s="343"/>
      <c r="AQ1467" s="249"/>
      <c r="AR1467" s="330"/>
      <c r="AS1467" s="343"/>
      <c r="AT1467" s="249"/>
      <c r="AU1467" s="330"/>
    </row>
    <row r="1468" spans="2:47">
      <c r="B1468" s="247">
        <f>'Table S2 Compound Identifiers'!C1470</f>
        <v>0</v>
      </c>
      <c r="C1468" s="247">
        <f>COUNTIF($D$6:D1468,"&lt;&gt;"&amp;"")</f>
        <v>1463</v>
      </c>
      <c r="D1468" s="432">
        <f>'Table S2 Compound Identifiers'!B1470</f>
        <v>0</v>
      </c>
      <c r="E1468" s="247"/>
      <c r="F1468" s="248"/>
      <c r="G1468" s="249"/>
      <c r="H1468" s="330"/>
      <c r="I1468" s="328"/>
      <c r="J1468" s="249"/>
      <c r="K1468" s="330"/>
      <c r="L1468" s="250"/>
      <c r="M1468" s="249"/>
      <c r="N1468" s="330"/>
      <c r="O1468" s="250"/>
      <c r="P1468" s="249"/>
      <c r="Q1468" s="330"/>
      <c r="R1468" s="250"/>
      <c r="S1468" s="249"/>
      <c r="T1468" s="330"/>
      <c r="U1468" s="250"/>
      <c r="V1468" s="249"/>
      <c r="W1468" s="330"/>
      <c r="X1468" s="343"/>
      <c r="Y1468" s="249"/>
      <c r="Z1468" s="330"/>
      <c r="AA1468" s="343"/>
      <c r="AB1468" s="249"/>
      <c r="AC1468" s="330"/>
      <c r="AD1468" s="343"/>
      <c r="AE1468" s="249"/>
      <c r="AF1468" s="330"/>
      <c r="AG1468" s="343"/>
      <c r="AH1468" s="249"/>
      <c r="AI1468" s="330"/>
      <c r="AJ1468" s="343"/>
      <c r="AK1468" s="249"/>
      <c r="AL1468" s="330"/>
      <c r="AM1468" s="343"/>
      <c r="AN1468" s="249"/>
      <c r="AO1468" s="330"/>
      <c r="AP1468" s="343"/>
      <c r="AQ1468" s="249"/>
      <c r="AR1468" s="330"/>
      <c r="AS1468" s="343"/>
      <c r="AT1468" s="249"/>
      <c r="AU1468" s="330"/>
    </row>
    <row r="1469" spans="2:47">
      <c r="B1469" s="247">
        <f>'Table S2 Compound Identifiers'!C1471</f>
        <v>0</v>
      </c>
      <c r="C1469" s="247">
        <f>COUNTIF($D$6:D1469,"&lt;&gt;"&amp;"")</f>
        <v>1464</v>
      </c>
      <c r="D1469" s="432">
        <f>'Table S2 Compound Identifiers'!B1471</f>
        <v>0</v>
      </c>
      <c r="E1469" s="247"/>
      <c r="F1469" s="248"/>
      <c r="G1469" s="249"/>
      <c r="H1469" s="330"/>
      <c r="I1469" s="328"/>
      <c r="J1469" s="249"/>
      <c r="K1469" s="330"/>
      <c r="L1469" s="250"/>
      <c r="M1469" s="249"/>
      <c r="N1469" s="330"/>
      <c r="O1469" s="250"/>
      <c r="P1469" s="249"/>
      <c r="Q1469" s="330"/>
      <c r="R1469" s="250"/>
      <c r="S1469" s="249"/>
      <c r="T1469" s="330"/>
      <c r="U1469" s="250"/>
      <c r="V1469" s="249"/>
      <c r="W1469" s="330"/>
      <c r="X1469" s="343"/>
      <c r="Y1469" s="249"/>
      <c r="Z1469" s="330"/>
      <c r="AA1469" s="343"/>
      <c r="AB1469" s="249"/>
      <c r="AC1469" s="330"/>
      <c r="AD1469" s="343"/>
      <c r="AE1469" s="249"/>
      <c r="AF1469" s="330"/>
      <c r="AG1469" s="343"/>
      <c r="AH1469" s="249"/>
      <c r="AI1469" s="330"/>
      <c r="AJ1469" s="343"/>
      <c r="AK1469" s="249"/>
      <c r="AL1469" s="330"/>
      <c r="AM1469" s="343"/>
      <c r="AN1469" s="249"/>
      <c r="AO1469" s="330"/>
      <c r="AP1469" s="343"/>
      <c r="AQ1469" s="249"/>
      <c r="AR1469" s="330"/>
      <c r="AS1469" s="343"/>
      <c r="AT1469" s="249"/>
      <c r="AU1469" s="330"/>
    </row>
    <row r="1470" spans="2:47">
      <c r="B1470" s="247">
        <f>'Table S2 Compound Identifiers'!C1472</f>
        <v>0</v>
      </c>
      <c r="C1470" s="247">
        <f>COUNTIF($D$6:D1470,"&lt;&gt;"&amp;"")</f>
        <v>1465</v>
      </c>
      <c r="D1470" s="432">
        <f>'Table S2 Compound Identifiers'!B1472</f>
        <v>0</v>
      </c>
      <c r="E1470" s="247"/>
      <c r="F1470" s="248"/>
      <c r="G1470" s="249"/>
      <c r="H1470" s="330"/>
      <c r="I1470" s="328"/>
      <c r="J1470" s="249"/>
      <c r="K1470" s="330"/>
      <c r="L1470" s="250"/>
      <c r="M1470" s="249"/>
      <c r="N1470" s="330"/>
      <c r="O1470" s="250"/>
      <c r="P1470" s="249"/>
      <c r="Q1470" s="330"/>
      <c r="R1470" s="250"/>
      <c r="S1470" s="249"/>
      <c r="T1470" s="330"/>
      <c r="U1470" s="250"/>
      <c r="V1470" s="249"/>
      <c r="W1470" s="330"/>
      <c r="X1470" s="343"/>
      <c r="Y1470" s="249"/>
      <c r="Z1470" s="330"/>
      <c r="AA1470" s="343"/>
      <c r="AB1470" s="249"/>
      <c r="AC1470" s="330"/>
      <c r="AD1470" s="343"/>
      <c r="AE1470" s="249"/>
      <c r="AF1470" s="330"/>
      <c r="AG1470" s="343"/>
      <c r="AH1470" s="249"/>
      <c r="AI1470" s="330"/>
      <c r="AJ1470" s="343"/>
      <c r="AK1470" s="249"/>
      <c r="AL1470" s="330"/>
      <c r="AM1470" s="343"/>
      <c r="AN1470" s="249"/>
      <c r="AO1470" s="330"/>
      <c r="AP1470" s="343"/>
      <c r="AQ1470" s="249"/>
      <c r="AR1470" s="330"/>
      <c r="AS1470" s="343"/>
      <c r="AT1470" s="249"/>
      <c r="AU1470" s="330"/>
    </row>
    <row r="1471" spans="2:47">
      <c r="B1471" s="247">
        <f>'Table S2 Compound Identifiers'!C1473</f>
        <v>0</v>
      </c>
      <c r="C1471" s="247">
        <f>COUNTIF($D$6:D1471,"&lt;&gt;"&amp;"")</f>
        <v>1466</v>
      </c>
      <c r="D1471" s="432">
        <f>'Table S2 Compound Identifiers'!B1473</f>
        <v>0</v>
      </c>
      <c r="E1471" s="247"/>
      <c r="F1471" s="248"/>
      <c r="G1471" s="249"/>
      <c r="H1471" s="330"/>
      <c r="I1471" s="328"/>
      <c r="J1471" s="249"/>
      <c r="K1471" s="330"/>
      <c r="L1471" s="250"/>
      <c r="M1471" s="249"/>
      <c r="N1471" s="330"/>
      <c r="O1471" s="250"/>
      <c r="P1471" s="249"/>
      <c r="Q1471" s="330"/>
      <c r="R1471" s="250"/>
      <c r="S1471" s="249"/>
      <c r="T1471" s="330"/>
      <c r="U1471" s="250"/>
      <c r="V1471" s="249"/>
      <c r="W1471" s="330"/>
      <c r="X1471" s="343"/>
      <c r="Y1471" s="249"/>
      <c r="Z1471" s="330"/>
      <c r="AA1471" s="343"/>
      <c r="AB1471" s="249"/>
      <c r="AC1471" s="330"/>
      <c r="AD1471" s="343"/>
      <c r="AE1471" s="249"/>
      <c r="AF1471" s="330"/>
      <c r="AG1471" s="343"/>
      <c r="AH1471" s="249"/>
      <c r="AI1471" s="330"/>
      <c r="AJ1471" s="343"/>
      <c r="AK1471" s="249"/>
      <c r="AL1471" s="330"/>
      <c r="AM1471" s="343"/>
      <c r="AN1471" s="249"/>
      <c r="AO1471" s="330"/>
      <c r="AP1471" s="343"/>
      <c r="AQ1471" s="249"/>
      <c r="AR1471" s="330"/>
      <c r="AS1471" s="343"/>
      <c r="AT1471" s="249"/>
      <c r="AU1471" s="330"/>
    </row>
    <row r="1472" spans="2:47">
      <c r="B1472" s="247">
        <f>'Table S2 Compound Identifiers'!C1474</f>
        <v>0</v>
      </c>
      <c r="C1472" s="247">
        <f>COUNTIF($D$6:D1472,"&lt;&gt;"&amp;"")</f>
        <v>1467</v>
      </c>
      <c r="D1472" s="432">
        <f>'Table S2 Compound Identifiers'!B1474</f>
        <v>0</v>
      </c>
      <c r="E1472" s="247"/>
      <c r="F1472" s="248"/>
      <c r="G1472" s="249"/>
      <c r="H1472" s="330"/>
      <c r="I1472" s="328"/>
      <c r="J1472" s="249"/>
      <c r="K1472" s="330"/>
      <c r="L1472" s="250"/>
      <c r="M1472" s="249"/>
      <c r="N1472" s="330"/>
      <c r="O1472" s="250"/>
      <c r="P1472" s="249"/>
      <c r="Q1472" s="330"/>
      <c r="R1472" s="250"/>
      <c r="S1472" s="249"/>
      <c r="T1472" s="330"/>
      <c r="U1472" s="250"/>
      <c r="V1472" s="249"/>
      <c r="W1472" s="330"/>
      <c r="X1472" s="343"/>
      <c r="Y1472" s="249"/>
      <c r="Z1472" s="330"/>
      <c r="AA1472" s="343"/>
      <c r="AB1472" s="249"/>
      <c r="AC1472" s="330"/>
      <c r="AD1472" s="343"/>
      <c r="AE1472" s="249"/>
      <c r="AF1472" s="330"/>
      <c r="AG1472" s="343"/>
      <c r="AH1472" s="249"/>
      <c r="AI1472" s="330"/>
      <c r="AJ1472" s="343"/>
      <c r="AK1472" s="249"/>
      <c r="AL1472" s="330"/>
      <c r="AM1472" s="343"/>
      <c r="AN1472" s="249"/>
      <c r="AO1472" s="330"/>
      <c r="AP1472" s="343"/>
      <c r="AQ1472" s="249"/>
      <c r="AR1472" s="330"/>
      <c r="AS1472" s="343"/>
      <c r="AT1472" s="249"/>
      <c r="AU1472" s="330"/>
    </row>
    <row r="1473" spans="2:47">
      <c r="B1473" s="247">
        <f>'Table S2 Compound Identifiers'!C1475</f>
        <v>0</v>
      </c>
      <c r="C1473" s="247">
        <f>COUNTIF($D$6:D1473,"&lt;&gt;"&amp;"")</f>
        <v>1468</v>
      </c>
      <c r="D1473" s="432">
        <f>'Table S2 Compound Identifiers'!B1475</f>
        <v>0</v>
      </c>
      <c r="E1473" s="247"/>
      <c r="F1473" s="248"/>
      <c r="G1473" s="249"/>
      <c r="H1473" s="330"/>
      <c r="I1473" s="328"/>
      <c r="J1473" s="249"/>
      <c r="K1473" s="330"/>
      <c r="L1473" s="250"/>
      <c r="M1473" s="249"/>
      <c r="N1473" s="330"/>
      <c r="O1473" s="250"/>
      <c r="P1473" s="249"/>
      <c r="Q1473" s="330"/>
      <c r="R1473" s="250"/>
      <c r="S1473" s="249"/>
      <c r="T1473" s="330"/>
      <c r="U1473" s="250"/>
      <c r="V1473" s="249"/>
      <c r="W1473" s="330"/>
      <c r="X1473" s="343"/>
      <c r="Y1473" s="249"/>
      <c r="Z1473" s="330"/>
      <c r="AA1473" s="343"/>
      <c r="AB1473" s="249"/>
      <c r="AC1473" s="330"/>
      <c r="AD1473" s="343"/>
      <c r="AE1473" s="249"/>
      <c r="AF1473" s="330"/>
      <c r="AG1473" s="343"/>
      <c r="AH1473" s="249"/>
      <c r="AI1473" s="330"/>
      <c r="AJ1473" s="343"/>
      <c r="AK1473" s="249"/>
      <c r="AL1473" s="330"/>
      <c r="AM1473" s="343"/>
      <c r="AN1473" s="249"/>
      <c r="AO1473" s="330"/>
      <c r="AP1473" s="343"/>
      <c r="AQ1473" s="249"/>
      <c r="AR1473" s="330"/>
      <c r="AS1473" s="343"/>
      <c r="AT1473" s="249"/>
      <c r="AU1473" s="330"/>
    </row>
    <row r="1474" spans="2:47">
      <c r="B1474" s="247">
        <f>'Table S2 Compound Identifiers'!C1476</f>
        <v>0</v>
      </c>
      <c r="C1474" s="247">
        <f>COUNTIF($D$6:D1474,"&lt;&gt;"&amp;"")</f>
        <v>1469</v>
      </c>
      <c r="D1474" s="432">
        <f>'Table S2 Compound Identifiers'!B1476</f>
        <v>0</v>
      </c>
      <c r="E1474" s="247"/>
      <c r="F1474" s="248"/>
      <c r="G1474" s="249"/>
      <c r="H1474" s="330"/>
      <c r="I1474" s="328"/>
      <c r="J1474" s="249"/>
      <c r="K1474" s="330"/>
      <c r="L1474" s="250"/>
      <c r="M1474" s="249"/>
      <c r="N1474" s="330"/>
      <c r="O1474" s="250"/>
      <c r="P1474" s="249"/>
      <c r="Q1474" s="330"/>
      <c r="R1474" s="250"/>
      <c r="S1474" s="249"/>
      <c r="T1474" s="330"/>
      <c r="U1474" s="250"/>
      <c r="V1474" s="249"/>
      <c r="W1474" s="330"/>
      <c r="X1474" s="343"/>
      <c r="Y1474" s="249"/>
      <c r="Z1474" s="330"/>
      <c r="AA1474" s="343"/>
      <c r="AB1474" s="249"/>
      <c r="AC1474" s="330"/>
      <c r="AD1474" s="343"/>
      <c r="AE1474" s="249"/>
      <c r="AF1474" s="330"/>
      <c r="AG1474" s="343"/>
      <c r="AH1474" s="249"/>
      <c r="AI1474" s="330"/>
      <c r="AJ1474" s="343"/>
      <c r="AK1474" s="249"/>
      <c r="AL1474" s="330"/>
      <c r="AM1474" s="343"/>
      <c r="AN1474" s="249"/>
      <c r="AO1474" s="330"/>
      <c r="AP1474" s="343"/>
      <c r="AQ1474" s="249"/>
      <c r="AR1474" s="330"/>
      <c r="AS1474" s="343"/>
      <c r="AT1474" s="249"/>
      <c r="AU1474" s="330"/>
    </row>
    <row r="1475" spans="2:47">
      <c r="B1475" s="247">
        <f>'Table S2 Compound Identifiers'!C1477</f>
        <v>0</v>
      </c>
      <c r="C1475" s="247">
        <f>COUNTIF($D$6:D1475,"&lt;&gt;"&amp;"")</f>
        <v>1470</v>
      </c>
      <c r="D1475" s="432">
        <f>'Table S2 Compound Identifiers'!B1477</f>
        <v>0</v>
      </c>
      <c r="E1475" s="247"/>
      <c r="F1475" s="248"/>
      <c r="G1475" s="249"/>
      <c r="H1475" s="330"/>
      <c r="I1475" s="328"/>
      <c r="J1475" s="249"/>
      <c r="K1475" s="330"/>
      <c r="L1475" s="250"/>
      <c r="M1475" s="249"/>
      <c r="N1475" s="330"/>
      <c r="O1475" s="250"/>
      <c r="P1475" s="249"/>
      <c r="Q1475" s="330"/>
      <c r="R1475" s="250"/>
      <c r="S1475" s="249"/>
      <c r="T1475" s="330"/>
      <c r="U1475" s="250"/>
      <c r="V1475" s="249"/>
      <c r="W1475" s="330"/>
      <c r="X1475" s="343"/>
      <c r="Y1475" s="249"/>
      <c r="Z1475" s="330"/>
      <c r="AA1475" s="343"/>
      <c r="AB1475" s="249"/>
      <c r="AC1475" s="330"/>
      <c r="AD1475" s="343"/>
      <c r="AE1475" s="249"/>
      <c r="AF1475" s="330"/>
      <c r="AG1475" s="343"/>
      <c r="AH1475" s="249"/>
      <c r="AI1475" s="330"/>
      <c r="AJ1475" s="343"/>
      <c r="AK1475" s="249"/>
      <c r="AL1475" s="330"/>
      <c r="AM1475" s="343"/>
      <c r="AN1475" s="249"/>
      <c r="AO1475" s="330"/>
      <c r="AP1475" s="343"/>
      <c r="AQ1475" s="249"/>
      <c r="AR1475" s="330"/>
      <c r="AS1475" s="343"/>
      <c r="AT1475" s="249"/>
      <c r="AU1475" s="330"/>
    </row>
    <row r="1476" spans="2:47">
      <c r="B1476" s="247">
        <f>'Table S2 Compound Identifiers'!C1478</f>
        <v>0</v>
      </c>
      <c r="C1476" s="247">
        <f>COUNTIF($D$6:D1476,"&lt;&gt;"&amp;"")</f>
        <v>1471</v>
      </c>
      <c r="D1476" s="432">
        <f>'Table S2 Compound Identifiers'!B1478</f>
        <v>0</v>
      </c>
      <c r="E1476" s="247"/>
      <c r="F1476" s="248"/>
      <c r="G1476" s="249"/>
      <c r="H1476" s="330"/>
      <c r="I1476" s="328"/>
      <c r="J1476" s="249"/>
      <c r="K1476" s="330"/>
      <c r="L1476" s="250"/>
      <c r="M1476" s="249"/>
      <c r="N1476" s="330"/>
      <c r="O1476" s="250"/>
      <c r="P1476" s="249"/>
      <c r="Q1476" s="330"/>
      <c r="R1476" s="250"/>
      <c r="S1476" s="249"/>
      <c r="T1476" s="330"/>
      <c r="U1476" s="250"/>
      <c r="V1476" s="249"/>
      <c r="W1476" s="330"/>
      <c r="X1476" s="343"/>
      <c r="Y1476" s="249"/>
      <c r="Z1476" s="330"/>
      <c r="AA1476" s="343"/>
      <c r="AB1476" s="249"/>
      <c r="AC1476" s="330"/>
      <c r="AD1476" s="343"/>
      <c r="AE1476" s="249"/>
      <c r="AF1476" s="330"/>
      <c r="AG1476" s="343"/>
      <c r="AH1476" s="249"/>
      <c r="AI1476" s="330"/>
      <c r="AJ1476" s="343"/>
      <c r="AK1476" s="249"/>
      <c r="AL1476" s="330"/>
      <c r="AM1476" s="343"/>
      <c r="AN1476" s="249"/>
      <c r="AO1476" s="330"/>
      <c r="AP1476" s="343"/>
      <c r="AQ1476" s="249"/>
      <c r="AR1476" s="330"/>
      <c r="AS1476" s="343"/>
      <c r="AT1476" s="249"/>
      <c r="AU1476" s="330"/>
    </row>
    <row r="1477" spans="2:47">
      <c r="B1477" s="247">
        <f>'Table S2 Compound Identifiers'!C1479</f>
        <v>0</v>
      </c>
      <c r="C1477" s="247">
        <f>COUNTIF($D$6:D1477,"&lt;&gt;"&amp;"")</f>
        <v>1472</v>
      </c>
      <c r="D1477" s="432">
        <f>'Table S2 Compound Identifiers'!B1479</f>
        <v>0</v>
      </c>
      <c r="E1477" s="247"/>
      <c r="F1477" s="248"/>
      <c r="G1477" s="249"/>
      <c r="H1477" s="330"/>
      <c r="I1477" s="328"/>
      <c r="J1477" s="249"/>
      <c r="K1477" s="330"/>
      <c r="L1477" s="250"/>
      <c r="M1477" s="249"/>
      <c r="N1477" s="330"/>
      <c r="O1477" s="250"/>
      <c r="P1477" s="249"/>
      <c r="Q1477" s="330"/>
      <c r="R1477" s="250"/>
      <c r="S1477" s="249"/>
      <c r="T1477" s="330"/>
      <c r="U1477" s="250"/>
      <c r="V1477" s="249"/>
      <c r="W1477" s="330"/>
      <c r="X1477" s="343"/>
      <c r="Y1477" s="249"/>
      <c r="Z1477" s="330"/>
      <c r="AA1477" s="343"/>
      <c r="AB1477" s="249"/>
      <c r="AC1477" s="330"/>
      <c r="AD1477" s="343"/>
      <c r="AE1477" s="249"/>
      <c r="AF1477" s="330"/>
      <c r="AG1477" s="343"/>
      <c r="AH1477" s="249"/>
      <c r="AI1477" s="330"/>
      <c r="AJ1477" s="343"/>
      <c r="AK1477" s="249"/>
      <c r="AL1477" s="330"/>
      <c r="AM1477" s="343"/>
      <c r="AN1477" s="249"/>
      <c r="AO1477" s="330"/>
      <c r="AP1477" s="343"/>
      <c r="AQ1477" s="249"/>
      <c r="AR1477" s="330"/>
      <c r="AS1477" s="343"/>
      <c r="AT1477" s="249"/>
      <c r="AU1477" s="330"/>
    </row>
    <row r="1478" spans="2:47">
      <c r="B1478" s="247">
        <f>'Table S2 Compound Identifiers'!C1480</f>
        <v>0</v>
      </c>
      <c r="C1478" s="247">
        <f>COUNTIF($D$6:D1478,"&lt;&gt;"&amp;"")</f>
        <v>1473</v>
      </c>
      <c r="D1478" s="247">
        <f>'Table S2 Compound Identifiers'!B1480</f>
        <v>0</v>
      </c>
      <c r="E1478" s="247"/>
      <c r="F1478" s="248"/>
      <c r="G1478" s="249"/>
      <c r="H1478" s="330"/>
      <c r="I1478" s="328"/>
      <c r="J1478" s="249"/>
      <c r="K1478" s="330"/>
      <c r="L1478" s="250"/>
      <c r="M1478" s="249"/>
      <c r="N1478" s="330"/>
      <c r="O1478" s="250"/>
      <c r="P1478" s="249"/>
      <c r="Q1478" s="330"/>
      <c r="R1478" s="250"/>
      <c r="S1478" s="249"/>
      <c r="T1478" s="330"/>
      <c r="U1478" s="250"/>
      <c r="V1478" s="249"/>
      <c r="W1478" s="330"/>
      <c r="X1478" s="343"/>
      <c r="Y1478" s="249"/>
      <c r="Z1478" s="330"/>
      <c r="AA1478" s="343"/>
      <c r="AB1478" s="249"/>
      <c r="AC1478" s="330"/>
      <c r="AD1478" s="343"/>
      <c r="AE1478" s="249"/>
      <c r="AF1478" s="330"/>
      <c r="AG1478" s="343"/>
      <c r="AH1478" s="249"/>
      <c r="AI1478" s="330"/>
      <c r="AJ1478" s="343"/>
      <c r="AK1478" s="249"/>
      <c r="AL1478" s="330"/>
      <c r="AM1478" s="343"/>
      <c r="AN1478" s="249"/>
      <c r="AO1478" s="330"/>
      <c r="AP1478" s="343"/>
      <c r="AQ1478" s="249"/>
      <c r="AR1478" s="330"/>
      <c r="AS1478" s="343"/>
      <c r="AT1478" s="249"/>
      <c r="AU1478" s="330"/>
    </row>
    <row r="1479" spans="2:47">
      <c r="B1479" s="247">
        <f>'Table S2 Compound Identifiers'!C1481</f>
        <v>0</v>
      </c>
      <c r="C1479" s="247">
        <f>COUNTIF($D$6:D1479,"&lt;&gt;"&amp;"")</f>
        <v>1474</v>
      </c>
      <c r="D1479" s="247">
        <f>'Table S2 Compound Identifiers'!B1481</f>
        <v>0</v>
      </c>
      <c r="E1479" s="247"/>
      <c r="F1479" s="248"/>
      <c r="G1479" s="249"/>
      <c r="H1479" s="330"/>
      <c r="I1479" s="328"/>
      <c r="J1479" s="249"/>
      <c r="K1479" s="330"/>
      <c r="L1479" s="250"/>
      <c r="M1479" s="249"/>
      <c r="N1479" s="330"/>
      <c r="O1479" s="250"/>
      <c r="P1479" s="249"/>
      <c r="Q1479" s="330"/>
      <c r="R1479" s="250"/>
      <c r="S1479" s="249"/>
      <c r="T1479" s="330"/>
      <c r="U1479" s="250"/>
      <c r="V1479" s="249"/>
      <c r="W1479" s="330"/>
      <c r="X1479" s="343"/>
      <c r="Y1479" s="249"/>
      <c r="Z1479" s="330"/>
      <c r="AA1479" s="343"/>
      <c r="AB1479" s="249"/>
      <c r="AC1479" s="330"/>
      <c r="AD1479" s="343"/>
      <c r="AE1479" s="249"/>
      <c r="AF1479" s="330"/>
      <c r="AG1479" s="343"/>
      <c r="AH1479" s="249"/>
      <c r="AI1479" s="330"/>
      <c r="AJ1479" s="343"/>
      <c r="AK1479" s="249"/>
      <c r="AL1479" s="330"/>
      <c r="AM1479" s="343"/>
      <c r="AN1479" s="249"/>
      <c r="AO1479" s="330"/>
      <c r="AP1479" s="343"/>
      <c r="AQ1479" s="249"/>
      <c r="AR1479" s="330"/>
      <c r="AS1479" s="343"/>
      <c r="AT1479" s="249"/>
      <c r="AU1479" s="330"/>
    </row>
    <row r="1480" spans="2:47">
      <c r="B1480" s="247">
        <f>'Table S2 Compound Identifiers'!C1482</f>
        <v>0</v>
      </c>
      <c r="C1480" s="247">
        <f>COUNTIF($D$6:D1480,"&lt;&gt;"&amp;"")</f>
        <v>1475</v>
      </c>
      <c r="D1480" s="247">
        <f>'Table S2 Compound Identifiers'!B1482</f>
        <v>0</v>
      </c>
      <c r="E1480" s="247"/>
      <c r="F1480" s="248"/>
      <c r="G1480" s="249"/>
      <c r="H1480" s="330"/>
      <c r="I1480" s="328"/>
      <c r="J1480" s="249"/>
      <c r="K1480" s="330"/>
      <c r="L1480" s="250"/>
      <c r="M1480" s="249"/>
      <c r="N1480" s="330"/>
      <c r="O1480" s="250"/>
      <c r="P1480" s="249"/>
      <c r="Q1480" s="330"/>
      <c r="R1480" s="250"/>
      <c r="S1480" s="249"/>
      <c r="T1480" s="330"/>
      <c r="U1480" s="250"/>
      <c r="V1480" s="249"/>
      <c r="W1480" s="330"/>
      <c r="X1480" s="343"/>
      <c r="Y1480" s="249"/>
      <c r="Z1480" s="330"/>
      <c r="AA1480" s="343"/>
      <c r="AB1480" s="249"/>
      <c r="AC1480" s="330"/>
      <c r="AD1480" s="343"/>
      <c r="AE1480" s="249"/>
      <c r="AF1480" s="330"/>
      <c r="AG1480" s="343"/>
      <c r="AH1480" s="249"/>
      <c r="AI1480" s="330"/>
      <c r="AJ1480" s="343"/>
      <c r="AK1480" s="249"/>
      <c r="AL1480" s="330"/>
      <c r="AM1480" s="343"/>
      <c r="AN1480" s="249"/>
      <c r="AO1480" s="330"/>
      <c r="AP1480" s="343"/>
      <c r="AQ1480" s="249"/>
      <c r="AR1480" s="330"/>
      <c r="AS1480" s="343"/>
      <c r="AT1480" s="249"/>
      <c r="AU1480" s="330"/>
    </row>
    <row r="1481" spans="2:47">
      <c r="B1481" s="247">
        <f>'Table S2 Compound Identifiers'!C1483</f>
        <v>0</v>
      </c>
      <c r="C1481" s="247">
        <f>COUNTIF($D$6:D1481,"&lt;&gt;"&amp;"")</f>
        <v>1476</v>
      </c>
      <c r="D1481" s="247">
        <f>'Table S2 Compound Identifiers'!B1483</f>
        <v>0</v>
      </c>
      <c r="E1481" s="247"/>
      <c r="F1481" s="248"/>
      <c r="G1481" s="249"/>
      <c r="H1481" s="330"/>
      <c r="I1481" s="328"/>
      <c r="J1481" s="249"/>
      <c r="K1481" s="330"/>
      <c r="L1481" s="250"/>
      <c r="M1481" s="249"/>
      <c r="N1481" s="330"/>
      <c r="O1481" s="250"/>
      <c r="P1481" s="249"/>
      <c r="Q1481" s="330"/>
      <c r="R1481" s="250"/>
      <c r="S1481" s="249"/>
      <c r="T1481" s="330"/>
      <c r="U1481" s="250"/>
      <c r="V1481" s="249"/>
      <c r="W1481" s="330"/>
      <c r="X1481" s="343"/>
      <c r="Y1481" s="249"/>
      <c r="Z1481" s="330"/>
      <c r="AA1481" s="343"/>
      <c r="AB1481" s="249"/>
      <c r="AC1481" s="330"/>
      <c r="AD1481" s="343"/>
      <c r="AE1481" s="249"/>
      <c r="AF1481" s="330"/>
      <c r="AG1481" s="343"/>
      <c r="AH1481" s="249"/>
      <c r="AI1481" s="330"/>
      <c r="AJ1481" s="343"/>
      <c r="AK1481" s="249"/>
      <c r="AL1481" s="330"/>
      <c r="AM1481" s="343"/>
      <c r="AN1481" s="249"/>
      <c r="AO1481" s="330"/>
      <c r="AP1481" s="343"/>
      <c r="AQ1481" s="249"/>
      <c r="AR1481" s="330"/>
      <c r="AS1481" s="343"/>
      <c r="AT1481" s="249"/>
      <c r="AU1481" s="330"/>
    </row>
    <row r="1482" spans="2:47">
      <c r="B1482" s="247">
        <f>'Table S2 Compound Identifiers'!C1484</f>
        <v>0</v>
      </c>
      <c r="C1482" s="247">
        <f>COUNTIF($D$6:D1482,"&lt;&gt;"&amp;"")</f>
        <v>1477</v>
      </c>
      <c r="D1482" s="247">
        <f>'Table S2 Compound Identifiers'!B1484</f>
        <v>0</v>
      </c>
      <c r="E1482" s="247"/>
      <c r="F1482" s="248"/>
      <c r="G1482" s="249"/>
      <c r="H1482" s="330"/>
      <c r="I1482" s="328"/>
      <c r="J1482" s="249"/>
      <c r="K1482" s="330"/>
      <c r="L1482" s="250"/>
      <c r="M1482" s="249"/>
      <c r="N1482" s="330"/>
      <c r="O1482" s="250"/>
      <c r="P1482" s="249"/>
      <c r="Q1482" s="330"/>
      <c r="R1482" s="250"/>
      <c r="S1482" s="249"/>
      <c r="T1482" s="330"/>
      <c r="U1482" s="250"/>
      <c r="V1482" s="249"/>
      <c r="W1482" s="330"/>
      <c r="X1482" s="343"/>
      <c r="Y1482" s="249"/>
      <c r="Z1482" s="330"/>
      <c r="AA1482" s="343"/>
      <c r="AB1482" s="249"/>
      <c r="AC1482" s="330"/>
      <c r="AD1482" s="343"/>
      <c r="AE1482" s="249"/>
      <c r="AF1482" s="330"/>
      <c r="AG1482" s="343"/>
      <c r="AH1482" s="249"/>
      <c r="AI1482" s="330"/>
      <c r="AJ1482" s="343"/>
      <c r="AK1482" s="249"/>
      <c r="AL1482" s="330"/>
      <c r="AM1482" s="343"/>
      <c r="AN1482" s="249"/>
      <c r="AO1482" s="330"/>
      <c r="AP1482" s="343"/>
      <c r="AQ1482" s="249"/>
      <c r="AR1482" s="330"/>
      <c r="AS1482" s="343"/>
      <c r="AT1482" s="249"/>
      <c r="AU1482" s="330"/>
    </row>
    <row r="1483" spans="2:47">
      <c r="B1483" s="247">
        <f>'Table S2 Compound Identifiers'!C1485</f>
        <v>0</v>
      </c>
      <c r="C1483" s="247">
        <f>COUNTIF($D$6:D1483,"&lt;&gt;"&amp;"")</f>
        <v>1478</v>
      </c>
      <c r="D1483" s="247">
        <f>'Table S2 Compound Identifiers'!B1485</f>
        <v>0</v>
      </c>
      <c r="E1483" s="247"/>
      <c r="F1483" s="248"/>
      <c r="G1483" s="249"/>
      <c r="H1483" s="330"/>
      <c r="I1483" s="328"/>
      <c r="J1483" s="249"/>
      <c r="K1483" s="330"/>
      <c r="L1483" s="250"/>
      <c r="M1483" s="249"/>
      <c r="N1483" s="330"/>
      <c r="O1483" s="250"/>
      <c r="P1483" s="249"/>
      <c r="Q1483" s="330"/>
      <c r="R1483" s="250"/>
      <c r="S1483" s="249"/>
      <c r="T1483" s="330"/>
      <c r="U1483" s="250"/>
      <c r="V1483" s="249"/>
      <c r="W1483" s="330"/>
      <c r="X1483" s="343"/>
      <c r="Y1483" s="249"/>
      <c r="Z1483" s="330"/>
      <c r="AA1483" s="343"/>
      <c r="AB1483" s="249"/>
      <c r="AC1483" s="330"/>
      <c r="AD1483" s="343"/>
      <c r="AE1483" s="249"/>
      <c r="AF1483" s="330"/>
      <c r="AG1483" s="343"/>
      <c r="AH1483" s="249"/>
      <c r="AI1483" s="330"/>
      <c r="AJ1483" s="343"/>
      <c r="AK1483" s="249"/>
      <c r="AL1483" s="330"/>
      <c r="AM1483" s="343"/>
      <c r="AN1483" s="249"/>
      <c r="AO1483" s="330"/>
      <c r="AP1483" s="343"/>
      <c r="AQ1483" s="249"/>
      <c r="AR1483" s="330"/>
      <c r="AS1483" s="343"/>
      <c r="AT1483" s="249"/>
      <c r="AU1483" s="330"/>
    </row>
    <row r="1484" spans="2:47">
      <c r="B1484" s="247">
        <f>'Table S2 Compound Identifiers'!C1486</f>
        <v>0</v>
      </c>
      <c r="C1484" s="247">
        <f>COUNTIF($D$6:D1484,"&lt;&gt;"&amp;"")</f>
        <v>1479</v>
      </c>
      <c r="D1484" s="247">
        <f>'Table S2 Compound Identifiers'!B1486</f>
        <v>0</v>
      </c>
      <c r="E1484" s="247"/>
      <c r="F1484" s="248"/>
      <c r="G1484" s="249"/>
      <c r="H1484" s="330"/>
      <c r="I1484" s="328"/>
      <c r="J1484" s="249"/>
      <c r="K1484" s="330"/>
      <c r="L1484" s="250"/>
      <c r="M1484" s="249"/>
      <c r="N1484" s="330"/>
      <c r="O1484" s="251"/>
      <c r="P1484" s="252"/>
      <c r="Q1484" s="330"/>
      <c r="R1484" s="251"/>
      <c r="S1484" s="252"/>
      <c r="T1484" s="330"/>
      <c r="U1484" s="251"/>
      <c r="V1484" s="252"/>
      <c r="W1484" s="330"/>
      <c r="X1484" s="343"/>
      <c r="Y1484" s="249"/>
      <c r="Z1484" s="330"/>
      <c r="AA1484" s="343"/>
      <c r="AB1484" s="249"/>
      <c r="AC1484" s="330"/>
      <c r="AD1484" s="343"/>
      <c r="AE1484" s="249"/>
      <c r="AF1484" s="330"/>
      <c r="AG1484" s="343"/>
      <c r="AH1484" s="249"/>
      <c r="AI1484" s="330"/>
      <c r="AJ1484" s="343"/>
      <c r="AK1484" s="249"/>
      <c r="AL1484" s="330"/>
      <c r="AM1484" s="343"/>
      <c r="AN1484" s="249"/>
      <c r="AO1484" s="330"/>
      <c r="AP1484" s="343"/>
      <c r="AQ1484" s="249"/>
      <c r="AR1484" s="330"/>
      <c r="AS1484" s="343"/>
      <c r="AT1484" s="249"/>
      <c r="AU1484" s="330"/>
    </row>
    <row r="1485" spans="2:47">
      <c r="B1485" s="247">
        <f>'Table S2 Compound Identifiers'!C1487</f>
        <v>0</v>
      </c>
      <c r="C1485" s="253">
        <f>COUNTIF($D$6:D1485,"&lt;&gt;"&amp;"")</f>
        <v>1480</v>
      </c>
      <c r="D1485" s="253">
        <f>'Table S2 Compound Identifiers'!B1487</f>
        <v>0</v>
      </c>
      <c r="E1485" s="253"/>
      <c r="F1485" s="254"/>
      <c r="G1485" s="252"/>
      <c r="H1485" s="330"/>
      <c r="I1485" s="333"/>
      <c r="J1485" s="252"/>
      <c r="K1485" s="330"/>
      <c r="L1485" s="251"/>
      <c r="M1485" s="252"/>
      <c r="N1485" s="330"/>
      <c r="O1485" s="251"/>
      <c r="P1485" s="252"/>
      <c r="Q1485" s="330"/>
      <c r="R1485" s="251"/>
      <c r="S1485" s="252"/>
      <c r="T1485" s="330"/>
      <c r="U1485" s="251"/>
      <c r="V1485" s="252"/>
      <c r="W1485" s="330"/>
      <c r="X1485" s="343"/>
      <c r="Y1485" s="249"/>
      <c r="Z1485" s="330"/>
      <c r="AA1485" s="343"/>
      <c r="AB1485" s="249"/>
      <c r="AC1485" s="330"/>
      <c r="AD1485" s="343"/>
      <c r="AE1485" s="249"/>
      <c r="AF1485" s="330"/>
      <c r="AG1485" s="343"/>
      <c r="AH1485" s="249"/>
      <c r="AI1485" s="330"/>
      <c r="AJ1485" s="343"/>
      <c r="AK1485" s="249"/>
      <c r="AL1485" s="330"/>
      <c r="AM1485" s="343"/>
      <c r="AN1485" s="249"/>
      <c r="AO1485" s="330"/>
      <c r="AP1485" s="343"/>
      <c r="AQ1485" s="249"/>
      <c r="AR1485" s="330"/>
      <c r="AS1485" s="343"/>
      <c r="AT1485" s="249"/>
      <c r="AU1485" s="330"/>
    </row>
    <row r="1486" spans="2:47">
      <c r="B1486" s="247">
        <f>'Table S2 Compound Identifiers'!C1488</f>
        <v>0</v>
      </c>
      <c r="C1486" s="247">
        <f>COUNTIF($D$6:D1486,"&lt;&gt;"&amp;"")</f>
        <v>1481</v>
      </c>
      <c r="D1486" s="247">
        <f>'Table S2 Compound Identifiers'!B1488</f>
        <v>0</v>
      </c>
      <c r="E1486" s="247"/>
      <c r="F1486" s="248"/>
      <c r="G1486" s="250"/>
      <c r="H1486" s="330"/>
      <c r="I1486" s="343"/>
      <c r="J1486" s="249"/>
      <c r="K1486" s="327"/>
      <c r="L1486" s="343"/>
      <c r="M1486" s="249"/>
      <c r="N1486" s="327"/>
      <c r="O1486" s="343"/>
      <c r="P1486" s="249"/>
      <c r="Q1486" s="327"/>
      <c r="R1486" s="343"/>
      <c r="S1486" s="249"/>
      <c r="T1486" s="327"/>
      <c r="U1486" s="343"/>
      <c r="V1486" s="249"/>
      <c r="W1486" s="327"/>
      <c r="X1486" s="343"/>
      <c r="Y1486" s="249"/>
      <c r="Z1486" s="327"/>
      <c r="AA1486" s="343"/>
      <c r="AB1486" s="249"/>
      <c r="AC1486" s="343"/>
      <c r="AD1486" s="343"/>
      <c r="AE1486" s="249"/>
      <c r="AF1486" s="249"/>
      <c r="AG1486" s="343"/>
      <c r="AH1486" s="249"/>
      <c r="AI1486" s="343"/>
      <c r="AJ1486" s="343"/>
      <c r="AK1486" s="249"/>
      <c r="AL1486" s="249"/>
      <c r="AM1486" s="343"/>
      <c r="AN1486" s="249"/>
      <c r="AO1486" s="343"/>
      <c r="AP1486" s="343"/>
      <c r="AQ1486" s="249"/>
      <c r="AR1486" s="249"/>
      <c r="AS1486" s="343"/>
      <c r="AT1486" s="249"/>
      <c r="AU1486" s="343"/>
    </row>
    <row r="1487" spans="2:47">
      <c r="B1487" s="247">
        <f>'Table S2 Compound Identifiers'!C1489</f>
        <v>0</v>
      </c>
      <c r="C1487" s="247">
        <f>COUNTIF($D$6:D1487,"&lt;&gt;"&amp;"")</f>
        <v>1482</v>
      </c>
      <c r="D1487" s="247">
        <f>'Table S2 Compound Identifiers'!B1489</f>
        <v>0</v>
      </c>
      <c r="E1487" s="247"/>
      <c r="F1487" s="248"/>
      <c r="G1487" s="249"/>
      <c r="H1487" s="330"/>
      <c r="I1487" s="332"/>
      <c r="J1487" s="330"/>
      <c r="K1487" s="330"/>
      <c r="L1487" s="330"/>
      <c r="M1487" s="330"/>
      <c r="N1487" s="330"/>
      <c r="O1487" s="330"/>
      <c r="P1487" s="330"/>
      <c r="Q1487" s="330"/>
      <c r="R1487" s="330"/>
      <c r="S1487" s="330"/>
      <c r="T1487" s="330"/>
      <c r="U1487" s="330"/>
      <c r="V1487" s="330"/>
      <c r="W1487" s="330"/>
      <c r="X1487" s="343"/>
      <c r="Y1487" s="249"/>
      <c r="Z1487" s="330"/>
      <c r="AA1487" s="343"/>
      <c r="AB1487" s="249"/>
      <c r="AC1487" s="330"/>
      <c r="AD1487" s="343"/>
      <c r="AE1487" s="249"/>
      <c r="AF1487" s="330"/>
      <c r="AG1487" s="343"/>
      <c r="AH1487" s="249"/>
      <c r="AI1487" s="330"/>
      <c r="AJ1487" s="343"/>
      <c r="AK1487" s="249"/>
      <c r="AL1487" s="330"/>
      <c r="AM1487" s="343"/>
      <c r="AN1487" s="249"/>
      <c r="AO1487" s="330"/>
      <c r="AP1487" s="343"/>
      <c r="AQ1487" s="249"/>
      <c r="AR1487" s="330"/>
      <c r="AS1487" s="343"/>
      <c r="AT1487" s="249"/>
      <c r="AU1487" s="330"/>
    </row>
    <row r="1488" spans="2:47">
      <c r="B1488" s="247">
        <f>'Table S2 Compound Identifiers'!C1490</f>
        <v>0</v>
      </c>
      <c r="C1488" s="247">
        <f>COUNTIF($D$6:D1488,"&lt;&gt;"&amp;"")</f>
        <v>1483</v>
      </c>
      <c r="D1488" s="247">
        <f>'Table S2 Compound Identifiers'!B1490</f>
        <v>0</v>
      </c>
      <c r="E1488" s="247"/>
      <c r="F1488" s="248"/>
      <c r="G1488" s="249"/>
      <c r="H1488" s="330"/>
      <c r="I1488" s="332"/>
      <c r="J1488" s="330"/>
      <c r="K1488" s="330"/>
      <c r="L1488" s="330"/>
      <c r="M1488" s="330"/>
      <c r="N1488" s="330"/>
      <c r="O1488" s="330"/>
      <c r="P1488" s="330"/>
      <c r="Q1488" s="330"/>
      <c r="R1488" s="330"/>
      <c r="S1488" s="330"/>
      <c r="T1488" s="330"/>
      <c r="U1488" s="330"/>
      <c r="V1488" s="330"/>
      <c r="W1488" s="330"/>
      <c r="X1488" s="343"/>
      <c r="Y1488" s="249"/>
      <c r="Z1488" s="330"/>
      <c r="AA1488" s="343"/>
      <c r="AB1488" s="249"/>
      <c r="AC1488" s="330"/>
      <c r="AD1488" s="343"/>
      <c r="AE1488" s="249"/>
      <c r="AF1488" s="330"/>
      <c r="AG1488" s="343"/>
      <c r="AH1488" s="249"/>
      <c r="AI1488" s="330"/>
      <c r="AJ1488" s="343"/>
      <c r="AK1488" s="249"/>
      <c r="AL1488" s="330"/>
      <c r="AM1488" s="343"/>
      <c r="AN1488" s="249"/>
      <c r="AO1488" s="330"/>
      <c r="AP1488" s="343"/>
      <c r="AQ1488" s="249"/>
      <c r="AR1488" s="330"/>
      <c r="AS1488" s="343"/>
      <c r="AT1488" s="249"/>
      <c r="AU1488" s="330"/>
    </row>
    <row r="1489" spans="2:47">
      <c r="B1489" s="247">
        <f>'Table S2 Compound Identifiers'!C1491</f>
        <v>0</v>
      </c>
      <c r="C1489" s="247">
        <f>COUNTIF($D$6:D1489,"&lt;&gt;"&amp;"")</f>
        <v>1484</v>
      </c>
      <c r="D1489" s="247">
        <f>'Table S2 Compound Identifiers'!B1491</f>
        <v>0</v>
      </c>
      <c r="E1489" s="247"/>
      <c r="F1489" s="248"/>
      <c r="G1489" s="249"/>
      <c r="H1489" s="330"/>
      <c r="I1489" s="332"/>
      <c r="J1489" s="330"/>
      <c r="K1489" s="330"/>
      <c r="L1489" s="330"/>
      <c r="M1489" s="330"/>
      <c r="N1489" s="330"/>
      <c r="O1489" s="330"/>
      <c r="P1489" s="330"/>
      <c r="Q1489" s="330"/>
      <c r="R1489" s="330"/>
      <c r="S1489" s="330"/>
      <c r="T1489" s="330"/>
      <c r="U1489" s="330"/>
      <c r="V1489" s="330"/>
      <c r="W1489" s="330"/>
      <c r="X1489" s="343"/>
      <c r="Y1489" s="249"/>
      <c r="Z1489" s="330"/>
      <c r="AA1489" s="343"/>
      <c r="AB1489" s="249"/>
      <c r="AC1489" s="330"/>
      <c r="AD1489" s="343"/>
      <c r="AE1489" s="249"/>
      <c r="AF1489" s="330"/>
      <c r="AG1489" s="343"/>
      <c r="AH1489" s="249"/>
      <c r="AI1489" s="330"/>
      <c r="AJ1489" s="343"/>
      <c r="AK1489" s="249"/>
      <c r="AL1489" s="330"/>
      <c r="AM1489" s="343"/>
      <c r="AN1489" s="249"/>
      <c r="AO1489" s="330"/>
      <c r="AP1489" s="343"/>
      <c r="AQ1489" s="249"/>
      <c r="AR1489" s="330"/>
      <c r="AS1489" s="343"/>
      <c r="AT1489" s="249"/>
      <c r="AU1489" s="330"/>
    </row>
    <row r="1490" spans="2:47">
      <c r="B1490" s="247">
        <f>'Table S2 Compound Identifiers'!C1492</f>
        <v>0</v>
      </c>
      <c r="C1490" s="247">
        <f>COUNTIF($D$6:D1490,"&lt;&gt;"&amp;"")</f>
        <v>1485</v>
      </c>
      <c r="D1490" s="247">
        <f>'Table S2 Compound Identifiers'!B1492</f>
        <v>0</v>
      </c>
      <c r="E1490" s="247"/>
      <c r="F1490" s="248"/>
      <c r="G1490" s="249"/>
      <c r="H1490" s="330"/>
      <c r="I1490" s="328"/>
      <c r="J1490" s="249"/>
      <c r="K1490" s="330"/>
      <c r="L1490" s="250"/>
      <c r="M1490" s="249"/>
      <c r="N1490" s="330"/>
      <c r="O1490" s="250"/>
      <c r="P1490" s="249"/>
      <c r="Q1490" s="330"/>
      <c r="R1490" s="250"/>
      <c r="S1490" s="249"/>
      <c r="T1490" s="330"/>
      <c r="U1490" s="250"/>
      <c r="V1490" s="249"/>
      <c r="W1490" s="330"/>
      <c r="X1490" s="343"/>
      <c r="Y1490" s="249"/>
      <c r="Z1490" s="330"/>
      <c r="AA1490" s="343"/>
      <c r="AB1490" s="249"/>
      <c r="AC1490" s="330"/>
      <c r="AD1490" s="343"/>
      <c r="AE1490" s="249"/>
      <c r="AF1490" s="330"/>
      <c r="AG1490" s="343"/>
      <c r="AH1490" s="249"/>
      <c r="AI1490" s="330"/>
      <c r="AJ1490" s="343"/>
      <c r="AK1490" s="249"/>
      <c r="AL1490" s="330"/>
      <c r="AM1490" s="343"/>
      <c r="AN1490" s="249"/>
      <c r="AO1490" s="330"/>
      <c r="AP1490" s="343"/>
      <c r="AQ1490" s="249"/>
      <c r="AR1490" s="330"/>
      <c r="AS1490" s="343"/>
      <c r="AT1490" s="249"/>
      <c r="AU1490" s="330"/>
    </row>
    <row r="1491" spans="2:47">
      <c r="B1491" s="247">
        <f>'Table S2 Compound Identifiers'!C1493</f>
        <v>0</v>
      </c>
      <c r="C1491" s="247">
        <f>COUNTIF($D$6:D1491,"&lt;&gt;"&amp;"")</f>
        <v>1486</v>
      </c>
      <c r="D1491" s="247">
        <f>'Table S2 Compound Identifiers'!B1493</f>
        <v>0</v>
      </c>
      <c r="E1491" s="247"/>
      <c r="F1491" s="248"/>
      <c r="G1491" s="249"/>
      <c r="H1491" s="330"/>
      <c r="I1491" s="328"/>
      <c r="J1491" s="249"/>
      <c r="K1491" s="330"/>
      <c r="L1491" s="250"/>
      <c r="M1491" s="249"/>
      <c r="N1491" s="330"/>
      <c r="O1491" s="250"/>
      <c r="P1491" s="249"/>
      <c r="Q1491" s="330"/>
      <c r="R1491" s="250"/>
      <c r="S1491" s="249"/>
      <c r="T1491" s="330"/>
      <c r="U1491" s="250"/>
      <c r="V1491" s="249"/>
      <c r="W1491" s="330"/>
      <c r="X1491" s="343"/>
      <c r="Y1491" s="249"/>
      <c r="Z1491" s="330"/>
      <c r="AA1491" s="343"/>
      <c r="AB1491" s="249"/>
      <c r="AC1491" s="330"/>
      <c r="AD1491" s="343"/>
      <c r="AE1491" s="249"/>
      <c r="AF1491" s="330"/>
      <c r="AG1491" s="343"/>
      <c r="AH1491" s="249"/>
      <c r="AI1491" s="330"/>
      <c r="AJ1491" s="343"/>
      <c r="AK1491" s="249"/>
      <c r="AL1491" s="330"/>
      <c r="AM1491" s="343"/>
      <c r="AN1491" s="249"/>
      <c r="AO1491" s="330"/>
      <c r="AP1491" s="343"/>
      <c r="AQ1491" s="249"/>
      <c r="AR1491" s="330"/>
      <c r="AS1491" s="343"/>
      <c r="AT1491" s="249"/>
      <c r="AU1491" s="330"/>
    </row>
    <row r="1492" spans="2:47">
      <c r="B1492" s="247">
        <f>'Table S2 Compound Identifiers'!C1494</f>
        <v>0</v>
      </c>
      <c r="C1492" s="247">
        <f>COUNTIF($D$6:D1492,"&lt;&gt;"&amp;"")</f>
        <v>1487</v>
      </c>
      <c r="D1492" s="247">
        <f>'Table S2 Compound Identifiers'!B1494</f>
        <v>0</v>
      </c>
      <c r="E1492" s="247"/>
      <c r="F1492" s="248"/>
      <c r="G1492" s="249"/>
      <c r="H1492" s="330"/>
      <c r="I1492" s="328"/>
      <c r="J1492" s="249"/>
      <c r="K1492" s="330"/>
      <c r="L1492" s="250"/>
      <c r="M1492" s="249"/>
      <c r="N1492" s="330"/>
      <c r="O1492" s="250"/>
      <c r="P1492" s="249"/>
      <c r="Q1492" s="330"/>
      <c r="R1492" s="250"/>
      <c r="S1492" s="249"/>
      <c r="T1492" s="330"/>
      <c r="U1492" s="250"/>
      <c r="V1492" s="249"/>
      <c r="W1492" s="330"/>
      <c r="X1492" s="343"/>
      <c r="Y1492" s="249"/>
      <c r="Z1492" s="330"/>
      <c r="AA1492" s="343"/>
      <c r="AB1492" s="249"/>
      <c r="AC1492" s="330"/>
      <c r="AD1492" s="343"/>
      <c r="AE1492" s="249"/>
      <c r="AF1492" s="330"/>
      <c r="AG1492" s="343"/>
      <c r="AH1492" s="249"/>
      <c r="AI1492" s="330"/>
      <c r="AJ1492" s="343"/>
      <c r="AK1492" s="249"/>
      <c r="AL1492" s="330"/>
      <c r="AM1492" s="343"/>
      <c r="AN1492" s="249"/>
      <c r="AO1492" s="330"/>
      <c r="AP1492" s="343"/>
      <c r="AQ1492" s="249"/>
      <c r="AR1492" s="330"/>
      <c r="AS1492" s="343"/>
      <c r="AT1492" s="249"/>
      <c r="AU1492" s="330"/>
    </row>
    <row r="1493" spans="2:47">
      <c r="B1493" s="247">
        <f>'Table S2 Compound Identifiers'!C1495</f>
        <v>0</v>
      </c>
      <c r="C1493" s="247">
        <f>COUNTIF($D$6:D1493,"&lt;&gt;"&amp;"")</f>
        <v>1488</v>
      </c>
      <c r="D1493" s="247">
        <f>'Table S2 Compound Identifiers'!B1495</f>
        <v>0</v>
      </c>
      <c r="E1493" s="247"/>
      <c r="F1493" s="248"/>
      <c r="G1493" s="249"/>
      <c r="H1493" s="330"/>
      <c r="I1493" s="328"/>
      <c r="J1493" s="249"/>
      <c r="K1493" s="330"/>
      <c r="L1493" s="250"/>
      <c r="M1493" s="249"/>
      <c r="N1493" s="330"/>
      <c r="O1493" s="250"/>
      <c r="P1493" s="249"/>
      <c r="Q1493" s="330"/>
      <c r="R1493" s="250"/>
      <c r="S1493" s="249"/>
      <c r="T1493" s="330"/>
      <c r="U1493" s="250"/>
      <c r="V1493" s="249"/>
      <c r="W1493" s="330"/>
      <c r="X1493" s="343"/>
      <c r="Y1493" s="249"/>
      <c r="Z1493" s="330"/>
      <c r="AA1493" s="343"/>
      <c r="AB1493" s="249"/>
      <c r="AC1493" s="330"/>
      <c r="AD1493" s="343"/>
      <c r="AE1493" s="249"/>
      <c r="AF1493" s="330"/>
      <c r="AG1493" s="343"/>
      <c r="AH1493" s="249"/>
      <c r="AI1493" s="330"/>
      <c r="AJ1493" s="343"/>
      <c r="AK1493" s="249"/>
      <c r="AL1493" s="330"/>
      <c r="AM1493" s="343"/>
      <c r="AN1493" s="249"/>
      <c r="AO1493" s="330"/>
      <c r="AP1493" s="343"/>
      <c r="AQ1493" s="249"/>
      <c r="AR1493" s="330"/>
      <c r="AS1493" s="343"/>
      <c r="AT1493" s="249"/>
      <c r="AU1493" s="330"/>
    </row>
    <row r="1494" spans="2:47">
      <c r="B1494" s="247">
        <f>'Table S2 Compound Identifiers'!C1496</f>
        <v>0</v>
      </c>
      <c r="C1494" s="247">
        <f>COUNTIF($D$6:D1494,"&lt;&gt;"&amp;"")</f>
        <v>1489</v>
      </c>
      <c r="D1494" s="247">
        <f>'Table S2 Compound Identifiers'!B1496</f>
        <v>0</v>
      </c>
      <c r="E1494" s="247"/>
      <c r="F1494" s="248"/>
      <c r="G1494" s="249"/>
      <c r="H1494" s="330"/>
      <c r="I1494" s="328"/>
      <c r="J1494" s="249"/>
      <c r="K1494" s="330"/>
      <c r="L1494" s="250"/>
      <c r="M1494" s="249"/>
      <c r="N1494" s="330"/>
      <c r="O1494" s="250"/>
      <c r="P1494" s="249"/>
      <c r="Q1494" s="330"/>
      <c r="R1494" s="250"/>
      <c r="S1494" s="249"/>
      <c r="T1494" s="330"/>
      <c r="U1494" s="250"/>
      <c r="V1494" s="249"/>
      <c r="W1494" s="330"/>
      <c r="X1494" s="343"/>
      <c r="Y1494" s="249"/>
      <c r="Z1494" s="330"/>
      <c r="AA1494" s="343"/>
      <c r="AB1494" s="249"/>
      <c r="AC1494" s="330"/>
      <c r="AD1494" s="343"/>
      <c r="AE1494" s="249"/>
      <c r="AF1494" s="330"/>
      <c r="AG1494" s="343"/>
      <c r="AH1494" s="249"/>
      <c r="AI1494" s="330"/>
      <c r="AJ1494" s="343"/>
      <c r="AK1494" s="249"/>
      <c r="AL1494" s="330"/>
      <c r="AM1494" s="343"/>
      <c r="AN1494" s="249"/>
      <c r="AO1494" s="330"/>
      <c r="AP1494" s="343"/>
      <c r="AQ1494" s="249"/>
      <c r="AR1494" s="330"/>
      <c r="AS1494" s="343"/>
      <c r="AT1494" s="249"/>
      <c r="AU1494" s="330"/>
    </row>
    <row r="1495" spans="2:47">
      <c r="B1495" s="247">
        <f>'Table S2 Compound Identifiers'!C1497</f>
        <v>0</v>
      </c>
      <c r="C1495" s="247">
        <f>COUNTIF($D$6:D1495,"&lt;&gt;"&amp;"")</f>
        <v>1490</v>
      </c>
      <c r="D1495" s="247">
        <f>'Table S2 Compound Identifiers'!B1497</f>
        <v>0</v>
      </c>
      <c r="E1495" s="247"/>
      <c r="F1495" s="248"/>
      <c r="G1495" s="249"/>
      <c r="H1495" s="330"/>
      <c r="I1495" s="328"/>
      <c r="J1495" s="249"/>
      <c r="K1495" s="330"/>
      <c r="L1495" s="250"/>
      <c r="M1495" s="249"/>
      <c r="N1495" s="330"/>
      <c r="O1495" s="250"/>
      <c r="P1495" s="249"/>
      <c r="Q1495" s="330"/>
      <c r="R1495" s="250"/>
      <c r="S1495" s="249"/>
      <c r="T1495" s="330"/>
      <c r="U1495" s="250"/>
      <c r="V1495" s="249"/>
      <c r="W1495" s="330"/>
      <c r="X1495" s="343"/>
      <c r="Y1495" s="249"/>
      <c r="Z1495" s="330"/>
      <c r="AA1495" s="343"/>
      <c r="AB1495" s="249"/>
      <c r="AC1495" s="330"/>
      <c r="AD1495" s="343"/>
      <c r="AE1495" s="249"/>
      <c r="AF1495" s="330"/>
      <c r="AG1495" s="343"/>
      <c r="AH1495" s="249"/>
      <c r="AI1495" s="330"/>
      <c r="AJ1495" s="343"/>
      <c r="AK1495" s="249"/>
      <c r="AL1495" s="330"/>
      <c r="AM1495" s="343"/>
      <c r="AN1495" s="249"/>
      <c r="AO1495" s="330"/>
      <c r="AP1495" s="343"/>
      <c r="AQ1495" s="249"/>
      <c r="AR1495" s="330"/>
      <c r="AS1495" s="343"/>
      <c r="AT1495" s="249"/>
      <c r="AU1495" s="330"/>
    </row>
    <row r="1496" spans="2:47">
      <c r="B1496" s="247">
        <f>'Table S2 Compound Identifiers'!C1498</f>
        <v>0</v>
      </c>
      <c r="C1496" s="247">
        <f>COUNTIF($D$6:D1496,"&lt;&gt;"&amp;"")</f>
        <v>1491</v>
      </c>
      <c r="D1496" s="247">
        <f>'Table S2 Compound Identifiers'!B1498</f>
        <v>0</v>
      </c>
      <c r="E1496" s="247"/>
      <c r="F1496" s="248"/>
      <c r="G1496" s="249"/>
      <c r="H1496" s="330"/>
      <c r="I1496" s="328"/>
      <c r="J1496" s="249"/>
      <c r="K1496" s="330"/>
      <c r="L1496" s="250"/>
      <c r="M1496" s="249"/>
      <c r="N1496" s="330"/>
      <c r="O1496" s="250"/>
      <c r="P1496" s="249"/>
      <c r="Q1496" s="330"/>
      <c r="R1496" s="250"/>
      <c r="S1496" s="249"/>
      <c r="T1496" s="330"/>
      <c r="U1496" s="250"/>
      <c r="V1496" s="249"/>
      <c r="W1496" s="330"/>
      <c r="X1496" s="343"/>
      <c r="Y1496" s="249"/>
      <c r="Z1496" s="330"/>
      <c r="AA1496" s="343"/>
      <c r="AB1496" s="249"/>
      <c r="AC1496" s="330"/>
      <c r="AD1496" s="343"/>
      <c r="AE1496" s="249"/>
      <c r="AF1496" s="330"/>
      <c r="AG1496" s="343"/>
      <c r="AH1496" s="249"/>
      <c r="AI1496" s="330"/>
      <c r="AJ1496" s="343"/>
      <c r="AK1496" s="249"/>
      <c r="AL1496" s="330"/>
      <c r="AM1496" s="343"/>
      <c r="AN1496" s="249"/>
      <c r="AO1496" s="330"/>
      <c r="AP1496" s="343"/>
      <c r="AQ1496" s="249"/>
      <c r="AR1496" s="330"/>
      <c r="AS1496" s="343"/>
      <c r="AT1496" s="249"/>
      <c r="AU1496" s="330"/>
    </row>
    <row r="1497" spans="2:47">
      <c r="B1497" s="247">
        <f>'Table S2 Compound Identifiers'!C1499</f>
        <v>0</v>
      </c>
      <c r="C1497" s="247">
        <f>COUNTIF($D$6:D1497,"&lt;&gt;"&amp;"")</f>
        <v>1492</v>
      </c>
      <c r="D1497" s="247">
        <f>'Table S2 Compound Identifiers'!B1499</f>
        <v>0</v>
      </c>
      <c r="E1497" s="247"/>
      <c r="F1497" s="248"/>
      <c r="G1497" s="249"/>
      <c r="H1497" s="330"/>
      <c r="I1497" s="328"/>
      <c r="J1497" s="249"/>
      <c r="K1497" s="330"/>
      <c r="L1497" s="250"/>
      <c r="M1497" s="249"/>
      <c r="N1497" s="330"/>
      <c r="O1497" s="250"/>
      <c r="P1497" s="249"/>
      <c r="Q1497" s="330"/>
      <c r="R1497" s="250"/>
      <c r="S1497" s="249"/>
      <c r="T1497" s="330"/>
      <c r="U1497" s="250"/>
      <c r="V1497" s="249"/>
      <c r="W1497" s="330"/>
      <c r="X1497" s="343"/>
      <c r="Y1497" s="249"/>
      <c r="Z1497" s="330"/>
      <c r="AA1497" s="343"/>
      <c r="AB1497" s="249"/>
      <c r="AC1497" s="330"/>
      <c r="AD1497" s="343"/>
      <c r="AE1497" s="249"/>
      <c r="AF1497" s="330"/>
      <c r="AG1497" s="343"/>
      <c r="AH1497" s="249"/>
      <c r="AI1497" s="330"/>
      <c r="AJ1497" s="343"/>
      <c r="AK1497" s="249"/>
      <c r="AL1497" s="330"/>
      <c r="AM1497" s="343"/>
      <c r="AN1497" s="249"/>
      <c r="AO1497" s="330"/>
      <c r="AP1497" s="343"/>
      <c r="AQ1497" s="249"/>
      <c r="AR1497" s="330"/>
      <c r="AS1497" s="343"/>
      <c r="AT1497" s="249"/>
      <c r="AU1497" s="330"/>
    </row>
    <row r="1498" spans="2:47">
      <c r="B1498" s="247">
        <f>'Table S2 Compound Identifiers'!C1500</f>
        <v>0</v>
      </c>
      <c r="C1498" s="247">
        <f>COUNTIF($D$6:D1498,"&lt;&gt;"&amp;"")</f>
        <v>1493</v>
      </c>
      <c r="D1498" s="247">
        <f>'Table S2 Compound Identifiers'!B1500</f>
        <v>0</v>
      </c>
      <c r="E1498" s="247"/>
      <c r="F1498" s="248"/>
      <c r="G1498" s="249"/>
      <c r="H1498" s="330"/>
      <c r="I1498" s="328"/>
      <c r="J1498" s="249"/>
      <c r="K1498" s="330"/>
      <c r="L1498" s="250"/>
      <c r="M1498" s="249"/>
      <c r="N1498" s="330"/>
      <c r="O1498" s="250"/>
      <c r="P1498" s="249"/>
      <c r="Q1498" s="330"/>
      <c r="R1498" s="250"/>
      <c r="S1498" s="249"/>
      <c r="T1498" s="330"/>
      <c r="U1498" s="250"/>
      <c r="V1498" s="249"/>
      <c r="W1498" s="330"/>
      <c r="X1498" s="343"/>
      <c r="Y1498" s="249"/>
      <c r="Z1498" s="330"/>
      <c r="AA1498" s="343"/>
      <c r="AB1498" s="249"/>
      <c r="AC1498" s="330"/>
      <c r="AD1498" s="343"/>
      <c r="AE1498" s="249"/>
      <c r="AF1498" s="330"/>
      <c r="AG1498" s="343"/>
      <c r="AH1498" s="249"/>
      <c r="AI1498" s="330"/>
      <c r="AJ1498" s="343"/>
      <c r="AK1498" s="249"/>
      <c r="AL1498" s="330"/>
      <c r="AM1498" s="343"/>
      <c r="AN1498" s="249"/>
      <c r="AO1498" s="330"/>
      <c r="AP1498" s="343"/>
      <c r="AQ1498" s="249"/>
      <c r="AR1498" s="330"/>
      <c r="AS1498" s="343"/>
      <c r="AT1498" s="249"/>
      <c r="AU1498" s="330"/>
    </row>
    <row r="1499" spans="2:47">
      <c r="B1499" s="247">
        <f>'Table S2 Compound Identifiers'!C1501</f>
        <v>0</v>
      </c>
      <c r="C1499" s="247">
        <f>COUNTIF($D$6:D1499,"&lt;&gt;"&amp;"")</f>
        <v>1494</v>
      </c>
      <c r="D1499" s="247">
        <f>'Table S2 Compound Identifiers'!B1501</f>
        <v>0</v>
      </c>
      <c r="E1499" s="247"/>
      <c r="F1499" s="248"/>
      <c r="G1499" s="249"/>
      <c r="H1499" s="330"/>
      <c r="I1499" s="328"/>
      <c r="J1499" s="249"/>
      <c r="K1499" s="330"/>
      <c r="L1499" s="250"/>
      <c r="M1499" s="249"/>
      <c r="N1499" s="330"/>
      <c r="O1499" s="250"/>
      <c r="P1499" s="249"/>
      <c r="Q1499" s="330"/>
      <c r="R1499" s="250"/>
      <c r="S1499" s="249"/>
      <c r="T1499" s="330"/>
      <c r="U1499" s="250"/>
      <c r="V1499" s="249"/>
      <c r="W1499" s="330"/>
      <c r="X1499" s="343"/>
      <c r="Y1499" s="249"/>
      <c r="Z1499" s="330"/>
      <c r="AA1499" s="343"/>
      <c r="AB1499" s="249"/>
      <c r="AC1499" s="330"/>
      <c r="AD1499" s="343"/>
      <c r="AE1499" s="249"/>
      <c r="AF1499" s="330"/>
      <c r="AG1499" s="343"/>
      <c r="AH1499" s="249"/>
      <c r="AI1499" s="330"/>
      <c r="AJ1499" s="343"/>
      <c r="AK1499" s="249"/>
      <c r="AL1499" s="330"/>
      <c r="AM1499" s="343"/>
      <c r="AN1499" s="249"/>
      <c r="AO1499" s="330"/>
      <c r="AP1499" s="343"/>
      <c r="AQ1499" s="249"/>
      <c r="AR1499" s="330"/>
      <c r="AS1499" s="343"/>
      <c r="AT1499" s="249"/>
      <c r="AU1499" s="330"/>
    </row>
    <row r="1500" spans="2:47">
      <c r="B1500" s="247">
        <f>'Table S2 Compound Identifiers'!C1502</f>
        <v>0</v>
      </c>
      <c r="C1500" s="247">
        <f>COUNTIF($D$6:D1500,"&lt;&gt;"&amp;"")</f>
        <v>1495</v>
      </c>
      <c r="D1500" s="247">
        <f>'Table S2 Compound Identifiers'!B1502</f>
        <v>0</v>
      </c>
      <c r="E1500" s="247"/>
      <c r="F1500" s="248"/>
      <c r="G1500" s="249"/>
      <c r="H1500" s="330"/>
      <c r="I1500" s="328"/>
      <c r="J1500" s="249"/>
      <c r="K1500" s="330"/>
      <c r="L1500" s="250"/>
      <c r="M1500" s="249"/>
      <c r="N1500" s="330"/>
      <c r="O1500" s="250"/>
      <c r="P1500" s="249"/>
      <c r="Q1500" s="330"/>
      <c r="R1500" s="250"/>
      <c r="S1500" s="249"/>
      <c r="T1500" s="330"/>
      <c r="U1500" s="250"/>
      <c r="V1500" s="249"/>
      <c r="W1500" s="330"/>
      <c r="X1500" s="343"/>
      <c r="Y1500" s="249"/>
      <c r="Z1500" s="330"/>
      <c r="AA1500" s="343"/>
      <c r="AB1500" s="249"/>
      <c r="AC1500" s="330"/>
      <c r="AD1500" s="343"/>
      <c r="AE1500" s="249"/>
      <c r="AF1500" s="330"/>
      <c r="AG1500" s="343"/>
      <c r="AH1500" s="249"/>
      <c r="AI1500" s="330"/>
      <c r="AJ1500" s="343"/>
      <c r="AK1500" s="249"/>
      <c r="AL1500" s="330"/>
      <c r="AM1500" s="343"/>
      <c r="AN1500" s="249"/>
      <c r="AO1500" s="330"/>
      <c r="AP1500" s="343"/>
      <c r="AQ1500" s="249"/>
      <c r="AR1500" s="330"/>
      <c r="AS1500" s="343"/>
      <c r="AT1500" s="249"/>
      <c r="AU1500" s="330"/>
    </row>
    <row r="1501" spans="2:47">
      <c r="B1501" s="247">
        <f>'Table S2 Compound Identifiers'!C1503</f>
        <v>0</v>
      </c>
      <c r="C1501" s="247">
        <f>COUNTIF($D$6:D1501,"&lt;&gt;"&amp;"")</f>
        <v>1496</v>
      </c>
      <c r="D1501" s="247">
        <f>'Table S2 Compound Identifiers'!B1503</f>
        <v>0</v>
      </c>
      <c r="E1501" s="247"/>
      <c r="F1501" s="248"/>
      <c r="G1501" s="249"/>
      <c r="H1501" s="330"/>
      <c r="I1501" s="328"/>
      <c r="J1501" s="249"/>
      <c r="K1501" s="330"/>
      <c r="L1501" s="250"/>
      <c r="M1501" s="249"/>
      <c r="N1501" s="330"/>
      <c r="O1501" s="250"/>
      <c r="P1501" s="249"/>
      <c r="Q1501" s="330"/>
      <c r="R1501" s="250"/>
      <c r="S1501" s="249"/>
      <c r="T1501" s="330"/>
      <c r="U1501" s="250"/>
      <c r="V1501" s="249"/>
      <c r="W1501" s="330"/>
      <c r="X1501" s="343"/>
      <c r="Y1501" s="249"/>
      <c r="Z1501" s="330"/>
      <c r="AA1501" s="343"/>
      <c r="AB1501" s="249"/>
      <c r="AC1501" s="330"/>
      <c r="AD1501" s="343"/>
      <c r="AE1501" s="249"/>
      <c r="AF1501" s="330"/>
      <c r="AG1501" s="343"/>
      <c r="AH1501" s="249"/>
      <c r="AI1501" s="330"/>
      <c r="AJ1501" s="343"/>
      <c r="AK1501" s="249"/>
      <c r="AL1501" s="330"/>
      <c r="AM1501" s="343"/>
      <c r="AN1501" s="249"/>
      <c r="AO1501" s="330"/>
      <c r="AP1501" s="343"/>
      <c r="AQ1501" s="249"/>
      <c r="AR1501" s="330"/>
      <c r="AS1501" s="343"/>
      <c r="AT1501" s="249"/>
      <c r="AU1501" s="330"/>
    </row>
    <row r="1502" spans="2:47">
      <c r="B1502" s="247">
        <f>'Table S2 Compound Identifiers'!C1504</f>
        <v>0</v>
      </c>
      <c r="C1502" s="247">
        <f>COUNTIF($D$6:D1502,"&lt;&gt;"&amp;"")</f>
        <v>1497</v>
      </c>
      <c r="D1502" s="247">
        <f>'Table S2 Compound Identifiers'!B1504</f>
        <v>0</v>
      </c>
      <c r="E1502" s="247"/>
      <c r="F1502" s="248"/>
      <c r="G1502" s="249"/>
      <c r="H1502" s="330"/>
      <c r="I1502" s="328"/>
      <c r="J1502" s="249"/>
      <c r="K1502" s="330"/>
      <c r="L1502" s="250"/>
      <c r="M1502" s="249"/>
      <c r="N1502" s="330"/>
      <c r="O1502" s="250"/>
      <c r="P1502" s="249"/>
      <c r="Q1502" s="330"/>
      <c r="R1502" s="250"/>
      <c r="S1502" s="249"/>
      <c r="T1502" s="330"/>
      <c r="U1502" s="250"/>
      <c r="V1502" s="249"/>
      <c r="W1502" s="330"/>
      <c r="X1502" s="343"/>
      <c r="Y1502" s="249"/>
      <c r="Z1502" s="330"/>
      <c r="AA1502" s="343"/>
      <c r="AB1502" s="249"/>
      <c r="AC1502" s="330"/>
      <c r="AD1502" s="343"/>
      <c r="AE1502" s="249"/>
      <c r="AF1502" s="330"/>
      <c r="AG1502" s="343"/>
      <c r="AH1502" s="249"/>
      <c r="AI1502" s="330"/>
      <c r="AJ1502" s="343"/>
      <c r="AK1502" s="249"/>
      <c r="AL1502" s="330"/>
      <c r="AM1502" s="343"/>
      <c r="AN1502" s="249"/>
      <c r="AO1502" s="330"/>
      <c r="AP1502" s="343"/>
      <c r="AQ1502" s="249"/>
      <c r="AR1502" s="330"/>
      <c r="AS1502" s="343"/>
      <c r="AT1502" s="249"/>
      <c r="AU1502" s="330"/>
    </row>
    <row r="1503" spans="2:47">
      <c r="B1503" s="247">
        <f>'Table S2 Compound Identifiers'!C1505</f>
        <v>0</v>
      </c>
      <c r="C1503" s="247">
        <f>COUNTIF($D$6:D1503,"&lt;&gt;"&amp;"")</f>
        <v>1498</v>
      </c>
      <c r="D1503" s="247">
        <f>'Table S2 Compound Identifiers'!B1505</f>
        <v>0</v>
      </c>
      <c r="E1503" s="247"/>
      <c r="F1503" s="248"/>
      <c r="G1503" s="249"/>
      <c r="H1503" s="330"/>
      <c r="I1503" s="328"/>
      <c r="J1503" s="249"/>
      <c r="K1503" s="330"/>
      <c r="L1503" s="250"/>
      <c r="M1503" s="249"/>
      <c r="N1503" s="330"/>
      <c r="O1503" s="250"/>
      <c r="P1503" s="249"/>
      <c r="Q1503" s="330"/>
      <c r="R1503" s="250"/>
      <c r="S1503" s="249"/>
      <c r="T1503" s="330"/>
      <c r="U1503" s="250"/>
      <c r="V1503" s="249"/>
      <c r="W1503" s="330"/>
      <c r="X1503" s="343"/>
      <c r="Y1503" s="249"/>
      <c r="Z1503" s="330"/>
      <c r="AA1503" s="343"/>
      <c r="AB1503" s="249"/>
      <c r="AC1503" s="330"/>
      <c r="AD1503" s="343"/>
      <c r="AE1503" s="249"/>
      <c r="AF1503" s="330"/>
      <c r="AG1503" s="343"/>
      <c r="AH1503" s="249"/>
      <c r="AI1503" s="330"/>
      <c r="AJ1503" s="343"/>
      <c r="AK1503" s="249"/>
      <c r="AL1503" s="330"/>
      <c r="AM1503" s="343"/>
      <c r="AN1503" s="249"/>
      <c r="AO1503" s="330"/>
      <c r="AP1503" s="343"/>
      <c r="AQ1503" s="249"/>
      <c r="AR1503" s="330"/>
      <c r="AS1503" s="343"/>
      <c r="AT1503" s="249"/>
      <c r="AU1503" s="330"/>
    </row>
    <row r="1504" spans="2:47">
      <c r="B1504" s="247">
        <f>'Table S2 Compound Identifiers'!C1506</f>
        <v>0</v>
      </c>
      <c r="C1504" s="247">
        <f>COUNTIF($D$6:D1504,"&lt;&gt;"&amp;"")</f>
        <v>1499</v>
      </c>
      <c r="D1504" s="247">
        <f>'Table S2 Compound Identifiers'!B1506</f>
        <v>0</v>
      </c>
      <c r="E1504" s="247"/>
      <c r="F1504" s="248"/>
      <c r="G1504" s="249"/>
      <c r="H1504" s="330"/>
      <c r="I1504" s="328"/>
      <c r="J1504" s="249"/>
      <c r="K1504" s="330"/>
      <c r="L1504" s="250"/>
      <c r="M1504" s="249"/>
      <c r="N1504" s="330"/>
      <c r="O1504" s="250"/>
      <c r="P1504" s="249"/>
      <c r="Q1504" s="330"/>
      <c r="R1504" s="250"/>
      <c r="S1504" s="249"/>
      <c r="T1504" s="330"/>
      <c r="U1504" s="250"/>
      <c r="V1504" s="249"/>
      <c r="W1504" s="330"/>
      <c r="X1504" s="343"/>
      <c r="Y1504" s="249"/>
      <c r="Z1504" s="330"/>
      <c r="AA1504" s="343"/>
      <c r="AB1504" s="249"/>
      <c r="AC1504" s="330"/>
      <c r="AD1504" s="343"/>
      <c r="AE1504" s="249"/>
      <c r="AF1504" s="330"/>
      <c r="AG1504" s="343"/>
      <c r="AH1504" s="249"/>
      <c r="AI1504" s="330"/>
      <c r="AJ1504" s="343"/>
      <c r="AK1504" s="249"/>
      <c r="AL1504" s="330"/>
      <c r="AM1504" s="343"/>
      <c r="AN1504" s="249"/>
      <c r="AO1504" s="330"/>
      <c r="AP1504" s="343"/>
      <c r="AQ1504" s="249"/>
      <c r="AR1504" s="330"/>
      <c r="AS1504" s="343"/>
      <c r="AT1504" s="249"/>
      <c r="AU1504" s="330"/>
    </row>
    <row r="1505" spans="2:47">
      <c r="B1505" s="247">
        <f>'Table S2 Compound Identifiers'!C1507</f>
        <v>0</v>
      </c>
      <c r="C1505" s="247">
        <f>COUNTIF($D$6:D1505,"&lt;&gt;"&amp;"")</f>
        <v>1500</v>
      </c>
      <c r="D1505" s="247">
        <f>'Table S2 Compound Identifiers'!B1507</f>
        <v>0</v>
      </c>
      <c r="E1505" s="247"/>
      <c r="F1505" s="248"/>
      <c r="G1505" s="249"/>
      <c r="H1505" s="330"/>
      <c r="I1505" s="328"/>
      <c r="J1505" s="249"/>
      <c r="K1505" s="330"/>
      <c r="L1505" s="250"/>
      <c r="M1505" s="249"/>
      <c r="N1505" s="330"/>
      <c r="O1505" s="250"/>
      <c r="P1505" s="249"/>
      <c r="Q1505" s="330"/>
      <c r="R1505" s="250"/>
      <c r="S1505" s="249"/>
      <c r="T1505" s="330"/>
      <c r="U1505" s="250"/>
      <c r="V1505" s="249"/>
      <c r="W1505" s="330"/>
      <c r="X1505" s="343"/>
      <c r="Y1505" s="249"/>
      <c r="Z1505" s="330"/>
      <c r="AA1505" s="343"/>
      <c r="AB1505" s="249"/>
      <c r="AC1505" s="330"/>
      <c r="AD1505" s="343"/>
      <c r="AE1505" s="249"/>
      <c r="AF1505" s="330"/>
      <c r="AG1505" s="343"/>
      <c r="AH1505" s="249"/>
      <c r="AI1505" s="330"/>
      <c r="AJ1505" s="343"/>
      <c r="AK1505" s="249"/>
      <c r="AL1505" s="330"/>
      <c r="AM1505" s="343"/>
      <c r="AN1505" s="249"/>
      <c r="AO1505" s="330"/>
      <c r="AP1505" s="343"/>
      <c r="AQ1505" s="249"/>
      <c r="AR1505" s="330"/>
      <c r="AS1505" s="343"/>
      <c r="AT1505" s="249"/>
      <c r="AU1505" s="330"/>
    </row>
    <row r="1506" spans="2:47">
      <c r="B1506" s="247">
        <f>'Table S2 Compound Identifiers'!C1508</f>
        <v>0</v>
      </c>
      <c r="C1506" s="247">
        <f>COUNTIF($D$6:D1506,"&lt;&gt;"&amp;"")</f>
        <v>1501</v>
      </c>
      <c r="D1506" s="247">
        <f>'Table S2 Compound Identifiers'!B1508</f>
        <v>0</v>
      </c>
      <c r="E1506" s="247"/>
      <c r="F1506" s="248"/>
      <c r="G1506" s="249"/>
      <c r="H1506" s="330"/>
      <c r="I1506" s="328"/>
      <c r="J1506" s="249"/>
      <c r="K1506" s="330"/>
      <c r="L1506" s="250"/>
      <c r="M1506" s="249"/>
      <c r="N1506" s="330"/>
      <c r="O1506" s="250"/>
      <c r="P1506" s="249"/>
      <c r="Q1506" s="330"/>
      <c r="R1506" s="250"/>
      <c r="S1506" s="249"/>
      <c r="T1506" s="330"/>
      <c r="U1506" s="250"/>
      <c r="V1506" s="249"/>
      <c r="W1506" s="330"/>
      <c r="X1506" s="343"/>
      <c r="Y1506" s="249"/>
      <c r="Z1506" s="330"/>
      <c r="AA1506" s="343"/>
      <c r="AB1506" s="249"/>
      <c r="AC1506" s="330"/>
      <c r="AD1506" s="343"/>
      <c r="AE1506" s="249"/>
      <c r="AF1506" s="330"/>
      <c r="AG1506" s="343"/>
      <c r="AH1506" s="249"/>
      <c r="AI1506" s="330"/>
      <c r="AJ1506" s="343"/>
      <c r="AK1506" s="249"/>
      <c r="AL1506" s="330"/>
      <c r="AM1506" s="343"/>
      <c r="AN1506" s="249"/>
      <c r="AO1506" s="330"/>
      <c r="AP1506" s="343"/>
      <c r="AQ1506" s="249"/>
      <c r="AR1506" s="330"/>
      <c r="AS1506" s="343"/>
      <c r="AT1506" s="249"/>
      <c r="AU1506" s="330"/>
    </row>
    <row r="1507" spans="2:47">
      <c r="B1507" s="247">
        <f>'Table S2 Compound Identifiers'!C1509</f>
        <v>0</v>
      </c>
      <c r="C1507" s="247">
        <f>COUNTIF($D$6:D1507,"&lt;&gt;"&amp;"")</f>
        <v>1502</v>
      </c>
      <c r="D1507" s="247">
        <f>'Table S2 Compound Identifiers'!B1509</f>
        <v>0</v>
      </c>
      <c r="E1507" s="247"/>
      <c r="F1507" s="248"/>
      <c r="G1507" s="249"/>
      <c r="H1507" s="330"/>
      <c r="I1507" s="328"/>
      <c r="J1507" s="249"/>
      <c r="K1507" s="330"/>
      <c r="L1507" s="250"/>
      <c r="M1507" s="249"/>
      <c r="N1507" s="330"/>
      <c r="O1507" s="250"/>
      <c r="P1507" s="249"/>
      <c r="Q1507" s="330"/>
      <c r="R1507" s="250"/>
      <c r="S1507" s="249"/>
      <c r="T1507" s="330"/>
      <c r="U1507" s="250"/>
      <c r="V1507" s="249"/>
      <c r="W1507" s="330"/>
      <c r="X1507" s="343"/>
      <c r="Y1507" s="249"/>
      <c r="Z1507" s="330"/>
      <c r="AA1507" s="343"/>
      <c r="AB1507" s="249"/>
      <c r="AC1507" s="330"/>
      <c r="AD1507" s="343"/>
      <c r="AE1507" s="249"/>
      <c r="AF1507" s="330"/>
      <c r="AG1507" s="343"/>
      <c r="AH1507" s="249"/>
      <c r="AI1507" s="330"/>
      <c r="AJ1507" s="343"/>
      <c r="AK1507" s="249"/>
      <c r="AL1507" s="330"/>
      <c r="AM1507" s="343"/>
      <c r="AN1507" s="249"/>
      <c r="AO1507" s="330"/>
      <c r="AP1507" s="343"/>
      <c r="AQ1507" s="249"/>
      <c r="AR1507" s="330"/>
      <c r="AS1507" s="343"/>
      <c r="AT1507" s="249"/>
      <c r="AU1507" s="330"/>
    </row>
    <row r="1508" spans="2:47">
      <c r="B1508" s="247">
        <f>'Table S2 Compound Identifiers'!C1510</f>
        <v>0</v>
      </c>
      <c r="C1508" s="247">
        <f>COUNTIF($D$6:D1508,"&lt;&gt;"&amp;"")</f>
        <v>1503</v>
      </c>
      <c r="D1508" s="247">
        <f>'Table S2 Compound Identifiers'!B1510</f>
        <v>0</v>
      </c>
      <c r="E1508" s="247"/>
      <c r="F1508" s="248"/>
      <c r="G1508" s="249"/>
      <c r="H1508" s="330"/>
      <c r="I1508" s="328"/>
      <c r="J1508" s="249"/>
      <c r="K1508" s="330"/>
      <c r="L1508" s="250"/>
      <c r="M1508" s="249"/>
      <c r="N1508" s="330"/>
      <c r="O1508" s="250"/>
      <c r="P1508" s="249"/>
      <c r="Q1508" s="330"/>
      <c r="R1508" s="250"/>
      <c r="S1508" s="249"/>
      <c r="T1508" s="330"/>
      <c r="U1508" s="250"/>
      <c r="V1508" s="249"/>
      <c r="W1508" s="330"/>
      <c r="X1508" s="343"/>
      <c r="Y1508" s="249"/>
      <c r="Z1508" s="330"/>
      <c r="AA1508" s="343"/>
      <c r="AB1508" s="249"/>
      <c r="AC1508" s="330"/>
      <c r="AD1508" s="343"/>
      <c r="AE1508" s="249"/>
      <c r="AF1508" s="330"/>
      <c r="AG1508" s="343"/>
      <c r="AH1508" s="249"/>
      <c r="AI1508" s="330"/>
      <c r="AJ1508" s="343"/>
      <c r="AK1508" s="249"/>
      <c r="AL1508" s="330"/>
      <c r="AM1508" s="343"/>
      <c r="AN1508" s="249"/>
      <c r="AO1508" s="330"/>
      <c r="AP1508" s="343"/>
      <c r="AQ1508" s="249"/>
      <c r="AR1508" s="330"/>
      <c r="AS1508" s="343"/>
      <c r="AT1508" s="249"/>
      <c r="AU1508" s="330"/>
    </row>
    <row r="1509" spans="2:47">
      <c r="B1509" s="247">
        <f>'Table S2 Compound Identifiers'!C1511</f>
        <v>0</v>
      </c>
      <c r="C1509" s="247">
        <f>COUNTIF($D$6:D1509,"&lt;&gt;"&amp;"")</f>
        <v>1504</v>
      </c>
      <c r="D1509" s="247">
        <f>'Table S2 Compound Identifiers'!B1511</f>
        <v>0</v>
      </c>
      <c r="E1509" s="247"/>
      <c r="F1509" s="248"/>
      <c r="G1509" s="249"/>
      <c r="H1509" s="330"/>
      <c r="I1509" s="328"/>
      <c r="J1509" s="249"/>
      <c r="K1509" s="330"/>
      <c r="L1509" s="250"/>
      <c r="M1509" s="249"/>
      <c r="N1509" s="330"/>
      <c r="O1509" s="250"/>
      <c r="P1509" s="249"/>
      <c r="Q1509" s="330"/>
      <c r="R1509" s="250"/>
      <c r="S1509" s="249"/>
      <c r="T1509" s="330"/>
      <c r="U1509" s="250"/>
      <c r="V1509" s="249"/>
      <c r="W1509" s="330"/>
      <c r="X1509" s="343"/>
      <c r="Y1509" s="249"/>
      <c r="Z1509" s="330"/>
      <c r="AA1509" s="343"/>
      <c r="AB1509" s="249"/>
      <c r="AC1509" s="330"/>
      <c r="AD1509" s="343"/>
      <c r="AE1509" s="249"/>
      <c r="AF1509" s="330"/>
      <c r="AG1509" s="343"/>
      <c r="AH1509" s="249"/>
      <c r="AI1509" s="330"/>
      <c r="AJ1509" s="343"/>
      <c r="AK1509" s="249"/>
      <c r="AL1509" s="330"/>
      <c r="AM1509" s="343"/>
      <c r="AN1509" s="249"/>
      <c r="AO1509" s="330"/>
      <c r="AP1509" s="343"/>
      <c r="AQ1509" s="249"/>
      <c r="AR1509" s="330"/>
      <c r="AS1509" s="343"/>
      <c r="AT1509" s="249"/>
      <c r="AU1509" s="330"/>
    </row>
    <row r="1510" spans="2:47">
      <c r="B1510" s="247">
        <f>'Table S2 Compound Identifiers'!C1512</f>
        <v>0</v>
      </c>
      <c r="C1510" s="247">
        <f>COUNTIF($D$6:D1510,"&lt;&gt;"&amp;"")</f>
        <v>1505</v>
      </c>
      <c r="D1510" s="247">
        <f>'Table S2 Compound Identifiers'!B1512</f>
        <v>0</v>
      </c>
      <c r="E1510" s="247"/>
      <c r="F1510" s="248"/>
      <c r="G1510" s="249"/>
      <c r="H1510" s="330"/>
      <c r="I1510" s="328"/>
      <c r="J1510" s="249"/>
      <c r="K1510" s="330"/>
      <c r="L1510" s="250"/>
      <c r="M1510" s="249"/>
      <c r="N1510" s="330"/>
      <c r="O1510" s="250"/>
      <c r="P1510" s="249"/>
      <c r="Q1510" s="330"/>
      <c r="R1510" s="250"/>
      <c r="S1510" s="249"/>
      <c r="T1510" s="330"/>
      <c r="U1510" s="250"/>
      <c r="V1510" s="249"/>
      <c r="W1510" s="330"/>
      <c r="X1510" s="343"/>
      <c r="Y1510" s="249"/>
      <c r="Z1510" s="330"/>
      <c r="AA1510" s="343"/>
      <c r="AB1510" s="249"/>
      <c r="AC1510" s="330"/>
      <c r="AD1510" s="343"/>
      <c r="AE1510" s="249"/>
      <c r="AF1510" s="330"/>
      <c r="AG1510" s="343"/>
      <c r="AH1510" s="249"/>
      <c r="AI1510" s="330"/>
      <c r="AJ1510" s="343"/>
      <c r="AK1510" s="249"/>
      <c r="AL1510" s="330"/>
      <c r="AM1510" s="343"/>
      <c r="AN1510" s="249"/>
      <c r="AO1510" s="330"/>
      <c r="AP1510" s="343"/>
      <c r="AQ1510" s="249"/>
      <c r="AR1510" s="330"/>
      <c r="AS1510" s="343"/>
      <c r="AT1510" s="249"/>
      <c r="AU1510" s="330"/>
    </row>
    <row r="1511" spans="2:47">
      <c r="B1511" s="247">
        <f>'Table S2 Compound Identifiers'!C1513</f>
        <v>0</v>
      </c>
      <c r="C1511" s="247">
        <f>COUNTIF($D$6:D1511,"&lt;&gt;"&amp;"")</f>
        <v>1506</v>
      </c>
      <c r="D1511" s="247">
        <f>'Table S2 Compound Identifiers'!B1513</f>
        <v>0</v>
      </c>
      <c r="E1511" s="247"/>
      <c r="F1511" s="248"/>
      <c r="G1511" s="249"/>
      <c r="H1511" s="330"/>
      <c r="I1511" s="328"/>
      <c r="J1511" s="249"/>
      <c r="K1511" s="330"/>
      <c r="L1511" s="250"/>
      <c r="M1511" s="249"/>
      <c r="N1511" s="330"/>
      <c r="O1511" s="250"/>
      <c r="P1511" s="249"/>
      <c r="Q1511" s="330"/>
      <c r="R1511" s="250"/>
      <c r="S1511" s="249"/>
      <c r="T1511" s="330"/>
      <c r="U1511" s="250"/>
      <c r="V1511" s="249"/>
      <c r="W1511" s="330"/>
      <c r="X1511" s="343"/>
      <c r="Y1511" s="249"/>
      <c r="Z1511" s="330"/>
      <c r="AA1511" s="343"/>
      <c r="AB1511" s="249"/>
      <c r="AC1511" s="330"/>
      <c r="AD1511" s="343"/>
      <c r="AE1511" s="249"/>
      <c r="AF1511" s="330"/>
      <c r="AG1511" s="343"/>
      <c r="AH1511" s="249"/>
      <c r="AI1511" s="330"/>
      <c r="AJ1511" s="343"/>
      <c r="AK1511" s="249"/>
      <c r="AL1511" s="330"/>
      <c r="AM1511" s="343"/>
      <c r="AN1511" s="249"/>
      <c r="AO1511" s="330"/>
      <c r="AP1511" s="343"/>
      <c r="AQ1511" s="249"/>
      <c r="AR1511" s="330"/>
      <c r="AS1511" s="343"/>
      <c r="AT1511" s="249"/>
      <c r="AU1511" s="330"/>
    </row>
    <row r="1512" spans="2:47">
      <c r="B1512" s="247">
        <f>'Table S2 Compound Identifiers'!C1514</f>
        <v>0</v>
      </c>
      <c r="C1512" s="247">
        <f>COUNTIF($D$6:D1512,"&lt;&gt;"&amp;"")</f>
        <v>1507</v>
      </c>
      <c r="D1512" s="247">
        <f>'Table S2 Compound Identifiers'!B1514</f>
        <v>0</v>
      </c>
      <c r="E1512" s="247"/>
      <c r="F1512" s="248"/>
      <c r="G1512" s="249"/>
      <c r="H1512" s="330"/>
      <c r="I1512" s="328"/>
      <c r="J1512" s="249"/>
      <c r="K1512" s="330"/>
      <c r="L1512" s="250"/>
      <c r="M1512" s="249"/>
      <c r="N1512" s="330"/>
      <c r="O1512" s="250"/>
      <c r="P1512" s="249"/>
      <c r="Q1512" s="330"/>
      <c r="R1512" s="250"/>
      <c r="S1512" s="249"/>
      <c r="T1512" s="330"/>
      <c r="U1512" s="250"/>
      <c r="V1512" s="249"/>
      <c r="W1512" s="330"/>
      <c r="X1512" s="343"/>
      <c r="Y1512" s="249"/>
      <c r="Z1512" s="330"/>
      <c r="AA1512" s="343"/>
      <c r="AB1512" s="249"/>
      <c r="AC1512" s="330"/>
      <c r="AD1512" s="343"/>
      <c r="AE1512" s="249"/>
      <c r="AF1512" s="330"/>
      <c r="AG1512" s="343"/>
      <c r="AH1512" s="249"/>
      <c r="AI1512" s="330"/>
      <c r="AJ1512" s="343"/>
      <c r="AK1512" s="249"/>
      <c r="AL1512" s="330"/>
      <c r="AM1512" s="343"/>
      <c r="AN1512" s="249"/>
      <c r="AO1512" s="330"/>
      <c r="AP1512" s="343"/>
      <c r="AQ1512" s="249"/>
      <c r="AR1512" s="330"/>
      <c r="AS1512" s="343"/>
      <c r="AT1512" s="249"/>
      <c r="AU1512" s="330"/>
    </row>
    <row r="1513" spans="2:47">
      <c r="B1513" s="247">
        <f>'Table S2 Compound Identifiers'!C1515</f>
        <v>0</v>
      </c>
      <c r="C1513" s="247">
        <f>COUNTIF($D$6:D1513,"&lt;&gt;"&amp;"")</f>
        <v>1508</v>
      </c>
      <c r="D1513" s="247">
        <f>'Table S2 Compound Identifiers'!B1515</f>
        <v>0</v>
      </c>
      <c r="E1513" s="247"/>
      <c r="F1513" s="248"/>
      <c r="G1513" s="249"/>
      <c r="H1513" s="330"/>
      <c r="I1513" s="328"/>
      <c r="J1513" s="249"/>
      <c r="K1513" s="330"/>
      <c r="L1513" s="250"/>
      <c r="M1513" s="249"/>
      <c r="N1513" s="330"/>
      <c r="O1513" s="250"/>
      <c r="P1513" s="249"/>
      <c r="Q1513" s="330"/>
      <c r="R1513" s="250"/>
      <c r="S1513" s="249"/>
      <c r="T1513" s="330"/>
      <c r="U1513" s="250"/>
      <c r="V1513" s="249"/>
      <c r="W1513" s="330"/>
      <c r="X1513" s="343"/>
      <c r="Y1513" s="249"/>
      <c r="Z1513" s="330"/>
      <c r="AA1513" s="343"/>
      <c r="AB1513" s="249"/>
      <c r="AC1513" s="330"/>
      <c r="AD1513" s="343"/>
      <c r="AE1513" s="249"/>
      <c r="AF1513" s="330"/>
      <c r="AG1513" s="343"/>
      <c r="AH1513" s="249"/>
      <c r="AI1513" s="330"/>
      <c r="AJ1513" s="343"/>
      <c r="AK1513" s="249"/>
      <c r="AL1513" s="330"/>
      <c r="AM1513" s="343"/>
      <c r="AN1513" s="249"/>
      <c r="AO1513" s="330"/>
      <c r="AP1513" s="343"/>
      <c r="AQ1513" s="249"/>
      <c r="AR1513" s="330"/>
      <c r="AS1513" s="343"/>
      <c r="AT1513" s="249"/>
      <c r="AU1513" s="330"/>
    </row>
    <row r="1514" spans="2:47">
      <c r="B1514" s="247">
        <f>'Table S2 Compound Identifiers'!C1516</f>
        <v>0</v>
      </c>
      <c r="C1514" s="247">
        <f>COUNTIF($D$6:D1514,"&lt;&gt;"&amp;"")</f>
        <v>1509</v>
      </c>
      <c r="D1514" s="247">
        <f>'Table S2 Compound Identifiers'!B1516</f>
        <v>0</v>
      </c>
      <c r="E1514" s="247"/>
      <c r="F1514" s="248"/>
      <c r="G1514" s="249"/>
      <c r="H1514" s="330"/>
      <c r="I1514" s="328"/>
      <c r="J1514" s="249"/>
      <c r="K1514" s="330"/>
      <c r="L1514" s="250"/>
      <c r="M1514" s="249"/>
      <c r="N1514" s="330"/>
      <c r="O1514" s="250"/>
      <c r="P1514" s="249"/>
      <c r="Q1514" s="330"/>
      <c r="R1514" s="250"/>
      <c r="S1514" s="249"/>
      <c r="T1514" s="330"/>
      <c r="U1514" s="250"/>
      <c r="V1514" s="249"/>
      <c r="W1514" s="330"/>
      <c r="X1514" s="343"/>
      <c r="Y1514" s="249"/>
      <c r="Z1514" s="330"/>
      <c r="AA1514" s="343"/>
      <c r="AB1514" s="249"/>
      <c r="AC1514" s="330"/>
      <c r="AD1514" s="343"/>
      <c r="AE1514" s="249"/>
      <c r="AF1514" s="330"/>
      <c r="AG1514" s="343"/>
      <c r="AH1514" s="249"/>
      <c r="AI1514" s="330"/>
      <c r="AJ1514" s="343"/>
      <c r="AK1514" s="249"/>
      <c r="AL1514" s="330"/>
      <c r="AM1514" s="343"/>
      <c r="AN1514" s="249"/>
      <c r="AO1514" s="330"/>
      <c r="AP1514" s="343"/>
      <c r="AQ1514" s="249"/>
      <c r="AR1514" s="330"/>
      <c r="AS1514" s="343"/>
      <c r="AT1514" s="249"/>
      <c r="AU1514" s="330"/>
    </row>
    <row r="1515" spans="2:47">
      <c r="B1515" s="247">
        <f>'Table S2 Compound Identifiers'!C1517</f>
        <v>0</v>
      </c>
      <c r="C1515" s="247">
        <f>COUNTIF($D$6:D1515,"&lt;&gt;"&amp;"")</f>
        <v>1510</v>
      </c>
      <c r="D1515" s="247">
        <f>'Table S2 Compound Identifiers'!B1517</f>
        <v>0</v>
      </c>
      <c r="E1515" s="247"/>
      <c r="F1515" s="248"/>
      <c r="G1515" s="249"/>
      <c r="H1515" s="330"/>
      <c r="I1515" s="328"/>
      <c r="J1515" s="249"/>
      <c r="K1515" s="330"/>
      <c r="L1515" s="250"/>
      <c r="M1515" s="249"/>
      <c r="N1515" s="330"/>
      <c r="O1515" s="250"/>
      <c r="P1515" s="249"/>
      <c r="Q1515" s="330"/>
      <c r="R1515" s="250"/>
      <c r="S1515" s="249"/>
      <c r="T1515" s="330"/>
      <c r="U1515" s="250"/>
      <c r="V1515" s="249"/>
      <c r="W1515" s="330"/>
      <c r="X1515" s="343"/>
      <c r="Y1515" s="249"/>
      <c r="Z1515" s="330"/>
      <c r="AA1515" s="343"/>
      <c r="AB1515" s="249"/>
      <c r="AC1515" s="330"/>
      <c r="AD1515" s="343"/>
      <c r="AE1515" s="249"/>
      <c r="AF1515" s="330"/>
      <c r="AG1515" s="343"/>
      <c r="AH1515" s="249"/>
      <c r="AI1515" s="330"/>
      <c r="AJ1515" s="343"/>
      <c r="AK1515" s="249"/>
      <c r="AL1515" s="330"/>
      <c r="AM1515" s="343"/>
      <c r="AN1515" s="249"/>
      <c r="AO1515" s="330"/>
      <c r="AP1515" s="343"/>
      <c r="AQ1515" s="249"/>
      <c r="AR1515" s="330"/>
      <c r="AS1515" s="343"/>
      <c r="AT1515" s="249"/>
      <c r="AU1515" s="330"/>
    </row>
    <row r="1516" spans="2:47">
      <c r="B1516" s="247">
        <f>'Table S2 Compound Identifiers'!C1518</f>
        <v>0</v>
      </c>
      <c r="C1516" s="247">
        <f>COUNTIF($D$6:D1516,"&lt;&gt;"&amp;"")</f>
        <v>1511</v>
      </c>
      <c r="D1516" s="247">
        <f>'Table S2 Compound Identifiers'!B1518</f>
        <v>0</v>
      </c>
      <c r="E1516" s="247"/>
      <c r="F1516" s="248"/>
      <c r="G1516" s="249"/>
      <c r="H1516" s="330"/>
      <c r="I1516" s="328"/>
      <c r="J1516" s="249"/>
      <c r="K1516" s="330"/>
      <c r="L1516" s="250"/>
      <c r="M1516" s="249"/>
      <c r="N1516" s="330"/>
      <c r="O1516" s="250"/>
      <c r="P1516" s="249"/>
      <c r="Q1516" s="330"/>
      <c r="R1516" s="250"/>
      <c r="S1516" s="249"/>
      <c r="T1516" s="330"/>
      <c r="U1516" s="250"/>
      <c r="V1516" s="249"/>
      <c r="W1516" s="330"/>
      <c r="X1516" s="343"/>
      <c r="Y1516" s="249"/>
      <c r="Z1516" s="330"/>
      <c r="AA1516" s="343"/>
      <c r="AB1516" s="249"/>
      <c r="AC1516" s="330"/>
      <c r="AD1516" s="343"/>
      <c r="AE1516" s="249"/>
      <c r="AF1516" s="330"/>
      <c r="AG1516" s="343"/>
      <c r="AH1516" s="249"/>
      <c r="AI1516" s="330"/>
      <c r="AJ1516" s="343"/>
      <c r="AK1516" s="249"/>
      <c r="AL1516" s="330"/>
      <c r="AM1516" s="343"/>
      <c r="AN1516" s="249"/>
      <c r="AO1516" s="330"/>
      <c r="AP1516" s="343"/>
      <c r="AQ1516" s="249"/>
      <c r="AR1516" s="330"/>
      <c r="AS1516" s="343"/>
      <c r="AT1516" s="249"/>
      <c r="AU1516" s="330"/>
    </row>
    <row r="1517" spans="2:47">
      <c r="B1517" s="247">
        <f>'Table S2 Compound Identifiers'!C1519</f>
        <v>0</v>
      </c>
      <c r="C1517" s="247">
        <f>COUNTIF($D$6:D1517,"&lt;&gt;"&amp;"")</f>
        <v>1512</v>
      </c>
      <c r="D1517" s="247">
        <f>'Table S2 Compound Identifiers'!B1519</f>
        <v>0</v>
      </c>
      <c r="E1517" s="247"/>
      <c r="F1517" s="248"/>
      <c r="G1517" s="249"/>
      <c r="H1517" s="330"/>
      <c r="I1517" s="328"/>
      <c r="J1517" s="249"/>
      <c r="K1517" s="330"/>
      <c r="L1517" s="250"/>
      <c r="M1517" s="249"/>
      <c r="N1517" s="330"/>
      <c r="O1517" s="250"/>
      <c r="P1517" s="249"/>
      <c r="Q1517" s="330"/>
      <c r="R1517" s="250"/>
      <c r="S1517" s="249"/>
      <c r="T1517" s="330"/>
      <c r="U1517" s="250"/>
      <c r="V1517" s="249"/>
      <c r="W1517" s="330"/>
      <c r="X1517" s="343"/>
      <c r="Y1517" s="249"/>
      <c r="Z1517" s="330"/>
      <c r="AA1517" s="343"/>
      <c r="AB1517" s="249"/>
      <c r="AC1517" s="330"/>
      <c r="AD1517" s="343"/>
      <c r="AE1517" s="249"/>
      <c r="AF1517" s="330"/>
      <c r="AG1517" s="343"/>
      <c r="AH1517" s="249"/>
      <c r="AI1517" s="330"/>
      <c r="AJ1517" s="343"/>
      <c r="AK1517" s="249"/>
      <c r="AL1517" s="330"/>
      <c r="AM1517" s="343"/>
      <c r="AN1517" s="249"/>
      <c r="AO1517" s="330"/>
      <c r="AP1517" s="343"/>
      <c r="AQ1517" s="249"/>
      <c r="AR1517" s="330"/>
      <c r="AS1517" s="343"/>
      <c r="AT1517" s="249"/>
      <c r="AU1517" s="330"/>
    </row>
    <row r="1518" spans="2:47">
      <c r="B1518" s="247">
        <f>'Table S2 Compound Identifiers'!C1520</f>
        <v>0</v>
      </c>
      <c r="C1518" s="247">
        <f>COUNTIF($D$6:D1518,"&lt;&gt;"&amp;"")</f>
        <v>1513</v>
      </c>
      <c r="D1518" s="247">
        <f>'Table S2 Compound Identifiers'!B1520</f>
        <v>0</v>
      </c>
      <c r="E1518" s="247"/>
      <c r="F1518" s="248"/>
      <c r="G1518" s="249"/>
      <c r="H1518" s="330"/>
      <c r="I1518" s="328"/>
      <c r="J1518" s="249"/>
      <c r="K1518" s="330"/>
      <c r="L1518" s="250"/>
      <c r="M1518" s="249"/>
      <c r="N1518" s="330"/>
      <c r="O1518" s="250"/>
      <c r="P1518" s="249"/>
      <c r="Q1518" s="330"/>
      <c r="R1518" s="250"/>
      <c r="S1518" s="249"/>
      <c r="T1518" s="330"/>
      <c r="U1518" s="250"/>
      <c r="V1518" s="249"/>
      <c r="W1518" s="330"/>
      <c r="X1518" s="343"/>
      <c r="Y1518" s="249"/>
      <c r="Z1518" s="330"/>
      <c r="AA1518" s="343"/>
      <c r="AB1518" s="249"/>
      <c r="AC1518" s="330"/>
      <c r="AD1518" s="343"/>
      <c r="AE1518" s="249"/>
      <c r="AF1518" s="330"/>
      <c r="AG1518" s="343"/>
      <c r="AH1518" s="249"/>
      <c r="AI1518" s="330"/>
      <c r="AJ1518" s="343"/>
      <c r="AK1518" s="249"/>
      <c r="AL1518" s="330"/>
      <c r="AM1518" s="343"/>
      <c r="AN1518" s="249"/>
      <c r="AO1518" s="330"/>
      <c r="AP1518" s="343"/>
      <c r="AQ1518" s="249"/>
      <c r="AR1518" s="330"/>
      <c r="AS1518" s="343"/>
      <c r="AT1518" s="249"/>
      <c r="AU1518" s="330"/>
    </row>
    <row r="1519" spans="2:47">
      <c r="B1519" s="247">
        <f>'Table S2 Compound Identifiers'!C1521</f>
        <v>0</v>
      </c>
      <c r="C1519" s="247">
        <f>COUNTIF($D$6:D1519,"&lt;&gt;"&amp;"")</f>
        <v>1514</v>
      </c>
      <c r="D1519" s="247">
        <f>'Table S2 Compound Identifiers'!B1521</f>
        <v>0</v>
      </c>
      <c r="E1519" s="247"/>
      <c r="F1519" s="248"/>
      <c r="G1519" s="249"/>
      <c r="H1519" s="330"/>
      <c r="I1519" s="328"/>
      <c r="J1519" s="249"/>
      <c r="K1519" s="330"/>
      <c r="L1519" s="250"/>
      <c r="M1519" s="249"/>
      <c r="N1519" s="330"/>
      <c r="O1519" s="250"/>
      <c r="P1519" s="249"/>
      <c r="Q1519" s="330"/>
      <c r="R1519" s="250"/>
      <c r="S1519" s="249"/>
      <c r="T1519" s="330"/>
      <c r="U1519" s="250"/>
      <c r="V1519" s="249"/>
      <c r="W1519" s="330"/>
      <c r="X1519" s="343"/>
      <c r="Y1519" s="249"/>
      <c r="Z1519" s="330"/>
      <c r="AA1519" s="343"/>
      <c r="AB1519" s="249"/>
      <c r="AC1519" s="330"/>
      <c r="AD1519" s="343"/>
      <c r="AE1519" s="249"/>
      <c r="AF1519" s="330"/>
      <c r="AG1519" s="343"/>
      <c r="AH1519" s="249"/>
      <c r="AI1519" s="330"/>
      <c r="AJ1519" s="343"/>
      <c r="AK1519" s="249"/>
      <c r="AL1519" s="330"/>
      <c r="AM1519" s="343"/>
      <c r="AN1519" s="249"/>
      <c r="AO1519" s="330"/>
      <c r="AP1519" s="343"/>
      <c r="AQ1519" s="249"/>
      <c r="AR1519" s="330"/>
      <c r="AS1519" s="343"/>
      <c r="AT1519" s="249"/>
      <c r="AU1519" s="330"/>
    </row>
    <row r="1520" spans="2:47">
      <c r="B1520" s="247">
        <f>'Table S2 Compound Identifiers'!C1522</f>
        <v>0</v>
      </c>
      <c r="C1520" s="247">
        <f>COUNTIF($D$6:D1520,"&lt;&gt;"&amp;"")</f>
        <v>1515</v>
      </c>
      <c r="D1520" s="247">
        <f>'Table S2 Compound Identifiers'!B1522</f>
        <v>0</v>
      </c>
      <c r="E1520" s="247"/>
      <c r="F1520" s="248"/>
      <c r="G1520" s="249"/>
      <c r="H1520" s="330"/>
      <c r="I1520" s="328"/>
      <c r="J1520" s="249"/>
      <c r="K1520" s="330"/>
      <c r="L1520" s="250"/>
      <c r="M1520" s="249"/>
      <c r="N1520" s="330"/>
      <c r="O1520" s="250"/>
      <c r="P1520" s="249"/>
      <c r="Q1520" s="330"/>
      <c r="R1520" s="250"/>
      <c r="S1520" s="249"/>
      <c r="T1520" s="330"/>
      <c r="U1520" s="250"/>
      <c r="V1520" s="249"/>
      <c r="W1520" s="330"/>
      <c r="X1520" s="343"/>
      <c r="Y1520" s="249"/>
      <c r="Z1520" s="330"/>
      <c r="AA1520" s="343"/>
      <c r="AB1520" s="249"/>
      <c r="AC1520" s="330"/>
      <c r="AD1520" s="343"/>
      <c r="AE1520" s="249"/>
      <c r="AF1520" s="330"/>
      <c r="AG1520" s="343"/>
      <c r="AH1520" s="249"/>
      <c r="AI1520" s="330"/>
      <c r="AJ1520" s="343"/>
      <c r="AK1520" s="249"/>
      <c r="AL1520" s="330"/>
      <c r="AM1520" s="343"/>
      <c r="AN1520" s="249"/>
      <c r="AO1520" s="330"/>
      <c r="AP1520" s="343"/>
      <c r="AQ1520" s="249"/>
      <c r="AR1520" s="330"/>
      <c r="AS1520" s="343"/>
      <c r="AT1520" s="249"/>
      <c r="AU1520" s="330"/>
    </row>
    <row r="1521" spans="2:47">
      <c r="B1521" s="247">
        <f>'Table S2 Compound Identifiers'!C1523</f>
        <v>0</v>
      </c>
      <c r="C1521" s="247">
        <f>COUNTIF($D$6:D1521,"&lt;&gt;"&amp;"")</f>
        <v>1516</v>
      </c>
      <c r="D1521" s="247">
        <f>'Table S2 Compound Identifiers'!B1523</f>
        <v>0</v>
      </c>
      <c r="E1521" s="247"/>
      <c r="F1521" s="248"/>
      <c r="G1521" s="249"/>
      <c r="H1521" s="330"/>
      <c r="I1521" s="328"/>
      <c r="J1521" s="249"/>
      <c r="K1521" s="330"/>
      <c r="L1521" s="250"/>
      <c r="M1521" s="249"/>
      <c r="N1521" s="330"/>
      <c r="O1521" s="250"/>
      <c r="P1521" s="249"/>
      <c r="Q1521" s="330"/>
      <c r="R1521" s="250"/>
      <c r="S1521" s="249"/>
      <c r="T1521" s="330"/>
      <c r="U1521" s="250"/>
      <c r="V1521" s="249"/>
      <c r="W1521" s="330"/>
      <c r="X1521" s="343"/>
      <c r="Y1521" s="249"/>
      <c r="Z1521" s="330"/>
      <c r="AA1521" s="343"/>
      <c r="AB1521" s="249"/>
      <c r="AC1521" s="330"/>
      <c r="AD1521" s="343"/>
      <c r="AE1521" s="249"/>
      <c r="AF1521" s="330"/>
      <c r="AG1521" s="343"/>
      <c r="AH1521" s="249"/>
      <c r="AI1521" s="330"/>
      <c r="AJ1521" s="343"/>
      <c r="AK1521" s="249"/>
      <c r="AL1521" s="330"/>
      <c r="AM1521" s="343"/>
      <c r="AN1521" s="249"/>
      <c r="AO1521" s="330"/>
      <c r="AP1521" s="343"/>
      <c r="AQ1521" s="249"/>
      <c r="AR1521" s="330"/>
      <c r="AS1521" s="343"/>
      <c r="AT1521" s="249"/>
      <c r="AU1521" s="330"/>
    </row>
    <row r="1522" spans="2:47">
      <c r="B1522" s="247">
        <f>'Table S2 Compound Identifiers'!C1524</f>
        <v>0</v>
      </c>
      <c r="C1522" s="247">
        <f>COUNTIF($D$6:D1522,"&lt;&gt;"&amp;"")</f>
        <v>1517</v>
      </c>
      <c r="D1522" s="247">
        <f>'Table S2 Compound Identifiers'!B1524</f>
        <v>0</v>
      </c>
      <c r="E1522" s="247"/>
      <c r="F1522" s="248"/>
      <c r="G1522" s="249"/>
      <c r="H1522" s="330"/>
      <c r="I1522" s="328"/>
      <c r="J1522" s="249"/>
      <c r="K1522" s="330"/>
      <c r="L1522" s="250"/>
      <c r="M1522" s="249"/>
      <c r="N1522" s="330"/>
      <c r="O1522" s="250"/>
      <c r="P1522" s="249"/>
      <c r="Q1522" s="330"/>
      <c r="R1522" s="250"/>
      <c r="S1522" s="249"/>
      <c r="T1522" s="330"/>
      <c r="U1522" s="250"/>
      <c r="V1522" s="249"/>
      <c r="W1522" s="330"/>
      <c r="X1522" s="343"/>
      <c r="Y1522" s="249"/>
      <c r="Z1522" s="330"/>
      <c r="AA1522" s="343"/>
      <c r="AB1522" s="249"/>
      <c r="AC1522" s="330"/>
      <c r="AD1522" s="343"/>
      <c r="AE1522" s="249"/>
      <c r="AF1522" s="330"/>
      <c r="AG1522" s="343"/>
      <c r="AH1522" s="249"/>
      <c r="AI1522" s="330"/>
      <c r="AJ1522" s="343"/>
      <c r="AK1522" s="249"/>
      <c r="AL1522" s="330"/>
      <c r="AM1522" s="343"/>
      <c r="AN1522" s="249"/>
      <c r="AO1522" s="330"/>
      <c r="AP1522" s="343"/>
      <c r="AQ1522" s="249"/>
      <c r="AR1522" s="330"/>
      <c r="AS1522" s="343"/>
      <c r="AT1522" s="249"/>
      <c r="AU1522" s="330"/>
    </row>
    <row r="1523" spans="2:47">
      <c r="B1523" s="247">
        <f>'Table S2 Compound Identifiers'!C1525</f>
        <v>0</v>
      </c>
      <c r="C1523" s="247">
        <f>COUNTIF($D$6:D1523,"&lt;&gt;"&amp;"")</f>
        <v>1518</v>
      </c>
      <c r="D1523" s="247">
        <f>'Table S2 Compound Identifiers'!B1525</f>
        <v>0</v>
      </c>
      <c r="E1523" s="247"/>
      <c r="F1523" s="248"/>
      <c r="G1523" s="249"/>
      <c r="H1523" s="330"/>
      <c r="I1523" s="328"/>
      <c r="J1523" s="249"/>
      <c r="K1523" s="330"/>
      <c r="L1523" s="250"/>
      <c r="M1523" s="249"/>
      <c r="N1523" s="330"/>
      <c r="O1523" s="250"/>
      <c r="P1523" s="249"/>
      <c r="Q1523" s="330"/>
      <c r="R1523" s="250"/>
      <c r="S1523" s="249"/>
      <c r="T1523" s="330"/>
      <c r="U1523" s="250"/>
      <c r="V1523" s="249"/>
      <c r="W1523" s="330"/>
      <c r="X1523" s="343"/>
      <c r="Y1523" s="249"/>
      <c r="Z1523" s="330"/>
      <c r="AA1523" s="343"/>
      <c r="AB1523" s="249"/>
      <c r="AC1523" s="330"/>
      <c r="AD1523" s="343"/>
      <c r="AE1523" s="249"/>
      <c r="AF1523" s="330"/>
      <c r="AG1523" s="343"/>
      <c r="AH1523" s="249"/>
      <c r="AI1523" s="330"/>
      <c r="AJ1523" s="343"/>
      <c r="AK1523" s="249"/>
      <c r="AL1523" s="330"/>
      <c r="AM1523" s="343"/>
      <c r="AN1523" s="249"/>
      <c r="AO1523" s="330"/>
      <c r="AP1523" s="343"/>
      <c r="AQ1523" s="249"/>
      <c r="AR1523" s="330"/>
      <c r="AS1523" s="343"/>
      <c r="AT1523" s="249"/>
      <c r="AU1523" s="330"/>
    </row>
    <row r="1524" spans="2:47">
      <c r="B1524" s="247">
        <f>'Table S2 Compound Identifiers'!C1526</f>
        <v>0</v>
      </c>
      <c r="C1524" s="247">
        <f>COUNTIF($D$6:D1524,"&lt;&gt;"&amp;"")</f>
        <v>1519</v>
      </c>
      <c r="D1524" s="247">
        <f>'Table S2 Compound Identifiers'!B1526</f>
        <v>0</v>
      </c>
      <c r="E1524" s="247"/>
      <c r="F1524" s="248"/>
      <c r="G1524" s="249"/>
      <c r="H1524" s="330"/>
      <c r="I1524" s="328"/>
      <c r="J1524" s="249"/>
      <c r="K1524" s="330"/>
      <c r="L1524" s="250"/>
      <c r="M1524" s="249"/>
      <c r="N1524" s="330"/>
      <c r="O1524" s="250"/>
      <c r="P1524" s="249"/>
      <c r="Q1524" s="330"/>
      <c r="R1524" s="250"/>
      <c r="S1524" s="249"/>
      <c r="T1524" s="330"/>
      <c r="U1524" s="250"/>
      <c r="V1524" s="249"/>
      <c r="W1524" s="330"/>
      <c r="X1524" s="343"/>
      <c r="Y1524" s="249"/>
      <c r="Z1524" s="330"/>
      <c r="AA1524" s="343"/>
      <c r="AB1524" s="249"/>
      <c r="AC1524" s="330"/>
      <c r="AD1524" s="343"/>
      <c r="AE1524" s="249"/>
      <c r="AF1524" s="330"/>
      <c r="AG1524" s="343"/>
      <c r="AH1524" s="249"/>
      <c r="AI1524" s="330"/>
      <c r="AJ1524" s="343"/>
      <c r="AK1524" s="249"/>
      <c r="AL1524" s="330"/>
      <c r="AM1524" s="343"/>
      <c r="AN1524" s="249"/>
      <c r="AO1524" s="330"/>
      <c r="AP1524" s="343"/>
      <c r="AQ1524" s="249"/>
      <c r="AR1524" s="330"/>
      <c r="AS1524" s="343"/>
      <c r="AT1524" s="249"/>
      <c r="AU1524" s="330"/>
    </row>
    <row r="1525" spans="2:47">
      <c r="B1525" s="247">
        <f>'Table S2 Compound Identifiers'!C1527</f>
        <v>0</v>
      </c>
      <c r="C1525" s="247">
        <f>COUNTIF($D$6:D1525,"&lt;&gt;"&amp;"")</f>
        <v>1520</v>
      </c>
      <c r="D1525" s="247">
        <f>'Table S2 Compound Identifiers'!B1527</f>
        <v>0</v>
      </c>
      <c r="E1525" s="247"/>
      <c r="F1525" s="248"/>
      <c r="G1525" s="249"/>
      <c r="H1525" s="330"/>
      <c r="I1525" s="328"/>
      <c r="J1525" s="249"/>
      <c r="K1525" s="330"/>
      <c r="L1525" s="250"/>
      <c r="M1525" s="249"/>
      <c r="N1525" s="330"/>
      <c r="O1525" s="250"/>
      <c r="P1525" s="249"/>
      <c r="Q1525" s="330"/>
      <c r="R1525" s="250"/>
      <c r="S1525" s="249"/>
      <c r="T1525" s="330"/>
      <c r="U1525" s="250"/>
      <c r="V1525" s="249"/>
      <c r="W1525" s="330"/>
      <c r="X1525" s="343"/>
      <c r="Y1525" s="249"/>
      <c r="Z1525" s="330"/>
      <c r="AA1525" s="343"/>
      <c r="AB1525" s="249"/>
      <c r="AC1525" s="330"/>
      <c r="AD1525" s="343"/>
      <c r="AE1525" s="249"/>
      <c r="AF1525" s="330"/>
      <c r="AG1525" s="343"/>
      <c r="AH1525" s="249"/>
      <c r="AI1525" s="330"/>
      <c r="AJ1525" s="343"/>
      <c r="AK1525" s="249"/>
      <c r="AL1525" s="330"/>
      <c r="AM1525" s="343"/>
      <c r="AN1525" s="249"/>
      <c r="AO1525" s="330"/>
      <c r="AP1525" s="343"/>
      <c r="AQ1525" s="249"/>
      <c r="AR1525" s="330"/>
      <c r="AS1525" s="343"/>
      <c r="AT1525" s="249"/>
      <c r="AU1525" s="330"/>
    </row>
    <row r="1526" spans="2:47">
      <c r="B1526" s="247">
        <f>'Table S2 Compound Identifiers'!C1528</f>
        <v>0</v>
      </c>
      <c r="C1526" s="247">
        <f>COUNTIF($D$6:D1526,"&lt;&gt;"&amp;"")</f>
        <v>1521</v>
      </c>
      <c r="D1526" s="247">
        <f>'Table S2 Compound Identifiers'!B1528</f>
        <v>0</v>
      </c>
      <c r="E1526" s="247"/>
      <c r="F1526" s="248"/>
      <c r="G1526" s="249"/>
      <c r="H1526" s="330"/>
      <c r="I1526" s="328"/>
      <c r="J1526" s="249"/>
      <c r="K1526" s="330"/>
      <c r="L1526" s="250"/>
      <c r="M1526" s="249"/>
      <c r="N1526" s="330"/>
      <c r="O1526" s="250"/>
      <c r="P1526" s="249"/>
      <c r="Q1526" s="330"/>
      <c r="R1526" s="250"/>
      <c r="S1526" s="249"/>
      <c r="T1526" s="330"/>
      <c r="U1526" s="250"/>
      <c r="V1526" s="249"/>
      <c r="W1526" s="330"/>
      <c r="X1526" s="343"/>
      <c r="Y1526" s="249"/>
      <c r="Z1526" s="330"/>
      <c r="AA1526" s="343"/>
      <c r="AB1526" s="249"/>
      <c r="AC1526" s="330"/>
      <c r="AD1526" s="343"/>
      <c r="AE1526" s="249"/>
      <c r="AF1526" s="330"/>
      <c r="AG1526" s="343"/>
      <c r="AH1526" s="249"/>
      <c r="AI1526" s="330"/>
      <c r="AJ1526" s="343"/>
      <c r="AK1526" s="249"/>
      <c r="AL1526" s="330"/>
      <c r="AM1526" s="343"/>
      <c r="AN1526" s="249"/>
      <c r="AO1526" s="330"/>
      <c r="AP1526" s="343"/>
      <c r="AQ1526" s="249"/>
      <c r="AR1526" s="330"/>
      <c r="AS1526" s="343"/>
      <c r="AT1526" s="249"/>
      <c r="AU1526" s="330"/>
    </row>
    <row r="1527" spans="2:47">
      <c r="B1527" s="247">
        <f>'Table S2 Compound Identifiers'!C1529</f>
        <v>0</v>
      </c>
      <c r="C1527" s="247">
        <f>COUNTIF($D$6:D1527,"&lt;&gt;"&amp;"")</f>
        <v>1522</v>
      </c>
      <c r="D1527" s="247">
        <f>'Table S2 Compound Identifiers'!B1529</f>
        <v>0</v>
      </c>
      <c r="E1527" s="247"/>
      <c r="F1527" s="248"/>
      <c r="G1527" s="249"/>
      <c r="H1527" s="330"/>
      <c r="I1527" s="328"/>
      <c r="J1527" s="249"/>
      <c r="K1527" s="330"/>
      <c r="L1527" s="250"/>
      <c r="M1527" s="249"/>
      <c r="N1527" s="330"/>
      <c r="O1527" s="250"/>
      <c r="P1527" s="249"/>
      <c r="Q1527" s="330"/>
      <c r="R1527" s="250"/>
      <c r="S1527" s="249"/>
      <c r="T1527" s="330"/>
      <c r="U1527" s="250"/>
      <c r="V1527" s="249"/>
      <c r="W1527" s="330"/>
      <c r="X1527" s="343"/>
      <c r="Y1527" s="249"/>
      <c r="Z1527" s="330"/>
      <c r="AA1527" s="343"/>
      <c r="AB1527" s="249"/>
      <c r="AC1527" s="330"/>
      <c r="AD1527" s="343"/>
      <c r="AE1527" s="249"/>
      <c r="AF1527" s="330"/>
      <c r="AG1527" s="343"/>
      <c r="AH1527" s="249"/>
      <c r="AI1527" s="330"/>
      <c r="AJ1527" s="343"/>
      <c r="AK1527" s="249"/>
      <c r="AL1527" s="330"/>
      <c r="AM1527" s="343"/>
      <c r="AN1527" s="249"/>
      <c r="AO1527" s="330"/>
      <c r="AP1527" s="343"/>
      <c r="AQ1527" s="249"/>
      <c r="AR1527" s="330"/>
      <c r="AS1527" s="343"/>
      <c r="AT1527" s="249"/>
      <c r="AU1527" s="330"/>
    </row>
    <row r="1528" spans="2:47">
      <c r="B1528" s="247">
        <f>'Table S2 Compound Identifiers'!C1530</f>
        <v>0</v>
      </c>
      <c r="C1528" s="247">
        <f>COUNTIF($D$6:D1528,"&lt;&gt;"&amp;"")</f>
        <v>1523</v>
      </c>
      <c r="D1528" s="247">
        <f>'Table S2 Compound Identifiers'!B1530</f>
        <v>0</v>
      </c>
      <c r="E1528" s="247"/>
      <c r="F1528" s="248"/>
      <c r="G1528" s="249"/>
      <c r="H1528" s="330"/>
      <c r="I1528" s="328"/>
      <c r="J1528" s="249"/>
      <c r="K1528" s="330"/>
      <c r="L1528" s="250"/>
      <c r="M1528" s="249"/>
      <c r="N1528" s="330"/>
      <c r="O1528" s="250"/>
      <c r="P1528" s="249"/>
      <c r="Q1528" s="330"/>
      <c r="R1528" s="250"/>
      <c r="S1528" s="249"/>
      <c r="T1528" s="330"/>
      <c r="U1528" s="250"/>
      <c r="V1528" s="249"/>
      <c r="W1528" s="330"/>
      <c r="X1528" s="343"/>
      <c r="Y1528" s="249"/>
      <c r="Z1528" s="330"/>
      <c r="AA1528" s="343"/>
      <c r="AB1528" s="249"/>
      <c r="AC1528" s="330"/>
      <c r="AD1528" s="343"/>
      <c r="AE1528" s="249"/>
      <c r="AF1528" s="330"/>
      <c r="AG1528" s="343"/>
      <c r="AH1528" s="249"/>
      <c r="AI1528" s="330"/>
      <c r="AJ1528" s="343"/>
      <c r="AK1528" s="249"/>
      <c r="AL1528" s="330"/>
      <c r="AM1528" s="343"/>
      <c r="AN1528" s="249"/>
      <c r="AO1528" s="330"/>
      <c r="AP1528" s="343"/>
      <c r="AQ1528" s="249"/>
      <c r="AR1528" s="330"/>
      <c r="AS1528" s="343"/>
      <c r="AT1528" s="249"/>
      <c r="AU1528" s="330"/>
    </row>
    <row r="1529" spans="2:47">
      <c r="B1529" s="247">
        <f>'Table S2 Compound Identifiers'!C1531</f>
        <v>0</v>
      </c>
      <c r="C1529" s="247">
        <f>COUNTIF($D$6:D1529,"&lt;&gt;"&amp;"")</f>
        <v>1524</v>
      </c>
      <c r="D1529" s="247">
        <f>'Table S2 Compound Identifiers'!B1531</f>
        <v>0</v>
      </c>
      <c r="E1529" s="247"/>
      <c r="F1529" s="248"/>
      <c r="G1529" s="249"/>
      <c r="H1529" s="330"/>
      <c r="I1529" s="328"/>
      <c r="J1529" s="249"/>
      <c r="K1529" s="330"/>
      <c r="L1529" s="250"/>
      <c r="M1529" s="249"/>
      <c r="N1529" s="330"/>
      <c r="O1529" s="250"/>
      <c r="P1529" s="249"/>
      <c r="Q1529" s="330"/>
      <c r="R1529" s="250"/>
      <c r="S1529" s="249"/>
      <c r="T1529" s="330"/>
      <c r="U1529" s="250"/>
      <c r="V1529" s="249"/>
      <c r="W1529" s="330"/>
      <c r="X1529" s="343"/>
      <c r="Y1529" s="249"/>
      <c r="Z1529" s="330"/>
      <c r="AA1529" s="343"/>
      <c r="AB1529" s="249"/>
      <c r="AC1529" s="330"/>
      <c r="AD1529" s="343"/>
      <c r="AE1529" s="249"/>
      <c r="AF1529" s="330"/>
      <c r="AG1529" s="343"/>
      <c r="AH1529" s="249"/>
      <c r="AI1529" s="330"/>
      <c r="AJ1529" s="343"/>
      <c r="AK1529" s="249"/>
      <c r="AL1529" s="330"/>
      <c r="AM1529" s="343"/>
      <c r="AN1529" s="249"/>
      <c r="AO1529" s="330"/>
      <c r="AP1529" s="343"/>
      <c r="AQ1529" s="249"/>
      <c r="AR1529" s="330"/>
      <c r="AS1529" s="343"/>
      <c r="AT1529" s="249"/>
      <c r="AU1529" s="330"/>
    </row>
    <row r="1530" spans="2:47">
      <c r="B1530" s="247">
        <f>'Table S2 Compound Identifiers'!C1532</f>
        <v>0</v>
      </c>
      <c r="C1530" s="247">
        <f>COUNTIF($D$6:D1530,"&lt;&gt;"&amp;"")</f>
        <v>1525</v>
      </c>
      <c r="D1530" s="247">
        <f>'Table S2 Compound Identifiers'!B1532</f>
        <v>0</v>
      </c>
      <c r="E1530" s="247"/>
      <c r="F1530" s="248"/>
      <c r="G1530" s="249"/>
      <c r="H1530" s="330"/>
      <c r="I1530" s="328"/>
      <c r="J1530" s="249"/>
      <c r="K1530" s="330"/>
      <c r="L1530" s="250"/>
      <c r="M1530" s="249"/>
      <c r="N1530" s="330"/>
      <c r="O1530" s="250"/>
      <c r="P1530" s="249"/>
      <c r="Q1530" s="330"/>
      <c r="R1530" s="250"/>
      <c r="S1530" s="249"/>
      <c r="T1530" s="330"/>
      <c r="U1530" s="250"/>
      <c r="V1530" s="249"/>
      <c r="W1530" s="330"/>
      <c r="X1530" s="343"/>
      <c r="Y1530" s="249"/>
      <c r="Z1530" s="330"/>
      <c r="AA1530" s="343"/>
      <c r="AB1530" s="249"/>
      <c r="AC1530" s="330"/>
      <c r="AD1530" s="343"/>
      <c r="AE1530" s="249"/>
      <c r="AF1530" s="330"/>
      <c r="AG1530" s="343"/>
      <c r="AH1530" s="249"/>
      <c r="AI1530" s="330"/>
      <c r="AJ1530" s="343"/>
      <c r="AK1530" s="249"/>
      <c r="AL1530" s="330"/>
      <c r="AM1530" s="343"/>
      <c r="AN1530" s="249"/>
      <c r="AO1530" s="330"/>
      <c r="AP1530" s="343"/>
      <c r="AQ1530" s="249"/>
      <c r="AR1530" s="330"/>
      <c r="AS1530" s="343"/>
      <c r="AT1530" s="249"/>
      <c r="AU1530" s="330"/>
    </row>
    <row r="1531" spans="2:47">
      <c r="B1531" s="247">
        <f>'Table S2 Compound Identifiers'!C1533</f>
        <v>0</v>
      </c>
      <c r="C1531" s="247">
        <f>COUNTIF($D$6:D1531,"&lt;&gt;"&amp;"")</f>
        <v>1526</v>
      </c>
      <c r="D1531" s="247">
        <f>'Table S2 Compound Identifiers'!B1533</f>
        <v>0</v>
      </c>
      <c r="E1531" s="247"/>
      <c r="F1531" s="248"/>
      <c r="G1531" s="249"/>
      <c r="H1531" s="330"/>
      <c r="I1531" s="328"/>
      <c r="J1531" s="249"/>
      <c r="K1531" s="330"/>
      <c r="L1531" s="250"/>
      <c r="M1531" s="249"/>
      <c r="N1531" s="330"/>
      <c r="O1531" s="250"/>
      <c r="P1531" s="249"/>
      <c r="Q1531" s="330"/>
      <c r="R1531" s="250"/>
      <c r="S1531" s="249"/>
      <c r="T1531" s="330"/>
      <c r="U1531" s="250"/>
      <c r="V1531" s="249"/>
      <c r="W1531" s="330"/>
      <c r="X1531" s="343"/>
      <c r="Y1531" s="249"/>
      <c r="Z1531" s="330"/>
      <c r="AA1531" s="343"/>
      <c r="AB1531" s="249"/>
      <c r="AC1531" s="330"/>
      <c r="AD1531" s="343"/>
      <c r="AE1531" s="249"/>
      <c r="AF1531" s="330"/>
      <c r="AG1531" s="343"/>
      <c r="AH1531" s="249"/>
      <c r="AI1531" s="330"/>
      <c r="AJ1531" s="343"/>
      <c r="AK1531" s="249"/>
      <c r="AL1531" s="330"/>
      <c r="AM1531" s="343"/>
      <c r="AN1531" s="249"/>
      <c r="AO1531" s="330"/>
      <c r="AP1531" s="343"/>
      <c r="AQ1531" s="249"/>
      <c r="AR1531" s="330"/>
      <c r="AS1531" s="343"/>
      <c r="AT1531" s="249"/>
      <c r="AU1531" s="330"/>
    </row>
    <row r="1532" spans="2:47">
      <c r="B1532" s="247">
        <f>'Table S2 Compound Identifiers'!C1534</f>
        <v>0</v>
      </c>
      <c r="C1532" s="247">
        <f>COUNTIF($D$6:D1532,"&lt;&gt;"&amp;"")</f>
        <v>1527</v>
      </c>
      <c r="D1532" s="247">
        <f>'Table S2 Compound Identifiers'!B1534</f>
        <v>0</v>
      </c>
      <c r="E1532" s="247"/>
      <c r="F1532" s="248"/>
      <c r="G1532" s="249"/>
      <c r="H1532" s="330"/>
      <c r="I1532" s="328"/>
      <c r="J1532" s="249"/>
      <c r="K1532" s="330"/>
      <c r="L1532" s="250"/>
      <c r="M1532" s="249"/>
      <c r="N1532" s="330"/>
      <c r="O1532" s="250"/>
      <c r="P1532" s="249"/>
      <c r="Q1532" s="330"/>
      <c r="R1532" s="250"/>
      <c r="S1532" s="249"/>
      <c r="T1532" s="330"/>
      <c r="U1532" s="250"/>
      <c r="V1532" s="249"/>
      <c r="W1532" s="330"/>
      <c r="X1532" s="343"/>
      <c r="Y1532" s="249"/>
      <c r="Z1532" s="330"/>
      <c r="AA1532" s="343"/>
      <c r="AB1532" s="249"/>
      <c r="AC1532" s="330"/>
      <c r="AD1532" s="343"/>
      <c r="AE1532" s="249"/>
      <c r="AF1532" s="330"/>
      <c r="AG1532" s="343"/>
      <c r="AH1532" s="249"/>
      <c r="AI1532" s="330"/>
      <c r="AJ1532" s="343"/>
      <c r="AK1532" s="249"/>
      <c r="AL1532" s="330"/>
      <c r="AM1532" s="343"/>
      <c r="AN1532" s="249"/>
      <c r="AO1532" s="330"/>
      <c r="AP1532" s="343"/>
      <c r="AQ1532" s="249"/>
      <c r="AR1532" s="330"/>
      <c r="AS1532" s="343"/>
      <c r="AT1532" s="249"/>
      <c r="AU1532" s="330"/>
    </row>
    <row r="1533" spans="2:47">
      <c r="B1533" s="247">
        <f>'Table S2 Compound Identifiers'!C1535</f>
        <v>0</v>
      </c>
      <c r="C1533" s="247">
        <f>COUNTIF($D$6:D1533,"&lt;&gt;"&amp;"")</f>
        <v>1528</v>
      </c>
      <c r="D1533" s="247">
        <f>'Table S2 Compound Identifiers'!B1535</f>
        <v>0</v>
      </c>
      <c r="E1533" s="247"/>
      <c r="F1533" s="248"/>
      <c r="G1533" s="249"/>
      <c r="H1533" s="330"/>
      <c r="I1533" s="328"/>
      <c r="J1533" s="249"/>
      <c r="K1533" s="330"/>
      <c r="L1533" s="250"/>
      <c r="M1533" s="249"/>
      <c r="N1533" s="330"/>
      <c r="O1533" s="250"/>
      <c r="P1533" s="249"/>
      <c r="Q1533" s="330"/>
      <c r="R1533" s="250"/>
      <c r="S1533" s="249"/>
      <c r="T1533" s="330"/>
      <c r="U1533" s="250"/>
      <c r="V1533" s="249"/>
      <c r="W1533" s="330"/>
      <c r="X1533" s="343"/>
      <c r="Y1533" s="249"/>
      <c r="Z1533" s="330"/>
      <c r="AA1533" s="343"/>
      <c r="AB1533" s="249"/>
      <c r="AC1533" s="330"/>
      <c r="AD1533" s="343"/>
      <c r="AE1533" s="249"/>
      <c r="AF1533" s="330"/>
      <c r="AG1533" s="343"/>
      <c r="AH1533" s="249"/>
      <c r="AI1533" s="330"/>
      <c r="AJ1533" s="343"/>
      <c r="AK1533" s="249"/>
      <c r="AL1533" s="330"/>
      <c r="AM1533" s="343"/>
      <c r="AN1533" s="249"/>
      <c r="AO1533" s="330"/>
      <c r="AP1533" s="343"/>
      <c r="AQ1533" s="249"/>
      <c r="AR1533" s="330"/>
      <c r="AS1533" s="343"/>
      <c r="AT1533" s="249"/>
      <c r="AU1533" s="330"/>
    </row>
    <row r="1534" spans="2:47">
      <c r="B1534" s="247">
        <f>'Table S2 Compound Identifiers'!C1536</f>
        <v>0</v>
      </c>
      <c r="C1534" s="247">
        <f>COUNTIF($D$6:D1534,"&lt;&gt;"&amp;"")</f>
        <v>1529</v>
      </c>
      <c r="D1534" s="247">
        <f>'Table S2 Compound Identifiers'!B1536</f>
        <v>0</v>
      </c>
      <c r="E1534" s="247"/>
      <c r="F1534" s="248"/>
      <c r="G1534" s="249"/>
      <c r="H1534" s="330"/>
      <c r="I1534" s="328"/>
      <c r="J1534" s="249"/>
      <c r="K1534" s="330"/>
      <c r="L1534" s="250"/>
      <c r="M1534" s="249"/>
      <c r="N1534" s="330"/>
      <c r="O1534" s="250"/>
      <c r="P1534" s="249"/>
      <c r="Q1534" s="330"/>
      <c r="R1534" s="250"/>
      <c r="S1534" s="249"/>
      <c r="T1534" s="330"/>
      <c r="U1534" s="250"/>
      <c r="V1534" s="249"/>
      <c r="W1534" s="330"/>
      <c r="X1534" s="343"/>
      <c r="Y1534" s="249"/>
      <c r="Z1534" s="330"/>
      <c r="AA1534" s="343"/>
      <c r="AB1534" s="249"/>
      <c r="AC1534" s="330"/>
      <c r="AD1534" s="343"/>
      <c r="AE1534" s="249"/>
      <c r="AF1534" s="330"/>
      <c r="AG1534" s="343"/>
      <c r="AH1534" s="249"/>
      <c r="AI1534" s="330"/>
      <c r="AJ1534" s="343"/>
      <c r="AK1534" s="249"/>
      <c r="AL1534" s="330"/>
      <c r="AM1534" s="343"/>
      <c r="AN1534" s="249"/>
      <c r="AO1534" s="330"/>
      <c r="AP1534" s="343"/>
      <c r="AQ1534" s="249"/>
      <c r="AR1534" s="330"/>
      <c r="AS1534" s="343"/>
      <c r="AT1534" s="249"/>
      <c r="AU1534" s="330"/>
    </row>
    <row r="1535" spans="2:47">
      <c r="B1535" s="247">
        <f>'Table S2 Compound Identifiers'!C1537</f>
        <v>0</v>
      </c>
      <c r="C1535" s="247">
        <f>COUNTIF($D$6:D1535,"&lt;&gt;"&amp;"")</f>
        <v>1530</v>
      </c>
      <c r="D1535" s="247">
        <f>'Table S2 Compound Identifiers'!B1537</f>
        <v>0</v>
      </c>
      <c r="E1535" s="247"/>
      <c r="F1535" s="248"/>
      <c r="G1535" s="249"/>
      <c r="H1535" s="330"/>
      <c r="I1535" s="328"/>
      <c r="J1535" s="249"/>
      <c r="K1535" s="330"/>
      <c r="L1535" s="250"/>
      <c r="M1535" s="249"/>
      <c r="N1535" s="330"/>
      <c r="O1535" s="250"/>
      <c r="P1535" s="249"/>
      <c r="Q1535" s="330"/>
      <c r="R1535" s="250"/>
      <c r="S1535" s="249"/>
      <c r="T1535" s="330"/>
      <c r="U1535" s="250"/>
      <c r="V1535" s="249"/>
      <c r="W1535" s="330"/>
      <c r="X1535" s="343"/>
      <c r="Y1535" s="249"/>
      <c r="Z1535" s="330"/>
      <c r="AA1535" s="343"/>
      <c r="AB1535" s="249"/>
      <c r="AC1535" s="330"/>
      <c r="AD1535" s="343"/>
      <c r="AE1535" s="249"/>
      <c r="AF1535" s="330"/>
      <c r="AG1535" s="343"/>
      <c r="AH1535" s="249"/>
      <c r="AI1535" s="330"/>
      <c r="AJ1535" s="343"/>
      <c r="AK1535" s="249"/>
      <c r="AL1535" s="330"/>
      <c r="AM1535" s="343"/>
      <c r="AN1535" s="249"/>
      <c r="AO1535" s="330"/>
      <c r="AP1535" s="343"/>
      <c r="AQ1535" s="249"/>
      <c r="AR1535" s="330"/>
      <c r="AS1535" s="343"/>
      <c r="AT1535" s="249"/>
      <c r="AU1535" s="330"/>
    </row>
    <row r="1536" spans="2:47">
      <c r="B1536" s="247">
        <f>'Table S2 Compound Identifiers'!C1538</f>
        <v>0</v>
      </c>
      <c r="C1536" s="247">
        <f>COUNTIF($D$6:D1536,"&lt;&gt;"&amp;"")</f>
        <v>1531</v>
      </c>
      <c r="D1536" s="247">
        <f>'Table S2 Compound Identifiers'!B1538</f>
        <v>0</v>
      </c>
      <c r="E1536" s="247"/>
      <c r="F1536" s="248"/>
      <c r="G1536" s="249"/>
      <c r="H1536" s="330"/>
      <c r="I1536" s="328"/>
      <c r="J1536" s="249"/>
      <c r="K1536" s="330"/>
      <c r="L1536" s="250"/>
      <c r="M1536" s="249"/>
      <c r="N1536" s="330"/>
      <c r="O1536" s="250"/>
      <c r="P1536" s="249"/>
      <c r="Q1536" s="330"/>
      <c r="R1536" s="250"/>
      <c r="S1536" s="249"/>
      <c r="T1536" s="330"/>
      <c r="U1536" s="250"/>
      <c r="V1536" s="249"/>
      <c r="W1536" s="330"/>
      <c r="X1536" s="343"/>
      <c r="Y1536" s="249"/>
      <c r="Z1536" s="330"/>
      <c r="AA1536" s="343"/>
      <c r="AB1536" s="249"/>
      <c r="AC1536" s="330"/>
      <c r="AD1536" s="343"/>
      <c r="AE1536" s="249"/>
      <c r="AF1536" s="330"/>
      <c r="AG1536" s="343"/>
      <c r="AH1536" s="249"/>
      <c r="AI1536" s="330"/>
      <c r="AJ1536" s="343"/>
      <c r="AK1536" s="249"/>
      <c r="AL1536" s="330"/>
      <c r="AM1536" s="343"/>
      <c r="AN1536" s="249"/>
      <c r="AO1536" s="330"/>
      <c r="AP1536" s="343"/>
      <c r="AQ1536" s="249"/>
      <c r="AR1536" s="330"/>
      <c r="AS1536" s="343"/>
      <c r="AT1536" s="249"/>
      <c r="AU1536" s="330"/>
    </row>
    <row r="1537" spans="2:47">
      <c r="B1537" s="247">
        <f>'Table S2 Compound Identifiers'!C1539</f>
        <v>0</v>
      </c>
      <c r="C1537" s="247">
        <f>COUNTIF($D$6:D1537,"&lt;&gt;"&amp;"")</f>
        <v>1532</v>
      </c>
      <c r="D1537" s="247">
        <f>'Table S2 Compound Identifiers'!B1539</f>
        <v>0</v>
      </c>
      <c r="E1537" s="247"/>
      <c r="F1537" s="248"/>
      <c r="G1537" s="249"/>
      <c r="H1537" s="330"/>
      <c r="I1537" s="328"/>
      <c r="J1537" s="249"/>
      <c r="K1537" s="330"/>
      <c r="L1537" s="250"/>
      <c r="M1537" s="249"/>
      <c r="N1537" s="330"/>
      <c r="O1537" s="250"/>
      <c r="P1537" s="249"/>
      <c r="Q1537" s="330"/>
      <c r="R1537" s="250"/>
      <c r="S1537" s="249"/>
      <c r="T1537" s="330"/>
      <c r="U1537" s="250"/>
      <c r="V1537" s="249"/>
      <c r="W1537" s="330"/>
      <c r="X1537" s="343"/>
      <c r="Y1537" s="249"/>
      <c r="Z1537" s="330"/>
      <c r="AA1537" s="343"/>
      <c r="AB1537" s="249"/>
      <c r="AC1537" s="330"/>
      <c r="AD1537" s="343"/>
      <c r="AE1537" s="249"/>
      <c r="AF1537" s="330"/>
      <c r="AG1537" s="343"/>
      <c r="AH1537" s="249"/>
      <c r="AI1537" s="330"/>
      <c r="AJ1537" s="343"/>
      <c r="AK1537" s="249"/>
      <c r="AL1537" s="330"/>
      <c r="AM1537" s="343"/>
      <c r="AN1537" s="249"/>
      <c r="AO1537" s="330"/>
      <c r="AP1537" s="343"/>
      <c r="AQ1537" s="249"/>
      <c r="AR1537" s="330"/>
      <c r="AS1537" s="343"/>
      <c r="AT1537" s="249"/>
      <c r="AU1537" s="330"/>
    </row>
    <row r="1538" spans="2:47">
      <c r="B1538" s="247">
        <f>'Table S2 Compound Identifiers'!C1540</f>
        <v>0</v>
      </c>
      <c r="C1538" s="247">
        <f>COUNTIF($D$6:D1538,"&lt;&gt;"&amp;"")</f>
        <v>1533</v>
      </c>
      <c r="D1538" s="247">
        <f>'Table S2 Compound Identifiers'!B1540</f>
        <v>0</v>
      </c>
      <c r="E1538" s="247"/>
      <c r="F1538" s="248"/>
      <c r="G1538" s="249"/>
      <c r="H1538" s="330"/>
      <c r="I1538" s="328"/>
      <c r="J1538" s="249"/>
      <c r="K1538" s="330"/>
      <c r="L1538" s="250"/>
      <c r="M1538" s="249"/>
      <c r="N1538" s="330"/>
      <c r="O1538" s="250"/>
      <c r="P1538" s="249"/>
      <c r="Q1538" s="330"/>
      <c r="R1538" s="250"/>
      <c r="S1538" s="249"/>
      <c r="T1538" s="330"/>
      <c r="U1538" s="250"/>
      <c r="V1538" s="249"/>
      <c r="W1538" s="330"/>
      <c r="X1538" s="343"/>
      <c r="Y1538" s="249"/>
      <c r="Z1538" s="330"/>
      <c r="AA1538" s="343"/>
      <c r="AB1538" s="249"/>
      <c r="AC1538" s="330"/>
      <c r="AD1538" s="343"/>
      <c r="AE1538" s="249"/>
      <c r="AF1538" s="330"/>
      <c r="AG1538" s="343"/>
      <c r="AH1538" s="249"/>
      <c r="AI1538" s="330"/>
      <c r="AJ1538" s="343"/>
      <c r="AK1538" s="249"/>
      <c r="AL1538" s="330"/>
      <c r="AM1538" s="343"/>
      <c r="AN1538" s="249"/>
      <c r="AO1538" s="330"/>
      <c r="AP1538" s="343"/>
      <c r="AQ1538" s="249"/>
      <c r="AR1538" s="330"/>
      <c r="AS1538" s="343"/>
      <c r="AT1538" s="249"/>
      <c r="AU1538" s="330"/>
    </row>
    <row r="1539" spans="2:47">
      <c r="B1539" s="247">
        <f>'Table S2 Compound Identifiers'!C1541</f>
        <v>0</v>
      </c>
      <c r="C1539" s="247">
        <f>COUNTIF($D$6:D1539,"&lt;&gt;"&amp;"")</f>
        <v>1534</v>
      </c>
      <c r="D1539" s="247">
        <f>'Table S2 Compound Identifiers'!B1541</f>
        <v>0</v>
      </c>
      <c r="E1539" s="247"/>
      <c r="F1539" s="248"/>
      <c r="G1539" s="249"/>
      <c r="H1539" s="330"/>
      <c r="I1539" s="328"/>
      <c r="J1539" s="249"/>
      <c r="K1539" s="330"/>
      <c r="L1539" s="250"/>
      <c r="M1539" s="249"/>
      <c r="N1539" s="330"/>
      <c r="O1539" s="250"/>
      <c r="P1539" s="249"/>
      <c r="Q1539" s="330"/>
      <c r="R1539" s="250"/>
      <c r="S1539" s="249"/>
      <c r="T1539" s="330"/>
      <c r="U1539" s="250"/>
      <c r="V1539" s="249"/>
      <c r="W1539" s="330"/>
      <c r="X1539" s="343"/>
      <c r="Y1539" s="249"/>
      <c r="Z1539" s="330"/>
      <c r="AA1539" s="343"/>
      <c r="AB1539" s="249"/>
      <c r="AC1539" s="330"/>
      <c r="AD1539" s="343"/>
      <c r="AE1539" s="249"/>
      <c r="AF1539" s="330"/>
      <c r="AG1539" s="343"/>
      <c r="AH1539" s="249"/>
      <c r="AI1539" s="330"/>
      <c r="AJ1539" s="343"/>
      <c r="AK1539" s="249"/>
      <c r="AL1539" s="330"/>
      <c r="AM1539" s="343"/>
      <c r="AN1539" s="249"/>
      <c r="AO1539" s="330"/>
      <c r="AP1539" s="343"/>
      <c r="AQ1539" s="249"/>
      <c r="AR1539" s="330"/>
      <c r="AS1539" s="343"/>
      <c r="AT1539" s="249"/>
      <c r="AU1539" s="330"/>
    </row>
    <row r="1540" spans="2:47">
      <c r="B1540" s="247">
        <f>'Table S2 Compound Identifiers'!C1542</f>
        <v>0</v>
      </c>
      <c r="C1540" s="247">
        <f>COUNTIF($D$6:D1540,"&lt;&gt;"&amp;"")</f>
        <v>1535</v>
      </c>
      <c r="D1540" s="247">
        <f>'Table S2 Compound Identifiers'!B1542</f>
        <v>0</v>
      </c>
      <c r="E1540" s="247"/>
      <c r="F1540" s="248"/>
      <c r="G1540" s="249"/>
      <c r="H1540" s="330"/>
      <c r="I1540" s="328"/>
      <c r="J1540" s="249"/>
      <c r="K1540" s="330"/>
      <c r="L1540" s="250"/>
      <c r="M1540" s="249"/>
      <c r="N1540" s="330"/>
      <c r="O1540" s="250"/>
      <c r="P1540" s="249"/>
      <c r="Q1540" s="330"/>
      <c r="R1540" s="250"/>
      <c r="S1540" s="249"/>
      <c r="T1540" s="330"/>
      <c r="U1540" s="250"/>
      <c r="V1540" s="249"/>
      <c r="W1540" s="330"/>
      <c r="X1540" s="343"/>
      <c r="Y1540" s="249"/>
      <c r="Z1540" s="330"/>
      <c r="AA1540" s="343"/>
      <c r="AB1540" s="249"/>
      <c r="AC1540" s="330"/>
      <c r="AD1540" s="343"/>
      <c r="AE1540" s="249"/>
      <c r="AF1540" s="330"/>
      <c r="AG1540" s="343"/>
      <c r="AH1540" s="249"/>
      <c r="AI1540" s="330"/>
      <c r="AJ1540" s="343"/>
      <c r="AK1540" s="249"/>
      <c r="AL1540" s="330"/>
      <c r="AM1540" s="343"/>
      <c r="AN1540" s="249"/>
      <c r="AO1540" s="330"/>
      <c r="AP1540" s="343"/>
      <c r="AQ1540" s="249"/>
      <c r="AR1540" s="330"/>
      <c r="AS1540" s="343"/>
      <c r="AT1540" s="249"/>
      <c r="AU1540" s="330"/>
    </row>
    <row r="1541" spans="2:47">
      <c r="B1541" s="247">
        <f>'Table S2 Compound Identifiers'!C1543</f>
        <v>0</v>
      </c>
      <c r="C1541" s="247">
        <f>COUNTIF($D$6:D1541,"&lt;&gt;"&amp;"")</f>
        <v>1536</v>
      </c>
      <c r="D1541" s="247">
        <f>'Table S2 Compound Identifiers'!B1543</f>
        <v>0</v>
      </c>
      <c r="E1541" s="247"/>
      <c r="F1541" s="248"/>
      <c r="G1541" s="249"/>
      <c r="H1541" s="330"/>
      <c r="I1541" s="328"/>
      <c r="J1541" s="249"/>
      <c r="K1541" s="330"/>
      <c r="L1541" s="250"/>
      <c r="M1541" s="249"/>
      <c r="N1541" s="330"/>
      <c r="O1541" s="250"/>
      <c r="P1541" s="249"/>
      <c r="Q1541" s="330"/>
      <c r="R1541" s="250"/>
      <c r="S1541" s="249"/>
      <c r="T1541" s="330"/>
      <c r="U1541" s="250"/>
      <c r="V1541" s="249"/>
      <c r="W1541" s="330"/>
      <c r="X1541" s="343"/>
      <c r="Y1541" s="249"/>
      <c r="Z1541" s="330"/>
      <c r="AA1541" s="343"/>
      <c r="AB1541" s="249"/>
      <c r="AC1541" s="330"/>
      <c r="AD1541" s="343"/>
      <c r="AE1541" s="249"/>
      <c r="AF1541" s="330"/>
      <c r="AG1541" s="343"/>
      <c r="AH1541" s="249"/>
      <c r="AI1541" s="330"/>
      <c r="AJ1541" s="343"/>
      <c r="AK1541" s="249"/>
      <c r="AL1541" s="330"/>
      <c r="AM1541" s="343"/>
      <c r="AN1541" s="249"/>
      <c r="AO1541" s="330"/>
      <c r="AP1541" s="343"/>
      <c r="AQ1541" s="249"/>
      <c r="AR1541" s="330"/>
      <c r="AS1541" s="343"/>
      <c r="AT1541" s="249"/>
      <c r="AU1541" s="330"/>
    </row>
    <row r="1542" spans="2:47">
      <c r="B1542" s="247">
        <f>'Table S2 Compound Identifiers'!C1544</f>
        <v>0</v>
      </c>
      <c r="C1542" s="247">
        <f>COUNTIF($D$6:D1542,"&lt;&gt;"&amp;"")</f>
        <v>1537</v>
      </c>
      <c r="D1542" s="432">
        <f>'Table S2 Compound Identifiers'!B1544</f>
        <v>0</v>
      </c>
      <c r="E1542" s="247"/>
      <c r="F1542" s="248"/>
      <c r="G1542" s="249"/>
      <c r="H1542" s="330"/>
      <c r="I1542" s="328"/>
      <c r="J1542" s="249"/>
      <c r="K1542" s="330"/>
      <c r="L1542" s="250"/>
      <c r="M1542" s="249"/>
      <c r="N1542" s="330"/>
      <c r="O1542" s="250"/>
      <c r="P1542" s="249"/>
      <c r="Q1542" s="330"/>
      <c r="R1542" s="250"/>
      <c r="S1542" s="249"/>
      <c r="T1542" s="330"/>
      <c r="U1542" s="250"/>
      <c r="V1542" s="249"/>
      <c r="W1542" s="330"/>
      <c r="X1542" s="343"/>
      <c r="Y1542" s="249"/>
      <c r="Z1542" s="330"/>
      <c r="AA1542" s="343"/>
      <c r="AB1542" s="249"/>
      <c r="AC1542" s="330"/>
      <c r="AD1542" s="343"/>
      <c r="AE1542" s="249"/>
      <c r="AF1542" s="330"/>
      <c r="AG1542" s="343"/>
      <c r="AH1542" s="249"/>
      <c r="AI1542" s="330"/>
      <c r="AJ1542" s="343"/>
      <c r="AK1542" s="249"/>
      <c r="AL1542" s="330"/>
      <c r="AM1542" s="343"/>
      <c r="AN1542" s="249"/>
      <c r="AO1542" s="330"/>
      <c r="AP1542" s="343"/>
      <c r="AQ1542" s="249"/>
      <c r="AR1542" s="330"/>
      <c r="AS1542" s="343"/>
      <c r="AT1542" s="249"/>
      <c r="AU1542" s="330"/>
    </row>
    <row r="1543" spans="2:47">
      <c r="B1543" s="247">
        <f>'Table S2 Compound Identifiers'!C1545</f>
        <v>0</v>
      </c>
      <c r="C1543" s="247">
        <f>COUNTIF($D$6:D1543,"&lt;&gt;"&amp;"")</f>
        <v>1538</v>
      </c>
      <c r="D1543" s="432">
        <f>'Table S2 Compound Identifiers'!B1545</f>
        <v>0</v>
      </c>
      <c r="E1543" s="247"/>
      <c r="F1543" s="248"/>
      <c r="G1543" s="249"/>
      <c r="H1543" s="330"/>
      <c r="I1543" s="328"/>
      <c r="J1543" s="249"/>
      <c r="K1543" s="330"/>
      <c r="L1543" s="250"/>
      <c r="M1543" s="249"/>
      <c r="N1543" s="330"/>
      <c r="O1543" s="250"/>
      <c r="P1543" s="249"/>
      <c r="Q1543" s="330"/>
      <c r="R1543" s="250"/>
      <c r="S1543" s="249"/>
      <c r="T1543" s="330"/>
      <c r="U1543" s="250"/>
      <c r="V1543" s="249"/>
      <c r="W1543" s="330"/>
      <c r="X1543" s="343"/>
      <c r="Y1543" s="249"/>
      <c r="Z1543" s="330"/>
      <c r="AA1543" s="343"/>
      <c r="AB1543" s="249"/>
      <c r="AC1543" s="330"/>
      <c r="AD1543" s="343"/>
      <c r="AE1543" s="249"/>
      <c r="AF1543" s="330"/>
      <c r="AG1543" s="343"/>
      <c r="AH1543" s="249"/>
      <c r="AI1543" s="330"/>
      <c r="AJ1543" s="343"/>
      <c r="AK1543" s="249"/>
      <c r="AL1543" s="330"/>
      <c r="AM1543" s="343"/>
      <c r="AN1543" s="249"/>
      <c r="AO1543" s="330"/>
      <c r="AP1543" s="343"/>
      <c r="AQ1543" s="249"/>
      <c r="AR1543" s="330"/>
      <c r="AS1543" s="343"/>
      <c r="AT1543" s="249"/>
      <c r="AU1543" s="330"/>
    </row>
    <row r="1544" spans="2:47">
      <c r="B1544" s="247">
        <f>'Table S2 Compound Identifiers'!C1546</f>
        <v>0</v>
      </c>
      <c r="C1544" s="247">
        <f>COUNTIF($D$6:D1544,"&lt;&gt;"&amp;"")</f>
        <v>1539</v>
      </c>
      <c r="D1544" s="432">
        <f>'Table S2 Compound Identifiers'!B1546</f>
        <v>0</v>
      </c>
      <c r="E1544" s="247"/>
      <c r="F1544" s="248"/>
      <c r="G1544" s="249"/>
      <c r="H1544" s="330"/>
      <c r="I1544" s="328"/>
      <c r="J1544" s="249"/>
      <c r="K1544" s="330"/>
      <c r="L1544" s="250"/>
      <c r="M1544" s="249"/>
      <c r="N1544" s="330"/>
      <c r="O1544" s="250"/>
      <c r="P1544" s="249"/>
      <c r="Q1544" s="330"/>
      <c r="R1544" s="250"/>
      <c r="S1544" s="249"/>
      <c r="T1544" s="330"/>
      <c r="U1544" s="250"/>
      <c r="V1544" s="249"/>
      <c r="W1544" s="330"/>
      <c r="X1544" s="343"/>
      <c r="Y1544" s="249"/>
      <c r="Z1544" s="330"/>
      <c r="AA1544" s="343"/>
      <c r="AB1544" s="249"/>
      <c r="AC1544" s="330"/>
      <c r="AD1544" s="343"/>
      <c r="AE1544" s="249"/>
      <c r="AF1544" s="330"/>
      <c r="AG1544" s="343"/>
      <c r="AH1544" s="249"/>
      <c r="AI1544" s="330"/>
      <c r="AJ1544" s="343"/>
      <c r="AK1544" s="249"/>
      <c r="AL1544" s="330"/>
      <c r="AM1544" s="343"/>
      <c r="AN1544" s="249"/>
      <c r="AO1544" s="330"/>
      <c r="AP1544" s="343"/>
      <c r="AQ1544" s="249"/>
      <c r="AR1544" s="330"/>
      <c r="AS1544" s="343"/>
      <c r="AT1544" s="249"/>
      <c r="AU1544" s="330"/>
    </row>
    <row r="1545" spans="2:47">
      <c r="B1545" s="247">
        <f>'Table S2 Compound Identifiers'!C1547</f>
        <v>0</v>
      </c>
      <c r="C1545" s="247">
        <f>COUNTIF($D$6:D1545,"&lt;&gt;"&amp;"")</f>
        <v>1540</v>
      </c>
      <c r="D1545" s="432">
        <f>'Table S2 Compound Identifiers'!B1547</f>
        <v>0</v>
      </c>
      <c r="E1545" s="247"/>
      <c r="F1545" s="248"/>
      <c r="G1545" s="249"/>
      <c r="H1545" s="330"/>
      <c r="I1545" s="328"/>
      <c r="J1545" s="249"/>
      <c r="K1545" s="330"/>
      <c r="L1545" s="250"/>
      <c r="M1545" s="249"/>
      <c r="N1545" s="330"/>
      <c r="O1545" s="250"/>
      <c r="P1545" s="249"/>
      <c r="Q1545" s="330"/>
      <c r="R1545" s="250"/>
      <c r="S1545" s="249"/>
      <c r="T1545" s="330"/>
      <c r="U1545" s="250"/>
      <c r="V1545" s="249"/>
      <c r="W1545" s="330"/>
      <c r="X1545" s="343"/>
      <c r="Y1545" s="249"/>
      <c r="Z1545" s="330"/>
      <c r="AA1545" s="343"/>
      <c r="AB1545" s="249"/>
      <c r="AC1545" s="330"/>
      <c r="AD1545" s="343"/>
      <c r="AE1545" s="249"/>
      <c r="AF1545" s="330"/>
      <c r="AG1545" s="343"/>
      <c r="AH1545" s="249"/>
      <c r="AI1545" s="330"/>
      <c r="AJ1545" s="343"/>
      <c r="AK1545" s="249"/>
      <c r="AL1545" s="330"/>
      <c r="AM1545" s="343"/>
      <c r="AN1545" s="249"/>
      <c r="AO1545" s="330"/>
      <c r="AP1545" s="343"/>
      <c r="AQ1545" s="249"/>
      <c r="AR1545" s="330"/>
      <c r="AS1545" s="343"/>
      <c r="AT1545" s="249"/>
      <c r="AU1545" s="330"/>
    </row>
    <row r="1546" spans="2:47">
      <c r="B1546" s="247">
        <f>'Table S2 Compound Identifiers'!C1548</f>
        <v>0</v>
      </c>
      <c r="C1546" s="247">
        <f>COUNTIF($D$6:D1546,"&lt;&gt;"&amp;"")</f>
        <v>1541</v>
      </c>
      <c r="D1546" s="432">
        <f>'Table S2 Compound Identifiers'!B1548</f>
        <v>0</v>
      </c>
      <c r="E1546" s="247"/>
      <c r="F1546" s="248"/>
      <c r="G1546" s="249"/>
      <c r="H1546" s="330"/>
      <c r="I1546" s="328"/>
      <c r="J1546" s="249"/>
      <c r="K1546" s="330"/>
      <c r="L1546" s="250"/>
      <c r="M1546" s="249"/>
      <c r="N1546" s="330"/>
      <c r="O1546" s="250"/>
      <c r="P1546" s="249"/>
      <c r="Q1546" s="330"/>
      <c r="R1546" s="250"/>
      <c r="S1546" s="249"/>
      <c r="T1546" s="330"/>
      <c r="U1546" s="250"/>
      <c r="V1546" s="249"/>
      <c r="W1546" s="330"/>
      <c r="X1546" s="343"/>
      <c r="Y1546" s="249"/>
      <c r="Z1546" s="330"/>
      <c r="AA1546" s="343"/>
      <c r="AB1546" s="249"/>
      <c r="AC1546" s="330"/>
      <c r="AD1546" s="343"/>
      <c r="AE1546" s="249"/>
      <c r="AF1546" s="330"/>
      <c r="AG1546" s="343"/>
      <c r="AH1546" s="249"/>
      <c r="AI1546" s="330"/>
      <c r="AJ1546" s="343"/>
      <c r="AK1546" s="249"/>
      <c r="AL1546" s="330"/>
      <c r="AM1546" s="343"/>
      <c r="AN1546" s="249"/>
      <c r="AO1546" s="330"/>
      <c r="AP1546" s="343"/>
      <c r="AQ1546" s="249"/>
      <c r="AR1546" s="330"/>
      <c r="AS1546" s="343"/>
      <c r="AT1546" s="249"/>
      <c r="AU1546" s="330"/>
    </row>
    <row r="1547" spans="2:47">
      <c r="B1547" s="247">
        <f>'Table S2 Compound Identifiers'!C1549</f>
        <v>0</v>
      </c>
      <c r="C1547" s="247">
        <f>COUNTIF($D$6:D1547,"&lt;&gt;"&amp;"")</f>
        <v>1542</v>
      </c>
      <c r="D1547" s="432">
        <f>'Table S2 Compound Identifiers'!B1549</f>
        <v>0</v>
      </c>
      <c r="E1547" s="247"/>
      <c r="F1547" s="248"/>
      <c r="G1547" s="249"/>
      <c r="H1547" s="330"/>
      <c r="I1547" s="328"/>
      <c r="J1547" s="249"/>
      <c r="K1547" s="330"/>
      <c r="L1547" s="250"/>
      <c r="M1547" s="249"/>
      <c r="N1547" s="330"/>
      <c r="O1547" s="250"/>
      <c r="P1547" s="249"/>
      <c r="Q1547" s="330"/>
      <c r="R1547" s="250"/>
      <c r="S1547" s="249"/>
      <c r="T1547" s="330"/>
      <c r="U1547" s="250"/>
      <c r="V1547" s="249"/>
      <c r="W1547" s="330"/>
      <c r="X1547" s="343"/>
      <c r="Y1547" s="249"/>
      <c r="Z1547" s="330"/>
      <c r="AA1547" s="343"/>
      <c r="AB1547" s="249"/>
      <c r="AC1547" s="330"/>
      <c r="AD1547" s="343"/>
      <c r="AE1547" s="249"/>
      <c r="AF1547" s="330"/>
      <c r="AG1547" s="343"/>
      <c r="AH1547" s="249"/>
      <c r="AI1547" s="330"/>
      <c r="AJ1547" s="343"/>
      <c r="AK1547" s="249"/>
      <c r="AL1547" s="330"/>
      <c r="AM1547" s="343"/>
      <c r="AN1547" s="249"/>
      <c r="AO1547" s="330"/>
      <c r="AP1547" s="343"/>
      <c r="AQ1547" s="249"/>
      <c r="AR1547" s="330"/>
      <c r="AS1547" s="343"/>
      <c r="AT1547" s="249"/>
      <c r="AU1547" s="330"/>
    </row>
    <row r="1548" spans="2:47">
      <c r="B1548" s="247">
        <f>'Table S2 Compound Identifiers'!C1550</f>
        <v>0</v>
      </c>
      <c r="C1548" s="247">
        <f>COUNTIF($D$6:D1548,"&lt;&gt;"&amp;"")</f>
        <v>1543</v>
      </c>
      <c r="D1548" s="432">
        <f>'Table S2 Compound Identifiers'!B1550</f>
        <v>0</v>
      </c>
      <c r="E1548" s="247"/>
      <c r="F1548" s="248"/>
      <c r="G1548" s="249"/>
      <c r="H1548" s="330"/>
      <c r="I1548" s="328"/>
      <c r="J1548" s="249"/>
      <c r="K1548" s="330"/>
      <c r="L1548" s="250"/>
      <c r="M1548" s="249"/>
      <c r="N1548" s="330"/>
      <c r="O1548" s="250"/>
      <c r="P1548" s="249"/>
      <c r="Q1548" s="330"/>
      <c r="R1548" s="250"/>
      <c r="S1548" s="249"/>
      <c r="T1548" s="330"/>
      <c r="U1548" s="250"/>
      <c r="V1548" s="249"/>
      <c r="W1548" s="330"/>
      <c r="X1548" s="343"/>
      <c r="Y1548" s="249"/>
      <c r="Z1548" s="330"/>
      <c r="AA1548" s="343"/>
      <c r="AB1548" s="249"/>
      <c r="AC1548" s="330"/>
      <c r="AD1548" s="343"/>
      <c r="AE1548" s="249"/>
      <c r="AF1548" s="330"/>
      <c r="AG1548" s="343"/>
      <c r="AH1548" s="249"/>
      <c r="AI1548" s="330"/>
      <c r="AJ1548" s="343"/>
      <c r="AK1548" s="249"/>
      <c r="AL1548" s="330"/>
      <c r="AM1548" s="343"/>
      <c r="AN1548" s="249"/>
      <c r="AO1548" s="330"/>
      <c r="AP1548" s="343"/>
      <c r="AQ1548" s="249"/>
      <c r="AR1548" s="330"/>
      <c r="AS1548" s="343"/>
      <c r="AT1548" s="249"/>
      <c r="AU1548" s="330"/>
    </row>
    <row r="1549" spans="2:47">
      <c r="B1549" s="247">
        <f>'Table S2 Compound Identifiers'!C1551</f>
        <v>0</v>
      </c>
      <c r="C1549" s="247">
        <f>COUNTIF($D$6:D1549,"&lt;&gt;"&amp;"")</f>
        <v>1544</v>
      </c>
      <c r="D1549" s="432">
        <f>'Table S2 Compound Identifiers'!B1551</f>
        <v>0</v>
      </c>
      <c r="E1549" s="247"/>
      <c r="F1549" s="248"/>
      <c r="G1549" s="249"/>
      <c r="H1549" s="330"/>
      <c r="I1549" s="328"/>
      <c r="J1549" s="249"/>
      <c r="K1549" s="330"/>
      <c r="L1549" s="250"/>
      <c r="M1549" s="249"/>
      <c r="N1549" s="330"/>
      <c r="O1549" s="250"/>
      <c r="P1549" s="249"/>
      <c r="Q1549" s="330"/>
      <c r="R1549" s="250"/>
      <c r="S1549" s="249"/>
      <c r="T1549" s="330"/>
      <c r="U1549" s="250"/>
      <c r="V1549" s="249"/>
      <c r="W1549" s="330"/>
      <c r="X1549" s="343"/>
      <c r="Y1549" s="249"/>
      <c r="Z1549" s="330"/>
      <c r="AA1549" s="343"/>
      <c r="AB1549" s="249"/>
      <c r="AC1549" s="330"/>
      <c r="AD1549" s="343"/>
      <c r="AE1549" s="249"/>
      <c r="AF1549" s="330"/>
      <c r="AG1549" s="343"/>
      <c r="AH1549" s="249"/>
      <c r="AI1549" s="330"/>
      <c r="AJ1549" s="343"/>
      <c r="AK1549" s="249"/>
      <c r="AL1549" s="330"/>
      <c r="AM1549" s="343"/>
      <c r="AN1549" s="249"/>
      <c r="AO1549" s="330"/>
      <c r="AP1549" s="343"/>
      <c r="AQ1549" s="249"/>
      <c r="AR1549" s="330"/>
      <c r="AS1549" s="343"/>
      <c r="AT1549" s="249"/>
      <c r="AU1549" s="330"/>
    </row>
    <row r="1550" spans="2:47">
      <c r="B1550" s="247">
        <f>'Table S2 Compound Identifiers'!C1552</f>
        <v>0</v>
      </c>
      <c r="C1550" s="247">
        <f>COUNTIF($D$6:D1550,"&lt;&gt;"&amp;"")</f>
        <v>1545</v>
      </c>
      <c r="D1550" s="432">
        <f>'Table S2 Compound Identifiers'!B1552</f>
        <v>0</v>
      </c>
      <c r="E1550" s="247"/>
      <c r="F1550" s="248"/>
      <c r="G1550" s="249"/>
      <c r="H1550" s="330"/>
      <c r="I1550" s="328"/>
      <c r="J1550" s="249"/>
      <c r="K1550" s="330"/>
      <c r="L1550" s="250"/>
      <c r="M1550" s="249"/>
      <c r="N1550" s="330"/>
      <c r="O1550" s="250"/>
      <c r="P1550" s="249"/>
      <c r="Q1550" s="330"/>
      <c r="R1550" s="250"/>
      <c r="S1550" s="249"/>
      <c r="T1550" s="330"/>
      <c r="U1550" s="250"/>
      <c r="V1550" s="249"/>
      <c r="W1550" s="330"/>
      <c r="X1550" s="343"/>
      <c r="Y1550" s="249"/>
      <c r="Z1550" s="330"/>
      <c r="AA1550" s="343"/>
      <c r="AB1550" s="249"/>
      <c r="AC1550" s="330"/>
      <c r="AD1550" s="343"/>
      <c r="AE1550" s="249"/>
      <c r="AF1550" s="330"/>
      <c r="AG1550" s="343"/>
      <c r="AH1550" s="249"/>
      <c r="AI1550" s="330"/>
      <c r="AJ1550" s="343"/>
      <c r="AK1550" s="249"/>
      <c r="AL1550" s="330"/>
      <c r="AM1550" s="343"/>
      <c r="AN1550" s="249"/>
      <c r="AO1550" s="330"/>
      <c r="AP1550" s="343"/>
      <c r="AQ1550" s="249"/>
      <c r="AR1550" s="330"/>
      <c r="AS1550" s="343"/>
      <c r="AT1550" s="249"/>
      <c r="AU1550" s="330"/>
    </row>
    <row r="1551" spans="2:47">
      <c r="B1551" s="247">
        <f>'Table S2 Compound Identifiers'!C1553</f>
        <v>0</v>
      </c>
      <c r="C1551" s="247">
        <f>COUNTIF($D$6:D1551,"&lt;&gt;"&amp;"")</f>
        <v>1546</v>
      </c>
      <c r="D1551" s="432">
        <f>'Table S2 Compound Identifiers'!B1553</f>
        <v>0</v>
      </c>
      <c r="E1551" s="247"/>
      <c r="F1551" s="248"/>
      <c r="G1551" s="249"/>
      <c r="H1551" s="330"/>
      <c r="I1551" s="328"/>
      <c r="J1551" s="249"/>
      <c r="K1551" s="330"/>
      <c r="L1551" s="250"/>
      <c r="M1551" s="249"/>
      <c r="N1551" s="330"/>
      <c r="O1551" s="250"/>
      <c r="P1551" s="249"/>
      <c r="Q1551" s="330"/>
      <c r="R1551" s="250"/>
      <c r="S1551" s="249"/>
      <c r="T1551" s="330"/>
      <c r="U1551" s="250"/>
      <c r="V1551" s="249"/>
      <c r="W1551" s="330"/>
      <c r="X1551" s="343"/>
      <c r="Y1551" s="249"/>
      <c r="Z1551" s="330"/>
      <c r="AA1551" s="343"/>
      <c r="AB1551" s="249"/>
      <c r="AC1551" s="330"/>
      <c r="AD1551" s="343"/>
      <c r="AE1551" s="249"/>
      <c r="AF1551" s="330"/>
      <c r="AG1551" s="343"/>
      <c r="AH1551" s="249"/>
      <c r="AI1551" s="330"/>
      <c r="AJ1551" s="343"/>
      <c r="AK1551" s="249"/>
      <c r="AL1551" s="330"/>
      <c r="AM1551" s="343"/>
      <c r="AN1551" s="249"/>
      <c r="AO1551" s="330"/>
      <c r="AP1551" s="343"/>
      <c r="AQ1551" s="249"/>
      <c r="AR1551" s="330"/>
      <c r="AS1551" s="343"/>
      <c r="AT1551" s="249"/>
      <c r="AU1551" s="330"/>
    </row>
    <row r="1552" spans="2:47">
      <c r="B1552" s="247">
        <f>'Table S2 Compound Identifiers'!C1554</f>
        <v>0</v>
      </c>
      <c r="C1552" s="247">
        <f>COUNTIF($D$6:D1552,"&lt;&gt;"&amp;"")</f>
        <v>1547</v>
      </c>
      <c r="D1552" s="247">
        <f>'Table S2 Compound Identifiers'!B1554</f>
        <v>0</v>
      </c>
      <c r="E1552" s="247"/>
      <c r="F1552" s="248"/>
      <c r="G1552" s="249"/>
      <c r="H1552" s="330"/>
      <c r="I1552" s="328"/>
      <c r="J1552" s="249"/>
      <c r="K1552" s="330"/>
      <c r="L1552" s="250"/>
      <c r="M1552" s="249"/>
      <c r="N1552" s="330"/>
      <c r="O1552" s="250"/>
      <c r="P1552" s="249"/>
      <c r="Q1552" s="330"/>
      <c r="R1552" s="250"/>
      <c r="S1552" s="249"/>
      <c r="T1552" s="330"/>
      <c r="U1552" s="250"/>
      <c r="V1552" s="249"/>
      <c r="W1552" s="330"/>
      <c r="X1552" s="343"/>
      <c r="Y1552" s="249"/>
      <c r="Z1552" s="330"/>
      <c r="AA1552" s="343"/>
      <c r="AB1552" s="249"/>
      <c r="AC1552" s="330"/>
      <c r="AD1552" s="343"/>
      <c r="AE1552" s="249"/>
      <c r="AF1552" s="330"/>
      <c r="AG1552" s="343"/>
      <c r="AH1552" s="249"/>
      <c r="AI1552" s="330"/>
      <c r="AJ1552" s="343"/>
      <c r="AK1552" s="249"/>
      <c r="AL1552" s="330"/>
      <c r="AM1552" s="343"/>
      <c r="AN1552" s="249"/>
      <c r="AO1552" s="330"/>
      <c r="AP1552" s="343"/>
      <c r="AQ1552" s="249"/>
      <c r="AR1552" s="330"/>
      <c r="AS1552" s="343"/>
      <c r="AT1552" s="249"/>
      <c r="AU1552" s="330"/>
    </row>
    <row r="1553" spans="2:47">
      <c r="B1553" s="247">
        <f>'Table S2 Compound Identifiers'!C1555</f>
        <v>0</v>
      </c>
      <c r="C1553" s="247">
        <f>COUNTIF($D$6:D1553,"&lt;&gt;"&amp;"")</f>
        <v>1548</v>
      </c>
      <c r="D1553" s="247">
        <f>'Table S2 Compound Identifiers'!B1555</f>
        <v>0</v>
      </c>
      <c r="E1553" s="247"/>
      <c r="F1553" s="248"/>
      <c r="G1553" s="249"/>
      <c r="H1553" s="330"/>
      <c r="I1553" s="328"/>
      <c r="J1553" s="249"/>
      <c r="K1553" s="330"/>
      <c r="L1553" s="250"/>
      <c r="M1553" s="249"/>
      <c r="N1553" s="330"/>
      <c r="O1553" s="250"/>
      <c r="P1553" s="249"/>
      <c r="Q1553" s="330"/>
      <c r="R1553" s="250"/>
      <c r="S1553" s="249"/>
      <c r="T1553" s="330"/>
      <c r="U1553" s="250"/>
      <c r="V1553" s="249"/>
      <c r="W1553" s="330"/>
      <c r="X1553" s="343"/>
      <c r="Y1553" s="249"/>
      <c r="Z1553" s="330"/>
      <c r="AA1553" s="343"/>
      <c r="AB1553" s="249"/>
      <c r="AC1553" s="330"/>
      <c r="AD1553" s="343"/>
      <c r="AE1553" s="249"/>
      <c r="AF1553" s="330"/>
      <c r="AG1553" s="343"/>
      <c r="AH1553" s="249"/>
      <c r="AI1553" s="330"/>
      <c r="AJ1553" s="343"/>
      <c r="AK1553" s="249"/>
      <c r="AL1553" s="330"/>
      <c r="AM1553" s="343"/>
      <c r="AN1553" s="249"/>
      <c r="AO1553" s="330"/>
      <c r="AP1553" s="343"/>
      <c r="AQ1553" s="249"/>
      <c r="AR1553" s="330"/>
      <c r="AS1553" s="343"/>
      <c r="AT1553" s="249"/>
      <c r="AU1553" s="330"/>
    </row>
    <row r="1554" spans="2:47">
      <c r="B1554" s="247">
        <f>'Table S2 Compound Identifiers'!C1556</f>
        <v>0</v>
      </c>
      <c r="C1554" s="247">
        <f>COUNTIF($D$6:D1554,"&lt;&gt;"&amp;"")</f>
        <v>1549</v>
      </c>
      <c r="D1554" s="247">
        <f>'Table S2 Compound Identifiers'!B1556</f>
        <v>0</v>
      </c>
      <c r="E1554" s="247"/>
      <c r="F1554" s="248"/>
      <c r="G1554" s="249"/>
      <c r="H1554" s="330"/>
      <c r="I1554" s="328"/>
      <c r="J1554" s="249"/>
      <c r="K1554" s="330"/>
      <c r="L1554" s="250"/>
      <c r="M1554" s="249"/>
      <c r="N1554" s="330"/>
      <c r="O1554" s="250"/>
      <c r="P1554" s="249"/>
      <c r="Q1554" s="330"/>
      <c r="R1554" s="250"/>
      <c r="S1554" s="249"/>
      <c r="T1554" s="330"/>
      <c r="U1554" s="250"/>
      <c r="V1554" s="249"/>
      <c r="W1554" s="330"/>
      <c r="X1554" s="343"/>
      <c r="Y1554" s="249"/>
      <c r="Z1554" s="330"/>
      <c r="AA1554" s="343"/>
      <c r="AB1554" s="249"/>
      <c r="AC1554" s="330"/>
      <c r="AD1554" s="343"/>
      <c r="AE1554" s="249"/>
      <c r="AF1554" s="330"/>
      <c r="AG1554" s="343"/>
      <c r="AH1554" s="249"/>
      <c r="AI1554" s="330"/>
      <c r="AJ1554" s="343"/>
      <c r="AK1554" s="249"/>
      <c r="AL1554" s="330"/>
      <c r="AM1554" s="343"/>
      <c r="AN1554" s="249"/>
      <c r="AO1554" s="330"/>
      <c r="AP1554" s="343"/>
      <c r="AQ1554" s="249"/>
      <c r="AR1554" s="330"/>
      <c r="AS1554" s="343"/>
      <c r="AT1554" s="249"/>
      <c r="AU1554" s="330"/>
    </row>
    <row r="1555" spans="2:47">
      <c r="B1555" s="247">
        <f>'Table S2 Compound Identifiers'!C1557</f>
        <v>0</v>
      </c>
      <c r="C1555" s="247">
        <f>COUNTIF($D$6:D1555,"&lt;&gt;"&amp;"")</f>
        <v>1550</v>
      </c>
      <c r="D1555" s="247">
        <f>'Table S2 Compound Identifiers'!B1557</f>
        <v>0</v>
      </c>
      <c r="E1555" s="247"/>
      <c r="F1555" s="248"/>
      <c r="G1555" s="249"/>
      <c r="H1555" s="330"/>
      <c r="I1555" s="328"/>
      <c r="J1555" s="249"/>
      <c r="K1555" s="330"/>
      <c r="L1555" s="250"/>
      <c r="M1555" s="249"/>
      <c r="N1555" s="330"/>
      <c r="O1555" s="250"/>
      <c r="P1555" s="249"/>
      <c r="Q1555" s="330"/>
      <c r="R1555" s="250"/>
      <c r="S1555" s="249"/>
      <c r="T1555" s="330"/>
      <c r="U1555" s="250"/>
      <c r="V1555" s="249"/>
      <c r="W1555" s="330"/>
      <c r="X1555" s="343"/>
      <c r="Y1555" s="249"/>
      <c r="Z1555" s="330"/>
      <c r="AA1555" s="343"/>
      <c r="AB1555" s="249"/>
      <c r="AC1555" s="330"/>
      <c r="AD1555" s="343"/>
      <c r="AE1555" s="249"/>
      <c r="AF1555" s="330"/>
      <c r="AG1555" s="343"/>
      <c r="AH1555" s="249"/>
      <c r="AI1555" s="330"/>
      <c r="AJ1555" s="343"/>
      <c r="AK1555" s="249"/>
      <c r="AL1555" s="330"/>
      <c r="AM1555" s="343"/>
      <c r="AN1555" s="249"/>
      <c r="AO1555" s="330"/>
      <c r="AP1555" s="343"/>
      <c r="AQ1555" s="249"/>
      <c r="AR1555" s="330"/>
      <c r="AS1555" s="343"/>
      <c r="AT1555" s="249"/>
      <c r="AU1555" s="330"/>
    </row>
    <row r="1556" spans="2:47">
      <c r="B1556" s="247">
        <f>'Table S2 Compound Identifiers'!C1558</f>
        <v>0</v>
      </c>
      <c r="C1556" s="247">
        <f>COUNTIF($D$6:D1556,"&lt;&gt;"&amp;"")</f>
        <v>1551</v>
      </c>
      <c r="D1556" s="247">
        <f>'Table S2 Compound Identifiers'!B1558</f>
        <v>0</v>
      </c>
      <c r="E1556" s="247"/>
      <c r="F1556" s="248"/>
      <c r="G1556" s="249"/>
      <c r="H1556" s="330"/>
      <c r="I1556" s="328"/>
      <c r="J1556" s="249"/>
      <c r="K1556" s="330"/>
      <c r="L1556" s="250"/>
      <c r="M1556" s="249"/>
      <c r="N1556" s="330"/>
      <c r="O1556" s="250"/>
      <c r="P1556" s="249"/>
      <c r="Q1556" s="330"/>
      <c r="R1556" s="250"/>
      <c r="S1556" s="249"/>
      <c r="T1556" s="330"/>
      <c r="U1556" s="250"/>
      <c r="V1556" s="249"/>
      <c r="W1556" s="330"/>
      <c r="X1556" s="343"/>
      <c r="Y1556" s="249"/>
      <c r="Z1556" s="330"/>
      <c r="AA1556" s="343"/>
      <c r="AB1556" s="249"/>
      <c r="AC1556" s="330"/>
      <c r="AD1556" s="343"/>
      <c r="AE1556" s="249"/>
      <c r="AF1556" s="330"/>
      <c r="AG1556" s="343"/>
      <c r="AH1556" s="249"/>
      <c r="AI1556" s="330"/>
      <c r="AJ1556" s="343"/>
      <c r="AK1556" s="249"/>
      <c r="AL1556" s="330"/>
      <c r="AM1556" s="343"/>
      <c r="AN1556" s="249"/>
      <c r="AO1556" s="330"/>
      <c r="AP1556" s="343"/>
      <c r="AQ1556" s="249"/>
      <c r="AR1556" s="330"/>
      <c r="AS1556" s="343"/>
      <c r="AT1556" s="249"/>
      <c r="AU1556" s="330"/>
    </row>
    <row r="1557" spans="2:47">
      <c r="B1557" s="247">
        <f>'Table S2 Compound Identifiers'!C1559</f>
        <v>0</v>
      </c>
      <c r="C1557" s="247">
        <f>COUNTIF($D$6:D1557,"&lt;&gt;"&amp;"")</f>
        <v>1552</v>
      </c>
      <c r="D1557" s="247">
        <f>'Table S2 Compound Identifiers'!B1559</f>
        <v>0</v>
      </c>
      <c r="E1557" s="247"/>
      <c r="F1557" s="248"/>
      <c r="G1557" s="249"/>
      <c r="H1557" s="330"/>
      <c r="I1557" s="328"/>
      <c r="J1557" s="249"/>
      <c r="K1557" s="330"/>
      <c r="L1557" s="250"/>
      <c r="M1557" s="249"/>
      <c r="N1557" s="330"/>
      <c r="O1557" s="250"/>
      <c r="P1557" s="249"/>
      <c r="Q1557" s="330"/>
      <c r="R1557" s="250"/>
      <c r="S1557" s="249"/>
      <c r="T1557" s="330"/>
      <c r="U1557" s="250"/>
      <c r="V1557" s="249"/>
      <c r="W1557" s="330"/>
      <c r="X1557" s="343"/>
      <c r="Y1557" s="249"/>
      <c r="Z1557" s="330"/>
      <c r="AA1557" s="343"/>
      <c r="AB1557" s="249"/>
      <c r="AC1557" s="330"/>
      <c r="AD1557" s="343"/>
      <c r="AE1557" s="249"/>
      <c r="AF1557" s="330"/>
      <c r="AG1557" s="343"/>
      <c r="AH1557" s="249"/>
      <c r="AI1557" s="330"/>
      <c r="AJ1557" s="343"/>
      <c r="AK1557" s="249"/>
      <c r="AL1557" s="330"/>
      <c r="AM1557" s="343"/>
      <c r="AN1557" s="249"/>
      <c r="AO1557" s="330"/>
      <c r="AP1557" s="343"/>
      <c r="AQ1557" s="249"/>
      <c r="AR1557" s="330"/>
      <c r="AS1557" s="343"/>
      <c r="AT1557" s="249"/>
      <c r="AU1557" s="330"/>
    </row>
    <row r="1558" spans="2:47">
      <c r="B1558" s="247">
        <f>'Table S2 Compound Identifiers'!C1560</f>
        <v>0</v>
      </c>
      <c r="C1558" s="247">
        <f>COUNTIF($D$6:D1558,"&lt;&gt;"&amp;"")</f>
        <v>1553</v>
      </c>
      <c r="D1558" s="247">
        <f>'Table S2 Compound Identifiers'!B1560</f>
        <v>0</v>
      </c>
      <c r="E1558" s="247"/>
      <c r="F1558" s="248"/>
      <c r="G1558" s="249"/>
      <c r="H1558" s="330"/>
      <c r="I1558" s="328"/>
      <c r="J1558" s="249"/>
      <c r="K1558" s="330"/>
      <c r="L1558" s="250"/>
      <c r="M1558" s="249"/>
      <c r="N1558" s="330"/>
      <c r="O1558" s="251"/>
      <c r="P1558" s="252"/>
      <c r="Q1558" s="330"/>
      <c r="R1558" s="251"/>
      <c r="S1558" s="252"/>
      <c r="T1558" s="330"/>
      <c r="U1558" s="251"/>
      <c r="V1558" s="252"/>
      <c r="W1558" s="330"/>
      <c r="X1558" s="343"/>
      <c r="Y1558" s="249"/>
      <c r="Z1558" s="330"/>
      <c r="AA1558" s="343"/>
      <c r="AB1558" s="249"/>
      <c r="AC1558" s="330"/>
      <c r="AD1558" s="343"/>
      <c r="AE1558" s="249"/>
      <c r="AF1558" s="330"/>
      <c r="AG1558" s="343"/>
      <c r="AH1558" s="249"/>
      <c r="AI1558" s="330"/>
      <c r="AJ1558" s="343"/>
      <c r="AK1558" s="249"/>
      <c r="AL1558" s="330"/>
      <c r="AM1558" s="343"/>
      <c r="AN1558" s="249"/>
      <c r="AO1558" s="330"/>
      <c r="AP1558" s="343"/>
      <c r="AQ1558" s="249"/>
      <c r="AR1558" s="330"/>
      <c r="AS1558" s="343"/>
      <c r="AT1558" s="249"/>
      <c r="AU1558" s="330"/>
    </row>
    <row r="1559" spans="2:47">
      <c r="B1559" s="247">
        <f>'Table S2 Compound Identifiers'!C1561</f>
        <v>0</v>
      </c>
      <c r="C1559" s="253">
        <f>COUNTIF($D$6:D1559,"&lt;&gt;"&amp;"")</f>
        <v>1554</v>
      </c>
      <c r="D1559" s="253">
        <f>'Table S2 Compound Identifiers'!B1561</f>
        <v>0</v>
      </c>
      <c r="E1559" s="253"/>
      <c r="F1559" s="254"/>
      <c r="G1559" s="252"/>
      <c r="H1559" s="330"/>
      <c r="I1559" s="333"/>
      <c r="J1559" s="252"/>
      <c r="K1559" s="330"/>
      <c r="L1559" s="251"/>
      <c r="M1559" s="252"/>
      <c r="N1559" s="330"/>
      <c r="O1559" s="251"/>
      <c r="P1559" s="252"/>
      <c r="Q1559" s="330"/>
      <c r="R1559" s="251"/>
      <c r="S1559" s="252"/>
      <c r="T1559" s="330"/>
      <c r="U1559" s="251"/>
      <c r="V1559" s="252"/>
      <c r="W1559" s="330"/>
      <c r="X1559" s="343"/>
      <c r="Y1559" s="249"/>
      <c r="Z1559" s="330"/>
      <c r="AA1559" s="343"/>
      <c r="AB1559" s="249"/>
      <c r="AC1559" s="330"/>
      <c r="AD1559" s="343"/>
      <c r="AE1559" s="249"/>
      <c r="AF1559" s="330"/>
      <c r="AG1559" s="343"/>
      <c r="AH1559" s="249"/>
      <c r="AI1559" s="330"/>
      <c r="AJ1559" s="343"/>
      <c r="AK1559" s="249"/>
      <c r="AL1559" s="330"/>
      <c r="AM1559" s="343"/>
      <c r="AN1559" s="249"/>
      <c r="AO1559" s="330"/>
      <c r="AP1559" s="343"/>
      <c r="AQ1559" s="249"/>
      <c r="AR1559" s="330"/>
      <c r="AS1559" s="343"/>
      <c r="AT1559" s="249"/>
      <c r="AU1559" s="330"/>
    </row>
    <row r="1560" spans="2:47">
      <c r="B1560" s="247">
        <f>'Table S2 Compound Identifiers'!C1562</f>
        <v>0</v>
      </c>
      <c r="C1560" s="247">
        <f>COUNTIF($D$6:D1560,"&lt;&gt;"&amp;"")</f>
        <v>1555</v>
      </c>
      <c r="D1560" s="247">
        <f>'Table S2 Compound Identifiers'!B1562</f>
        <v>0</v>
      </c>
      <c r="E1560" s="247"/>
      <c r="F1560" s="248"/>
      <c r="G1560" s="250"/>
      <c r="H1560" s="330"/>
      <c r="I1560" s="343"/>
      <c r="J1560" s="249"/>
      <c r="K1560" s="327"/>
      <c r="L1560" s="343"/>
      <c r="M1560" s="249"/>
      <c r="N1560" s="327"/>
      <c r="O1560" s="343"/>
      <c r="P1560" s="249"/>
      <c r="Q1560" s="327"/>
      <c r="R1560" s="343"/>
      <c r="S1560" s="249"/>
      <c r="T1560" s="327"/>
      <c r="U1560" s="343"/>
      <c r="V1560" s="249"/>
      <c r="W1560" s="327"/>
      <c r="X1560" s="343"/>
      <c r="Y1560" s="249"/>
      <c r="Z1560" s="327"/>
      <c r="AA1560" s="343"/>
      <c r="AB1560" s="249"/>
      <c r="AC1560" s="343"/>
      <c r="AD1560" s="343"/>
      <c r="AE1560" s="249"/>
      <c r="AF1560" s="249"/>
      <c r="AG1560" s="343"/>
      <c r="AH1560" s="249"/>
      <c r="AI1560" s="343"/>
      <c r="AJ1560" s="343"/>
      <c r="AK1560" s="249"/>
      <c r="AL1560" s="249"/>
      <c r="AM1560" s="343"/>
      <c r="AN1560" s="249"/>
      <c r="AO1560" s="343"/>
      <c r="AP1560" s="343"/>
      <c r="AQ1560" s="249"/>
      <c r="AR1560" s="249"/>
      <c r="AS1560" s="343"/>
      <c r="AT1560" s="249"/>
      <c r="AU1560" s="343"/>
    </row>
    <row r="1561" spans="2:47">
      <c r="B1561" s="247">
        <f>'Table S2 Compound Identifiers'!C1563</f>
        <v>0</v>
      </c>
      <c r="C1561" s="247">
        <f>COUNTIF($D$6:D1561,"&lt;&gt;"&amp;"")</f>
        <v>1556</v>
      </c>
      <c r="D1561" s="247">
        <f>'Table S2 Compound Identifiers'!B1563</f>
        <v>0</v>
      </c>
      <c r="E1561" s="247"/>
      <c r="F1561" s="248"/>
      <c r="G1561" s="249"/>
      <c r="H1561" s="330"/>
      <c r="I1561" s="332"/>
      <c r="J1561" s="330"/>
      <c r="K1561" s="330"/>
      <c r="L1561" s="330"/>
      <c r="M1561" s="330"/>
      <c r="N1561" s="330"/>
      <c r="O1561" s="330"/>
      <c r="P1561" s="330"/>
      <c r="Q1561" s="330"/>
      <c r="R1561" s="330"/>
      <c r="S1561" s="330"/>
      <c r="T1561" s="330"/>
      <c r="U1561" s="330"/>
      <c r="V1561" s="330"/>
      <c r="W1561" s="330"/>
      <c r="X1561" s="343"/>
      <c r="Y1561" s="249"/>
      <c r="Z1561" s="330"/>
      <c r="AA1561" s="343"/>
      <c r="AB1561" s="249"/>
      <c r="AC1561" s="330"/>
      <c r="AD1561" s="343"/>
      <c r="AE1561" s="249"/>
      <c r="AF1561" s="330"/>
      <c r="AG1561" s="343"/>
      <c r="AH1561" s="249"/>
      <c r="AI1561" s="330"/>
      <c r="AJ1561" s="343"/>
      <c r="AK1561" s="249"/>
      <c r="AL1561" s="330"/>
      <c r="AM1561" s="343"/>
      <c r="AN1561" s="249"/>
      <c r="AO1561" s="330"/>
      <c r="AP1561" s="343"/>
      <c r="AQ1561" s="249"/>
      <c r="AR1561" s="330"/>
      <c r="AS1561" s="343"/>
      <c r="AT1561" s="249"/>
      <c r="AU1561" s="330"/>
    </row>
    <row r="1562" spans="2:47">
      <c r="B1562" s="247">
        <f>'Table S2 Compound Identifiers'!C1564</f>
        <v>0</v>
      </c>
      <c r="C1562" s="247">
        <f>COUNTIF($D$6:D1562,"&lt;&gt;"&amp;"")</f>
        <v>1557</v>
      </c>
      <c r="D1562" s="247">
        <f>'Table S2 Compound Identifiers'!B1564</f>
        <v>0</v>
      </c>
      <c r="E1562" s="247"/>
      <c r="F1562" s="248"/>
      <c r="G1562" s="249"/>
      <c r="H1562" s="330"/>
      <c r="I1562" s="332"/>
      <c r="J1562" s="330"/>
      <c r="K1562" s="330"/>
      <c r="L1562" s="330"/>
      <c r="M1562" s="330"/>
      <c r="N1562" s="330"/>
      <c r="O1562" s="330"/>
      <c r="P1562" s="330"/>
      <c r="Q1562" s="330"/>
      <c r="R1562" s="330"/>
      <c r="S1562" s="330"/>
      <c r="T1562" s="330"/>
      <c r="U1562" s="330"/>
      <c r="V1562" s="330"/>
      <c r="W1562" s="330"/>
      <c r="X1562" s="343"/>
      <c r="Y1562" s="249"/>
      <c r="Z1562" s="330"/>
      <c r="AA1562" s="343"/>
      <c r="AB1562" s="249"/>
      <c r="AC1562" s="330"/>
      <c r="AD1562" s="343"/>
      <c r="AE1562" s="249"/>
      <c r="AF1562" s="330"/>
      <c r="AG1562" s="343"/>
      <c r="AH1562" s="249"/>
      <c r="AI1562" s="330"/>
      <c r="AJ1562" s="343"/>
      <c r="AK1562" s="249"/>
      <c r="AL1562" s="330"/>
      <c r="AM1562" s="343"/>
      <c r="AN1562" s="249"/>
      <c r="AO1562" s="330"/>
      <c r="AP1562" s="343"/>
      <c r="AQ1562" s="249"/>
      <c r="AR1562" s="330"/>
      <c r="AS1562" s="343"/>
      <c r="AT1562" s="249"/>
      <c r="AU1562" s="330"/>
    </row>
    <row r="1563" spans="2:47">
      <c r="B1563" s="247">
        <f>'Table S2 Compound Identifiers'!C1565</f>
        <v>0</v>
      </c>
      <c r="C1563" s="247">
        <f>COUNTIF($D$6:D1563,"&lt;&gt;"&amp;"")</f>
        <v>1558</v>
      </c>
      <c r="D1563" s="247">
        <f>'Table S2 Compound Identifiers'!B1565</f>
        <v>0</v>
      </c>
      <c r="E1563" s="247"/>
      <c r="F1563" s="248"/>
      <c r="G1563" s="249"/>
      <c r="H1563" s="330"/>
      <c r="I1563" s="332"/>
      <c r="J1563" s="330"/>
      <c r="K1563" s="330"/>
      <c r="L1563" s="330"/>
      <c r="M1563" s="330"/>
      <c r="N1563" s="330"/>
      <c r="O1563" s="330"/>
      <c r="P1563" s="330"/>
      <c r="Q1563" s="330"/>
      <c r="R1563" s="330"/>
      <c r="S1563" s="330"/>
      <c r="T1563" s="330"/>
      <c r="U1563" s="330"/>
      <c r="V1563" s="330"/>
      <c r="W1563" s="330"/>
      <c r="X1563" s="343"/>
      <c r="Y1563" s="249"/>
      <c r="Z1563" s="330"/>
      <c r="AA1563" s="343"/>
      <c r="AB1563" s="249"/>
      <c r="AC1563" s="330"/>
      <c r="AD1563" s="343"/>
      <c r="AE1563" s="249"/>
      <c r="AF1563" s="330"/>
      <c r="AG1563" s="343"/>
      <c r="AH1563" s="249"/>
      <c r="AI1563" s="330"/>
      <c r="AJ1563" s="343"/>
      <c r="AK1563" s="249"/>
      <c r="AL1563" s="330"/>
      <c r="AM1563" s="343"/>
      <c r="AN1563" s="249"/>
      <c r="AO1563" s="330"/>
      <c r="AP1563" s="343"/>
      <c r="AQ1563" s="249"/>
      <c r="AR1563" s="330"/>
      <c r="AS1563" s="343"/>
      <c r="AT1563" s="249"/>
      <c r="AU1563" s="330"/>
    </row>
    <row r="1564" spans="2:47">
      <c r="B1564" s="247">
        <f>'Table S2 Compound Identifiers'!C1566</f>
        <v>0</v>
      </c>
      <c r="C1564" s="247">
        <f>COUNTIF($D$6:D1564,"&lt;&gt;"&amp;"")</f>
        <v>1559</v>
      </c>
      <c r="D1564" s="247">
        <f>'Table S2 Compound Identifiers'!B1566</f>
        <v>0</v>
      </c>
      <c r="E1564" s="247"/>
      <c r="F1564" s="248"/>
      <c r="G1564" s="249"/>
      <c r="H1564" s="330"/>
      <c r="I1564" s="328"/>
      <c r="J1564" s="249"/>
      <c r="K1564" s="330"/>
      <c r="L1564" s="250"/>
      <c r="M1564" s="249"/>
      <c r="N1564" s="330"/>
      <c r="O1564" s="250"/>
      <c r="P1564" s="249"/>
      <c r="Q1564" s="330"/>
      <c r="R1564" s="250"/>
      <c r="S1564" s="249"/>
      <c r="T1564" s="330"/>
      <c r="U1564" s="250"/>
      <c r="V1564" s="249"/>
      <c r="W1564" s="330"/>
      <c r="X1564" s="343"/>
      <c r="Y1564" s="249"/>
      <c r="Z1564" s="330"/>
      <c r="AA1564" s="343"/>
      <c r="AB1564" s="249"/>
      <c r="AC1564" s="330"/>
      <c r="AD1564" s="343"/>
      <c r="AE1564" s="249"/>
      <c r="AF1564" s="330"/>
      <c r="AG1564" s="343"/>
      <c r="AH1564" s="249"/>
      <c r="AI1564" s="330"/>
      <c r="AJ1564" s="343"/>
      <c r="AK1564" s="249"/>
      <c r="AL1564" s="330"/>
      <c r="AM1564" s="343"/>
      <c r="AN1564" s="249"/>
      <c r="AO1564" s="330"/>
      <c r="AP1564" s="343"/>
      <c r="AQ1564" s="249"/>
      <c r="AR1564" s="330"/>
      <c r="AS1564" s="343"/>
      <c r="AT1564" s="249"/>
      <c r="AU1564" s="330"/>
    </row>
    <row r="1565" spans="2:47">
      <c r="B1565" s="247">
        <f>'Table S2 Compound Identifiers'!C1567</f>
        <v>0</v>
      </c>
      <c r="C1565" s="247">
        <f>COUNTIF($D$6:D1565,"&lt;&gt;"&amp;"")</f>
        <v>1560</v>
      </c>
      <c r="D1565" s="247">
        <f>'Table S2 Compound Identifiers'!B1567</f>
        <v>0</v>
      </c>
      <c r="E1565" s="247"/>
      <c r="F1565" s="248"/>
      <c r="G1565" s="249"/>
      <c r="H1565" s="330"/>
      <c r="I1565" s="328"/>
      <c r="J1565" s="249"/>
      <c r="K1565" s="330"/>
      <c r="L1565" s="250"/>
      <c r="M1565" s="249"/>
      <c r="N1565" s="330"/>
      <c r="O1565" s="250"/>
      <c r="P1565" s="249"/>
      <c r="Q1565" s="330"/>
      <c r="R1565" s="250"/>
      <c r="S1565" s="249"/>
      <c r="T1565" s="330"/>
      <c r="U1565" s="250"/>
      <c r="V1565" s="249"/>
      <c r="W1565" s="330"/>
      <c r="X1565" s="343"/>
      <c r="Y1565" s="249"/>
      <c r="Z1565" s="330"/>
      <c r="AA1565" s="343"/>
      <c r="AB1565" s="249"/>
      <c r="AC1565" s="330"/>
      <c r="AD1565" s="343"/>
      <c r="AE1565" s="249"/>
      <c r="AF1565" s="330"/>
      <c r="AG1565" s="343"/>
      <c r="AH1565" s="249"/>
      <c r="AI1565" s="330"/>
      <c r="AJ1565" s="343"/>
      <c r="AK1565" s="249"/>
      <c r="AL1565" s="330"/>
      <c r="AM1565" s="343"/>
      <c r="AN1565" s="249"/>
      <c r="AO1565" s="330"/>
      <c r="AP1565" s="343"/>
      <c r="AQ1565" s="249"/>
      <c r="AR1565" s="330"/>
      <c r="AS1565" s="343"/>
      <c r="AT1565" s="249"/>
      <c r="AU1565" s="330"/>
    </row>
    <row r="1566" spans="2:47">
      <c r="B1566" s="247">
        <f>'Table S2 Compound Identifiers'!C1568</f>
        <v>0</v>
      </c>
      <c r="C1566" s="247">
        <f>COUNTIF($D$6:D1566,"&lt;&gt;"&amp;"")</f>
        <v>1561</v>
      </c>
      <c r="D1566" s="247">
        <f>'Table S2 Compound Identifiers'!B1568</f>
        <v>0</v>
      </c>
      <c r="E1566" s="247"/>
      <c r="F1566" s="248"/>
      <c r="G1566" s="249"/>
      <c r="H1566" s="330"/>
      <c r="I1566" s="328"/>
      <c r="J1566" s="249"/>
      <c r="K1566" s="330"/>
      <c r="L1566" s="250"/>
      <c r="M1566" s="249"/>
      <c r="N1566" s="330"/>
      <c r="O1566" s="250"/>
      <c r="P1566" s="249"/>
      <c r="Q1566" s="330"/>
      <c r="R1566" s="250"/>
      <c r="S1566" s="249"/>
      <c r="T1566" s="330"/>
      <c r="U1566" s="250"/>
      <c r="V1566" s="249"/>
      <c r="W1566" s="330"/>
      <c r="X1566" s="343"/>
      <c r="Y1566" s="249"/>
      <c r="Z1566" s="330"/>
      <c r="AA1566" s="343"/>
      <c r="AB1566" s="249"/>
      <c r="AC1566" s="330"/>
      <c r="AD1566" s="343"/>
      <c r="AE1566" s="249"/>
      <c r="AF1566" s="330"/>
      <c r="AG1566" s="343"/>
      <c r="AH1566" s="249"/>
      <c r="AI1566" s="330"/>
      <c r="AJ1566" s="343"/>
      <c r="AK1566" s="249"/>
      <c r="AL1566" s="330"/>
      <c r="AM1566" s="343"/>
      <c r="AN1566" s="249"/>
      <c r="AO1566" s="330"/>
      <c r="AP1566" s="343"/>
      <c r="AQ1566" s="249"/>
      <c r="AR1566" s="330"/>
      <c r="AS1566" s="343"/>
      <c r="AT1566" s="249"/>
      <c r="AU1566" s="330"/>
    </row>
    <row r="1567" spans="2:47">
      <c r="B1567" s="247">
        <f>'Table S2 Compound Identifiers'!C1569</f>
        <v>0</v>
      </c>
      <c r="C1567" s="247">
        <f>COUNTIF($D$6:D1567,"&lt;&gt;"&amp;"")</f>
        <v>1562</v>
      </c>
      <c r="D1567" s="247">
        <f>'Table S2 Compound Identifiers'!B1569</f>
        <v>0</v>
      </c>
      <c r="E1567" s="247"/>
      <c r="F1567" s="248"/>
      <c r="G1567" s="249"/>
      <c r="H1567" s="330"/>
      <c r="I1567" s="328"/>
      <c r="J1567" s="249"/>
      <c r="K1567" s="330"/>
      <c r="L1567" s="250"/>
      <c r="M1567" s="249"/>
      <c r="N1567" s="330"/>
      <c r="O1567" s="250"/>
      <c r="P1567" s="249"/>
      <c r="Q1567" s="330"/>
      <c r="R1567" s="250"/>
      <c r="S1567" s="249"/>
      <c r="T1567" s="330"/>
      <c r="U1567" s="250"/>
      <c r="V1567" s="249"/>
      <c r="W1567" s="330"/>
      <c r="X1567" s="343"/>
      <c r="Y1567" s="249"/>
      <c r="Z1567" s="330"/>
      <c r="AA1567" s="343"/>
      <c r="AB1567" s="249"/>
      <c r="AC1567" s="330"/>
      <c r="AD1567" s="343"/>
      <c r="AE1567" s="249"/>
      <c r="AF1567" s="330"/>
      <c r="AG1567" s="343"/>
      <c r="AH1567" s="249"/>
      <c r="AI1567" s="330"/>
      <c r="AJ1567" s="343"/>
      <c r="AK1567" s="249"/>
      <c r="AL1567" s="330"/>
      <c r="AM1567" s="343"/>
      <c r="AN1567" s="249"/>
      <c r="AO1567" s="330"/>
      <c r="AP1567" s="343"/>
      <c r="AQ1567" s="249"/>
      <c r="AR1567" s="330"/>
      <c r="AS1567" s="343"/>
      <c r="AT1567" s="249"/>
      <c r="AU1567" s="330"/>
    </row>
    <row r="1568" spans="2:47">
      <c r="B1568" s="247">
        <f>'Table S2 Compound Identifiers'!C1570</f>
        <v>0</v>
      </c>
      <c r="C1568" s="247">
        <f>COUNTIF($D$6:D1568,"&lt;&gt;"&amp;"")</f>
        <v>1563</v>
      </c>
      <c r="D1568" s="247">
        <f>'Table S2 Compound Identifiers'!B1570</f>
        <v>0</v>
      </c>
      <c r="E1568" s="247"/>
      <c r="F1568" s="248"/>
      <c r="G1568" s="249"/>
      <c r="H1568" s="330"/>
      <c r="I1568" s="328"/>
      <c r="J1568" s="249"/>
      <c r="K1568" s="330"/>
      <c r="L1568" s="250"/>
      <c r="M1568" s="249"/>
      <c r="N1568" s="330"/>
      <c r="O1568" s="250"/>
      <c r="P1568" s="249"/>
      <c r="Q1568" s="330"/>
      <c r="R1568" s="250"/>
      <c r="S1568" s="249"/>
      <c r="T1568" s="330"/>
      <c r="U1568" s="250"/>
      <c r="V1568" s="249"/>
      <c r="W1568" s="330"/>
      <c r="X1568" s="343"/>
      <c r="Y1568" s="249"/>
      <c r="Z1568" s="330"/>
      <c r="AA1568" s="343"/>
      <c r="AB1568" s="249"/>
      <c r="AC1568" s="330"/>
      <c r="AD1568" s="343"/>
      <c r="AE1568" s="249"/>
      <c r="AF1568" s="330"/>
      <c r="AG1568" s="343"/>
      <c r="AH1568" s="249"/>
      <c r="AI1568" s="330"/>
      <c r="AJ1568" s="343"/>
      <c r="AK1568" s="249"/>
      <c r="AL1568" s="330"/>
      <c r="AM1568" s="343"/>
      <c r="AN1568" s="249"/>
      <c r="AO1568" s="330"/>
      <c r="AP1568" s="343"/>
      <c r="AQ1568" s="249"/>
      <c r="AR1568" s="330"/>
      <c r="AS1568" s="343"/>
      <c r="AT1568" s="249"/>
      <c r="AU1568" s="330"/>
    </row>
    <row r="1569" spans="2:47">
      <c r="B1569" s="247">
        <f>'Table S2 Compound Identifiers'!C1571</f>
        <v>0</v>
      </c>
      <c r="C1569" s="247">
        <f>COUNTIF($D$6:D1569,"&lt;&gt;"&amp;"")</f>
        <v>1564</v>
      </c>
      <c r="D1569" s="247">
        <f>'Table S2 Compound Identifiers'!B1571</f>
        <v>0</v>
      </c>
      <c r="E1569" s="247"/>
      <c r="F1569" s="248"/>
      <c r="G1569" s="249"/>
      <c r="H1569" s="330"/>
      <c r="I1569" s="328"/>
      <c r="J1569" s="249"/>
      <c r="K1569" s="330"/>
      <c r="L1569" s="250"/>
      <c r="M1569" s="249"/>
      <c r="N1569" s="330"/>
      <c r="O1569" s="250"/>
      <c r="P1569" s="249"/>
      <c r="Q1569" s="330"/>
      <c r="R1569" s="250"/>
      <c r="S1569" s="249"/>
      <c r="T1569" s="330"/>
      <c r="U1569" s="250"/>
      <c r="V1569" s="249"/>
      <c r="W1569" s="330"/>
      <c r="X1569" s="343"/>
      <c r="Y1569" s="249"/>
      <c r="Z1569" s="330"/>
      <c r="AA1569" s="343"/>
      <c r="AB1569" s="249"/>
      <c r="AC1569" s="330"/>
      <c r="AD1569" s="343"/>
      <c r="AE1569" s="249"/>
      <c r="AF1569" s="330"/>
      <c r="AG1569" s="343"/>
      <c r="AH1569" s="249"/>
      <c r="AI1569" s="330"/>
      <c r="AJ1569" s="343"/>
      <c r="AK1569" s="249"/>
      <c r="AL1569" s="330"/>
      <c r="AM1569" s="343"/>
      <c r="AN1569" s="249"/>
      <c r="AO1569" s="330"/>
      <c r="AP1569" s="343"/>
      <c r="AQ1569" s="249"/>
      <c r="AR1569" s="330"/>
      <c r="AS1569" s="343"/>
      <c r="AT1569" s="249"/>
      <c r="AU1569" s="330"/>
    </row>
    <row r="1570" spans="2:47">
      <c r="B1570" s="247">
        <f>'Table S2 Compound Identifiers'!C1572</f>
        <v>0</v>
      </c>
      <c r="C1570" s="247">
        <f>COUNTIF($D$6:D1570,"&lt;&gt;"&amp;"")</f>
        <v>1565</v>
      </c>
      <c r="D1570" s="247">
        <f>'Table S2 Compound Identifiers'!B1572</f>
        <v>0</v>
      </c>
      <c r="E1570" s="247"/>
      <c r="F1570" s="248"/>
      <c r="G1570" s="249"/>
      <c r="H1570" s="330"/>
      <c r="I1570" s="328"/>
      <c r="J1570" s="249"/>
      <c r="K1570" s="330"/>
      <c r="L1570" s="250"/>
      <c r="M1570" s="249"/>
      <c r="N1570" s="330"/>
      <c r="O1570" s="250"/>
      <c r="P1570" s="249"/>
      <c r="Q1570" s="330"/>
      <c r="R1570" s="250"/>
      <c r="S1570" s="249"/>
      <c r="T1570" s="330"/>
      <c r="U1570" s="250"/>
      <c r="V1570" s="249"/>
      <c r="W1570" s="330"/>
      <c r="X1570" s="343"/>
      <c r="Y1570" s="249"/>
      <c r="Z1570" s="330"/>
      <c r="AA1570" s="343"/>
      <c r="AB1570" s="249"/>
      <c r="AC1570" s="330"/>
      <c r="AD1570" s="343"/>
      <c r="AE1570" s="249"/>
      <c r="AF1570" s="330"/>
      <c r="AG1570" s="343"/>
      <c r="AH1570" s="249"/>
      <c r="AI1570" s="330"/>
      <c r="AJ1570" s="343"/>
      <c r="AK1570" s="249"/>
      <c r="AL1570" s="330"/>
      <c r="AM1570" s="343"/>
      <c r="AN1570" s="249"/>
      <c r="AO1570" s="330"/>
      <c r="AP1570" s="343"/>
      <c r="AQ1570" s="249"/>
      <c r="AR1570" s="330"/>
      <c r="AS1570" s="343"/>
      <c r="AT1570" s="249"/>
      <c r="AU1570" s="330"/>
    </row>
    <row r="1571" spans="2:47">
      <c r="B1571" s="247">
        <f>'Table S2 Compound Identifiers'!C1573</f>
        <v>0</v>
      </c>
      <c r="C1571" s="247">
        <f>COUNTIF($D$6:D1571,"&lt;&gt;"&amp;"")</f>
        <v>1566</v>
      </c>
      <c r="D1571" s="247">
        <f>'Table S2 Compound Identifiers'!B1573</f>
        <v>0</v>
      </c>
      <c r="E1571" s="247"/>
      <c r="F1571" s="248"/>
      <c r="G1571" s="249"/>
      <c r="H1571" s="330"/>
      <c r="I1571" s="328"/>
      <c r="J1571" s="249"/>
      <c r="K1571" s="330"/>
      <c r="L1571" s="250"/>
      <c r="M1571" s="249"/>
      <c r="N1571" s="330"/>
      <c r="O1571" s="250"/>
      <c r="P1571" s="249"/>
      <c r="Q1571" s="330"/>
      <c r="R1571" s="250"/>
      <c r="S1571" s="249"/>
      <c r="T1571" s="330"/>
      <c r="U1571" s="250"/>
      <c r="V1571" s="249"/>
      <c r="W1571" s="330"/>
      <c r="X1571" s="343"/>
      <c r="Y1571" s="249"/>
      <c r="Z1571" s="330"/>
      <c r="AA1571" s="343"/>
      <c r="AB1571" s="249"/>
      <c r="AC1571" s="330"/>
      <c r="AD1571" s="343"/>
      <c r="AE1571" s="249"/>
      <c r="AF1571" s="330"/>
      <c r="AG1571" s="343"/>
      <c r="AH1571" s="249"/>
      <c r="AI1571" s="330"/>
      <c r="AJ1571" s="343"/>
      <c r="AK1571" s="249"/>
      <c r="AL1571" s="330"/>
      <c r="AM1571" s="343"/>
      <c r="AN1571" s="249"/>
      <c r="AO1571" s="330"/>
      <c r="AP1571" s="343"/>
      <c r="AQ1571" s="249"/>
      <c r="AR1571" s="330"/>
      <c r="AS1571" s="343"/>
      <c r="AT1571" s="249"/>
      <c r="AU1571" s="330"/>
    </row>
    <row r="1572" spans="2:47">
      <c r="B1572" s="247">
        <f>'Table S2 Compound Identifiers'!C1574</f>
        <v>0</v>
      </c>
      <c r="C1572" s="247">
        <f>COUNTIF($D$6:D1572,"&lt;&gt;"&amp;"")</f>
        <v>1567</v>
      </c>
      <c r="D1572" s="247">
        <f>'Table S2 Compound Identifiers'!B1574</f>
        <v>0</v>
      </c>
      <c r="E1572" s="247"/>
      <c r="F1572" s="248"/>
      <c r="G1572" s="249"/>
      <c r="H1572" s="330"/>
      <c r="I1572" s="328"/>
      <c r="J1572" s="249"/>
      <c r="K1572" s="330"/>
      <c r="L1572" s="250"/>
      <c r="M1572" s="249"/>
      <c r="N1572" s="330"/>
      <c r="O1572" s="250"/>
      <c r="P1572" s="249"/>
      <c r="Q1572" s="330"/>
      <c r="R1572" s="250"/>
      <c r="S1572" s="249"/>
      <c r="T1572" s="330"/>
      <c r="U1572" s="250"/>
      <c r="V1572" s="249"/>
      <c r="W1572" s="330"/>
      <c r="X1572" s="343"/>
      <c r="Y1572" s="249"/>
      <c r="Z1572" s="330"/>
      <c r="AA1572" s="343"/>
      <c r="AB1572" s="249"/>
      <c r="AC1572" s="330"/>
      <c r="AD1572" s="343"/>
      <c r="AE1572" s="249"/>
      <c r="AF1572" s="330"/>
      <c r="AG1572" s="343"/>
      <c r="AH1572" s="249"/>
      <c r="AI1572" s="330"/>
      <c r="AJ1572" s="343"/>
      <c r="AK1572" s="249"/>
      <c r="AL1572" s="330"/>
      <c r="AM1572" s="343"/>
      <c r="AN1572" s="249"/>
      <c r="AO1572" s="330"/>
      <c r="AP1572" s="343"/>
      <c r="AQ1572" s="249"/>
      <c r="AR1572" s="330"/>
      <c r="AS1572" s="343"/>
      <c r="AT1572" s="249"/>
      <c r="AU1572" s="330"/>
    </row>
    <row r="1573" spans="2:47">
      <c r="B1573" s="247">
        <f>'Table S2 Compound Identifiers'!C1575</f>
        <v>0</v>
      </c>
      <c r="C1573" s="247">
        <f>COUNTIF($D$6:D1573,"&lt;&gt;"&amp;"")</f>
        <v>1568</v>
      </c>
      <c r="D1573" s="247">
        <f>'Table S2 Compound Identifiers'!B1575</f>
        <v>0</v>
      </c>
      <c r="E1573" s="247"/>
      <c r="F1573" s="248"/>
      <c r="G1573" s="249"/>
      <c r="H1573" s="330"/>
      <c r="I1573" s="328"/>
      <c r="J1573" s="249"/>
      <c r="K1573" s="330"/>
      <c r="L1573" s="250"/>
      <c r="M1573" s="249"/>
      <c r="N1573" s="330"/>
      <c r="O1573" s="250"/>
      <c r="P1573" s="249"/>
      <c r="Q1573" s="330"/>
      <c r="R1573" s="250"/>
      <c r="S1573" s="249"/>
      <c r="T1573" s="330"/>
      <c r="U1573" s="250"/>
      <c r="V1573" s="249"/>
      <c r="W1573" s="330"/>
      <c r="X1573" s="343"/>
      <c r="Y1573" s="249"/>
      <c r="Z1573" s="330"/>
      <c r="AA1573" s="343"/>
      <c r="AB1573" s="249"/>
      <c r="AC1573" s="330"/>
      <c r="AD1573" s="343"/>
      <c r="AE1573" s="249"/>
      <c r="AF1573" s="330"/>
      <c r="AG1573" s="343"/>
      <c r="AH1573" s="249"/>
      <c r="AI1573" s="330"/>
      <c r="AJ1573" s="343"/>
      <c r="AK1573" s="249"/>
      <c r="AL1573" s="330"/>
      <c r="AM1573" s="343"/>
      <c r="AN1573" s="249"/>
      <c r="AO1573" s="330"/>
      <c r="AP1573" s="343"/>
      <c r="AQ1573" s="249"/>
      <c r="AR1573" s="330"/>
      <c r="AS1573" s="343"/>
      <c r="AT1573" s="249"/>
      <c r="AU1573" s="330"/>
    </row>
    <row r="1574" spans="2:47">
      <c r="B1574" s="247">
        <f>'Table S2 Compound Identifiers'!C1576</f>
        <v>0</v>
      </c>
      <c r="C1574" s="247">
        <f>COUNTIF($D$6:D1574,"&lt;&gt;"&amp;"")</f>
        <v>1569</v>
      </c>
      <c r="D1574" s="247">
        <f>'Table S2 Compound Identifiers'!B1576</f>
        <v>0</v>
      </c>
      <c r="E1574" s="247"/>
      <c r="F1574" s="248"/>
      <c r="G1574" s="249"/>
      <c r="H1574" s="330"/>
      <c r="I1574" s="328"/>
      <c r="J1574" s="249"/>
      <c r="K1574" s="330"/>
      <c r="L1574" s="250"/>
      <c r="M1574" s="249"/>
      <c r="N1574" s="330"/>
      <c r="O1574" s="250"/>
      <c r="P1574" s="249"/>
      <c r="Q1574" s="330"/>
      <c r="R1574" s="250"/>
      <c r="S1574" s="249"/>
      <c r="T1574" s="330"/>
      <c r="U1574" s="250"/>
      <c r="V1574" s="249"/>
      <c r="W1574" s="330"/>
      <c r="X1574" s="343"/>
      <c r="Y1574" s="249"/>
      <c r="Z1574" s="330"/>
      <c r="AA1574" s="343"/>
      <c r="AB1574" s="249"/>
      <c r="AC1574" s="330"/>
      <c r="AD1574" s="343"/>
      <c r="AE1574" s="249"/>
      <c r="AF1574" s="330"/>
      <c r="AG1574" s="343"/>
      <c r="AH1574" s="249"/>
      <c r="AI1574" s="330"/>
      <c r="AJ1574" s="343"/>
      <c r="AK1574" s="249"/>
      <c r="AL1574" s="330"/>
      <c r="AM1574" s="343"/>
      <c r="AN1574" s="249"/>
      <c r="AO1574" s="330"/>
      <c r="AP1574" s="343"/>
      <c r="AQ1574" s="249"/>
      <c r="AR1574" s="330"/>
      <c r="AS1574" s="343"/>
      <c r="AT1574" s="249"/>
      <c r="AU1574" s="330"/>
    </row>
    <row r="1575" spans="2:47">
      <c r="B1575" s="247">
        <f>'Table S2 Compound Identifiers'!C1577</f>
        <v>0</v>
      </c>
      <c r="C1575" s="247">
        <f>COUNTIF($D$6:D1575,"&lt;&gt;"&amp;"")</f>
        <v>1570</v>
      </c>
      <c r="D1575" s="247">
        <f>'Table S2 Compound Identifiers'!B1577</f>
        <v>0</v>
      </c>
      <c r="E1575" s="247"/>
      <c r="F1575" s="248"/>
      <c r="G1575" s="249"/>
      <c r="H1575" s="330"/>
      <c r="I1575" s="328"/>
      <c r="J1575" s="249"/>
      <c r="K1575" s="330"/>
      <c r="L1575" s="250"/>
      <c r="M1575" s="249"/>
      <c r="N1575" s="330"/>
      <c r="O1575" s="250"/>
      <c r="P1575" s="249"/>
      <c r="Q1575" s="330"/>
      <c r="R1575" s="250"/>
      <c r="S1575" s="249"/>
      <c r="T1575" s="330"/>
      <c r="U1575" s="250"/>
      <c r="V1575" s="249"/>
      <c r="W1575" s="330"/>
      <c r="X1575" s="343"/>
      <c r="Y1575" s="249"/>
      <c r="Z1575" s="330"/>
      <c r="AA1575" s="343"/>
      <c r="AB1575" s="249"/>
      <c r="AC1575" s="330"/>
      <c r="AD1575" s="343"/>
      <c r="AE1575" s="249"/>
      <c r="AF1575" s="330"/>
      <c r="AG1575" s="343"/>
      <c r="AH1575" s="249"/>
      <c r="AI1575" s="330"/>
      <c r="AJ1575" s="343"/>
      <c r="AK1575" s="249"/>
      <c r="AL1575" s="330"/>
      <c r="AM1575" s="343"/>
      <c r="AN1575" s="249"/>
      <c r="AO1575" s="330"/>
      <c r="AP1575" s="343"/>
      <c r="AQ1575" s="249"/>
      <c r="AR1575" s="330"/>
      <c r="AS1575" s="343"/>
      <c r="AT1575" s="249"/>
      <c r="AU1575" s="330"/>
    </row>
    <row r="1576" spans="2:47">
      <c r="B1576" s="247">
        <f>'Table S2 Compound Identifiers'!C1578</f>
        <v>0</v>
      </c>
      <c r="C1576" s="247">
        <f>COUNTIF($D$6:D1576,"&lt;&gt;"&amp;"")</f>
        <v>1571</v>
      </c>
      <c r="D1576" s="247">
        <f>'Table S2 Compound Identifiers'!B1578</f>
        <v>0</v>
      </c>
      <c r="E1576" s="247"/>
      <c r="F1576" s="248"/>
      <c r="G1576" s="249"/>
      <c r="H1576" s="330"/>
      <c r="I1576" s="328"/>
      <c r="J1576" s="249"/>
      <c r="K1576" s="330"/>
      <c r="L1576" s="250"/>
      <c r="M1576" s="249"/>
      <c r="N1576" s="330"/>
      <c r="O1576" s="250"/>
      <c r="P1576" s="249"/>
      <c r="Q1576" s="330"/>
      <c r="R1576" s="250"/>
      <c r="S1576" s="249"/>
      <c r="T1576" s="330"/>
      <c r="U1576" s="250"/>
      <c r="V1576" s="249"/>
      <c r="W1576" s="330"/>
      <c r="X1576" s="343"/>
      <c r="Y1576" s="249"/>
      <c r="Z1576" s="330"/>
      <c r="AA1576" s="343"/>
      <c r="AB1576" s="249"/>
      <c r="AC1576" s="330"/>
      <c r="AD1576" s="343"/>
      <c r="AE1576" s="249"/>
      <c r="AF1576" s="330"/>
      <c r="AG1576" s="343"/>
      <c r="AH1576" s="249"/>
      <c r="AI1576" s="330"/>
      <c r="AJ1576" s="343"/>
      <c r="AK1576" s="249"/>
      <c r="AL1576" s="330"/>
      <c r="AM1576" s="343"/>
      <c r="AN1576" s="249"/>
      <c r="AO1576" s="330"/>
      <c r="AP1576" s="343"/>
      <c r="AQ1576" s="249"/>
      <c r="AR1576" s="330"/>
      <c r="AS1576" s="343"/>
      <c r="AT1576" s="249"/>
      <c r="AU1576" s="330"/>
    </row>
    <row r="1577" spans="2:47">
      <c r="B1577" s="247">
        <f>'Table S2 Compound Identifiers'!C1579</f>
        <v>0</v>
      </c>
      <c r="C1577" s="247">
        <f>COUNTIF($D$6:D1577,"&lt;&gt;"&amp;"")</f>
        <v>1572</v>
      </c>
      <c r="D1577" s="247">
        <f>'Table S2 Compound Identifiers'!B1579</f>
        <v>0</v>
      </c>
      <c r="E1577" s="247"/>
      <c r="F1577" s="248"/>
      <c r="G1577" s="249"/>
      <c r="H1577" s="330"/>
      <c r="I1577" s="328"/>
      <c r="J1577" s="249"/>
      <c r="K1577" s="330"/>
      <c r="L1577" s="250"/>
      <c r="M1577" s="249"/>
      <c r="N1577" s="330"/>
      <c r="O1577" s="250"/>
      <c r="P1577" s="249"/>
      <c r="Q1577" s="330"/>
      <c r="R1577" s="250"/>
      <c r="S1577" s="249"/>
      <c r="T1577" s="330"/>
      <c r="U1577" s="250"/>
      <c r="V1577" s="249"/>
      <c r="W1577" s="330"/>
      <c r="X1577" s="343"/>
      <c r="Y1577" s="249"/>
      <c r="Z1577" s="330"/>
      <c r="AA1577" s="343"/>
      <c r="AB1577" s="249"/>
      <c r="AC1577" s="330"/>
      <c r="AD1577" s="343"/>
      <c r="AE1577" s="249"/>
      <c r="AF1577" s="330"/>
      <c r="AG1577" s="343"/>
      <c r="AH1577" s="249"/>
      <c r="AI1577" s="330"/>
      <c r="AJ1577" s="343"/>
      <c r="AK1577" s="249"/>
      <c r="AL1577" s="330"/>
      <c r="AM1577" s="343"/>
      <c r="AN1577" s="249"/>
      <c r="AO1577" s="330"/>
      <c r="AP1577" s="343"/>
      <c r="AQ1577" s="249"/>
      <c r="AR1577" s="330"/>
      <c r="AS1577" s="343"/>
      <c r="AT1577" s="249"/>
      <c r="AU1577" s="330"/>
    </row>
    <row r="1578" spans="2:47">
      <c r="B1578" s="247">
        <f>'Table S2 Compound Identifiers'!C1580</f>
        <v>0</v>
      </c>
      <c r="C1578" s="247">
        <f>COUNTIF($D$6:D1578,"&lt;&gt;"&amp;"")</f>
        <v>1573</v>
      </c>
      <c r="D1578" s="247">
        <f>'Table S2 Compound Identifiers'!B1580</f>
        <v>0</v>
      </c>
      <c r="E1578" s="247"/>
      <c r="F1578" s="248"/>
      <c r="G1578" s="249"/>
      <c r="H1578" s="330"/>
      <c r="I1578" s="328"/>
      <c r="J1578" s="249"/>
      <c r="K1578" s="330"/>
      <c r="L1578" s="250"/>
      <c r="M1578" s="249"/>
      <c r="N1578" s="330"/>
      <c r="O1578" s="250"/>
      <c r="P1578" s="249"/>
      <c r="Q1578" s="330"/>
      <c r="R1578" s="250"/>
      <c r="S1578" s="249"/>
      <c r="T1578" s="330"/>
      <c r="U1578" s="250"/>
      <c r="V1578" s="249"/>
      <c r="W1578" s="330"/>
      <c r="X1578" s="343"/>
      <c r="Y1578" s="249"/>
      <c r="Z1578" s="330"/>
      <c r="AA1578" s="343"/>
      <c r="AB1578" s="249"/>
      <c r="AC1578" s="330"/>
      <c r="AD1578" s="343"/>
      <c r="AE1578" s="249"/>
      <c r="AF1578" s="330"/>
      <c r="AG1578" s="343"/>
      <c r="AH1578" s="249"/>
      <c r="AI1578" s="330"/>
      <c r="AJ1578" s="343"/>
      <c r="AK1578" s="249"/>
      <c r="AL1578" s="330"/>
      <c r="AM1578" s="343"/>
      <c r="AN1578" s="249"/>
      <c r="AO1578" s="330"/>
      <c r="AP1578" s="343"/>
      <c r="AQ1578" s="249"/>
      <c r="AR1578" s="330"/>
      <c r="AS1578" s="343"/>
      <c r="AT1578" s="249"/>
      <c r="AU1578" s="330"/>
    </row>
    <row r="1579" spans="2:47">
      <c r="B1579" s="247">
        <f>'Table S2 Compound Identifiers'!C1581</f>
        <v>0</v>
      </c>
      <c r="C1579" s="247">
        <f>COUNTIF($D$6:D1579,"&lt;&gt;"&amp;"")</f>
        <v>1574</v>
      </c>
      <c r="D1579" s="247">
        <f>'Table S2 Compound Identifiers'!B1581</f>
        <v>0</v>
      </c>
      <c r="E1579" s="247"/>
      <c r="F1579" s="248"/>
      <c r="G1579" s="249"/>
      <c r="H1579" s="330"/>
      <c r="I1579" s="328"/>
      <c r="J1579" s="249"/>
      <c r="K1579" s="330"/>
      <c r="L1579" s="250"/>
      <c r="M1579" s="249"/>
      <c r="N1579" s="330"/>
      <c r="O1579" s="250"/>
      <c r="P1579" s="249"/>
      <c r="Q1579" s="330"/>
      <c r="R1579" s="250"/>
      <c r="S1579" s="249"/>
      <c r="T1579" s="330"/>
      <c r="U1579" s="250"/>
      <c r="V1579" s="249"/>
      <c r="W1579" s="330"/>
      <c r="X1579" s="343"/>
      <c r="Y1579" s="249"/>
      <c r="Z1579" s="330"/>
      <c r="AA1579" s="343"/>
      <c r="AB1579" s="249"/>
      <c r="AC1579" s="330"/>
      <c r="AD1579" s="343"/>
      <c r="AE1579" s="249"/>
      <c r="AF1579" s="330"/>
      <c r="AG1579" s="343"/>
      <c r="AH1579" s="249"/>
      <c r="AI1579" s="330"/>
      <c r="AJ1579" s="343"/>
      <c r="AK1579" s="249"/>
      <c r="AL1579" s="330"/>
      <c r="AM1579" s="343"/>
      <c r="AN1579" s="249"/>
      <c r="AO1579" s="330"/>
      <c r="AP1579" s="343"/>
      <c r="AQ1579" s="249"/>
      <c r="AR1579" s="330"/>
      <c r="AS1579" s="343"/>
      <c r="AT1579" s="249"/>
      <c r="AU1579" s="330"/>
    </row>
    <row r="1580" spans="2:47">
      <c r="B1580" s="247">
        <f>'Table S2 Compound Identifiers'!C1582</f>
        <v>0</v>
      </c>
      <c r="C1580" s="247">
        <f>COUNTIF($D$6:D1580,"&lt;&gt;"&amp;"")</f>
        <v>1575</v>
      </c>
      <c r="D1580" s="247">
        <f>'Table S2 Compound Identifiers'!B1582</f>
        <v>0</v>
      </c>
      <c r="E1580" s="247"/>
      <c r="F1580" s="248"/>
      <c r="G1580" s="249"/>
      <c r="H1580" s="330"/>
      <c r="I1580" s="328"/>
      <c r="J1580" s="249"/>
      <c r="K1580" s="330"/>
      <c r="L1580" s="250"/>
      <c r="M1580" s="249"/>
      <c r="N1580" s="330"/>
      <c r="O1580" s="250"/>
      <c r="P1580" s="249"/>
      <c r="Q1580" s="330"/>
      <c r="R1580" s="250"/>
      <c r="S1580" s="249"/>
      <c r="T1580" s="330"/>
      <c r="U1580" s="250"/>
      <c r="V1580" s="249"/>
      <c r="W1580" s="330"/>
      <c r="X1580" s="343"/>
      <c r="Y1580" s="249"/>
      <c r="Z1580" s="330"/>
      <c r="AA1580" s="343"/>
      <c r="AB1580" s="249"/>
      <c r="AC1580" s="330"/>
      <c r="AD1580" s="343"/>
      <c r="AE1580" s="249"/>
      <c r="AF1580" s="330"/>
      <c r="AG1580" s="343"/>
      <c r="AH1580" s="249"/>
      <c r="AI1580" s="330"/>
      <c r="AJ1580" s="343"/>
      <c r="AK1580" s="249"/>
      <c r="AL1580" s="330"/>
      <c r="AM1580" s="343"/>
      <c r="AN1580" s="249"/>
      <c r="AO1580" s="330"/>
      <c r="AP1580" s="343"/>
      <c r="AQ1580" s="249"/>
      <c r="AR1580" s="330"/>
      <c r="AS1580" s="343"/>
      <c r="AT1580" s="249"/>
      <c r="AU1580" s="330"/>
    </row>
    <row r="1581" spans="2:47">
      <c r="B1581" s="247">
        <f>'Table S2 Compound Identifiers'!C1583</f>
        <v>0</v>
      </c>
      <c r="C1581" s="247">
        <f>COUNTIF($D$6:D1581,"&lt;&gt;"&amp;"")</f>
        <v>1576</v>
      </c>
      <c r="D1581" s="247">
        <f>'Table S2 Compound Identifiers'!B1583</f>
        <v>0</v>
      </c>
      <c r="E1581" s="247"/>
      <c r="F1581" s="248"/>
      <c r="G1581" s="249"/>
      <c r="H1581" s="330"/>
      <c r="I1581" s="328"/>
      <c r="J1581" s="249"/>
      <c r="K1581" s="330"/>
      <c r="L1581" s="250"/>
      <c r="M1581" s="249"/>
      <c r="N1581" s="330"/>
      <c r="O1581" s="250"/>
      <c r="P1581" s="249"/>
      <c r="Q1581" s="330"/>
      <c r="R1581" s="250"/>
      <c r="S1581" s="249"/>
      <c r="T1581" s="330"/>
      <c r="U1581" s="250"/>
      <c r="V1581" s="249"/>
      <c r="W1581" s="330"/>
      <c r="X1581" s="343"/>
      <c r="Y1581" s="249"/>
      <c r="Z1581" s="330"/>
      <c r="AA1581" s="343"/>
      <c r="AB1581" s="249"/>
      <c r="AC1581" s="330"/>
      <c r="AD1581" s="343"/>
      <c r="AE1581" s="249"/>
      <c r="AF1581" s="330"/>
      <c r="AG1581" s="343"/>
      <c r="AH1581" s="249"/>
      <c r="AI1581" s="330"/>
      <c r="AJ1581" s="343"/>
      <c r="AK1581" s="249"/>
      <c r="AL1581" s="330"/>
      <c r="AM1581" s="343"/>
      <c r="AN1581" s="249"/>
      <c r="AO1581" s="330"/>
      <c r="AP1581" s="343"/>
      <c r="AQ1581" s="249"/>
      <c r="AR1581" s="330"/>
      <c r="AS1581" s="343"/>
      <c r="AT1581" s="249"/>
      <c r="AU1581" s="330"/>
    </row>
    <row r="1582" spans="2:47">
      <c r="B1582" s="247">
        <f>'Table S2 Compound Identifiers'!C1584</f>
        <v>0</v>
      </c>
      <c r="C1582" s="247">
        <f>COUNTIF($D$6:D1582,"&lt;&gt;"&amp;"")</f>
        <v>1577</v>
      </c>
      <c r="D1582" s="247">
        <f>'Table S2 Compound Identifiers'!B1584</f>
        <v>0</v>
      </c>
      <c r="E1582" s="247"/>
      <c r="F1582" s="248"/>
      <c r="G1582" s="249"/>
      <c r="H1582" s="330"/>
      <c r="I1582" s="328"/>
      <c r="J1582" s="249"/>
      <c r="K1582" s="330"/>
      <c r="L1582" s="250"/>
      <c r="M1582" s="249"/>
      <c r="N1582" s="330"/>
      <c r="O1582" s="250"/>
      <c r="P1582" s="249"/>
      <c r="Q1582" s="330"/>
      <c r="R1582" s="250"/>
      <c r="S1582" s="249"/>
      <c r="T1582" s="330"/>
      <c r="U1582" s="250"/>
      <c r="V1582" s="249"/>
      <c r="W1582" s="330"/>
      <c r="X1582" s="343"/>
      <c r="Y1582" s="249"/>
      <c r="Z1582" s="330"/>
      <c r="AA1582" s="343"/>
      <c r="AB1582" s="249"/>
      <c r="AC1582" s="330"/>
      <c r="AD1582" s="343"/>
      <c r="AE1582" s="249"/>
      <c r="AF1582" s="330"/>
      <c r="AG1582" s="343"/>
      <c r="AH1582" s="249"/>
      <c r="AI1582" s="330"/>
      <c r="AJ1582" s="343"/>
      <c r="AK1582" s="249"/>
      <c r="AL1582" s="330"/>
      <c r="AM1582" s="343"/>
      <c r="AN1582" s="249"/>
      <c r="AO1582" s="330"/>
      <c r="AP1582" s="343"/>
      <c r="AQ1582" s="249"/>
      <c r="AR1582" s="330"/>
      <c r="AS1582" s="343"/>
      <c r="AT1582" s="249"/>
      <c r="AU1582" s="330"/>
    </row>
    <row r="1583" spans="2:47">
      <c r="B1583" s="247">
        <f>'Table S2 Compound Identifiers'!C1585</f>
        <v>0</v>
      </c>
      <c r="C1583" s="247">
        <f>COUNTIF($D$6:D1583,"&lt;&gt;"&amp;"")</f>
        <v>1578</v>
      </c>
      <c r="D1583" s="247">
        <f>'Table S2 Compound Identifiers'!B1585</f>
        <v>0</v>
      </c>
      <c r="E1583" s="247"/>
      <c r="F1583" s="248"/>
      <c r="G1583" s="249"/>
      <c r="H1583" s="330"/>
      <c r="I1583" s="328"/>
      <c r="J1583" s="249"/>
      <c r="K1583" s="330"/>
      <c r="L1583" s="250"/>
      <c r="M1583" s="249"/>
      <c r="N1583" s="330"/>
      <c r="O1583" s="250"/>
      <c r="P1583" s="249"/>
      <c r="Q1583" s="330"/>
      <c r="R1583" s="250"/>
      <c r="S1583" s="249"/>
      <c r="T1583" s="330"/>
      <c r="U1583" s="250"/>
      <c r="V1583" s="249"/>
      <c r="W1583" s="330"/>
      <c r="X1583" s="343"/>
      <c r="Y1583" s="249"/>
      <c r="Z1583" s="330"/>
      <c r="AA1583" s="343"/>
      <c r="AB1583" s="249"/>
      <c r="AC1583" s="330"/>
      <c r="AD1583" s="343"/>
      <c r="AE1583" s="249"/>
      <c r="AF1583" s="330"/>
      <c r="AG1583" s="343"/>
      <c r="AH1583" s="249"/>
      <c r="AI1583" s="330"/>
      <c r="AJ1583" s="343"/>
      <c r="AK1583" s="249"/>
      <c r="AL1583" s="330"/>
      <c r="AM1583" s="343"/>
      <c r="AN1583" s="249"/>
      <c r="AO1583" s="330"/>
      <c r="AP1583" s="343"/>
      <c r="AQ1583" s="249"/>
      <c r="AR1583" s="330"/>
      <c r="AS1583" s="343"/>
      <c r="AT1583" s="249"/>
      <c r="AU1583" s="330"/>
    </row>
    <row r="1584" spans="2:47">
      <c r="B1584" s="247">
        <f>'Table S2 Compound Identifiers'!C1586</f>
        <v>0</v>
      </c>
      <c r="C1584" s="247">
        <f>COUNTIF($D$6:D1584,"&lt;&gt;"&amp;"")</f>
        <v>1579</v>
      </c>
      <c r="D1584" s="247">
        <f>'Table S2 Compound Identifiers'!B1586</f>
        <v>0</v>
      </c>
      <c r="E1584" s="247"/>
      <c r="F1584" s="248"/>
      <c r="G1584" s="249"/>
      <c r="H1584" s="330"/>
      <c r="I1584" s="328"/>
      <c r="J1584" s="249"/>
      <c r="K1584" s="330"/>
      <c r="L1584" s="250"/>
      <c r="M1584" s="249"/>
      <c r="N1584" s="330"/>
      <c r="O1584" s="250"/>
      <c r="P1584" s="249"/>
      <c r="Q1584" s="330"/>
      <c r="R1584" s="250"/>
      <c r="S1584" s="249"/>
      <c r="T1584" s="330"/>
      <c r="U1584" s="250"/>
      <c r="V1584" s="249"/>
      <c r="W1584" s="330"/>
      <c r="X1584" s="343"/>
      <c r="Y1584" s="249"/>
      <c r="Z1584" s="330"/>
      <c r="AA1584" s="343"/>
      <c r="AB1584" s="249"/>
      <c r="AC1584" s="330"/>
      <c r="AD1584" s="343"/>
      <c r="AE1584" s="249"/>
      <c r="AF1584" s="330"/>
      <c r="AG1584" s="343"/>
      <c r="AH1584" s="249"/>
      <c r="AI1584" s="330"/>
      <c r="AJ1584" s="343"/>
      <c r="AK1584" s="249"/>
      <c r="AL1584" s="330"/>
      <c r="AM1584" s="343"/>
      <c r="AN1584" s="249"/>
      <c r="AO1584" s="330"/>
      <c r="AP1584" s="343"/>
      <c r="AQ1584" s="249"/>
      <c r="AR1584" s="330"/>
      <c r="AS1584" s="343"/>
      <c r="AT1584" s="249"/>
      <c r="AU1584" s="330"/>
    </row>
    <row r="1585" spans="2:47">
      <c r="B1585" s="247">
        <f>'Table S2 Compound Identifiers'!C1587</f>
        <v>0</v>
      </c>
      <c r="C1585" s="247">
        <f>COUNTIF($D$6:D1585,"&lt;&gt;"&amp;"")</f>
        <v>1580</v>
      </c>
      <c r="D1585" s="247">
        <f>'Table S2 Compound Identifiers'!B1587</f>
        <v>0</v>
      </c>
      <c r="E1585" s="247"/>
      <c r="F1585" s="248"/>
      <c r="G1585" s="249"/>
      <c r="H1585" s="330"/>
      <c r="I1585" s="328"/>
      <c r="J1585" s="249"/>
      <c r="K1585" s="330"/>
      <c r="L1585" s="250"/>
      <c r="M1585" s="249"/>
      <c r="N1585" s="330"/>
      <c r="O1585" s="250"/>
      <c r="P1585" s="249"/>
      <c r="Q1585" s="330"/>
      <c r="R1585" s="250"/>
      <c r="S1585" s="249"/>
      <c r="T1585" s="330"/>
      <c r="U1585" s="250"/>
      <c r="V1585" s="249"/>
      <c r="W1585" s="330"/>
      <c r="X1585" s="343"/>
      <c r="Y1585" s="249"/>
      <c r="Z1585" s="330"/>
      <c r="AA1585" s="343"/>
      <c r="AB1585" s="249"/>
      <c r="AC1585" s="330"/>
      <c r="AD1585" s="343"/>
      <c r="AE1585" s="249"/>
      <c r="AF1585" s="330"/>
      <c r="AG1585" s="343"/>
      <c r="AH1585" s="249"/>
      <c r="AI1585" s="330"/>
      <c r="AJ1585" s="343"/>
      <c r="AK1585" s="249"/>
      <c r="AL1585" s="330"/>
      <c r="AM1585" s="343"/>
      <c r="AN1585" s="249"/>
      <c r="AO1585" s="330"/>
      <c r="AP1585" s="343"/>
      <c r="AQ1585" s="249"/>
      <c r="AR1585" s="330"/>
      <c r="AS1585" s="343"/>
      <c r="AT1585" s="249"/>
      <c r="AU1585" s="330"/>
    </row>
    <row r="1586" spans="2:47">
      <c r="B1586" s="247">
        <f>'Table S2 Compound Identifiers'!C1588</f>
        <v>0</v>
      </c>
      <c r="C1586" s="247">
        <f>COUNTIF($D$6:D1586,"&lt;&gt;"&amp;"")</f>
        <v>1581</v>
      </c>
      <c r="D1586" s="247">
        <f>'Table S2 Compound Identifiers'!B1588</f>
        <v>0</v>
      </c>
      <c r="E1586" s="247"/>
      <c r="F1586" s="248"/>
      <c r="G1586" s="249"/>
      <c r="H1586" s="330"/>
      <c r="I1586" s="328"/>
      <c r="J1586" s="249"/>
      <c r="K1586" s="330"/>
      <c r="L1586" s="250"/>
      <c r="M1586" s="249"/>
      <c r="N1586" s="330"/>
      <c r="O1586" s="250"/>
      <c r="P1586" s="249"/>
      <c r="Q1586" s="330"/>
      <c r="R1586" s="250"/>
      <c r="S1586" s="249"/>
      <c r="T1586" s="330"/>
      <c r="U1586" s="250"/>
      <c r="V1586" s="249"/>
      <c r="W1586" s="330"/>
      <c r="X1586" s="343"/>
      <c r="Y1586" s="249"/>
      <c r="Z1586" s="330"/>
      <c r="AA1586" s="343"/>
      <c r="AB1586" s="249"/>
      <c r="AC1586" s="330"/>
      <c r="AD1586" s="343"/>
      <c r="AE1586" s="249"/>
      <c r="AF1586" s="330"/>
      <c r="AG1586" s="343"/>
      <c r="AH1586" s="249"/>
      <c r="AI1586" s="330"/>
      <c r="AJ1586" s="343"/>
      <c r="AK1586" s="249"/>
      <c r="AL1586" s="330"/>
      <c r="AM1586" s="343"/>
      <c r="AN1586" s="249"/>
      <c r="AO1586" s="330"/>
      <c r="AP1586" s="343"/>
      <c r="AQ1586" s="249"/>
      <c r="AR1586" s="330"/>
      <c r="AS1586" s="343"/>
      <c r="AT1586" s="249"/>
      <c r="AU1586" s="330"/>
    </row>
    <row r="1587" spans="2:47">
      <c r="B1587" s="247">
        <f>'Table S2 Compound Identifiers'!C1589</f>
        <v>0</v>
      </c>
      <c r="C1587" s="247">
        <f>COUNTIF($D$6:D1587,"&lt;&gt;"&amp;"")</f>
        <v>1582</v>
      </c>
      <c r="D1587" s="247">
        <f>'Table S2 Compound Identifiers'!B1589</f>
        <v>0</v>
      </c>
      <c r="E1587" s="247"/>
      <c r="F1587" s="248"/>
      <c r="G1587" s="249"/>
      <c r="H1587" s="330"/>
      <c r="I1587" s="328"/>
      <c r="J1587" s="249"/>
      <c r="K1587" s="330"/>
      <c r="L1587" s="250"/>
      <c r="M1587" s="249"/>
      <c r="N1587" s="330"/>
      <c r="O1587" s="250"/>
      <c r="P1587" s="249"/>
      <c r="Q1587" s="330"/>
      <c r="R1587" s="250"/>
      <c r="S1587" s="249"/>
      <c r="T1587" s="330"/>
      <c r="U1587" s="250"/>
      <c r="V1587" s="249"/>
      <c r="W1587" s="330"/>
      <c r="X1587" s="343"/>
      <c r="Y1587" s="249"/>
      <c r="Z1587" s="330"/>
      <c r="AA1587" s="343"/>
      <c r="AB1587" s="249"/>
      <c r="AC1587" s="330"/>
      <c r="AD1587" s="343"/>
      <c r="AE1587" s="249"/>
      <c r="AF1587" s="330"/>
      <c r="AG1587" s="343"/>
      <c r="AH1587" s="249"/>
      <c r="AI1587" s="330"/>
      <c r="AJ1587" s="343"/>
      <c r="AK1587" s="249"/>
      <c r="AL1587" s="330"/>
      <c r="AM1587" s="343"/>
      <c r="AN1587" s="249"/>
      <c r="AO1587" s="330"/>
      <c r="AP1587" s="343"/>
      <c r="AQ1587" s="249"/>
      <c r="AR1587" s="330"/>
      <c r="AS1587" s="343"/>
      <c r="AT1587" s="249"/>
      <c r="AU1587" s="330"/>
    </row>
    <row r="1588" spans="2:47">
      <c r="B1588" s="247">
        <f>'Table S2 Compound Identifiers'!C1590</f>
        <v>0</v>
      </c>
      <c r="C1588" s="247">
        <f>COUNTIF($D$6:D1588,"&lt;&gt;"&amp;"")</f>
        <v>1583</v>
      </c>
      <c r="D1588" s="247">
        <f>'Table S2 Compound Identifiers'!B1590</f>
        <v>0</v>
      </c>
      <c r="E1588" s="247"/>
      <c r="F1588" s="248"/>
      <c r="G1588" s="249"/>
      <c r="H1588" s="330"/>
      <c r="I1588" s="328"/>
      <c r="J1588" s="249"/>
      <c r="K1588" s="330"/>
      <c r="L1588" s="250"/>
      <c r="M1588" s="249"/>
      <c r="N1588" s="330"/>
      <c r="O1588" s="250"/>
      <c r="P1588" s="249"/>
      <c r="Q1588" s="330"/>
      <c r="R1588" s="250"/>
      <c r="S1588" s="249"/>
      <c r="T1588" s="330"/>
      <c r="U1588" s="250"/>
      <c r="V1588" s="249"/>
      <c r="W1588" s="330"/>
      <c r="X1588" s="343"/>
      <c r="Y1588" s="249"/>
      <c r="Z1588" s="330"/>
      <c r="AA1588" s="343"/>
      <c r="AB1588" s="249"/>
      <c r="AC1588" s="330"/>
      <c r="AD1588" s="343"/>
      <c r="AE1588" s="249"/>
      <c r="AF1588" s="330"/>
      <c r="AG1588" s="343"/>
      <c r="AH1588" s="249"/>
      <c r="AI1588" s="330"/>
      <c r="AJ1588" s="343"/>
      <c r="AK1588" s="249"/>
      <c r="AL1588" s="330"/>
      <c r="AM1588" s="343"/>
      <c r="AN1588" s="249"/>
      <c r="AO1588" s="330"/>
      <c r="AP1588" s="343"/>
      <c r="AQ1588" s="249"/>
      <c r="AR1588" s="330"/>
      <c r="AS1588" s="343"/>
      <c r="AT1588" s="249"/>
      <c r="AU1588" s="330"/>
    </row>
    <row r="1589" spans="2:47">
      <c r="B1589" s="247">
        <f>'Table S2 Compound Identifiers'!C1591</f>
        <v>0</v>
      </c>
      <c r="C1589" s="247">
        <f>COUNTIF($D$6:D1589,"&lt;&gt;"&amp;"")</f>
        <v>1584</v>
      </c>
      <c r="D1589" s="247">
        <f>'Table S2 Compound Identifiers'!B1591</f>
        <v>0</v>
      </c>
      <c r="E1589" s="247"/>
      <c r="F1589" s="248"/>
      <c r="G1589" s="249"/>
      <c r="H1589" s="330"/>
      <c r="I1589" s="328"/>
      <c r="J1589" s="249"/>
      <c r="K1589" s="330"/>
      <c r="L1589" s="250"/>
      <c r="M1589" s="249"/>
      <c r="N1589" s="330"/>
      <c r="O1589" s="250"/>
      <c r="P1589" s="249"/>
      <c r="Q1589" s="330"/>
      <c r="R1589" s="250"/>
      <c r="S1589" s="249"/>
      <c r="T1589" s="330"/>
      <c r="U1589" s="250"/>
      <c r="V1589" s="249"/>
      <c r="W1589" s="330"/>
      <c r="X1589" s="343"/>
      <c r="Y1589" s="249"/>
      <c r="Z1589" s="330"/>
      <c r="AA1589" s="343"/>
      <c r="AB1589" s="249"/>
      <c r="AC1589" s="330"/>
      <c r="AD1589" s="343"/>
      <c r="AE1589" s="249"/>
      <c r="AF1589" s="330"/>
      <c r="AG1589" s="343"/>
      <c r="AH1589" s="249"/>
      <c r="AI1589" s="330"/>
      <c r="AJ1589" s="343"/>
      <c r="AK1589" s="249"/>
      <c r="AL1589" s="330"/>
      <c r="AM1589" s="343"/>
      <c r="AN1589" s="249"/>
      <c r="AO1589" s="330"/>
      <c r="AP1589" s="343"/>
      <c r="AQ1589" s="249"/>
      <c r="AR1589" s="330"/>
      <c r="AS1589" s="343"/>
      <c r="AT1589" s="249"/>
      <c r="AU1589" s="330"/>
    </row>
    <row r="1590" spans="2:47">
      <c r="B1590" s="247">
        <f>'Table S2 Compound Identifiers'!C1592</f>
        <v>0</v>
      </c>
      <c r="C1590" s="247">
        <f>COUNTIF($D$6:D1590,"&lt;&gt;"&amp;"")</f>
        <v>1585</v>
      </c>
      <c r="D1590" s="247">
        <f>'Table S2 Compound Identifiers'!B1592</f>
        <v>0</v>
      </c>
      <c r="E1590" s="247"/>
      <c r="F1590" s="248"/>
      <c r="G1590" s="249"/>
      <c r="H1590" s="330"/>
      <c r="I1590" s="328"/>
      <c r="J1590" s="249"/>
      <c r="K1590" s="330"/>
      <c r="L1590" s="250"/>
      <c r="M1590" s="249"/>
      <c r="N1590" s="330"/>
      <c r="O1590" s="250"/>
      <c r="P1590" s="249"/>
      <c r="Q1590" s="330"/>
      <c r="R1590" s="250"/>
      <c r="S1590" s="249"/>
      <c r="T1590" s="330"/>
      <c r="U1590" s="250"/>
      <c r="V1590" s="249"/>
      <c r="W1590" s="330"/>
      <c r="X1590" s="343"/>
      <c r="Y1590" s="249"/>
      <c r="Z1590" s="330"/>
      <c r="AA1590" s="343"/>
      <c r="AB1590" s="249"/>
      <c r="AC1590" s="330"/>
      <c r="AD1590" s="343"/>
      <c r="AE1590" s="249"/>
      <c r="AF1590" s="330"/>
      <c r="AG1590" s="343"/>
      <c r="AH1590" s="249"/>
      <c r="AI1590" s="330"/>
      <c r="AJ1590" s="343"/>
      <c r="AK1590" s="249"/>
      <c r="AL1590" s="330"/>
      <c r="AM1590" s="343"/>
      <c r="AN1590" s="249"/>
      <c r="AO1590" s="330"/>
      <c r="AP1590" s="343"/>
      <c r="AQ1590" s="249"/>
      <c r="AR1590" s="330"/>
      <c r="AS1590" s="343"/>
      <c r="AT1590" s="249"/>
      <c r="AU1590" s="330"/>
    </row>
    <row r="1591" spans="2:47">
      <c r="B1591" s="247">
        <f>'Table S2 Compound Identifiers'!C1593</f>
        <v>0</v>
      </c>
      <c r="C1591" s="247">
        <f>COUNTIF($D$6:D1591,"&lt;&gt;"&amp;"")</f>
        <v>1586</v>
      </c>
      <c r="D1591" s="247">
        <f>'Table S2 Compound Identifiers'!B1593</f>
        <v>0</v>
      </c>
      <c r="E1591" s="247"/>
      <c r="F1591" s="248"/>
      <c r="G1591" s="249"/>
      <c r="H1591" s="330"/>
      <c r="I1591" s="328"/>
      <c r="J1591" s="249"/>
      <c r="K1591" s="330"/>
      <c r="L1591" s="250"/>
      <c r="M1591" s="249"/>
      <c r="N1591" s="330"/>
      <c r="O1591" s="250"/>
      <c r="P1591" s="249"/>
      <c r="Q1591" s="330"/>
      <c r="R1591" s="250"/>
      <c r="S1591" s="249"/>
      <c r="T1591" s="330"/>
      <c r="U1591" s="250"/>
      <c r="V1591" s="249"/>
      <c r="W1591" s="330"/>
      <c r="X1591" s="343"/>
      <c r="Y1591" s="249"/>
      <c r="Z1591" s="330"/>
      <c r="AA1591" s="343"/>
      <c r="AB1591" s="249"/>
      <c r="AC1591" s="330"/>
      <c r="AD1591" s="343"/>
      <c r="AE1591" s="249"/>
      <c r="AF1591" s="330"/>
      <c r="AG1591" s="343"/>
      <c r="AH1591" s="249"/>
      <c r="AI1591" s="330"/>
      <c r="AJ1591" s="343"/>
      <c r="AK1591" s="249"/>
      <c r="AL1591" s="330"/>
      <c r="AM1591" s="343"/>
      <c r="AN1591" s="249"/>
      <c r="AO1591" s="330"/>
      <c r="AP1591" s="343"/>
      <c r="AQ1591" s="249"/>
      <c r="AR1591" s="330"/>
      <c r="AS1591" s="343"/>
      <c r="AT1591" s="249"/>
      <c r="AU1591" s="330"/>
    </row>
    <row r="1592" spans="2:47">
      <c r="B1592" s="247">
        <f>'Table S2 Compound Identifiers'!C1594</f>
        <v>0</v>
      </c>
      <c r="C1592" s="247">
        <f>COUNTIF($D$6:D1592,"&lt;&gt;"&amp;"")</f>
        <v>1587</v>
      </c>
      <c r="D1592" s="247">
        <f>'Table S2 Compound Identifiers'!B1594</f>
        <v>0</v>
      </c>
      <c r="E1592" s="247"/>
      <c r="F1592" s="248"/>
      <c r="G1592" s="249"/>
      <c r="H1592" s="330"/>
      <c r="I1592" s="328"/>
      <c r="J1592" s="249"/>
      <c r="K1592" s="330"/>
      <c r="L1592" s="250"/>
      <c r="M1592" s="249"/>
      <c r="N1592" s="330"/>
      <c r="O1592" s="250"/>
      <c r="P1592" s="249"/>
      <c r="Q1592" s="330"/>
      <c r="R1592" s="250"/>
      <c r="S1592" s="249"/>
      <c r="T1592" s="330"/>
      <c r="U1592" s="250"/>
      <c r="V1592" s="249"/>
      <c r="W1592" s="330"/>
      <c r="X1592" s="343"/>
      <c r="Y1592" s="249"/>
      <c r="Z1592" s="330"/>
      <c r="AA1592" s="343"/>
      <c r="AB1592" s="249"/>
      <c r="AC1592" s="330"/>
      <c r="AD1592" s="343"/>
      <c r="AE1592" s="249"/>
      <c r="AF1592" s="330"/>
      <c r="AG1592" s="343"/>
      <c r="AH1592" s="249"/>
      <c r="AI1592" s="330"/>
      <c r="AJ1592" s="343"/>
      <c r="AK1592" s="249"/>
      <c r="AL1592" s="330"/>
      <c r="AM1592" s="343"/>
      <c r="AN1592" s="249"/>
      <c r="AO1592" s="330"/>
      <c r="AP1592" s="343"/>
      <c r="AQ1592" s="249"/>
      <c r="AR1592" s="330"/>
      <c r="AS1592" s="343"/>
      <c r="AT1592" s="249"/>
      <c r="AU1592" s="330"/>
    </row>
    <row r="1593" spans="2:47">
      <c r="B1593" s="247">
        <f>'Table S2 Compound Identifiers'!C1595</f>
        <v>0</v>
      </c>
      <c r="C1593" s="247">
        <f>COUNTIF($D$6:D1593,"&lt;&gt;"&amp;"")</f>
        <v>1588</v>
      </c>
      <c r="D1593" s="247">
        <f>'Table S2 Compound Identifiers'!B1595</f>
        <v>0</v>
      </c>
      <c r="E1593" s="247"/>
      <c r="F1593" s="248"/>
      <c r="G1593" s="249"/>
      <c r="H1593" s="330"/>
      <c r="I1593" s="328"/>
      <c r="J1593" s="249"/>
      <c r="K1593" s="330"/>
      <c r="L1593" s="250"/>
      <c r="M1593" s="249"/>
      <c r="N1593" s="330"/>
      <c r="O1593" s="250"/>
      <c r="P1593" s="249"/>
      <c r="Q1593" s="330"/>
      <c r="R1593" s="250"/>
      <c r="S1593" s="249"/>
      <c r="T1593" s="330"/>
      <c r="U1593" s="250"/>
      <c r="V1593" s="249"/>
      <c r="W1593" s="330"/>
      <c r="X1593" s="343"/>
      <c r="Y1593" s="249"/>
      <c r="Z1593" s="330"/>
      <c r="AA1593" s="343"/>
      <c r="AB1593" s="249"/>
      <c r="AC1593" s="330"/>
      <c r="AD1593" s="343"/>
      <c r="AE1593" s="249"/>
      <c r="AF1593" s="330"/>
      <c r="AG1593" s="343"/>
      <c r="AH1593" s="249"/>
      <c r="AI1593" s="330"/>
      <c r="AJ1593" s="343"/>
      <c r="AK1593" s="249"/>
      <c r="AL1593" s="330"/>
      <c r="AM1593" s="343"/>
      <c r="AN1593" s="249"/>
      <c r="AO1593" s="330"/>
      <c r="AP1593" s="343"/>
      <c r="AQ1593" s="249"/>
      <c r="AR1593" s="330"/>
      <c r="AS1593" s="343"/>
      <c r="AT1593" s="249"/>
      <c r="AU1593" s="330"/>
    </row>
    <row r="1594" spans="2:47">
      <c r="B1594" s="247">
        <f>'Table S2 Compound Identifiers'!C1596</f>
        <v>0</v>
      </c>
      <c r="C1594" s="247">
        <f>COUNTIF($D$6:D1594,"&lt;&gt;"&amp;"")</f>
        <v>1589</v>
      </c>
      <c r="D1594" s="247">
        <f>'Table S2 Compound Identifiers'!B1596</f>
        <v>0</v>
      </c>
      <c r="E1594" s="247"/>
      <c r="F1594" s="248"/>
      <c r="G1594" s="249"/>
      <c r="H1594" s="330"/>
      <c r="I1594" s="328"/>
      <c r="J1594" s="249"/>
      <c r="K1594" s="330"/>
      <c r="L1594" s="250"/>
      <c r="M1594" s="249"/>
      <c r="N1594" s="330"/>
      <c r="O1594" s="250"/>
      <c r="P1594" s="249"/>
      <c r="Q1594" s="330"/>
      <c r="R1594" s="250"/>
      <c r="S1594" s="249"/>
      <c r="T1594" s="330"/>
      <c r="U1594" s="250"/>
      <c r="V1594" s="249"/>
      <c r="W1594" s="330"/>
      <c r="X1594" s="343"/>
      <c r="Y1594" s="249"/>
      <c r="Z1594" s="330"/>
      <c r="AA1594" s="343"/>
      <c r="AB1594" s="249"/>
      <c r="AC1594" s="330"/>
      <c r="AD1594" s="343"/>
      <c r="AE1594" s="249"/>
      <c r="AF1594" s="330"/>
      <c r="AG1594" s="343"/>
      <c r="AH1594" s="249"/>
      <c r="AI1594" s="330"/>
      <c r="AJ1594" s="343"/>
      <c r="AK1594" s="249"/>
      <c r="AL1594" s="330"/>
      <c r="AM1594" s="343"/>
      <c r="AN1594" s="249"/>
      <c r="AO1594" s="330"/>
      <c r="AP1594" s="343"/>
      <c r="AQ1594" s="249"/>
      <c r="AR1594" s="330"/>
      <c r="AS1594" s="343"/>
      <c r="AT1594" s="249"/>
      <c r="AU1594" s="330"/>
    </row>
    <row r="1595" spans="2:47">
      <c r="B1595" s="247">
        <f>'Table S2 Compound Identifiers'!C1597</f>
        <v>0</v>
      </c>
      <c r="C1595" s="247">
        <f>COUNTIF($D$6:D1595,"&lt;&gt;"&amp;"")</f>
        <v>1590</v>
      </c>
      <c r="D1595" s="247">
        <f>'Table S2 Compound Identifiers'!B1597</f>
        <v>0</v>
      </c>
      <c r="E1595" s="247"/>
      <c r="F1595" s="248"/>
      <c r="G1595" s="249"/>
      <c r="H1595" s="330"/>
      <c r="I1595" s="328"/>
      <c r="J1595" s="249"/>
      <c r="K1595" s="330"/>
      <c r="L1595" s="250"/>
      <c r="M1595" s="249"/>
      <c r="N1595" s="330"/>
      <c r="O1595" s="250"/>
      <c r="P1595" s="249"/>
      <c r="Q1595" s="330"/>
      <c r="R1595" s="250"/>
      <c r="S1595" s="249"/>
      <c r="T1595" s="330"/>
      <c r="U1595" s="250"/>
      <c r="V1595" s="249"/>
      <c r="W1595" s="330"/>
      <c r="X1595" s="343"/>
      <c r="Y1595" s="249"/>
      <c r="Z1595" s="330"/>
      <c r="AA1595" s="343"/>
      <c r="AB1595" s="249"/>
      <c r="AC1595" s="330"/>
      <c r="AD1595" s="343"/>
      <c r="AE1595" s="249"/>
      <c r="AF1595" s="330"/>
      <c r="AG1595" s="343"/>
      <c r="AH1595" s="249"/>
      <c r="AI1595" s="330"/>
      <c r="AJ1595" s="343"/>
      <c r="AK1595" s="249"/>
      <c r="AL1595" s="330"/>
      <c r="AM1595" s="343"/>
      <c r="AN1595" s="249"/>
      <c r="AO1595" s="330"/>
      <c r="AP1595" s="343"/>
      <c r="AQ1595" s="249"/>
      <c r="AR1595" s="330"/>
      <c r="AS1595" s="343"/>
      <c r="AT1595" s="249"/>
      <c r="AU1595" s="330"/>
    </row>
    <row r="1596" spans="2:47">
      <c r="B1596" s="247">
        <f>'Table S2 Compound Identifiers'!C1598</f>
        <v>0</v>
      </c>
      <c r="C1596" s="247">
        <f>COUNTIF($D$6:D1596,"&lt;&gt;"&amp;"")</f>
        <v>1591</v>
      </c>
      <c r="D1596" s="247">
        <f>'Table S2 Compound Identifiers'!B1598</f>
        <v>0</v>
      </c>
      <c r="E1596" s="247"/>
      <c r="F1596" s="248"/>
      <c r="G1596" s="249"/>
      <c r="H1596" s="330"/>
      <c r="I1596" s="328"/>
      <c r="J1596" s="249"/>
      <c r="K1596" s="330"/>
      <c r="L1596" s="250"/>
      <c r="M1596" s="249"/>
      <c r="N1596" s="330"/>
      <c r="O1596" s="250"/>
      <c r="P1596" s="249"/>
      <c r="Q1596" s="330"/>
      <c r="R1596" s="250"/>
      <c r="S1596" s="249"/>
      <c r="T1596" s="330"/>
      <c r="U1596" s="250"/>
      <c r="V1596" s="249"/>
      <c r="W1596" s="330"/>
      <c r="X1596" s="343"/>
      <c r="Y1596" s="249"/>
      <c r="Z1596" s="330"/>
      <c r="AA1596" s="343"/>
      <c r="AB1596" s="249"/>
      <c r="AC1596" s="330"/>
      <c r="AD1596" s="343"/>
      <c r="AE1596" s="249"/>
      <c r="AF1596" s="330"/>
      <c r="AG1596" s="343"/>
      <c r="AH1596" s="249"/>
      <c r="AI1596" s="330"/>
      <c r="AJ1596" s="343"/>
      <c r="AK1596" s="249"/>
      <c r="AL1596" s="330"/>
      <c r="AM1596" s="343"/>
      <c r="AN1596" s="249"/>
      <c r="AO1596" s="330"/>
      <c r="AP1596" s="343"/>
      <c r="AQ1596" s="249"/>
      <c r="AR1596" s="330"/>
      <c r="AS1596" s="343"/>
      <c r="AT1596" s="249"/>
      <c r="AU1596" s="330"/>
    </row>
    <row r="1597" spans="2:47">
      <c r="B1597" s="247">
        <f>'Table S2 Compound Identifiers'!C1599</f>
        <v>0</v>
      </c>
      <c r="C1597" s="247">
        <f>COUNTIF($D$6:D1597,"&lt;&gt;"&amp;"")</f>
        <v>1592</v>
      </c>
      <c r="D1597" s="247">
        <f>'Table S2 Compound Identifiers'!B1599</f>
        <v>0</v>
      </c>
      <c r="E1597" s="247"/>
      <c r="F1597" s="248"/>
      <c r="G1597" s="249"/>
      <c r="H1597" s="330"/>
      <c r="I1597" s="328"/>
      <c r="J1597" s="249"/>
      <c r="K1597" s="330"/>
      <c r="L1597" s="250"/>
      <c r="M1597" s="249"/>
      <c r="N1597" s="330"/>
      <c r="O1597" s="250"/>
      <c r="P1597" s="249"/>
      <c r="Q1597" s="330"/>
      <c r="R1597" s="250"/>
      <c r="S1597" s="249"/>
      <c r="T1597" s="330"/>
      <c r="U1597" s="250"/>
      <c r="V1597" s="249"/>
      <c r="W1597" s="330"/>
      <c r="X1597" s="343"/>
      <c r="Y1597" s="249"/>
      <c r="Z1597" s="330"/>
      <c r="AA1597" s="343"/>
      <c r="AB1597" s="249"/>
      <c r="AC1597" s="330"/>
      <c r="AD1597" s="343"/>
      <c r="AE1597" s="249"/>
      <c r="AF1597" s="330"/>
      <c r="AG1597" s="343"/>
      <c r="AH1597" s="249"/>
      <c r="AI1597" s="330"/>
      <c r="AJ1597" s="343"/>
      <c r="AK1597" s="249"/>
      <c r="AL1597" s="330"/>
      <c r="AM1597" s="343"/>
      <c r="AN1597" s="249"/>
      <c r="AO1597" s="330"/>
      <c r="AP1597" s="343"/>
      <c r="AQ1597" s="249"/>
      <c r="AR1597" s="330"/>
      <c r="AS1597" s="343"/>
      <c r="AT1597" s="249"/>
      <c r="AU1597" s="330"/>
    </row>
    <row r="1598" spans="2:47">
      <c r="B1598" s="247">
        <f>'Table S2 Compound Identifiers'!C1600</f>
        <v>0</v>
      </c>
      <c r="C1598" s="247">
        <f>COUNTIF($D$6:D1598,"&lt;&gt;"&amp;"")</f>
        <v>1593</v>
      </c>
      <c r="D1598" s="247">
        <f>'Table S2 Compound Identifiers'!B1600</f>
        <v>0</v>
      </c>
      <c r="E1598" s="247"/>
      <c r="F1598" s="248"/>
      <c r="G1598" s="249"/>
      <c r="H1598" s="330"/>
      <c r="I1598" s="328"/>
      <c r="J1598" s="249"/>
      <c r="K1598" s="330"/>
      <c r="L1598" s="250"/>
      <c r="M1598" s="249"/>
      <c r="N1598" s="330"/>
      <c r="O1598" s="250"/>
      <c r="P1598" s="249"/>
      <c r="Q1598" s="330"/>
      <c r="R1598" s="250"/>
      <c r="S1598" s="249"/>
      <c r="T1598" s="330"/>
      <c r="U1598" s="250"/>
      <c r="V1598" s="249"/>
      <c r="W1598" s="330"/>
      <c r="X1598" s="343"/>
      <c r="Y1598" s="249"/>
      <c r="Z1598" s="330"/>
      <c r="AA1598" s="343"/>
      <c r="AB1598" s="249"/>
      <c r="AC1598" s="330"/>
      <c r="AD1598" s="343"/>
      <c r="AE1598" s="249"/>
      <c r="AF1598" s="330"/>
      <c r="AG1598" s="343"/>
      <c r="AH1598" s="249"/>
      <c r="AI1598" s="330"/>
      <c r="AJ1598" s="343"/>
      <c r="AK1598" s="249"/>
      <c r="AL1598" s="330"/>
      <c r="AM1598" s="343"/>
      <c r="AN1598" s="249"/>
      <c r="AO1598" s="330"/>
      <c r="AP1598" s="343"/>
      <c r="AQ1598" s="249"/>
      <c r="AR1598" s="330"/>
      <c r="AS1598" s="343"/>
      <c r="AT1598" s="249"/>
      <c r="AU1598" s="330"/>
    </row>
    <row r="1599" spans="2:47">
      <c r="B1599" s="247">
        <f>'Table S2 Compound Identifiers'!C1601</f>
        <v>0</v>
      </c>
      <c r="C1599" s="247">
        <f>COUNTIF($D$6:D1599,"&lt;&gt;"&amp;"")</f>
        <v>1594</v>
      </c>
      <c r="D1599" s="247">
        <f>'Table S2 Compound Identifiers'!B1601</f>
        <v>0</v>
      </c>
      <c r="E1599" s="247"/>
      <c r="F1599" s="248"/>
      <c r="G1599" s="249"/>
      <c r="H1599" s="330"/>
      <c r="I1599" s="328"/>
      <c r="J1599" s="249"/>
      <c r="K1599" s="330"/>
      <c r="L1599" s="250"/>
      <c r="M1599" s="249"/>
      <c r="N1599" s="330"/>
      <c r="O1599" s="250"/>
      <c r="P1599" s="249"/>
      <c r="Q1599" s="330"/>
      <c r="R1599" s="250"/>
      <c r="S1599" s="249"/>
      <c r="T1599" s="330"/>
      <c r="U1599" s="250"/>
      <c r="V1599" s="249"/>
      <c r="W1599" s="330"/>
      <c r="X1599" s="343"/>
      <c r="Y1599" s="249"/>
      <c r="Z1599" s="330"/>
      <c r="AA1599" s="343"/>
      <c r="AB1599" s="249"/>
      <c r="AC1599" s="330"/>
      <c r="AD1599" s="343"/>
      <c r="AE1599" s="249"/>
      <c r="AF1599" s="330"/>
      <c r="AG1599" s="343"/>
      <c r="AH1599" s="249"/>
      <c r="AI1599" s="330"/>
      <c r="AJ1599" s="343"/>
      <c r="AK1599" s="249"/>
      <c r="AL1599" s="330"/>
      <c r="AM1599" s="343"/>
      <c r="AN1599" s="249"/>
      <c r="AO1599" s="330"/>
      <c r="AP1599" s="343"/>
      <c r="AQ1599" s="249"/>
      <c r="AR1599" s="330"/>
      <c r="AS1599" s="343"/>
      <c r="AT1599" s="249"/>
      <c r="AU1599" s="330"/>
    </row>
    <row r="1600" spans="2:47">
      <c r="B1600" s="247">
        <f>'Table S2 Compound Identifiers'!C1602</f>
        <v>0</v>
      </c>
      <c r="C1600" s="247">
        <f>COUNTIF($D$6:D1600,"&lt;&gt;"&amp;"")</f>
        <v>1595</v>
      </c>
      <c r="D1600" s="247">
        <f>'Table S2 Compound Identifiers'!B1602</f>
        <v>0</v>
      </c>
      <c r="E1600" s="247"/>
      <c r="F1600" s="248"/>
      <c r="G1600" s="249"/>
      <c r="H1600" s="330"/>
      <c r="I1600" s="328"/>
      <c r="J1600" s="249"/>
      <c r="K1600" s="330"/>
      <c r="L1600" s="250"/>
      <c r="M1600" s="249"/>
      <c r="N1600" s="330"/>
      <c r="O1600" s="250"/>
      <c r="P1600" s="249"/>
      <c r="Q1600" s="330"/>
      <c r="R1600" s="250"/>
      <c r="S1600" s="249"/>
      <c r="T1600" s="330"/>
      <c r="U1600" s="250"/>
      <c r="V1600" s="249"/>
      <c r="W1600" s="330"/>
      <c r="X1600" s="343"/>
      <c r="Y1600" s="249"/>
      <c r="Z1600" s="330"/>
      <c r="AA1600" s="343"/>
      <c r="AB1600" s="249"/>
      <c r="AC1600" s="330"/>
      <c r="AD1600" s="343"/>
      <c r="AE1600" s="249"/>
      <c r="AF1600" s="330"/>
      <c r="AG1600" s="343"/>
      <c r="AH1600" s="249"/>
      <c r="AI1600" s="330"/>
      <c r="AJ1600" s="343"/>
      <c r="AK1600" s="249"/>
      <c r="AL1600" s="330"/>
      <c r="AM1600" s="343"/>
      <c r="AN1600" s="249"/>
      <c r="AO1600" s="330"/>
      <c r="AP1600" s="343"/>
      <c r="AQ1600" s="249"/>
      <c r="AR1600" s="330"/>
      <c r="AS1600" s="343"/>
      <c r="AT1600" s="249"/>
      <c r="AU1600" s="330"/>
    </row>
    <row r="1601" spans="2:47">
      <c r="B1601" s="247">
        <f>'Table S2 Compound Identifiers'!C1603</f>
        <v>0</v>
      </c>
      <c r="C1601" s="247">
        <f>COUNTIF($D$6:D1601,"&lt;&gt;"&amp;"")</f>
        <v>1596</v>
      </c>
      <c r="D1601" s="247">
        <f>'Table S2 Compound Identifiers'!B1603</f>
        <v>0</v>
      </c>
      <c r="E1601" s="247"/>
      <c r="F1601" s="248"/>
      <c r="G1601" s="249"/>
      <c r="H1601" s="330"/>
      <c r="I1601" s="328"/>
      <c r="J1601" s="249"/>
      <c r="K1601" s="330"/>
      <c r="L1601" s="250"/>
      <c r="M1601" s="249"/>
      <c r="N1601" s="330"/>
      <c r="O1601" s="250"/>
      <c r="P1601" s="249"/>
      <c r="Q1601" s="330"/>
      <c r="R1601" s="250"/>
      <c r="S1601" s="249"/>
      <c r="T1601" s="330"/>
      <c r="U1601" s="250"/>
      <c r="V1601" s="249"/>
      <c r="W1601" s="330"/>
      <c r="X1601" s="343"/>
      <c r="Y1601" s="249"/>
      <c r="Z1601" s="330"/>
      <c r="AA1601" s="343"/>
      <c r="AB1601" s="249"/>
      <c r="AC1601" s="330"/>
      <c r="AD1601" s="343"/>
      <c r="AE1601" s="249"/>
      <c r="AF1601" s="330"/>
      <c r="AG1601" s="343"/>
      <c r="AH1601" s="249"/>
      <c r="AI1601" s="330"/>
      <c r="AJ1601" s="343"/>
      <c r="AK1601" s="249"/>
      <c r="AL1601" s="330"/>
      <c r="AM1601" s="343"/>
      <c r="AN1601" s="249"/>
      <c r="AO1601" s="330"/>
      <c r="AP1601" s="343"/>
      <c r="AQ1601" s="249"/>
      <c r="AR1601" s="330"/>
      <c r="AS1601" s="343"/>
      <c r="AT1601" s="249"/>
      <c r="AU1601" s="330"/>
    </row>
    <row r="1602" spans="2:47">
      <c r="B1602" s="247">
        <f>'Table S2 Compound Identifiers'!C1604</f>
        <v>0</v>
      </c>
      <c r="C1602" s="247">
        <f>COUNTIF($D$6:D1602,"&lt;&gt;"&amp;"")</f>
        <v>1597</v>
      </c>
      <c r="D1602" s="247">
        <f>'Table S2 Compound Identifiers'!B1604</f>
        <v>0</v>
      </c>
      <c r="E1602" s="247"/>
      <c r="F1602" s="248"/>
      <c r="G1602" s="249"/>
      <c r="H1602" s="330"/>
      <c r="I1602" s="328"/>
      <c r="J1602" s="249"/>
      <c r="K1602" s="330"/>
      <c r="L1602" s="250"/>
      <c r="M1602" s="249"/>
      <c r="N1602" s="330"/>
      <c r="O1602" s="250"/>
      <c r="P1602" s="249"/>
      <c r="Q1602" s="330"/>
      <c r="R1602" s="250"/>
      <c r="S1602" s="249"/>
      <c r="T1602" s="330"/>
      <c r="U1602" s="250"/>
      <c r="V1602" s="249"/>
      <c r="W1602" s="330"/>
      <c r="X1602" s="343"/>
      <c r="Y1602" s="249"/>
      <c r="Z1602" s="330"/>
      <c r="AA1602" s="343"/>
      <c r="AB1602" s="249"/>
      <c r="AC1602" s="330"/>
      <c r="AD1602" s="343"/>
      <c r="AE1602" s="249"/>
      <c r="AF1602" s="330"/>
      <c r="AG1602" s="343"/>
      <c r="AH1602" s="249"/>
      <c r="AI1602" s="330"/>
      <c r="AJ1602" s="343"/>
      <c r="AK1602" s="249"/>
      <c r="AL1602" s="330"/>
      <c r="AM1602" s="343"/>
      <c r="AN1602" s="249"/>
      <c r="AO1602" s="330"/>
      <c r="AP1602" s="343"/>
      <c r="AQ1602" s="249"/>
      <c r="AR1602" s="330"/>
      <c r="AS1602" s="343"/>
      <c r="AT1602" s="249"/>
      <c r="AU1602" s="330"/>
    </row>
    <row r="1603" spans="2:47">
      <c r="B1603" s="247">
        <f>'Table S2 Compound Identifiers'!C1605</f>
        <v>0</v>
      </c>
      <c r="C1603" s="247">
        <f>COUNTIF($D$6:D1603,"&lt;&gt;"&amp;"")</f>
        <v>1598</v>
      </c>
      <c r="D1603" s="247">
        <f>'Table S2 Compound Identifiers'!B1605</f>
        <v>0</v>
      </c>
      <c r="E1603" s="247"/>
      <c r="F1603" s="248"/>
      <c r="G1603" s="249"/>
      <c r="H1603" s="330"/>
      <c r="I1603" s="328"/>
      <c r="J1603" s="249"/>
      <c r="K1603" s="330"/>
      <c r="L1603" s="250"/>
      <c r="M1603" s="249"/>
      <c r="N1603" s="330"/>
      <c r="O1603" s="250"/>
      <c r="P1603" s="249"/>
      <c r="Q1603" s="330"/>
      <c r="R1603" s="250"/>
      <c r="S1603" s="249"/>
      <c r="T1603" s="330"/>
      <c r="U1603" s="250"/>
      <c r="V1603" s="249"/>
      <c r="W1603" s="330"/>
      <c r="X1603" s="343"/>
      <c r="Y1603" s="249"/>
      <c r="Z1603" s="330"/>
      <c r="AA1603" s="343"/>
      <c r="AB1603" s="249"/>
      <c r="AC1603" s="330"/>
      <c r="AD1603" s="343"/>
      <c r="AE1603" s="249"/>
      <c r="AF1603" s="330"/>
      <c r="AG1603" s="343"/>
      <c r="AH1603" s="249"/>
      <c r="AI1603" s="330"/>
      <c r="AJ1603" s="343"/>
      <c r="AK1603" s="249"/>
      <c r="AL1603" s="330"/>
      <c r="AM1603" s="343"/>
      <c r="AN1603" s="249"/>
      <c r="AO1603" s="330"/>
      <c r="AP1603" s="343"/>
      <c r="AQ1603" s="249"/>
      <c r="AR1603" s="330"/>
      <c r="AS1603" s="343"/>
      <c r="AT1603" s="249"/>
      <c r="AU1603" s="330"/>
    </row>
    <row r="1604" spans="2:47">
      <c r="B1604" s="247">
        <f>'Table S2 Compound Identifiers'!C1606</f>
        <v>0</v>
      </c>
      <c r="C1604" s="247">
        <f>COUNTIF($D$6:D1604,"&lt;&gt;"&amp;"")</f>
        <v>1599</v>
      </c>
      <c r="D1604" s="247">
        <f>'Table S2 Compound Identifiers'!B1606</f>
        <v>0</v>
      </c>
      <c r="E1604" s="247"/>
      <c r="F1604" s="248"/>
      <c r="G1604" s="249"/>
      <c r="H1604" s="330"/>
      <c r="I1604" s="328"/>
      <c r="J1604" s="249"/>
      <c r="K1604" s="330"/>
      <c r="L1604" s="250"/>
      <c r="M1604" s="249"/>
      <c r="N1604" s="330"/>
      <c r="O1604" s="250"/>
      <c r="P1604" s="249"/>
      <c r="Q1604" s="330"/>
      <c r="R1604" s="250"/>
      <c r="S1604" s="249"/>
      <c r="T1604" s="330"/>
      <c r="U1604" s="250"/>
      <c r="V1604" s="249"/>
      <c r="W1604" s="330"/>
      <c r="X1604" s="343"/>
      <c r="Y1604" s="249"/>
      <c r="Z1604" s="330"/>
      <c r="AA1604" s="343"/>
      <c r="AB1604" s="249"/>
      <c r="AC1604" s="330"/>
      <c r="AD1604" s="343"/>
      <c r="AE1604" s="249"/>
      <c r="AF1604" s="330"/>
      <c r="AG1604" s="343"/>
      <c r="AH1604" s="249"/>
      <c r="AI1604" s="330"/>
      <c r="AJ1604" s="343"/>
      <c r="AK1604" s="249"/>
      <c r="AL1604" s="330"/>
      <c r="AM1604" s="343"/>
      <c r="AN1604" s="249"/>
      <c r="AO1604" s="330"/>
      <c r="AP1604" s="343"/>
      <c r="AQ1604" s="249"/>
      <c r="AR1604" s="330"/>
      <c r="AS1604" s="343"/>
      <c r="AT1604" s="249"/>
      <c r="AU1604" s="330"/>
    </row>
    <row r="1605" spans="2:47">
      <c r="B1605" s="247">
        <f>'Table S2 Compound Identifiers'!C1607</f>
        <v>0</v>
      </c>
      <c r="C1605" s="247">
        <f>COUNTIF($D$6:D1605,"&lt;&gt;"&amp;"")</f>
        <v>1600</v>
      </c>
      <c r="D1605" s="247">
        <f>'Table S2 Compound Identifiers'!B1607</f>
        <v>0</v>
      </c>
      <c r="E1605" s="247"/>
      <c r="F1605" s="248"/>
      <c r="G1605" s="249"/>
      <c r="H1605" s="330"/>
      <c r="I1605" s="328"/>
      <c r="J1605" s="249"/>
      <c r="K1605" s="330"/>
      <c r="L1605" s="250"/>
      <c r="M1605" s="249"/>
      <c r="N1605" s="330"/>
      <c r="O1605" s="250"/>
      <c r="P1605" s="249"/>
      <c r="Q1605" s="330"/>
      <c r="R1605" s="250"/>
      <c r="S1605" s="249"/>
      <c r="T1605" s="330"/>
      <c r="U1605" s="250"/>
      <c r="V1605" s="249"/>
      <c r="W1605" s="330"/>
      <c r="X1605" s="343"/>
      <c r="Y1605" s="249"/>
      <c r="Z1605" s="330"/>
      <c r="AA1605" s="343"/>
      <c r="AB1605" s="249"/>
      <c r="AC1605" s="330"/>
      <c r="AD1605" s="343"/>
      <c r="AE1605" s="249"/>
      <c r="AF1605" s="330"/>
      <c r="AG1605" s="343"/>
      <c r="AH1605" s="249"/>
      <c r="AI1605" s="330"/>
      <c r="AJ1605" s="343"/>
      <c r="AK1605" s="249"/>
      <c r="AL1605" s="330"/>
      <c r="AM1605" s="343"/>
      <c r="AN1605" s="249"/>
      <c r="AO1605" s="330"/>
      <c r="AP1605" s="343"/>
      <c r="AQ1605" s="249"/>
      <c r="AR1605" s="330"/>
      <c r="AS1605" s="343"/>
      <c r="AT1605" s="249"/>
      <c r="AU1605" s="330"/>
    </row>
    <row r="1606" spans="2:47">
      <c r="B1606" s="247">
        <f>'Table S2 Compound Identifiers'!C1608</f>
        <v>0</v>
      </c>
      <c r="C1606" s="247">
        <f>COUNTIF($D$6:D1606,"&lt;&gt;"&amp;"")</f>
        <v>1601</v>
      </c>
      <c r="D1606" s="247">
        <f>'Table S2 Compound Identifiers'!B1608</f>
        <v>0</v>
      </c>
      <c r="E1606" s="247"/>
      <c r="F1606" s="248"/>
      <c r="G1606" s="249"/>
      <c r="H1606" s="330"/>
      <c r="I1606" s="328"/>
      <c r="J1606" s="249"/>
      <c r="K1606" s="330"/>
      <c r="L1606" s="250"/>
      <c r="M1606" s="249"/>
      <c r="N1606" s="330"/>
      <c r="O1606" s="250"/>
      <c r="P1606" s="249"/>
      <c r="Q1606" s="330"/>
      <c r="R1606" s="250"/>
      <c r="S1606" s="249"/>
      <c r="T1606" s="330"/>
      <c r="U1606" s="250"/>
      <c r="V1606" s="249"/>
      <c r="W1606" s="330"/>
      <c r="X1606" s="343"/>
      <c r="Y1606" s="249"/>
      <c r="Z1606" s="330"/>
      <c r="AA1606" s="343"/>
      <c r="AB1606" s="249"/>
      <c r="AC1606" s="330"/>
      <c r="AD1606" s="343"/>
      <c r="AE1606" s="249"/>
      <c r="AF1606" s="330"/>
      <c r="AG1606" s="343"/>
      <c r="AH1606" s="249"/>
      <c r="AI1606" s="330"/>
      <c r="AJ1606" s="343"/>
      <c r="AK1606" s="249"/>
      <c r="AL1606" s="330"/>
      <c r="AM1606" s="343"/>
      <c r="AN1606" s="249"/>
      <c r="AO1606" s="330"/>
      <c r="AP1606" s="343"/>
      <c r="AQ1606" s="249"/>
      <c r="AR1606" s="330"/>
      <c r="AS1606" s="343"/>
      <c r="AT1606" s="249"/>
      <c r="AU1606" s="330"/>
    </row>
    <row r="1607" spans="2:47">
      <c r="B1607" s="247">
        <f>'Table S2 Compound Identifiers'!C1609</f>
        <v>0</v>
      </c>
      <c r="C1607" s="247">
        <f>COUNTIF($D$6:D1607,"&lt;&gt;"&amp;"")</f>
        <v>1602</v>
      </c>
      <c r="D1607" s="247">
        <f>'Table S2 Compound Identifiers'!B1609</f>
        <v>0</v>
      </c>
      <c r="E1607" s="247"/>
      <c r="F1607" s="248"/>
      <c r="G1607" s="249"/>
      <c r="H1607" s="330"/>
      <c r="I1607" s="328"/>
      <c r="J1607" s="249"/>
      <c r="K1607" s="330"/>
      <c r="L1607" s="250"/>
      <c r="M1607" s="249"/>
      <c r="N1607" s="330"/>
      <c r="O1607" s="250"/>
      <c r="P1607" s="249"/>
      <c r="Q1607" s="330"/>
      <c r="R1607" s="250"/>
      <c r="S1607" s="249"/>
      <c r="T1607" s="330"/>
      <c r="U1607" s="250"/>
      <c r="V1607" s="249"/>
      <c r="W1607" s="330"/>
      <c r="X1607" s="343"/>
      <c r="Y1607" s="249"/>
      <c r="Z1607" s="330"/>
      <c r="AA1607" s="343"/>
      <c r="AB1607" s="249"/>
      <c r="AC1607" s="330"/>
      <c r="AD1607" s="343"/>
      <c r="AE1607" s="249"/>
      <c r="AF1607" s="330"/>
      <c r="AG1607" s="343"/>
      <c r="AH1607" s="249"/>
      <c r="AI1607" s="330"/>
      <c r="AJ1607" s="343"/>
      <c r="AK1607" s="249"/>
      <c r="AL1607" s="330"/>
      <c r="AM1607" s="343"/>
      <c r="AN1607" s="249"/>
      <c r="AO1607" s="330"/>
      <c r="AP1607" s="343"/>
      <c r="AQ1607" s="249"/>
      <c r="AR1607" s="330"/>
      <c r="AS1607" s="343"/>
      <c r="AT1607" s="249"/>
      <c r="AU1607" s="330"/>
    </row>
    <row r="1608" spans="2:47">
      <c r="B1608" s="247">
        <f>'Table S2 Compound Identifiers'!C1610</f>
        <v>0</v>
      </c>
      <c r="C1608" s="247">
        <f>COUNTIF($D$6:D1608,"&lt;&gt;"&amp;"")</f>
        <v>1603</v>
      </c>
      <c r="D1608" s="247">
        <f>'Table S2 Compound Identifiers'!B1610</f>
        <v>0</v>
      </c>
      <c r="E1608" s="247"/>
      <c r="F1608" s="248"/>
      <c r="G1608" s="249"/>
      <c r="H1608" s="330"/>
      <c r="I1608" s="328"/>
      <c r="J1608" s="249"/>
      <c r="K1608" s="330"/>
      <c r="L1608" s="250"/>
      <c r="M1608" s="249"/>
      <c r="N1608" s="330"/>
      <c r="O1608" s="250"/>
      <c r="P1608" s="249"/>
      <c r="Q1608" s="330"/>
      <c r="R1608" s="250"/>
      <c r="S1608" s="249"/>
      <c r="T1608" s="330"/>
      <c r="U1608" s="250"/>
      <c r="V1608" s="249"/>
      <c r="W1608" s="330"/>
      <c r="X1608" s="343"/>
      <c r="Y1608" s="249"/>
      <c r="Z1608" s="330"/>
      <c r="AA1608" s="343"/>
      <c r="AB1608" s="249"/>
      <c r="AC1608" s="330"/>
      <c r="AD1608" s="343"/>
      <c r="AE1608" s="249"/>
      <c r="AF1608" s="330"/>
      <c r="AG1608" s="343"/>
      <c r="AH1608" s="249"/>
      <c r="AI1608" s="330"/>
      <c r="AJ1608" s="343"/>
      <c r="AK1608" s="249"/>
      <c r="AL1608" s="330"/>
      <c r="AM1608" s="343"/>
      <c r="AN1608" s="249"/>
      <c r="AO1608" s="330"/>
      <c r="AP1608" s="343"/>
      <c r="AQ1608" s="249"/>
      <c r="AR1608" s="330"/>
      <c r="AS1608" s="343"/>
      <c r="AT1608" s="249"/>
      <c r="AU1608" s="330"/>
    </row>
    <row r="1609" spans="2:47">
      <c r="B1609" s="247">
        <f>'Table S2 Compound Identifiers'!C1611</f>
        <v>0</v>
      </c>
      <c r="C1609" s="247">
        <f>COUNTIF($D$6:D1609,"&lt;&gt;"&amp;"")</f>
        <v>1604</v>
      </c>
      <c r="D1609" s="247">
        <f>'Table S2 Compound Identifiers'!B1611</f>
        <v>0</v>
      </c>
      <c r="E1609" s="247"/>
      <c r="F1609" s="248"/>
      <c r="G1609" s="249"/>
      <c r="H1609" s="330"/>
      <c r="I1609" s="328"/>
      <c r="J1609" s="249"/>
      <c r="K1609" s="330"/>
      <c r="L1609" s="250"/>
      <c r="M1609" s="249"/>
      <c r="N1609" s="330"/>
      <c r="O1609" s="250"/>
      <c r="P1609" s="249"/>
      <c r="Q1609" s="330"/>
      <c r="R1609" s="250"/>
      <c r="S1609" s="249"/>
      <c r="T1609" s="330"/>
      <c r="U1609" s="250"/>
      <c r="V1609" s="249"/>
      <c r="W1609" s="330"/>
      <c r="X1609" s="343"/>
      <c r="Y1609" s="249"/>
      <c r="Z1609" s="330"/>
      <c r="AA1609" s="343"/>
      <c r="AB1609" s="249"/>
      <c r="AC1609" s="330"/>
      <c r="AD1609" s="343"/>
      <c r="AE1609" s="249"/>
      <c r="AF1609" s="330"/>
      <c r="AG1609" s="343"/>
      <c r="AH1609" s="249"/>
      <c r="AI1609" s="330"/>
      <c r="AJ1609" s="343"/>
      <c r="AK1609" s="249"/>
      <c r="AL1609" s="330"/>
      <c r="AM1609" s="343"/>
      <c r="AN1609" s="249"/>
      <c r="AO1609" s="330"/>
      <c r="AP1609" s="343"/>
      <c r="AQ1609" s="249"/>
      <c r="AR1609" s="330"/>
      <c r="AS1609" s="343"/>
      <c r="AT1609" s="249"/>
      <c r="AU1609" s="330"/>
    </row>
    <row r="1610" spans="2:47">
      <c r="B1610" s="247">
        <f>'Table S2 Compound Identifiers'!C1612</f>
        <v>0</v>
      </c>
      <c r="C1610" s="247">
        <f>COUNTIF($D$6:D1610,"&lt;&gt;"&amp;"")</f>
        <v>1605</v>
      </c>
      <c r="D1610" s="247">
        <f>'Table S2 Compound Identifiers'!B1612</f>
        <v>0</v>
      </c>
      <c r="E1610" s="247"/>
      <c r="F1610" s="248"/>
      <c r="G1610" s="249"/>
      <c r="H1610" s="330"/>
      <c r="I1610" s="328"/>
      <c r="J1610" s="249"/>
      <c r="K1610" s="330"/>
      <c r="L1610" s="250"/>
      <c r="M1610" s="249"/>
      <c r="N1610" s="330"/>
      <c r="O1610" s="250"/>
      <c r="P1610" s="249"/>
      <c r="Q1610" s="330"/>
      <c r="R1610" s="250"/>
      <c r="S1610" s="249"/>
      <c r="T1610" s="330"/>
      <c r="U1610" s="250"/>
      <c r="V1610" s="249"/>
      <c r="W1610" s="330"/>
      <c r="X1610" s="343"/>
      <c r="Y1610" s="249"/>
      <c r="Z1610" s="330"/>
      <c r="AA1610" s="343"/>
      <c r="AB1610" s="249"/>
      <c r="AC1610" s="330"/>
      <c r="AD1610" s="343"/>
      <c r="AE1610" s="249"/>
      <c r="AF1610" s="330"/>
      <c r="AG1610" s="343"/>
      <c r="AH1610" s="249"/>
      <c r="AI1610" s="330"/>
      <c r="AJ1610" s="343"/>
      <c r="AK1610" s="249"/>
      <c r="AL1610" s="330"/>
      <c r="AM1610" s="343"/>
      <c r="AN1610" s="249"/>
      <c r="AO1610" s="330"/>
      <c r="AP1610" s="343"/>
      <c r="AQ1610" s="249"/>
      <c r="AR1610" s="330"/>
      <c r="AS1610" s="343"/>
      <c r="AT1610" s="249"/>
      <c r="AU1610" s="330"/>
    </row>
    <row r="1611" spans="2:47">
      <c r="B1611" s="247">
        <f>'Table S2 Compound Identifiers'!C1613</f>
        <v>0</v>
      </c>
      <c r="C1611" s="247">
        <f>COUNTIF($D$6:D1611,"&lt;&gt;"&amp;"")</f>
        <v>1606</v>
      </c>
      <c r="D1611" s="247">
        <f>'Table S2 Compound Identifiers'!B1613</f>
        <v>0</v>
      </c>
      <c r="E1611" s="247"/>
      <c r="F1611" s="248"/>
      <c r="G1611" s="249"/>
      <c r="H1611" s="330"/>
      <c r="I1611" s="328"/>
      <c r="J1611" s="249"/>
      <c r="K1611" s="330"/>
      <c r="L1611" s="250"/>
      <c r="M1611" s="249"/>
      <c r="N1611" s="330"/>
      <c r="O1611" s="250"/>
      <c r="P1611" s="249"/>
      <c r="Q1611" s="330"/>
      <c r="R1611" s="250"/>
      <c r="S1611" s="249"/>
      <c r="T1611" s="330"/>
      <c r="U1611" s="250"/>
      <c r="V1611" s="249"/>
      <c r="W1611" s="330"/>
      <c r="X1611" s="343"/>
      <c r="Y1611" s="249"/>
      <c r="Z1611" s="330"/>
      <c r="AA1611" s="343"/>
      <c r="AB1611" s="249"/>
      <c r="AC1611" s="330"/>
      <c r="AD1611" s="343"/>
      <c r="AE1611" s="249"/>
      <c r="AF1611" s="330"/>
      <c r="AG1611" s="343"/>
      <c r="AH1611" s="249"/>
      <c r="AI1611" s="330"/>
      <c r="AJ1611" s="343"/>
      <c r="AK1611" s="249"/>
      <c r="AL1611" s="330"/>
      <c r="AM1611" s="343"/>
      <c r="AN1611" s="249"/>
      <c r="AO1611" s="330"/>
      <c r="AP1611" s="343"/>
      <c r="AQ1611" s="249"/>
      <c r="AR1611" s="330"/>
      <c r="AS1611" s="343"/>
      <c r="AT1611" s="249"/>
      <c r="AU1611" s="330"/>
    </row>
    <row r="1612" spans="2:47">
      <c r="B1612" s="247">
        <f>'Table S2 Compound Identifiers'!C1614</f>
        <v>0</v>
      </c>
      <c r="C1612" s="247">
        <f>COUNTIF($D$6:D1612,"&lt;&gt;"&amp;"")</f>
        <v>1607</v>
      </c>
      <c r="D1612" s="247">
        <f>'Table S2 Compound Identifiers'!B1614</f>
        <v>0</v>
      </c>
      <c r="E1612" s="247"/>
      <c r="F1612" s="248"/>
      <c r="G1612" s="249"/>
      <c r="H1612" s="330"/>
      <c r="I1612" s="328"/>
      <c r="J1612" s="249"/>
      <c r="K1612" s="330"/>
      <c r="L1612" s="250"/>
      <c r="M1612" s="249"/>
      <c r="N1612" s="330"/>
      <c r="O1612" s="250"/>
      <c r="P1612" s="249"/>
      <c r="Q1612" s="330"/>
      <c r="R1612" s="250"/>
      <c r="S1612" s="249"/>
      <c r="T1612" s="330"/>
      <c r="U1612" s="250"/>
      <c r="V1612" s="249"/>
      <c r="W1612" s="330"/>
      <c r="X1612" s="343"/>
      <c r="Y1612" s="249"/>
      <c r="Z1612" s="330"/>
      <c r="AA1612" s="343"/>
      <c r="AB1612" s="249"/>
      <c r="AC1612" s="330"/>
      <c r="AD1612" s="343"/>
      <c r="AE1612" s="249"/>
      <c r="AF1612" s="330"/>
      <c r="AG1612" s="343"/>
      <c r="AH1612" s="249"/>
      <c r="AI1612" s="330"/>
      <c r="AJ1612" s="343"/>
      <c r="AK1612" s="249"/>
      <c r="AL1612" s="330"/>
      <c r="AM1612" s="343"/>
      <c r="AN1612" s="249"/>
      <c r="AO1612" s="330"/>
      <c r="AP1612" s="343"/>
      <c r="AQ1612" s="249"/>
      <c r="AR1612" s="330"/>
      <c r="AS1612" s="343"/>
      <c r="AT1612" s="249"/>
      <c r="AU1612" s="330"/>
    </row>
    <row r="1613" spans="2:47">
      <c r="B1613" s="247">
        <f>'Table S2 Compound Identifiers'!C1615</f>
        <v>0</v>
      </c>
      <c r="C1613" s="247">
        <f>COUNTIF($D$6:D1613,"&lt;&gt;"&amp;"")</f>
        <v>1608</v>
      </c>
      <c r="D1613" s="247">
        <f>'Table S2 Compound Identifiers'!B1615</f>
        <v>0</v>
      </c>
      <c r="E1613" s="247"/>
      <c r="F1613" s="248"/>
      <c r="G1613" s="249"/>
      <c r="H1613" s="330"/>
      <c r="I1613" s="328"/>
      <c r="J1613" s="249"/>
      <c r="K1613" s="330"/>
      <c r="L1613" s="250"/>
      <c r="M1613" s="249"/>
      <c r="N1613" s="330"/>
      <c r="O1613" s="250"/>
      <c r="P1613" s="249"/>
      <c r="Q1613" s="330"/>
      <c r="R1613" s="250"/>
      <c r="S1613" s="249"/>
      <c r="T1613" s="330"/>
      <c r="U1613" s="250"/>
      <c r="V1613" s="249"/>
      <c r="W1613" s="330"/>
      <c r="X1613" s="343"/>
      <c r="Y1613" s="249"/>
      <c r="Z1613" s="330"/>
      <c r="AA1613" s="343"/>
      <c r="AB1613" s="249"/>
      <c r="AC1613" s="330"/>
      <c r="AD1613" s="343"/>
      <c r="AE1613" s="249"/>
      <c r="AF1613" s="330"/>
      <c r="AG1613" s="343"/>
      <c r="AH1613" s="249"/>
      <c r="AI1613" s="330"/>
      <c r="AJ1613" s="343"/>
      <c r="AK1613" s="249"/>
      <c r="AL1613" s="330"/>
      <c r="AM1613" s="343"/>
      <c r="AN1613" s="249"/>
      <c r="AO1613" s="330"/>
      <c r="AP1613" s="343"/>
      <c r="AQ1613" s="249"/>
      <c r="AR1613" s="330"/>
      <c r="AS1613" s="343"/>
      <c r="AT1613" s="249"/>
      <c r="AU1613" s="330"/>
    </row>
    <row r="1614" spans="2:47">
      <c r="B1614" s="247">
        <f>'Table S2 Compound Identifiers'!C1616</f>
        <v>0</v>
      </c>
      <c r="C1614" s="247">
        <f>COUNTIF($D$6:D1614,"&lt;&gt;"&amp;"")</f>
        <v>1609</v>
      </c>
      <c r="D1614" s="247">
        <f>'Table S2 Compound Identifiers'!B1616</f>
        <v>0</v>
      </c>
      <c r="E1614" s="247"/>
      <c r="F1614" s="248"/>
      <c r="G1614" s="249"/>
      <c r="H1614" s="330"/>
      <c r="I1614" s="328"/>
      <c r="J1614" s="249"/>
      <c r="K1614" s="330"/>
      <c r="L1614" s="250"/>
      <c r="M1614" s="249"/>
      <c r="N1614" s="330"/>
      <c r="O1614" s="250"/>
      <c r="P1614" s="249"/>
      <c r="Q1614" s="330"/>
      <c r="R1614" s="250"/>
      <c r="S1614" s="249"/>
      <c r="T1614" s="330"/>
      <c r="U1614" s="250"/>
      <c r="V1614" s="249"/>
      <c r="W1614" s="330"/>
      <c r="X1614" s="343"/>
      <c r="Y1614" s="249"/>
      <c r="Z1614" s="330"/>
      <c r="AA1614" s="343"/>
      <c r="AB1614" s="249"/>
      <c r="AC1614" s="330"/>
      <c r="AD1614" s="343"/>
      <c r="AE1614" s="249"/>
      <c r="AF1614" s="330"/>
      <c r="AG1614" s="343"/>
      <c r="AH1614" s="249"/>
      <c r="AI1614" s="330"/>
      <c r="AJ1614" s="343"/>
      <c r="AK1614" s="249"/>
      <c r="AL1614" s="330"/>
      <c r="AM1614" s="343"/>
      <c r="AN1614" s="249"/>
      <c r="AO1614" s="330"/>
      <c r="AP1614" s="343"/>
      <c r="AQ1614" s="249"/>
      <c r="AR1614" s="330"/>
      <c r="AS1614" s="343"/>
      <c r="AT1614" s="249"/>
      <c r="AU1614" s="330"/>
    </row>
    <row r="1615" spans="2:47">
      <c r="B1615" s="247">
        <f>'Table S2 Compound Identifiers'!C1617</f>
        <v>0</v>
      </c>
      <c r="C1615" s="247">
        <f>COUNTIF($D$6:D1615,"&lt;&gt;"&amp;"")</f>
        <v>1610</v>
      </c>
      <c r="D1615" s="247">
        <f>'Table S2 Compound Identifiers'!B1617</f>
        <v>0</v>
      </c>
      <c r="E1615" s="247"/>
      <c r="F1615" s="248"/>
      <c r="G1615" s="249"/>
      <c r="H1615" s="330"/>
      <c r="I1615" s="328"/>
      <c r="J1615" s="249"/>
      <c r="K1615" s="330"/>
      <c r="L1615" s="250"/>
      <c r="M1615" s="249"/>
      <c r="N1615" s="330"/>
      <c r="O1615" s="250"/>
      <c r="P1615" s="249"/>
      <c r="Q1615" s="330"/>
      <c r="R1615" s="250"/>
      <c r="S1615" s="249"/>
      <c r="T1615" s="330"/>
      <c r="U1615" s="250"/>
      <c r="V1615" s="249"/>
      <c r="W1615" s="330"/>
      <c r="X1615" s="343"/>
      <c r="Y1615" s="249"/>
      <c r="Z1615" s="330"/>
      <c r="AA1615" s="343"/>
      <c r="AB1615" s="249"/>
      <c r="AC1615" s="330"/>
      <c r="AD1615" s="343"/>
      <c r="AE1615" s="249"/>
      <c r="AF1615" s="330"/>
      <c r="AG1615" s="343"/>
      <c r="AH1615" s="249"/>
      <c r="AI1615" s="330"/>
      <c r="AJ1615" s="343"/>
      <c r="AK1615" s="249"/>
      <c r="AL1615" s="330"/>
      <c r="AM1615" s="343"/>
      <c r="AN1615" s="249"/>
      <c r="AO1615" s="330"/>
      <c r="AP1615" s="343"/>
      <c r="AQ1615" s="249"/>
      <c r="AR1615" s="330"/>
      <c r="AS1615" s="343"/>
      <c r="AT1615" s="249"/>
      <c r="AU1615" s="330"/>
    </row>
    <row r="1616" spans="2:47">
      <c r="B1616" s="247">
        <f>'Table S2 Compound Identifiers'!C1618</f>
        <v>0</v>
      </c>
      <c r="C1616" s="247">
        <f>COUNTIF($D$6:D1616,"&lt;&gt;"&amp;"")</f>
        <v>1611</v>
      </c>
      <c r="D1616" s="432">
        <f>'Table S2 Compound Identifiers'!B1618</f>
        <v>0</v>
      </c>
      <c r="E1616" s="247"/>
      <c r="F1616" s="248"/>
      <c r="G1616" s="249"/>
      <c r="H1616" s="330"/>
      <c r="I1616" s="328"/>
      <c r="J1616" s="249"/>
      <c r="K1616" s="330"/>
      <c r="L1616" s="250"/>
      <c r="M1616" s="249"/>
      <c r="N1616" s="330"/>
      <c r="O1616" s="250"/>
      <c r="P1616" s="249"/>
      <c r="Q1616" s="330"/>
      <c r="R1616" s="250"/>
      <c r="S1616" s="249"/>
      <c r="T1616" s="330"/>
      <c r="U1616" s="250"/>
      <c r="V1616" s="249"/>
      <c r="W1616" s="330"/>
      <c r="X1616" s="343"/>
      <c r="Y1616" s="249"/>
      <c r="Z1616" s="330"/>
      <c r="AA1616" s="343"/>
      <c r="AB1616" s="249"/>
      <c r="AC1616" s="330"/>
      <c r="AD1616" s="343"/>
      <c r="AE1616" s="249"/>
      <c r="AF1616" s="330"/>
      <c r="AG1616" s="343"/>
      <c r="AH1616" s="249"/>
      <c r="AI1616" s="330"/>
      <c r="AJ1616" s="343"/>
      <c r="AK1616" s="249"/>
      <c r="AL1616" s="330"/>
      <c r="AM1616" s="343"/>
      <c r="AN1616" s="249"/>
      <c r="AO1616" s="330"/>
      <c r="AP1616" s="343"/>
      <c r="AQ1616" s="249"/>
      <c r="AR1616" s="330"/>
      <c r="AS1616" s="343"/>
      <c r="AT1616" s="249"/>
      <c r="AU1616" s="330"/>
    </row>
    <row r="1617" spans="2:47">
      <c r="B1617" s="247">
        <f>'Table S2 Compound Identifiers'!C1619</f>
        <v>0</v>
      </c>
      <c r="C1617" s="247">
        <f>COUNTIF($D$6:D1617,"&lt;&gt;"&amp;"")</f>
        <v>1612</v>
      </c>
      <c r="D1617" s="432">
        <f>'Table S2 Compound Identifiers'!B1619</f>
        <v>0</v>
      </c>
      <c r="E1617" s="247"/>
      <c r="F1617" s="248"/>
      <c r="G1617" s="249"/>
      <c r="H1617" s="330"/>
      <c r="I1617" s="328"/>
      <c r="J1617" s="249"/>
      <c r="K1617" s="330"/>
      <c r="L1617" s="250"/>
      <c r="M1617" s="249"/>
      <c r="N1617" s="330"/>
      <c r="O1617" s="250"/>
      <c r="P1617" s="249"/>
      <c r="Q1617" s="330"/>
      <c r="R1617" s="250"/>
      <c r="S1617" s="249"/>
      <c r="T1617" s="330"/>
      <c r="U1617" s="250"/>
      <c r="V1617" s="249"/>
      <c r="W1617" s="330"/>
      <c r="X1617" s="343"/>
      <c r="Y1617" s="249"/>
      <c r="Z1617" s="330"/>
      <c r="AA1617" s="343"/>
      <c r="AB1617" s="249"/>
      <c r="AC1617" s="330"/>
      <c r="AD1617" s="343"/>
      <c r="AE1617" s="249"/>
      <c r="AF1617" s="330"/>
      <c r="AG1617" s="343"/>
      <c r="AH1617" s="249"/>
      <c r="AI1617" s="330"/>
      <c r="AJ1617" s="343"/>
      <c r="AK1617" s="249"/>
      <c r="AL1617" s="330"/>
      <c r="AM1617" s="343"/>
      <c r="AN1617" s="249"/>
      <c r="AO1617" s="330"/>
      <c r="AP1617" s="343"/>
      <c r="AQ1617" s="249"/>
      <c r="AR1617" s="330"/>
      <c r="AS1617" s="343"/>
      <c r="AT1617" s="249"/>
      <c r="AU1617" s="330"/>
    </row>
    <row r="1618" spans="2:47">
      <c r="B1618" s="247">
        <f>'Table S2 Compound Identifiers'!C1620</f>
        <v>0</v>
      </c>
      <c r="C1618" s="247">
        <f>COUNTIF($D$6:D1618,"&lt;&gt;"&amp;"")</f>
        <v>1613</v>
      </c>
      <c r="D1618" s="432">
        <f>'Table S2 Compound Identifiers'!B1620</f>
        <v>0</v>
      </c>
      <c r="E1618" s="247"/>
      <c r="F1618" s="248"/>
      <c r="G1618" s="249"/>
      <c r="H1618" s="330"/>
      <c r="I1618" s="328"/>
      <c r="J1618" s="249"/>
      <c r="K1618" s="330"/>
      <c r="L1618" s="250"/>
      <c r="M1618" s="249"/>
      <c r="N1618" s="330"/>
      <c r="O1618" s="250"/>
      <c r="P1618" s="249"/>
      <c r="Q1618" s="330"/>
      <c r="R1618" s="250"/>
      <c r="S1618" s="249"/>
      <c r="T1618" s="330"/>
      <c r="U1618" s="250"/>
      <c r="V1618" s="249"/>
      <c r="W1618" s="330"/>
      <c r="X1618" s="343"/>
      <c r="Y1618" s="249"/>
      <c r="Z1618" s="330"/>
      <c r="AA1618" s="343"/>
      <c r="AB1618" s="249"/>
      <c r="AC1618" s="330"/>
      <c r="AD1618" s="343"/>
      <c r="AE1618" s="249"/>
      <c r="AF1618" s="330"/>
      <c r="AG1618" s="343"/>
      <c r="AH1618" s="249"/>
      <c r="AI1618" s="330"/>
      <c r="AJ1618" s="343"/>
      <c r="AK1618" s="249"/>
      <c r="AL1618" s="330"/>
      <c r="AM1618" s="343"/>
      <c r="AN1618" s="249"/>
      <c r="AO1618" s="330"/>
      <c r="AP1618" s="343"/>
      <c r="AQ1618" s="249"/>
      <c r="AR1618" s="330"/>
      <c r="AS1618" s="343"/>
      <c r="AT1618" s="249"/>
      <c r="AU1618" s="330"/>
    </row>
    <row r="1619" spans="2:47">
      <c r="B1619" s="247">
        <f>'Table S2 Compound Identifiers'!C1621</f>
        <v>0</v>
      </c>
      <c r="C1619" s="247">
        <f>COUNTIF($D$6:D1619,"&lt;&gt;"&amp;"")</f>
        <v>1614</v>
      </c>
      <c r="D1619" s="432">
        <f>'Table S2 Compound Identifiers'!B1621</f>
        <v>0</v>
      </c>
      <c r="E1619" s="247"/>
      <c r="F1619" s="248"/>
      <c r="G1619" s="249"/>
      <c r="H1619" s="330"/>
      <c r="I1619" s="328"/>
      <c r="J1619" s="249"/>
      <c r="K1619" s="330"/>
      <c r="L1619" s="250"/>
      <c r="M1619" s="249"/>
      <c r="N1619" s="330"/>
      <c r="O1619" s="250"/>
      <c r="P1619" s="249"/>
      <c r="Q1619" s="330"/>
      <c r="R1619" s="250"/>
      <c r="S1619" s="249"/>
      <c r="T1619" s="330"/>
      <c r="U1619" s="250"/>
      <c r="V1619" s="249"/>
      <c r="W1619" s="330"/>
      <c r="X1619" s="343"/>
      <c r="Y1619" s="249"/>
      <c r="Z1619" s="330"/>
      <c r="AA1619" s="343"/>
      <c r="AB1619" s="249"/>
      <c r="AC1619" s="330"/>
      <c r="AD1619" s="343"/>
      <c r="AE1619" s="249"/>
      <c r="AF1619" s="330"/>
      <c r="AG1619" s="343"/>
      <c r="AH1619" s="249"/>
      <c r="AI1619" s="330"/>
      <c r="AJ1619" s="343"/>
      <c r="AK1619" s="249"/>
      <c r="AL1619" s="330"/>
      <c r="AM1619" s="343"/>
      <c r="AN1619" s="249"/>
      <c r="AO1619" s="330"/>
      <c r="AP1619" s="343"/>
      <c r="AQ1619" s="249"/>
      <c r="AR1619" s="330"/>
      <c r="AS1619" s="343"/>
      <c r="AT1619" s="249"/>
      <c r="AU1619" s="330"/>
    </row>
    <row r="1620" spans="2:47">
      <c r="B1620" s="247">
        <f>'Table S2 Compound Identifiers'!C1622</f>
        <v>0</v>
      </c>
      <c r="C1620" s="247">
        <f>COUNTIF($D$6:D1620,"&lt;&gt;"&amp;"")</f>
        <v>1615</v>
      </c>
      <c r="D1620" s="432">
        <f>'Table S2 Compound Identifiers'!B1622</f>
        <v>0</v>
      </c>
      <c r="E1620" s="247"/>
      <c r="F1620" s="248"/>
      <c r="G1620" s="249"/>
      <c r="H1620" s="330"/>
      <c r="I1620" s="328"/>
      <c r="J1620" s="249"/>
      <c r="K1620" s="330"/>
      <c r="L1620" s="250"/>
      <c r="M1620" s="249"/>
      <c r="N1620" s="330"/>
      <c r="O1620" s="250"/>
      <c r="P1620" s="249"/>
      <c r="Q1620" s="330"/>
      <c r="R1620" s="250"/>
      <c r="S1620" s="249"/>
      <c r="T1620" s="330"/>
      <c r="U1620" s="250"/>
      <c r="V1620" s="249"/>
      <c r="W1620" s="330"/>
      <c r="X1620" s="343"/>
      <c r="Y1620" s="249"/>
      <c r="Z1620" s="330"/>
      <c r="AA1620" s="343"/>
      <c r="AB1620" s="249"/>
      <c r="AC1620" s="330"/>
      <c r="AD1620" s="343"/>
      <c r="AE1620" s="249"/>
      <c r="AF1620" s="330"/>
      <c r="AG1620" s="343"/>
      <c r="AH1620" s="249"/>
      <c r="AI1620" s="330"/>
      <c r="AJ1620" s="343"/>
      <c r="AK1620" s="249"/>
      <c r="AL1620" s="330"/>
      <c r="AM1620" s="343"/>
      <c r="AN1620" s="249"/>
      <c r="AO1620" s="330"/>
      <c r="AP1620" s="343"/>
      <c r="AQ1620" s="249"/>
      <c r="AR1620" s="330"/>
      <c r="AS1620" s="343"/>
      <c r="AT1620" s="249"/>
      <c r="AU1620" s="330"/>
    </row>
    <row r="1621" spans="2:47">
      <c r="B1621" s="247">
        <f>'Table S2 Compound Identifiers'!C1623</f>
        <v>0</v>
      </c>
      <c r="C1621" s="247">
        <f>COUNTIF($D$6:D1621,"&lt;&gt;"&amp;"")</f>
        <v>1616</v>
      </c>
      <c r="D1621" s="432">
        <f>'Table S2 Compound Identifiers'!B1623</f>
        <v>0</v>
      </c>
      <c r="E1621" s="247"/>
      <c r="F1621" s="248"/>
      <c r="G1621" s="249"/>
      <c r="H1621" s="330"/>
      <c r="I1621" s="328"/>
      <c r="J1621" s="249"/>
      <c r="K1621" s="330"/>
      <c r="L1621" s="250"/>
      <c r="M1621" s="249"/>
      <c r="N1621" s="330"/>
      <c r="O1621" s="250"/>
      <c r="P1621" s="249"/>
      <c r="Q1621" s="330"/>
      <c r="R1621" s="250"/>
      <c r="S1621" s="249"/>
      <c r="T1621" s="330"/>
      <c r="U1621" s="250"/>
      <c r="V1621" s="249"/>
      <c r="W1621" s="330"/>
      <c r="X1621" s="343"/>
      <c r="Y1621" s="249"/>
      <c r="Z1621" s="330"/>
      <c r="AA1621" s="343"/>
      <c r="AB1621" s="249"/>
      <c r="AC1621" s="330"/>
      <c r="AD1621" s="343"/>
      <c r="AE1621" s="249"/>
      <c r="AF1621" s="330"/>
      <c r="AG1621" s="343"/>
      <c r="AH1621" s="249"/>
      <c r="AI1621" s="330"/>
      <c r="AJ1621" s="343"/>
      <c r="AK1621" s="249"/>
      <c r="AL1621" s="330"/>
      <c r="AM1621" s="343"/>
      <c r="AN1621" s="249"/>
      <c r="AO1621" s="330"/>
      <c r="AP1621" s="343"/>
      <c r="AQ1621" s="249"/>
      <c r="AR1621" s="330"/>
      <c r="AS1621" s="343"/>
      <c r="AT1621" s="249"/>
      <c r="AU1621" s="330"/>
    </row>
    <row r="1622" spans="2:47">
      <c r="B1622" s="247">
        <f>'Table S2 Compound Identifiers'!C1624</f>
        <v>0</v>
      </c>
      <c r="C1622" s="247">
        <f>COUNTIF($D$6:D1622,"&lt;&gt;"&amp;"")</f>
        <v>1617</v>
      </c>
      <c r="D1622" s="432">
        <f>'Table S2 Compound Identifiers'!B1624</f>
        <v>0</v>
      </c>
      <c r="E1622" s="247"/>
      <c r="F1622" s="248"/>
      <c r="G1622" s="249"/>
      <c r="H1622" s="330"/>
      <c r="I1622" s="328"/>
      <c r="J1622" s="249"/>
      <c r="K1622" s="330"/>
      <c r="L1622" s="250"/>
      <c r="M1622" s="249"/>
      <c r="N1622" s="330"/>
      <c r="O1622" s="250"/>
      <c r="P1622" s="249"/>
      <c r="Q1622" s="330"/>
      <c r="R1622" s="250"/>
      <c r="S1622" s="249"/>
      <c r="T1622" s="330"/>
      <c r="U1622" s="250"/>
      <c r="V1622" s="249"/>
      <c r="W1622" s="330"/>
      <c r="X1622" s="343"/>
      <c r="Y1622" s="249"/>
      <c r="Z1622" s="330"/>
      <c r="AA1622" s="343"/>
      <c r="AB1622" s="249"/>
      <c r="AC1622" s="330"/>
      <c r="AD1622" s="343"/>
      <c r="AE1622" s="249"/>
      <c r="AF1622" s="330"/>
      <c r="AG1622" s="343"/>
      <c r="AH1622" s="249"/>
      <c r="AI1622" s="330"/>
      <c r="AJ1622" s="343"/>
      <c r="AK1622" s="249"/>
      <c r="AL1622" s="330"/>
      <c r="AM1622" s="343"/>
      <c r="AN1622" s="249"/>
      <c r="AO1622" s="330"/>
      <c r="AP1622" s="343"/>
      <c r="AQ1622" s="249"/>
      <c r="AR1622" s="330"/>
      <c r="AS1622" s="343"/>
      <c r="AT1622" s="249"/>
      <c r="AU1622" s="330"/>
    </row>
    <row r="1623" spans="2:47">
      <c r="B1623" s="247">
        <f>'Table S2 Compound Identifiers'!C1625</f>
        <v>0</v>
      </c>
      <c r="C1623" s="247">
        <f>COUNTIF($D$6:D1623,"&lt;&gt;"&amp;"")</f>
        <v>1618</v>
      </c>
      <c r="D1623" s="432">
        <f>'Table S2 Compound Identifiers'!B1625</f>
        <v>0</v>
      </c>
      <c r="E1623" s="247"/>
      <c r="F1623" s="248"/>
      <c r="G1623" s="249"/>
      <c r="H1623" s="330"/>
      <c r="I1623" s="328"/>
      <c r="J1623" s="249"/>
      <c r="K1623" s="330"/>
      <c r="L1623" s="250"/>
      <c r="M1623" s="249"/>
      <c r="N1623" s="330"/>
      <c r="O1623" s="250"/>
      <c r="P1623" s="249"/>
      <c r="Q1623" s="330"/>
      <c r="R1623" s="250"/>
      <c r="S1623" s="249"/>
      <c r="T1623" s="330"/>
      <c r="U1623" s="250"/>
      <c r="V1623" s="249"/>
      <c r="W1623" s="330"/>
      <c r="X1623" s="343"/>
      <c r="Y1623" s="249"/>
      <c r="Z1623" s="330"/>
      <c r="AA1623" s="343"/>
      <c r="AB1623" s="249"/>
      <c r="AC1623" s="330"/>
      <c r="AD1623" s="343"/>
      <c r="AE1623" s="249"/>
      <c r="AF1623" s="330"/>
      <c r="AG1623" s="343"/>
      <c r="AH1623" s="249"/>
      <c r="AI1623" s="330"/>
      <c r="AJ1623" s="343"/>
      <c r="AK1623" s="249"/>
      <c r="AL1623" s="330"/>
      <c r="AM1623" s="343"/>
      <c r="AN1623" s="249"/>
      <c r="AO1623" s="330"/>
      <c r="AP1623" s="343"/>
      <c r="AQ1623" s="249"/>
      <c r="AR1623" s="330"/>
      <c r="AS1623" s="343"/>
      <c r="AT1623" s="249"/>
      <c r="AU1623" s="330"/>
    </row>
    <row r="1624" spans="2:47">
      <c r="B1624" s="247">
        <f>'Table S2 Compound Identifiers'!C1626</f>
        <v>0</v>
      </c>
      <c r="C1624" s="247">
        <f>COUNTIF($D$6:D1624,"&lt;&gt;"&amp;"")</f>
        <v>1619</v>
      </c>
      <c r="D1624" s="432">
        <f>'Table S2 Compound Identifiers'!B1626</f>
        <v>0</v>
      </c>
      <c r="E1624" s="247"/>
      <c r="F1624" s="248"/>
      <c r="G1624" s="249"/>
      <c r="H1624" s="330"/>
      <c r="I1624" s="328"/>
      <c r="J1624" s="249"/>
      <c r="K1624" s="330"/>
      <c r="L1624" s="250"/>
      <c r="M1624" s="249"/>
      <c r="N1624" s="330"/>
      <c r="O1624" s="250"/>
      <c r="P1624" s="249"/>
      <c r="Q1624" s="330"/>
      <c r="R1624" s="250"/>
      <c r="S1624" s="249"/>
      <c r="T1624" s="330"/>
      <c r="U1624" s="250"/>
      <c r="V1624" s="249"/>
      <c r="W1624" s="330"/>
      <c r="X1624" s="343"/>
      <c r="Y1624" s="249"/>
      <c r="Z1624" s="330"/>
      <c r="AA1624" s="343"/>
      <c r="AB1624" s="249"/>
      <c r="AC1624" s="330"/>
      <c r="AD1624" s="343"/>
      <c r="AE1624" s="249"/>
      <c r="AF1624" s="330"/>
      <c r="AG1624" s="343"/>
      <c r="AH1624" s="249"/>
      <c r="AI1624" s="330"/>
      <c r="AJ1624" s="343"/>
      <c r="AK1624" s="249"/>
      <c r="AL1624" s="330"/>
      <c r="AM1624" s="343"/>
      <c r="AN1624" s="249"/>
      <c r="AO1624" s="330"/>
      <c r="AP1624" s="343"/>
      <c r="AQ1624" s="249"/>
      <c r="AR1624" s="330"/>
      <c r="AS1624" s="343"/>
      <c r="AT1624" s="249"/>
      <c r="AU1624" s="330"/>
    </row>
    <row r="1625" spans="2:47">
      <c r="B1625" s="247">
        <f>'Table S2 Compound Identifiers'!C1627</f>
        <v>0</v>
      </c>
      <c r="C1625" s="247">
        <f>COUNTIF($D$6:D1625,"&lt;&gt;"&amp;"")</f>
        <v>1620</v>
      </c>
      <c r="D1625" s="432">
        <f>'Table S2 Compound Identifiers'!B1627</f>
        <v>0</v>
      </c>
      <c r="E1625" s="247"/>
      <c r="F1625" s="248"/>
      <c r="G1625" s="249"/>
      <c r="H1625" s="330"/>
      <c r="I1625" s="328"/>
      <c r="J1625" s="249"/>
      <c r="K1625" s="330"/>
      <c r="L1625" s="250"/>
      <c r="M1625" s="249"/>
      <c r="N1625" s="330"/>
      <c r="O1625" s="250"/>
      <c r="P1625" s="249"/>
      <c r="Q1625" s="330"/>
      <c r="R1625" s="250"/>
      <c r="S1625" s="249"/>
      <c r="T1625" s="330"/>
      <c r="U1625" s="250"/>
      <c r="V1625" s="249"/>
      <c r="W1625" s="330"/>
      <c r="X1625" s="343"/>
      <c r="Y1625" s="249"/>
      <c r="Z1625" s="330"/>
      <c r="AA1625" s="343"/>
      <c r="AB1625" s="249"/>
      <c r="AC1625" s="330"/>
      <c r="AD1625" s="343"/>
      <c r="AE1625" s="249"/>
      <c r="AF1625" s="330"/>
      <c r="AG1625" s="343"/>
      <c r="AH1625" s="249"/>
      <c r="AI1625" s="330"/>
      <c r="AJ1625" s="343"/>
      <c r="AK1625" s="249"/>
      <c r="AL1625" s="330"/>
      <c r="AM1625" s="343"/>
      <c r="AN1625" s="249"/>
      <c r="AO1625" s="330"/>
      <c r="AP1625" s="343"/>
      <c r="AQ1625" s="249"/>
      <c r="AR1625" s="330"/>
      <c r="AS1625" s="343"/>
      <c r="AT1625" s="249"/>
      <c r="AU1625" s="330"/>
    </row>
    <row r="1626" spans="2:47">
      <c r="B1626" s="247">
        <f>'Table S2 Compound Identifiers'!C1628</f>
        <v>0</v>
      </c>
      <c r="C1626" s="247">
        <f>COUNTIF($D$6:D1626,"&lt;&gt;"&amp;"")</f>
        <v>1621</v>
      </c>
      <c r="D1626" s="247">
        <f>'Table S2 Compound Identifiers'!B1628</f>
        <v>0</v>
      </c>
      <c r="E1626" s="247"/>
      <c r="F1626" s="248"/>
      <c r="G1626" s="249"/>
      <c r="H1626" s="330"/>
      <c r="I1626" s="328"/>
      <c r="J1626" s="249"/>
      <c r="K1626" s="330"/>
      <c r="L1626" s="250"/>
      <c r="M1626" s="249"/>
      <c r="N1626" s="330"/>
      <c r="O1626" s="250"/>
      <c r="P1626" s="249"/>
      <c r="Q1626" s="330"/>
      <c r="R1626" s="250"/>
      <c r="S1626" s="249"/>
      <c r="T1626" s="330"/>
      <c r="U1626" s="250"/>
      <c r="V1626" s="249"/>
      <c r="W1626" s="330"/>
      <c r="X1626" s="343"/>
      <c r="Y1626" s="249"/>
      <c r="Z1626" s="330"/>
      <c r="AA1626" s="343"/>
      <c r="AB1626" s="249"/>
      <c r="AC1626" s="330"/>
      <c r="AD1626" s="343"/>
      <c r="AE1626" s="249"/>
      <c r="AF1626" s="330"/>
      <c r="AG1626" s="343"/>
      <c r="AH1626" s="249"/>
      <c r="AI1626" s="330"/>
      <c r="AJ1626" s="343"/>
      <c r="AK1626" s="249"/>
      <c r="AL1626" s="330"/>
      <c r="AM1626" s="343"/>
      <c r="AN1626" s="249"/>
      <c r="AO1626" s="330"/>
      <c r="AP1626" s="343"/>
      <c r="AQ1626" s="249"/>
      <c r="AR1626" s="330"/>
      <c r="AS1626" s="343"/>
      <c r="AT1626" s="249"/>
      <c r="AU1626" s="330"/>
    </row>
    <row r="1627" spans="2:47">
      <c r="B1627" s="247">
        <f>'Table S2 Compound Identifiers'!C1629</f>
        <v>0</v>
      </c>
      <c r="C1627" s="247">
        <f>COUNTIF($D$6:D1627,"&lt;&gt;"&amp;"")</f>
        <v>1622</v>
      </c>
      <c r="D1627" s="247">
        <f>'Table S2 Compound Identifiers'!B1629</f>
        <v>0</v>
      </c>
      <c r="E1627" s="247"/>
      <c r="F1627" s="248"/>
      <c r="G1627" s="249"/>
      <c r="H1627" s="330"/>
      <c r="I1627" s="328"/>
      <c r="J1627" s="249"/>
      <c r="K1627" s="330"/>
      <c r="L1627" s="250"/>
      <c r="M1627" s="249"/>
      <c r="N1627" s="330"/>
      <c r="O1627" s="250"/>
      <c r="P1627" s="249"/>
      <c r="Q1627" s="330"/>
      <c r="R1627" s="250"/>
      <c r="S1627" s="249"/>
      <c r="T1627" s="330"/>
      <c r="U1627" s="250"/>
      <c r="V1627" s="249"/>
      <c r="W1627" s="330"/>
      <c r="X1627" s="343"/>
      <c r="Y1627" s="249"/>
      <c r="Z1627" s="330"/>
      <c r="AA1627" s="343"/>
      <c r="AB1627" s="249"/>
      <c r="AC1627" s="330"/>
      <c r="AD1627" s="343"/>
      <c r="AE1627" s="249"/>
      <c r="AF1627" s="330"/>
      <c r="AG1627" s="343"/>
      <c r="AH1627" s="249"/>
      <c r="AI1627" s="330"/>
      <c r="AJ1627" s="343"/>
      <c r="AK1627" s="249"/>
      <c r="AL1627" s="330"/>
      <c r="AM1627" s="343"/>
      <c r="AN1627" s="249"/>
      <c r="AO1627" s="330"/>
      <c r="AP1627" s="343"/>
      <c r="AQ1627" s="249"/>
      <c r="AR1627" s="330"/>
      <c r="AS1627" s="343"/>
      <c r="AT1627" s="249"/>
      <c r="AU1627" s="330"/>
    </row>
    <row r="1628" spans="2:47">
      <c r="B1628" s="247">
        <f>'Table S2 Compound Identifiers'!C1630</f>
        <v>0</v>
      </c>
      <c r="C1628" s="247">
        <f>COUNTIF($D$6:D1628,"&lt;&gt;"&amp;"")</f>
        <v>1623</v>
      </c>
      <c r="D1628" s="247">
        <f>'Table S2 Compound Identifiers'!B1630</f>
        <v>0</v>
      </c>
      <c r="E1628" s="247"/>
      <c r="F1628" s="248"/>
      <c r="G1628" s="249"/>
      <c r="H1628" s="330"/>
      <c r="I1628" s="328"/>
      <c r="J1628" s="249"/>
      <c r="K1628" s="330"/>
      <c r="L1628" s="250"/>
      <c r="M1628" s="249"/>
      <c r="N1628" s="330"/>
      <c r="O1628" s="250"/>
      <c r="P1628" s="249"/>
      <c r="Q1628" s="330"/>
      <c r="R1628" s="250"/>
      <c r="S1628" s="249"/>
      <c r="T1628" s="330"/>
      <c r="U1628" s="250"/>
      <c r="V1628" s="249"/>
      <c r="W1628" s="330"/>
      <c r="X1628" s="343"/>
      <c r="Y1628" s="249"/>
      <c r="Z1628" s="330"/>
      <c r="AA1628" s="343"/>
      <c r="AB1628" s="249"/>
      <c r="AC1628" s="330"/>
      <c r="AD1628" s="343"/>
      <c r="AE1628" s="249"/>
      <c r="AF1628" s="330"/>
      <c r="AG1628" s="343"/>
      <c r="AH1628" s="249"/>
      <c r="AI1628" s="330"/>
      <c r="AJ1628" s="343"/>
      <c r="AK1628" s="249"/>
      <c r="AL1628" s="330"/>
      <c r="AM1628" s="343"/>
      <c r="AN1628" s="249"/>
      <c r="AO1628" s="330"/>
      <c r="AP1628" s="343"/>
      <c r="AQ1628" s="249"/>
      <c r="AR1628" s="330"/>
      <c r="AS1628" s="343"/>
      <c r="AT1628" s="249"/>
      <c r="AU1628" s="330"/>
    </row>
    <row r="1629" spans="2:47">
      <c r="B1629" s="247">
        <f>'Table S2 Compound Identifiers'!C1631</f>
        <v>0</v>
      </c>
      <c r="C1629" s="247">
        <f>COUNTIF($D$6:D1629,"&lt;&gt;"&amp;"")</f>
        <v>1624</v>
      </c>
      <c r="D1629" s="247">
        <f>'Table S2 Compound Identifiers'!B1631</f>
        <v>0</v>
      </c>
      <c r="E1629" s="247"/>
      <c r="F1629" s="248"/>
      <c r="G1629" s="249"/>
      <c r="H1629" s="330"/>
      <c r="I1629" s="328"/>
      <c r="J1629" s="249"/>
      <c r="K1629" s="330"/>
      <c r="L1629" s="250"/>
      <c r="M1629" s="249"/>
      <c r="N1629" s="330"/>
      <c r="O1629" s="250"/>
      <c r="P1629" s="249"/>
      <c r="Q1629" s="330"/>
      <c r="R1629" s="250"/>
      <c r="S1629" s="249"/>
      <c r="T1629" s="330"/>
      <c r="U1629" s="250"/>
      <c r="V1629" s="249"/>
      <c r="W1629" s="330"/>
      <c r="X1629" s="343"/>
      <c r="Y1629" s="249"/>
      <c r="Z1629" s="330"/>
      <c r="AA1629" s="343"/>
      <c r="AB1629" s="249"/>
      <c r="AC1629" s="330"/>
      <c r="AD1629" s="343"/>
      <c r="AE1629" s="249"/>
      <c r="AF1629" s="330"/>
      <c r="AG1629" s="343"/>
      <c r="AH1629" s="249"/>
      <c r="AI1629" s="330"/>
      <c r="AJ1629" s="343"/>
      <c r="AK1629" s="249"/>
      <c r="AL1629" s="330"/>
      <c r="AM1629" s="343"/>
      <c r="AN1629" s="249"/>
      <c r="AO1629" s="330"/>
      <c r="AP1629" s="343"/>
      <c r="AQ1629" s="249"/>
      <c r="AR1629" s="330"/>
      <c r="AS1629" s="343"/>
      <c r="AT1629" s="249"/>
      <c r="AU1629" s="330"/>
    </row>
    <row r="1630" spans="2:47">
      <c r="B1630" s="247">
        <f>'Table S2 Compound Identifiers'!C1632</f>
        <v>0</v>
      </c>
      <c r="C1630" s="247">
        <f>COUNTIF($D$6:D1630,"&lt;&gt;"&amp;"")</f>
        <v>1625</v>
      </c>
      <c r="D1630" s="247">
        <f>'Table S2 Compound Identifiers'!B1632</f>
        <v>0</v>
      </c>
      <c r="E1630" s="247"/>
      <c r="F1630" s="248"/>
      <c r="G1630" s="249"/>
      <c r="H1630" s="330"/>
      <c r="I1630" s="328"/>
      <c r="J1630" s="249"/>
      <c r="K1630" s="330"/>
      <c r="L1630" s="250"/>
      <c r="M1630" s="249"/>
      <c r="N1630" s="330"/>
      <c r="O1630" s="250"/>
      <c r="P1630" s="249"/>
      <c r="Q1630" s="330"/>
      <c r="R1630" s="250"/>
      <c r="S1630" s="249"/>
      <c r="T1630" s="330"/>
      <c r="U1630" s="250"/>
      <c r="V1630" s="249"/>
      <c r="W1630" s="330"/>
      <c r="X1630" s="343"/>
      <c r="Y1630" s="249"/>
      <c r="Z1630" s="330"/>
      <c r="AA1630" s="343"/>
      <c r="AB1630" s="249"/>
      <c r="AC1630" s="330"/>
      <c r="AD1630" s="343"/>
      <c r="AE1630" s="249"/>
      <c r="AF1630" s="330"/>
      <c r="AG1630" s="343"/>
      <c r="AH1630" s="249"/>
      <c r="AI1630" s="330"/>
      <c r="AJ1630" s="343"/>
      <c r="AK1630" s="249"/>
      <c r="AL1630" s="330"/>
      <c r="AM1630" s="343"/>
      <c r="AN1630" s="249"/>
      <c r="AO1630" s="330"/>
      <c r="AP1630" s="343"/>
      <c r="AQ1630" s="249"/>
      <c r="AR1630" s="330"/>
      <c r="AS1630" s="343"/>
      <c r="AT1630" s="249"/>
      <c r="AU1630" s="330"/>
    </row>
    <row r="1631" spans="2:47">
      <c r="B1631" s="247">
        <f>'Table S2 Compound Identifiers'!C1633</f>
        <v>0</v>
      </c>
      <c r="C1631" s="247">
        <f>COUNTIF($D$6:D1631,"&lt;&gt;"&amp;"")</f>
        <v>1626</v>
      </c>
      <c r="D1631" s="247">
        <f>'Table S2 Compound Identifiers'!B1633</f>
        <v>0</v>
      </c>
      <c r="E1631" s="247"/>
      <c r="F1631" s="248"/>
      <c r="G1631" s="249"/>
      <c r="H1631" s="330"/>
      <c r="I1631" s="328"/>
      <c r="J1631" s="249"/>
      <c r="K1631" s="330"/>
      <c r="L1631" s="250"/>
      <c r="M1631" s="249"/>
      <c r="N1631" s="330"/>
      <c r="O1631" s="250"/>
      <c r="P1631" s="249"/>
      <c r="Q1631" s="330"/>
      <c r="R1631" s="250"/>
      <c r="S1631" s="249"/>
      <c r="T1631" s="330"/>
      <c r="U1631" s="250"/>
      <c r="V1631" s="249"/>
      <c r="W1631" s="330"/>
      <c r="X1631" s="343"/>
      <c r="Y1631" s="249"/>
      <c r="Z1631" s="330"/>
      <c r="AA1631" s="343"/>
      <c r="AB1631" s="249"/>
      <c r="AC1631" s="330"/>
      <c r="AD1631" s="343"/>
      <c r="AE1631" s="249"/>
      <c r="AF1631" s="330"/>
      <c r="AG1631" s="343"/>
      <c r="AH1631" s="249"/>
      <c r="AI1631" s="330"/>
      <c r="AJ1631" s="343"/>
      <c r="AK1631" s="249"/>
      <c r="AL1631" s="330"/>
      <c r="AM1631" s="343"/>
      <c r="AN1631" s="249"/>
      <c r="AO1631" s="330"/>
      <c r="AP1631" s="343"/>
      <c r="AQ1631" s="249"/>
      <c r="AR1631" s="330"/>
      <c r="AS1631" s="343"/>
      <c r="AT1631" s="249"/>
      <c r="AU1631" s="330"/>
    </row>
    <row r="1632" spans="2:47">
      <c r="B1632" s="247">
        <f>'Table S2 Compound Identifiers'!C1634</f>
        <v>0</v>
      </c>
      <c r="C1632" s="247">
        <f>COUNTIF($D$6:D1632,"&lt;&gt;"&amp;"")</f>
        <v>1627</v>
      </c>
      <c r="D1632" s="247">
        <f>'Table S2 Compound Identifiers'!B1634</f>
        <v>0</v>
      </c>
      <c r="E1632" s="247"/>
      <c r="F1632" s="248"/>
      <c r="G1632" s="249"/>
      <c r="H1632" s="330"/>
      <c r="I1632" s="328"/>
      <c r="J1632" s="249"/>
      <c r="K1632" s="330"/>
      <c r="L1632" s="250"/>
      <c r="M1632" s="249"/>
      <c r="N1632" s="330"/>
      <c r="O1632" s="251"/>
      <c r="P1632" s="252"/>
      <c r="Q1632" s="330"/>
      <c r="R1632" s="251"/>
      <c r="S1632" s="252"/>
      <c r="T1632" s="330"/>
      <c r="U1632" s="251"/>
      <c r="V1632" s="252"/>
      <c r="W1632" s="330"/>
      <c r="X1632" s="343"/>
      <c r="Y1632" s="249"/>
      <c r="Z1632" s="330"/>
      <c r="AA1632" s="343"/>
      <c r="AB1632" s="249"/>
      <c r="AC1632" s="330"/>
      <c r="AD1632" s="343"/>
      <c r="AE1632" s="249"/>
      <c r="AF1632" s="330"/>
      <c r="AG1632" s="343"/>
      <c r="AH1632" s="249"/>
      <c r="AI1632" s="330"/>
      <c r="AJ1632" s="343"/>
      <c r="AK1632" s="249"/>
      <c r="AL1632" s="330"/>
      <c r="AM1632" s="343"/>
      <c r="AN1632" s="249"/>
      <c r="AO1632" s="330"/>
      <c r="AP1632" s="343"/>
      <c r="AQ1632" s="249"/>
      <c r="AR1632" s="330"/>
      <c r="AS1632" s="343"/>
      <c r="AT1632" s="249"/>
      <c r="AU1632" s="330"/>
    </row>
    <row r="1633" spans="2:47">
      <c r="B1633" s="247">
        <f>'Table S2 Compound Identifiers'!C1635</f>
        <v>0</v>
      </c>
      <c r="C1633" s="253">
        <f>COUNTIF($D$6:D1633,"&lt;&gt;"&amp;"")</f>
        <v>1628</v>
      </c>
      <c r="D1633" s="253">
        <f>'Table S2 Compound Identifiers'!B1635</f>
        <v>0</v>
      </c>
      <c r="E1633" s="253"/>
      <c r="F1633" s="254"/>
      <c r="G1633" s="252"/>
      <c r="H1633" s="330"/>
      <c r="I1633" s="333"/>
      <c r="J1633" s="252"/>
      <c r="K1633" s="330"/>
      <c r="L1633" s="251"/>
      <c r="M1633" s="252"/>
      <c r="N1633" s="330"/>
      <c r="O1633" s="251"/>
      <c r="P1633" s="252"/>
      <c r="Q1633" s="330"/>
      <c r="R1633" s="251"/>
      <c r="S1633" s="252"/>
      <c r="T1633" s="330"/>
      <c r="U1633" s="251"/>
      <c r="V1633" s="252"/>
      <c r="W1633" s="330"/>
      <c r="X1633" s="343"/>
      <c r="Y1633" s="249"/>
      <c r="Z1633" s="330"/>
      <c r="AA1633" s="343"/>
      <c r="AB1633" s="249"/>
      <c r="AC1633" s="330"/>
      <c r="AD1633" s="343"/>
      <c r="AE1633" s="249"/>
      <c r="AF1633" s="330"/>
      <c r="AG1633" s="343"/>
      <c r="AH1633" s="249"/>
      <c r="AI1633" s="330"/>
      <c r="AJ1633" s="343"/>
      <c r="AK1633" s="249"/>
      <c r="AL1633" s="330"/>
      <c r="AM1633" s="343"/>
      <c r="AN1633" s="249"/>
      <c r="AO1633" s="330"/>
      <c r="AP1633" s="343"/>
      <c r="AQ1633" s="249"/>
      <c r="AR1633" s="330"/>
      <c r="AS1633" s="343"/>
      <c r="AT1633" s="249"/>
      <c r="AU1633" s="330"/>
    </row>
    <row r="1634" spans="2:47">
      <c r="B1634" s="247">
        <f>'Table S2 Compound Identifiers'!C1636</f>
        <v>0</v>
      </c>
      <c r="C1634" s="247">
        <f>COUNTIF($D$6:D1634,"&lt;&gt;"&amp;"")</f>
        <v>1629</v>
      </c>
      <c r="D1634" s="247">
        <f>'Table S2 Compound Identifiers'!B1636</f>
        <v>0</v>
      </c>
      <c r="E1634" s="247"/>
      <c r="F1634" s="248"/>
      <c r="G1634" s="250"/>
      <c r="H1634" s="330"/>
      <c r="I1634" s="343"/>
      <c r="J1634" s="249"/>
      <c r="K1634" s="327"/>
      <c r="L1634" s="343"/>
      <c r="M1634" s="249"/>
      <c r="N1634" s="327"/>
      <c r="O1634" s="343"/>
      <c r="P1634" s="249"/>
      <c r="Q1634" s="327"/>
      <c r="R1634" s="343"/>
      <c r="S1634" s="249"/>
      <c r="T1634" s="327"/>
      <c r="U1634" s="343"/>
      <c r="V1634" s="249"/>
      <c r="W1634" s="327"/>
      <c r="X1634" s="343"/>
      <c r="Y1634" s="249"/>
      <c r="Z1634" s="327"/>
      <c r="AA1634" s="343"/>
      <c r="AB1634" s="249"/>
      <c r="AC1634" s="343"/>
      <c r="AD1634" s="343"/>
      <c r="AE1634" s="249"/>
      <c r="AF1634" s="249"/>
      <c r="AG1634" s="343"/>
      <c r="AH1634" s="249"/>
      <c r="AI1634" s="343"/>
      <c r="AJ1634" s="343"/>
      <c r="AK1634" s="249"/>
      <c r="AL1634" s="249"/>
      <c r="AM1634" s="343"/>
      <c r="AN1634" s="249"/>
      <c r="AO1634" s="343"/>
      <c r="AP1634" s="343"/>
      <c r="AQ1634" s="249"/>
      <c r="AR1634" s="249"/>
      <c r="AS1634" s="343"/>
      <c r="AT1634" s="249"/>
      <c r="AU1634" s="343"/>
    </row>
    <row r="1635" spans="2:47">
      <c r="B1635" s="247">
        <f>'Table S2 Compound Identifiers'!C1637</f>
        <v>0</v>
      </c>
      <c r="C1635" s="247">
        <f>COUNTIF($D$6:D1635,"&lt;&gt;"&amp;"")</f>
        <v>1630</v>
      </c>
      <c r="D1635" s="247">
        <f>'Table S2 Compound Identifiers'!B1637</f>
        <v>0</v>
      </c>
      <c r="E1635" s="247"/>
      <c r="F1635" s="248"/>
      <c r="G1635" s="249"/>
      <c r="H1635" s="330"/>
      <c r="I1635" s="332"/>
      <c r="J1635" s="330"/>
      <c r="K1635" s="330"/>
      <c r="L1635" s="330"/>
      <c r="M1635" s="330"/>
      <c r="N1635" s="330"/>
      <c r="O1635" s="330"/>
      <c r="P1635" s="330"/>
      <c r="Q1635" s="330"/>
      <c r="R1635" s="330"/>
      <c r="S1635" s="330"/>
      <c r="T1635" s="330"/>
      <c r="U1635" s="330"/>
      <c r="V1635" s="330"/>
      <c r="W1635" s="330"/>
      <c r="X1635" s="343"/>
      <c r="Y1635" s="249"/>
      <c r="Z1635" s="330"/>
      <c r="AA1635" s="343"/>
      <c r="AB1635" s="249"/>
      <c r="AC1635" s="330"/>
      <c r="AD1635" s="343"/>
      <c r="AE1635" s="249"/>
      <c r="AF1635" s="330"/>
      <c r="AG1635" s="343"/>
      <c r="AH1635" s="249"/>
      <c r="AI1635" s="330"/>
      <c r="AJ1635" s="343"/>
      <c r="AK1635" s="249"/>
      <c r="AL1635" s="330"/>
      <c r="AM1635" s="343"/>
      <c r="AN1635" s="249"/>
      <c r="AO1635" s="330"/>
      <c r="AP1635" s="343"/>
      <c r="AQ1635" s="249"/>
      <c r="AR1635" s="330"/>
      <c r="AS1635" s="343"/>
      <c r="AT1635" s="249"/>
      <c r="AU1635" s="330"/>
    </row>
    <row r="1636" spans="2:47">
      <c r="B1636" s="247">
        <f>'Table S2 Compound Identifiers'!C1638</f>
        <v>0</v>
      </c>
      <c r="C1636" s="247">
        <f>COUNTIF($D$6:D1636,"&lt;&gt;"&amp;"")</f>
        <v>1631</v>
      </c>
      <c r="D1636" s="247">
        <f>'Table S2 Compound Identifiers'!B1638</f>
        <v>0</v>
      </c>
      <c r="E1636" s="247"/>
      <c r="F1636" s="248"/>
      <c r="G1636" s="249"/>
      <c r="H1636" s="330"/>
      <c r="I1636" s="332"/>
      <c r="J1636" s="330"/>
      <c r="K1636" s="330"/>
      <c r="L1636" s="330"/>
      <c r="M1636" s="330"/>
      <c r="N1636" s="330"/>
      <c r="O1636" s="330"/>
      <c r="P1636" s="330"/>
      <c r="Q1636" s="330"/>
      <c r="R1636" s="330"/>
      <c r="S1636" s="330"/>
      <c r="T1636" s="330"/>
      <c r="U1636" s="330"/>
      <c r="V1636" s="330"/>
      <c r="W1636" s="330"/>
      <c r="X1636" s="343"/>
      <c r="Y1636" s="249"/>
      <c r="Z1636" s="330"/>
      <c r="AA1636" s="343"/>
      <c r="AB1636" s="249"/>
      <c r="AC1636" s="330"/>
      <c r="AD1636" s="343"/>
      <c r="AE1636" s="249"/>
      <c r="AF1636" s="330"/>
      <c r="AG1636" s="343"/>
      <c r="AH1636" s="249"/>
      <c r="AI1636" s="330"/>
      <c r="AJ1636" s="343"/>
      <c r="AK1636" s="249"/>
      <c r="AL1636" s="330"/>
      <c r="AM1636" s="343"/>
      <c r="AN1636" s="249"/>
      <c r="AO1636" s="330"/>
      <c r="AP1636" s="343"/>
      <c r="AQ1636" s="249"/>
      <c r="AR1636" s="330"/>
      <c r="AS1636" s="343"/>
      <c r="AT1636" s="249"/>
      <c r="AU1636" s="330"/>
    </row>
    <row r="1637" spans="2:47">
      <c r="B1637" s="247">
        <f>'Table S2 Compound Identifiers'!C1639</f>
        <v>0</v>
      </c>
      <c r="C1637" s="247">
        <f>COUNTIF($D$6:D1637,"&lt;&gt;"&amp;"")</f>
        <v>1632</v>
      </c>
      <c r="D1637" s="247">
        <f>'Table S2 Compound Identifiers'!B1639</f>
        <v>0</v>
      </c>
      <c r="E1637" s="247"/>
      <c r="F1637" s="248"/>
      <c r="G1637" s="249"/>
      <c r="H1637" s="330"/>
      <c r="I1637" s="332"/>
      <c r="J1637" s="330"/>
      <c r="K1637" s="330"/>
      <c r="L1637" s="330"/>
      <c r="M1637" s="330"/>
      <c r="N1637" s="330"/>
      <c r="O1637" s="330"/>
      <c r="P1637" s="330"/>
      <c r="Q1637" s="330"/>
      <c r="R1637" s="330"/>
      <c r="S1637" s="330"/>
      <c r="T1637" s="330"/>
      <c r="U1637" s="330"/>
      <c r="V1637" s="330"/>
      <c r="W1637" s="330"/>
      <c r="X1637" s="343"/>
      <c r="Y1637" s="249"/>
      <c r="Z1637" s="330"/>
      <c r="AA1637" s="343"/>
      <c r="AB1637" s="249"/>
      <c r="AC1637" s="330"/>
      <c r="AD1637" s="343"/>
      <c r="AE1637" s="249"/>
      <c r="AF1637" s="330"/>
      <c r="AG1637" s="343"/>
      <c r="AH1637" s="249"/>
      <c r="AI1637" s="330"/>
      <c r="AJ1637" s="343"/>
      <c r="AK1637" s="249"/>
      <c r="AL1637" s="330"/>
      <c r="AM1637" s="343"/>
      <c r="AN1637" s="249"/>
      <c r="AO1637" s="330"/>
      <c r="AP1637" s="343"/>
      <c r="AQ1637" s="249"/>
      <c r="AR1637" s="330"/>
      <c r="AS1637" s="343"/>
      <c r="AT1637" s="249"/>
      <c r="AU1637" s="330"/>
    </row>
    <row r="1638" spans="2:47">
      <c r="B1638" s="247">
        <f>'Table S2 Compound Identifiers'!C1640</f>
        <v>0</v>
      </c>
      <c r="C1638" s="247">
        <f>COUNTIF($D$6:D1638,"&lt;&gt;"&amp;"")</f>
        <v>1633</v>
      </c>
      <c r="D1638" s="247">
        <f>'Table S2 Compound Identifiers'!B1640</f>
        <v>0</v>
      </c>
      <c r="E1638" s="247"/>
      <c r="F1638" s="248"/>
      <c r="G1638" s="249"/>
      <c r="H1638" s="330"/>
      <c r="I1638" s="328"/>
      <c r="J1638" s="249"/>
      <c r="K1638" s="330"/>
      <c r="L1638" s="250"/>
      <c r="M1638" s="249"/>
      <c r="N1638" s="330"/>
      <c r="O1638" s="250"/>
      <c r="P1638" s="249"/>
      <c r="Q1638" s="330"/>
      <c r="R1638" s="250"/>
      <c r="S1638" s="249"/>
      <c r="T1638" s="330"/>
      <c r="U1638" s="250"/>
      <c r="V1638" s="249"/>
      <c r="W1638" s="330"/>
      <c r="X1638" s="343"/>
      <c r="Y1638" s="249"/>
      <c r="Z1638" s="330"/>
      <c r="AA1638" s="343"/>
      <c r="AB1638" s="249"/>
      <c r="AC1638" s="330"/>
      <c r="AD1638" s="343"/>
      <c r="AE1638" s="249"/>
      <c r="AF1638" s="330"/>
      <c r="AG1638" s="343"/>
      <c r="AH1638" s="249"/>
      <c r="AI1638" s="330"/>
      <c r="AJ1638" s="343"/>
      <c r="AK1638" s="249"/>
      <c r="AL1638" s="330"/>
      <c r="AM1638" s="343"/>
      <c r="AN1638" s="249"/>
      <c r="AO1638" s="330"/>
      <c r="AP1638" s="343"/>
      <c r="AQ1638" s="249"/>
      <c r="AR1638" s="330"/>
      <c r="AS1638" s="343"/>
      <c r="AT1638" s="249"/>
      <c r="AU1638" s="330"/>
    </row>
    <row r="1639" spans="2:47">
      <c r="B1639" s="247">
        <f>'Table S2 Compound Identifiers'!C1641</f>
        <v>0</v>
      </c>
      <c r="C1639" s="247">
        <f>COUNTIF($D$6:D1639,"&lt;&gt;"&amp;"")</f>
        <v>1634</v>
      </c>
      <c r="D1639" s="247">
        <f>'Table S2 Compound Identifiers'!B1641</f>
        <v>0</v>
      </c>
      <c r="E1639" s="247"/>
      <c r="F1639" s="248"/>
      <c r="G1639" s="249"/>
      <c r="H1639" s="330"/>
      <c r="I1639" s="328"/>
      <c r="J1639" s="249"/>
      <c r="K1639" s="330"/>
      <c r="L1639" s="250"/>
      <c r="M1639" s="249"/>
      <c r="N1639" s="330"/>
      <c r="O1639" s="250"/>
      <c r="P1639" s="249"/>
      <c r="Q1639" s="330"/>
      <c r="R1639" s="250"/>
      <c r="S1639" s="249"/>
      <c r="T1639" s="330"/>
      <c r="U1639" s="250"/>
      <c r="V1639" s="249"/>
      <c r="W1639" s="330"/>
      <c r="X1639" s="343"/>
      <c r="Y1639" s="249"/>
      <c r="Z1639" s="330"/>
      <c r="AA1639" s="343"/>
      <c r="AB1639" s="249"/>
      <c r="AC1639" s="330"/>
      <c r="AD1639" s="343"/>
      <c r="AE1639" s="249"/>
      <c r="AF1639" s="330"/>
      <c r="AG1639" s="343"/>
      <c r="AH1639" s="249"/>
      <c r="AI1639" s="330"/>
      <c r="AJ1639" s="343"/>
      <c r="AK1639" s="249"/>
      <c r="AL1639" s="330"/>
      <c r="AM1639" s="343"/>
      <c r="AN1639" s="249"/>
      <c r="AO1639" s="330"/>
      <c r="AP1639" s="343"/>
      <c r="AQ1639" s="249"/>
      <c r="AR1639" s="330"/>
      <c r="AS1639" s="343"/>
      <c r="AT1639" s="249"/>
      <c r="AU1639" s="330"/>
    </row>
    <row r="1640" spans="2:47">
      <c r="B1640" s="247">
        <f>'Table S2 Compound Identifiers'!C1642</f>
        <v>0</v>
      </c>
      <c r="C1640" s="247">
        <f>COUNTIF($D$6:D1640,"&lt;&gt;"&amp;"")</f>
        <v>1635</v>
      </c>
      <c r="D1640" s="247">
        <f>'Table S2 Compound Identifiers'!B1642</f>
        <v>0</v>
      </c>
      <c r="E1640" s="247"/>
      <c r="F1640" s="248"/>
      <c r="G1640" s="249"/>
      <c r="H1640" s="330"/>
      <c r="I1640" s="328"/>
      <c r="J1640" s="249"/>
      <c r="K1640" s="330"/>
      <c r="L1640" s="250"/>
      <c r="M1640" s="249"/>
      <c r="N1640" s="330"/>
      <c r="O1640" s="250"/>
      <c r="P1640" s="249"/>
      <c r="Q1640" s="330"/>
      <c r="R1640" s="250"/>
      <c r="S1640" s="249"/>
      <c r="T1640" s="330"/>
      <c r="U1640" s="250"/>
      <c r="V1640" s="249"/>
      <c r="W1640" s="330"/>
      <c r="X1640" s="343"/>
      <c r="Y1640" s="249"/>
      <c r="Z1640" s="330"/>
      <c r="AA1640" s="343"/>
      <c r="AB1640" s="249"/>
      <c r="AC1640" s="330"/>
      <c r="AD1640" s="343"/>
      <c r="AE1640" s="249"/>
      <c r="AF1640" s="330"/>
      <c r="AG1640" s="343"/>
      <c r="AH1640" s="249"/>
      <c r="AI1640" s="330"/>
      <c r="AJ1640" s="343"/>
      <c r="AK1640" s="249"/>
      <c r="AL1640" s="330"/>
      <c r="AM1640" s="343"/>
      <c r="AN1640" s="249"/>
      <c r="AO1640" s="330"/>
      <c r="AP1640" s="343"/>
      <c r="AQ1640" s="249"/>
      <c r="AR1640" s="330"/>
      <c r="AS1640" s="343"/>
      <c r="AT1640" s="249"/>
      <c r="AU1640" s="330"/>
    </row>
    <row r="1641" spans="2:47">
      <c r="B1641" s="247">
        <f>'Table S2 Compound Identifiers'!C1643</f>
        <v>0</v>
      </c>
      <c r="C1641" s="247">
        <f>COUNTIF($D$6:D1641,"&lt;&gt;"&amp;"")</f>
        <v>1636</v>
      </c>
      <c r="D1641" s="247">
        <f>'Table S2 Compound Identifiers'!B1643</f>
        <v>0</v>
      </c>
      <c r="E1641" s="247"/>
      <c r="F1641" s="248"/>
      <c r="G1641" s="249"/>
      <c r="H1641" s="330"/>
      <c r="I1641" s="328"/>
      <c r="J1641" s="249"/>
      <c r="K1641" s="330"/>
      <c r="L1641" s="250"/>
      <c r="M1641" s="249"/>
      <c r="N1641" s="330"/>
      <c r="O1641" s="250"/>
      <c r="P1641" s="249"/>
      <c r="Q1641" s="330"/>
      <c r="R1641" s="250"/>
      <c r="S1641" s="249"/>
      <c r="T1641" s="330"/>
      <c r="U1641" s="250"/>
      <c r="V1641" s="249"/>
      <c r="W1641" s="330"/>
      <c r="X1641" s="343"/>
      <c r="Y1641" s="249"/>
      <c r="Z1641" s="330"/>
      <c r="AA1641" s="343"/>
      <c r="AB1641" s="249"/>
      <c r="AC1641" s="330"/>
      <c r="AD1641" s="343"/>
      <c r="AE1641" s="249"/>
      <c r="AF1641" s="330"/>
      <c r="AG1641" s="343"/>
      <c r="AH1641" s="249"/>
      <c r="AI1641" s="330"/>
      <c r="AJ1641" s="343"/>
      <c r="AK1641" s="249"/>
      <c r="AL1641" s="330"/>
      <c r="AM1641" s="343"/>
      <c r="AN1641" s="249"/>
      <c r="AO1641" s="330"/>
      <c r="AP1641" s="343"/>
      <c r="AQ1641" s="249"/>
      <c r="AR1641" s="330"/>
      <c r="AS1641" s="343"/>
      <c r="AT1641" s="249"/>
      <c r="AU1641" s="330"/>
    </row>
    <row r="1642" spans="2:47">
      <c r="B1642" s="247">
        <f>'Table S2 Compound Identifiers'!C1644</f>
        <v>0</v>
      </c>
      <c r="C1642" s="247">
        <f>COUNTIF($D$6:D1642,"&lt;&gt;"&amp;"")</f>
        <v>1637</v>
      </c>
      <c r="D1642" s="247">
        <f>'Table S2 Compound Identifiers'!B1644</f>
        <v>0</v>
      </c>
      <c r="E1642" s="247"/>
      <c r="F1642" s="248"/>
      <c r="G1642" s="249"/>
      <c r="H1642" s="330"/>
      <c r="I1642" s="328"/>
      <c r="J1642" s="249"/>
      <c r="K1642" s="330"/>
      <c r="L1642" s="250"/>
      <c r="M1642" s="249"/>
      <c r="N1642" s="330"/>
      <c r="O1642" s="250"/>
      <c r="P1642" s="249"/>
      <c r="Q1642" s="330"/>
      <c r="R1642" s="250"/>
      <c r="S1642" s="249"/>
      <c r="T1642" s="330"/>
      <c r="U1642" s="250"/>
      <c r="V1642" s="249"/>
      <c r="W1642" s="330"/>
      <c r="X1642" s="343"/>
      <c r="Y1642" s="249"/>
      <c r="Z1642" s="330"/>
      <c r="AA1642" s="343"/>
      <c r="AB1642" s="249"/>
      <c r="AC1642" s="330"/>
      <c r="AD1642" s="343"/>
      <c r="AE1642" s="249"/>
      <c r="AF1642" s="330"/>
      <c r="AG1642" s="343"/>
      <c r="AH1642" s="249"/>
      <c r="AI1642" s="330"/>
      <c r="AJ1642" s="343"/>
      <c r="AK1642" s="249"/>
      <c r="AL1642" s="330"/>
      <c r="AM1642" s="343"/>
      <c r="AN1642" s="249"/>
      <c r="AO1642" s="330"/>
      <c r="AP1642" s="343"/>
      <c r="AQ1642" s="249"/>
      <c r="AR1642" s="330"/>
      <c r="AS1642" s="343"/>
      <c r="AT1642" s="249"/>
      <c r="AU1642" s="330"/>
    </row>
    <row r="1643" spans="2:47">
      <c r="B1643" s="247">
        <f>'Table S2 Compound Identifiers'!C1645</f>
        <v>0</v>
      </c>
      <c r="C1643" s="247">
        <f>COUNTIF($D$6:D1643,"&lt;&gt;"&amp;"")</f>
        <v>1638</v>
      </c>
      <c r="D1643" s="247">
        <f>'Table S2 Compound Identifiers'!B1645</f>
        <v>0</v>
      </c>
      <c r="E1643" s="247"/>
      <c r="F1643" s="248"/>
      <c r="G1643" s="249"/>
      <c r="H1643" s="330"/>
      <c r="I1643" s="328"/>
      <c r="J1643" s="249"/>
      <c r="K1643" s="330"/>
      <c r="L1643" s="250"/>
      <c r="M1643" s="249"/>
      <c r="N1643" s="330"/>
      <c r="O1643" s="250"/>
      <c r="P1643" s="249"/>
      <c r="Q1643" s="330"/>
      <c r="R1643" s="250"/>
      <c r="S1643" s="249"/>
      <c r="T1643" s="330"/>
      <c r="U1643" s="250"/>
      <c r="V1643" s="249"/>
      <c r="W1643" s="330"/>
      <c r="X1643" s="343"/>
      <c r="Y1643" s="249"/>
      <c r="Z1643" s="330"/>
      <c r="AA1643" s="343"/>
      <c r="AB1643" s="249"/>
      <c r="AC1643" s="330"/>
      <c r="AD1643" s="343"/>
      <c r="AE1643" s="249"/>
      <c r="AF1643" s="330"/>
      <c r="AG1643" s="343"/>
      <c r="AH1643" s="249"/>
      <c r="AI1643" s="330"/>
      <c r="AJ1643" s="343"/>
      <c r="AK1643" s="249"/>
      <c r="AL1643" s="330"/>
      <c r="AM1643" s="343"/>
      <c r="AN1643" s="249"/>
      <c r="AO1643" s="330"/>
      <c r="AP1643" s="343"/>
      <c r="AQ1643" s="249"/>
      <c r="AR1643" s="330"/>
      <c r="AS1643" s="343"/>
      <c r="AT1643" s="249"/>
      <c r="AU1643" s="330"/>
    </row>
    <row r="1644" spans="2:47">
      <c r="B1644" s="247">
        <f>'Table S2 Compound Identifiers'!C1646</f>
        <v>0</v>
      </c>
      <c r="C1644" s="247">
        <f>COUNTIF($D$6:D1644,"&lt;&gt;"&amp;"")</f>
        <v>1639</v>
      </c>
      <c r="D1644" s="247">
        <f>'Table S2 Compound Identifiers'!B1646</f>
        <v>0</v>
      </c>
      <c r="E1644" s="247"/>
      <c r="F1644" s="248"/>
      <c r="G1644" s="249"/>
      <c r="H1644" s="330"/>
      <c r="I1644" s="328"/>
      <c r="J1644" s="249"/>
      <c r="K1644" s="330"/>
      <c r="L1644" s="250"/>
      <c r="M1644" s="249"/>
      <c r="N1644" s="330"/>
      <c r="O1644" s="250"/>
      <c r="P1644" s="249"/>
      <c r="Q1644" s="330"/>
      <c r="R1644" s="250"/>
      <c r="S1644" s="249"/>
      <c r="T1644" s="330"/>
      <c r="U1644" s="250"/>
      <c r="V1644" s="249"/>
      <c r="W1644" s="330"/>
      <c r="X1644" s="343"/>
      <c r="Y1644" s="249"/>
      <c r="Z1644" s="330"/>
      <c r="AA1644" s="343"/>
      <c r="AB1644" s="249"/>
      <c r="AC1644" s="330"/>
      <c r="AD1644" s="343"/>
      <c r="AE1644" s="249"/>
      <c r="AF1644" s="330"/>
      <c r="AG1644" s="343"/>
      <c r="AH1644" s="249"/>
      <c r="AI1644" s="330"/>
      <c r="AJ1644" s="343"/>
      <c r="AK1644" s="249"/>
      <c r="AL1644" s="330"/>
      <c r="AM1644" s="343"/>
      <c r="AN1644" s="249"/>
      <c r="AO1644" s="330"/>
      <c r="AP1644" s="343"/>
      <c r="AQ1644" s="249"/>
      <c r="AR1644" s="330"/>
      <c r="AS1644" s="343"/>
      <c r="AT1644" s="249"/>
      <c r="AU1644" s="330"/>
    </row>
    <row r="1645" spans="2:47">
      <c r="B1645" s="247">
        <f>'Table S2 Compound Identifiers'!C1647</f>
        <v>0</v>
      </c>
      <c r="C1645" s="247">
        <f>COUNTIF($D$6:D1645,"&lt;&gt;"&amp;"")</f>
        <v>1640</v>
      </c>
      <c r="D1645" s="247">
        <f>'Table S2 Compound Identifiers'!B1647</f>
        <v>0</v>
      </c>
      <c r="E1645" s="247"/>
      <c r="F1645" s="248"/>
      <c r="G1645" s="249"/>
      <c r="H1645" s="330"/>
      <c r="I1645" s="328"/>
      <c r="J1645" s="249"/>
      <c r="K1645" s="330"/>
      <c r="L1645" s="250"/>
      <c r="M1645" s="249"/>
      <c r="N1645" s="330"/>
      <c r="O1645" s="250"/>
      <c r="P1645" s="249"/>
      <c r="Q1645" s="330"/>
      <c r="R1645" s="250"/>
      <c r="S1645" s="249"/>
      <c r="T1645" s="330"/>
      <c r="U1645" s="250"/>
      <c r="V1645" s="249"/>
      <c r="W1645" s="330"/>
      <c r="X1645" s="343"/>
      <c r="Y1645" s="249"/>
      <c r="Z1645" s="330"/>
      <c r="AA1645" s="343"/>
      <c r="AB1645" s="249"/>
      <c r="AC1645" s="330"/>
      <c r="AD1645" s="343"/>
      <c r="AE1645" s="249"/>
      <c r="AF1645" s="330"/>
      <c r="AG1645" s="343"/>
      <c r="AH1645" s="249"/>
      <c r="AI1645" s="330"/>
      <c r="AJ1645" s="343"/>
      <c r="AK1645" s="249"/>
      <c r="AL1645" s="330"/>
      <c r="AM1645" s="343"/>
      <c r="AN1645" s="249"/>
      <c r="AO1645" s="330"/>
      <c r="AP1645" s="343"/>
      <c r="AQ1645" s="249"/>
      <c r="AR1645" s="330"/>
      <c r="AS1645" s="343"/>
      <c r="AT1645" s="249"/>
      <c r="AU1645" s="330"/>
    </row>
    <row r="1646" spans="2:47">
      <c r="B1646" s="247">
        <f>'Table S2 Compound Identifiers'!C1648</f>
        <v>0</v>
      </c>
      <c r="C1646" s="247">
        <f>COUNTIF($D$6:D1646,"&lt;&gt;"&amp;"")</f>
        <v>1641</v>
      </c>
      <c r="D1646" s="247">
        <f>'Table S2 Compound Identifiers'!B1648</f>
        <v>0</v>
      </c>
      <c r="E1646" s="247"/>
      <c r="F1646" s="248"/>
      <c r="G1646" s="249"/>
      <c r="H1646" s="330"/>
      <c r="I1646" s="328"/>
      <c r="J1646" s="249"/>
      <c r="K1646" s="330"/>
      <c r="L1646" s="250"/>
      <c r="M1646" s="249"/>
      <c r="N1646" s="330"/>
      <c r="O1646" s="250"/>
      <c r="P1646" s="249"/>
      <c r="Q1646" s="330"/>
      <c r="R1646" s="250"/>
      <c r="S1646" s="249"/>
      <c r="T1646" s="330"/>
      <c r="U1646" s="250"/>
      <c r="V1646" s="249"/>
      <c r="W1646" s="330"/>
      <c r="X1646" s="343"/>
      <c r="Y1646" s="249"/>
      <c r="Z1646" s="330"/>
      <c r="AA1646" s="343"/>
      <c r="AB1646" s="249"/>
      <c r="AC1646" s="330"/>
      <c r="AD1646" s="343"/>
      <c r="AE1646" s="249"/>
      <c r="AF1646" s="330"/>
      <c r="AG1646" s="343"/>
      <c r="AH1646" s="249"/>
      <c r="AI1646" s="330"/>
      <c r="AJ1646" s="343"/>
      <c r="AK1646" s="249"/>
      <c r="AL1646" s="330"/>
      <c r="AM1646" s="343"/>
      <c r="AN1646" s="249"/>
      <c r="AO1646" s="330"/>
      <c r="AP1646" s="343"/>
      <c r="AQ1646" s="249"/>
      <c r="AR1646" s="330"/>
      <c r="AS1646" s="343"/>
      <c r="AT1646" s="249"/>
      <c r="AU1646" s="330"/>
    </row>
    <row r="1647" spans="2:47">
      <c r="B1647" s="247">
        <f>'Table S2 Compound Identifiers'!C1649</f>
        <v>0</v>
      </c>
      <c r="C1647" s="247">
        <f>COUNTIF($D$6:D1647,"&lt;&gt;"&amp;"")</f>
        <v>1642</v>
      </c>
      <c r="D1647" s="247">
        <f>'Table S2 Compound Identifiers'!B1649</f>
        <v>0</v>
      </c>
      <c r="E1647" s="247"/>
      <c r="F1647" s="248"/>
      <c r="G1647" s="249"/>
      <c r="H1647" s="330"/>
      <c r="I1647" s="328"/>
      <c r="J1647" s="249"/>
      <c r="K1647" s="330"/>
      <c r="L1647" s="250"/>
      <c r="M1647" s="249"/>
      <c r="N1647" s="330"/>
      <c r="O1647" s="250"/>
      <c r="P1647" s="249"/>
      <c r="Q1647" s="330"/>
      <c r="R1647" s="250"/>
      <c r="S1647" s="249"/>
      <c r="T1647" s="330"/>
      <c r="U1647" s="250"/>
      <c r="V1647" s="249"/>
      <c r="W1647" s="330"/>
      <c r="X1647" s="343"/>
      <c r="Y1647" s="249"/>
      <c r="Z1647" s="330"/>
      <c r="AA1647" s="343"/>
      <c r="AB1647" s="249"/>
      <c r="AC1647" s="330"/>
      <c r="AD1647" s="343"/>
      <c r="AE1647" s="249"/>
      <c r="AF1647" s="330"/>
      <c r="AG1647" s="343"/>
      <c r="AH1647" s="249"/>
      <c r="AI1647" s="330"/>
      <c r="AJ1647" s="343"/>
      <c r="AK1647" s="249"/>
      <c r="AL1647" s="330"/>
      <c r="AM1647" s="343"/>
      <c r="AN1647" s="249"/>
      <c r="AO1647" s="330"/>
      <c r="AP1647" s="343"/>
      <c r="AQ1647" s="249"/>
      <c r="AR1647" s="330"/>
      <c r="AS1647" s="343"/>
      <c r="AT1647" s="249"/>
      <c r="AU1647" s="330"/>
    </row>
    <row r="1648" spans="2:47">
      <c r="B1648" s="247">
        <f>'Table S2 Compound Identifiers'!C1650</f>
        <v>0</v>
      </c>
      <c r="C1648" s="247">
        <f>COUNTIF($D$6:D1648,"&lt;&gt;"&amp;"")</f>
        <v>1643</v>
      </c>
      <c r="D1648" s="247">
        <f>'Table S2 Compound Identifiers'!B1650</f>
        <v>0</v>
      </c>
      <c r="E1648" s="247"/>
      <c r="F1648" s="248"/>
      <c r="G1648" s="249"/>
      <c r="H1648" s="330"/>
      <c r="I1648" s="328"/>
      <c r="J1648" s="249"/>
      <c r="K1648" s="330"/>
      <c r="L1648" s="250"/>
      <c r="M1648" s="249"/>
      <c r="N1648" s="330"/>
      <c r="O1648" s="250"/>
      <c r="P1648" s="249"/>
      <c r="Q1648" s="330"/>
      <c r="R1648" s="250"/>
      <c r="S1648" s="249"/>
      <c r="T1648" s="330"/>
      <c r="U1648" s="250"/>
      <c r="V1648" s="249"/>
      <c r="W1648" s="330"/>
      <c r="X1648" s="343"/>
      <c r="Y1648" s="249"/>
      <c r="Z1648" s="330"/>
      <c r="AA1648" s="343"/>
      <c r="AB1648" s="249"/>
      <c r="AC1648" s="330"/>
      <c r="AD1648" s="343"/>
      <c r="AE1648" s="249"/>
      <c r="AF1648" s="330"/>
      <c r="AG1648" s="343"/>
      <c r="AH1648" s="249"/>
      <c r="AI1648" s="330"/>
      <c r="AJ1648" s="343"/>
      <c r="AK1648" s="249"/>
      <c r="AL1648" s="330"/>
      <c r="AM1648" s="343"/>
      <c r="AN1648" s="249"/>
      <c r="AO1648" s="330"/>
      <c r="AP1648" s="343"/>
      <c r="AQ1648" s="249"/>
      <c r="AR1648" s="330"/>
      <c r="AS1648" s="343"/>
      <c r="AT1648" s="249"/>
      <c r="AU1648" s="330"/>
    </row>
    <row r="1649" spans="2:47">
      <c r="B1649" s="247">
        <f>'Table S2 Compound Identifiers'!C1651</f>
        <v>0</v>
      </c>
      <c r="C1649" s="247">
        <f>COUNTIF($D$6:D1649,"&lt;&gt;"&amp;"")</f>
        <v>1644</v>
      </c>
      <c r="D1649" s="247">
        <f>'Table S2 Compound Identifiers'!B1651</f>
        <v>0</v>
      </c>
      <c r="E1649" s="247"/>
      <c r="F1649" s="248"/>
      <c r="G1649" s="249"/>
      <c r="H1649" s="330"/>
      <c r="I1649" s="328"/>
      <c r="J1649" s="249"/>
      <c r="K1649" s="330"/>
      <c r="L1649" s="250"/>
      <c r="M1649" s="249"/>
      <c r="N1649" s="330"/>
      <c r="O1649" s="250"/>
      <c r="P1649" s="249"/>
      <c r="Q1649" s="330"/>
      <c r="R1649" s="250"/>
      <c r="S1649" s="249"/>
      <c r="T1649" s="330"/>
      <c r="U1649" s="250"/>
      <c r="V1649" s="249"/>
      <c r="W1649" s="330"/>
      <c r="X1649" s="343"/>
      <c r="Y1649" s="249"/>
      <c r="Z1649" s="330"/>
      <c r="AA1649" s="343"/>
      <c r="AB1649" s="249"/>
      <c r="AC1649" s="330"/>
      <c r="AD1649" s="343"/>
      <c r="AE1649" s="249"/>
      <c r="AF1649" s="330"/>
      <c r="AG1649" s="343"/>
      <c r="AH1649" s="249"/>
      <c r="AI1649" s="330"/>
      <c r="AJ1649" s="343"/>
      <c r="AK1649" s="249"/>
      <c r="AL1649" s="330"/>
      <c r="AM1649" s="343"/>
      <c r="AN1649" s="249"/>
      <c r="AO1649" s="330"/>
      <c r="AP1649" s="343"/>
      <c r="AQ1649" s="249"/>
      <c r="AR1649" s="330"/>
      <c r="AS1649" s="343"/>
      <c r="AT1649" s="249"/>
      <c r="AU1649" s="330"/>
    </row>
    <row r="1650" spans="2:47">
      <c r="B1650" s="247">
        <f>'Table S2 Compound Identifiers'!C1652</f>
        <v>0</v>
      </c>
      <c r="C1650" s="247">
        <f>COUNTIF($D$6:D1650,"&lt;&gt;"&amp;"")</f>
        <v>1645</v>
      </c>
      <c r="D1650" s="247">
        <f>'Table S2 Compound Identifiers'!B1652</f>
        <v>0</v>
      </c>
      <c r="E1650" s="247"/>
      <c r="F1650" s="248"/>
      <c r="G1650" s="249"/>
      <c r="H1650" s="330"/>
      <c r="I1650" s="328"/>
      <c r="J1650" s="249"/>
      <c r="K1650" s="330"/>
      <c r="L1650" s="250"/>
      <c r="M1650" s="249"/>
      <c r="N1650" s="330"/>
      <c r="O1650" s="250"/>
      <c r="P1650" s="249"/>
      <c r="Q1650" s="330"/>
      <c r="R1650" s="250"/>
      <c r="S1650" s="249"/>
      <c r="T1650" s="330"/>
      <c r="U1650" s="250"/>
      <c r="V1650" s="249"/>
      <c r="W1650" s="330"/>
      <c r="X1650" s="343"/>
      <c r="Y1650" s="249"/>
      <c r="Z1650" s="330"/>
      <c r="AA1650" s="343"/>
      <c r="AB1650" s="249"/>
      <c r="AC1650" s="330"/>
      <c r="AD1650" s="343"/>
      <c r="AE1650" s="249"/>
      <c r="AF1650" s="330"/>
      <c r="AG1650" s="343"/>
      <c r="AH1650" s="249"/>
      <c r="AI1650" s="330"/>
      <c r="AJ1650" s="343"/>
      <c r="AK1650" s="249"/>
      <c r="AL1650" s="330"/>
      <c r="AM1650" s="343"/>
      <c r="AN1650" s="249"/>
      <c r="AO1650" s="330"/>
      <c r="AP1650" s="343"/>
      <c r="AQ1650" s="249"/>
      <c r="AR1650" s="330"/>
      <c r="AS1650" s="343"/>
      <c r="AT1650" s="249"/>
      <c r="AU1650" s="330"/>
    </row>
    <row r="1651" spans="2:47">
      <c r="B1651" s="247">
        <f>'Table S2 Compound Identifiers'!C1653</f>
        <v>0</v>
      </c>
      <c r="C1651" s="247">
        <f>COUNTIF($D$6:D1651,"&lt;&gt;"&amp;"")</f>
        <v>1646</v>
      </c>
      <c r="D1651" s="247">
        <f>'Table S2 Compound Identifiers'!B1653</f>
        <v>0</v>
      </c>
      <c r="E1651" s="247"/>
      <c r="F1651" s="248"/>
      <c r="G1651" s="249"/>
      <c r="H1651" s="330"/>
      <c r="I1651" s="328"/>
      <c r="J1651" s="249"/>
      <c r="K1651" s="330"/>
      <c r="L1651" s="250"/>
      <c r="M1651" s="249"/>
      <c r="N1651" s="330"/>
      <c r="O1651" s="250"/>
      <c r="P1651" s="249"/>
      <c r="Q1651" s="330"/>
      <c r="R1651" s="250"/>
      <c r="S1651" s="249"/>
      <c r="T1651" s="330"/>
      <c r="U1651" s="250"/>
      <c r="V1651" s="249"/>
      <c r="W1651" s="330"/>
      <c r="X1651" s="343"/>
      <c r="Y1651" s="249"/>
      <c r="Z1651" s="330"/>
      <c r="AA1651" s="343"/>
      <c r="AB1651" s="249"/>
      <c r="AC1651" s="330"/>
      <c r="AD1651" s="343"/>
      <c r="AE1651" s="249"/>
      <c r="AF1651" s="330"/>
      <c r="AG1651" s="343"/>
      <c r="AH1651" s="249"/>
      <c r="AI1651" s="330"/>
      <c r="AJ1651" s="343"/>
      <c r="AK1651" s="249"/>
      <c r="AL1651" s="330"/>
      <c r="AM1651" s="343"/>
      <c r="AN1651" s="249"/>
      <c r="AO1651" s="330"/>
      <c r="AP1651" s="343"/>
      <c r="AQ1651" s="249"/>
      <c r="AR1651" s="330"/>
      <c r="AS1651" s="343"/>
      <c r="AT1651" s="249"/>
      <c r="AU1651" s="330"/>
    </row>
    <row r="1652" spans="2:47">
      <c r="B1652" s="247">
        <f>'Table S2 Compound Identifiers'!C1654</f>
        <v>0</v>
      </c>
      <c r="C1652" s="247">
        <f>COUNTIF($D$6:D1652,"&lt;&gt;"&amp;"")</f>
        <v>1647</v>
      </c>
      <c r="D1652" s="247">
        <f>'Table S2 Compound Identifiers'!B1654</f>
        <v>0</v>
      </c>
      <c r="E1652" s="247"/>
      <c r="F1652" s="248"/>
      <c r="G1652" s="249"/>
      <c r="H1652" s="330"/>
      <c r="I1652" s="328"/>
      <c r="J1652" s="249"/>
      <c r="K1652" s="330"/>
      <c r="L1652" s="250"/>
      <c r="M1652" s="249"/>
      <c r="N1652" s="330"/>
      <c r="O1652" s="250"/>
      <c r="P1652" s="249"/>
      <c r="Q1652" s="330"/>
      <c r="R1652" s="250"/>
      <c r="S1652" s="249"/>
      <c r="T1652" s="330"/>
      <c r="U1652" s="250"/>
      <c r="V1652" s="249"/>
      <c r="W1652" s="330"/>
      <c r="X1652" s="343"/>
      <c r="Y1652" s="249"/>
      <c r="Z1652" s="330"/>
      <c r="AA1652" s="343"/>
      <c r="AB1652" s="249"/>
      <c r="AC1652" s="330"/>
      <c r="AD1652" s="343"/>
      <c r="AE1652" s="249"/>
      <c r="AF1652" s="330"/>
      <c r="AG1652" s="343"/>
      <c r="AH1652" s="249"/>
      <c r="AI1652" s="330"/>
      <c r="AJ1652" s="343"/>
      <c r="AK1652" s="249"/>
      <c r="AL1652" s="330"/>
      <c r="AM1652" s="343"/>
      <c r="AN1652" s="249"/>
      <c r="AO1652" s="330"/>
      <c r="AP1652" s="343"/>
      <c r="AQ1652" s="249"/>
      <c r="AR1652" s="330"/>
      <c r="AS1652" s="343"/>
      <c r="AT1652" s="249"/>
      <c r="AU1652" s="330"/>
    </row>
    <row r="1653" spans="2:47">
      <c r="B1653" s="247">
        <f>'Table S2 Compound Identifiers'!C1655</f>
        <v>0</v>
      </c>
      <c r="C1653" s="247">
        <f>COUNTIF($D$6:D1653,"&lt;&gt;"&amp;"")</f>
        <v>1648</v>
      </c>
      <c r="D1653" s="247">
        <f>'Table S2 Compound Identifiers'!B1655</f>
        <v>0</v>
      </c>
      <c r="E1653" s="247"/>
      <c r="F1653" s="248"/>
      <c r="G1653" s="249"/>
      <c r="H1653" s="330"/>
      <c r="I1653" s="328"/>
      <c r="J1653" s="249"/>
      <c r="K1653" s="330"/>
      <c r="L1653" s="250"/>
      <c r="M1653" s="249"/>
      <c r="N1653" s="330"/>
      <c r="O1653" s="250"/>
      <c r="P1653" s="249"/>
      <c r="Q1653" s="330"/>
      <c r="R1653" s="250"/>
      <c r="S1653" s="249"/>
      <c r="T1653" s="330"/>
      <c r="U1653" s="250"/>
      <c r="V1653" s="249"/>
      <c r="W1653" s="330"/>
      <c r="X1653" s="343"/>
      <c r="Y1653" s="249"/>
      <c r="Z1653" s="330"/>
      <c r="AA1653" s="343"/>
      <c r="AB1653" s="249"/>
      <c r="AC1653" s="330"/>
      <c r="AD1653" s="343"/>
      <c r="AE1653" s="249"/>
      <c r="AF1653" s="330"/>
      <c r="AG1653" s="343"/>
      <c r="AH1653" s="249"/>
      <c r="AI1653" s="330"/>
      <c r="AJ1653" s="343"/>
      <c r="AK1653" s="249"/>
      <c r="AL1653" s="330"/>
      <c r="AM1653" s="343"/>
      <c r="AN1653" s="249"/>
      <c r="AO1653" s="330"/>
      <c r="AP1653" s="343"/>
      <c r="AQ1653" s="249"/>
      <c r="AR1653" s="330"/>
      <c r="AS1653" s="343"/>
      <c r="AT1653" s="249"/>
      <c r="AU1653" s="330"/>
    </row>
    <row r="1654" spans="2:47">
      <c r="B1654" s="247">
        <f>'Table S2 Compound Identifiers'!C1656</f>
        <v>0</v>
      </c>
      <c r="C1654" s="247">
        <f>COUNTIF($D$6:D1654,"&lt;&gt;"&amp;"")</f>
        <v>1649</v>
      </c>
      <c r="D1654" s="247">
        <f>'Table S2 Compound Identifiers'!B1656</f>
        <v>0</v>
      </c>
      <c r="E1654" s="247"/>
      <c r="F1654" s="248"/>
      <c r="G1654" s="249"/>
      <c r="H1654" s="330"/>
      <c r="I1654" s="328"/>
      <c r="J1654" s="249"/>
      <c r="K1654" s="330"/>
      <c r="L1654" s="250"/>
      <c r="M1654" s="249"/>
      <c r="N1654" s="330"/>
      <c r="O1654" s="250"/>
      <c r="P1654" s="249"/>
      <c r="Q1654" s="330"/>
      <c r="R1654" s="250"/>
      <c r="S1654" s="249"/>
      <c r="T1654" s="330"/>
      <c r="U1654" s="250"/>
      <c r="V1654" s="249"/>
      <c r="W1654" s="330"/>
      <c r="X1654" s="343"/>
      <c r="Y1654" s="249"/>
      <c r="Z1654" s="330"/>
      <c r="AA1654" s="343"/>
      <c r="AB1654" s="249"/>
      <c r="AC1654" s="330"/>
      <c r="AD1654" s="343"/>
      <c r="AE1654" s="249"/>
      <c r="AF1654" s="330"/>
      <c r="AG1654" s="343"/>
      <c r="AH1654" s="249"/>
      <c r="AI1654" s="330"/>
      <c r="AJ1654" s="343"/>
      <c r="AK1654" s="249"/>
      <c r="AL1654" s="330"/>
      <c r="AM1654" s="343"/>
      <c r="AN1654" s="249"/>
      <c r="AO1654" s="330"/>
      <c r="AP1654" s="343"/>
      <c r="AQ1654" s="249"/>
      <c r="AR1654" s="330"/>
      <c r="AS1654" s="343"/>
      <c r="AT1654" s="249"/>
      <c r="AU1654" s="330"/>
    </row>
    <row r="1655" spans="2:47">
      <c r="B1655" s="247">
        <f>'Table S2 Compound Identifiers'!C1657</f>
        <v>0</v>
      </c>
      <c r="C1655" s="247">
        <f>COUNTIF($D$6:D1655,"&lt;&gt;"&amp;"")</f>
        <v>1650</v>
      </c>
      <c r="D1655" s="247">
        <f>'Table S2 Compound Identifiers'!B1657</f>
        <v>0</v>
      </c>
      <c r="E1655" s="247"/>
      <c r="F1655" s="248"/>
      <c r="G1655" s="249"/>
      <c r="H1655" s="330"/>
      <c r="I1655" s="328"/>
      <c r="J1655" s="249"/>
      <c r="K1655" s="330"/>
      <c r="L1655" s="250"/>
      <c r="M1655" s="249"/>
      <c r="N1655" s="330"/>
      <c r="O1655" s="250"/>
      <c r="P1655" s="249"/>
      <c r="Q1655" s="330"/>
      <c r="R1655" s="250"/>
      <c r="S1655" s="249"/>
      <c r="T1655" s="330"/>
      <c r="U1655" s="250"/>
      <c r="V1655" s="249"/>
      <c r="W1655" s="330"/>
      <c r="X1655" s="343"/>
      <c r="Y1655" s="249"/>
      <c r="Z1655" s="330"/>
      <c r="AA1655" s="343"/>
      <c r="AB1655" s="249"/>
      <c r="AC1655" s="330"/>
      <c r="AD1655" s="343"/>
      <c r="AE1655" s="249"/>
      <c r="AF1655" s="330"/>
      <c r="AG1655" s="343"/>
      <c r="AH1655" s="249"/>
      <c r="AI1655" s="330"/>
      <c r="AJ1655" s="343"/>
      <c r="AK1655" s="249"/>
      <c r="AL1655" s="330"/>
      <c r="AM1655" s="343"/>
      <c r="AN1655" s="249"/>
      <c r="AO1655" s="330"/>
      <c r="AP1655" s="343"/>
      <c r="AQ1655" s="249"/>
      <c r="AR1655" s="330"/>
      <c r="AS1655" s="343"/>
      <c r="AT1655" s="249"/>
      <c r="AU1655" s="330"/>
    </row>
    <row r="1656" spans="2:47">
      <c r="B1656" s="247">
        <f>'Table S2 Compound Identifiers'!C1658</f>
        <v>0</v>
      </c>
      <c r="C1656" s="247">
        <f>COUNTIF($D$6:D1656,"&lt;&gt;"&amp;"")</f>
        <v>1651</v>
      </c>
      <c r="D1656" s="247">
        <f>'Table S2 Compound Identifiers'!B1658</f>
        <v>0</v>
      </c>
      <c r="E1656" s="247"/>
      <c r="F1656" s="248"/>
      <c r="G1656" s="249"/>
      <c r="H1656" s="330"/>
      <c r="I1656" s="328"/>
      <c r="J1656" s="249"/>
      <c r="K1656" s="330"/>
      <c r="L1656" s="250"/>
      <c r="M1656" s="249"/>
      <c r="N1656" s="330"/>
      <c r="O1656" s="250"/>
      <c r="P1656" s="249"/>
      <c r="Q1656" s="330"/>
      <c r="R1656" s="250"/>
      <c r="S1656" s="249"/>
      <c r="T1656" s="330"/>
      <c r="U1656" s="250"/>
      <c r="V1656" s="249"/>
      <c r="W1656" s="330"/>
      <c r="X1656" s="343"/>
      <c r="Y1656" s="249"/>
      <c r="Z1656" s="330"/>
      <c r="AA1656" s="343"/>
      <c r="AB1656" s="249"/>
      <c r="AC1656" s="330"/>
      <c r="AD1656" s="343"/>
      <c r="AE1656" s="249"/>
      <c r="AF1656" s="330"/>
      <c r="AG1656" s="343"/>
      <c r="AH1656" s="249"/>
      <c r="AI1656" s="330"/>
      <c r="AJ1656" s="343"/>
      <c r="AK1656" s="249"/>
      <c r="AL1656" s="330"/>
      <c r="AM1656" s="343"/>
      <c r="AN1656" s="249"/>
      <c r="AO1656" s="330"/>
      <c r="AP1656" s="343"/>
      <c r="AQ1656" s="249"/>
      <c r="AR1656" s="330"/>
      <c r="AS1656" s="343"/>
      <c r="AT1656" s="249"/>
      <c r="AU1656" s="330"/>
    </row>
    <row r="1657" spans="2:47">
      <c r="B1657" s="247">
        <f>'Table S2 Compound Identifiers'!C1659</f>
        <v>0</v>
      </c>
      <c r="C1657" s="247">
        <f>COUNTIF($D$6:D1657,"&lt;&gt;"&amp;"")</f>
        <v>1652</v>
      </c>
      <c r="D1657" s="247">
        <f>'Table S2 Compound Identifiers'!B1659</f>
        <v>0</v>
      </c>
      <c r="E1657" s="247"/>
      <c r="F1657" s="248"/>
      <c r="G1657" s="249"/>
      <c r="H1657" s="330"/>
      <c r="I1657" s="328"/>
      <c r="J1657" s="249"/>
      <c r="K1657" s="330"/>
      <c r="L1657" s="250"/>
      <c r="M1657" s="249"/>
      <c r="N1657" s="330"/>
      <c r="O1657" s="250"/>
      <c r="P1657" s="249"/>
      <c r="Q1657" s="330"/>
      <c r="R1657" s="250"/>
      <c r="S1657" s="249"/>
      <c r="T1657" s="330"/>
      <c r="U1657" s="250"/>
      <c r="V1657" s="249"/>
      <c r="W1657" s="330"/>
      <c r="X1657" s="343"/>
      <c r="Y1657" s="249"/>
      <c r="Z1657" s="330"/>
      <c r="AA1657" s="343"/>
      <c r="AB1657" s="249"/>
      <c r="AC1657" s="330"/>
      <c r="AD1657" s="343"/>
      <c r="AE1657" s="249"/>
      <c r="AF1657" s="330"/>
      <c r="AG1657" s="343"/>
      <c r="AH1657" s="249"/>
      <c r="AI1657" s="330"/>
      <c r="AJ1657" s="343"/>
      <c r="AK1657" s="249"/>
      <c r="AL1657" s="330"/>
      <c r="AM1657" s="343"/>
      <c r="AN1657" s="249"/>
      <c r="AO1657" s="330"/>
      <c r="AP1657" s="343"/>
      <c r="AQ1657" s="249"/>
      <c r="AR1657" s="330"/>
      <c r="AS1657" s="343"/>
      <c r="AT1657" s="249"/>
      <c r="AU1657" s="330"/>
    </row>
    <row r="1658" spans="2:47">
      <c r="B1658" s="247">
        <f>'Table S2 Compound Identifiers'!C1660</f>
        <v>0</v>
      </c>
      <c r="C1658" s="247">
        <f>COUNTIF($D$6:D1658,"&lt;&gt;"&amp;"")</f>
        <v>1653</v>
      </c>
      <c r="D1658" s="247">
        <f>'Table S2 Compound Identifiers'!B1660</f>
        <v>0</v>
      </c>
      <c r="E1658" s="247"/>
      <c r="F1658" s="248"/>
      <c r="G1658" s="249"/>
      <c r="H1658" s="330"/>
      <c r="I1658" s="328"/>
      <c r="J1658" s="249"/>
      <c r="K1658" s="330"/>
      <c r="L1658" s="250"/>
      <c r="M1658" s="249"/>
      <c r="N1658" s="330"/>
      <c r="O1658" s="250"/>
      <c r="P1658" s="249"/>
      <c r="Q1658" s="330"/>
      <c r="R1658" s="250"/>
      <c r="S1658" s="249"/>
      <c r="T1658" s="330"/>
      <c r="U1658" s="250"/>
      <c r="V1658" s="249"/>
      <c r="W1658" s="330"/>
      <c r="X1658" s="343"/>
      <c r="Y1658" s="249"/>
      <c r="Z1658" s="330"/>
      <c r="AA1658" s="343"/>
      <c r="AB1658" s="249"/>
      <c r="AC1658" s="330"/>
      <c r="AD1658" s="343"/>
      <c r="AE1658" s="249"/>
      <c r="AF1658" s="330"/>
      <c r="AG1658" s="343"/>
      <c r="AH1658" s="249"/>
      <c r="AI1658" s="330"/>
      <c r="AJ1658" s="343"/>
      <c r="AK1658" s="249"/>
      <c r="AL1658" s="330"/>
      <c r="AM1658" s="343"/>
      <c r="AN1658" s="249"/>
      <c r="AO1658" s="330"/>
      <c r="AP1658" s="343"/>
      <c r="AQ1658" s="249"/>
      <c r="AR1658" s="330"/>
      <c r="AS1658" s="343"/>
      <c r="AT1658" s="249"/>
      <c r="AU1658" s="330"/>
    </row>
    <row r="1659" spans="2:47">
      <c r="B1659" s="247">
        <f>'Table S2 Compound Identifiers'!C1661</f>
        <v>0</v>
      </c>
      <c r="C1659" s="247">
        <f>COUNTIF($D$6:D1659,"&lt;&gt;"&amp;"")</f>
        <v>1654</v>
      </c>
      <c r="D1659" s="247">
        <f>'Table S2 Compound Identifiers'!B1661</f>
        <v>0</v>
      </c>
      <c r="E1659" s="247"/>
      <c r="F1659" s="248"/>
      <c r="G1659" s="249"/>
      <c r="H1659" s="330"/>
      <c r="I1659" s="328"/>
      <c r="J1659" s="249"/>
      <c r="K1659" s="330"/>
      <c r="L1659" s="250"/>
      <c r="M1659" s="249"/>
      <c r="N1659" s="330"/>
      <c r="O1659" s="250"/>
      <c r="P1659" s="249"/>
      <c r="Q1659" s="330"/>
      <c r="R1659" s="250"/>
      <c r="S1659" s="249"/>
      <c r="T1659" s="330"/>
      <c r="U1659" s="250"/>
      <c r="V1659" s="249"/>
      <c r="W1659" s="330"/>
      <c r="X1659" s="343"/>
      <c r="Y1659" s="249"/>
      <c r="Z1659" s="330"/>
      <c r="AA1659" s="343"/>
      <c r="AB1659" s="249"/>
      <c r="AC1659" s="330"/>
      <c r="AD1659" s="343"/>
      <c r="AE1659" s="249"/>
      <c r="AF1659" s="330"/>
      <c r="AG1659" s="343"/>
      <c r="AH1659" s="249"/>
      <c r="AI1659" s="330"/>
      <c r="AJ1659" s="343"/>
      <c r="AK1659" s="249"/>
      <c r="AL1659" s="330"/>
      <c r="AM1659" s="343"/>
      <c r="AN1659" s="249"/>
      <c r="AO1659" s="330"/>
      <c r="AP1659" s="343"/>
      <c r="AQ1659" s="249"/>
      <c r="AR1659" s="330"/>
      <c r="AS1659" s="343"/>
      <c r="AT1659" s="249"/>
      <c r="AU1659" s="330"/>
    </row>
    <row r="1660" spans="2:47">
      <c r="B1660" s="247">
        <f>'Table S2 Compound Identifiers'!C1662</f>
        <v>0</v>
      </c>
      <c r="C1660" s="247">
        <f>COUNTIF($D$6:D1660,"&lt;&gt;"&amp;"")</f>
        <v>1655</v>
      </c>
      <c r="D1660" s="247">
        <f>'Table S2 Compound Identifiers'!B1662</f>
        <v>0</v>
      </c>
      <c r="E1660" s="247"/>
      <c r="F1660" s="248"/>
      <c r="G1660" s="249"/>
      <c r="H1660" s="330"/>
      <c r="I1660" s="328"/>
      <c r="J1660" s="249"/>
      <c r="K1660" s="330"/>
      <c r="L1660" s="250"/>
      <c r="M1660" s="249"/>
      <c r="N1660" s="330"/>
      <c r="O1660" s="250"/>
      <c r="P1660" s="249"/>
      <c r="Q1660" s="330"/>
      <c r="R1660" s="250"/>
      <c r="S1660" s="249"/>
      <c r="T1660" s="330"/>
      <c r="U1660" s="250"/>
      <c r="V1660" s="249"/>
      <c r="W1660" s="330"/>
      <c r="X1660" s="343"/>
      <c r="Y1660" s="249"/>
      <c r="Z1660" s="330"/>
      <c r="AA1660" s="343"/>
      <c r="AB1660" s="249"/>
      <c r="AC1660" s="330"/>
      <c r="AD1660" s="343"/>
      <c r="AE1660" s="249"/>
      <c r="AF1660" s="330"/>
      <c r="AG1660" s="343"/>
      <c r="AH1660" s="249"/>
      <c r="AI1660" s="330"/>
      <c r="AJ1660" s="343"/>
      <c r="AK1660" s="249"/>
      <c r="AL1660" s="330"/>
      <c r="AM1660" s="343"/>
      <c r="AN1660" s="249"/>
      <c r="AO1660" s="330"/>
      <c r="AP1660" s="343"/>
      <c r="AQ1660" s="249"/>
      <c r="AR1660" s="330"/>
      <c r="AS1660" s="343"/>
      <c r="AT1660" s="249"/>
      <c r="AU1660" s="330"/>
    </row>
    <row r="1661" spans="2:47">
      <c r="B1661" s="247">
        <f>'Table S2 Compound Identifiers'!C1663</f>
        <v>0</v>
      </c>
      <c r="C1661" s="247">
        <f>COUNTIF($D$6:D1661,"&lt;&gt;"&amp;"")</f>
        <v>1656</v>
      </c>
      <c r="D1661" s="247">
        <f>'Table S2 Compound Identifiers'!B1663</f>
        <v>0</v>
      </c>
      <c r="E1661" s="247"/>
      <c r="F1661" s="248"/>
      <c r="G1661" s="249"/>
      <c r="H1661" s="330"/>
      <c r="I1661" s="328"/>
      <c r="J1661" s="249"/>
      <c r="K1661" s="330"/>
      <c r="L1661" s="250"/>
      <c r="M1661" s="249"/>
      <c r="N1661" s="330"/>
      <c r="O1661" s="250"/>
      <c r="P1661" s="249"/>
      <c r="Q1661" s="330"/>
      <c r="R1661" s="250"/>
      <c r="S1661" s="249"/>
      <c r="T1661" s="330"/>
      <c r="U1661" s="250"/>
      <c r="V1661" s="249"/>
      <c r="W1661" s="330"/>
      <c r="X1661" s="343"/>
      <c r="Y1661" s="249"/>
      <c r="Z1661" s="330"/>
      <c r="AA1661" s="343"/>
      <c r="AB1661" s="249"/>
      <c r="AC1661" s="330"/>
      <c r="AD1661" s="343"/>
      <c r="AE1661" s="249"/>
      <c r="AF1661" s="330"/>
      <c r="AG1661" s="343"/>
      <c r="AH1661" s="249"/>
      <c r="AI1661" s="330"/>
      <c r="AJ1661" s="343"/>
      <c r="AK1661" s="249"/>
      <c r="AL1661" s="330"/>
      <c r="AM1661" s="343"/>
      <c r="AN1661" s="249"/>
      <c r="AO1661" s="330"/>
      <c r="AP1661" s="343"/>
      <c r="AQ1661" s="249"/>
      <c r="AR1661" s="330"/>
      <c r="AS1661" s="343"/>
      <c r="AT1661" s="249"/>
      <c r="AU1661" s="330"/>
    </row>
    <row r="1662" spans="2:47">
      <c r="B1662" s="247">
        <f>'Table S2 Compound Identifiers'!C1664</f>
        <v>0</v>
      </c>
      <c r="C1662" s="247">
        <f>COUNTIF($D$6:D1662,"&lt;&gt;"&amp;"")</f>
        <v>1657</v>
      </c>
      <c r="D1662" s="247">
        <f>'Table S2 Compound Identifiers'!B1664</f>
        <v>0</v>
      </c>
      <c r="E1662" s="247"/>
      <c r="F1662" s="248"/>
      <c r="G1662" s="249"/>
      <c r="H1662" s="330"/>
      <c r="I1662" s="328"/>
      <c r="J1662" s="249"/>
      <c r="K1662" s="330"/>
      <c r="L1662" s="250"/>
      <c r="M1662" s="249"/>
      <c r="N1662" s="330"/>
      <c r="O1662" s="250"/>
      <c r="P1662" s="249"/>
      <c r="Q1662" s="330"/>
      <c r="R1662" s="250"/>
      <c r="S1662" s="249"/>
      <c r="T1662" s="330"/>
      <c r="U1662" s="250"/>
      <c r="V1662" s="249"/>
      <c r="W1662" s="330"/>
      <c r="X1662" s="343"/>
      <c r="Y1662" s="249"/>
      <c r="Z1662" s="330"/>
      <c r="AA1662" s="343"/>
      <c r="AB1662" s="249"/>
      <c r="AC1662" s="330"/>
      <c r="AD1662" s="343"/>
      <c r="AE1662" s="249"/>
      <c r="AF1662" s="330"/>
      <c r="AG1662" s="343"/>
      <c r="AH1662" s="249"/>
      <c r="AI1662" s="330"/>
      <c r="AJ1662" s="343"/>
      <c r="AK1662" s="249"/>
      <c r="AL1662" s="330"/>
      <c r="AM1662" s="343"/>
      <c r="AN1662" s="249"/>
      <c r="AO1662" s="330"/>
      <c r="AP1662" s="343"/>
      <c r="AQ1662" s="249"/>
      <c r="AR1662" s="330"/>
      <c r="AS1662" s="343"/>
      <c r="AT1662" s="249"/>
      <c r="AU1662" s="330"/>
    </row>
    <row r="1663" spans="2:47">
      <c r="B1663" s="247">
        <f>'Table S2 Compound Identifiers'!C1665</f>
        <v>0</v>
      </c>
      <c r="C1663" s="247">
        <f>COUNTIF($D$6:D1663,"&lt;&gt;"&amp;"")</f>
        <v>1658</v>
      </c>
      <c r="D1663" s="247">
        <f>'Table S2 Compound Identifiers'!B1665</f>
        <v>0</v>
      </c>
      <c r="E1663" s="247"/>
      <c r="F1663" s="248"/>
      <c r="G1663" s="249"/>
      <c r="H1663" s="330"/>
      <c r="I1663" s="328"/>
      <c r="J1663" s="249"/>
      <c r="K1663" s="330"/>
      <c r="L1663" s="250"/>
      <c r="M1663" s="249"/>
      <c r="N1663" s="330"/>
      <c r="O1663" s="250"/>
      <c r="P1663" s="249"/>
      <c r="Q1663" s="330"/>
      <c r="R1663" s="250"/>
      <c r="S1663" s="249"/>
      <c r="T1663" s="330"/>
      <c r="U1663" s="250"/>
      <c r="V1663" s="249"/>
      <c r="W1663" s="330"/>
      <c r="X1663" s="343"/>
      <c r="Y1663" s="249"/>
      <c r="Z1663" s="330"/>
      <c r="AA1663" s="343"/>
      <c r="AB1663" s="249"/>
      <c r="AC1663" s="330"/>
      <c r="AD1663" s="343"/>
      <c r="AE1663" s="249"/>
      <c r="AF1663" s="330"/>
      <c r="AG1663" s="343"/>
      <c r="AH1663" s="249"/>
      <c r="AI1663" s="330"/>
      <c r="AJ1663" s="343"/>
      <c r="AK1663" s="249"/>
      <c r="AL1663" s="330"/>
      <c r="AM1663" s="343"/>
      <c r="AN1663" s="249"/>
      <c r="AO1663" s="330"/>
      <c r="AP1663" s="343"/>
      <c r="AQ1663" s="249"/>
      <c r="AR1663" s="330"/>
      <c r="AS1663" s="343"/>
      <c r="AT1663" s="249"/>
      <c r="AU1663" s="330"/>
    </row>
    <row r="1664" spans="2:47">
      <c r="B1664" s="247">
        <f>'Table S2 Compound Identifiers'!C1666</f>
        <v>0</v>
      </c>
      <c r="C1664" s="247">
        <f>COUNTIF($D$6:D1664,"&lt;&gt;"&amp;"")</f>
        <v>1659</v>
      </c>
      <c r="D1664" s="247">
        <f>'Table S2 Compound Identifiers'!B1666</f>
        <v>0</v>
      </c>
      <c r="E1664" s="247"/>
      <c r="F1664" s="248"/>
      <c r="G1664" s="249"/>
      <c r="H1664" s="330"/>
      <c r="I1664" s="328"/>
      <c r="J1664" s="249"/>
      <c r="K1664" s="330"/>
      <c r="L1664" s="250"/>
      <c r="M1664" s="249"/>
      <c r="N1664" s="330"/>
      <c r="O1664" s="250"/>
      <c r="P1664" s="249"/>
      <c r="Q1664" s="330"/>
      <c r="R1664" s="250"/>
      <c r="S1664" s="249"/>
      <c r="T1664" s="330"/>
      <c r="U1664" s="250"/>
      <c r="V1664" s="249"/>
      <c r="W1664" s="330"/>
      <c r="X1664" s="343"/>
      <c r="Y1664" s="249"/>
      <c r="Z1664" s="330"/>
      <c r="AA1664" s="343"/>
      <c r="AB1664" s="249"/>
      <c r="AC1664" s="330"/>
      <c r="AD1664" s="343"/>
      <c r="AE1664" s="249"/>
      <c r="AF1664" s="330"/>
      <c r="AG1664" s="343"/>
      <c r="AH1664" s="249"/>
      <c r="AI1664" s="330"/>
      <c r="AJ1664" s="343"/>
      <c r="AK1664" s="249"/>
      <c r="AL1664" s="330"/>
      <c r="AM1664" s="343"/>
      <c r="AN1664" s="249"/>
      <c r="AO1664" s="330"/>
      <c r="AP1664" s="343"/>
      <c r="AQ1664" s="249"/>
      <c r="AR1664" s="330"/>
      <c r="AS1664" s="343"/>
      <c r="AT1664" s="249"/>
      <c r="AU1664" s="330"/>
    </row>
    <row r="1665" spans="2:47">
      <c r="B1665" s="247">
        <f>'Table S2 Compound Identifiers'!C1667</f>
        <v>0</v>
      </c>
      <c r="C1665" s="247">
        <f>COUNTIF($D$6:D1665,"&lt;&gt;"&amp;"")</f>
        <v>1660</v>
      </c>
      <c r="D1665" s="247">
        <f>'Table S2 Compound Identifiers'!B1667</f>
        <v>0</v>
      </c>
      <c r="E1665" s="247"/>
      <c r="F1665" s="248"/>
      <c r="G1665" s="249"/>
      <c r="H1665" s="330"/>
      <c r="I1665" s="328"/>
      <c r="J1665" s="249"/>
      <c r="K1665" s="330"/>
      <c r="L1665" s="250"/>
      <c r="M1665" s="249"/>
      <c r="N1665" s="330"/>
      <c r="O1665" s="250"/>
      <c r="P1665" s="249"/>
      <c r="Q1665" s="330"/>
      <c r="R1665" s="250"/>
      <c r="S1665" s="249"/>
      <c r="T1665" s="330"/>
      <c r="U1665" s="250"/>
      <c r="V1665" s="249"/>
      <c r="W1665" s="330"/>
      <c r="X1665" s="343"/>
      <c r="Y1665" s="249"/>
      <c r="Z1665" s="330"/>
      <c r="AA1665" s="343"/>
      <c r="AB1665" s="249"/>
      <c r="AC1665" s="330"/>
      <c r="AD1665" s="343"/>
      <c r="AE1665" s="249"/>
      <c r="AF1665" s="330"/>
      <c r="AG1665" s="343"/>
      <c r="AH1665" s="249"/>
      <c r="AI1665" s="330"/>
      <c r="AJ1665" s="343"/>
      <c r="AK1665" s="249"/>
      <c r="AL1665" s="330"/>
      <c r="AM1665" s="343"/>
      <c r="AN1665" s="249"/>
      <c r="AO1665" s="330"/>
      <c r="AP1665" s="343"/>
      <c r="AQ1665" s="249"/>
      <c r="AR1665" s="330"/>
      <c r="AS1665" s="343"/>
      <c r="AT1665" s="249"/>
      <c r="AU1665" s="330"/>
    </row>
    <row r="1666" spans="2:47">
      <c r="B1666" s="247">
        <f>'Table S2 Compound Identifiers'!C1668</f>
        <v>0</v>
      </c>
      <c r="C1666" s="247">
        <f>COUNTIF($D$6:D1666,"&lt;&gt;"&amp;"")</f>
        <v>1661</v>
      </c>
      <c r="D1666" s="247">
        <f>'Table S2 Compound Identifiers'!B1668</f>
        <v>0</v>
      </c>
      <c r="E1666" s="247"/>
      <c r="F1666" s="248"/>
      <c r="G1666" s="249"/>
      <c r="H1666" s="330"/>
      <c r="I1666" s="328"/>
      <c r="J1666" s="249"/>
      <c r="K1666" s="330"/>
      <c r="L1666" s="250"/>
      <c r="M1666" s="249"/>
      <c r="N1666" s="330"/>
      <c r="O1666" s="250"/>
      <c r="P1666" s="249"/>
      <c r="Q1666" s="330"/>
      <c r="R1666" s="250"/>
      <c r="S1666" s="249"/>
      <c r="T1666" s="330"/>
      <c r="U1666" s="250"/>
      <c r="V1666" s="249"/>
      <c r="W1666" s="330"/>
      <c r="X1666" s="343"/>
      <c r="Y1666" s="249"/>
      <c r="Z1666" s="330"/>
      <c r="AA1666" s="343"/>
      <c r="AB1666" s="249"/>
      <c r="AC1666" s="330"/>
      <c r="AD1666" s="343"/>
      <c r="AE1666" s="249"/>
      <c r="AF1666" s="330"/>
      <c r="AG1666" s="343"/>
      <c r="AH1666" s="249"/>
      <c r="AI1666" s="330"/>
      <c r="AJ1666" s="343"/>
      <c r="AK1666" s="249"/>
      <c r="AL1666" s="330"/>
      <c r="AM1666" s="343"/>
      <c r="AN1666" s="249"/>
      <c r="AO1666" s="330"/>
      <c r="AP1666" s="343"/>
      <c r="AQ1666" s="249"/>
      <c r="AR1666" s="330"/>
      <c r="AS1666" s="343"/>
      <c r="AT1666" s="249"/>
      <c r="AU1666" s="330"/>
    </row>
    <row r="1667" spans="2:47">
      <c r="B1667" s="247">
        <f>'Table S2 Compound Identifiers'!C1669</f>
        <v>0</v>
      </c>
      <c r="C1667" s="247">
        <f>COUNTIF($D$6:D1667,"&lt;&gt;"&amp;"")</f>
        <v>1662</v>
      </c>
      <c r="D1667" s="247">
        <f>'Table S2 Compound Identifiers'!B1669</f>
        <v>0</v>
      </c>
      <c r="E1667" s="247"/>
      <c r="F1667" s="248"/>
      <c r="G1667" s="249"/>
      <c r="H1667" s="330"/>
      <c r="I1667" s="328"/>
      <c r="J1667" s="249"/>
      <c r="K1667" s="330"/>
      <c r="L1667" s="250"/>
      <c r="M1667" s="249"/>
      <c r="N1667" s="330"/>
      <c r="O1667" s="250"/>
      <c r="P1667" s="249"/>
      <c r="Q1667" s="330"/>
      <c r="R1667" s="250"/>
      <c r="S1667" s="249"/>
      <c r="T1667" s="330"/>
      <c r="U1667" s="250"/>
      <c r="V1667" s="249"/>
      <c r="W1667" s="330"/>
      <c r="X1667" s="343"/>
      <c r="Y1667" s="249"/>
      <c r="Z1667" s="330"/>
      <c r="AA1667" s="343"/>
      <c r="AB1667" s="249"/>
      <c r="AC1667" s="330"/>
      <c r="AD1667" s="343"/>
      <c r="AE1667" s="249"/>
      <c r="AF1667" s="330"/>
      <c r="AG1667" s="343"/>
      <c r="AH1667" s="249"/>
      <c r="AI1667" s="330"/>
      <c r="AJ1667" s="343"/>
      <c r="AK1667" s="249"/>
      <c r="AL1667" s="330"/>
      <c r="AM1667" s="343"/>
      <c r="AN1667" s="249"/>
      <c r="AO1667" s="330"/>
      <c r="AP1667" s="343"/>
      <c r="AQ1667" s="249"/>
      <c r="AR1667" s="330"/>
      <c r="AS1667" s="343"/>
      <c r="AT1667" s="249"/>
      <c r="AU1667" s="330"/>
    </row>
    <row r="1668" spans="2:47">
      <c r="B1668" s="247">
        <f>'Table S2 Compound Identifiers'!C1670</f>
        <v>0</v>
      </c>
      <c r="C1668" s="247">
        <f>COUNTIF($D$6:D1668,"&lt;&gt;"&amp;"")</f>
        <v>1663</v>
      </c>
      <c r="D1668" s="247">
        <f>'Table S2 Compound Identifiers'!B1670</f>
        <v>0</v>
      </c>
      <c r="E1668" s="247"/>
      <c r="F1668" s="248"/>
      <c r="G1668" s="249"/>
      <c r="H1668" s="330"/>
      <c r="I1668" s="328"/>
      <c r="J1668" s="249"/>
      <c r="K1668" s="330"/>
      <c r="L1668" s="250"/>
      <c r="M1668" s="249"/>
      <c r="N1668" s="330"/>
      <c r="O1668" s="250"/>
      <c r="P1668" s="249"/>
      <c r="Q1668" s="330"/>
      <c r="R1668" s="250"/>
      <c r="S1668" s="249"/>
      <c r="T1668" s="330"/>
      <c r="U1668" s="250"/>
      <c r="V1668" s="249"/>
      <c r="W1668" s="330"/>
      <c r="X1668" s="343"/>
      <c r="Y1668" s="249"/>
      <c r="Z1668" s="330"/>
      <c r="AA1668" s="343"/>
      <c r="AB1668" s="249"/>
      <c r="AC1668" s="330"/>
      <c r="AD1668" s="343"/>
      <c r="AE1668" s="249"/>
      <c r="AF1668" s="330"/>
      <c r="AG1668" s="343"/>
      <c r="AH1668" s="249"/>
      <c r="AI1668" s="330"/>
      <c r="AJ1668" s="343"/>
      <c r="AK1668" s="249"/>
      <c r="AL1668" s="330"/>
      <c r="AM1668" s="343"/>
      <c r="AN1668" s="249"/>
      <c r="AO1668" s="330"/>
      <c r="AP1668" s="343"/>
      <c r="AQ1668" s="249"/>
      <c r="AR1668" s="330"/>
      <c r="AS1668" s="343"/>
      <c r="AT1668" s="249"/>
      <c r="AU1668" s="330"/>
    </row>
    <row r="1669" spans="2:47">
      <c r="B1669" s="247">
        <f>'Table S2 Compound Identifiers'!C1671</f>
        <v>0</v>
      </c>
      <c r="C1669" s="247">
        <f>COUNTIF($D$6:D1669,"&lt;&gt;"&amp;"")</f>
        <v>1664</v>
      </c>
      <c r="D1669" s="247">
        <f>'Table S2 Compound Identifiers'!B1671</f>
        <v>0</v>
      </c>
      <c r="E1669" s="247"/>
      <c r="F1669" s="248"/>
      <c r="G1669" s="249"/>
      <c r="H1669" s="330"/>
      <c r="I1669" s="328"/>
      <c r="J1669" s="249"/>
      <c r="K1669" s="330"/>
      <c r="L1669" s="250"/>
      <c r="M1669" s="249"/>
      <c r="N1669" s="330"/>
      <c r="O1669" s="250"/>
      <c r="P1669" s="249"/>
      <c r="Q1669" s="330"/>
      <c r="R1669" s="250"/>
      <c r="S1669" s="249"/>
      <c r="T1669" s="330"/>
      <c r="U1669" s="250"/>
      <c r="V1669" s="249"/>
      <c r="W1669" s="330"/>
      <c r="X1669" s="343"/>
      <c r="Y1669" s="249"/>
      <c r="Z1669" s="330"/>
      <c r="AA1669" s="343"/>
      <c r="AB1669" s="249"/>
      <c r="AC1669" s="330"/>
      <c r="AD1669" s="343"/>
      <c r="AE1669" s="249"/>
      <c r="AF1669" s="330"/>
      <c r="AG1669" s="343"/>
      <c r="AH1669" s="249"/>
      <c r="AI1669" s="330"/>
      <c r="AJ1669" s="343"/>
      <c r="AK1669" s="249"/>
      <c r="AL1669" s="330"/>
      <c r="AM1669" s="343"/>
      <c r="AN1669" s="249"/>
      <c r="AO1669" s="330"/>
      <c r="AP1669" s="343"/>
      <c r="AQ1669" s="249"/>
      <c r="AR1669" s="330"/>
      <c r="AS1669" s="343"/>
      <c r="AT1669" s="249"/>
      <c r="AU1669" s="330"/>
    </row>
    <row r="1670" spans="2:47">
      <c r="B1670" s="247">
        <f>'Table S2 Compound Identifiers'!C1672</f>
        <v>0</v>
      </c>
      <c r="C1670" s="247">
        <f>COUNTIF($D$6:D1670,"&lt;&gt;"&amp;"")</f>
        <v>1665</v>
      </c>
      <c r="D1670" s="247">
        <f>'Table S2 Compound Identifiers'!B1672</f>
        <v>0</v>
      </c>
      <c r="E1670" s="247"/>
      <c r="F1670" s="248"/>
      <c r="G1670" s="249"/>
      <c r="H1670" s="330"/>
      <c r="I1670" s="328"/>
      <c r="J1670" s="249"/>
      <c r="K1670" s="330"/>
      <c r="L1670" s="250"/>
      <c r="M1670" s="249"/>
      <c r="N1670" s="330"/>
      <c r="O1670" s="250"/>
      <c r="P1670" s="249"/>
      <c r="Q1670" s="330"/>
      <c r="R1670" s="250"/>
      <c r="S1670" s="249"/>
      <c r="T1670" s="330"/>
      <c r="U1670" s="250"/>
      <c r="V1670" s="249"/>
      <c r="W1670" s="330"/>
      <c r="X1670" s="343"/>
      <c r="Y1670" s="249"/>
      <c r="Z1670" s="330"/>
      <c r="AA1670" s="343"/>
      <c r="AB1670" s="249"/>
      <c r="AC1670" s="330"/>
      <c r="AD1670" s="343"/>
      <c r="AE1670" s="249"/>
      <c r="AF1670" s="330"/>
      <c r="AG1670" s="343"/>
      <c r="AH1670" s="249"/>
      <c r="AI1670" s="330"/>
      <c r="AJ1670" s="343"/>
      <c r="AK1670" s="249"/>
      <c r="AL1670" s="330"/>
      <c r="AM1670" s="343"/>
      <c r="AN1670" s="249"/>
      <c r="AO1670" s="330"/>
      <c r="AP1670" s="343"/>
      <c r="AQ1670" s="249"/>
      <c r="AR1670" s="330"/>
      <c r="AS1670" s="343"/>
      <c r="AT1670" s="249"/>
      <c r="AU1670" s="330"/>
    </row>
    <row r="1671" spans="2:47">
      <c r="B1671" s="247">
        <f>'Table S2 Compound Identifiers'!C1673</f>
        <v>0</v>
      </c>
      <c r="C1671" s="247">
        <f>COUNTIF($D$6:D1671,"&lt;&gt;"&amp;"")</f>
        <v>1666</v>
      </c>
      <c r="D1671" s="247">
        <f>'Table S2 Compound Identifiers'!B1673</f>
        <v>0</v>
      </c>
      <c r="E1671" s="247"/>
      <c r="F1671" s="248"/>
      <c r="G1671" s="249"/>
      <c r="H1671" s="330"/>
      <c r="I1671" s="328"/>
      <c r="J1671" s="249"/>
      <c r="K1671" s="330"/>
      <c r="L1671" s="250"/>
      <c r="M1671" s="249"/>
      <c r="N1671" s="330"/>
      <c r="O1671" s="250"/>
      <c r="P1671" s="249"/>
      <c r="Q1671" s="330"/>
      <c r="R1671" s="250"/>
      <c r="S1671" s="249"/>
      <c r="T1671" s="330"/>
      <c r="U1671" s="250"/>
      <c r="V1671" s="249"/>
      <c r="W1671" s="330"/>
      <c r="X1671" s="343"/>
      <c r="Y1671" s="249"/>
      <c r="Z1671" s="330"/>
      <c r="AA1671" s="343"/>
      <c r="AB1671" s="249"/>
      <c r="AC1671" s="330"/>
      <c r="AD1671" s="343"/>
      <c r="AE1671" s="249"/>
      <c r="AF1671" s="330"/>
      <c r="AG1671" s="343"/>
      <c r="AH1671" s="249"/>
      <c r="AI1671" s="330"/>
      <c r="AJ1671" s="343"/>
      <c r="AK1671" s="249"/>
      <c r="AL1671" s="330"/>
      <c r="AM1671" s="343"/>
      <c r="AN1671" s="249"/>
      <c r="AO1671" s="330"/>
      <c r="AP1671" s="343"/>
      <c r="AQ1671" s="249"/>
      <c r="AR1671" s="330"/>
      <c r="AS1671" s="343"/>
      <c r="AT1671" s="249"/>
      <c r="AU1671" s="330"/>
    </row>
    <row r="1672" spans="2:47">
      <c r="B1672" s="247">
        <f>'Table S2 Compound Identifiers'!C1674</f>
        <v>0</v>
      </c>
      <c r="C1672" s="247">
        <f>COUNTIF($D$6:D1672,"&lt;&gt;"&amp;"")</f>
        <v>1667</v>
      </c>
      <c r="D1672" s="247">
        <f>'Table S2 Compound Identifiers'!B1674</f>
        <v>0</v>
      </c>
      <c r="E1672" s="247"/>
      <c r="F1672" s="248"/>
      <c r="G1672" s="249"/>
      <c r="H1672" s="330"/>
      <c r="I1672" s="328"/>
      <c r="J1672" s="249"/>
      <c r="K1672" s="330"/>
      <c r="L1672" s="250"/>
      <c r="M1672" s="249"/>
      <c r="N1672" s="330"/>
      <c r="O1672" s="250"/>
      <c r="P1672" s="249"/>
      <c r="Q1672" s="330"/>
      <c r="R1672" s="250"/>
      <c r="S1672" s="249"/>
      <c r="T1672" s="330"/>
      <c r="U1672" s="250"/>
      <c r="V1672" s="249"/>
      <c r="W1672" s="330"/>
      <c r="X1672" s="343"/>
      <c r="Y1672" s="249"/>
      <c r="Z1672" s="330"/>
      <c r="AA1672" s="343"/>
      <c r="AB1672" s="249"/>
      <c r="AC1672" s="330"/>
      <c r="AD1672" s="343"/>
      <c r="AE1672" s="249"/>
      <c r="AF1672" s="330"/>
      <c r="AG1672" s="343"/>
      <c r="AH1672" s="249"/>
      <c r="AI1672" s="330"/>
      <c r="AJ1672" s="343"/>
      <c r="AK1672" s="249"/>
      <c r="AL1672" s="330"/>
      <c r="AM1672" s="343"/>
      <c r="AN1672" s="249"/>
      <c r="AO1672" s="330"/>
      <c r="AP1672" s="343"/>
      <c r="AQ1672" s="249"/>
      <c r="AR1672" s="330"/>
      <c r="AS1672" s="343"/>
      <c r="AT1672" s="249"/>
      <c r="AU1672" s="330"/>
    </row>
    <row r="1673" spans="2:47">
      <c r="B1673" s="247">
        <f>'Table S2 Compound Identifiers'!C1675</f>
        <v>0</v>
      </c>
      <c r="C1673" s="247">
        <f>COUNTIF($D$6:D1673,"&lt;&gt;"&amp;"")</f>
        <v>1668</v>
      </c>
      <c r="D1673" s="247">
        <f>'Table S2 Compound Identifiers'!B1675</f>
        <v>0</v>
      </c>
      <c r="E1673" s="247"/>
      <c r="F1673" s="248"/>
      <c r="G1673" s="249"/>
      <c r="H1673" s="330"/>
      <c r="I1673" s="328"/>
      <c r="J1673" s="249"/>
      <c r="K1673" s="330"/>
      <c r="L1673" s="250"/>
      <c r="M1673" s="249"/>
      <c r="N1673" s="330"/>
      <c r="O1673" s="250"/>
      <c r="P1673" s="249"/>
      <c r="Q1673" s="330"/>
      <c r="R1673" s="250"/>
      <c r="S1673" s="249"/>
      <c r="T1673" s="330"/>
      <c r="U1673" s="250"/>
      <c r="V1673" s="249"/>
      <c r="W1673" s="330"/>
      <c r="X1673" s="343"/>
      <c r="Y1673" s="249"/>
      <c r="Z1673" s="330"/>
      <c r="AA1673" s="343"/>
      <c r="AB1673" s="249"/>
      <c r="AC1673" s="330"/>
      <c r="AD1673" s="343"/>
      <c r="AE1673" s="249"/>
      <c r="AF1673" s="330"/>
      <c r="AG1673" s="343"/>
      <c r="AH1673" s="249"/>
      <c r="AI1673" s="330"/>
      <c r="AJ1673" s="343"/>
      <c r="AK1673" s="249"/>
      <c r="AL1673" s="330"/>
      <c r="AM1673" s="343"/>
      <c r="AN1673" s="249"/>
      <c r="AO1673" s="330"/>
      <c r="AP1673" s="343"/>
      <c r="AQ1673" s="249"/>
      <c r="AR1673" s="330"/>
      <c r="AS1673" s="343"/>
      <c r="AT1673" s="249"/>
      <c r="AU1673" s="330"/>
    </row>
    <row r="1674" spans="2:47">
      <c r="B1674" s="247">
        <f>'Table S2 Compound Identifiers'!C1676</f>
        <v>0</v>
      </c>
      <c r="C1674" s="247">
        <f>COUNTIF($D$6:D1674,"&lt;&gt;"&amp;"")</f>
        <v>1669</v>
      </c>
      <c r="D1674" s="247">
        <f>'Table S2 Compound Identifiers'!B1676</f>
        <v>0</v>
      </c>
      <c r="E1674" s="247"/>
      <c r="F1674" s="248"/>
      <c r="G1674" s="249"/>
      <c r="H1674" s="330"/>
      <c r="I1674" s="328"/>
      <c r="J1674" s="249"/>
      <c r="K1674" s="330"/>
      <c r="L1674" s="250"/>
      <c r="M1674" s="249"/>
      <c r="N1674" s="330"/>
      <c r="O1674" s="250"/>
      <c r="P1674" s="249"/>
      <c r="Q1674" s="330"/>
      <c r="R1674" s="250"/>
      <c r="S1674" s="249"/>
      <c r="T1674" s="330"/>
      <c r="U1674" s="250"/>
      <c r="V1674" s="249"/>
      <c r="W1674" s="330"/>
      <c r="X1674" s="343"/>
      <c r="Y1674" s="249"/>
      <c r="Z1674" s="330"/>
      <c r="AA1674" s="343"/>
      <c r="AB1674" s="249"/>
      <c r="AC1674" s="330"/>
      <c r="AD1674" s="343"/>
      <c r="AE1674" s="249"/>
      <c r="AF1674" s="330"/>
      <c r="AG1674" s="343"/>
      <c r="AH1674" s="249"/>
      <c r="AI1674" s="330"/>
      <c r="AJ1674" s="343"/>
      <c r="AK1674" s="249"/>
      <c r="AL1674" s="330"/>
      <c r="AM1674" s="343"/>
      <c r="AN1674" s="249"/>
      <c r="AO1674" s="330"/>
      <c r="AP1674" s="343"/>
      <c r="AQ1674" s="249"/>
      <c r="AR1674" s="330"/>
      <c r="AS1674" s="343"/>
      <c r="AT1674" s="249"/>
      <c r="AU1674" s="330"/>
    </row>
    <row r="1675" spans="2:47">
      <c r="B1675" s="247">
        <f>'Table S2 Compound Identifiers'!C1677</f>
        <v>0</v>
      </c>
      <c r="C1675" s="247">
        <f>COUNTIF($D$6:D1675,"&lt;&gt;"&amp;"")</f>
        <v>1670</v>
      </c>
      <c r="D1675" s="247">
        <f>'Table S2 Compound Identifiers'!B1677</f>
        <v>0</v>
      </c>
      <c r="E1675" s="247"/>
      <c r="F1675" s="248"/>
      <c r="G1675" s="249"/>
      <c r="H1675" s="330"/>
      <c r="I1675" s="328"/>
      <c r="J1675" s="249"/>
      <c r="K1675" s="330"/>
      <c r="L1675" s="250"/>
      <c r="M1675" s="249"/>
      <c r="N1675" s="330"/>
      <c r="O1675" s="250"/>
      <c r="P1675" s="249"/>
      <c r="Q1675" s="330"/>
      <c r="R1675" s="250"/>
      <c r="S1675" s="249"/>
      <c r="T1675" s="330"/>
      <c r="U1675" s="250"/>
      <c r="V1675" s="249"/>
      <c r="W1675" s="330"/>
      <c r="X1675" s="343"/>
      <c r="Y1675" s="249"/>
      <c r="Z1675" s="330"/>
      <c r="AA1675" s="343"/>
      <c r="AB1675" s="249"/>
      <c r="AC1675" s="330"/>
      <c r="AD1675" s="343"/>
      <c r="AE1675" s="249"/>
      <c r="AF1675" s="330"/>
      <c r="AG1675" s="343"/>
      <c r="AH1675" s="249"/>
      <c r="AI1675" s="330"/>
      <c r="AJ1675" s="343"/>
      <c r="AK1675" s="249"/>
      <c r="AL1675" s="330"/>
      <c r="AM1675" s="343"/>
      <c r="AN1675" s="249"/>
      <c r="AO1675" s="330"/>
      <c r="AP1675" s="343"/>
      <c r="AQ1675" s="249"/>
      <c r="AR1675" s="330"/>
      <c r="AS1675" s="343"/>
      <c r="AT1675" s="249"/>
      <c r="AU1675" s="330"/>
    </row>
    <row r="1676" spans="2:47">
      <c r="B1676" s="247">
        <f>'Table S2 Compound Identifiers'!C1678</f>
        <v>0</v>
      </c>
      <c r="C1676" s="247">
        <f>COUNTIF($D$6:D1676,"&lt;&gt;"&amp;"")</f>
        <v>1671</v>
      </c>
      <c r="D1676" s="247">
        <f>'Table S2 Compound Identifiers'!B1678</f>
        <v>0</v>
      </c>
      <c r="E1676" s="247"/>
      <c r="F1676" s="248"/>
      <c r="G1676" s="249"/>
      <c r="H1676" s="330"/>
      <c r="I1676" s="328"/>
      <c r="J1676" s="249"/>
      <c r="K1676" s="330"/>
      <c r="L1676" s="250"/>
      <c r="M1676" s="249"/>
      <c r="N1676" s="330"/>
      <c r="O1676" s="250"/>
      <c r="P1676" s="249"/>
      <c r="Q1676" s="330"/>
      <c r="R1676" s="250"/>
      <c r="S1676" s="249"/>
      <c r="T1676" s="330"/>
      <c r="U1676" s="250"/>
      <c r="V1676" s="249"/>
      <c r="W1676" s="330"/>
      <c r="X1676" s="343"/>
      <c r="Y1676" s="249"/>
      <c r="Z1676" s="330"/>
      <c r="AA1676" s="343"/>
      <c r="AB1676" s="249"/>
      <c r="AC1676" s="330"/>
      <c r="AD1676" s="343"/>
      <c r="AE1676" s="249"/>
      <c r="AF1676" s="330"/>
      <c r="AG1676" s="343"/>
      <c r="AH1676" s="249"/>
      <c r="AI1676" s="330"/>
      <c r="AJ1676" s="343"/>
      <c r="AK1676" s="249"/>
      <c r="AL1676" s="330"/>
      <c r="AM1676" s="343"/>
      <c r="AN1676" s="249"/>
      <c r="AO1676" s="330"/>
      <c r="AP1676" s="343"/>
      <c r="AQ1676" s="249"/>
      <c r="AR1676" s="330"/>
      <c r="AS1676" s="343"/>
      <c r="AT1676" s="249"/>
      <c r="AU1676" s="330"/>
    </row>
    <row r="1677" spans="2:47">
      <c r="B1677" s="247">
        <f>'Table S2 Compound Identifiers'!C1679</f>
        <v>0</v>
      </c>
      <c r="C1677" s="247">
        <f>COUNTIF($D$6:D1677,"&lt;&gt;"&amp;"")</f>
        <v>1672</v>
      </c>
      <c r="D1677" s="247">
        <f>'Table S2 Compound Identifiers'!B1679</f>
        <v>0</v>
      </c>
      <c r="E1677" s="247"/>
      <c r="F1677" s="248"/>
      <c r="G1677" s="249"/>
      <c r="H1677" s="330"/>
      <c r="I1677" s="328"/>
      <c r="J1677" s="249"/>
      <c r="K1677" s="330"/>
      <c r="L1677" s="250"/>
      <c r="M1677" s="249"/>
      <c r="N1677" s="330"/>
      <c r="O1677" s="250"/>
      <c r="P1677" s="249"/>
      <c r="Q1677" s="330"/>
      <c r="R1677" s="250"/>
      <c r="S1677" s="249"/>
      <c r="T1677" s="330"/>
      <c r="U1677" s="250"/>
      <c r="V1677" s="249"/>
      <c r="W1677" s="330"/>
      <c r="X1677" s="343"/>
      <c r="Y1677" s="249"/>
      <c r="Z1677" s="330"/>
      <c r="AA1677" s="343"/>
      <c r="AB1677" s="249"/>
      <c r="AC1677" s="330"/>
      <c r="AD1677" s="343"/>
      <c r="AE1677" s="249"/>
      <c r="AF1677" s="330"/>
      <c r="AG1677" s="343"/>
      <c r="AH1677" s="249"/>
      <c r="AI1677" s="330"/>
      <c r="AJ1677" s="343"/>
      <c r="AK1677" s="249"/>
      <c r="AL1677" s="330"/>
      <c r="AM1677" s="343"/>
      <c r="AN1677" s="249"/>
      <c r="AO1677" s="330"/>
      <c r="AP1677" s="343"/>
      <c r="AQ1677" s="249"/>
      <c r="AR1677" s="330"/>
      <c r="AS1677" s="343"/>
      <c r="AT1677" s="249"/>
      <c r="AU1677" s="330"/>
    </row>
    <row r="1678" spans="2:47">
      <c r="B1678" s="247">
        <f>'Table S2 Compound Identifiers'!C1680</f>
        <v>0</v>
      </c>
      <c r="C1678" s="247">
        <f>COUNTIF($D$6:D1678,"&lt;&gt;"&amp;"")</f>
        <v>1673</v>
      </c>
      <c r="D1678" s="247">
        <f>'Table S2 Compound Identifiers'!B1680</f>
        <v>0</v>
      </c>
      <c r="E1678" s="247"/>
      <c r="F1678" s="248"/>
      <c r="G1678" s="249"/>
      <c r="H1678" s="330"/>
      <c r="I1678" s="328"/>
      <c r="J1678" s="249"/>
      <c r="K1678" s="330"/>
      <c r="L1678" s="250"/>
      <c r="M1678" s="249"/>
      <c r="N1678" s="330"/>
      <c r="O1678" s="250"/>
      <c r="P1678" s="249"/>
      <c r="Q1678" s="330"/>
      <c r="R1678" s="250"/>
      <c r="S1678" s="249"/>
      <c r="T1678" s="330"/>
      <c r="U1678" s="250"/>
      <c r="V1678" s="249"/>
      <c r="W1678" s="330"/>
      <c r="X1678" s="343"/>
      <c r="Y1678" s="249"/>
      <c r="Z1678" s="330"/>
      <c r="AA1678" s="343"/>
      <c r="AB1678" s="249"/>
      <c r="AC1678" s="330"/>
      <c r="AD1678" s="343"/>
      <c r="AE1678" s="249"/>
      <c r="AF1678" s="330"/>
      <c r="AG1678" s="343"/>
      <c r="AH1678" s="249"/>
      <c r="AI1678" s="330"/>
      <c r="AJ1678" s="343"/>
      <c r="AK1678" s="249"/>
      <c r="AL1678" s="330"/>
      <c r="AM1678" s="343"/>
      <c r="AN1678" s="249"/>
      <c r="AO1678" s="330"/>
      <c r="AP1678" s="343"/>
      <c r="AQ1678" s="249"/>
      <c r="AR1678" s="330"/>
      <c r="AS1678" s="343"/>
      <c r="AT1678" s="249"/>
      <c r="AU1678" s="330"/>
    </row>
    <row r="1679" spans="2:47">
      <c r="B1679" s="247">
        <f>'Table S2 Compound Identifiers'!C1681</f>
        <v>0</v>
      </c>
      <c r="C1679" s="247">
        <f>COUNTIF($D$6:D1679,"&lt;&gt;"&amp;"")</f>
        <v>1674</v>
      </c>
      <c r="D1679" s="247">
        <f>'Table S2 Compound Identifiers'!B1681</f>
        <v>0</v>
      </c>
      <c r="E1679" s="247"/>
      <c r="F1679" s="248"/>
      <c r="G1679" s="249"/>
      <c r="H1679" s="330"/>
      <c r="I1679" s="328"/>
      <c r="J1679" s="249"/>
      <c r="K1679" s="330"/>
      <c r="L1679" s="250"/>
      <c r="M1679" s="249"/>
      <c r="N1679" s="330"/>
      <c r="O1679" s="250"/>
      <c r="P1679" s="249"/>
      <c r="Q1679" s="330"/>
      <c r="R1679" s="250"/>
      <c r="S1679" s="249"/>
      <c r="T1679" s="330"/>
      <c r="U1679" s="250"/>
      <c r="V1679" s="249"/>
      <c r="W1679" s="330"/>
      <c r="X1679" s="343"/>
      <c r="Y1679" s="249"/>
      <c r="Z1679" s="330"/>
      <c r="AA1679" s="343"/>
      <c r="AB1679" s="249"/>
      <c r="AC1679" s="330"/>
      <c r="AD1679" s="343"/>
      <c r="AE1679" s="249"/>
      <c r="AF1679" s="330"/>
      <c r="AG1679" s="343"/>
      <c r="AH1679" s="249"/>
      <c r="AI1679" s="330"/>
      <c r="AJ1679" s="343"/>
      <c r="AK1679" s="249"/>
      <c r="AL1679" s="330"/>
      <c r="AM1679" s="343"/>
      <c r="AN1679" s="249"/>
      <c r="AO1679" s="330"/>
      <c r="AP1679" s="343"/>
      <c r="AQ1679" s="249"/>
      <c r="AR1679" s="330"/>
      <c r="AS1679" s="343"/>
      <c r="AT1679" s="249"/>
      <c r="AU1679" s="330"/>
    </row>
    <row r="1680" spans="2:47">
      <c r="B1680" s="247">
        <f>'Table S2 Compound Identifiers'!C1682</f>
        <v>0</v>
      </c>
      <c r="C1680" s="247">
        <f>COUNTIF($D$6:D1680,"&lt;&gt;"&amp;"")</f>
        <v>1675</v>
      </c>
      <c r="D1680" s="247">
        <f>'Table S2 Compound Identifiers'!B1682</f>
        <v>0</v>
      </c>
      <c r="E1680" s="247"/>
      <c r="F1680" s="248"/>
      <c r="G1680" s="249"/>
      <c r="H1680" s="330"/>
      <c r="I1680" s="328"/>
      <c r="J1680" s="249"/>
      <c r="K1680" s="330"/>
      <c r="L1680" s="250"/>
      <c r="M1680" s="249"/>
      <c r="N1680" s="330"/>
      <c r="O1680" s="250"/>
      <c r="P1680" s="249"/>
      <c r="Q1680" s="330"/>
      <c r="R1680" s="250"/>
      <c r="S1680" s="249"/>
      <c r="T1680" s="330"/>
      <c r="U1680" s="250"/>
      <c r="V1680" s="249"/>
      <c r="W1680" s="330"/>
      <c r="X1680" s="343"/>
      <c r="Y1680" s="249"/>
      <c r="Z1680" s="330"/>
      <c r="AA1680" s="343"/>
      <c r="AB1680" s="249"/>
      <c r="AC1680" s="330"/>
      <c r="AD1680" s="343"/>
      <c r="AE1680" s="249"/>
      <c r="AF1680" s="330"/>
      <c r="AG1680" s="343"/>
      <c r="AH1680" s="249"/>
      <c r="AI1680" s="330"/>
      <c r="AJ1680" s="343"/>
      <c r="AK1680" s="249"/>
      <c r="AL1680" s="330"/>
      <c r="AM1680" s="343"/>
      <c r="AN1680" s="249"/>
      <c r="AO1680" s="330"/>
      <c r="AP1680" s="343"/>
      <c r="AQ1680" s="249"/>
      <c r="AR1680" s="330"/>
      <c r="AS1680" s="343"/>
      <c r="AT1680" s="249"/>
      <c r="AU1680" s="330"/>
    </row>
    <row r="1681" spans="2:47">
      <c r="B1681" s="247">
        <f>'Table S2 Compound Identifiers'!C1683</f>
        <v>0</v>
      </c>
      <c r="C1681" s="247">
        <f>COUNTIF($D$6:D1681,"&lt;&gt;"&amp;"")</f>
        <v>1676</v>
      </c>
      <c r="D1681" s="247">
        <f>'Table S2 Compound Identifiers'!B1683</f>
        <v>0</v>
      </c>
      <c r="E1681" s="247"/>
      <c r="F1681" s="248"/>
      <c r="G1681" s="249"/>
      <c r="H1681" s="330"/>
      <c r="I1681" s="328"/>
      <c r="J1681" s="249"/>
      <c r="K1681" s="330"/>
      <c r="L1681" s="250"/>
      <c r="M1681" s="249"/>
      <c r="N1681" s="330"/>
      <c r="O1681" s="250"/>
      <c r="P1681" s="249"/>
      <c r="Q1681" s="330"/>
      <c r="R1681" s="250"/>
      <c r="S1681" s="249"/>
      <c r="T1681" s="330"/>
      <c r="U1681" s="250"/>
      <c r="V1681" s="249"/>
      <c r="W1681" s="330"/>
      <c r="X1681" s="343"/>
      <c r="Y1681" s="249"/>
      <c r="Z1681" s="330"/>
      <c r="AA1681" s="343"/>
      <c r="AB1681" s="249"/>
      <c r="AC1681" s="330"/>
      <c r="AD1681" s="343"/>
      <c r="AE1681" s="249"/>
      <c r="AF1681" s="330"/>
      <c r="AG1681" s="343"/>
      <c r="AH1681" s="249"/>
      <c r="AI1681" s="330"/>
      <c r="AJ1681" s="343"/>
      <c r="AK1681" s="249"/>
      <c r="AL1681" s="330"/>
      <c r="AM1681" s="343"/>
      <c r="AN1681" s="249"/>
      <c r="AO1681" s="330"/>
      <c r="AP1681" s="343"/>
      <c r="AQ1681" s="249"/>
      <c r="AR1681" s="330"/>
      <c r="AS1681" s="343"/>
      <c r="AT1681" s="249"/>
      <c r="AU1681" s="330"/>
    </row>
    <row r="1682" spans="2:47">
      <c r="B1682" s="247">
        <f>'Table S2 Compound Identifiers'!C1684</f>
        <v>0</v>
      </c>
      <c r="C1682" s="247">
        <f>COUNTIF($D$6:D1682,"&lt;&gt;"&amp;"")</f>
        <v>1677</v>
      </c>
      <c r="D1682" s="247">
        <f>'Table S2 Compound Identifiers'!B1684</f>
        <v>0</v>
      </c>
      <c r="E1682" s="247"/>
      <c r="F1682" s="248"/>
      <c r="G1682" s="249"/>
      <c r="H1682" s="330"/>
      <c r="I1682" s="328"/>
      <c r="J1682" s="249"/>
      <c r="K1682" s="330"/>
      <c r="L1682" s="250"/>
      <c r="M1682" s="249"/>
      <c r="N1682" s="330"/>
      <c r="O1682" s="250"/>
      <c r="P1682" s="249"/>
      <c r="Q1682" s="330"/>
      <c r="R1682" s="250"/>
      <c r="S1682" s="249"/>
      <c r="T1682" s="330"/>
      <c r="U1682" s="250"/>
      <c r="V1682" s="249"/>
      <c r="W1682" s="330"/>
      <c r="X1682" s="343"/>
      <c r="Y1682" s="249"/>
      <c r="Z1682" s="330"/>
      <c r="AA1682" s="343"/>
      <c r="AB1682" s="249"/>
      <c r="AC1682" s="330"/>
      <c r="AD1682" s="343"/>
      <c r="AE1682" s="249"/>
      <c r="AF1682" s="330"/>
      <c r="AG1682" s="343"/>
      <c r="AH1682" s="249"/>
      <c r="AI1682" s="330"/>
      <c r="AJ1682" s="343"/>
      <c r="AK1682" s="249"/>
      <c r="AL1682" s="330"/>
      <c r="AM1682" s="343"/>
      <c r="AN1682" s="249"/>
      <c r="AO1682" s="330"/>
      <c r="AP1682" s="343"/>
      <c r="AQ1682" s="249"/>
      <c r="AR1682" s="330"/>
      <c r="AS1682" s="343"/>
      <c r="AT1682" s="249"/>
      <c r="AU1682" s="330"/>
    </row>
    <row r="1683" spans="2:47">
      <c r="B1683" s="247">
        <f>'Table S2 Compound Identifiers'!C1685</f>
        <v>0</v>
      </c>
      <c r="C1683" s="247">
        <f>COUNTIF($D$6:D1683,"&lt;&gt;"&amp;"")</f>
        <v>1678</v>
      </c>
      <c r="D1683" s="247">
        <f>'Table S2 Compound Identifiers'!B1685</f>
        <v>0</v>
      </c>
      <c r="E1683" s="247"/>
      <c r="F1683" s="248"/>
      <c r="G1683" s="249"/>
      <c r="H1683" s="330"/>
      <c r="I1683" s="328"/>
      <c r="J1683" s="249"/>
      <c r="K1683" s="330"/>
      <c r="L1683" s="250"/>
      <c r="M1683" s="249"/>
      <c r="N1683" s="330"/>
      <c r="O1683" s="250"/>
      <c r="P1683" s="249"/>
      <c r="Q1683" s="330"/>
      <c r="R1683" s="250"/>
      <c r="S1683" s="249"/>
      <c r="T1683" s="330"/>
      <c r="U1683" s="250"/>
      <c r="V1683" s="249"/>
      <c r="W1683" s="330"/>
      <c r="X1683" s="343"/>
      <c r="Y1683" s="249"/>
      <c r="Z1683" s="330"/>
      <c r="AA1683" s="343"/>
      <c r="AB1683" s="249"/>
      <c r="AC1683" s="330"/>
      <c r="AD1683" s="343"/>
      <c r="AE1683" s="249"/>
      <c r="AF1683" s="330"/>
      <c r="AG1683" s="343"/>
      <c r="AH1683" s="249"/>
      <c r="AI1683" s="330"/>
      <c r="AJ1683" s="343"/>
      <c r="AK1683" s="249"/>
      <c r="AL1683" s="330"/>
      <c r="AM1683" s="343"/>
      <c r="AN1683" s="249"/>
      <c r="AO1683" s="330"/>
      <c r="AP1683" s="343"/>
      <c r="AQ1683" s="249"/>
      <c r="AR1683" s="330"/>
      <c r="AS1683" s="343"/>
      <c r="AT1683" s="249"/>
      <c r="AU1683" s="330"/>
    </row>
    <row r="1684" spans="2:47">
      <c r="B1684" s="247">
        <f>'Table S2 Compound Identifiers'!C1686</f>
        <v>0</v>
      </c>
      <c r="C1684" s="247">
        <f>COUNTIF($D$6:D1684,"&lt;&gt;"&amp;"")</f>
        <v>1679</v>
      </c>
      <c r="D1684" s="247">
        <f>'Table S2 Compound Identifiers'!B1686</f>
        <v>0</v>
      </c>
      <c r="E1684" s="247"/>
      <c r="F1684" s="248"/>
      <c r="G1684" s="249"/>
      <c r="H1684" s="330"/>
      <c r="I1684" s="328"/>
      <c r="J1684" s="249"/>
      <c r="K1684" s="330"/>
      <c r="L1684" s="250"/>
      <c r="M1684" s="249"/>
      <c r="N1684" s="330"/>
      <c r="O1684" s="250"/>
      <c r="P1684" s="249"/>
      <c r="Q1684" s="330"/>
      <c r="R1684" s="250"/>
      <c r="S1684" s="249"/>
      <c r="T1684" s="330"/>
      <c r="U1684" s="250"/>
      <c r="V1684" s="249"/>
      <c r="W1684" s="330"/>
      <c r="X1684" s="343"/>
      <c r="Y1684" s="249"/>
      <c r="Z1684" s="330"/>
      <c r="AA1684" s="343"/>
      <c r="AB1684" s="249"/>
      <c r="AC1684" s="330"/>
      <c r="AD1684" s="343"/>
      <c r="AE1684" s="249"/>
      <c r="AF1684" s="330"/>
      <c r="AG1684" s="343"/>
      <c r="AH1684" s="249"/>
      <c r="AI1684" s="330"/>
      <c r="AJ1684" s="343"/>
      <c r="AK1684" s="249"/>
      <c r="AL1684" s="330"/>
      <c r="AM1684" s="343"/>
      <c r="AN1684" s="249"/>
      <c r="AO1684" s="330"/>
      <c r="AP1684" s="343"/>
      <c r="AQ1684" s="249"/>
      <c r="AR1684" s="330"/>
      <c r="AS1684" s="343"/>
      <c r="AT1684" s="249"/>
      <c r="AU1684" s="330"/>
    </row>
    <row r="1685" spans="2:47">
      <c r="B1685" s="247">
        <f>'Table S2 Compound Identifiers'!C1687</f>
        <v>0</v>
      </c>
      <c r="C1685" s="247">
        <f>COUNTIF($D$6:D1685,"&lt;&gt;"&amp;"")</f>
        <v>1680</v>
      </c>
      <c r="D1685" s="247">
        <f>'Table S2 Compound Identifiers'!B1687</f>
        <v>0</v>
      </c>
      <c r="E1685" s="247"/>
      <c r="F1685" s="248"/>
      <c r="G1685" s="249"/>
      <c r="H1685" s="330"/>
      <c r="I1685" s="328"/>
      <c r="J1685" s="249"/>
      <c r="K1685" s="330"/>
      <c r="L1685" s="250"/>
      <c r="M1685" s="249"/>
      <c r="N1685" s="330"/>
      <c r="O1685" s="250"/>
      <c r="P1685" s="249"/>
      <c r="Q1685" s="330"/>
      <c r="R1685" s="250"/>
      <c r="S1685" s="249"/>
      <c r="T1685" s="330"/>
      <c r="U1685" s="250"/>
      <c r="V1685" s="249"/>
      <c r="W1685" s="330"/>
      <c r="X1685" s="343"/>
      <c r="Y1685" s="249"/>
      <c r="Z1685" s="330"/>
      <c r="AA1685" s="343"/>
      <c r="AB1685" s="249"/>
      <c r="AC1685" s="330"/>
      <c r="AD1685" s="343"/>
      <c r="AE1685" s="249"/>
      <c r="AF1685" s="330"/>
      <c r="AG1685" s="343"/>
      <c r="AH1685" s="249"/>
      <c r="AI1685" s="330"/>
      <c r="AJ1685" s="343"/>
      <c r="AK1685" s="249"/>
      <c r="AL1685" s="330"/>
      <c r="AM1685" s="343"/>
      <c r="AN1685" s="249"/>
      <c r="AO1685" s="330"/>
      <c r="AP1685" s="343"/>
      <c r="AQ1685" s="249"/>
      <c r="AR1685" s="330"/>
      <c r="AS1685" s="343"/>
      <c r="AT1685" s="249"/>
      <c r="AU1685" s="330"/>
    </row>
    <row r="1686" spans="2:47">
      <c r="B1686" s="247">
        <f>'Table S2 Compound Identifiers'!C1688</f>
        <v>0</v>
      </c>
      <c r="C1686" s="247">
        <f>COUNTIF($D$6:D1686,"&lt;&gt;"&amp;"")</f>
        <v>1681</v>
      </c>
      <c r="D1686" s="247">
        <f>'Table S2 Compound Identifiers'!B1688</f>
        <v>0</v>
      </c>
      <c r="E1686" s="247"/>
      <c r="F1686" s="248"/>
      <c r="G1686" s="249"/>
      <c r="H1686" s="330"/>
      <c r="I1686" s="328"/>
      <c r="J1686" s="249"/>
      <c r="K1686" s="330"/>
      <c r="L1686" s="250"/>
      <c r="M1686" s="249"/>
      <c r="N1686" s="330"/>
      <c r="O1686" s="250"/>
      <c r="P1686" s="249"/>
      <c r="Q1686" s="330"/>
      <c r="R1686" s="250"/>
      <c r="S1686" s="249"/>
      <c r="T1686" s="330"/>
      <c r="U1686" s="250"/>
      <c r="V1686" s="249"/>
      <c r="W1686" s="330"/>
      <c r="X1686" s="343"/>
      <c r="Y1686" s="249"/>
      <c r="Z1686" s="330"/>
      <c r="AA1686" s="343"/>
      <c r="AB1686" s="249"/>
      <c r="AC1686" s="330"/>
      <c r="AD1686" s="343"/>
      <c r="AE1686" s="249"/>
      <c r="AF1686" s="330"/>
      <c r="AG1686" s="343"/>
      <c r="AH1686" s="249"/>
      <c r="AI1686" s="330"/>
      <c r="AJ1686" s="343"/>
      <c r="AK1686" s="249"/>
      <c r="AL1686" s="330"/>
      <c r="AM1686" s="343"/>
      <c r="AN1686" s="249"/>
      <c r="AO1686" s="330"/>
      <c r="AP1686" s="343"/>
      <c r="AQ1686" s="249"/>
      <c r="AR1686" s="330"/>
      <c r="AS1686" s="343"/>
      <c r="AT1686" s="249"/>
      <c r="AU1686" s="330"/>
    </row>
    <row r="1687" spans="2:47">
      <c r="B1687" s="247">
        <f>'Table S2 Compound Identifiers'!C1689</f>
        <v>0</v>
      </c>
      <c r="C1687" s="247">
        <f>COUNTIF($D$6:D1687,"&lt;&gt;"&amp;"")</f>
        <v>1682</v>
      </c>
      <c r="D1687" s="247">
        <f>'Table S2 Compound Identifiers'!B1689</f>
        <v>0</v>
      </c>
      <c r="E1687" s="247"/>
      <c r="F1687" s="248"/>
      <c r="G1687" s="249"/>
      <c r="H1687" s="330"/>
      <c r="I1687" s="328"/>
      <c r="J1687" s="249"/>
      <c r="K1687" s="330"/>
      <c r="L1687" s="250"/>
      <c r="M1687" s="249"/>
      <c r="N1687" s="330"/>
      <c r="O1687" s="250"/>
      <c r="P1687" s="249"/>
      <c r="Q1687" s="330"/>
      <c r="R1687" s="250"/>
      <c r="S1687" s="249"/>
      <c r="T1687" s="330"/>
      <c r="U1687" s="250"/>
      <c r="V1687" s="249"/>
      <c r="W1687" s="330"/>
      <c r="X1687" s="343"/>
      <c r="Y1687" s="249"/>
      <c r="Z1687" s="330"/>
      <c r="AA1687" s="343"/>
      <c r="AB1687" s="249"/>
      <c r="AC1687" s="330"/>
      <c r="AD1687" s="343"/>
      <c r="AE1687" s="249"/>
      <c r="AF1687" s="330"/>
      <c r="AG1687" s="343"/>
      <c r="AH1687" s="249"/>
      <c r="AI1687" s="330"/>
      <c r="AJ1687" s="343"/>
      <c r="AK1687" s="249"/>
      <c r="AL1687" s="330"/>
      <c r="AM1687" s="343"/>
      <c r="AN1687" s="249"/>
      <c r="AO1687" s="330"/>
      <c r="AP1687" s="343"/>
      <c r="AQ1687" s="249"/>
      <c r="AR1687" s="330"/>
      <c r="AS1687" s="343"/>
      <c r="AT1687" s="249"/>
      <c r="AU1687" s="330"/>
    </row>
    <row r="1688" spans="2:47">
      <c r="B1688" s="247">
        <f>'Table S2 Compound Identifiers'!C1690</f>
        <v>0</v>
      </c>
      <c r="C1688" s="247">
        <f>COUNTIF($D$6:D1688,"&lt;&gt;"&amp;"")</f>
        <v>1683</v>
      </c>
      <c r="D1688" s="247">
        <f>'Table S2 Compound Identifiers'!B1690</f>
        <v>0</v>
      </c>
      <c r="E1688" s="247"/>
      <c r="F1688" s="248"/>
      <c r="G1688" s="249"/>
      <c r="H1688" s="330"/>
      <c r="I1688" s="328"/>
      <c r="J1688" s="249"/>
      <c r="K1688" s="330"/>
      <c r="L1688" s="250"/>
      <c r="M1688" s="249"/>
      <c r="N1688" s="330"/>
      <c r="O1688" s="250"/>
      <c r="P1688" s="249"/>
      <c r="Q1688" s="330"/>
      <c r="R1688" s="250"/>
      <c r="S1688" s="249"/>
      <c r="T1688" s="330"/>
      <c r="U1688" s="250"/>
      <c r="V1688" s="249"/>
      <c r="W1688" s="330"/>
      <c r="X1688" s="343"/>
      <c r="Y1688" s="249"/>
      <c r="Z1688" s="330"/>
      <c r="AA1688" s="343"/>
      <c r="AB1688" s="249"/>
      <c r="AC1688" s="330"/>
      <c r="AD1688" s="343"/>
      <c r="AE1688" s="249"/>
      <c r="AF1688" s="330"/>
      <c r="AG1688" s="343"/>
      <c r="AH1688" s="249"/>
      <c r="AI1688" s="330"/>
      <c r="AJ1688" s="343"/>
      <c r="AK1688" s="249"/>
      <c r="AL1688" s="330"/>
      <c r="AM1688" s="343"/>
      <c r="AN1688" s="249"/>
      <c r="AO1688" s="330"/>
      <c r="AP1688" s="343"/>
      <c r="AQ1688" s="249"/>
      <c r="AR1688" s="330"/>
      <c r="AS1688" s="343"/>
      <c r="AT1688" s="249"/>
      <c r="AU1688" s="330"/>
    </row>
    <row r="1689" spans="2:47">
      <c r="B1689" s="247">
        <f>'Table S2 Compound Identifiers'!C1691</f>
        <v>0</v>
      </c>
      <c r="C1689" s="247">
        <f>COUNTIF($D$6:D1689,"&lt;&gt;"&amp;"")</f>
        <v>1684</v>
      </c>
      <c r="D1689" s="247">
        <f>'Table S2 Compound Identifiers'!B1691</f>
        <v>0</v>
      </c>
      <c r="E1689" s="247"/>
      <c r="F1689" s="248"/>
      <c r="G1689" s="249"/>
      <c r="H1689" s="330"/>
      <c r="I1689" s="328"/>
      <c r="J1689" s="249"/>
      <c r="K1689" s="330"/>
      <c r="L1689" s="250"/>
      <c r="M1689" s="249"/>
      <c r="N1689" s="330"/>
      <c r="O1689" s="250"/>
      <c r="P1689" s="249"/>
      <c r="Q1689" s="330"/>
      <c r="R1689" s="250"/>
      <c r="S1689" s="249"/>
      <c r="T1689" s="330"/>
      <c r="U1689" s="250"/>
      <c r="V1689" s="249"/>
      <c r="W1689" s="330"/>
      <c r="X1689" s="343"/>
      <c r="Y1689" s="249"/>
      <c r="Z1689" s="330"/>
      <c r="AA1689" s="343"/>
      <c r="AB1689" s="249"/>
      <c r="AC1689" s="330"/>
      <c r="AD1689" s="343"/>
      <c r="AE1689" s="249"/>
      <c r="AF1689" s="330"/>
      <c r="AG1689" s="343"/>
      <c r="AH1689" s="249"/>
      <c r="AI1689" s="330"/>
      <c r="AJ1689" s="343"/>
      <c r="AK1689" s="249"/>
      <c r="AL1689" s="330"/>
      <c r="AM1689" s="343"/>
      <c r="AN1689" s="249"/>
      <c r="AO1689" s="330"/>
      <c r="AP1689" s="343"/>
      <c r="AQ1689" s="249"/>
      <c r="AR1689" s="330"/>
      <c r="AS1689" s="343"/>
      <c r="AT1689" s="249"/>
      <c r="AU1689" s="330"/>
    </row>
    <row r="1690" spans="2:47">
      <c r="B1690" s="247">
        <f>'Table S2 Compound Identifiers'!C1692</f>
        <v>0</v>
      </c>
      <c r="C1690" s="247">
        <f>COUNTIF($D$6:D1690,"&lt;&gt;"&amp;"")</f>
        <v>1685</v>
      </c>
      <c r="D1690" s="432">
        <f>'Table S2 Compound Identifiers'!B1692</f>
        <v>0</v>
      </c>
      <c r="E1690" s="247"/>
      <c r="F1690" s="248"/>
      <c r="G1690" s="249"/>
      <c r="H1690" s="330"/>
      <c r="I1690" s="328"/>
      <c r="J1690" s="249"/>
      <c r="K1690" s="330"/>
      <c r="L1690" s="250"/>
      <c r="M1690" s="249"/>
      <c r="N1690" s="330"/>
      <c r="O1690" s="250"/>
      <c r="P1690" s="249"/>
      <c r="Q1690" s="330"/>
      <c r="R1690" s="250"/>
      <c r="S1690" s="249"/>
      <c r="T1690" s="330"/>
      <c r="U1690" s="250"/>
      <c r="V1690" s="249"/>
      <c r="W1690" s="330"/>
      <c r="X1690" s="343"/>
      <c r="Y1690" s="249"/>
      <c r="Z1690" s="330"/>
      <c r="AA1690" s="343"/>
      <c r="AB1690" s="249"/>
      <c r="AC1690" s="330"/>
      <c r="AD1690" s="343"/>
      <c r="AE1690" s="249"/>
      <c r="AF1690" s="330"/>
      <c r="AG1690" s="343"/>
      <c r="AH1690" s="249"/>
      <c r="AI1690" s="330"/>
      <c r="AJ1690" s="343"/>
      <c r="AK1690" s="249"/>
      <c r="AL1690" s="330"/>
      <c r="AM1690" s="343"/>
      <c r="AN1690" s="249"/>
      <c r="AO1690" s="330"/>
      <c r="AP1690" s="343"/>
      <c r="AQ1690" s="249"/>
      <c r="AR1690" s="330"/>
      <c r="AS1690" s="343"/>
      <c r="AT1690" s="249"/>
      <c r="AU1690" s="330"/>
    </row>
    <row r="1691" spans="2:47">
      <c r="B1691" s="247">
        <f>'Table S2 Compound Identifiers'!C1693</f>
        <v>0</v>
      </c>
      <c r="C1691" s="247">
        <f>COUNTIF($D$6:D1691,"&lt;&gt;"&amp;"")</f>
        <v>1686</v>
      </c>
      <c r="D1691" s="432">
        <f>'Table S2 Compound Identifiers'!B1693</f>
        <v>0</v>
      </c>
      <c r="E1691" s="247"/>
      <c r="F1691" s="248"/>
      <c r="G1691" s="249"/>
      <c r="H1691" s="330"/>
      <c r="I1691" s="328"/>
      <c r="J1691" s="249"/>
      <c r="K1691" s="330"/>
      <c r="L1691" s="250"/>
      <c r="M1691" s="249"/>
      <c r="N1691" s="330"/>
      <c r="O1691" s="250"/>
      <c r="P1691" s="249"/>
      <c r="Q1691" s="330"/>
      <c r="R1691" s="250"/>
      <c r="S1691" s="249"/>
      <c r="T1691" s="330"/>
      <c r="U1691" s="250"/>
      <c r="V1691" s="249"/>
      <c r="W1691" s="330"/>
      <c r="X1691" s="343"/>
      <c r="Y1691" s="249"/>
      <c r="Z1691" s="330"/>
      <c r="AA1691" s="343"/>
      <c r="AB1691" s="249"/>
      <c r="AC1691" s="330"/>
      <c r="AD1691" s="343"/>
      <c r="AE1691" s="249"/>
      <c r="AF1691" s="330"/>
      <c r="AG1691" s="343"/>
      <c r="AH1691" s="249"/>
      <c r="AI1691" s="330"/>
      <c r="AJ1691" s="343"/>
      <c r="AK1691" s="249"/>
      <c r="AL1691" s="330"/>
      <c r="AM1691" s="343"/>
      <c r="AN1691" s="249"/>
      <c r="AO1691" s="330"/>
      <c r="AP1691" s="343"/>
      <c r="AQ1691" s="249"/>
      <c r="AR1691" s="330"/>
      <c r="AS1691" s="343"/>
      <c r="AT1691" s="249"/>
      <c r="AU1691" s="330"/>
    </row>
    <row r="1692" spans="2:47">
      <c r="B1692" s="247">
        <f>'Table S2 Compound Identifiers'!C1694</f>
        <v>0</v>
      </c>
      <c r="C1692" s="247">
        <f>COUNTIF($D$6:D1692,"&lt;&gt;"&amp;"")</f>
        <v>1687</v>
      </c>
      <c r="D1692" s="432">
        <f>'Table S2 Compound Identifiers'!B1694</f>
        <v>0</v>
      </c>
      <c r="E1692" s="247"/>
      <c r="F1692" s="248"/>
      <c r="G1692" s="249"/>
      <c r="H1692" s="330"/>
      <c r="I1692" s="328"/>
      <c r="J1692" s="249"/>
      <c r="K1692" s="330"/>
      <c r="L1692" s="250"/>
      <c r="M1692" s="249"/>
      <c r="N1692" s="330"/>
      <c r="O1692" s="250"/>
      <c r="P1692" s="249"/>
      <c r="Q1692" s="330"/>
      <c r="R1692" s="250"/>
      <c r="S1692" s="249"/>
      <c r="T1692" s="330"/>
      <c r="U1692" s="250"/>
      <c r="V1692" s="249"/>
      <c r="W1692" s="330"/>
      <c r="X1692" s="343"/>
      <c r="Y1692" s="249"/>
      <c r="Z1692" s="330"/>
      <c r="AA1692" s="343"/>
      <c r="AB1692" s="249"/>
      <c r="AC1692" s="330"/>
      <c r="AD1692" s="343"/>
      <c r="AE1692" s="249"/>
      <c r="AF1692" s="330"/>
      <c r="AG1692" s="343"/>
      <c r="AH1692" s="249"/>
      <c r="AI1692" s="330"/>
      <c r="AJ1692" s="343"/>
      <c r="AK1692" s="249"/>
      <c r="AL1692" s="330"/>
      <c r="AM1692" s="343"/>
      <c r="AN1692" s="249"/>
      <c r="AO1692" s="330"/>
      <c r="AP1692" s="343"/>
      <c r="AQ1692" s="249"/>
      <c r="AR1692" s="330"/>
      <c r="AS1692" s="343"/>
      <c r="AT1692" s="249"/>
      <c r="AU1692" s="330"/>
    </row>
    <row r="1693" spans="2:47">
      <c r="B1693" s="247">
        <f>'Table S2 Compound Identifiers'!C1695</f>
        <v>0</v>
      </c>
      <c r="C1693" s="247">
        <f>COUNTIF($D$6:D1693,"&lt;&gt;"&amp;"")</f>
        <v>1688</v>
      </c>
      <c r="D1693" s="432">
        <f>'Table S2 Compound Identifiers'!B1695</f>
        <v>0</v>
      </c>
      <c r="E1693" s="247"/>
      <c r="F1693" s="248"/>
      <c r="G1693" s="249"/>
      <c r="H1693" s="330"/>
      <c r="I1693" s="328"/>
      <c r="J1693" s="249"/>
      <c r="K1693" s="330"/>
      <c r="L1693" s="250"/>
      <c r="M1693" s="249"/>
      <c r="N1693" s="330"/>
      <c r="O1693" s="250"/>
      <c r="P1693" s="249"/>
      <c r="Q1693" s="330"/>
      <c r="R1693" s="250"/>
      <c r="S1693" s="249"/>
      <c r="T1693" s="330"/>
      <c r="U1693" s="250"/>
      <c r="V1693" s="249"/>
      <c r="W1693" s="330"/>
      <c r="X1693" s="343"/>
      <c r="Y1693" s="249"/>
      <c r="Z1693" s="330"/>
      <c r="AA1693" s="343"/>
      <c r="AB1693" s="249"/>
      <c r="AC1693" s="330"/>
      <c r="AD1693" s="343"/>
      <c r="AE1693" s="249"/>
      <c r="AF1693" s="330"/>
      <c r="AG1693" s="343"/>
      <c r="AH1693" s="249"/>
      <c r="AI1693" s="330"/>
      <c r="AJ1693" s="343"/>
      <c r="AK1693" s="249"/>
      <c r="AL1693" s="330"/>
      <c r="AM1693" s="343"/>
      <c r="AN1693" s="249"/>
      <c r="AO1693" s="330"/>
      <c r="AP1693" s="343"/>
      <c r="AQ1693" s="249"/>
      <c r="AR1693" s="330"/>
      <c r="AS1693" s="343"/>
      <c r="AT1693" s="249"/>
      <c r="AU1693" s="330"/>
    </row>
    <row r="1694" spans="2:47">
      <c r="B1694" s="247">
        <f>'Table S2 Compound Identifiers'!C1696</f>
        <v>0</v>
      </c>
      <c r="C1694" s="247">
        <f>COUNTIF($D$6:D1694,"&lt;&gt;"&amp;"")</f>
        <v>1689</v>
      </c>
      <c r="D1694" s="432">
        <f>'Table S2 Compound Identifiers'!B1696</f>
        <v>0</v>
      </c>
      <c r="E1694" s="247"/>
      <c r="F1694" s="248"/>
      <c r="G1694" s="249"/>
      <c r="H1694" s="330"/>
      <c r="I1694" s="328"/>
      <c r="J1694" s="249"/>
      <c r="K1694" s="330"/>
      <c r="L1694" s="250"/>
      <c r="M1694" s="249"/>
      <c r="N1694" s="330"/>
      <c r="O1694" s="250"/>
      <c r="P1694" s="249"/>
      <c r="Q1694" s="330"/>
      <c r="R1694" s="250"/>
      <c r="S1694" s="249"/>
      <c r="T1694" s="330"/>
      <c r="U1694" s="250"/>
      <c r="V1694" s="249"/>
      <c r="W1694" s="330"/>
      <c r="X1694" s="343"/>
      <c r="Y1694" s="249"/>
      <c r="Z1694" s="330"/>
      <c r="AA1694" s="343"/>
      <c r="AB1694" s="249"/>
      <c r="AC1694" s="330"/>
      <c r="AD1694" s="343"/>
      <c r="AE1694" s="249"/>
      <c r="AF1694" s="330"/>
      <c r="AG1694" s="343"/>
      <c r="AH1694" s="249"/>
      <c r="AI1694" s="330"/>
      <c r="AJ1694" s="343"/>
      <c r="AK1694" s="249"/>
      <c r="AL1694" s="330"/>
      <c r="AM1694" s="343"/>
      <c r="AN1694" s="249"/>
      <c r="AO1694" s="330"/>
      <c r="AP1694" s="343"/>
      <c r="AQ1694" s="249"/>
      <c r="AR1694" s="330"/>
      <c r="AS1694" s="343"/>
      <c r="AT1694" s="249"/>
      <c r="AU1694" s="330"/>
    </row>
    <row r="1695" spans="2:47">
      <c r="B1695" s="247">
        <f>'Table S2 Compound Identifiers'!C1697</f>
        <v>0</v>
      </c>
      <c r="C1695" s="247">
        <f>COUNTIF($D$6:D1695,"&lt;&gt;"&amp;"")</f>
        <v>1690</v>
      </c>
      <c r="D1695" s="432">
        <f>'Table S2 Compound Identifiers'!B1697</f>
        <v>0</v>
      </c>
      <c r="E1695" s="247"/>
      <c r="F1695" s="248"/>
      <c r="G1695" s="249"/>
      <c r="H1695" s="330"/>
      <c r="I1695" s="328"/>
      <c r="J1695" s="249"/>
      <c r="K1695" s="330"/>
      <c r="L1695" s="250"/>
      <c r="M1695" s="249"/>
      <c r="N1695" s="330"/>
      <c r="O1695" s="250"/>
      <c r="P1695" s="249"/>
      <c r="Q1695" s="330"/>
      <c r="R1695" s="250"/>
      <c r="S1695" s="249"/>
      <c r="T1695" s="330"/>
      <c r="U1695" s="250"/>
      <c r="V1695" s="249"/>
      <c r="W1695" s="330"/>
      <c r="X1695" s="343"/>
      <c r="Y1695" s="249"/>
      <c r="Z1695" s="330"/>
      <c r="AA1695" s="343"/>
      <c r="AB1695" s="249"/>
      <c r="AC1695" s="330"/>
      <c r="AD1695" s="343"/>
      <c r="AE1695" s="249"/>
      <c r="AF1695" s="330"/>
      <c r="AG1695" s="343"/>
      <c r="AH1695" s="249"/>
      <c r="AI1695" s="330"/>
      <c r="AJ1695" s="343"/>
      <c r="AK1695" s="249"/>
      <c r="AL1695" s="330"/>
      <c r="AM1695" s="343"/>
      <c r="AN1695" s="249"/>
      <c r="AO1695" s="330"/>
      <c r="AP1695" s="343"/>
      <c r="AQ1695" s="249"/>
      <c r="AR1695" s="330"/>
      <c r="AS1695" s="343"/>
      <c r="AT1695" s="249"/>
      <c r="AU1695" s="330"/>
    </row>
    <row r="1696" spans="2:47">
      <c r="B1696" s="247">
        <f>'Table S2 Compound Identifiers'!C1698</f>
        <v>0</v>
      </c>
      <c r="C1696" s="247">
        <f>COUNTIF($D$6:D1696,"&lt;&gt;"&amp;"")</f>
        <v>1691</v>
      </c>
      <c r="D1696" s="432">
        <f>'Table S2 Compound Identifiers'!B1698</f>
        <v>0</v>
      </c>
      <c r="E1696" s="247"/>
      <c r="F1696" s="248"/>
      <c r="G1696" s="249"/>
      <c r="H1696" s="330"/>
      <c r="I1696" s="328"/>
      <c r="J1696" s="249"/>
      <c r="K1696" s="330"/>
      <c r="L1696" s="250"/>
      <c r="M1696" s="249"/>
      <c r="N1696" s="330"/>
      <c r="O1696" s="250"/>
      <c r="P1696" s="249"/>
      <c r="Q1696" s="330"/>
      <c r="R1696" s="250"/>
      <c r="S1696" s="249"/>
      <c r="T1696" s="330"/>
      <c r="U1696" s="250"/>
      <c r="V1696" s="249"/>
      <c r="W1696" s="330"/>
      <c r="X1696" s="343"/>
      <c r="Y1696" s="249"/>
      <c r="Z1696" s="330"/>
      <c r="AA1696" s="343"/>
      <c r="AB1696" s="249"/>
      <c r="AC1696" s="330"/>
      <c r="AD1696" s="343"/>
      <c r="AE1696" s="249"/>
      <c r="AF1696" s="330"/>
      <c r="AG1696" s="343"/>
      <c r="AH1696" s="249"/>
      <c r="AI1696" s="330"/>
      <c r="AJ1696" s="343"/>
      <c r="AK1696" s="249"/>
      <c r="AL1696" s="330"/>
      <c r="AM1696" s="343"/>
      <c r="AN1696" s="249"/>
      <c r="AO1696" s="330"/>
      <c r="AP1696" s="343"/>
      <c r="AQ1696" s="249"/>
      <c r="AR1696" s="330"/>
      <c r="AS1696" s="343"/>
      <c r="AT1696" s="249"/>
      <c r="AU1696" s="330"/>
    </row>
    <row r="1697" spans="2:47">
      <c r="B1697" s="247">
        <f>'Table S2 Compound Identifiers'!C1699</f>
        <v>0</v>
      </c>
      <c r="C1697" s="247">
        <f>COUNTIF($D$6:D1697,"&lt;&gt;"&amp;"")</f>
        <v>1692</v>
      </c>
      <c r="D1697" s="432">
        <f>'Table S2 Compound Identifiers'!B1699</f>
        <v>0</v>
      </c>
      <c r="E1697" s="247"/>
      <c r="F1697" s="248"/>
      <c r="G1697" s="249"/>
      <c r="H1697" s="330"/>
      <c r="I1697" s="328"/>
      <c r="J1697" s="249"/>
      <c r="K1697" s="330"/>
      <c r="L1697" s="250"/>
      <c r="M1697" s="249"/>
      <c r="N1697" s="330"/>
      <c r="O1697" s="250"/>
      <c r="P1697" s="249"/>
      <c r="Q1697" s="330"/>
      <c r="R1697" s="250"/>
      <c r="S1697" s="249"/>
      <c r="T1697" s="330"/>
      <c r="U1697" s="250"/>
      <c r="V1697" s="249"/>
      <c r="W1697" s="330"/>
      <c r="X1697" s="343"/>
      <c r="Y1697" s="249"/>
      <c r="Z1697" s="330"/>
      <c r="AA1697" s="343"/>
      <c r="AB1697" s="249"/>
      <c r="AC1697" s="330"/>
      <c r="AD1697" s="343"/>
      <c r="AE1697" s="249"/>
      <c r="AF1697" s="330"/>
      <c r="AG1697" s="343"/>
      <c r="AH1697" s="249"/>
      <c r="AI1697" s="330"/>
      <c r="AJ1697" s="343"/>
      <c r="AK1697" s="249"/>
      <c r="AL1697" s="330"/>
      <c r="AM1697" s="343"/>
      <c r="AN1697" s="249"/>
      <c r="AO1697" s="330"/>
      <c r="AP1697" s="343"/>
      <c r="AQ1697" s="249"/>
      <c r="AR1697" s="330"/>
      <c r="AS1697" s="343"/>
      <c r="AT1697" s="249"/>
      <c r="AU1697" s="330"/>
    </row>
    <row r="1698" spans="2:47">
      <c r="B1698" s="247">
        <f>'Table S2 Compound Identifiers'!C1700</f>
        <v>0</v>
      </c>
      <c r="C1698" s="247">
        <f>COUNTIF($D$6:D1698,"&lt;&gt;"&amp;"")</f>
        <v>1693</v>
      </c>
      <c r="D1698" s="432">
        <f>'Table S2 Compound Identifiers'!B1700</f>
        <v>0</v>
      </c>
      <c r="E1698" s="247"/>
      <c r="F1698" s="248"/>
      <c r="G1698" s="249"/>
      <c r="H1698" s="330"/>
      <c r="I1698" s="328"/>
      <c r="J1698" s="249"/>
      <c r="K1698" s="330"/>
      <c r="L1698" s="250"/>
      <c r="M1698" s="249"/>
      <c r="N1698" s="330"/>
      <c r="O1698" s="250"/>
      <c r="P1698" s="249"/>
      <c r="Q1698" s="330"/>
      <c r="R1698" s="250"/>
      <c r="S1698" s="249"/>
      <c r="T1698" s="330"/>
      <c r="U1698" s="250"/>
      <c r="V1698" s="249"/>
      <c r="W1698" s="330"/>
      <c r="X1698" s="343"/>
      <c r="Y1698" s="249"/>
      <c r="Z1698" s="330"/>
      <c r="AA1698" s="343"/>
      <c r="AB1698" s="249"/>
      <c r="AC1698" s="330"/>
      <c r="AD1698" s="343"/>
      <c r="AE1698" s="249"/>
      <c r="AF1698" s="330"/>
      <c r="AG1698" s="343"/>
      <c r="AH1698" s="249"/>
      <c r="AI1698" s="330"/>
      <c r="AJ1698" s="343"/>
      <c r="AK1698" s="249"/>
      <c r="AL1698" s="330"/>
      <c r="AM1698" s="343"/>
      <c r="AN1698" s="249"/>
      <c r="AO1698" s="330"/>
      <c r="AP1698" s="343"/>
      <c r="AQ1698" s="249"/>
      <c r="AR1698" s="330"/>
      <c r="AS1698" s="343"/>
      <c r="AT1698" s="249"/>
      <c r="AU1698" s="330"/>
    </row>
    <row r="1699" spans="2:47">
      <c r="B1699" s="247">
        <f>'Table S2 Compound Identifiers'!C1701</f>
        <v>0</v>
      </c>
      <c r="C1699" s="247">
        <f>COUNTIF($D$6:D1699,"&lt;&gt;"&amp;"")</f>
        <v>1694</v>
      </c>
      <c r="D1699" s="432">
        <f>'Table S2 Compound Identifiers'!B1701</f>
        <v>0</v>
      </c>
      <c r="E1699" s="247"/>
      <c r="F1699" s="248"/>
      <c r="G1699" s="249"/>
      <c r="H1699" s="330"/>
      <c r="I1699" s="328"/>
      <c r="J1699" s="249"/>
      <c r="K1699" s="330"/>
      <c r="L1699" s="250"/>
      <c r="M1699" s="249"/>
      <c r="N1699" s="330"/>
      <c r="O1699" s="250"/>
      <c r="P1699" s="249"/>
      <c r="Q1699" s="330"/>
      <c r="R1699" s="250"/>
      <c r="S1699" s="249"/>
      <c r="T1699" s="330"/>
      <c r="U1699" s="250"/>
      <c r="V1699" s="249"/>
      <c r="W1699" s="330"/>
      <c r="X1699" s="343"/>
      <c r="Y1699" s="249"/>
      <c r="Z1699" s="330"/>
      <c r="AA1699" s="343"/>
      <c r="AB1699" s="249"/>
      <c r="AC1699" s="330"/>
      <c r="AD1699" s="343"/>
      <c r="AE1699" s="249"/>
      <c r="AF1699" s="330"/>
      <c r="AG1699" s="343"/>
      <c r="AH1699" s="249"/>
      <c r="AI1699" s="330"/>
      <c r="AJ1699" s="343"/>
      <c r="AK1699" s="249"/>
      <c r="AL1699" s="330"/>
      <c r="AM1699" s="343"/>
      <c r="AN1699" s="249"/>
      <c r="AO1699" s="330"/>
      <c r="AP1699" s="343"/>
      <c r="AQ1699" s="249"/>
      <c r="AR1699" s="330"/>
      <c r="AS1699" s="343"/>
      <c r="AT1699" s="249"/>
      <c r="AU1699" s="330"/>
    </row>
    <row r="1700" spans="2:47">
      <c r="B1700" s="247">
        <f>'Table S2 Compound Identifiers'!C1702</f>
        <v>0</v>
      </c>
      <c r="C1700" s="247">
        <f>COUNTIF($D$6:D1700,"&lt;&gt;"&amp;"")</f>
        <v>1695</v>
      </c>
      <c r="D1700" s="247">
        <f>'Table S2 Compound Identifiers'!B1702</f>
        <v>0</v>
      </c>
      <c r="E1700" s="247"/>
      <c r="F1700" s="248"/>
      <c r="G1700" s="249"/>
      <c r="H1700" s="330"/>
      <c r="I1700" s="328"/>
      <c r="J1700" s="249"/>
      <c r="K1700" s="330"/>
      <c r="L1700" s="250"/>
      <c r="M1700" s="249"/>
      <c r="N1700" s="330"/>
      <c r="O1700" s="250"/>
      <c r="P1700" s="249"/>
      <c r="Q1700" s="330"/>
      <c r="R1700" s="250"/>
      <c r="S1700" s="249"/>
      <c r="T1700" s="330"/>
      <c r="U1700" s="250"/>
      <c r="V1700" s="249"/>
      <c r="W1700" s="330"/>
      <c r="X1700" s="343"/>
      <c r="Y1700" s="249"/>
      <c r="Z1700" s="330"/>
      <c r="AA1700" s="343"/>
      <c r="AB1700" s="249"/>
      <c r="AC1700" s="330"/>
      <c r="AD1700" s="343"/>
      <c r="AE1700" s="249"/>
      <c r="AF1700" s="330"/>
      <c r="AG1700" s="343"/>
      <c r="AH1700" s="249"/>
      <c r="AI1700" s="330"/>
      <c r="AJ1700" s="343"/>
      <c r="AK1700" s="249"/>
      <c r="AL1700" s="330"/>
      <c r="AM1700" s="343"/>
      <c r="AN1700" s="249"/>
      <c r="AO1700" s="330"/>
      <c r="AP1700" s="343"/>
      <c r="AQ1700" s="249"/>
      <c r="AR1700" s="330"/>
      <c r="AS1700" s="343"/>
      <c r="AT1700" s="249"/>
      <c r="AU1700" s="330"/>
    </row>
    <row r="1701" spans="2:47">
      <c r="B1701" s="247">
        <f>'Table S2 Compound Identifiers'!C1703</f>
        <v>0</v>
      </c>
      <c r="C1701" s="247">
        <f>COUNTIF($D$6:D1701,"&lt;&gt;"&amp;"")</f>
        <v>1696</v>
      </c>
      <c r="D1701" s="247">
        <f>'Table S2 Compound Identifiers'!B1703</f>
        <v>0</v>
      </c>
      <c r="E1701" s="247"/>
      <c r="F1701" s="248"/>
      <c r="G1701" s="249"/>
      <c r="H1701" s="330"/>
      <c r="I1701" s="328"/>
      <c r="J1701" s="249"/>
      <c r="K1701" s="330"/>
      <c r="L1701" s="250"/>
      <c r="M1701" s="249"/>
      <c r="N1701" s="330"/>
      <c r="O1701" s="250"/>
      <c r="P1701" s="249"/>
      <c r="Q1701" s="330"/>
      <c r="R1701" s="250"/>
      <c r="S1701" s="249"/>
      <c r="T1701" s="330"/>
      <c r="U1701" s="250"/>
      <c r="V1701" s="249"/>
      <c r="W1701" s="330"/>
      <c r="X1701" s="343"/>
      <c r="Y1701" s="249"/>
      <c r="Z1701" s="330"/>
      <c r="AA1701" s="343"/>
      <c r="AB1701" s="249"/>
      <c r="AC1701" s="330"/>
      <c r="AD1701" s="343"/>
      <c r="AE1701" s="249"/>
      <c r="AF1701" s="330"/>
      <c r="AG1701" s="343"/>
      <c r="AH1701" s="249"/>
      <c r="AI1701" s="330"/>
      <c r="AJ1701" s="343"/>
      <c r="AK1701" s="249"/>
      <c r="AL1701" s="330"/>
      <c r="AM1701" s="343"/>
      <c r="AN1701" s="249"/>
      <c r="AO1701" s="330"/>
      <c r="AP1701" s="343"/>
      <c r="AQ1701" s="249"/>
      <c r="AR1701" s="330"/>
      <c r="AS1701" s="343"/>
      <c r="AT1701" s="249"/>
      <c r="AU1701" s="330"/>
    </row>
    <row r="1702" spans="2:47">
      <c r="B1702" s="247">
        <f>'Table S2 Compound Identifiers'!C1704</f>
        <v>0</v>
      </c>
      <c r="C1702" s="247">
        <f>COUNTIF($D$6:D1702,"&lt;&gt;"&amp;"")</f>
        <v>1697</v>
      </c>
      <c r="D1702" s="247">
        <f>'Table S2 Compound Identifiers'!B1704</f>
        <v>0</v>
      </c>
      <c r="E1702" s="247"/>
      <c r="F1702" s="248"/>
      <c r="G1702" s="249"/>
      <c r="H1702" s="330"/>
      <c r="I1702" s="328"/>
      <c r="J1702" s="249"/>
      <c r="K1702" s="330"/>
      <c r="L1702" s="250"/>
      <c r="M1702" s="249"/>
      <c r="N1702" s="330"/>
      <c r="O1702" s="250"/>
      <c r="P1702" s="249"/>
      <c r="Q1702" s="330"/>
      <c r="R1702" s="250"/>
      <c r="S1702" s="249"/>
      <c r="T1702" s="330"/>
      <c r="U1702" s="250"/>
      <c r="V1702" s="249"/>
      <c r="W1702" s="330"/>
      <c r="X1702" s="343"/>
      <c r="Y1702" s="249"/>
      <c r="Z1702" s="330"/>
      <c r="AA1702" s="343"/>
      <c r="AB1702" s="249"/>
      <c r="AC1702" s="330"/>
      <c r="AD1702" s="343"/>
      <c r="AE1702" s="249"/>
      <c r="AF1702" s="330"/>
      <c r="AG1702" s="343"/>
      <c r="AH1702" s="249"/>
      <c r="AI1702" s="330"/>
      <c r="AJ1702" s="343"/>
      <c r="AK1702" s="249"/>
      <c r="AL1702" s="330"/>
      <c r="AM1702" s="343"/>
      <c r="AN1702" s="249"/>
      <c r="AO1702" s="330"/>
      <c r="AP1702" s="343"/>
      <c r="AQ1702" s="249"/>
      <c r="AR1702" s="330"/>
      <c r="AS1702" s="343"/>
      <c r="AT1702" s="249"/>
      <c r="AU1702" s="330"/>
    </row>
    <row r="1703" spans="2:47">
      <c r="B1703" s="247">
        <f>'Table S2 Compound Identifiers'!C1705</f>
        <v>0</v>
      </c>
      <c r="C1703" s="247">
        <f>COUNTIF($D$6:D1703,"&lt;&gt;"&amp;"")</f>
        <v>1698</v>
      </c>
      <c r="D1703" s="247">
        <f>'Table S2 Compound Identifiers'!B1705</f>
        <v>0</v>
      </c>
      <c r="E1703" s="247"/>
      <c r="F1703" s="248"/>
      <c r="G1703" s="249"/>
      <c r="H1703" s="330"/>
      <c r="I1703" s="328"/>
      <c r="J1703" s="249"/>
      <c r="K1703" s="330"/>
      <c r="L1703" s="250"/>
      <c r="M1703" s="249"/>
      <c r="N1703" s="330"/>
      <c r="O1703" s="250"/>
      <c r="P1703" s="249"/>
      <c r="Q1703" s="330"/>
      <c r="R1703" s="250"/>
      <c r="S1703" s="249"/>
      <c r="T1703" s="330"/>
      <c r="U1703" s="250"/>
      <c r="V1703" s="249"/>
      <c r="W1703" s="330"/>
      <c r="X1703" s="343"/>
      <c r="Y1703" s="249"/>
      <c r="Z1703" s="330"/>
      <c r="AA1703" s="343"/>
      <c r="AB1703" s="249"/>
      <c r="AC1703" s="330"/>
      <c r="AD1703" s="343"/>
      <c r="AE1703" s="249"/>
      <c r="AF1703" s="330"/>
      <c r="AG1703" s="343"/>
      <c r="AH1703" s="249"/>
      <c r="AI1703" s="330"/>
      <c r="AJ1703" s="343"/>
      <c r="AK1703" s="249"/>
      <c r="AL1703" s="330"/>
      <c r="AM1703" s="343"/>
      <c r="AN1703" s="249"/>
      <c r="AO1703" s="330"/>
      <c r="AP1703" s="343"/>
      <c r="AQ1703" s="249"/>
      <c r="AR1703" s="330"/>
      <c r="AS1703" s="343"/>
      <c r="AT1703" s="249"/>
      <c r="AU1703" s="330"/>
    </row>
    <row r="1704" spans="2:47">
      <c r="B1704" s="247">
        <f>'Table S2 Compound Identifiers'!C1706</f>
        <v>0</v>
      </c>
      <c r="C1704" s="247">
        <f>COUNTIF($D$6:D1704,"&lt;&gt;"&amp;"")</f>
        <v>1699</v>
      </c>
      <c r="D1704" s="247">
        <f>'Table S2 Compound Identifiers'!B1706</f>
        <v>0</v>
      </c>
      <c r="E1704" s="247"/>
      <c r="F1704" s="248"/>
      <c r="G1704" s="249"/>
      <c r="H1704" s="330"/>
      <c r="I1704" s="328"/>
      <c r="J1704" s="249"/>
      <c r="K1704" s="330"/>
      <c r="L1704" s="250"/>
      <c r="M1704" s="249"/>
      <c r="N1704" s="330"/>
      <c r="O1704" s="250"/>
      <c r="P1704" s="249"/>
      <c r="Q1704" s="330"/>
      <c r="R1704" s="250"/>
      <c r="S1704" s="249"/>
      <c r="T1704" s="330"/>
      <c r="U1704" s="250"/>
      <c r="V1704" s="249"/>
      <c r="W1704" s="330"/>
      <c r="X1704" s="343"/>
      <c r="Y1704" s="249"/>
      <c r="Z1704" s="330"/>
      <c r="AA1704" s="343"/>
      <c r="AB1704" s="249"/>
      <c r="AC1704" s="330"/>
      <c r="AD1704" s="343"/>
      <c r="AE1704" s="249"/>
      <c r="AF1704" s="330"/>
      <c r="AG1704" s="343"/>
      <c r="AH1704" s="249"/>
      <c r="AI1704" s="330"/>
      <c r="AJ1704" s="343"/>
      <c r="AK1704" s="249"/>
      <c r="AL1704" s="330"/>
      <c r="AM1704" s="343"/>
      <c r="AN1704" s="249"/>
      <c r="AO1704" s="330"/>
      <c r="AP1704" s="343"/>
      <c r="AQ1704" s="249"/>
      <c r="AR1704" s="330"/>
      <c r="AS1704" s="343"/>
      <c r="AT1704" s="249"/>
      <c r="AU1704" s="330"/>
    </row>
    <row r="1705" spans="2:47">
      <c r="B1705" s="247">
        <f>'Table S2 Compound Identifiers'!C1707</f>
        <v>0</v>
      </c>
      <c r="C1705" s="247">
        <f>COUNTIF($D$6:D1705,"&lt;&gt;"&amp;"")</f>
        <v>1700</v>
      </c>
      <c r="D1705" s="247">
        <f>'Table S2 Compound Identifiers'!B1707</f>
        <v>0</v>
      </c>
      <c r="E1705" s="247"/>
      <c r="F1705" s="248"/>
      <c r="G1705" s="249"/>
      <c r="H1705" s="330"/>
      <c r="I1705" s="328"/>
      <c r="J1705" s="249"/>
      <c r="K1705" s="330"/>
      <c r="L1705" s="250"/>
      <c r="M1705" s="249"/>
      <c r="N1705" s="330"/>
      <c r="O1705" s="250"/>
      <c r="P1705" s="249"/>
      <c r="Q1705" s="330"/>
      <c r="R1705" s="250"/>
      <c r="S1705" s="249"/>
      <c r="T1705" s="330"/>
      <c r="U1705" s="250"/>
      <c r="V1705" s="249"/>
      <c r="W1705" s="330"/>
      <c r="X1705" s="343"/>
      <c r="Y1705" s="249"/>
      <c r="Z1705" s="330"/>
      <c r="AA1705" s="343"/>
      <c r="AB1705" s="249"/>
      <c r="AC1705" s="330"/>
      <c r="AD1705" s="343"/>
      <c r="AE1705" s="249"/>
      <c r="AF1705" s="330"/>
      <c r="AG1705" s="343"/>
      <c r="AH1705" s="249"/>
      <c r="AI1705" s="330"/>
      <c r="AJ1705" s="343"/>
      <c r="AK1705" s="249"/>
      <c r="AL1705" s="330"/>
      <c r="AM1705" s="343"/>
      <c r="AN1705" s="249"/>
      <c r="AO1705" s="330"/>
      <c r="AP1705" s="343"/>
      <c r="AQ1705" s="249"/>
      <c r="AR1705" s="330"/>
      <c r="AS1705" s="343"/>
      <c r="AT1705" s="249"/>
      <c r="AU1705" s="330"/>
    </row>
    <row r="1706" spans="2:47">
      <c r="B1706" s="247">
        <f>'Table S2 Compound Identifiers'!C1708</f>
        <v>0</v>
      </c>
      <c r="C1706" s="247">
        <f>COUNTIF($D$6:D1706,"&lt;&gt;"&amp;"")</f>
        <v>1701</v>
      </c>
      <c r="D1706" s="247">
        <f>'Table S2 Compound Identifiers'!B1708</f>
        <v>0</v>
      </c>
      <c r="E1706" s="247"/>
      <c r="F1706" s="248"/>
      <c r="G1706" s="249"/>
      <c r="H1706" s="330"/>
      <c r="I1706" s="328"/>
      <c r="J1706" s="249"/>
      <c r="K1706" s="330"/>
      <c r="L1706" s="250"/>
      <c r="M1706" s="249"/>
      <c r="N1706" s="330"/>
      <c r="O1706" s="251"/>
      <c r="P1706" s="252"/>
      <c r="Q1706" s="330"/>
      <c r="R1706" s="251"/>
      <c r="S1706" s="252"/>
      <c r="T1706" s="330"/>
      <c r="U1706" s="251"/>
      <c r="V1706" s="252"/>
      <c r="W1706" s="330"/>
      <c r="X1706" s="343"/>
      <c r="Y1706" s="249"/>
      <c r="Z1706" s="330"/>
      <c r="AA1706" s="343"/>
      <c r="AB1706" s="249"/>
      <c r="AC1706" s="330"/>
      <c r="AD1706" s="343"/>
      <c r="AE1706" s="249"/>
      <c r="AF1706" s="330"/>
      <c r="AG1706" s="343"/>
      <c r="AH1706" s="249"/>
      <c r="AI1706" s="330"/>
      <c r="AJ1706" s="343"/>
      <c r="AK1706" s="249"/>
      <c r="AL1706" s="330"/>
      <c r="AM1706" s="343"/>
      <c r="AN1706" s="249"/>
      <c r="AO1706" s="330"/>
      <c r="AP1706" s="343"/>
      <c r="AQ1706" s="249"/>
      <c r="AR1706" s="330"/>
      <c r="AS1706" s="343"/>
      <c r="AT1706" s="249"/>
      <c r="AU1706" s="330"/>
    </row>
    <row r="1707" spans="2:47">
      <c r="B1707" s="247">
        <f>'Table S2 Compound Identifiers'!C1709</f>
        <v>0</v>
      </c>
      <c r="C1707" s="253">
        <f>COUNTIF($D$6:D1707,"&lt;&gt;"&amp;"")</f>
        <v>1702</v>
      </c>
      <c r="D1707" s="253">
        <f>'Table S2 Compound Identifiers'!B1709</f>
        <v>0</v>
      </c>
      <c r="E1707" s="253"/>
      <c r="F1707" s="254"/>
      <c r="G1707" s="252"/>
      <c r="H1707" s="330"/>
      <c r="I1707" s="333"/>
      <c r="J1707" s="252"/>
      <c r="K1707" s="330"/>
      <c r="L1707" s="251"/>
      <c r="M1707" s="252"/>
      <c r="N1707" s="330"/>
      <c r="O1707" s="251"/>
      <c r="P1707" s="252"/>
      <c r="Q1707" s="330"/>
      <c r="R1707" s="251"/>
      <c r="S1707" s="252"/>
      <c r="T1707" s="330"/>
      <c r="U1707" s="251"/>
      <c r="V1707" s="252"/>
      <c r="W1707" s="330"/>
      <c r="X1707" s="343"/>
      <c r="Y1707" s="249"/>
      <c r="Z1707" s="330"/>
      <c r="AA1707" s="343"/>
      <c r="AB1707" s="249"/>
      <c r="AC1707" s="330"/>
      <c r="AD1707" s="343"/>
      <c r="AE1707" s="249"/>
      <c r="AF1707" s="330"/>
      <c r="AG1707" s="343"/>
      <c r="AH1707" s="249"/>
      <c r="AI1707" s="330"/>
      <c r="AJ1707" s="343"/>
      <c r="AK1707" s="249"/>
      <c r="AL1707" s="330"/>
      <c r="AM1707" s="343"/>
      <c r="AN1707" s="249"/>
      <c r="AO1707" s="330"/>
      <c r="AP1707" s="343"/>
      <c r="AQ1707" s="249"/>
      <c r="AR1707" s="330"/>
      <c r="AS1707" s="343"/>
      <c r="AT1707" s="249"/>
      <c r="AU1707" s="330"/>
    </row>
    <row r="1708" spans="2:47">
      <c r="B1708" s="247">
        <f>'Table S2 Compound Identifiers'!C1710</f>
        <v>0</v>
      </c>
      <c r="C1708" s="247">
        <f>COUNTIF($D$6:D1708,"&lt;&gt;"&amp;"")</f>
        <v>1703</v>
      </c>
      <c r="D1708" s="247">
        <f>'Table S2 Compound Identifiers'!B1710</f>
        <v>0</v>
      </c>
      <c r="E1708" s="247"/>
      <c r="F1708" s="248"/>
      <c r="G1708" s="250"/>
      <c r="H1708" s="330"/>
      <c r="I1708" s="343"/>
      <c r="J1708" s="249"/>
      <c r="K1708" s="327"/>
      <c r="L1708" s="343"/>
      <c r="M1708" s="249"/>
      <c r="N1708" s="327"/>
      <c r="O1708" s="343"/>
      <c r="P1708" s="249"/>
      <c r="Q1708" s="327"/>
      <c r="R1708" s="343"/>
      <c r="S1708" s="249"/>
      <c r="T1708" s="327"/>
      <c r="U1708" s="343"/>
      <c r="V1708" s="249"/>
      <c r="W1708" s="327"/>
      <c r="X1708" s="343"/>
      <c r="Y1708" s="249"/>
      <c r="Z1708" s="327"/>
      <c r="AA1708" s="343"/>
      <c r="AB1708" s="249"/>
      <c r="AC1708" s="343"/>
      <c r="AD1708" s="343"/>
      <c r="AE1708" s="249"/>
      <c r="AF1708" s="249"/>
      <c r="AG1708" s="343"/>
      <c r="AH1708" s="249"/>
      <c r="AI1708" s="343"/>
      <c r="AJ1708" s="343"/>
      <c r="AK1708" s="249"/>
      <c r="AL1708" s="249"/>
      <c r="AM1708" s="343"/>
      <c r="AN1708" s="249"/>
      <c r="AO1708" s="343"/>
      <c r="AP1708" s="343"/>
      <c r="AQ1708" s="249"/>
      <c r="AR1708" s="249"/>
      <c r="AS1708" s="343"/>
      <c r="AT1708" s="249"/>
      <c r="AU1708" s="343"/>
    </row>
    <row r="1709" spans="2:47">
      <c r="B1709" s="247">
        <f>'Table S2 Compound Identifiers'!C1711</f>
        <v>0</v>
      </c>
      <c r="C1709" s="247">
        <f>COUNTIF($D$6:D1709,"&lt;&gt;"&amp;"")</f>
        <v>1704</v>
      </c>
      <c r="D1709" s="247">
        <f>'Table S2 Compound Identifiers'!B1711</f>
        <v>0</v>
      </c>
      <c r="E1709" s="247"/>
      <c r="F1709" s="248"/>
      <c r="G1709" s="249"/>
      <c r="H1709" s="330"/>
      <c r="I1709" s="332"/>
      <c r="J1709" s="330"/>
      <c r="K1709" s="330"/>
      <c r="L1709" s="330"/>
      <c r="M1709" s="330"/>
      <c r="N1709" s="330"/>
      <c r="O1709" s="330"/>
      <c r="P1709" s="330"/>
      <c r="Q1709" s="330"/>
      <c r="R1709" s="330"/>
      <c r="S1709" s="330"/>
      <c r="T1709" s="330"/>
      <c r="U1709" s="330"/>
      <c r="V1709" s="330"/>
      <c r="W1709" s="330"/>
      <c r="X1709" s="343"/>
      <c r="Y1709" s="249"/>
      <c r="Z1709" s="330"/>
      <c r="AA1709" s="343"/>
      <c r="AB1709" s="249"/>
      <c r="AC1709" s="330"/>
      <c r="AD1709" s="343"/>
      <c r="AE1709" s="249"/>
      <c r="AF1709" s="330"/>
      <c r="AG1709" s="343"/>
      <c r="AH1709" s="249"/>
      <c r="AI1709" s="330"/>
      <c r="AJ1709" s="343"/>
      <c r="AK1709" s="249"/>
      <c r="AL1709" s="330"/>
      <c r="AM1709" s="343"/>
      <c r="AN1709" s="249"/>
      <c r="AO1709" s="330"/>
      <c r="AP1709" s="343"/>
      <c r="AQ1709" s="249"/>
      <c r="AR1709" s="330"/>
      <c r="AS1709" s="343"/>
      <c r="AT1709" s="249"/>
      <c r="AU1709" s="330"/>
    </row>
    <row r="1710" spans="2:47">
      <c r="B1710" s="247">
        <f>'Table S2 Compound Identifiers'!C1712</f>
        <v>0</v>
      </c>
      <c r="C1710" s="247">
        <f>COUNTIF($D$6:D1710,"&lt;&gt;"&amp;"")</f>
        <v>1705</v>
      </c>
      <c r="D1710" s="247">
        <f>'Table S2 Compound Identifiers'!B1712</f>
        <v>0</v>
      </c>
      <c r="E1710" s="247"/>
      <c r="F1710" s="248"/>
      <c r="G1710" s="249"/>
      <c r="H1710" s="330"/>
      <c r="I1710" s="332"/>
      <c r="J1710" s="330"/>
      <c r="K1710" s="330"/>
      <c r="L1710" s="330"/>
      <c r="M1710" s="330"/>
      <c r="N1710" s="330"/>
      <c r="O1710" s="330"/>
      <c r="P1710" s="330"/>
      <c r="Q1710" s="330"/>
      <c r="R1710" s="330"/>
      <c r="S1710" s="330"/>
      <c r="T1710" s="330"/>
      <c r="U1710" s="330"/>
      <c r="V1710" s="330"/>
      <c r="W1710" s="330"/>
      <c r="X1710" s="343"/>
      <c r="Y1710" s="249"/>
      <c r="Z1710" s="330"/>
      <c r="AA1710" s="343"/>
      <c r="AB1710" s="249"/>
      <c r="AC1710" s="330"/>
      <c r="AD1710" s="343"/>
      <c r="AE1710" s="249"/>
      <c r="AF1710" s="330"/>
      <c r="AG1710" s="343"/>
      <c r="AH1710" s="249"/>
      <c r="AI1710" s="330"/>
      <c r="AJ1710" s="343"/>
      <c r="AK1710" s="249"/>
      <c r="AL1710" s="330"/>
      <c r="AM1710" s="343"/>
      <c r="AN1710" s="249"/>
      <c r="AO1710" s="330"/>
      <c r="AP1710" s="343"/>
      <c r="AQ1710" s="249"/>
      <c r="AR1710" s="330"/>
      <c r="AS1710" s="343"/>
      <c r="AT1710" s="249"/>
      <c r="AU1710" s="330"/>
    </row>
    <row r="1711" spans="2:47">
      <c r="B1711" s="247">
        <f>'Table S2 Compound Identifiers'!C1713</f>
        <v>0</v>
      </c>
      <c r="C1711" s="247">
        <f>COUNTIF($D$6:D1711,"&lt;&gt;"&amp;"")</f>
        <v>1706</v>
      </c>
      <c r="D1711" s="247">
        <f>'Table S2 Compound Identifiers'!B1713</f>
        <v>0</v>
      </c>
      <c r="E1711" s="247"/>
      <c r="F1711" s="248"/>
      <c r="G1711" s="249"/>
      <c r="H1711" s="330"/>
      <c r="I1711" s="332"/>
      <c r="J1711" s="330"/>
      <c r="K1711" s="330"/>
      <c r="L1711" s="330"/>
      <c r="M1711" s="330"/>
      <c r="N1711" s="330"/>
      <c r="O1711" s="330"/>
      <c r="P1711" s="330"/>
      <c r="Q1711" s="330"/>
      <c r="R1711" s="330"/>
      <c r="S1711" s="330"/>
      <c r="T1711" s="330"/>
      <c r="U1711" s="330"/>
      <c r="V1711" s="330"/>
      <c r="W1711" s="330"/>
      <c r="X1711" s="343"/>
      <c r="Y1711" s="249"/>
      <c r="Z1711" s="330"/>
      <c r="AA1711" s="343"/>
      <c r="AB1711" s="249"/>
      <c r="AC1711" s="330"/>
      <c r="AD1711" s="343"/>
      <c r="AE1711" s="249"/>
      <c r="AF1711" s="330"/>
      <c r="AG1711" s="343"/>
      <c r="AH1711" s="249"/>
      <c r="AI1711" s="330"/>
      <c r="AJ1711" s="343"/>
      <c r="AK1711" s="249"/>
      <c r="AL1711" s="330"/>
      <c r="AM1711" s="343"/>
      <c r="AN1711" s="249"/>
      <c r="AO1711" s="330"/>
      <c r="AP1711" s="343"/>
      <c r="AQ1711" s="249"/>
      <c r="AR1711" s="330"/>
      <c r="AS1711" s="343"/>
      <c r="AT1711" s="249"/>
      <c r="AU1711" s="330"/>
    </row>
    <row r="1712" spans="2:47">
      <c r="B1712" s="247">
        <f>'Table S2 Compound Identifiers'!C1714</f>
        <v>0</v>
      </c>
      <c r="C1712" s="247">
        <f>COUNTIF($D$6:D1712,"&lt;&gt;"&amp;"")</f>
        <v>1707</v>
      </c>
      <c r="D1712" s="247">
        <f>'Table S2 Compound Identifiers'!B1714</f>
        <v>0</v>
      </c>
      <c r="E1712" s="247"/>
      <c r="F1712" s="248"/>
      <c r="G1712" s="249"/>
      <c r="H1712" s="330"/>
      <c r="I1712" s="328"/>
      <c r="J1712" s="249"/>
      <c r="K1712" s="330"/>
      <c r="L1712" s="250"/>
      <c r="M1712" s="249"/>
      <c r="N1712" s="330"/>
      <c r="O1712" s="250"/>
      <c r="P1712" s="249"/>
      <c r="Q1712" s="330"/>
      <c r="R1712" s="250"/>
      <c r="S1712" s="249"/>
      <c r="T1712" s="330"/>
      <c r="U1712" s="250"/>
      <c r="V1712" s="249"/>
      <c r="W1712" s="330"/>
      <c r="X1712" s="343"/>
      <c r="Y1712" s="249"/>
      <c r="Z1712" s="330"/>
      <c r="AA1712" s="343"/>
      <c r="AB1712" s="249"/>
      <c r="AC1712" s="330"/>
      <c r="AD1712" s="343"/>
      <c r="AE1712" s="249"/>
      <c r="AF1712" s="330"/>
      <c r="AG1712" s="343"/>
      <c r="AH1712" s="249"/>
      <c r="AI1712" s="330"/>
      <c r="AJ1712" s="343"/>
      <c r="AK1712" s="249"/>
      <c r="AL1712" s="330"/>
      <c r="AM1712" s="343"/>
      <c r="AN1712" s="249"/>
      <c r="AO1712" s="330"/>
      <c r="AP1712" s="343"/>
      <c r="AQ1712" s="249"/>
      <c r="AR1712" s="330"/>
      <c r="AS1712" s="343"/>
      <c r="AT1712" s="249"/>
      <c r="AU1712" s="330"/>
    </row>
    <row r="1713" spans="2:47">
      <c r="B1713" s="247">
        <f>'Table S2 Compound Identifiers'!C1715</f>
        <v>0</v>
      </c>
      <c r="C1713" s="247">
        <f>COUNTIF($D$6:D1713,"&lt;&gt;"&amp;"")</f>
        <v>1708</v>
      </c>
      <c r="D1713" s="247">
        <f>'Table S2 Compound Identifiers'!B1715</f>
        <v>0</v>
      </c>
      <c r="E1713" s="247"/>
      <c r="F1713" s="248"/>
      <c r="G1713" s="249"/>
      <c r="H1713" s="330"/>
      <c r="I1713" s="328"/>
      <c r="J1713" s="249"/>
      <c r="K1713" s="330"/>
      <c r="L1713" s="250"/>
      <c r="M1713" s="249"/>
      <c r="N1713" s="330"/>
      <c r="O1713" s="250"/>
      <c r="P1713" s="249"/>
      <c r="Q1713" s="330"/>
      <c r="R1713" s="250"/>
      <c r="S1713" s="249"/>
      <c r="T1713" s="330"/>
      <c r="U1713" s="250"/>
      <c r="V1713" s="249"/>
      <c r="W1713" s="330"/>
      <c r="X1713" s="343"/>
      <c r="Y1713" s="249"/>
      <c r="Z1713" s="330"/>
      <c r="AA1713" s="343"/>
      <c r="AB1713" s="249"/>
      <c r="AC1713" s="330"/>
      <c r="AD1713" s="343"/>
      <c r="AE1713" s="249"/>
      <c r="AF1713" s="330"/>
      <c r="AG1713" s="343"/>
      <c r="AH1713" s="249"/>
      <c r="AI1713" s="330"/>
      <c r="AJ1713" s="343"/>
      <c r="AK1713" s="249"/>
      <c r="AL1713" s="330"/>
      <c r="AM1713" s="343"/>
      <c r="AN1713" s="249"/>
      <c r="AO1713" s="330"/>
      <c r="AP1713" s="343"/>
      <c r="AQ1713" s="249"/>
      <c r="AR1713" s="330"/>
      <c r="AS1713" s="343"/>
      <c r="AT1713" s="249"/>
      <c r="AU1713" s="330"/>
    </row>
    <row r="1714" spans="2:47">
      <c r="B1714" s="247">
        <f>'Table S2 Compound Identifiers'!C1716</f>
        <v>0</v>
      </c>
      <c r="C1714" s="247">
        <f>COUNTIF($D$6:D1714,"&lt;&gt;"&amp;"")</f>
        <v>1709</v>
      </c>
      <c r="D1714" s="247">
        <f>'Table S2 Compound Identifiers'!B1716</f>
        <v>0</v>
      </c>
      <c r="E1714" s="247"/>
      <c r="F1714" s="248"/>
      <c r="G1714" s="249"/>
      <c r="H1714" s="330"/>
      <c r="I1714" s="328"/>
      <c r="J1714" s="249"/>
      <c r="K1714" s="330"/>
      <c r="L1714" s="250"/>
      <c r="M1714" s="249"/>
      <c r="N1714" s="330"/>
      <c r="O1714" s="250"/>
      <c r="P1714" s="249"/>
      <c r="Q1714" s="330"/>
      <c r="R1714" s="250"/>
      <c r="S1714" s="249"/>
      <c r="T1714" s="330"/>
      <c r="U1714" s="250"/>
      <c r="V1714" s="249"/>
      <c r="W1714" s="330"/>
      <c r="X1714" s="343"/>
      <c r="Y1714" s="249"/>
      <c r="Z1714" s="330"/>
      <c r="AA1714" s="343"/>
      <c r="AB1714" s="249"/>
      <c r="AC1714" s="330"/>
      <c r="AD1714" s="343"/>
      <c r="AE1714" s="249"/>
      <c r="AF1714" s="330"/>
      <c r="AG1714" s="343"/>
      <c r="AH1714" s="249"/>
      <c r="AI1714" s="330"/>
      <c r="AJ1714" s="343"/>
      <c r="AK1714" s="249"/>
      <c r="AL1714" s="330"/>
      <c r="AM1714" s="343"/>
      <c r="AN1714" s="249"/>
      <c r="AO1714" s="330"/>
      <c r="AP1714" s="343"/>
      <c r="AQ1714" s="249"/>
      <c r="AR1714" s="330"/>
      <c r="AS1714" s="343"/>
      <c r="AT1714" s="249"/>
      <c r="AU1714" s="330"/>
    </row>
    <row r="1715" spans="2:47">
      <c r="B1715" s="247">
        <f>'Table S2 Compound Identifiers'!C1717</f>
        <v>0</v>
      </c>
      <c r="C1715" s="247">
        <f>COUNTIF($D$6:D1715,"&lt;&gt;"&amp;"")</f>
        <v>1710</v>
      </c>
      <c r="D1715" s="247">
        <f>'Table S2 Compound Identifiers'!B1717</f>
        <v>0</v>
      </c>
      <c r="E1715" s="247"/>
      <c r="F1715" s="248"/>
      <c r="G1715" s="249"/>
      <c r="H1715" s="330"/>
      <c r="I1715" s="328"/>
      <c r="J1715" s="249"/>
      <c r="K1715" s="330"/>
      <c r="L1715" s="250"/>
      <c r="M1715" s="249"/>
      <c r="N1715" s="330"/>
      <c r="O1715" s="250"/>
      <c r="P1715" s="249"/>
      <c r="Q1715" s="330"/>
      <c r="R1715" s="250"/>
      <c r="S1715" s="249"/>
      <c r="T1715" s="330"/>
      <c r="U1715" s="250"/>
      <c r="V1715" s="249"/>
      <c r="W1715" s="330"/>
      <c r="X1715" s="343"/>
      <c r="Y1715" s="249"/>
      <c r="Z1715" s="330"/>
      <c r="AA1715" s="343"/>
      <c r="AB1715" s="249"/>
      <c r="AC1715" s="330"/>
      <c r="AD1715" s="343"/>
      <c r="AE1715" s="249"/>
      <c r="AF1715" s="330"/>
      <c r="AG1715" s="343"/>
      <c r="AH1715" s="249"/>
      <c r="AI1715" s="330"/>
      <c r="AJ1715" s="343"/>
      <c r="AK1715" s="249"/>
      <c r="AL1715" s="330"/>
      <c r="AM1715" s="343"/>
      <c r="AN1715" s="249"/>
      <c r="AO1715" s="330"/>
      <c r="AP1715" s="343"/>
      <c r="AQ1715" s="249"/>
      <c r="AR1715" s="330"/>
      <c r="AS1715" s="343"/>
      <c r="AT1715" s="249"/>
      <c r="AU1715" s="330"/>
    </row>
    <row r="1716" spans="2:47">
      <c r="B1716" s="247">
        <f>'Table S2 Compound Identifiers'!C1718</f>
        <v>0</v>
      </c>
      <c r="C1716" s="247">
        <f>COUNTIF($D$6:D1716,"&lt;&gt;"&amp;"")</f>
        <v>1711</v>
      </c>
      <c r="D1716" s="247">
        <f>'Table S2 Compound Identifiers'!B1718</f>
        <v>0</v>
      </c>
      <c r="E1716" s="247"/>
      <c r="F1716" s="248"/>
      <c r="G1716" s="249"/>
      <c r="H1716" s="330"/>
      <c r="I1716" s="328"/>
      <c r="J1716" s="249"/>
      <c r="K1716" s="330"/>
      <c r="L1716" s="250"/>
      <c r="M1716" s="249"/>
      <c r="N1716" s="330"/>
      <c r="O1716" s="250"/>
      <c r="P1716" s="249"/>
      <c r="Q1716" s="330"/>
      <c r="R1716" s="250"/>
      <c r="S1716" s="249"/>
      <c r="T1716" s="330"/>
      <c r="U1716" s="250"/>
      <c r="V1716" s="249"/>
      <c r="W1716" s="330"/>
      <c r="X1716" s="343"/>
      <c r="Y1716" s="249"/>
      <c r="Z1716" s="330"/>
      <c r="AA1716" s="343"/>
      <c r="AB1716" s="249"/>
      <c r="AC1716" s="330"/>
      <c r="AD1716" s="343"/>
      <c r="AE1716" s="249"/>
      <c r="AF1716" s="330"/>
      <c r="AG1716" s="343"/>
      <c r="AH1716" s="249"/>
      <c r="AI1716" s="330"/>
      <c r="AJ1716" s="343"/>
      <c r="AK1716" s="249"/>
      <c r="AL1716" s="330"/>
      <c r="AM1716" s="343"/>
      <c r="AN1716" s="249"/>
      <c r="AO1716" s="330"/>
      <c r="AP1716" s="343"/>
      <c r="AQ1716" s="249"/>
      <c r="AR1716" s="330"/>
      <c r="AS1716" s="343"/>
      <c r="AT1716" s="249"/>
      <c r="AU1716" s="330"/>
    </row>
    <row r="1717" spans="2:47">
      <c r="B1717" s="247">
        <f>'Table S2 Compound Identifiers'!C1719</f>
        <v>0</v>
      </c>
      <c r="C1717" s="247">
        <f>COUNTIF($D$6:D1717,"&lt;&gt;"&amp;"")</f>
        <v>1712</v>
      </c>
      <c r="D1717" s="247">
        <f>'Table S2 Compound Identifiers'!B1719</f>
        <v>0</v>
      </c>
      <c r="E1717" s="247"/>
      <c r="F1717" s="248"/>
      <c r="G1717" s="249"/>
      <c r="H1717" s="330"/>
      <c r="I1717" s="328"/>
      <c r="J1717" s="249"/>
      <c r="K1717" s="330"/>
      <c r="L1717" s="250"/>
      <c r="M1717" s="249"/>
      <c r="N1717" s="330"/>
      <c r="O1717" s="250"/>
      <c r="P1717" s="249"/>
      <c r="Q1717" s="330"/>
      <c r="R1717" s="250"/>
      <c r="S1717" s="249"/>
      <c r="T1717" s="330"/>
      <c r="U1717" s="250"/>
      <c r="V1717" s="249"/>
      <c r="W1717" s="330"/>
      <c r="X1717" s="343"/>
      <c r="Y1717" s="249"/>
      <c r="Z1717" s="330"/>
      <c r="AA1717" s="343"/>
      <c r="AB1717" s="249"/>
      <c r="AC1717" s="330"/>
      <c r="AD1717" s="343"/>
      <c r="AE1717" s="249"/>
      <c r="AF1717" s="330"/>
      <c r="AG1717" s="343"/>
      <c r="AH1717" s="249"/>
      <c r="AI1717" s="330"/>
      <c r="AJ1717" s="343"/>
      <c r="AK1717" s="249"/>
      <c r="AL1717" s="330"/>
      <c r="AM1717" s="343"/>
      <c r="AN1717" s="249"/>
      <c r="AO1717" s="330"/>
      <c r="AP1717" s="343"/>
      <c r="AQ1717" s="249"/>
      <c r="AR1717" s="330"/>
      <c r="AS1717" s="343"/>
      <c r="AT1717" s="249"/>
      <c r="AU1717" s="330"/>
    </row>
    <row r="1718" spans="2:47">
      <c r="B1718" s="247">
        <f>'Table S2 Compound Identifiers'!C1720</f>
        <v>0</v>
      </c>
      <c r="C1718" s="247">
        <f>COUNTIF($D$6:D1718,"&lt;&gt;"&amp;"")</f>
        <v>1713</v>
      </c>
      <c r="D1718" s="247">
        <f>'Table S2 Compound Identifiers'!B1720</f>
        <v>0</v>
      </c>
      <c r="E1718" s="247"/>
      <c r="F1718" s="248"/>
      <c r="G1718" s="249"/>
      <c r="H1718" s="330"/>
      <c r="I1718" s="328"/>
      <c r="J1718" s="249"/>
      <c r="K1718" s="330"/>
      <c r="L1718" s="250"/>
      <c r="M1718" s="249"/>
      <c r="N1718" s="330"/>
      <c r="O1718" s="250"/>
      <c r="P1718" s="249"/>
      <c r="Q1718" s="330"/>
      <c r="R1718" s="250"/>
      <c r="S1718" s="249"/>
      <c r="T1718" s="330"/>
      <c r="U1718" s="250"/>
      <c r="V1718" s="249"/>
      <c r="W1718" s="330"/>
      <c r="X1718" s="343"/>
      <c r="Y1718" s="249"/>
      <c r="Z1718" s="330"/>
      <c r="AA1718" s="343"/>
      <c r="AB1718" s="249"/>
      <c r="AC1718" s="330"/>
      <c r="AD1718" s="343"/>
      <c r="AE1718" s="249"/>
      <c r="AF1718" s="330"/>
      <c r="AG1718" s="343"/>
      <c r="AH1718" s="249"/>
      <c r="AI1718" s="330"/>
      <c r="AJ1718" s="343"/>
      <c r="AK1718" s="249"/>
      <c r="AL1718" s="330"/>
      <c r="AM1718" s="343"/>
      <c r="AN1718" s="249"/>
      <c r="AO1718" s="330"/>
      <c r="AP1718" s="343"/>
      <c r="AQ1718" s="249"/>
      <c r="AR1718" s="330"/>
      <c r="AS1718" s="343"/>
      <c r="AT1718" s="249"/>
      <c r="AU1718" s="330"/>
    </row>
    <row r="1719" spans="2:47">
      <c r="B1719" s="247">
        <f>'Table S2 Compound Identifiers'!C1721</f>
        <v>0</v>
      </c>
      <c r="C1719" s="247">
        <f>COUNTIF($D$6:D1719,"&lt;&gt;"&amp;"")</f>
        <v>1714</v>
      </c>
      <c r="D1719" s="247">
        <f>'Table S2 Compound Identifiers'!B1721</f>
        <v>0</v>
      </c>
      <c r="E1719" s="247"/>
      <c r="F1719" s="248"/>
      <c r="G1719" s="249"/>
      <c r="H1719" s="330"/>
      <c r="I1719" s="328"/>
      <c r="J1719" s="249"/>
      <c r="K1719" s="330"/>
      <c r="L1719" s="250"/>
      <c r="M1719" s="249"/>
      <c r="N1719" s="330"/>
      <c r="O1719" s="250"/>
      <c r="P1719" s="249"/>
      <c r="Q1719" s="330"/>
      <c r="R1719" s="250"/>
      <c r="S1719" s="249"/>
      <c r="T1719" s="330"/>
      <c r="U1719" s="250"/>
      <c r="V1719" s="249"/>
      <c r="W1719" s="330"/>
      <c r="X1719" s="343"/>
      <c r="Y1719" s="249"/>
      <c r="Z1719" s="330"/>
      <c r="AA1719" s="343"/>
      <c r="AB1719" s="249"/>
      <c r="AC1719" s="330"/>
      <c r="AD1719" s="343"/>
      <c r="AE1719" s="249"/>
      <c r="AF1719" s="330"/>
      <c r="AG1719" s="343"/>
      <c r="AH1719" s="249"/>
      <c r="AI1719" s="330"/>
      <c r="AJ1719" s="343"/>
      <c r="AK1719" s="249"/>
      <c r="AL1719" s="330"/>
      <c r="AM1719" s="343"/>
      <c r="AN1719" s="249"/>
      <c r="AO1719" s="330"/>
      <c r="AP1719" s="343"/>
      <c r="AQ1719" s="249"/>
      <c r="AR1719" s="330"/>
      <c r="AS1719" s="343"/>
      <c r="AT1719" s="249"/>
      <c r="AU1719" s="330"/>
    </row>
    <row r="1720" spans="2:47">
      <c r="B1720" s="247">
        <f>'Table S2 Compound Identifiers'!C1722</f>
        <v>0</v>
      </c>
      <c r="C1720" s="247">
        <f>COUNTIF($D$6:D1720,"&lt;&gt;"&amp;"")</f>
        <v>1715</v>
      </c>
      <c r="D1720" s="247">
        <f>'Table S2 Compound Identifiers'!B1722</f>
        <v>0</v>
      </c>
      <c r="E1720" s="247"/>
      <c r="F1720" s="248"/>
      <c r="G1720" s="249"/>
      <c r="H1720" s="330"/>
      <c r="I1720" s="328"/>
      <c r="J1720" s="249"/>
      <c r="K1720" s="330"/>
      <c r="L1720" s="250"/>
      <c r="M1720" s="249"/>
      <c r="N1720" s="330"/>
      <c r="O1720" s="250"/>
      <c r="P1720" s="249"/>
      <c r="Q1720" s="330"/>
      <c r="R1720" s="250"/>
      <c r="S1720" s="249"/>
      <c r="T1720" s="330"/>
      <c r="U1720" s="250"/>
      <c r="V1720" s="249"/>
      <c r="W1720" s="330"/>
      <c r="X1720" s="343"/>
      <c r="Y1720" s="249"/>
      <c r="Z1720" s="330"/>
      <c r="AA1720" s="343"/>
      <c r="AB1720" s="249"/>
      <c r="AC1720" s="330"/>
      <c r="AD1720" s="343"/>
      <c r="AE1720" s="249"/>
      <c r="AF1720" s="330"/>
      <c r="AG1720" s="343"/>
      <c r="AH1720" s="249"/>
      <c r="AI1720" s="330"/>
      <c r="AJ1720" s="343"/>
      <c r="AK1720" s="249"/>
      <c r="AL1720" s="330"/>
      <c r="AM1720" s="343"/>
      <c r="AN1720" s="249"/>
      <c r="AO1720" s="330"/>
      <c r="AP1720" s="343"/>
      <c r="AQ1720" s="249"/>
      <c r="AR1720" s="330"/>
      <c r="AS1720" s="343"/>
      <c r="AT1720" s="249"/>
      <c r="AU1720" s="330"/>
    </row>
    <row r="1721" spans="2:47">
      <c r="B1721" s="247">
        <f>'Table S2 Compound Identifiers'!C1723</f>
        <v>0</v>
      </c>
      <c r="C1721" s="247">
        <f>COUNTIF($D$6:D1721,"&lt;&gt;"&amp;"")</f>
        <v>1716</v>
      </c>
      <c r="D1721" s="247">
        <f>'Table S2 Compound Identifiers'!B1723</f>
        <v>0</v>
      </c>
      <c r="E1721" s="247"/>
      <c r="F1721" s="248"/>
      <c r="G1721" s="249"/>
      <c r="H1721" s="330"/>
      <c r="I1721" s="328"/>
      <c r="J1721" s="249"/>
      <c r="K1721" s="330"/>
      <c r="L1721" s="250"/>
      <c r="M1721" s="249"/>
      <c r="N1721" s="330"/>
      <c r="O1721" s="250"/>
      <c r="P1721" s="249"/>
      <c r="Q1721" s="330"/>
      <c r="R1721" s="250"/>
      <c r="S1721" s="249"/>
      <c r="T1721" s="330"/>
      <c r="U1721" s="250"/>
      <c r="V1721" s="249"/>
      <c r="W1721" s="330"/>
      <c r="X1721" s="343"/>
      <c r="Y1721" s="249"/>
      <c r="Z1721" s="330"/>
      <c r="AA1721" s="343"/>
      <c r="AB1721" s="249"/>
      <c r="AC1721" s="330"/>
      <c r="AD1721" s="343"/>
      <c r="AE1721" s="249"/>
      <c r="AF1721" s="330"/>
      <c r="AG1721" s="343"/>
      <c r="AH1721" s="249"/>
      <c r="AI1721" s="330"/>
      <c r="AJ1721" s="343"/>
      <c r="AK1721" s="249"/>
      <c r="AL1721" s="330"/>
      <c r="AM1721" s="343"/>
      <c r="AN1721" s="249"/>
      <c r="AO1721" s="330"/>
      <c r="AP1721" s="343"/>
      <c r="AQ1721" s="249"/>
      <c r="AR1721" s="330"/>
      <c r="AS1721" s="343"/>
      <c r="AT1721" s="249"/>
      <c r="AU1721" s="330"/>
    </row>
    <row r="1722" spans="2:47">
      <c r="B1722" s="247">
        <f>'Table S2 Compound Identifiers'!C1724</f>
        <v>0</v>
      </c>
      <c r="C1722" s="247">
        <f>COUNTIF($D$6:D1722,"&lt;&gt;"&amp;"")</f>
        <v>1717</v>
      </c>
      <c r="D1722" s="247">
        <f>'Table S2 Compound Identifiers'!B1724</f>
        <v>0</v>
      </c>
      <c r="E1722" s="247"/>
      <c r="F1722" s="248"/>
      <c r="G1722" s="249"/>
      <c r="H1722" s="330"/>
      <c r="I1722" s="328"/>
      <c r="J1722" s="249"/>
      <c r="K1722" s="330"/>
      <c r="L1722" s="250"/>
      <c r="M1722" s="249"/>
      <c r="N1722" s="330"/>
      <c r="O1722" s="250"/>
      <c r="P1722" s="249"/>
      <c r="Q1722" s="330"/>
      <c r="R1722" s="250"/>
      <c r="S1722" s="249"/>
      <c r="T1722" s="330"/>
      <c r="U1722" s="250"/>
      <c r="V1722" s="249"/>
      <c r="W1722" s="330"/>
      <c r="X1722" s="343"/>
      <c r="Y1722" s="249"/>
      <c r="Z1722" s="330"/>
      <c r="AA1722" s="343"/>
      <c r="AB1722" s="249"/>
      <c r="AC1722" s="330"/>
      <c r="AD1722" s="343"/>
      <c r="AE1722" s="249"/>
      <c r="AF1722" s="330"/>
      <c r="AG1722" s="343"/>
      <c r="AH1722" s="249"/>
      <c r="AI1722" s="330"/>
      <c r="AJ1722" s="343"/>
      <c r="AK1722" s="249"/>
      <c r="AL1722" s="330"/>
      <c r="AM1722" s="343"/>
      <c r="AN1722" s="249"/>
      <c r="AO1722" s="330"/>
      <c r="AP1722" s="343"/>
      <c r="AQ1722" s="249"/>
      <c r="AR1722" s="330"/>
      <c r="AS1722" s="343"/>
      <c r="AT1722" s="249"/>
      <c r="AU1722" s="330"/>
    </row>
    <row r="1723" spans="2:47">
      <c r="B1723" s="247">
        <f>'Table S2 Compound Identifiers'!C1725</f>
        <v>0</v>
      </c>
      <c r="C1723" s="247">
        <f>COUNTIF($D$6:D1723,"&lt;&gt;"&amp;"")</f>
        <v>1718</v>
      </c>
      <c r="D1723" s="247">
        <f>'Table S2 Compound Identifiers'!B1725</f>
        <v>0</v>
      </c>
      <c r="E1723" s="247"/>
      <c r="F1723" s="248"/>
      <c r="G1723" s="249"/>
      <c r="H1723" s="330"/>
      <c r="I1723" s="328"/>
      <c r="J1723" s="249"/>
      <c r="K1723" s="330"/>
      <c r="L1723" s="250"/>
      <c r="M1723" s="249"/>
      <c r="N1723" s="330"/>
      <c r="O1723" s="250"/>
      <c r="P1723" s="249"/>
      <c r="Q1723" s="330"/>
      <c r="R1723" s="250"/>
      <c r="S1723" s="249"/>
      <c r="T1723" s="330"/>
      <c r="U1723" s="250"/>
      <c r="V1723" s="249"/>
      <c r="W1723" s="330"/>
      <c r="X1723" s="343"/>
      <c r="Y1723" s="249"/>
      <c r="Z1723" s="330"/>
      <c r="AA1723" s="343"/>
      <c r="AB1723" s="249"/>
      <c r="AC1723" s="330"/>
      <c r="AD1723" s="343"/>
      <c r="AE1723" s="249"/>
      <c r="AF1723" s="330"/>
      <c r="AG1723" s="343"/>
      <c r="AH1723" s="249"/>
      <c r="AI1723" s="330"/>
      <c r="AJ1723" s="343"/>
      <c r="AK1723" s="249"/>
      <c r="AL1723" s="330"/>
      <c r="AM1723" s="343"/>
      <c r="AN1723" s="249"/>
      <c r="AO1723" s="330"/>
      <c r="AP1723" s="343"/>
      <c r="AQ1723" s="249"/>
      <c r="AR1723" s="330"/>
      <c r="AS1723" s="343"/>
      <c r="AT1723" s="249"/>
      <c r="AU1723" s="330"/>
    </row>
    <row r="1724" spans="2:47">
      <c r="B1724" s="247">
        <f>'Table S2 Compound Identifiers'!C1726</f>
        <v>0</v>
      </c>
      <c r="C1724" s="247">
        <f>COUNTIF($D$6:D1724,"&lt;&gt;"&amp;"")</f>
        <v>1719</v>
      </c>
      <c r="D1724" s="247">
        <f>'Table S2 Compound Identifiers'!B1726</f>
        <v>0</v>
      </c>
      <c r="E1724" s="247"/>
      <c r="F1724" s="248"/>
      <c r="G1724" s="249"/>
      <c r="H1724" s="330"/>
      <c r="I1724" s="328"/>
      <c r="J1724" s="249"/>
      <c r="K1724" s="330"/>
      <c r="L1724" s="250"/>
      <c r="M1724" s="249"/>
      <c r="N1724" s="330"/>
      <c r="O1724" s="250"/>
      <c r="P1724" s="249"/>
      <c r="Q1724" s="330"/>
      <c r="R1724" s="250"/>
      <c r="S1724" s="249"/>
      <c r="T1724" s="330"/>
      <c r="U1724" s="250"/>
      <c r="V1724" s="249"/>
      <c r="W1724" s="330"/>
      <c r="X1724" s="343"/>
      <c r="Y1724" s="249"/>
      <c r="Z1724" s="330"/>
      <c r="AA1724" s="343"/>
      <c r="AB1724" s="249"/>
      <c r="AC1724" s="330"/>
      <c r="AD1724" s="343"/>
      <c r="AE1724" s="249"/>
      <c r="AF1724" s="330"/>
      <c r="AG1724" s="343"/>
      <c r="AH1724" s="249"/>
      <c r="AI1724" s="330"/>
      <c r="AJ1724" s="343"/>
      <c r="AK1724" s="249"/>
      <c r="AL1724" s="330"/>
      <c r="AM1724" s="343"/>
      <c r="AN1724" s="249"/>
      <c r="AO1724" s="330"/>
      <c r="AP1724" s="343"/>
      <c r="AQ1724" s="249"/>
      <c r="AR1724" s="330"/>
      <c r="AS1724" s="343"/>
      <c r="AT1724" s="249"/>
      <c r="AU1724" s="330"/>
    </row>
    <row r="1725" spans="2:47">
      <c r="B1725" s="247">
        <f>'Table S2 Compound Identifiers'!C1727</f>
        <v>0</v>
      </c>
      <c r="C1725" s="247">
        <f>COUNTIF($D$6:D1725,"&lt;&gt;"&amp;"")</f>
        <v>1720</v>
      </c>
      <c r="D1725" s="247">
        <f>'Table S2 Compound Identifiers'!B1727</f>
        <v>0</v>
      </c>
      <c r="E1725" s="247"/>
      <c r="F1725" s="248"/>
      <c r="G1725" s="249"/>
      <c r="H1725" s="330"/>
      <c r="I1725" s="328"/>
      <c r="J1725" s="249"/>
      <c r="K1725" s="330"/>
      <c r="L1725" s="250"/>
      <c r="M1725" s="249"/>
      <c r="N1725" s="330"/>
      <c r="O1725" s="250"/>
      <c r="P1725" s="249"/>
      <c r="Q1725" s="330"/>
      <c r="R1725" s="250"/>
      <c r="S1725" s="249"/>
      <c r="T1725" s="330"/>
      <c r="U1725" s="250"/>
      <c r="V1725" s="249"/>
      <c r="W1725" s="330"/>
      <c r="X1725" s="343"/>
      <c r="Y1725" s="249"/>
      <c r="Z1725" s="330"/>
      <c r="AA1725" s="343"/>
      <c r="AB1725" s="249"/>
      <c r="AC1725" s="330"/>
      <c r="AD1725" s="343"/>
      <c r="AE1725" s="249"/>
      <c r="AF1725" s="330"/>
      <c r="AG1725" s="343"/>
      <c r="AH1725" s="249"/>
      <c r="AI1725" s="330"/>
      <c r="AJ1725" s="343"/>
      <c r="AK1725" s="249"/>
      <c r="AL1725" s="330"/>
      <c r="AM1725" s="343"/>
      <c r="AN1725" s="249"/>
      <c r="AO1725" s="330"/>
      <c r="AP1725" s="343"/>
      <c r="AQ1725" s="249"/>
      <c r="AR1725" s="330"/>
      <c r="AS1725" s="343"/>
      <c r="AT1725" s="249"/>
      <c r="AU1725" s="330"/>
    </row>
    <row r="1726" spans="2:47">
      <c r="B1726" s="247">
        <f>'Table S2 Compound Identifiers'!C1728</f>
        <v>0</v>
      </c>
      <c r="C1726" s="247">
        <f>COUNTIF($D$6:D1726,"&lt;&gt;"&amp;"")</f>
        <v>1721</v>
      </c>
      <c r="D1726" s="247">
        <f>'Table S2 Compound Identifiers'!B1728</f>
        <v>0</v>
      </c>
      <c r="E1726" s="247"/>
      <c r="F1726" s="248"/>
      <c r="G1726" s="249"/>
      <c r="H1726" s="330"/>
      <c r="I1726" s="328"/>
      <c r="J1726" s="249"/>
      <c r="K1726" s="330"/>
      <c r="L1726" s="250"/>
      <c r="M1726" s="249"/>
      <c r="N1726" s="330"/>
      <c r="O1726" s="250"/>
      <c r="P1726" s="249"/>
      <c r="Q1726" s="330"/>
      <c r="R1726" s="250"/>
      <c r="S1726" s="249"/>
      <c r="T1726" s="330"/>
      <c r="U1726" s="250"/>
      <c r="V1726" s="249"/>
      <c r="W1726" s="330"/>
      <c r="X1726" s="343"/>
      <c r="Y1726" s="249"/>
      <c r="Z1726" s="330"/>
      <c r="AA1726" s="343"/>
      <c r="AB1726" s="249"/>
      <c r="AC1726" s="330"/>
      <c r="AD1726" s="343"/>
      <c r="AE1726" s="249"/>
      <c r="AF1726" s="330"/>
      <c r="AG1726" s="343"/>
      <c r="AH1726" s="249"/>
      <c r="AI1726" s="330"/>
      <c r="AJ1726" s="343"/>
      <c r="AK1726" s="249"/>
      <c r="AL1726" s="330"/>
      <c r="AM1726" s="343"/>
      <c r="AN1726" s="249"/>
      <c r="AO1726" s="330"/>
      <c r="AP1726" s="343"/>
      <c r="AQ1726" s="249"/>
      <c r="AR1726" s="330"/>
      <c r="AS1726" s="343"/>
      <c r="AT1726" s="249"/>
      <c r="AU1726" s="330"/>
    </row>
    <row r="1727" spans="2:47">
      <c r="B1727" s="247">
        <f>'Table S2 Compound Identifiers'!C1729</f>
        <v>0</v>
      </c>
      <c r="C1727" s="247">
        <f>COUNTIF($D$6:D1727,"&lt;&gt;"&amp;"")</f>
        <v>1722</v>
      </c>
      <c r="D1727" s="247">
        <f>'Table S2 Compound Identifiers'!B1729</f>
        <v>0</v>
      </c>
      <c r="E1727" s="247"/>
      <c r="F1727" s="248"/>
      <c r="G1727" s="249"/>
      <c r="H1727" s="330"/>
      <c r="I1727" s="328"/>
      <c r="J1727" s="249"/>
      <c r="K1727" s="330"/>
      <c r="L1727" s="250"/>
      <c r="M1727" s="249"/>
      <c r="N1727" s="330"/>
      <c r="O1727" s="250"/>
      <c r="P1727" s="249"/>
      <c r="Q1727" s="330"/>
      <c r="R1727" s="250"/>
      <c r="S1727" s="249"/>
      <c r="T1727" s="330"/>
      <c r="U1727" s="250"/>
      <c r="V1727" s="249"/>
      <c r="W1727" s="330"/>
      <c r="X1727" s="343"/>
      <c r="Y1727" s="249"/>
      <c r="Z1727" s="330"/>
      <c r="AA1727" s="343"/>
      <c r="AB1727" s="249"/>
      <c r="AC1727" s="330"/>
      <c r="AD1727" s="343"/>
      <c r="AE1727" s="249"/>
      <c r="AF1727" s="330"/>
      <c r="AG1727" s="343"/>
      <c r="AH1727" s="249"/>
      <c r="AI1727" s="330"/>
      <c r="AJ1727" s="343"/>
      <c r="AK1727" s="249"/>
      <c r="AL1727" s="330"/>
      <c r="AM1727" s="343"/>
      <c r="AN1727" s="249"/>
      <c r="AO1727" s="330"/>
      <c r="AP1727" s="343"/>
      <c r="AQ1727" s="249"/>
      <c r="AR1727" s="330"/>
      <c r="AS1727" s="343"/>
      <c r="AT1727" s="249"/>
      <c r="AU1727" s="330"/>
    </row>
    <row r="1728" spans="2:47">
      <c r="B1728" s="247">
        <f>'Table S2 Compound Identifiers'!C1730</f>
        <v>0</v>
      </c>
      <c r="C1728" s="247">
        <f>COUNTIF($D$6:D1728,"&lt;&gt;"&amp;"")</f>
        <v>1723</v>
      </c>
      <c r="D1728" s="247">
        <f>'Table S2 Compound Identifiers'!B1730</f>
        <v>0</v>
      </c>
      <c r="E1728" s="247"/>
      <c r="F1728" s="248"/>
      <c r="G1728" s="249"/>
      <c r="H1728" s="330"/>
      <c r="I1728" s="328"/>
      <c r="J1728" s="249"/>
      <c r="K1728" s="330"/>
      <c r="L1728" s="250"/>
      <c r="M1728" s="249"/>
      <c r="N1728" s="330"/>
      <c r="O1728" s="250"/>
      <c r="P1728" s="249"/>
      <c r="Q1728" s="330"/>
      <c r="R1728" s="250"/>
      <c r="S1728" s="249"/>
      <c r="T1728" s="330"/>
      <c r="U1728" s="250"/>
      <c r="V1728" s="249"/>
      <c r="W1728" s="330"/>
      <c r="X1728" s="343"/>
      <c r="Y1728" s="249"/>
      <c r="Z1728" s="330"/>
      <c r="AA1728" s="343"/>
      <c r="AB1728" s="249"/>
      <c r="AC1728" s="330"/>
      <c r="AD1728" s="343"/>
      <c r="AE1728" s="249"/>
      <c r="AF1728" s="330"/>
      <c r="AG1728" s="343"/>
      <c r="AH1728" s="249"/>
      <c r="AI1728" s="330"/>
      <c r="AJ1728" s="343"/>
      <c r="AK1728" s="249"/>
      <c r="AL1728" s="330"/>
      <c r="AM1728" s="343"/>
      <c r="AN1728" s="249"/>
      <c r="AO1728" s="330"/>
      <c r="AP1728" s="343"/>
      <c r="AQ1728" s="249"/>
      <c r="AR1728" s="330"/>
      <c r="AS1728" s="343"/>
      <c r="AT1728" s="249"/>
      <c r="AU1728" s="330"/>
    </row>
    <row r="1729" spans="2:47">
      <c r="B1729" s="247">
        <f>'Table S2 Compound Identifiers'!C1731</f>
        <v>0</v>
      </c>
      <c r="C1729" s="247">
        <f>COUNTIF($D$6:D1729,"&lt;&gt;"&amp;"")</f>
        <v>1724</v>
      </c>
      <c r="D1729" s="247">
        <f>'Table S2 Compound Identifiers'!B1731</f>
        <v>0</v>
      </c>
      <c r="E1729" s="247"/>
      <c r="F1729" s="248"/>
      <c r="G1729" s="249"/>
      <c r="H1729" s="330"/>
      <c r="I1729" s="328"/>
      <c r="J1729" s="249"/>
      <c r="K1729" s="330"/>
      <c r="L1729" s="250"/>
      <c r="M1729" s="249"/>
      <c r="N1729" s="330"/>
      <c r="O1729" s="250"/>
      <c r="P1729" s="249"/>
      <c r="Q1729" s="330"/>
      <c r="R1729" s="250"/>
      <c r="S1729" s="249"/>
      <c r="T1729" s="330"/>
      <c r="U1729" s="250"/>
      <c r="V1729" s="249"/>
      <c r="W1729" s="330"/>
      <c r="X1729" s="343"/>
      <c r="Y1729" s="249"/>
      <c r="Z1729" s="330"/>
      <c r="AA1729" s="343"/>
      <c r="AB1729" s="249"/>
      <c r="AC1729" s="330"/>
      <c r="AD1729" s="343"/>
      <c r="AE1729" s="249"/>
      <c r="AF1729" s="330"/>
      <c r="AG1729" s="343"/>
      <c r="AH1729" s="249"/>
      <c r="AI1729" s="330"/>
      <c r="AJ1729" s="343"/>
      <c r="AK1729" s="249"/>
      <c r="AL1729" s="330"/>
      <c r="AM1729" s="343"/>
      <c r="AN1729" s="249"/>
      <c r="AO1729" s="330"/>
      <c r="AP1729" s="343"/>
      <c r="AQ1729" s="249"/>
      <c r="AR1729" s="330"/>
      <c r="AS1729" s="343"/>
      <c r="AT1729" s="249"/>
      <c r="AU1729" s="330"/>
    </row>
    <row r="1730" spans="2:47">
      <c r="B1730" s="247">
        <f>'Table S2 Compound Identifiers'!C1732</f>
        <v>0</v>
      </c>
      <c r="C1730" s="247">
        <f>COUNTIF($D$6:D1730,"&lt;&gt;"&amp;"")</f>
        <v>1725</v>
      </c>
      <c r="D1730" s="247">
        <f>'Table S2 Compound Identifiers'!B1732</f>
        <v>0</v>
      </c>
      <c r="E1730" s="247"/>
      <c r="F1730" s="248"/>
      <c r="G1730" s="249"/>
      <c r="H1730" s="330"/>
      <c r="I1730" s="328"/>
      <c r="J1730" s="249"/>
      <c r="K1730" s="330"/>
      <c r="L1730" s="250"/>
      <c r="M1730" s="249"/>
      <c r="N1730" s="330"/>
      <c r="O1730" s="250"/>
      <c r="P1730" s="249"/>
      <c r="Q1730" s="330"/>
      <c r="R1730" s="250"/>
      <c r="S1730" s="249"/>
      <c r="T1730" s="330"/>
      <c r="U1730" s="250"/>
      <c r="V1730" s="249"/>
      <c r="W1730" s="330"/>
      <c r="X1730" s="343"/>
      <c r="Y1730" s="249"/>
      <c r="Z1730" s="330"/>
      <c r="AA1730" s="343"/>
      <c r="AB1730" s="249"/>
      <c r="AC1730" s="330"/>
      <c r="AD1730" s="343"/>
      <c r="AE1730" s="249"/>
      <c r="AF1730" s="330"/>
      <c r="AG1730" s="343"/>
      <c r="AH1730" s="249"/>
      <c r="AI1730" s="330"/>
      <c r="AJ1730" s="343"/>
      <c r="AK1730" s="249"/>
      <c r="AL1730" s="330"/>
      <c r="AM1730" s="343"/>
      <c r="AN1730" s="249"/>
      <c r="AO1730" s="330"/>
      <c r="AP1730" s="343"/>
      <c r="AQ1730" s="249"/>
      <c r="AR1730" s="330"/>
      <c r="AS1730" s="343"/>
      <c r="AT1730" s="249"/>
      <c r="AU1730" s="330"/>
    </row>
    <row r="1731" spans="2:47">
      <c r="B1731" s="247">
        <f>'Table S2 Compound Identifiers'!C1733</f>
        <v>0</v>
      </c>
      <c r="C1731" s="247">
        <f>COUNTIF($D$6:D1731,"&lt;&gt;"&amp;"")</f>
        <v>1726</v>
      </c>
      <c r="D1731" s="247">
        <f>'Table S2 Compound Identifiers'!B1733</f>
        <v>0</v>
      </c>
      <c r="E1731" s="247"/>
      <c r="F1731" s="248"/>
      <c r="G1731" s="249"/>
      <c r="H1731" s="330"/>
      <c r="I1731" s="328"/>
      <c r="J1731" s="249"/>
      <c r="K1731" s="330"/>
      <c r="L1731" s="250"/>
      <c r="M1731" s="249"/>
      <c r="N1731" s="330"/>
      <c r="O1731" s="250"/>
      <c r="P1731" s="249"/>
      <c r="Q1731" s="330"/>
      <c r="R1731" s="250"/>
      <c r="S1731" s="249"/>
      <c r="T1731" s="330"/>
      <c r="U1731" s="250"/>
      <c r="V1731" s="249"/>
      <c r="W1731" s="330"/>
      <c r="X1731" s="343"/>
      <c r="Y1731" s="249"/>
      <c r="Z1731" s="330"/>
      <c r="AA1731" s="343"/>
      <c r="AB1731" s="249"/>
      <c r="AC1731" s="330"/>
      <c r="AD1731" s="343"/>
      <c r="AE1731" s="249"/>
      <c r="AF1731" s="330"/>
      <c r="AG1731" s="343"/>
      <c r="AH1731" s="249"/>
      <c r="AI1731" s="330"/>
      <c r="AJ1731" s="343"/>
      <c r="AK1731" s="249"/>
      <c r="AL1731" s="330"/>
      <c r="AM1731" s="343"/>
      <c r="AN1731" s="249"/>
      <c r="AO1731" s="330"/>
      <c r="AP1731" s="343"/>
      <c r="AQ1731" s="249"/>
      <c r="AR1731" s="330"/>
      <c r="AS1731" s="343"/>
      <c r="AT1731" s="249"/>
      <c r="AU1731" s="330"/>
    </row>
    <row r="1732" spans="2:47">
      <c r="B1732" s="247">
        <f>'Table S2 Compound Identifiers'!C1734</f>
        <v>0</v>
      </c>
      <c r="C1732" s="247">
        <f>COUNTIF($D$6:D1732,"&lt;&gt;"&amp;"")</f>
        <v>1727</v>
      </c>
      <c r="D1732" s="247">
        <f>'Table S2 Compound Identifiers'!B1734</f>
        <v>0</v>
      </c>
      <c r="E1732" s="247"/>
      <c r="F1732" s="248"/>
      <c r="G1732" s="249"/>
      <c r="H1732" s="330"/>
      <c r="I1732" s="328"/>
      <c r="J1732" s="249"/>
      <c r="K1732" s="330"/>
      <c r="L1732" s="250"/>
      <c r="M1732" s="249"/>
      <c r="N1732" s="330"/>
      <c r="O1732" s="250"/>
      <c r="P1732" s="249"/>
      <c r="Q1732" s="330"/>
      <c r="R1732" s="250"/>
      <c r="S1732" s="249"/>
      <c r="T1732" s="330"/>
      <c r="U1732" s="250"/>
      <c r="V1732" s="249"/>
      <c r="W1732" s="330"/>
      <c r="X1732" s="343"/>
      <c r="Y1732" s="249"/>
      <c r="Z1732" s="330"/>
      <c r="AA1732" s="343"/>
      <c r="AB1732" s="249"/>
      <c r="AC1732" s="330"/>
      <c r="AD1732" s="343"/>
      <c r="AE1732" s="249"/>
      <c r="AF1732" s="330"/>
      <c r="AG1732" s="343"/>
      <c r="AH1732" s="249"/>
      <c r="AI1732" s="330"/>
      <c r="AJ1732" s="343"/>
      <c r="AK1732" s="249"/>
      <c r="AL1732" s="330"/>
      <c r="AM1732" s="343"/>
      <c r="AN1732" s="249"/>
      <c r="AO1732" s="330"/>
      <c r="AP1732" s="343"/>
      <c r="AQ1732" s="249"/>
      <c r="AR1732" s="330"/>
      <c r="AS1732" s="343"/>
      <c r="AT1732" s="249"/>
      <c r="AU1732" s="330"/>
    </row>
    <row r="1733" spans="2:47">
      <c r="B1733" s="247">
        <f>'Table S2 Compound Identifiers'!C1735</f>
        <v>0</v>
      </c>
      <c r="C1733" s="247">
        <f>COUNTIF($D$6:D1733,"&lt;&gt;"&amp;"")</f>
        <v>1728</v>
      </c>
      <c r="D1733" s="247">
        <f>'Table S2 Compound Identifiers'!B1735</f>
        <v>0</v>
      </c>
      <c r="E1733" s="247"/>
      <c r="F1733" s="248"/>
      <c r="G1733" s="249"/>
      <c r="H1733" s="330"/>
      <c r="I1733" s="328"/>
      <c r="J1733" s="249"/>
      <c r="K1733" s="330"/>
      <c r="L1733" s="250"/>
      <c r="M1733" s="249"/>
      <c r="N1733" s="330"/>
      <c r="O1733" s="250"/>
      <c r="P1733" s="249"/>
      <c r="Q1733" s="330"/>
      <c r="R1733" s="250"/>
      <c r="S1733" s="249"/>
      <c r="T1733" s="330"/>
      <c r="U1733" s="250"/>
      <c r="V1733" s="249"/>
      <c r="W1733" s="330"/>
      <c r="X1733" s="343"/>
      <c r="Y1733" s="249"/>
      <c r="Z1733" s="330"/>
      <c r="AA1733" s="343"/>
      <c r="AB1733" s="249"/>
      <c r="AC1733" s="330"/>
      <c r="AD1733" s="343"/>
      <c r="AE1733" s="249"/>
      <c r="AF1733" s="330"/>
      <c r="AG1733" s="343"/>
      <c r="AH1733" s="249"/>
      <c r="AI1733" s="330"/>
      <c r="AJ1733" s="343"/>
      <c r="AK1733" s="249"/>
      <c r="AL1733" s="330"/>
      <c r="AM1733" s="343"/>
      <c r="AN1733" s="249"/>
      <c r="AO1733" s="330"/>
      <c r="AP1733" s="343"/>
      <c r="AQ1733" s="249"/>
      <c r="AR1733" s="330"/>
      <c r="AS1733" s="343"/>
      <c r="AT1733" s="249"/>
      <c r="AU1733" s="330"/>
    </row>
    <row r="1734" spans="2:47">
      <c r="B1734" s="247">
        <f>'Table S2 Compound Identifiers'!C1736</f>
        <v>0</v>
      </c>
      <c r="C1734" s="247">
        <f>COUNTIF($D$6:D1734,"&lt;&gt;"&amp;"")</f>
        <v>1729</v>
      </c>
      <c r="D1734" s="247">
        <f>'Table S2 Compound Identifiers'!B1736</f>
        <v>0</v>
      </c>
      <c r="E1734" s="247"/>
      <c r="F1734" s="248"/>
      <c r="G1734" s="249"/>
      <c r="H1734" s="330"/>
      <c r="I1734" s="328"/>
      <c r="J1734" s="249"/>
      <c r="K1734" s="330"/>
      <c r="L1734" s="250"/>
      <c r="M1734" s="249"/>
      <c r="N1734" s="330"/>
      <c r="O1734" s="250"/>
      <c r="P1734" s="249"/>
      <c r="Q1734" s="330"/>
      <c r="R1734" s="250"/>
      <c r="S1734" s="249"/>
      <c r="T1734" s="330"/>
      <c r="U1734" s="250"/>
      <c r="V1734" s="249"/>
      <c r="W1734" s="330"/>
      <c r="X1734" s="343"/>
      <c r="Y1734" s="249"/>
      <c r="Z1734" s="330"/>
      <c r="AA1734" s="343"/>
      <c r="AB1734" s="249"/>
      <c r="AC1734" s="330"/>
      <c r="AD1734" s="343"/>
      <c r="AE1734" s="249"/>
      <c r="AF1734" s="330"/>
      <c r="AG1734" s="343"/>
      <c r="AH1734" s="249"/>
      <c r="AI1734" s="330"/>
      <c r="AJ1734" s="343"/>
      <c r="AK1734" s="249"/>
      <c r="AL1734" s="330"/>
      <c r="AM1734" s="343"/>
      <c r="AN1734" s="249"/>
      <c r="AO1734" s="330"/>
      <c r="AP1734" s="343"/>
      <c r="AQ1734" s="249"/>
      <c r="AR1734" s="330"/>
      <c r="AS1734" s="343"/>
      <c r="AT1734" s="249"/>
      <c r="AU1734" s="330"/>
    </row>
    <row r="1735" spans="2:47">
      <c r="B1735" s="247">
        <f>'Table S2 Compound Identifiers'!C1737</f>
        <v>0</v>
      </c>
      <c r="C1735" s="247">
        <f>COUNTIF($D$6:D1735,"&lt;&gt;"&amp;"")</f>
        <v>1730</v>
      </c>
      <c r="D1735" s="247">
        <f>'Table S2 Compound Identifiers'!B1737</f>
        <v>0</v>
      </c>
      <c r="E1735" s="247"/>
      <c r="F1735" s="248"/>
      <c r="G1735" s="249"/>
      <c r="H1735" s="330"/>
      <c r="I1735" s="328"/>
      <c r="J1735" s="249"/>
      <c r="K1735" s="330"/>
      <c r="L1735" s="250"/>
      <c r="M1735" s="249"/>
      <c r="N1735" s="330"/>
      <c r="O1735" s="250"/>
      <c r="P1735" s="249"/>
      <c r="Q1735" s="330"/>
      <c r="R1735" s="250"/>
      <c r="S1735" s="249"/>
      <c r="T1735" s="330"/>
      <c r="U1735" s="250"/>
      <c r="V1735" s="249"/>
      <c r="W1735" s="330"/>
      <c r="X1735" s="343"/>
      <c r="Y1735" s="249"/>
      <c r="Z1735" s="330"/>
      <c r="AA1735" s="343"/>
      <c r="AB1735" s="249"/>
      <c r="AC1735" s="330"/>
      <c r="AD1735" s="343"/>
      <c r="AE1735" s="249"/>
      <c r="AF1735" s="330"/>
      <c r="AG1735" s="343"/>
      <c r="AH1735" s="249"/>
      <c r="AI1735" s="330"/>
      <c r="AJ1735" s="343"/>
      <c r="AK1735" s="249"/>
      <c r="AL1735" s="330"/>
      <c r="AM1735" s="343"/>
      <c r="AN1735" s="249"/>
      <c r="AO1735" s="330"/>
      <c r="AP1735" s="343"/>
      <c r="AQ1735" s="249"/>
      <c r="AR1735" s="330"/>
      <c r="AS1735" s="343"/>
      <c r="AT1735" s="249"/>
      <c r="AU1735" s="330"/>
    </row>
    <row r="1736" spans="2:47">
      <c r="B1736" s="247">
        <f>'Table S2 Compound Identifiers'!C1738</f>
        <v>0</v>
      </c>
      <c r="C1736" s="247">
        <f>COUNTIF($D$6:D1736,"&lt;&gt;"&amp;"")</f>
        <v>1731</v>
      </c>
      <c r="D1736" s="247">
        <f>'Table S2 Compound Identifiers'!B1738</f>
        <v>0</v>
      </c>
      <c r="E1736" s="247"/>
      <c r="F1736" s="248"/>
      <c r="G1736" s="249"/>
      <c r="H1736" s="330"/>
      <c r="I1736" s="328"/>
      <c r="J1736" s="249"/>
      <c r="K1736" s="330"/>
      <c r="L1736" s="250"/>
      <c r="M1736" s="249"/>
      <c r="N1736" s="330"/>
      <c r="O1736" s="250"/>
      <c r="P1736" s="249"/>
      <c r="Q1736" s="330"/>
      <c r="R1736" s="250"/>
      <c r="S1736" s="249"/>
      <c r="T1736" s="330"/>
      <c r="U1736" s="250"/>
      <c r="V1736" s="249"/>
      <c r="W1736" s="330"/>
      <c r="X1736" s="343"/>
      <c r="Y1736" s="249"/>
      <c r="Z1736" s="330"/>
      <c r="AA1736" s="343"/>
      <c r="AB1736" s="249"/>
      <c r="AC1736" s="330"/>
      <c r="AD1736" s="343"/>
      <c r="AE1736" s="249"/>
      <c r="AF1736" s="330"/>
      <c r="AG1736" s="343"/>
      <c r="AH1736" s="249"/>
      <c r="AI1736" s="330"/>
      <c r="AJ1736" s="343"/>
      <c r="AK1736" s="249"/>
      <c r="AL1736" s="330"/>
      <c r="AM1736" s="343"/>
      <c r="AN1736" s="249"/>
      <c r="AO1736" s="330"/>
      <c r="AP1736" s="343"/>
      <c r="AQ1736" s="249"/>
      <c r="AR1736" s="330"/>
      <c r="AS1736" s="343"/>
      <c r="AT1736" s="249"/>
      <c r="AU1736" s="330"/>
    </row>
    <row r="1737" spans="2:47">
      <c r="B1737" s="247">
        <f>'Table S2 Compound Identifiers'!C1739</f>
        <v>0</v>
      </c>
      <c r="C1737" s="247">
        <f>COUNTIF($D$6:D1737,"&lt;&gt;"&amp;"")</f>
        <v>1732</v>
      </c>
      <c r="D1737" s="247">
        <f>'Table S2 Compound Identifiers'!B1739</f>
        <v>0</v>
      </c>
      <c r="E1737" s="247"/>
      <c r="F1737" s="248"/>
      <c r="G1737" s="249"/>
      <c r="H1737" s="330"/>
      <c r="I1737" s="328"/>
      <c r="J1737" s="249"/>
      <c r="K1737" s="330"/>
      <c r="L1737" s="250"/>
      <c r="M1737" s="249"/>
      <c r="N1737" s="330"/>
      <c r="O1737" s="250"/>
      <c r="P1737" s="249"/>
      <c r="Q1737" s="330"/>
      <c r="R1737" s="250"/>
      <c r="S1737" s="249"/>
      <c r="T1737" s="330"/>
      <c r="U1737" s="250"/>
      <c r="V1737" s="249"/>
      <c r="W1737" s="330"/>
      <c r="X1737" s="343"/>
      <c r="Y1737" s="249"/>
      <c r="Z1737" s="330"/>
      <c r="AA1737" s="343"/>
      <c r="AB1737" s="249"/>
      <c r="AC1737" s="330"/>
      <c r="AD1737" s="343"/>
      <c r="AE1737" s="249"/>
      <c r="AF1737" s="330"/>
      <c r="AG1737" s="343"/>
      <c r="AH1737" s="249"/>
      <c r="AI1737" s="330"/>
      <c r="AJ1737" s="343"/>
      <c r="AK1737" s="249"/>
      <c r="AL1737" s="330"/>
      <c r="AM1737" s="343"/>
      <c r="AN1737" s="249"/>
      <c r="AO1737" s="330"/>
      <c r="AP1737" s="343"/>
      <c r="AQ1737" s="249"/>
      <c r="AR1737" s="330"/>
      <c r="AS1737" s="343"/>
      <c r="AT1737" s="249"/>
      <c r="AU1737" s="330"/>
    </row>
    <row r="1738" spans="2:47">
      <c r="B1738" s="247">
        <f>'Table S2 Compound Identifiers'!C1740</f>
        <v>0</v>
      </c>
      <c r="C1738" s="247">
        <f>COUNTIF($D$6:D1738,"&lt;&gt;"&amp;"")</f>
        <v>1733</v>
      </c>
      <c r="D1738" s="247">
        <f>'Table S2 Compound Identifiers'!B1740</f>
        <v>0</v>
      </c>
      <c r="E1738" s="247"/>
      <c r="F1738" s="248"/>
      <c r="G1738" s="249"/>
      <c r="H1738" s="330"/>
      <c r="I1738" s="328"/>
      <c r="J1738" s="249"/>
      <c r="K1738" s="330"/>
      <c r="L1738" s="250"/>
      <c r="M1738" s="249"/>
      <c r="N1738" s="330"/>
      <c r="O1738" s="250"/>
      <c r="P1738" s="249"/>
      <c r="Q1738" s="330"/>
      <c r="R1738" s="250"/>
      <c r="S1738" s="249"/>
      <c r="T1738" s="330"/>
      <c r="U1738" s="250"/>
      <c r="V1738" s="249"/>
      <c r="W1738" s="330"/>
      <c r="X1738" s="343"/>
      <c r="Y1738" s="249"/>
      <c r="Z1738" s="330"/>
      <c r="AA1738" s="343"/>
      <c r="AB1738" s="249"/>
      <c r="AC1738" s="330"/>
      <c r="AD1738" s="343"/>
      <c r="AE1738" s="249"/>
      <c r="AF1738" s="330"/>
      <c r="AG1738" s="343"/>
      <c r="AH1738" s="249"/>
      <c r="AI1738" s="330"/>
      <c r="AJ1738" s="343"/>
      <c r="AK1738" s="249"/>
      <c r="AL1738" s="330"/>
      <c r="AM1738" s="343"/>
      <c r="AN1738" s="249"/>
      <c r="AO1738" s="330"/>
      <c r="AP1738" s="343"/>
      <c r="AQ1738" s="249"/>
      <c r="AR1738" s="330"/>
      <c r="AS1738" s="343"/>
      <c r="AT1738" s="249"/>
      <c r="AU1738" s="330"/>
    </row>
    <row r="1739" spans="2:47">
      <c r="B1739" s="247">
        <f>'Table S2 Compound Identifiers'!C1741</f>
        <v>0</v>
      </c>
      <c r="C1739" s="247">
        <f>COUNTIF($D$6:D1739,"&lt;&gt;"&amp;"")</f>
        <v>1734</v>
      </c>
      <c r="D1739" s="247">
        <f>'Table S2 Compound Identifiers'!B1741</f>
        <v>0</v>
      </c>
      <c r="E1739" s="247"/>
      <c r="F1739" s="248"/>
      <c r="G1739" s="249"/>
      <c r="H1739" s="330"/>
      <c r="I1739" s="328"/>
      <c r="J1739" s="249"/>
      <c r="K1739" s="330"/>
      <c r="L1739" s="250"/>
      <c r="M1739" s="249"/>
      <c r="N1739" s="330"/>
      <c r="O1739" s="250"/>
      <c r="P1739" s="249"/>
      <c r="Q1739" s="330"/>
      <c r="R1739" s="250"/>
      <c r="S1739" s="249"/>
      <c r="T1739" s="330"/>
      <c r="U1739" s="250"/>
      <c r="V1739" s="249"/>
      <c r="W1739" s="330"/>
      <c r="X1739" s="343"/>
      <c r="Y1739" s="249"/>
      <c r="Z1739" s="330"/>
      <c r="AA1739" s="343"/>
      <c r="AB1739" s="249"/>
      <c r="AC1739" s="330"/>
      <c r="AD1739" s="343"/>
      <c r="AE1739" s="249"/>
      <c r="AF1739" s="330"/>
      <c r="AG1739" s="343"/>
      <c r="AH1739" s="249"/>
      <c r="AI1739" s="330"/>
      <c r="AJ1739" s="343"/>
      <c r="AK1739" s="249"/>
      <c r="AL1739" s="330"/>
      <c r="AM1739" s="343"/>
      <c r="AN1739" s="249"/>
      <c r="AO1739" s="330"/>
      <c r="AP1739" s="343"/>
      <c r="AQ1739" s="249"/>
      <c r="AR1739" s="330"/>
      <c r="AS1739" s="343"/>
      <c r="AT1739" s="249"/>
      <c r="AU1739" s="330"/>
    </row>
    <row r="1740" spans="2:47">
      <c r="B1740" s="247">
        <f>'Table S2 Compound Identifiers'!C1742</f>
        <v>0</v>
      </c>
      <c r="C1740" s="247">
        <f>COUNTIF($D$6:D1740,"&lt;&gt;"&amp;"")</f>
        <v>1735</v>
      </c>
      <c r="D1740" s="247">
        <f>'Table S2 Compound Identifiers'!B1742</f>
        <v>0</v>
      </c>
      <c r="E1740" s="247"/>
      <c r="F1740" s="248"/>
      <c r="G1740" s="249"/>
      <c r="H1740" s="330"/>
      <c r="I1740" s="328"/>
      <c r="J1740" s="249"/>
      <c r="K1740" s="330"/>
      <c r="L1740" s="250"/>
      <c r="M1740" s="249"/>
      <c r="N1740" s="330"/>
      <c r="O1740" s="250"/>
      <c r="P1740" s="249"/>
      <c r="Q1740" s="330"/>
      <c r="R1740" s="250"/>
      <c r="S1740" s="249"/>
      <c r="T1740" s="330"/>
      <c r="U1740" s="250"/>
      <c r="V1740" s="249"/>
      <c r="W1740" s="330"/>
      <c r="X1740" s="343"/>
      <c r="Y1740" s="249"/>
      <c r="Z1740" s="330"/>
      <c r="AA1740" s="343"/>
      <c r="AB1740" s="249"/>
      <c r="AC1740" s="330"/>
      <c r="AD1740" s="343"/>
      <c r="AE1740" s="249"/>
      <c r="AF1740" s="330"/>
      <c r="AG1740" s="343"/>
      <c r="AH1740" s="249"/>
      <c r="AI1740" s="330"/>
      <c r="AJ1740" s="343"/>
      <c r="AK1740" s="249"/>
      <c r="AL1740" s="330"/>
      <c r="AM1740" s="343"/>
      <c r="AN1740" s="249"/>
      <c r="AO1740" s="330"/>
      <c r="AP1740" s="343"/>
      <c r="AQ1740" s="249"/>
      <c r="AR1740" s="330"/>
      <c r="AS1740" s="343"/>
      <c r="AT1740" s="249"/>
      <c r="AU1740" s="330"/>
    </row>
    <row r="1741" spans="2:47">
      <c r="B1741" s="247">
        <f>'Table S2 Compound Identifiers'!C1743</f>
        <v>0</v>
      </c>
      <c r="C1741" s="247">
        <f>COUNTIF($D$6:D1741,"&lt;&gt;"&amp;"")</f>
        <v>1736</v>
      </c>
      <c r="D1741" s="247">
        <f>'Table S2 Compound Identifiers'!B1743</f>
        <v>0</v>
      </c>
      <c r="E1741" s="247"/>
      <c r="F1741" s="248"/>
      <c r="G1741" s="249"/>
      <c r="H1741" s="330"/>
      <c r="I1741" s="328"/>
      <c r="J1741" s="249"/>
      <c r="K1741" s="330"/>
      <c r="L1741" s="250"/>
      <c r="M1741" s="249"/>
      <c r="N1741" s="330"/>
      <c r="O1741" s="250"/>
      <c r="P1741" s="249"/>
      <c r="Q1741" s="330"/>
      <c r="R1741" s="250"/>
      <c r="S1741" s="249"/>
      <c r="T1741" s="330"/>
      <c r="U1741" s="250"/>
      <c r="V1741" s="249"/>
      <c r="W1741" s="330"/>
      <c r="X1741" s="343"/>
      <c r="Y1741" s="249"/>
      <c r="Z1741" s="330"/>
      <c r="AA1741" s="343"/>
      <c r="AB1741" s="249"/>
      <c r="AC1741" s="330"/>
      <c r="AD1741" s="343"/>
      <c r="AE1741" s="249"/>
      <c r="AF1741" s="330"/>
      <c r="AG1741" s="343"/>
      <c r="AH1741" s="249"/>
      <c r="AI1741" s="330"/>
      <c r="AJ1741" s="343"/>
      <c r="AK1741" s="249"/>
      <c r="AL1741" s="330"/>
      <c r="AM1741" s="343"/>
      <c r="AN1741" s="249"/>
      <c r="AO1741" s="330"/>
      <c r="AP1741" s="343"/>
      <c r="AQ1741" s="249"/>
      <c r="AR1741" s="330"/>
      <c r="AS1741" s="343"/>
      <c r="AT1741" s="249"/>
      <c r="AU1741" s="330"/>
    </row>
    <row r="1742" spans="2:47">
      <c r="B1742" s="247">
        <f>'Table S2 Compound Identifiers'!C1744</f>
        <v>0</v>
      </c>
      <c r="C1742" s="247">
        <f>COUNTIF($D$6:D1742,"&lt;&gt;"&amp;"")</f>
        <v>1737</v>
      </c>
      <c r="D1742" s="247">
        <f>'Table S2 Compound Identifiers'!B1744</f>
        <v>0</v>
      </c>
      <c r="E1742" s="247"/>
      <c r="F1742" s="248"/>
      <c r="G1742" s="249"/>
      <c r="H1742" s="330"/>
      <c r="I1742" s="328"/>
      <c r="J1742" s="249"/>
      <c r="K1742" s="330"/>
      <c r="L1742" s="250"/>
      <c r="M1742" s="249"/>
      <c r="N1742" s="330"/>
      <c r="O1742" s="250"/>
      <c r="P1742" s="249"/>
      <c r="Q1742" s="330"/>
      <c r="R1742" s="250"/>
      <c r="S1742" s="249"/>
      <c r="T1742" s="330"/>
      <c r="U1742" s="250"/>
      <c r="V1742" s="249"/>
      <c r="W1742" s="330"/>
      <c r="X1742" s="343"/>
      <c r="Y1742" s="249"/>
      <c r="Z1742" s="330"/>
      <c r="AA1742" s="343"/>
      <c r="AB1742" s="249"/>
      <c r="AC1742" s="330"/>
      <c r="AD1742" s="343"/>
      <c r="AE1742" s="249"/>
      <c r="AF1742" s="330"/>
      <c r="AG1742" s="343"/>
      <c r="AH1742" s="249"/>
      <c r="AI1742" s="330"/>
      <c r="AJ1742" s="343"/>
      <c r="AK1742" s="249"/>
      <c r="AL1742" s="330"/>
      <c r="AM1742" s="343"/>
      <c r="AN1742" s="249"/>
      <c r="AO1742" s="330"/>
      <c r="AP1742" s="343"/>
      <c r="AQ1742" s="249"/>
      <c r="AR1742" s="330"/>
      <c r="AS1742" s="343"/>
      <c r="AT1742" s="249"/>
      <c r="AU1742" s="330"/>
    </row>
    <row r="1743" spans="2:47">
      <c r="B1743" s="247">
        <f>'Table S2 Compound Identifiers'!C1745</f>
        <v>0</v>
      </c>
      <c r="C1743" s="247">
        <f>COUNTIF($D$6:D1743,"&lt;&gt;"&amp;"")</f>
        <v>1738</v>
      </c>
      <c r="D1743" s="247">
        <f>'Table S2 Compound Identifiers'!B1745</f>
        <v>0</v>
      </c>
      <c r="E1743" s="247"/>
      <c r="F1743" s="248"/>
      <c r="G1743" s="249"/>
      <c r="H1743" s="330"/>
      <c r="I1743" s="328"/>
      <c r="J1743" s="249"/>
      <c r="K1743" s="330"/>
      <c r="L1743" s="250"/>
      <c r="M1743" s="249"/>
      <c r="N1743" s="330"/>
      <c r="O1743" s="250"/>
      <c r="P1743" s="249"/>
      <c r="Q1743" s="330"/>
      <c r="R1743" s="250"/>
      <c r="S1743" s="249"/>
      <c r="T1743" s="330"/>
      <c r="U1743" s="250"/>
      <c r="V1743" s="249"/>
      <c r="W1743" s="330"/>
      <c r="X1743" s="343"/>
      <c r="Y1743" s="249"/>
      <c r="Z1743" s="330"/>
      <c r="AA1743" s="343"/>
      <c r="AB1743" s="249"/>
      <c r="AC1743" s="330"/>
      <c r="AD1743" s="343"/>
      <c r="AE1743" s="249"/>
      <c r="AF1743" s="330"/>
      <c r="AG1743" s="343"/>
      <c r="AH1743" s="249"/>
      <c r="AI1743" s="330"/>
      <c r="AJ1743" s="343"/>
      <c r="AK1743" s="249"/>
      <c r="AL1743" s="330"/>
      <c r="AM1743" s="343"/>
      <c r="AN1743" s="249"/>
      <c r="AO1743" s="330"/>
      <c r="AP1743" s="343"/>
      <c r="AQ1743" s="249"/>
      <c r="AR1743" s="330"/>
      <c r="AS1743" s="343"/>
      <c r="AT1743" s="249"/>
      <c r="AU1743" s="330"/>
    </row>
    <row r="1744" spans="2:47">
      <c r="B1744" s="247">
        <f>'Table S2 Compound Identifiers'!C1746</f>
        <v>0</v>
      </c>
      <c r="C1744" s="247">
        <f>COUNTIF($D$6:D1744,"&lt;&gt;"&amp;"")</f>
        <v>1739</v>
      </c>
      <c r="D1744" s="247">
        <f>'Table S2 Compound Identifiers'!B1746</f>
        <v>0</v>
      </c>
      <c r="E1744" s="247"/>
      <c r="F1744" s="248"/>
      <c r="G1744" s="249"/>
      <c r="H1744" s="330"/>
      <c r="I1744" s="328"/>
      <c r="J1744" s="249"/>
      <c r="K1744" s="330"/>
      <c r="L1744" s="250"/>
      <c r="M1744" s="249"/>
      <c r="N1744" s="330"/>
      <c r="O1744" s="250"/>
      <c r="P1744" s="249"/>
      <c r="Q1744" s="330"/>
      <c r="R1744" s="250"/>
      <c r="S1744" s="249"/>
      <c r="T1744" s="330"/>
      <c r="U1744" s="250"/>
      <c r="V1744" s="249"/>
      <c r="W1744" s="330"/>
      <c r="X1744" s="343"/>
      <c r="Y1744" s="249"/>
      <c r="Z1744" s="330"/>
      <c r="AA1744" s="343"/>
      <c r="AB1744" s="249"/>
      <c r="AC1744" s="330"/>
      <c r="AD1744" s="343"/>
      <c r="AE1744" s="249"/>
      <c r="AF1744" s="330"/>
      <c r="AG1744" s="343"/>
      <c r="AH1744" s="249"/>
      <c r="AI1744" s="330"/>
      <c r="AJ1744" s="343"/>
      <c r="AK1744" s="249"/>
      <c r="AL1744" s="330"/>
      <c r="AM1744" s="343"/>
      <c r="AN1744" s="249"/>
      <c r="AO1744" s="330"/>
      <c r="AP1744" s="343"/>
      <c r="AQ1744" s="249"/>
      <c r="AR1744" s="330"/>
      <c r="AS1744" s="343"/>
      <c r="AT1744" s="249"/>
      <c r="AU1744" s="330"/>
    </row>
    <row r="1745" spans="2:47">
      <c r="B1745" s="247">
        <f>'Table S2 Compound Identifiers'!C1747</f>
        <v>0</v>
      </c>
      <c r="C1745" s="247">
        <f>COUNTIF($D$6:D1745,"&lt;&gt;"&amp;"")</f>
        <v>1740</v>
      </c>
      <c r="D1745" s="247">
        <f>'Table S2 Compound Identifiers'!B1747</f>
        <v>0</v>
      </c>
      <c r="E1745" s="247"/>
      <c r="F1745" s="248"/>
      <c r="G1745" s="249"/>
      <c r="H1745" s="330"/>
      <c r="I1745" s="328"/>
      <c r="J1745" s="249"/>
      <c r="K1745" s="330"/>
      <c r="L1745" s="250"/>
      <c r="M1745" s="249"/>
      <c r="N1745" s="330"/>
      <c r="O1745" s="250"/>
      <c r="P1745" s="249"/>
      <c r="Q1745" s="330"/>
      <c r="R1745" s="250"/>
      <c r="S1745" s="249"/>
      <c r="T1745" s="330"/>
      <c r="U1745" s="250"/>
      <c r="V1745" s="249"/>
      <c r="W1745" s="330"/>
      <c r="X1745" s="343"/>
      <c r="Y1745" s="249"/>
      <c r="Z1745" s="330"/>
      <c r="AA1745" s="343"/>
      <c r="AB1745" s="249"/>
      <c r="AC1745" s="330"/>
      <c r="AD1745" s="343"/>
      <c r="AE1745" s="249"/>
      <c r="AF1745" s="330"/>
      <c r="AG1745" s="343"/>
      <c r="AH1745" s="249"/>
      <c r="AI1745" s="330"/>
      <c r="AJ1745" s="343"/>
      <c r="AK1745" s="249"/>
      <c r="AL1745" s="330"/>
      <c r="AM1745" s="343"/>
      <c r="AN1745" s="249"/>
      <c r="AO1745" s="330"/>
      <c r="AP1745" s="343"/>
      <c r="AQ1745" s="249"/>
      <c r="AR1745" s="330"/>
      <c r="AS1745" s="343"/>
      <c r="AT1745" s="249"/>
      <c r="AU1745" s="330"/>
    </row>
    <row r="1746" spans="2:47">
      <c r="B1746" s="247">
        <f>'Table S2 Compound Identifiers'!C1748</f>
        <v>0</v>
      </c>
      <c r="C1746" s="247">
        <f>COUNTIF($D$6:D1746,"&lt;&gt;"&amp;"")</f>
        <v>1741</v>
      </c>
      <c r="D1746" s="247">
        <f>'Table S2 Compound Identifiers'!B1748</f>
        <v>0</v>
      </c>
      <c r="E1746" s="247"/>
      <c r="F1746" s="248"/>
      <c r="G1746" s="249"/>
      <c r="H1746" s="330"/>
      <c r="I1746" s="328"/>
      <c r="J1746" s="249"/>
      <c r="K1746" s="330"/>
      <c r="L1746" s="250"/>
      <c r="M1746" s="249"/>
      <c r="N1746" s="330"/>
      <c r="O1746" s="250"/>
      <c r="P1746" s="249"/>
      <c r="Q1746" s="330"/>
      <c r="R1746" s="250"/>
      <c r="S1746" s="249"/>
      <c r="T1746" s="330"/>
      <c r="U1746" s="250"/>
      <c r="V1746" s="249"/>
      <c r="W1746" s="330"/>
      <c r="X1746" s="343"/>
      <c r="Y1746" s="249"/>
      <c r="Z1746" s="330"/>
      <c r="AA1746" s="343"/>
      <c r="AB1746" s="249"/>
      <c r="AC1746" s="330"/>
      <c r="AD1746" s="343"/>
      <c r="AE1746" s="249"/>
      <c r="AF1746" s="330"/>
      <c r="AG1746" s="343"/>
      <c r="AH1746" s="249"/>
      <c r="AI1746" s="330"/>
      <c r="AJ1746" s="343"/>
      <c r="AK1746" s="249"/>
      <c r="AL1746" s="330"/>
      <c r="AM1746" s="343"/>
      <c r="AN1746" s="249"/>
      <c r="AO1746" s="330"/>
      <c r="AP1746" s="343"/>
      <c r="AQ1746" s="249"/>
      <c r="AR1746" s="330"/>
      <c r="AS1746" s="343"/>
      <c r="AT1746" s="249"/>
      <c r="AU1746" s="330"/>
    </row>
    <row r="1747" spans="2:47">
      <c r="B1747" s="247">
        <f>'Table S2 Compound Identifiers'!C1749</f>
        <v>0</v>
      </c>
      <c r="C1747" s="247">
        <f>COUNTIF($D$6:D1747,"&lt;&gt;"&amp;"")</f>
        <v>1742</v>
      </c>
      <c r="D1747" s="247">
        <f>'Table S2 Compound Identifiers'!B1749</f>
        <v>0</v>
      </c>
      <c r="E1747" s="247"/>
      <c r="F1747" s="248"/>
      <c r="G1747" s="249"/>
      <c r="H1747" s="330"/>
      <c r="I1747" s="328"/>
      <c r="J1747" s="249"/>
      <c r="K1747" s="330"/>
      <c r="L1747" s="250"/>
      <c r="M1747" s="249"/>
      <c r="N1747" s="330"/>
      <c r="O1747" s="250"/>
      <c r="P1747" s="249"/>
      <c r="Q1747" s="330"/>
      <c r="R1747" s="250"/>
      <c r="S1747" s="249"/>
      <c r="T1747" s="330"/>
      <c r="U1747" s="250"/>
      <c r="V1747" s="249"/>
      <c r="W1747" s="330"/>
      <c r="X1747" s="343"/>
      <c r="Y1747" s="249"/>
      <c r="Z1747" s="330"/>
      <c r="AA1747" s="343"/>
      <c r="AB1747" s="249"/>
      <c r="AC1747" s="330"/>
      <c r="AD1747" s="343"/>
      <c r="AE1747" s="249"/>
      <c r="AF1747" s="330"/>
      <c r="AG1747" s="343"/>
      <c r="AH1747" s="249"/>
      <c r="AI1747" s="330"/>
      <c r="AJ1747" s="343"/>
      <c r="AK1747" s="249"/>
      <c r="AL1747" s="330"/>
      <c r="AM1747" s="343"/>
      <c r="AN1747" s="249"/>
      <c r="AO1747" s="330"/>
      <c r="AP1747" s="343"/>
      <c r="AQ1747" s="249"/>
      <c r="AR1747" s="330"/>
      <c r="AS1747" s="343"/>
      <c r="AT1747" s="249"/>
      <c r="AU1747" s="330"/>
    </row>
    <row r="1748" spans="2:47">
      <c r="B1748" s="247">
        <f>'Table S2 Compound Identifiers'!C1750</f>
        <v>0</v>
      </c>
      <c r="C1748" s="247">
        <f>COUNTIF($D$6:D1748,"&lt;&gt;"&amp;"")</f>
        <v>1743</v>
      </c>
      <c r="D1748" s="247">
        <f>'Table S2 Compound Identifiers'!B1750</f>
        <v>0</v>
      </c>
      <c r="E1748" s="247"/>
      <c r="F1748" s="248"/>
      <c r="G1748" s="249"/>
      <c r="H1748" s="330"/>
      <c r="I1748" s="328"/>
      <c r="J1748" s="249"/>
      <c r="K1748" s="330"/>
      <c r="L1748" s="250"/>
      <c r="M1748" s="249"/>
      <c r="N1748" s="330"/>
      <c r="O1748" s="250"/>
      <c r="P1748" s="249"/>
      <c r="Q1748" s="330"/>
      <c r="R1748" s="250"/>
      <c r="S1748" s="249"/>
      <c r="T1748" s="330"/>
      <c r="U1748" s="250"/>
      <c r="V1748" s="249"/>
      <c r="W1748" s="330"/>
      <c r="X1748" s="343"/>
      <c r="Y1748" s="249"/>
      <c r="Z1748" s="330"/>
      <c r="AA1748" s="343"/>
      <c r="AB1748" s="249"/>
      <c r="AC1748" s="330"/>
      <c r="AD1748" s="343"/>
      <c r="AE1748" s="249"/>
      <c r="AF1748" s="330"/>
      <c r="AG1748" s="343"/>
      <c r="AH1748" s="249"/>
      <c r="AI1748" s="330"/>
      <c r="AJ1748" s="343"/>
      <c r="AK1748" s="249"/>
      <c r="AL1748" s="330"/>
      <c r="AM1748" s="343"/>
      <c r="AN1748" s="249"/>
      <c r="AO1748" s="330"/>
      <c r="AP1748" s="343"/>
      <c r="AQ1748" s="249"/>
      <c r="AR1748" s="330"/>
      <c r="AS1748" s="343"/>
      <c r="AT1748" s="249"/>
      <c r="AU1748" s="330"/>
    </row>
    <row r="1749" spans="2:47">
      <c r="B1749" s="247">
        <f>'Table S2 Compound Identifiers'!C1751</f>
        <v>0</v>
      </c>
      <c r="C1749" s="247">
        <f>COUNTIF($D$6:D1749,"&lt;&gt;"&amp;"")</f>
        <v>1744</v>
      </c>
      <c r="D1749" s="247">
        <f>'Table S2 Compound Identifiers'!B1751</f>
        <v>0</v>
      </c>
      <c r="E1749" s="247"/>
      <c r="F1749" s="248"/>
      <c r="G1749" s="249"/>
      <c r="H1749" s="330"/>
      <c r="I1749" s="328"/>
      <c r="J1749" s="249"/>
      <c r="K1749" s="330"/>
      <c r="L1749" s="250"/>
      <c r="M1749" s="249"/>
      <c r="N1749" s="330"/>
      <c r="O1749" s="250"/>
      <c r="P1749" s="249"/>
      <c r="Q1749" s="330"/>
      <c r="R1749" s="250"/>
      <c r="S1749" s="249"/>
      <c r="T1749" s="330"/>
      <c r="U1749" s="250"/>
      <c r="V1749" s="249"/>
      <c r="W1749" s="330"/>
      <c r="X1749" s="343"/>
      <c r="Y1749" s="249"/>
      <c r="Z1749" s="330"/>
      <c r="AA1749" s="343"/>
      <c r="AB1749" s="249"/>
      <c r="AC1749" s="330"/>
      <c r="AD1749" s="343"/>
      <c r="AE1749" s="249"/>
      <c r="AF1749" s="330"/>
      <c r="AG1749" s="343"/>
      <c r="AH1749" s="249"/>
      <c r="AI1749" s="330"/>
      <c r="AJ1749" s="343"/>
      <c r="AK1749" s="249"/>
      <c r="AL1749" s="330"/>
      <c r="AM1749" s="343"/>
      <c r="AN1749" s="249"/>
      <c r="AO1749" s="330"/>
      <c r="AP1749" s="343"/>
      <c r="AQ1749" s="249"/>
      <c r="AR1749" s="330"/>
      <c r="AS1749" s="343"/>
      <c r="AT1749" s="249"/>
      <c r="AU1749" s="330"/>
    </row>
    <row r="1750" spans="2:47">
      <c r="B1750" s="247">
        <f>'Table S2 Compound Identifiers'!C1752</f>
        <v>0</v>
      </c>
      <c r="C1750" s="247">
        <f>COUNTIF($D$6:D1750,"&lt;&gt;"&amp;"")</f>
        <v>1745</v>
      </c>
      <c r="D1750" s="247">
        <f>'Table S2 Compound Identifiers'!B1752</f>
        <v>0</v>
      </c>
      <c r="E1750" s="247"/>
      <c r="F1750" s="248"/>
      <c r="G1750" s="249"/>
      <c r="H1750" s="330"/>
      <c r="I1750" s="328"/>
      <c r="J1750" s="249"/>
      <c r="K1750" s="330"/>
      <c r="L1750" s="250"/>
      <c r="M1750" s="249"/>
      <c r="N1750" s="330"/>
      <c r="O1750" s="250"/>
      <c r="P1750" s="249"/>
      <c r="Q1750" s="330"/>
      <c r="R1750" s="250"/>
      <c r="S1750" s="249"/>
      <c r="T1750" s="330"/>
      <c r="U1750" s="250"/>
      <c r="V1750" s="249"/>
      <c r="W1750" s="330"/>
      <c r="X1750" s="343"/>
      <c r="Y1750" s="249"/>
      <c r="Z1750" s="330"/>
      <c r="AA1750" s="343"/>
      <c r="AB1750" s="249"/>
      <c r="AC1750" s="330"/>
      <c r="AD1750" s="343"/>
      <c r="AE1750" s="249"/>
      <c r="AF1750" s="330"/>
      <c r="AG1750" s="343"/>
      <c r="AH1750" s="249"/>
      <c r="AI1750" s="330"/>
      <c r="AJ1750" s="343"/>
      <c r="AK1750" s="249"/>
      <c r="AL1750" s="330"/>
      <c r="AM1750" s="343"/>
      <c r="AN1750" s="249"/>
      <c r="AO1750" s="330"/>
      <c r="AP1750" s="343"/>
      <c r="AQ1750" s="249"/>
      <c r="AR1750" s="330"/>
      <c r="AS1750" s="343"/>
      <c r="AT1750" s="249"/>
      <c r="AU1750" s="330"/>
    </row>
    <row r="1751" spans="2:47">
      <c r="B1751" s="247">
        <f>'Table S2 Compound Identifiers'!C1753</f>
        <v>0</v>
      </c>
      <c r="C1751" s="247">
        <f>COUNTIF($D$6:D1751,"&lt;&gt;"&amp;"")</f>
        <v>1746</v>
      </c>
      <c r="D1751" s="247">
        <f>'Table S2 Compound Identifiers'!B1753</f>
        <v>0</v>
      </c>
      <c r="E1751" s="247"/>
      <c r="F1751" s="248"/>
      <c r="G1751" s="249"/>
      <c r="H1751" s="330"/>
      <c r="I1751" s="328"/>
      <c r="J1751" s="249"/>
      <c r="K1751" s="330"/>
      <c r="L1751" s="250"/>
      <c r="M1751" s="249"/>
      <c r="N1751" s="330"/>
      <c r="O1751" s="250"/>
      <c r="P1751" s="249"/>
      <c r="Q1751" s="330"/>
      <c r="R1751" s="250"/>
      <c r="S1751" s="249"/>
      <c r="T1751" s="330"/>
      <c r="U1751" s="250"/>
      <c r="V1751" s="249"/>
      <c r="W1751" s="330"/>
      <c r="X1751" s="343"/>
      <c r="Y1751" s="249"/>
      <c r="Z1751" s="330"/>
      <c r="AA1751" s="343"/>
      <c r="AB1751" s="249"/>
      <c r="AC1751" s="330"/>
      <c r="AD1751" s="343"/>
      <c r="AE1751" s="249"/>
      <c r="AF1751" s="330"/>
      <c r="AG1751" s="343"/>
      <c r="AH1751" s="249"/>
      <c r="AI1751" s="330"/>
      <c r="AJ1751" s="343"/>
      <c r="AK1751" s="249"/>
      <c r="AL1751" s="330"/>
      <c r="AM1751" s="343"/>
      <c r="AN1751" s="249"/>
      <c r="AO1751" s="330"/>
      <c r="AP1751" s="343"/>
      <c r="AQ1751" s="249"/>
      <c r="AR1751" s="330"/>
      <c r="AS1751" s="343"/>
      <c r="AT1751" s="249"/>
      <c r="AU1751" s="330"/>
    </row>
    <row r="1752" spans="2:47">
      <c r="B1752" s="247">
        <f>'Table S2 Compound Identifiers'!C1754</f>
        <v>0</v>
      </c>
      <c r="C1752" s="247">
        <f>COUNTIF($D$6:D1752,"&lt;&gt;"&amp;"")</f>
        <v>1747</v>
      </c>
      <c r="D1752" s="247">
        <f>'Table S2 Compound Identifiers'!B1754</f>
        <v>0</v>
      </c>
      <c r="E1752" s="247"/>
      <c r="F1752" s="248"/>
      <c r="G1752" s="249"/>
      <c r="H1752" s="330"/>
      <c r="I1752" s="328"/>
      <c r="J1752" s="249"/>
      <c r="K1752" s="330"/>
      <c r="L1752" s="250"/>
      <c r="M1752" s="249"/>
      <c r="N1752" s="330"/>
      <c r="O1752" s="250"/>
      <c r="P1752" s="249"/>
      <c r="Q1752" s="330"/>
      <c r="R1752" s="250"/>
      <c r="S1752" s="249"/>
      <c r="T1752" s="330"/>
      <c r="U1752" s="250"/>
      <c r="V1752" s="249"/>
      <c r="W1752" s="330"/>
      <c r="X1752" s="343"/>
      <c r="Y1752" s="249"/>
      <c r="Z1752" s="330"/>
      <c r="AA1752" s="343"/>
      <c r="AB1752" s="249"/>
      <c r="AC1752" s="330"/>
      <c r="AD1752" s="343"/>
      <c r="AE1752" s="249"/>
      <c r="AF1752" s="330"/>
      <c r="AG1752" s="343"/>
      <c r="AH1752" s="249"/>
      <c r="AI1752" s="330"/>
      <c r="AJ1752" s="343"/>
      <c r="AK1752" s="249"/>
      <c r="AL1752" s="330"/>
      <c r="AM1752" s="343"/>
      <c r="AN1752" s="249"/>
      <c r="AO1752" s="330"/>
      <c r="AP1752" s="343"/>
      <c r="AQ1752" s="249"/>
      <c r="AR1752" s="330"/>
      <c r="AS1752" s="343"/>
      <c r="AT1752" s="249"/>
      <c r="AU1752" s="330"/>
    </row>
    <row r="1753" spans="2:47">
      <c r="B1753" s="247">
        <f>'Table S2 Compound Identifiers'!C1755</f>
        <v>0</v>
      </c>
      <c r="C1753" s="247">
        <f>COUNTIF($D$6:D1753,"&lt;&gt;"&amp;"")</f>
        <v>1748</v>
      </c>
      <c r="D1753" s="247">
        <f>'Table S2 Compound Identifiers'!B1755</f>
        <v>0</v>
      </c>
      <c r="E1753" s="247"/>
      <c r="F1753" s="248"/>
      <c r="G1753" s="249"/>
      <c r="H1753" s="330"/>
      <c r="I1753" s="328"/>
      <c r="J1753" s="249"/>
      <c r="K1753" s="330"/>
      <c r="L1753" s="250"/>
      <c r="M1753" s="249"/>
      <c r="N1753" s="330"/>
      <c r="O1753" s="250"/>
      <c r="P1753" s="249"/>
      <c r="Q1753" s="330"/>
      <c r="R1753" s="250"/>
      <c r="S1753" s="249"/>
      <c r="T1753" s="330"/>
      <c r="U1753" s="250"/>
      <c r="V1753" s="249"/>
      <c r="W1753" s="330"/>
      <c r="X1753" s="343"/>
      <c r="Y1753" s="249"/>
      <c r="Z1753" s="330"/>
      <c r="AA1753" s="343"/>
      <c r="AB1753" s="249"/>
      <c r="AC1753" s="330"/>
      <c r="AD1753" s="343"/>
      <c r="AE1753" s="249"/>
      <c r="AF1753" s="330"/>
      <c r="AG1753" s="343"/>
      <c r="AH1753" s="249"/>
      <c r="AI1753" s="330"/>
      <c r="AJ1753" s="343"/>
      <c r="AK1753" s="249"/>
      <c r="AL1753" s="330"/>
      <c r="AM1753" s="343"/>
      <c r="AN1753" s="249"/>
      <c r="AO1753" s="330"/>
      <c r="AP1753" s="343"/>
      <c r="AQ1753" s="249"/>
      <c r="AR1753" s="330"/>
      <c r="AS1753" s="343"/>
      <c r="AT1753" s="249"/>
      <c r="AU1753" s="330"/>
    </row>
    <row r="1754" spans="2:47">
      <c r="B1754" s="247">
        <f>'Table S2 Compound Identifiers'!C1756</f>
        <v>0</v>
      </c>
      <c r="C1754" s="247">
        <f>COUNTIF($D$6:D1754,"&lt;&gt;"&amp;"")</f>
        <v>1749</v>
      </c>
      <c r="D1754" s="247">
        <f>'Table S2 Compound Identifiers'!B1756</f>
        <v>0</v>
      </c>
      <c r="E1754" s="247"/>
      <c r="F1754" s="248"/>
      <c r="G1754" s="249"/>
      <c r="H1754" s="330"/>
      <c r="I1754" s="328"/>
      <c r="J1754" s="249"/>
      <c r="K1754" s="330"/>
      <c r="L1754" s="250"/>
      <c r="M1754" s="249"/>
      <c r="N1754" s="330"/>
      <c r="O1754" s="250"/>
      <c r="P1754" s="249"/>
      <c r="Q1754" s="330"/>
      <c r="R1754" s="250"/>
      <c r="S1754" s="249"/>
      <c r="T1754" s="330"/>
      <c r="U1754" s="250"/>
      <c r="V1754" s="249"/>
      <c r="W1754" s="330"/>
      <c r="X1754" s="343"/>
      <c r="Y1754" s="249"/>
      <c r="Z1754" s="330"/>
      <c r="AA1754" s="343"/>
      <c r="AB1754" s="249"/>
      <c r="AC1754" s="330"/>
      <c r="AD1754" s="343"/>
      <c r="AE1754" s="249"/>
      <c r="AF1754" s="330"/>
      <c r="AG1754" s="343"/>
      <c r="AH1754" s="249"/>
      <c r="AI1754" s="330"/>
      <c r="AJ1754" s="343"/>
      <c r="AK1754" s="249"/>
      <c r="AL1754" s="330"/>
      <c r="AM1754" s="343"/>
      <c r="AN1754" s="249"/>
      <c r="AO1754" s="330"/>
      <c r="AP1754" s="343"/>
      <c r="AQ1754" s="249"/>
      <c r="AR1754" s="330"/>
      <c r="AS1754" s="343"/>
      <c r="AT1754" s="249"/>
      <c r="AU1754" s="330"/>
    </row>
    <row r="1755" spans="2:47">
      <c r="B1755" s="247">
        <f>'Table S2 Compound Identifiers'!C1757</f>
        <v>0</v>
      </c>
      <c r="C1755" s="247">
        <f>COUNTIF($D$6:D1755,"&lt;&gt;"&amp;"")</f>
        <v>1750</v>
      </c>
      <c r="D1755" s="247">
        <f>'Table S2 Compound Identifiers'!B1757</f>
        <v>0</v>
      </c>
      <c r="E1755" s="247"/>
      <c r="F1755" s="248"/>
      <c r="G1755" s="249"/>
      <c r="H1755" s="330"/>
      <c r="I1755" s="328"/>
      <c r="J1755" s="249"/>
      <c r="K1755" s="330"/>
      <c r="L1755" s="250"/>
      <c r="M1755" s="249"/>
      <c r="N1755" s="330"/>
      <c r="O1755" s="250"/>
      <c r="P1755" s="249"/>
      <c r="Q1755" s="330"/>
      <c r="R1755" s="250"/>
      <c r="S1755" s="249"/>
      <c r="T1755" s="330"/>
      <c r="U1755" s="250"/>
      <c r="V1755" s="249"/>
      <c r="W1755" s="330"/>
      <c r="X1755" s="343"/>
      <c r="Y1755" s="249"/>
      <c r="Z1755" s="330"/>
      <c r="AA1755" s="343"/>
      <c r="AB1755" s="249"/>
      <c r="AC1755" s="330"/>
      <c r="AD1755" s="343"/>
      <c r="AE1755" s="249"/>
      <c r="AF1755" s="330"/>
      <c r="AG1755" s="343"/>
      <c r="AH1755" s="249"/>
      <c r="AI1755" s="330"/>
      <c r="AJ1755" s="343"/>
      <c r="AK1755" s="249"/>
      <c r="AL1755" s="330"/>
      <c r="AM1755" s="343"/>
      <c r="AN1755" s="249"/>
      <c r="AO1755" s="330"/>
      <c r="AP1755" s="343"/>
      <c r="AQ1755" s="249"/>
      <c r="AR1755" s="330"/>
      <c r="AS1755" s="343"/>
      <c r="AT1755" s="249"/>
      <c r="AU1755" s="330"/>
    </row>
    <row r="1756" spans="2:47">
      <c r="B1756" s="247">
        <f>'Table S2 Compound Identifiers'!C1758</f>
        <v>0</v>
      </c>
      <c r="C1756" s="247">
        <f>COUNTIF($D$6:D1756,"&lt;&gt;"&amp;"")</f>
        <v>1751</v>
      </c>
      <c r="D1756" s="247">
        <f>'Table S2 Compound Identifiers'!B1758</f>
        <v>0</v>
      </c>
      <c r="E1756" s="247"/>
      <c r="F1756" s="248"/>
      <c r="G1756" s="249"/>
      <c r="H1756" s="330"/>
      <c r="I1756" s="328"/>
      <c r="J1756" s="249"/>
      <c r="K1756" s="330"/>
      <c r="L1756" s="250"/>
      <c r="M1756" s="249"/>
      <c r="N1756" s="330"/>
      <c r="O1756" s="250"/>
      <c r="P1756" s="249"/>
      <c r="Q1756" s="330"/>
      <c r="R1756" s="250"/>
      <c r="S1756" s="249"/>
      <c r="T1756" s="330"/>
      <c r="U1756" s="250"/>
      <c r="V1756" s="249"/>
      <c r="W1756" s="330"/>
      <c r="X1756" s="343"/>
      <c r="Y1756" s="249"/>
      <c r="Z1756" s="330"/>
      <c r="AA1756" s="343"/>
      <c r="AB1756" s="249"/>
      <c r="AC1756" s="330"/>
      <c r="AD1756" s="343"/>
      <c r="AE1756" s="249"/>
      <c r="AF1756" s="330"/>
      <c r="AG1756" s="343"/>
      <c r="AH1756" s="249"/>
      <c r="AI1756" s="330"/>
      <c r="AJ1756" s="343"/>
      <c r="AK1756" s="249"/>
      <c r="AL1756" s="330"/>
      <c r="AM1756" s="343"/>
      <c r="AN1756" s="249"/>
      <c r="AO1756" s="330"/>
      <c r="AP1756" s="343"/>
      <c r="AQ1756" s="249"/>
      <c r="AR1756" s="330"/>
      <c r="AS1756" s="343"/>
      <c r="AT1756" s="249"/>
      <c r="AU1756" s="330"/>
    </row>
    <row r="1757" spans="2:47">
      <c r="B1757" s="247">
        <f>'Table S2 Compound Identifiers'!C1759</f>
        <v>0</v>
      </c>
      <c r="C1757" s="247">
        <f>COUNTIF($D$6:D1757,"&lt;&gt;"&amp;"")</f>
        <v>1752</v>
      </c>
      <c r="D1757" s="247">
        <f>'Table S2 Compound Identifiers'!B1759</f>
        <v>0</v>
      </c>
      <c r="E1757" s="247"/>
      <c r="F1757" s="248"/>
      <c r="G1757" s="249"/>
      <c r="H1757" s="330"/>
      <c r="I1757" s="328"/>
      <c r="J1757" s="249"/>
      <c r="K1757" s="330"/>
      <c r="L1757" s="250"/>
      <c r="M1757" s="249"/>
      <c r="N1757" s="330"/>
      <c r="O1757" s="250"/>
      <c r="P1757" s="249"/>
      <c r="Q1757" s="330"/>
      <c r="R1757" s="250"/>
      <c r="S1757" s="249"/>
      <c r="T1757" s="330"/>
      <c r="U1757" s="250"/>
      <c r="V1757" s="249"/>
      <c r="W1757" s="330"/>
      <c r="X1757" s="343"/>
      <c r="Y1757" s="249"/>
      <c r="Z1757" s="330"/>
      <c r="AA1757" s="343"/>
      <c r="AB1757" s="249"/>
      <c r="AC1757" s="330"/>
      <c r="AD1757" s="343"/>
      <c r="AE1757" s="249"/>
      <c r="AF1757" s="330"/>
      <c r="AG1757" s="343"/>
      <c r="AH1757" s="249"/>
      <c r="AI1757" s="330"/>
      <c r="AJ1757" s="343"/>
      <c r="AK1757" s="249"/>
      <c r="AL1757" s="330"/>
      <c r="AM1757" s="343"/>
      <c r="AN1757" s="249"/>
      <c r="AO1757" s="330"/>
      <c r="AP1757" s="343"/>
      <c r="AQ1757" s="249"/>
      <c r="AR1757" s="330"/>
      <c r="AS1757" s="343"/>
      <c r="AT1757" s="249"/>
      <c r="AU1757" s="330"/>
    </row>
    <row r="1758" spans="2:47">
      <c r="B1758" s="247">
        <f>'Table S2 Compound Identifiers'!C1760</f>
        <v>0</v>
      </c>
      <c r="C1758" s="247">
        <f>COUNTIF($D$6:D1758,"&lt;&gt;"&amp;"")</f>
        <v>1753</v>
      </c>
      <c r="D1758" s="247">
        <f>'Table S2 Compound Identifiers'!B1760</f>
        <v>0</v>
      </c>
      <c r="E1758" s="247"/>
      <c r="F1758" s="248"/>
      <c r="G1758" s="249"/>
      <c r="H1758" s="330"/>
      <c r="I1758" s="328"/>
      <c r="J1758" s="249"/>
      <c r="K1758" s="330"/>
      <c r="L1758" s="250"/>
      <c r="M1758" s="249"/>
      <c r="N1758" s="330"/>
      <c r="O1758" s="250"/>
      <c r="P1758" s="249"/>
      <c r="Q1758" s="330"/>
      <c r="R1758" s="250"/>
      <c r="S1758" s="249"/>
      <c r="T1758" s="330"/>
      <c r="U1758" s="250"/>
      <c r="V1758" s="249"/>
      <c r="W1758" s="330"/>
      <c r="X1758" s="343"/>
      <c r="Y1758" s="249"/>
      <c r="Z1758" s="330"/>
      <c r="AA1758" s="343"/>
      <c r="AB1758" s="249"/>
      <c r="AC1758" s="330"/>
      <c r="AD1758" s="343"/>
      <c r="AE1758" s="249"/>
      <c r="AF1758" s="330"/>
      <c r="AG1758" s="343"/>
      <c r="AH1758" s="249"/>
      <c r="AI1758" s="330"/>
      <c r="AJ1758" s="343"/>
      <c r="AK1758" s="249"/>
      <c r="AL1758" s="330"/>
      <c r="AM1758" s="343"/>
      <c r="AN1758" s="249"/>
      <c r="AO1758" s="330"/>
      <c r="AP1758" s="343"/>
      <c r="AQ1758" s="249"/>
      <c r="AR1758" s="330"/>
      <c r="AS1758" s="343"/>
      <c r="AT1758" s="249"/>
      <c r="AU1758" s="330"/>
    </row>
    <row r="1759" spans="2:47">
      <c r="B1759" s="247">
        <f>'Table S2 Compound Identifiers'!C1761</f>
        <v>0</v>
      </c>
      <c r="C1759" s="247">
        <f>COUNTIF($D$6:D1759,"&lt;&gt;"&amp;"")</f>
        <v>1754</v>
      </c>
      <c r="D1759" s="247">
        <f>'Table S2 Compound Identifiers'!B1761</f>
        <v>0</v>
      </c>
      <c r="E1759" s="247"/>
      <c r="F1759" s="248"/>
      <c r="G1759" s="249"/>
      <c r="H1759" s="330"/>
      <c r="I1759" s="328"/>
      <c r="J1759" s="249"/>
      <c r="K1759" s="330"/>
      <c r="L1759" s="250"/>
      <c r="M1759" s="249"/>
      <c r="N1759" s="330"/>
      <c r="O1759" s="250"/>
      <c r="P1759" s="249"/>
      <c r="Q1759" s="330"/>
      <c r="R1759" s="250"/>
      <c r="S1759" s="249"/>
      <c r="T1759" s="330"/>
      <c r="U1759" s="250"/>
      <c r="V1759" s="249"/>
      <c r="W1759" s="330"/>
      <c r="X1759" s="343"/>
      <c r="Y1759" s="249"/>
      <c r="Z1759" s="330"/>
      <c r="AA1759" s="343"/>
      <c r="AB1759" s="249"/>
      <c r="AC1759" s="330"/>
      <c r="AD1759" s="343"/>
      <c r="AE1759" s="249"/>
      <c r="AF1759" s="330"/>
      <c r="AG1759" s="343"/>
      <c r="AH1759" s="249"/>
      <c r="AI1759" s="330"/>
      <c r="AJ1759" s="343"/>
      <c r="AK1759" s="249"/>
      <c r="AL1759" s="330"/>
      <c r="AM1759" s="343"/>
      <c r="AN1759" s="249"/>
      <c r="AO1759" s="330"/>
      <c r="AP1759" s="343"/>
      <c r="AQ1759" s="249"/>
      <c r="AR1759" s="330"/>
      <c r="AS1759" s="343"/>
      <c r="AT1759" s="249"/>
      <c r="AU1759" s="330"/>
    </row>
    <row r="1760" spans="2:47">
      <c r="B1760" s="247">
        <f>'Table S2 Compound Identifiers'!C1762</f>
        <v>0</v>
      </c>
      <c r="C1760" s="247">
        <f>COUNTIF($D$6:D1760,"&lt;&gt;"&amp;"")</f>
        <v>1755</v>
      </c>
      <c r="D1760" s="247">
        <f>'Table S2 Compound Identifiers'!B1762</f>
        <v>0</v>
      </c>
      <c r="E1760" s="247"/>
      <c r="F1760" s="248"/>
      <c r="G1760" s="249"/>
      <c r="H1760" s="330"/>
      <c r="I1760" s="328"/>
      <c r="J1760" s="249"/>
      <c r="K1760" s="330"/>
      <c r="L1760" s="250"/>
      <c r="M1760" s="249"/>
      <c r="N1760" s="330"/>
      <c r="O1760" s="250"/>
      <c r="P1760" s="249"/>
      <c r="Q1760" s="330"/>
      <c r="R1760" s="250"/>
      <c r="S1760" s="249"/>
      <c r="T1760" s="330"/>
      <c r="U1760" s="250"/>
      <c r="V1760" s="249"/>
      <c r="W1760" s="330"/>
      <c r="X1760" s="343"/>
      <c r="Y1760" s="249"/>
      <c r="Z1760" s="330"/>
      <c r="AA1760" s="343"/>
      <c r="AB1760" s="249"/>
      <c r="AC1760" s="330"/>
      <c r="AD1760" s="343"/>
      <c r="AE1760" s="249"/>
      <c r="AF1760" s="330"/>
      <c r="AG1760" s="343"/>
      <c r="AH1760" s="249"/>
      <c r="AI1760" s="330"/>
      <c r="AJ1760" s="343"/>
      <c r="AK1760" s="249"/>
      <c r="AL1760" s="330"/>
      <c r="AM1760" s="343"/>
      <c r="AN1760" s="249"/>
      <c r="AO1760" s="330"/>
      <c r="AP1760" s="343"/>
      <c r="AQ1760" s="249"/>
      <c r="AR1760" s="330"/>
      <c r="AS1760" s="343"/>
      <c r="AT1760" s="249"/>
      <c r="AU1760" s="330"/>
    </row>
    <row r="1761" spans="2:47">
      <c r="B1761" s="247">
        <f>'Table S2 Compound Identifiers'!C1763</f>
        <v>0</v>
      </c>
      <c r="C1761" s="247">
        <f>COUNTIF($D$6:D1761,"&lt;&gt;"&amp;"")</f>
        <v>1756</v>
      </c>
      <c r="D1761" s="247">
        <f>'Table S2 Compound Identifiers'!B1763</f>
        <v>0</v>
      </c>
      <c r="E1761" s="247"/>
      <c r="F1761" s="248"/>
      <c r="G1761" s="249"/>
      <c r="H1761" s="330"/>
      <c r="I1761" s="328"/>
      <c r="J1761" s="249"/>
      <c r="K1761" s="330"/>
      <c r="L1761" s="250"/>
      <c r="M1761" s="249"/>
      <c r="N1761" s="330"/>
      <c r="O1761" s="250"/>
      <c r="P1761" s="249"/>
      <c r="Q1761" s="330"/>
      <c r="R1761" s="250"/>
      <c r="S1761" s="249"/>
      <c r="T1761" s="330"/>
      <c r="U1761" s="250"/>
      <c r="V1761" s="249"/>
      <c r="W1761" s="330"/>
      <c r="X1761" s="343"/>
      <c r="Y1761" s="249"/>
      <c r="Z1761" s="330"/>
      <c r="AA1761" s="343"/>
      <c r="AB1761" s="249"/>
      <c r="AC1761" s="330"/>
      <c r="AD1761" s="343"/>
      <c r="AE1761" s="249"/>
      <c r="AF1761" s="330"/>
      <c r="AG1761" s="343"/>
      <c r="AH1761" s="249"/>
      <c r="AI1761" s="330"/>
      <c r="AJ1761" s="343"/>
      <c r="AK1761" s="249"/>
      <c r="AL1761" s="330"/>
      <c r="AM1761" s="343"/>
      <c r="AN1761" s="249"/>
      <c r="AO1761" s="330"/>
      <c r="AP1761" s="343"/>
      <c r="AQ1761" s="249"/>
      <c r="AR1761" s="330"/>
      <c r="AS1761" s="343"/>
      <c r="AT1761" s="249"/>
      <c r="AU1761" s="330"/>
    </row>
    <row r="1762" spans="2:47">
      <c r="B1762" s="247">
        <f>'Table S2 Compound Identifiers'!C1764</f>
        <v>0</v>
      </c>
      <c r="C1762" s="247">
        <f>COUNTIF($D$6:D1762,"&lt;&gt;"&amp;"")</f>
        <v>1757</v>
      </c>
      <c r="D1762" s="247">
        <f>'Table S2 Compound Identifiers'!B1764</f>
        <v>0</v>
      </c>
      <c r="E1762" s="247"/>
      <c r="F1762" s="248"/>
      <c r="G1762" s="249"/>
      <c r="H1762" s="330"/>
      <c r="I1762" s="328"/>
      <c r="J1762" s="249"/>
      <c r="K1762" s="330"/>
      <c r="L1762" s="250"/>
      <c r="M1762" s="249"/>
      <c r="N1762" s="330"/>
      <c r="O1762" s="250"/>
      <c r="P1762" s="249"/>
      <c r="Q1762" s="330"/>
      <c r="R1762" s="250"/>
      <c r="S1762" s="249"/>
      <c r="T1762" s="330"/>
      <c r="U1762" s="250"/>
      <c r="V1762" s="249"/>
      <c r="W1762" s="330"/>
      <c r="X1762" s="343"/>
      <c r="Y1762" s="249"/>
      <c r="Z1762" s="330"/>
      <c r="AA1762" s="343"/>
      <c r="AB1762" s="249"/>
      <c r="AC1762" s="330"/>
      <c r="AD1762" s="343"/>
      <c r="AE1762" s="249"/>
      <c r="AF1762" s="330"/>
      <c r="AG1762" s="343"/>
      <c r="AH1762" s="249"/>
      <c r="AI1762" s="330"/>
      <c r="AJ1762" s="343"/>
      <c r="AK1762" s="249"/>
      <c r="AL1762" s="330"/>
      <c r="AM1762" s="343"/>
      <c r="AN1762" s="249"/>
      <c r="AO1762" s="330"/>
      <c r="AP1762" s="343"/>
      <c r="AQ1762" s="249"/>
      <c r="AR1762" s="330"/>
      <c r="AS1762" s="343"/>
      <c r="AT1762" s="249"/>
      <c r="AU1762" s="330"/>
    </row>
    <row r="1763" spans="2:47">
      <c r="B1763" s="247">
        <f>'Table S2 Compound Identifiers'!C1765</f>
        <v>0</v>
      </c>
      <c r="C1763" s="247">
        <f>COUNTIF($D$6:D1763,"&lt;&gt;"&amp;"")</f>
        <v>1758</v>
      </c>
      <c r="D1763" s="247">
        <f>'Table S2 Compound Identifiers'!B1765</f>
        <v>0</v>
      </c>
      <c r="E1763" s="247"/>
      <c r="F1763" s="248"/>
      <c r="G1763" s="249"/>
      <c r="H1763" s="330"/>
      <c r="I1763" s="328"/>
      <c r="J1763" s="249"/>
      <c r="K1763" s="330"/>
      <c r="L1763" s="250"/>
      <c r="M1763" s="249"/>
      <c r="N1763" s="330"/>
      <c r="O1763" s="250"/>
      <c r="P1763" s="249"/>
      <c r="Q1763" s="330"/>
      <c r="R1763" s="250"/>
      <c r="S1763" s="249"/>
      <c r="T1763" s="330"/>
      <c r="U1763" s="250"/>
      <c r="V1763" s="249"/>
      <c r="W1763" s="330"/>
      <c r="X1763" s="343"/>
      <c r="Y1763" s="249"/>
      <c r="Z1763" s="330"/>
      <c r="AA1763" s="343"/>
      <c r="AB1763" s="249"/>
      <c r="AC1763" s="330"/>
      <c r="AD1763" s="343"/>
      <c r="AE1763" s="249"/>
      <c r="AF1763" s="330"/>
      <c r="AG1763" s="343"/>
      <c r="AH1763" s="249"/>
      <c r="AI1763" s="330"/>
      <c r="AJ1763" s="343"/>
      <c r="AK1763" s="249"/>
      <c r="AL1763" s="330"/>
      <c r="AM1763" s="343"/>
      <c r="AN1763" s="249"/>
      <c r="AO1763" s="330"/>
      <c r="AP1763" s="343"/>
      <c r="AQ1763" s="249"/>
      <c r="AR1763" s="330"/>
      <c r="AS1763" s="343"/>
      <c r="AT1763" s="249"/>
      <c r="AU1763" s="330"/>
    </row>
    <row r="1764" spans="2:47">
      <c r="B1764" s="247">
        <f>'Table S2 Compound Identifiers'!C1766</f>
        <v>0</v>
      </c>
      <c r="C1764" s="247">
        <f>COUNTIF($D$6:D1764,"&lt;&gt;"&amp;"")</f>
        <v>1759</v>
      </c>
      <c r="D1764" s="432">
        <f>'Table S2 Compound Identifiers'!B1766</f>
        <v>0</v>
      </c>
      <c r="E1764" s="247"/>
      <c r="F1764" s="248"/>
      <c r="G1764" s="249"/>
      <c r="H1764" s="330"/>
      <c r="I1764" s="328"/>
      <c r="J1764" s="249"/>
      <c r="K1764" s="330"/>
      <c r="L1764" s="250"/>
      <c r="M1764" s="249"/>
      <c r="N1764" s="330"/>
      <c r="O1764" s="250"/>
      <c r="P1764" s="249"/>
      <c r="Q1764" s="330"/>
      <c r="R1764" s="250"/>
      <c r="S1764" s="249"/>
      <c r="T1764" s="330"/>
      <c r="U1764" s="250"/>
      <c r="V1764" s="249"/>
      <c r="W1764" s="330"/>
      <c r="X1764" s="343"/>
      <c r="Y1764" s="249"/>
      <c r="Z1764" s="330"/>
      <c r="AA1764" s="343"/>
      <c r="AB1764" s="249"/>
      <c r="AC1764" s="330"/>
      <c r="AD1764" s="343"/>
      <c r="AE1764" s="249"/>
      <c r="AF1764" s="330"/>
      <c r="AG1764" s="343"/>
      <c r="AH1764" s="249"/>
      <c r="AI1764" s="330"/>
      <c r="AJ1764" s="343"/>
      <c r="AK1764" s="249"/>
      <c r="AL1764" s="330"/>
      <c r="AM1764" s="343"/>
      <c r="AN1764" s="249"/>
      <c r="AO1764" s="330"/>
      <c r="AP1764" s="343"/>
      <c r="AQ1764" s="249"/>
      <c r="AR1764" s="330"/>
      <c r="AS1764" s="343"/>
      <c r="AT1764" s="249"/>
      <c r="AU1764" s="330"/>
    </row>
    <row r="1765" spans="2:47">
      <c r="B1765" s="247">
        <f>'Table S2 Compound Identifiers'!C1767</f>
        <v>0</v>
      </c>
      <c r="C1765" s="247">
        <f>COUNTIF($D$6:D1765,"&lt;&gt;"&amp;"")</f>
        <v>1760</v>
      </c>
      <c r="D1765" s="432">
        <f>'Table S2 Compound Identifiers'!B1767</f>
        <v>0</v>
      </c>
      <c r="E1765" s="247"/>
      <c r="F1765" s="248"/>
      <c r="G1765" s="249"/>
      <c r="H1765" s="330"/>
      <c r="I1765" s="328"/>
      <c r="J1765" s="249"/>
      <c r="K1765" s="330"/>
      <c r="L1765" s="250"/>
      <c r="M1765" s="249"/>
      <c r="N1765" s="330"/>
      <c r="O1765" s="250"/>
      <c r="P1765" s="249"/>
      <c r="Q1765" s="330"/>
      <c r="R1765" s="250"/>
      <c r="S1765" s="249"/>
      <c r="T1765" s="330"/>
      <c r="U1765" s="250"/>
      <c r="V1765" s="249"/>
      <c r="W1765" s="330"/>
      <c r="X1765" s="343"/>
      <c r="Y1765" s="249"/>
      <c r="Z1765" s="330"/>
      <c r="AA1765" s="343"/>
      <c r="AB1765" s="249"/>
      <c r="AC1765" s="330"/>
      <c r="AD1765" s="343"/>
      <c r="AE1765" s="249"/>
      <c r="AF1765" s="330"/>
      <c r="AG1765" s="343"/>
      <c r="AH1765" s="249"/>
      <c r="AI1765" s="330"/>
      <c r="AJ1765" s="343"/>
      <c r="AK1765" s="249"/>
      <c r="AL1765" s="330"/>
      <c r="AM1765" s="343"/>
      <c r="AN1765" s="249"/>
      <c r="AO1765" s="330"/>
      <c r="AP1765" s="343"/>
      <c r="AQ1765" s="249"/>
      <c r="AR1765" s="330"/>
      <c r="AS1765" s="343"/>
      <c r="AT1765" s="249"/>
      <c r="AU1765" s="330"/>
    </row>
    <row r="1766" spans="2:47">
      <c r="B1766" s="247">
        <f>'Table S2 Compound Identifiers'!C1768</f>
        <v>0</v>
      </c>
      <c r="C1766" s="247">
        <f>COUNTIF($D$6:D1766,"&lt;&gt;"&amp;"")</f>
        <v>1761</v>
      </c>
      <c r="D1766" s="432">
        <f>'Table S2 Compound Identifiers'!B1768</f>
        <v>0</v>
      </c>
      <c r="E1766" s="247"/>
      <c r="F1766" s="248"/>
      <c r="G1766" s="249"/>
      <c r="H1766" s="330"/>
      <c r="I1766" s="328"/>
      <c r="J1766" s="249"/>
      <c r="K1766" s="330"/>
      <c r="L1766" s="250"/>
      <c r="M1766" s="249"/>
      <c r="N1766" s="330"/>
      <c r="O1766" s="250"/>
      <c r="P1766" s="249"/>
      <c r="Q1766" s="330"/>
      <c r="R1766" s="250"/>
      <c r="S1766" s="249"/>
      <c r="T1766" s="330"/>
      <c r="U1766" s="250"/>
      <c r="V1766" s="249"/>
      <c r="W1766" s="330"/>
      <c r="X1766" s="343"/>
      <c r="Y1766" s="249"/>
      <c r="Z1766" s="330"/>
      <c r="AA1766" s="343"/>
      <c r="AB1766" s="249"/>
      <c r="AC1766" s="330"/>
      <c r="AD1766" s="343"/>
      <c r="AE1766" s="249"/>
      <c r="AF1766" s="330"/>
      <c r="AG1766" s="343"/>
      <c r="AH1766" s="249"/>
      <c r="AI1766" s="330"/>
      <c r="AJ1766" s="343"/>
      <c r="AK1766" s="249"/>
      <c r="AL1766" s="330"/>
      <c r="AM1766" s="343"/>
      <c r="AN1766" s="249"/>
      <c r="AO1766" s="330"/>
      <c r="AP1766" s="343"/>
      <c r="AQ1766" s="249"/>
      <c r="AR1766" s="330"/>
      <c r="AS1766" s="343"/>
      <c r="AT1766" s="249"/>
      <c r="AU1766" s="330"/>
    </row>
    <row r="1767" spans="2:47">
      <c r="B1767" s="247">
        <f>'Table S2 Compound Identifiers'!C1769</f>
        <v>0</v>
      </c>
      <c r="C1767" s="247">
        <f>COUNTIF($D$6:D1767,"&lt;&gt;"&amp;"")</f>
        <v>1762</v>
      </c>
      <c r="D1767" s="432">
        <f>'Table S2 Compound Identifiers'!B1769</f>
        <v>0</v>
      </c>
      <c r="E1767" s="247"/>
      <c r="F1767" s="248"/>
      <c r="G1767" s="249"/>
      <c r="H1767" s="330"/>
      <c r="I1767" s="328"/>
      <c r="J1767" s="249"/>
      <c r="K1767" s="330"/>
      <c r="L1767" s="250"/>
      <c r="M1767" s="249"/>
      <c r="N1767" s="330"/>
      <c r="O1767" s="250"/>
      <c r="P1767" s="249"/>
      <c r="Q1767" s="330"/>
      <c r="R1767" s="250"/>
      <c r="S1767" s="249"/>
      <c r="T1767" s="330"/>
      <c r="U1767" s="250"/>
      <c r="V1767" s="249"/>
      <c r="W1767" s="330"/>
      <c r="X1767" s="343"/>
      <c r="Y1767" s="249"/>
      <c r="Z1767" s="330"/>
      <c r="AA1767" s="343"/>
      <c r="AB1767" s="249"/>
      <c r="AC1767" s="330"/>
      <c r="AD1767" s="343"/>
      <c r="AE1767" s="249"/>
      <c r="AF1767" s="330"/>
      <c r="AG1767" s="343"/>
      <c r="AH1767" s="249"/>
      <c r="AI1767" s="330"/>
      <c r="AJ1767" s="343"/>
      <c r="AK1767" s="249"/>
      <c r="AL1767" s="330"/>
      <c r="AM1767" s="343"/>
      <c r="AN1767" s="249"/>
      <c r="AO1767" s="330"/>
      <c r="AP1767" s="343"/>
      <c r="AQ1767" s="249"/>
      <c r="AR1767" s="330"/>
      <c r="AS1767" s="343"/>
      <c r="AT1767" s="249"/>
      <c r="AU1767" s="330"/>
    </row>
    <row r="1768" spans="2:47">
      <c r="B1768" s="247">
        <f>'Table S2 Compound Identifiers'!C1770</f>
        <v>0</v>
      </c>
      <c r="C1768" s="247">
        <f>COUNTIF($D$6:D1768,"&lt;&gt;"&amp;"")</f>
        <v>1763</v>
      </c>
      <c r="D1768" s="432">
        <f>'Table S2 Compound Identifiers'!B1770</f>
        <v>0</v>
      </c>
      <c r="E1768" s="247"/>
      <c r="F1768" s="248"/>
      <c r="G1768" s="249"/>
      <c r="H1768" s="330"/>
      <c r="I1768" s="328"/>
      <c r="J1768" s="249"/>
      <c r="K1768" s="330"/>
      <c r="L1768" s="250"/>
      <c r="M1768" s="249"/>
      <c r="N1768" s="330"/>
      <c r="O1768" s="250"/>
      <c r="P1768" s="249"/>
      <c r="Q1768" s="330"/>
      <c r="R1768" s="250"/>
      <c r="S1768" s="249"/>
      <c r="T1768" s="330"/>
      <c r="U1768" s="250"/>
      <c r="V1768" s="249"/>
      <c r="W1768" s="330"/>
      <c r="X1768" s="343"/>
      <c r="Y1768" s="249"/>
      <c r="Z1768" s="330"/>
      <c r="AA1768" s="343"/>
      <c r="AB1768" s="249"/>
      <c r="AC1768" s="330"/>
      <c r="AD1768" s="343"/>
      <c r="AE1768" s="249"/>
      <c r="AF1768" s="330"/>
      <c r="AG1768" s="343"/>
      <c r="AH1768" s="249"/>
      <c r="AI1768" s="330"/>
      <c r="AJ1768" s="343"/>
      <c r="AK1768" s="249"/>
      <c r="AL1768" s="330"/>
      <c r="AM1768" s="343"/>
      <c r="AN1768" s="249"/>
      <c r="AO1768" s="330"/>
      <c r="AP1768" s="343"/>
      <c r="AQ1768" s="249"/>
      <c r="AR1768" s="330"/>
      <c r="AS1768" s="343"/>
      <c r="AT1768" s="249"/>
      <c r="AU1768" s="330"/>
    </row>
    <row r="1769" spans="2:47">
      <c r="B1769" s="247">
        <f>'Table S2 Compound Identifiers'!C1771</f>
        <v>0</v>
      </c>
      <c r="C1769" s="247">
        <f>COUNTIF($D$6:D1769,"&lt;&gt;"&amp;"")</f>
        <v>1764</v>
      </c>
      <c r="D1769" s="432">
        <f>'Table S2 Compound Identifiers'!B1771</f>
        <v>0</v>
      </c>
      <c r="E1769" s="247"/>
      <c r="F1769" s="248"/>
      <c r="G1769" s="249"/>
      <c r="H1769" s="330"/>
      <c r="I1769" s="328"/>
      <c r="J1769" s="249"/>
      <c r="K1769" s="330"/>
      <c r="L1769" s="250"/>
      <c r="M1769" s="249"/>
      <c r="N1769" s="330"/>
      <c r="O1769" s="250"/>
      <c r="P1769" s="249"/>
      <c r="Q1769" s="330"/>
      <c r="R1769" s="250"/>
      <c r="S1769" s="249"/>
      <c r="T1769" s="330"/>
      <c r="U1769" s="250"/>
      <c r="V1769" s="249"/>
      <c r="W1769" s="330"/>
      <c r="X1769" s="343"/>
      <c r="Y1769" s="249"/>
      <c r="Z1769" s="330"/>
      <c r="AA1769" s="343"/>
      <c r="AB1769" s="249"/>
      <c r="AC1769" s="330"/>
      <c r="AD1769" s="343"/>
      <c r="AE1769" s="249"/>
      <c r="AF1769" s="330"/>
      <c r="AG1769" s="343"/>
      <c r="AH1769" s="249"/>
      <c r="AI1769" s="330"/>
      <c r="AJ1769" s="343"/>
      <c r="AK1769" s="249"/>
      <c r="AL1769" s="330"/>
      <c r="AM1769" s="343"/>
      <c r="AN1769" s="249"/>
      <c r="AO1769" s="330"/>
      <c r="AP1769" s="343"/>
      <c r="AQ1769" s="249"/>
      <c r="AR1769" s="330"/>
      <c r="AS1769" s="343"/>
      <c r="AT1769" s="249"/>
      <c r="AU1769" s="330"/>
    </row>
    <row r="1770" spans="2:47">
      <c r="B1770" s="247">
        <f>'Table S2 Compound Identifiers'!C1772</f>
        <v>0</v>
      </c>
      <c r="C1770" s="247">
        <f>COUNTIF($D$6:D1770,"&lt;&gt;"&amp;"")</f>
        <v>1765</v>
      </c>
      <c r="D1770" s="432">
        <f>'Table S2 Compound Identifiers'!B1772</f>
        <v>0</v>
      </c>
      <c r="E1770" s="247"/>
      <c r="F1770" s="248"/>
      <c r="G1770" s="249"/>
      <c r="H1770" s="330"/>
      <c r="I1770" s="328"/>
      <c r="J1770" s="249"/>
      <c r="K1770" s="330"/>
      <c r="L1770" s="250"/>
      <c r="M1770" s="249"/>
      <c r="N1770" s="330"/>
      <c r="O1770" s="250"/>
      <c r="P1770" s="249"/>
      <c r="Q1770" s="330"/>
      <c r="R1770" s="250"/>
      <c r="S1770" s="249"/>
      <c r="T1770" s="330"/>
      <c r="U1770" s="250"/>
      <c r="V1770" s="249"/>
      <c r="W1770" s="330"/>
      <c r="X1770" s="343"/>
      <c r="Y1770" s="249"/>
      <c r="Z1770" s="330"/>
      <c r="AA1770" s="343"/>
      <c r="AB1770" s="249"/>
      <c r="AC1770" s="330"/>
      <c r="AD1770" s="343"/>
      <c r="AE1770" s="249"/>
      <c r="AF1770" s="330"/>
      <c r="AG1770" s="343"/>
      <c r="AH1770" s="249"/>
      <c r="AI1770" s="330"/>
      <c r="AJ1770" s="343"/>
      <c r="AK1770" s="249"/>
      <c r="AL1770" s="330"/>
      <c r="AM1770" s="343"/>
      <c r="AN1770" s="249"/>
      <c r="AO1770" s="330"/>
      <c r="AP1770" s="343"/>
      <c r="AQ1770" s="249"/>
      <c r="AR1770" s="330"/>
      <c r="AS1770" s="343"/>
      <c r="AT1770" s="249"/>
      <c r="AU1770" s="330"/>
    </row>
    <row r="1771" spans="2:47">
      <c r="B1771" s="247">
        <f>'Table S2 Compound Identifiers'!C1773</f>
        <v>0</v>
      </c>
      <c r="C1771" s="247">
        <f>COUNTIF($D$6:D1771,"&lt;&gt;"&amp;"")</f>
        <v>1766</v>
      </c>
      <c r="D1771" s="432">
        <f>'Table S2 Compound Identifiers'!B1773</f>
        <v>0</v>
      </c>
      <c r="E1771" s="247"/>
      <c r="F1771" s="248"/>
      <c r="G1771" s="249"/>
      <c r="H1771" s="330"/>
      <c r="I1771" s="328"/>
      <c r="J1771" s="249"/>
      <c r="K1771" s="330"/>
      <c r="L1771" s="250"/>
      <c r="M1771" s="249"/>
      <c r="N1771" s="330"/>
      <c r="O1771" s="250"/>
      <c r="P1771" s="249"/>
      <c r="Q1771" s="330"/>
      <c r="R1771" s="250"/>
      <c r="S1771" s="249"/>
      <c r="T1771" s="330"/>
      <c r="U1771" s="250"/>
      <c r="V1771" s="249"/>
      <c r="W1771" s="330"/>
      <c r="X1771" s="343"/>
      <c r="Y1771" s="249"/>
      <c r="Z1771" s="330"/>
      <c r="AA1771" s="343"/>
      <c r="AB1771" s="249"/>
      <c r="AC1771" s="330"/>
      <c r="AD1771" s="343"/>
      <c r="AE1771" s="249"/>
      <c r="AF1771" s="330"/>
      <c r="AG1771" s="343"/>
      <c r="AH1771" s="249"/>
      <c r="AI1771" s="330"/>
      <c r="AJ1771" s="343"/>
      <c r="AK1771" s="249"/>
      <c r="AL1771" s="330"/>
      <c r="AM1771" s="343"/>
      <c r="AN1771" s="249"/>
      <c r="AO1771" s="330"/>
      <c r="AP1771" s="343"/>
      <c r="AQ1771" s="249"/>
      <c r="AR1771" s="330"/>
      <c r="AS1771" s="343"/>
      <c r="AT1771" s="249"/>
      <c r="AU1771" s="330"/>
    </row>
    <row r="1772" spans="2:47">
      <c r="B1772" s="247">
        <f>'Table S2 Compound Identifiers'!C1774</f>
        <v>0</v>
      </c>
      <c r="C1772" s="247">
        <f>COUNTIF($D$6:D1772,"&lt;&gt;"&amp;"")</f>
        <v>1767</v>
      </c>
      <c r="D1772" s="432">
        <f>'Table S2 Compound Identifiers'!B1774</f>
        <v>0</v>
      </c>
      <c r="E1772" s="247"/>
      <c r="F1772" s="248"/>
      <c r="G1772" s="249"/>
      <c r="H1772" s="330"/>
      <c r="I1772" s="328"/>
      <c r="J1772" s="249"/>
      <c r="K1772" s="330"/>
      <c r="L1772" s="250"/>
      <c r="M1772" s="249"/>
      <c r="N1772" s="330"/>
      <c r="O1772" s="250"/>
      <c r="P1772" s="249"/>
      <c r="Q1772" s="330"/>
      <c r="R1772" s="250"/>
      <c r="S1772" s="249"/>
      <c r="T1772" s="330"/>
      <c r="U1772" s="250"/>
      <c r="V1772" s="249"/>
      <c r="W1772" s="330"/>
      <c r="X1772" s="343"/>
      <c r="Y1772" s="249"/>
      <c r="Z1772" s="330"/>
      <c r="AA1772" s="343"/>
      <c r="AB1772" s="249"/>
      <c r="AC1772" s="330"/>
      <c r="AD1772" s="343"/>
      <c r="AE1772" s="249"/>
      <c r="AF1772" s="330"/>
      <c r="AG1772" s="343"/>
      <c r="AH1772" s="249"/>
      <c r="AI1772" s="330"/>
      <c r="AJ1772" s="343"/>
      <c r="AK1772" s="249"/>
      <c r="AL1772" s="330"/>
      <c r="AM1772" s="343"/>
      <c r="AN1772" s="249"/>
      <c r="AO1772" s="330"/>
      <c r="AP1772" s="343"/>
      <c r="AQ1772" s="249"/>
      <c r="AR1772" s="330"/>
      <c r="AS1772" s="343"/>
      <c r="AT1772" s="249"/>
      <c r="AU1772" s="330"/>
    </row>
    <row r="1773" spans="2:47">
      <c r="B1773" s="247">
        <f>'Table S2 Compound Identifiers'!C1775</f>
        <v>0</v>
      </c>
      <c r="C1773" s="247">
        <f>COUNTIF($D$6:D1773,"&lt;&gt;"&amp;"")</f>
        <v>1768</v>
      </c>
      <c r="D1773" s="432">
        <f>'Table S2 Compound Identifiers'!B1775</f>
        <v>0</v>
      </c>
      <c r="E1773" s="247"/>
      <c r="F1773" s="248"/>
      <c r="G1773" s="249"/>
      <c r="H1773" s="330"/>
      <c r="I1773" s="328"/>
      <c r="J1773" s="249"/>
      <c r="K1773" s="330"/>
      <c r="L1773" s="250"/>
      <c r="M1773" s="249"/>
      <c r="N1773" s="330"/>
      <c r="O1773" s="250"/>
      <c r="P1773" s="249"/>
      <c r="Q1773" s="330"/>
      <c r="R1773" s="250"/>
      <c r="S1773" s="249"/>
      <c r="T1773" s="330"/>
      <c r="U1773" s="250"/>
      <c r="V1773" s="249"/>
      <c r="W1773" s="330"/>
      <c r="X1773" s="343"/>
      <c r="Y1773" s="249"/>
      <c r="Z1773" s="330"/>
      <c r="AA1773" s="343"/>
      <c r="AB1773" s="249"/>
      <c r="AC1773" s="330"/>
      <c r="AD1773" s="343"/>
      <c r="AE1773" s="249"/>
      <c r="AF1773" s="330"/>
      <c r="AG1773" s="343"/>
      <c r="AH1773" s="249"/>
      <c r="AI1773" s="330"/>
      <c r="AJ1773" s="343"/>
      <c r="AK1773" s="249"/>
      <c r="AL1773" s="330"/>
      <c r="AM1773" s="343"/>
      <c r="AN1773" s="249"/>
      <c r="AO1773" s="330"/>
      <c r="AP1773" s="343"/>
      <c r="AQ1773" s="249"/>
      <c r="AR1773" s="330"/>
      <c r="AS1773" s="343"/>
      <c r="AT1773" s="249"/>
      <c r="AU1773" s="330"/>
    </row>
    <row r="1774" spans="2:47">
      <c r="B1774" s="247">
        <f>'Table S2 Compound Identifiers'!C1776</f>
        <v>0</v>
      </c>
      <c r="C1774" s="247">
        <f>COUNTIF($D$6:D1774,"&lt;&gt;"&amp;"")</f>
        <v>1769</v>
      </c>
      <c r="D1774" s="247">
        <f>'Table S2 Compound Identifiers'!B1776</f>
        <v>0</v>
      </c>
      <c r="E1774" s="247"/>
      <c r="F1774" s="248"/>
      <c r="G1774" s="249"/>
      <c r="H1774" s="330"/>
      <c r="I1774" s="328"/>
      <c r="J1774" s="249"/>
      <c r="K1774" s="330"/>
      <c r="L1774" s="250"/>
      <c r="M1774" s="249"/>
      <c r="N1774" s="330"/>
      <c r="O1774" s="250"/>
      <c r="P1774" s="249"/>
      <c r="Q1774" s="330"/>
      <c r="R1774" s="250"/>
      <c r="S1774" s="249"/>
      <c r="T1774" s="330"/>
      <c r="U1774" s="250"/>
      <c r="V1774" s="249"/>
      <c r="W1774" s="330"/>
      <c r="X1774" s="343"/>
      <c r="Y1774" s="249"/>
      <c r="Z1774" s="330"/>
      <c r="AA1774" s="343"/>
      <c r="AB1774" s="249"/>
      <c r="AC1774" s="330"/>
      <c r="AD1774" s="343"/>
      <c r="AE1774" s="249"/>
      <c r="AF1774" s="330"/>
      <c r="AG1774" s="343"/>
      <c r="AH1774" s="249"/>
      <c r="AI1774" s="330"/>
      <c r="AJ1774" s="343"/>
      <c r="AK1774" s="249"/>
      <c r="AL1774" s="330"/>
      <c r="AM1774" s="343"/>
      <c r="AN1774" s="249"/>
      <c r="AO1774" s="330"/>
      <c r="AP1774" s="343"/>
      <c r="AQ1774" s="249"/>
      <c r="AR1774" s="330"/>
      <c r="AS1774" s="343"/>
      <c r="AT1774" s="249"/>
      <c r="AU1774" s="330"/>
    </row>
    <row r="1775" spans="2:47">
      <c r="B1775" s="247">
        <f>'Table S2 Compound Identifiers'!C1777</f>
        <v>0</v>
      </c>
      <c r="C1775" s="247">
        <f>COUNTIF($D$6:D1775,"&lt;&gt;"&amp;"")</f>
        <v>1770</v>
      </c>
      <c r="D1775" s="247">
        <f>'Table S2 Compound Identifiers'!B1777</f>
        <v>0</v>
      </c>
      <c r="E1775" s="247"/>
      <c r="F1775" s="248"/>
      <c r="G1775" s="249"/>
      <c r="H1775" s="330"/>
      <c r="I1775" s="328"/>
      <c r="J1775" s="249"/>
      <c r="K1775" s="330"/>
      <c r="L1775" s="250"/>
      <c r="M1775" s="249"/>
      <c r="N1775" s="330"/>
      <c r="O1775" s="250"/>
      <c r="P1775" s="249"/>
      <c r="Q1775" s="330"/>
      <c r="R1775" s="250"/>
      <c r="S1775" s="249"/>
      <c r="T1775" s="330"/>
      <c r="U1775" s="250"/>
      <c r="V1775" s="249"/>
      <c r="W1775" s="330"/>
      <c r="X1775" s="343"/>
      <c r="Y1775" s="249"/>
      <c r="Z1775" s="330"/>
      <c r="AA1775" s="343"/>
      <c r="AB1775" s="249"/>
      <c r="AC1775" s="330"/>
      <c r="AD1775" s="343"/>
      <c r="AE1775" s="249"/>
      <c r="AF1775" s="330"/>
      <c r="AG1775" s="343"/>
      <c r="AH1775" s="249"/>
      <c r="AI1775" s="330"/>
      <c r="AJ1775" s="343"/>
      <c r="AK1775" s="249"/>
      <c r="AL1775" s="330"/>
      <c r="AM1775" s="343"/>
      <c r="AN1775" s="249"/>
      <c r="AO1775" s="330"/>
      <c r="AP1775" s="343"/>
      <c r="AQ1775" s="249"/>
      <c r="AR1775" s="330"/>
      <c r="AS1775" s="343"/>
      <c r="AT1775" s="249"/>
      <c r="AU1775" s="330"/>
    </row>
    <row r="1776" spans="2:47">
      <c r="B1776" s="247">
        <f>'Table S2 Compound Identifiers'!C1778</f>
        <v>0</v>
      </c>
      <c r="C1776" s="247">
        <f>COUNTIF($D$6:D1776,"&lt;&gt;"&amp;"")</f>
        <v>1771</v>
      </c>
      <c r="D1776" s="247">
        <f>'Table S2 Compound Identifiers'!B1778</f>
        <v>0</v>
      </c>
      <c r="E1776" s="247"/>
      <c r="F1776" s="248"/>
      <c r="G1776" s="249"/>
      <c r="H1776" s="330"/>
      <c r="I1776" s="328"/>
      <c r="J1776" s="249"/>
      <c r="K1776" s="330"/>
      <c r="L1776" s="250"/>
      <c r="M1776" s="249"/>
      <c r="N1776" s="330"/>
      <c r="O1776" s="250"/>
      <c r="P1776" s="249"/>
      <c r="Q1776" s="330"/>
      <c r="R1776" s="250"/>
      <c r="S1776" s="249"/>
      <c r="T1776" s="330"/>
      <c r="U1776" s="250"/>
      <c r="V1776" s="249"/>
      <c r="W1776" s="330"/>
      <c r="X1776" s="343"/>
      <c r="Y1776" s="249"/>
      <c r="Z1776" s="330"/>
      <c r="AA1776" s="343"/>
      <c r="AB1776" s="249"/>
      <c r="AC1776" s="330"/>
      <c r="AD1776" s="343"/>
      <c r="AE1776" s="249"/>
      <c r="AF1776" s="330"/>
      <c r="AG1776" s="343"/>
      <c r="AH1776" s="249"/>
      <c r="AI1776" s="330"/>
      <c r="AJ1776" s="343"/>
      <c r="AK1776" s="249"/>
      <c r="AL1776" s="330"/>
      <c r="AM1776" s="343"/>
      <c r="AN1776" s="249"/>
      <c r="AO1776" s="330"/>
      <c r="AP1776" s="343"/>
      <c r="AQ1776" s="249"/>
      <c r="AR1776" s="330"/>
      <c r="AS1776" s="343"/>
      <c r="AT1776" s="249"/>
      <c r="AU1776" s="330"/>
    </row>
    <row r="1777" spans="2:47">
      <c r="B1777" s="247">
        <f>'Table S2 Compound Identifiers'!C1779</f>
        <v>0</v>
      </c>
      <c r="C1777" s="247">
        <f>COUNTIF($D$6:D1777,"&lt;&gt;"&amp;"")</f>
        <v>1772</v>
      </c>
      <c r="D1777" s="247">
        <f>'Table S2 Compound Identifiers'!B1779</f>
        <v>0</v>
      </c>
      <c r="E1777" s="247"/>
      <c r="F1777" s="248"/>
      <c r="G1777" s="249"/>
      <c r="H1777" s="330"/>
      <c r="I1777" s="328"/>
      <c r="J1777" s="249"/>
      <c r="K1777" s="330"/>
      <c r="L1777" s="250"/>
      <c r="M1777" s="249"/>
      <c r="N1777" s="330"/>
      <c r="O1777" s="250"/>
      <c r="P1777" s="249"/>
      <c r="Q1777" s="330"/>
      <c r="R1777" s="250"/>
      <c r="S1777" s="249"/>
      <c r="T1777" s="330"/>
      <c r="U1777" s="250"/>
      <c r="V1777" s="249"/>
      <c r="W1777" s="330"/>
      <c r="X1777" s="343"/>
      <c r="Y1777" s="249"/>
      <c r="Z1777" s="330"/>
      <c r="AA1777" s="343"/>
      <c r="AB1777" s="249"/>
      <c r="AC1777" s="330"/>
      <c r="AD1777" s="343"/>
      <c r="AE1777" s="249"/>
      <c r="AF1777" s="330"/>
      <c r="AG1777" s="343"/>
      <c r="AH1777" s="249"/>
      <c r="AI1777" s="330"/>
      <c r="AJ1777" s="343"/>
      <c r="AK1777" s="249"/>
      <c r="AL1777" s="330"/>
      <c r="AM1777" s="343"/>
      <c r="AN1777" s="249"/>
      <c r="AO1777" s="330"/>
      <c r="AP1777" s="343"/>
      <c r="AQ1777" s="249"/>
      <c r="AR1777" s="330"/>
      <c r="AS1777" s="343"/>
      <c r="AT1777" s="249"/>
      <c r="AU1777" s="330"/>
    </row>
    <row r="1778" spans="2:47">
      <c r="B1778" s="247">
        <f>'Table S2 Compound Identifiers'!C1780</f>
        <v>0</v>
      </c>
      <c r="C1778" s="247">
        <f>COUNTIF($D$6:D1778,"&lt;&gt;"&amp;"")</f>
        <v>1773</v>
      </c>
      <c r="D1778" s="247">
        <f>'Table S2 Compound Identifiers'!B1780</f>
        <v>0</v>
      </c>
      <c r="E1778" s="247"/>
      <c r="F1778" s="248"/>
      <c r="G1778" s="249"/>
      <c r="H1778" s="330"/>
      <c r="I1778" s="328"/>
      <c r="J1778" s="249"/>
      <c r="K1778" s="330"/>
      <c r="L1778" s="250"/>
      <c r="M1778" s="249"/>
      <c r="N1778" s="330"/>
      <c r="O1778" s="250"/>
      <c r="P1778" s="249"/>
      <c r="Q1778" s="330"/>
      <c r="R1778" s="250"/>
      <c r="S1778" s="249"/>
      <c r="T1778" s="330"/>
      <c r="U1778" s="250"/>
      <c r="V1778" s="249"/>
      <c r="W1778" s="330"/>
      <c r="X1778" s="343"/>
      <c r="Y1778" s="249"/>
      <c r="Z1778" s="330"/>
      <c r="AA1778" s="343"/>
      <c r="AB1778" s="249"/>
      <c r="AC1778" s="330"/>
      <c r="AD1778" s="343"/>
      <c r="AE1778" s="249"/>
      <c r="AF1778" s="330"/>
      <c r="AG1778" s="343"/>
      <c r="AH1778" s="249"/>
      <c r="AI1778" s="330"/>
      <c r="AJ1778" s="343"/>
      <c r="AK1778" s="249"/>
      <c r="AL1778" s="330"/>
      <c r="AM1778" s="343"/>
      <c r="AN1778" s="249"/>
      <c r="AO1778" s="330"/>
      <c r="AP1778" s="343"/>
      <c r="AQ1778" s="249"/>
      <c r="AR1778" s="330"/>
      <c r="AS1778" s="343"/>
      <c r="AT1778" s="249"/>
      <c r="AU1778" s="330"/>
    </row>
    <row r="1779" spans="2:47">
      <c r="B1779" s="247">
        <f>'Table S2 Compound Identifiers'!C1781</f>
        <v>0</v>
      </c>
      <c r="C1779" s="247">
        <f>COUNTIF($D$6:D1779,"&lt;&gt;"&amp;"")</f>
        <v>1774</v>
      </c>
      <c r="D1779" s="247">
        <f>'Table S2 Compound Identifiers'!B1781</f>
        <v>0</v>
      </c>
      <c r="E1779" s="247"/>
      <c r="F1779" s="248"/>
      <c r="G1779" s="249"/>
      <c r="H1779" s="330"/>
      <c r="I1779" s="328"/>
      <c r="J1779" s="249"/>
      <c r="K1779" s="330"/>
      <c r="L1779" s="250"/>
      <c r="M1779" s="249"/>
      <c r="N1779" s="330"/>
      <c r="O1779" s="250"/>
      <c r="P1779" s="249"/>
      <c r="Q1779" s="330"/>
      <c r="R1779" s="250"/>
      <c r="S1779" s="249"/>
      <c r="T1779" s="330"/>
      <c r="U1779" s="250"/>
      <c r="V1779" s="249"/>
      <c r="W1779" s="330"/>
      <c r="X1779" s="343"/>
      <c r="Y1779" s="249"/>
      <c r="Z1779" s="330"/>
      <c r="AA1779" s="343"/>
      <c r="AB1779" s="249"/>
      <c r="AC1779" s="330"/>
      <c r="AD1779" s="343"/>
      <c r="AE1779" s="249"/>
      <c r="AF1779" s="330"/>
      <c r="AG1779" s="343"/>
      <c r="AH1779" s="249"/>
      <c r="AI1779" s="330"/>
      <c r="AJ1779" s="343"/>
      <c r="AK1779" s="249"/>
      <c r="AL1779" s="330"/>
      <c r="AM1779" s="343"/>
      <c r="AN1779" s="249"/>
      <c r="AO1779" s="330"/>
      <c r="AP1779" s="343"/>
      <c r="AQ1779" s="249"/>
      <c r="AR1779" s="330"/>
      <c r="AS1779" s="343"/>
      <c r="AT1779" s="249"/>
      <c r="AU1779" s="330"/>
    </row>
    <row r="1780" spans="2:47">
      <c r="B1780" s="247">
        <f>'Table S2 Compound Identifiers'!C1782</f>
        <v>0</v>
      </c>
      <c r="C1780" s="247">
        <f>COUNTIF($D$6:D1780,"&lt;&gt;"&amp;"")</f>
        <v>1775</v>
      </c>
      <c r="D1780" s="247">
        <f>'Table S2 Compound Identifiers'!B1782</f>
        <v>0</v>
      </c>
      <c r="E1780" s="247"/>
      <c r="F1780" s="248"/>
      <c r="G1780" s="249"/>
      <c r="H1780" s="330"/>
      <c r="I1780" s="328"/>
      <c r="J1780" s="249"/>
      <c r="K1780" s="330"/>
      <c r="L1780" s="250"/>
      <c r="M1780" s="249"/>
      <c r="N1780" s="330"/>
      <c r="O1780" s="251"/>
      <c r="P1780" s="252"/>
      <c r="Q1780" s="330"/>
      <c r="R1780" s="251"/>
      <c r="S1780" s="252"/>
      <c r="T1780" s="330"/>
      <c r="U1780" s="251"/>
      <c r="V1780" s="252"/>
      <c r="W1780" s="330"/>
      <c r="X1780" s="343"/>
      <c r="Y1780" s="249"/>
      <c r="Z1780" s="330"/>
      <c r="AA1780" s="343"/>
      <c r="AB1780" s="249"/>
      <c r="AC1780" s="330"/>
      <c r="AD1780" s="343"/>
      <c r="AE1780" s="249"/>
      <c r="AF1780" s="330"/>
      <c r="AG1780" s="343"/>
      <c r="AH1780" s="249"/>
      <c r="AI1780" s="330"/>
      <c r="AJ1780" s="343"/>
      <c r="AK1780" s="249"/>
      <c r="AL1780" s="330"/>
      <c r="AM1780" s="343"/>
      <c r="AN1780" s="249"/>
      <c r="AO1780" s="330"/>
      <c r="AP1780" s="343"/>
      <c r="AQ1780" s="249"/>
      <c r="AR1780" s="330"/>
      <c r="AS1780" s="343"/>
      <c r="AT1780" s="249"/>
      <c r="AU1780" s="330"/>
    </row>
    <row r="1781" spans="2:47">
      <c r="B1781" s="247">
        <f>'Table S2 Compound Identifiers'!C1783</f>
        <v>0</v>
      </c>
      <c r="C1781" s="253">
        <f>COUNTIF($D$6:D1781,"&lt;&gt;"&amp;"")</f>
        <v>1776</v>
      </c>
      <c r="D1781" s="253">
        <f>'Table S2 Compound Identifiers'!B1783</f>
        <v>0</v>
      </c>
      <c r="E1781" s="253"/>
      <c r="F1781" s="254"/>
      <c r="G1781" s="252"/>
      <c r="H1781" s="330"/>
      <c r="I1781" s="333"/>
      <c r="J1781" s="252"/>
      <c r="K1781" s="330"/>
      <c r="L1781" s="251"/>
      <c r="M1781" s="252"/>
      <c r="N1781" s="330"/>
      <c r="O1781" s="251"/>
      <c r="P1781" s="252"/>
      <c r="Q1781" s="330"/>
      <c r="R1781" s="251"/>
      <c r="S1781" s="252"/>
      <c r="T1781" s="330"/>
      <c r="U1781" s="251"/>
      <c r="V1781" s="252"/>
      <c r="W1781" s="330"/>
      <c r="X1781" s="343"/>
      <c r="Y1781" s="249"/>
      <c r="Z1781" s="330"/>
      <c r="AA1781" s="343"/>
      <c r="AB1781" s="249"/>
      <c r="AC1781" s="330"/>
      <c r="AD1781" s="343"/>
      <c r="AE1781" s="249"/>
      <c r="AF1781" s="330"/>
      <c r="AG1781" s="343"/>
      <c r="AH1781" s="249"/>
      <c r="AI1781" s="330"/>
      <c r="AJ1781" s="343"/>
      <c r="AK1781" s="249"/>
      <c r="AL1781" s="330"/>
      <c r="AM1781" s="343"/>
      <c r="AN1781" s="249"/>
      <c r="AO1781" s="330"/>
      <c r="AP1781" s="343"/>
      <c r="AQ1781" s="249"/>
      <c r="AR1781" s="330"/>
      <c r="AS1781" s="343"/>
      <c r="AT1781" s="249"/>
      <c r="AU1781" s="330"/>
    </row>
    <row r="1782" spans="2:47">
      <c r="B1782" s="247">
        <f>'Table S2 Compound Identifiers'!C1784</f>
        <v>0</v>
      </c>
      <c r="C1782" s="247">
        <f>COUNTIF($D$6:D1782,"&lt;&gt;"&amp;"")</f>
        <v>1777</v>
      </c>
      <c r="D1782" s="247">
        <f>'Table S2 Compound Identifiers'!B1784</f>
        <v>0</v>
      </c>
      <c r="E1782" s="247"/>
      <c r="F1782" s="248"/>
      <c r="G1782" s="250"/>
      <c r="H1782" s="330"/>
      <c r="I1782" s="343"/>
      <c r="J1782" s="249"/>
      <c r="K1782" s="327"/>
      <c r="L1782" s="343"/>
      <c r="M1782" s="249"/>
      <c r="N1782" s="327"/>
      <c r="O1782" s="343"/>
      <c r="P1782" s="249"/>
      <c r="Q1782" s="327"/>
      <c r="R1782" s="343"/>
      <c r="S1782" s="249"/>
      <c r="T1782" s="327"/>
      <c r="U1782" s="343"/>
      <c r="V1782" s="249"/>
      <c r="W1782" s="327"/>
      <c r="X1782" s="343"/>
      <c r="Y1782" s="249"/>
      <c r="Z1782" s="327"/>
      <c r="AA1782" s="343"/>
      <c r="AB1782" s="249"/>
      <c r="AC1782" s="343"/>
      <c r="AD1782" s="343"/>
      <c r="AE1782" s="249"/>
      <c r="AF1782" s="249"/>
      <c r="AG1782" s="343"/>
      <c r="AH1782" s="249"/>
      <c r="AI1782" s="343"/>
      <c r="AJ1782" s="343"/>
      <c r="AK1782" s="249"/>
      <c r="AL1782" s="249"/>
      <c r="AM1782" s="343"/>
      <c r="AN1782" s="249"/>
      <c r="AO1782" s="343"/>
      <c r="AP1782" s="343"/>
      <c r="AQ1782" s="249"/>
      <c r="AR1782" s="249"/>
      <c r="AS1782" s="343"/>
      <c r="AT1782" s="249"/>
      <c r="AU1782" s="343"/>
    </row>
    <row r="1783" spans="2:47">
      <c r="B1783" s="247">
        <f>'Table S2 Compound Identifiers'!C1785</f>
        <v>0</v>
      </c>
      <c r="C1783" s="247">
        <f>COUNTIF($D$6:D1783,"&lt;&gt;"&amp;"")</f>
        <v>1778</v>
      </c>
      <c r="D1783" s="247">
        <f>'Table S2 Compound Identifiers'!B1785</f>
        <v>0</v>
      </c>
      <c r="E1783" s="247"/>
      <c r="F1783" s="248"/>
      <c r="G1783" s="249"/>
      <c r="H1783" s="330"/>
      <c r="I1783" s="332"/>
      <c r="J1783" s="330"/>
      <c r="K1783" s="330"/>
      <c r="L1783" s="330"/>
      <c r="M1783" s="330"/>
      <c r="N1783" s="330"/>
      <c r="O1783" s="330"/>
      <c r="P1783" s="330"/>
      <c r="Q1783" s="330"/>
      <c r="R1783" s="330"/>
      <c r="S1783" s="330"/>
      <c r="T1783" s="330"/>
      <c r="U1783" s="330"/>
      <c r="V1783" s="330"/>
      <c r="W1783" s="330"/>
      <c r="X1783" s="343"/>
      <c r="Y1783" s="249"/>
      <c r="Z1783" s="330"/>
      <c r="AA1783" s="343"/>
      <c r="AB1783" s="249"/>
      <c r="AC1783" s="330"/>
      <c r="AD1783" s="343"/>
      <c r="AE1783" s="249"/>
      <c r="AF1783" s="330"/>
      <c r="AG1783" s="343"/>
      <c r="AH1783" s="249"/>
      <c r="AI1783" s="330"/>
      <c r="AJ1783" s="343"/>
      <c r="AK1783" s="249"/>
      <c r="AL1783" s="330"/>
      <c r="AM1783" s="343"/>
      <c r="AN1783" s="249"/>
      <c r="AO1783" s="330"/>
      <c r="AP1783" s="343"/>
      <c r="AQ1783" s="249"/>
      <c r="AR1783" s="330"/>
      <c r="AS1783" s="343"/>
      <c r="AT1783" s="249"/>
      <c r="AU1783" s="330"/>
    </row>
    <row r="1784" spans="2:47">
      <c r="B1784" s="247">
        <f>'Table S2 Compound Identifiers'!C1786</f>
        <v>0</v>
      </c>
      <c r="C1784" s="247">
        <f>COUNTIF($D$6:D1784,"&lt;&gt;"&amp;"")</f>
        <v>1779</v>
      </c>
      <c r="D1784" s="247">
        <f>'Table S2 Compound Identifiers'!B1786</f>
        <v>0</v>
      </c>
      <c r="E1784" s="247"/>
      <c r="F1784" s="248"/>
      <c r="G1784" s="249"/>
      <c r="H1784" s="330"/>
      <c r="I1784" s="332"/>
      <c r="J1784" s="330"/>
      <c r="K1784" s="330"/>
      <c r="L1784" s="330"/>
      <c r="M1784" s="330"/>
      <c r="N1784" s="330"/>
      <c r="O1784" s="330"/>
      <c r="P1784" s="330"/>
      <c r="Q1784" s="330"/>
      <c r="R1784" s="330"/>
      <c r="S1784" s="330"/>
      <c r="T1784" s="330"/>
      <c r="U1784" s="330"/>
      <c r="V1784" s="330"/>
      <c r="W1784" s="330"/>
      <c r="X1784" s="343"/>
      <c r="Y1784" s="249"/>
      <c r="Z1784" s="330"/>
      <c r="AA1784" s="343"/>
      <c r="AB1784" s="249"/>
      <c r="AC1784" s="330"/>
      <c r="AD1784" s="343"/>
      <c r="AE1784" s="249"/>
      <c r="AF1784" s="330"/>
      <c r="AG1784" s="343"/>
      <c r="AH1784" s="249"/>
      <c r="AI1784" s="330"/>
      <c r="AJ1784" s="343"/>
      <c r="AK1784" s="249"/>
      <c r="AL1784" s="330"/>
      <c r="AM1784" s="343"/>
      <c r="AN1784" s="249"/>
      <c r="AO1784" s="330"/>
      <c r="AP1784" s="343"/>
      <c r="AQ1784" s="249"/>
      <c r="AR1784" s="330"/>
      <c r="AS1784" s="343"/>
      <c r="AT1784" s="249"/>
      <c r="AU1784" s="330"/>
    </row>
    <row r="1785" spans="2:47">
      <c r="B1785" s="247">
        <f>'Table S2 Compound Identifiers'!C1787</f>
        <v>0</v>
      </c>
      <c r="C1785" s="247">
        <f>COUNTIF($D$6:D1785,"&lt;&gt;"&amp;"")</f>
        <v>1780</v>
      </c>
      <c r="D1785" s="247">
        <f>'Table S2 Compound Identifiers'!B1787</f>
        <v>0</v>
      </c>
      <c r="E1785" s="247"/>
      <c r="F1785" s="248"/>
      <c r="G1785" s="249"/>
      <c r="H1785" s="330"/>
      <c r="I1785" s="332"/>
      <c r="J1785" s="330"/>
      <c r="K1785" s="330"/>
      <c r="L1785" s="330"/>
      <c r="M1785" s="330"/>
      <c r="N1785" s="330"/>
      <c r="O1785" s="330"/>
      <c r="P1785" s="330"/>
      <c r="Q1785" s="330"/>
      <c r="R1785" s="330"/>
      <c r="S1785" s="330"/>
      <c r="T1785" s="330"/>
      <c r="U1785" s="330"/>
      <c r="V1785" s="330"/>
      <c r="W1785" s="330"/>
      <c r="X1785" s="343"/>
      <c r="Y1785" s="249"/>
      <c r="Z1785" s="330"/>
      <c r="AA1785" s="343"/>
      <c r="AB1785" s="249"/>
      <c r="AC1785" s="330"/>
      <c r="AD1785" s="343"/>
      <c r="AE1785" s="249"/>
      <c r="AF1785" s="330"/>
      <c r="AG1785" s="343"/>
      <c r="AH1785" s="249"/>
      <c r="AI1785" s="330"/>
      <c r="AJ1785" s="343"/>
      <c r="AK1785" s="249"/>
      <c r="AL1785" s="330"/>
      <c r="AM1785" s="343"/>
      <c r="AN1785" s="249"/>
      <c r="AO1785" s="330"/>
      <c r="AP1785" s="343"/>
      <c r="AQ1785" s="249"/>
      <c r="AR1785" s="330"/>
      <c r="AS1785" s="343"/>
      <c r="AT1785" s="249"/>
      <c r="AU1785" s="330"/>
    </row>
    <row r="1786" spans="2:47">
      <c r="B1786" s="247">
        <f>'Table S2 Compound Identifiers'!C1788</f>
        <v>0</v>
      </c>
      <c r="C1786" s="247">
        <f>COUNTIF($D$6:D1786,"&lt;&gt;"&amp;"")</f>
        <v>1781</v>
      </c>
      <c r="D1786" s="247">
        <f>'Table S2 Compound Identifiers'!B1788</f>
        <v>0</v>
      </c>
      <c r="E1786" s="247"/>
      <c r="F1786" s="248"/>
      <c r="G1786" s="249"/>
      <c r="H1786" s="330"/>
      <c r="I1786" s="328"/>
      <c r="J1786" s="249"/>
      <c r="K1786" s="330"/>
      <c r="L1786" s="250"/>
      <c r="M1786" s="249"/>
      <c r="N1786" s="330"/>
      <c r="O1786" s="250"/>
      <c r="P1786" s="249"/>
      <c r="Q1786" s="330"/>
      <c r="R1786" s="250"/>
      <c r="S1786" s="249"/>
      <c r="T1786" s="330"/>
      <c r="U1786" s="250"/>
      <c r="V1786" s="249"/>
      <c r="W1786" s="330"/>
      <c r="X1786" s="343"/>
      <c r="Y1786" s="249"/>
      <c r="Z1786" s="330"/>
      <c r="AA1786" s="343"/>
      <c r="AB1786" s="249"/>
      <c r="AC1786" s="330"/>
      <c r="AD1786" s="343"/>
      <c r="AE1786" s="249"/>
      <c r="AF1786" s="330"/>
      <c r="AG1786" s="343"/>
      <c r="AH1786" s="249"/>
      <c r="AI1786" s="330"/>
      <c r="AJ1786" s="343"/>
      <c r="AK1786" s="249"/>
      <c r="AL1786" s="330"/>
      <c r="AM1786" s="343"/>
      <c r="AN1786" s="249"/>
      <c r="AO1786" s="330"/>
      <c r="AP1786" s="343"/>
      <c r="AQ1786" s="249"/>
      <c r="AR1786" s="330"/>
      <c r="AS1786" s="343"/>
      <c r="AT1786" s="249"/>
      <c r="AU1786" s="330"/>
    </row>
    <row r="1787" spans="2:47">
      <c r="B1787" s="247">
        <f>'Table S2 Compound Identifiers'!C1789</f>
        <v>0</v>
      </c>
      <c r="C1787" s="247">
        <f>COUNTIF($D$6:D1787,"&lt;&gt;"&amp;"")</f>
        <v>1782</v>
      </c>
      <c r="D1787" s="247">
        <f>'Table S2 Compound Identifiers'!B1789</f>
        <v>0</v>
      </c>
      <c r="E1787" s="247"/>
      <c r="F1787" s="248"/>
      <c r="G1787" s="249"/>
      <c r="H1787" s="330"/>
      <c r="I1787" s="328"/>
      <c r="J1787" s="249"/>
      <c r="K1787" s="330"/>
      <c r="L1787" s="250"/>
      <c r="M1787" s="249"/>
      <c r="N1787" s="330"/>
      <c r="O1787" s="250"/>
      <c r="P1787" s="249"/>
      <c r="Q1787" s="330"/>
      <c r="R1787" s="250"/>
      <c r="S1787" s="249"/>
      <c r="T1787" s="330"/>
      <c r="U1787" s="250"/>
      <c r="V1787" s="249"/>
      <c r="W1787" s="330"/>
      <c r="X1787" s="343"/>
      <c r="Y1787" s="249"/>
      <c r="Z1787" s="330"/>
      <c r="AA1787" s="343"/>
      <c r="AB1787" s="249"/>
      <c r="AC1787" s="330"/>
      <c r="AD1787" s="343"/>
      <c r="AE1787" s="249"/>
      <c r="AF1787" s="330"/>
      <c r="AG1787" s="343"/>
      <c r="AH1787" s="249"/>
      <c r="AI1787" s="330"/>
      <c r="AJ1787" s="343"/>
      <c r="AK1787" s="249"/>
      <c r="AL1787" s="330"/>
      <c r="AM1787" s="343"/>
      <c r="AN1787" s="249"/>
      <c r="AO1787" s="330"/>
      <c r="AP1787" s="343"/>
      <c r="AQ1787" s="249"/>
      <c r="AR1787" s="330"/>
      <c r="AS1787" s="343"/>
      <c r="AT1787" s="249"/>
      <c r="AU1787" s="330"/>
    </row>
    <row r="1788" spans="2:47">
      <c r="B1788" s="247">
        <f>'Table S2 Compound Identifiers'!C1790</f>
        <v>0</v>
      </c>
      <c r="C1788" s="247">
        <f>COUNTIF($D$6:D1788,"&lt;&gt;"&amp;"")</f>
        <v>1783</v>
      </c>
      <c r="D1788" s="247">
        <f>'Table S2 Compound Identifiers'!B1790</f>
        <v>0</v>
      </c>
      <c r="E1788" s="247"/>
      <c r="F1788" s="248"/>
      <c r="G1788" s="249"/>
      <c r="H1788" s="330"/>
      <c r="I1788" s="328"/>
      <c r="J1788" s="249"/>
      <c r="K1788" s="330"/>
      <c r="L1788" s="250"/>
      <c r="M1788" s="249"/>
      <c r="N1788" s="330"/>
      <c r="O1788" s="250"/>
      <c r="P1788" s="249"/>
      <c r="Q1788" s="330"/>
      <c r="R1788" s="250"/>
      <c r="S1788" s="249"/>
      <c r="T1788" s="330"/>
      <c r="U1788" s="250"/>
      <c r="V1788" s="249"/>
      <c r="W1788" s="330"/>
      <c r="X1788" s="343"/>
      <c r="Y1788" s="249"/>
      <c r="Z1788" s="330"/>
      <c r="AA1788" s="343"/>
      <c r="AB1788" s="249"/>
      <c r="AC1788" s="330"/>
      <c r="AD1788" s="343"/>
      <c r="AE1788" s="249"/>
      <c r="AF1788" s="330"/>
      <c r="AG1788" s="343"/>
      <c r="AH1788" s="249"/>
      <c r="AI1788" s="330"/>
      <c r="AJ1788" s="343"/>
      <c r="AK1788" s="249"/>
      <c r="AL1788" s="330"/>
      <c r="AM1788" s="343"/>
      <c r="AN1788" s="249"/>
      <c r="AO1788" s="330"/>
      <c r="AP1788" s="343"/>
      <c r="AQ1788" s="249"/>
      <c r="AR1788" s="330"/>
      <c r="AS1788" s="343"/>
      <c r="AT1788" s="249"/>
      <c r="AU1788" s="330"/>
    </row>
    <row r="1789" spans="2:47">
      <c r="B1789" s="247">
        <f>'Table S2 Compound Identifiers'!C1791</f>
        <v>0</v>
      </c>
      <c r="C1789" s="247">
        <f>COUNTIF($D$6:D1789,"&lt;&gt;"&amp;"")</f>
        <v>1784</v>
      </c>
      <c r="D1789" s="247">
        <f>'Table S2 Compound Identifiers'!B1791</f>
        <v>0</v>
      </c>
      <c r="E1789" s="247"/>
      <c r="F1789" s="248"/>
      <c r="G1789" s="249"/>
      <c r="H1789" s="330"/>
      <c r="I1789" s="328"/>
      <c r="J1789" s="249"/>
      <c r="K1789" s="330"/>
      <c r="L1789" s="250"/>
      <c r="M1789" s="249"/>
      <c r="N1789" s="330"/>
      <c r="O1789" s="250"/>
      <c r="P1789" s="249"/>
      <c r="Q1789" s="330"/>
      <c r="R1789" s="250"/>
      <c r="S1789" s="249"/>
      <c r="T1789" s="330"/>
      <c r="U1789" s="250"/>
      <c r="V1789" s="249"/>
      <c r="W1789" s="330"/>
      <c r="X1789" s="343"/>
      <c r="Y1789" s="249"/>
      <c r="Z1789" s="330"/>
      <c r="AA1789" s="343"/>
      <c r="AB1789" s="249"/>
      <c r="AC1789" s="330"/>
      <c r="AD1789" s="343"/>
      <c r="AE1789" s="249"/>
      <c r="AF1789" s="330"/>
      <c r="AG1789" s="343"/>
      <c r="AH1789" s="249"/>
      <c r="AI1789" s="330"/>
      <c r="AJ1789" s="343"/>
      <c r="AK1789" s="249"/>
      <c r="AL1789" s="330"/>
      <c r="AM1789" s="343"/>
      <c r="AN1789" s="249"/>
      <c r="AO1789" s="330"/>
      <c r="AP1789" s="343"/>
      <c r="AQ1789" s="249"/>
      <c r="AR1789" s="330"/>
      <c r="AS1789" s="343"/>
      <c r="AT1789" s="249"/>
      <c r="AU1789" s="330"/>
    </row>
    <row r="1790" spans="2:47">
      <c r="B1790" s="247">
        <f>'Table S2 Compound Identifiers'!C1792</f>
        <v>0</v>
      </c>
      <c r="C1790" s="247">
        <f>COUNTIF($D$6:D1790,"&lt;&gt;"&amp;"")</f>
        <v>1785</v>
      </c>
      <c r="D1790" s="247">
        <f>'Table S2 Compound Identifiers'!B1792</f>
        <v>0</v>
      </c>
      <c r="E1790" s="247"/>
      <c r="F1790" s="248"/>
      <c r="G1790" s="249"/>
      <c r="H1790" s="330"/>
      <c r="I1790" s="328"/>
      <c r="J1790" s="249"/>
      <c r="K1790" s="330"/>
      <c r="L1790" s="250"/>
      <c r="M1790" s="249"/>
      <c r="N1790" s="330"/>
      <c r="O1790" s="250"/>
      <c r="P1790" s="249"/>
      <c r="Q1790" s="330"/>
      <c r="R1790" s="250"/>
      <c r="S1790" s="249"/>
      <c r="T1790" s="330"/>
      <c r="U1790" s="250"/>
      <c r="V1790" s="249"/>
      <c r="W1790" s="330"/>
      <c r="X1790" s="343"/>
      <c r="Y1790" s="249"/>
      <c r="Z1790" s="330"/>
      <c r="AA1790" s="343"/>
      <c r="AB1790" s="249"/>
      <c r="AC1790" s="330"/>
      <c r="AD1790" s="343"/>
      <c r="AE1790" s="249"/>
      <c r="AF1790" s="330"/>
      <c r="AG1790" s="343"/>
      <c r="AH1790" s="249"/>
      <c r="AI1790" s="330"/>
      <c r="AJ1790" s="343"/>
      <c r="AK1790" s="249"/>
      <c r="AL1790" s="330"/>
      <c r="AM1790" s="343"/>
      <c r="AN1790" s="249"/>
      <c r="AO1790" s="330"/>
      <c r="AP1790" s="343"/>
      <c r="AQ1790" s="249"/>
      <c r="AR1790" s="330"/>
      <c r="AS1790" s="343"/>
      <c r="AT1790" s="249"/>
      <c r="AU1790" s="330"/>
    </row>
    <row r="1791" spans="2:47">
      <c r="B1791" s="247">
        <f>'Table S2 Compound Identifiers'!C1793</f>
        <v>0</v>
      </c>
      <c r="C1791" s="247">
        <f>COUNTIF($D$6:D1791,"&lt;&gt;"&amp;"")</f>
        <v>1786</v>
      </c>
      <c r="D1791" s="247">
        <f>'Table S2 Compound Identifiers'!B1793</f>
        <v>0</v>
      </c>
      <c r="E1791" s="247"/>
      <c r="F1791" s="248"/>
      <c r="G1791" s="249"/>
      <c r="H1791" s="330"/>
      <c r="I1791" s="328"/>
      <c r="J1791" s="249"/>
      <c r="K1791" s="330"/>
      <c r="L1791" s="250"/>
      <c r="M1791" s="249"/>
      <c r="N1791" s="330"/>
      <c r="O1791" s="250"/>
      <c r="P1791" s="249"/>
      <c r="Q1791" s="330"/>
      <c r="R1791" s="250"/>
      <c r="S1791" s="249"/>
      <c r="T1791" s="330"/>
      <c r="U1791" s="250"/>
      <c r="V1791" s="249"/>
      <c r="W1791" s="330"/>
      <c r="X1791" s="343"/>
      <c r="Y1791" s="249"/>
      <c r="Z1791" s="330"/>
      <c r="AA1791" s="343"/>
      <c r="AB1791" s="249"/>
      <c r="AC1791" s="330"/>
      <c r="AD1791" s="343"/>
      <c r="AE1791" s="249"/>
      <c r="AF1791" s="330"/>
      <c r="AG1791" s="343"/>
      <c r="AH1791" s="249"/>
      <c r="AI1791" s="330"/>
      <c r="AJ1791" s="343"/>
      <c r="AK1791" s="249"/>
      <c r="AL1791" s="330"/>
      <c r="AM1791" s="343"/>
      <c r="AN1791" s="249"/>
      <c r="AO1791" s="330"/>
      <c r="AP1791" s="343"/>
      <c r="AQ1791" s="249"/>
      <c r="AR1791" s="330"/>
      <c r="AS1791" s="343"/>
      <c r="AT1791" s="249"/>
      <c r="AU1791" s="330"/>
    </row>
    <row r="1792" spans="2:47">
      <c r="B1792" s="247">
        <f>'Table S2 Compound Identifiers'!C1794</f>
        <v>0</v>
      </c>
      <c r="C1792" s="247">
        <f>COUNTIF($D$6:D1792,"&lt;&gt;"&amp;"")</f>
        <v>1787</v>
      </c>
      <c r="D1792" s="247">
        <f>'Table S2 Compound Identifiers'!B1794</f>
        <v>0</v>
      </c>
      <c r="E1792" s="247"/>
      <c r="F1792" s="248"/>
      <c r="G1792" s="249"/>
      <c r="H1792" s="330"/>
      <c r="I1792" s="328"/>
      <c r="J1792" s="249"/>
      <c r="K1792" s="330"/>
      <c r="L1792" s="250"/>
      <c r="M1792" s="249"/>
      <c r="N1792" s="330"/>
      <c r="O1792" s="250"/>
      <c r="P1792" s="249"/>
      <c r="Q1792" s="330"/>
      <c r="R1792" s="250"/>
      <c r="S1792" s="249"/>
      <c r="T1792" s="330"/>
      <c r="U1792" s="250"/>
      <c r="V1792" s="249"/>
      <c r="W1792" s="330"/>
      <c r="X1792" s="343"/>
      <c r="Y1792" s="249"/>
      <c r="Z1792" s="330"/>
      <c r="AA1792" s="343"/>
      <c r="AB1792" s="249"/>
      <c r="AC1792" s="330"/>
      <c r="AD1792" s="343"/>
      <c r="AE1792" s="249"/>
      <c r="AF1792" s="330"/>
      <c r="AG1792" s="343"/>
      <c r="AH1792" s="249"/>
      <c r="AI1792" s="330"/>
      <c r="AJ1792" s="343"/>
      <c r="AK1792" s="249"/>
      <c r="AL1792" s="330"/>
      <c r="AM1792" s="343"/>
      <c r="AN1792" s="249"/>
      <c r="AO1792" s="330"/>
      <c r="AP1792" s="343"/>
      <c r="AQ1792" s="249"/>
      <c r="AR1792" s="330"/>
      <c r="AS1792" s="343"/>
      <c r="AT1792" s="249"/>
      <c r="AU1792" s="330"/>
    </row>
    <row r="1793" spans="2:47">
      <c r="B1793" s="247">
        <f>'Table S2 Compound Identifiers'!C1795</f>
        <v>0</v>
      </c>
      <c r="C1793" s="247">
        <f>COUNTIF($D$6:D1793,"&lt;&gt;"&amp;"")</f>
        <v>1788</v>
      </c>
      <c r="D1793" s="247">
        <f>'Table S2 Compound Identifiers'!B1795</f>
        <v>0</v>
      </c>
      <c r="E1793" s="247"/>
      <c r="F1793" s="248"/>
      <c r="G1793" s="249"/>
      <c r="H1793" s="330"/>
      <c r="I1793" s="328"/>
      <c r="J1793" s="249"/>
      <c r="K1793" s="330"/>
      <c r="L1793" s="250"/>
      <c r="M1793" s="249"/>
      <c r="N1793" s="330"/>
      <c r="O1793" s="250"/>
      <c r="P1793" s="249"/>
      <c r="Q1793" s="330"/>
      <c r="R1793" s="250"/>
      <c r="S1793" s="249"/>
      <c r="T1793" s="330"/>
      <c r="U1793" s="250"/>
      <c r="V1793" s="249"/>
      <c r="W1793" s="330"/>
      <c r="X1793" s="343"/>
      <c r="Y1793" s="249"/>
      <c r="Z1793" s="330"/>
      <c r="AA1793" s="343"/>
      <c r="AB1793" s="249"/>
      <c r="AC1793" s="330"/>
      <c r="AD1793" s="343"/>
      <c r="AE1793" s="249"/>
      <c r="AF1793" s="330"/>
      <c r="AG1793" s="343"/>
      <c r="AH1793" s="249"/>
      <c r="AI1793" s="330"/>
      <c r="AJ1793" s="343"/>
      <c r="AK1793" s="249"/>
      <c r="AL1793" s="330"/>
      <c r="AM1793" s="343"/>
      <c r="AN1793" s="249"/>
      <c r="AO1793" s="330"/>
      <c r="AP1793" s="343"/>
      <c r="AQ1793" s="249"/>
      <c r="AR1793" s="330"/>
      <c r="AS1793" s="343"/>
      <c r="AT1793" s="249"/>
      <c r="AU1793" s="330"/>
    </row>
    <row r="1794" spans="2:47">
      <c r="B1794" s="247">
        <f>'Table S2 Compound Identifiers'!C1796</f>
        <v>0</v>
      </c>
      <c r="C1794" s="247">
        <f>COUNTIF($D$6:D1794,"&lt;&gt;"&amp;"")</f>
        <v>1789</v>
      </c>
      <c r="D1794" s="247">
        <f>'Table S2 Compound Identifiers'!B1796</f>
        <v>0</v>
      </c>
      <c r="E1794" s="247"/>
      <c r="F1794" s="248"/>
      <c r="G1794" s="249"/>
      <c r="H1794" s="330"/>
      <c r="I1794" s="328"/>
      <c r="J1794" s="249"/>
      <c r="K1794" s="330"/>
      <c r="L1794" s="250"/>
      <c r="M1794" s="249"/>
      <c r="N1794" s="330"/>
      <c r="O1794" s="250"/>
      <c r="P1794" s="249"/>
      <c r="Q1794" s="330"/>
      <c r="R1794" s="250"/>
      <c r="S1794" s="249"/>
      <c r="T1794" s="330"/>
      <c r="U1794" s="250"/>
      <c r="V1794" s="249"/>
      <c r="W1794" s="330"/>
      <c r="X1794" s="343"/>
      <c r="Y1794" s="249"/>
      <c r="Z1794" s="330"/>
      <c r="AA1794" s="343"/>
      <c r="AB1794" s="249"/>
      <c r="AC1794" s="330"/>
      <c r="AD1794" s="343"/>
      <c r="AE1794" s="249"/>
      <c r="AF1794" s="330"/>
      <c r="AG1794" s="343"/>
      <c r="AH1794" s="249"/>
      <c r="AI1794" s="330"/>
      <c r="AJ1794" s="343"/>
      <c r="AK1794" s="249"/>
      <c r="AL1794" s="330"/>
      <c r="AM1794" s="343"/>
      <c r="AN1794" s="249"/>
      <c r="AO1794" s="330"/>
      <c r="AP1794" s="343"/>
      <c r="AQ1794" s="249"/>
      <c r="AR1794" s="330"/>
      <c r="AS1794" s="343"/>
      <c r="AT1794" s="249"/>
      <c r="AU1794" s="330"/>
    </row>
    <row r="1795" spans="2:47">
      <c r="B1795" s="247">
        <f>'Table S2 Compound Identifiers'!C1797</f>
        <v>0</v>
      </c>
      <c r="C1795" s="247">
        <f>COUNTIF($D$6:D1795,"&lt;&gt;"&amp;"")</f>
        <v>1790</v>
      </c>
      <c r="D1795" s="247">
        <f>'Table S2 Compound Identifiers'!B1797</f>
        <v>0</v>
      </c>
      <c r="E1795" s="247"/>
      <c r="F1795" s="248"/>
      <c r="G1795" s="249"/>
      <c r="H1795" s="330"/>
      <c r="I1795" s="328"/>
      <c r="J1795" s="249"/>
      <c r="K1795" s="330"/>
      <c r="L1795" s="250"/>
      <c r="M1795" s="249"/>
      <c r="N1795" s="330"/>
      <c r="O1795" s="250"/>
      <c r="P1795" s="249"/>
      <c r="Q1795" s="330"/>
      <c r="R1795" s="250"/>
      <c r="S1795" s="249"/>
      <c r="T1795" s="330"/>
      <c r="U1795" s="250"/>
      <c r="V1795" s="249"/>
      <c r="W1795" s="330"/>
      <c r="X1795" s="343"/>
      <c r="Y1795" s="249"/>
      <c r="Z1795" s="330"/>
      <c r="AA1795" s="343"/>
      <c r="AB1795" s="249"/>
      <c r="AC1795" s="330"/>
      <c r="AD1795" s="343"/>
      <c r="AE1795" s="249"/>
      <c r="AF1795" s="330"/>
      <c r="AG1795" s="343"/>
      <c r="AH1795" s="249"/>
      <c r="AI1795" s="330"/>
      <c r="AJ1795" s="343"/>
      <c r="AK1795" s="249"/>
      <c r="AL1795" s="330"/>
      <c r="AM1795" s="343"/>
      <c r="AN1795" s="249"/>
      <c r="AO1795" s="330"/>
      <c r="AP1795" s="343"/>
      <c r="AQ1795" s="249"/>
      <c r="AR1795" s="330"/>
      <c r="AS1795" s="343"/>
      <c r="AT1795" s="249"/>
      <c r="AU1795" s="330"/>
    </row>
    <row r="1796" spans="2:47">
      <c r="B1796" s="247">
        <f>'Table S2 Compound Identifiers'!C1798</f>
        <v>0</v>
      </c>
      <c r="C1796" s="247">
        <f>COUNTIF($D$6:D1796,"&lt;&gt;"&amp;"")</f>
        <v>1791</v>
      </c>
      <c r="D1796" s="247">
        <f>'Table S2 Compound Identifiers'!B1798</f>
        <v>0</v>
      </c>
      <c r="E1796" s="247"/>
      <c r="F1796" s="248"/>
      <c r="G1796" s="249"/>
      <c r="H1796" s="330"/>
      <c r="I1796" s="328"/>
      <c r="J1796" s="249"/>
      <c r="K1796" s="330"/>
      <c r="L1796" s="250"/>
      <c r="M1796" s="249"/>
      <c r="N1796" s="330"/>
      <c r="O1796" s="250"/>
      <c r="P1796" s="249"/>
      <c r="Q1796" s="330"/>
      <c r="R1796" s="250"/>
      <c r="S1796" s="249"/>
      <c r="T1796" s="330"/>
      <c r="U1796" s="250"/>
      <c r="V1796" s="249"/>
      <c r="W1796" s="330"/>
      <c r="X1796" s="343"/>
      <c r="Y1796" s="249"/>
      <c r="Z1796" s="330"/>
      <c r="AA1796" s="343"/>
      <c r="AB1796" s="249"/>
      <c r="AC1796" s="330"/>
      <c r="AD1796" s="343"/>
      <c r="AE1796" s="249"/>
      <c r="AF1796" s="330"/>
      <c r="AG1796" s="343"/>
      <c r="AH1796" s="249"/>
      <c r="AI1796" s="330"/>
      <c r="AJ1796" s="343"/>
      <c r="AK1796" s="249"/>
      <c r="AL1796" s="330"/>
      <c r="AM1796" s="343"/>
      <c r="AN1796" s="249"/>
      <c r="AO1796" s="330"/>
      <c r="AP1796" s="343"/>
      <c r="AQ1796" s="249"/>
      <c r="AR1796" s="330"/>
      <c r="AS1796" s="343"/>
      <c r="AT1796" s="249"/>
      <c r="AU1796" s="330"/>
    </row>
    <row r="1797" spans="2:47">
      <c r="B1797" s="247">
        <f>'Table S2 Compound Identifiers'!C1799</f>
        <v>0</v>
      </c>
      <c r="C1797" s="247">
        <f>COUNTIF($D$6:D1797,"&lt;&gt;"&amp;"")</f>
        <v>1792</v>
      </c>
      <c r="D1797" s="247">
        <f>'Table S2 Compound Identifiers'!B1799</f>
        <v>0</v>
      </c>
      <c r="E1797" s="247"/>
      <c r="F1797" s="248"/>
      <c r="G1797" s="249"/>
      <c r="H1797" s="330"/>
      <c r="I1797" s="328"/>
      <c r="J1797" s="249"/>
      <c r="K1797" s="330"/>
      <c r="L1797" s="250"/>
      <c r="M1797" s="249"/>
      <c r="N1797" s="330"/>
      <c r="O1797" s="250"/>
      <c r="P1797" s="249"/>
      <c r="Q1797" s="330"/>
      <c r="R1797" s="250"/>
      <c r="S1797" s="249"/>
      <c r="T1797" s="330"/>
      <c r="U1797" s="250"/>
      <c r="V1797" s="249"/>
      <c r="W1797" s="330"/>
      <c r="X1797" s="343"/>
      <c r="Y1797" s="249"/>
      <c r="Z1797" s="330"/>
      <c r="AA1797" s="343"/>
      <c r="AB1797" s="249"/>
      <c r="AC1797" s="330"/>
      <c r="AD1797" s="343"/>
      <c r="AE1797" s="249"/>
      <c r="AF1797" s="330"/>
      <c r="AG1797" s="343"/>
      <c r="AH1797" s="249"/>
      <c r="AI1797" s="330"/>
      <c r="AJ1797" s="343"/>
      <c r="AK1797" s="249"/>
      <c r="AL1797" s="330"/>
      <c r="AM1797" s="343"/>
      <c r="AN1797" s="249"/>
      <c r="AO1797" s="330"/>
      <c r="AP1797" s="343"/>
      <c r="AQ1797" s="249"/>
      <c r="AR1797" s="330"/>
      <c r="AS1797" s="343"/>
      <c r="AT1797" s="249"/>
      <c r="AU1797" s="330"/>
    </row>
    <row r="1798" spans="2:47">
      <c r="B1798" s="247">
        <f>'Table S2 Compound Identifiers'!C1800</f>
        <v>0</v>
      </c>
      <c r="C1798" s="247">
        <f>COUNTIF($D$6:D1798,"&lt;&gt;"&amp;"")</f>
        <v>1793</v>
      </c>
      <c r="D1798" s="247">
        <f>'Table S2 Compound Identifiers'!B1800</f>
        <v>0</v>
      </c>
      <c r="E1798" s="247"/>
      <c r="F1798" s="248"/>
      <c r="G1798" s="249"/>
      <c r="H1798" s="330"/>
      <c r="I1798" s="328"/>
      <c r="J1798" s="249"/>
      <c r="K1798" s="330"/>
      <c r="L1798" s="250"/>
      <c r="M1798" s="249"/>
      <c r="N1798" s="330"/>
      <c r="O1798" s="250"/>
      <c r="P1798" s="249"/>
      <c r="Q1798" s="330"/>
      <c r="R1798" s="250"/>
      <c r="S1798" s="249"/>
      <c r="T1798" s="330"/>
      <c r="U1798" s="250"/>
      <c r="V1798" s="249"/>
      <c r="W1798" s="330"/>
      <c r="X1798" s="343"/>
      <c r="Y1798" s="249"/>
      <c r="Z1798" s="330"/>
      <c r="AA1798" s="343"/>
      <c r="AB1798" s="249"/>
      <c r="AC1798" s="330"/>
      <c r="AD1798" s="343"/>
      <c r="AE1798" s="249"/>
      <c r="AF1798" s="330"/>
      <c r="AG1798" s="343"/>
      <c r="AH1798" s="249"/>
      <c r="AI1798" s="330"/>
      <c r="AJ1798" s="343"/>
      <c r="AK1798" s="249"/>
      <c r="AL1798" s="330"/>
      <c r="AM1798" s="343"/>
      <c r="AN1798" s="249"/>
      <c r="AO1798" s="330"/>
      <c r="AP1798" s="343"/>
      <c r="AQ1798" s="249"/>
      <c r="AR1798" s="330"/>
      <c r="AS1798" s="343"/>
      <c r="AT1798" s="249"/>
      <c r="AU1798" s="330"/>
    </row>
    <row r="1799" spans="2:47">
      <c r="B1799" s="247">
        <f>'Table S2 Compound Identifiers'!C1801</f>
        <v>0</v>
      </c>
      <c r="C1799" s="247">
        <f>COUNTIF($D$6:D1799,"&lt;&gt;"&amp;"")</f>
        <v>1794</v>
      </c>
      <c r="D1799" s="247">
        <f>'Table S2 Compound Identifiers'!B1801</f>
        <v>0</v>
      </c>
      <c r="E1799" s="247"/>
      <c r="F1799" s="248"/>
      <c r="G1799" s="249"/>
      <c r="H1799" s="330"/>
      <c r="I1799" s="328"/>
      <c r="J1799" s="249"/>
      <c r="K1799" s="330"/>
      <c r="L1799" s="250"/>
      <c r="M1799" s="249"/>
      <c r="N1799" s="330"/>
      <c r="O1799" s="250"/>
      <c r="P1799" s="249"/>
      <c r="Q1799" s="330"/>
      <c r="R1799" s="250"/>
      <c r="S1799" s="249"/>
      <c r="T1799" s="330"/>
      <c r="U1799" s="250"/>
      <c r="V1799" s="249"/>
      <c r="W1799" s="330"/>
      <c r="X1799" s="343"/>
      <c r="Y1799" s="249"/>
      <c r="Z1799" s="330"/>
      <c r="AA1799" s="343"/>
      <c r="AB1799" s="249"/>
      <c r="AC1799" s="330"/>
      <c r="AD1799" s="343"/>
      <c r="AE1799" s="249"/>
      <c r="AF1799" s="330"/>
      <c r="AG1799" s="343"/>
      <c r="AH1799" s="249"/>
      <c r="AI1799" s="330"/>
      <c r="AJ1799" s="343"/>
      <c r="AK1799" s="249"/>
      <c r="AL1799" s="330"/>
      <c r="AM1799" s="343"/>
      <c r="AN1799" s="249"/>
      <c r="AO1799" s="330"/>
      <c r="AP1799" s="343"/>
      <c r="AQ1799" s="249"/>
      <c r="AR1799" s="330"/>
      <c r="AS1799" s="343"/>
      <c r="AT1799" s="249"/>
      <c r="AU1799" s="330"/>
    </row>
    <row r="1800" spans="2:47">
      <c r="B1800" s="247">
        <f>'Table S2 Compound Identifiers'!C1802</f>
        <v>0</v>
      </c>
      <c r="C1800" s="247">
        <f>COUNTIF($D$6:D1800,"&lt;&gt;"&amp;"")</f>
        <v>1795</v>
      </c>
      <c r="D1800" s="247">
        <f>'Table S2 Compound Identifiers'!B1802</f>
        <v>0</v>
      </c>
      <c r="E1800" s="247"/>
      <c r="F1800" s="248"/>
      <c r="G1800" s="249"/>
      <c r="H1800" s="330"/>
      <c r="I1800" s="328"/>
      <c r="J1800" s="249"/>
      <c r="K1800" s="330"/>
      <c r="L1800" s="250"/>
      <c r="M1800" s="249"/>
      <c r="N1800" s="330"/>
      <c r="O1800" s="250"/>
      <c r="P1800" s="249"/>
      <c r="Q1800" s="330"/>
      <c r="R1800" s="250"/>
      <c r="S1800" s="249"/>
      <c r="T1800" s="330"/>
      <c r="U1800" s="250"/>
      <c r="V1800" s="249"/>
      <c r="W1800" s="330"/>
      <c r="X1800" s="343"/>
      <c r="Y1800" s="249"/>
      <c r="Z1800" s="330"/>
      <c r="AA1800" s="343"/>
      <c r="AB1800" s="249"/>
      <c r="AC1800" s="330"/>
      <c r="AD1800" s="343"/>
      <c r="AE1800" s="249"/>
      <c r="AF1800" s="330"/>
      <c r="AG1800" s="343"/>
      <c r="AH1800" s="249"/>
      <c r="AI1800" s="330"/>
      <c r="AJ1800" s="343"/>
      <c r="AK1800" s="249"/>
      <c r="AL1800" s="330"/>
      <c r="AM1800" s="343"/>
      <c r="AN1800" s="249"/>
      <c r="AO1800" s="330"/>
      <c r="AP1800" s="343"/>
      <c r="AQ1800" s="249"/>
      <c r="AR1800" s="330"/>
      <c r="AS1800" s="343"/>
      <c r="AT1800" s="249"/>
      <c r="AU1800" s="330"/>
    </row>
    <row r="1801" spans="2:47">
      <c r="B1801" s="247">
        <f>'Table S2 Compound Identifiers'!C1803</f>
        <v>0</v>
      </c>
      <c r="C1801" s="247">
        <f>COUNTIF($D$6:D1801,"&lt;&gt;"&amp;"")</f>
        <v>1796</v>
      </c>
      <c r="D1801" s="247">
        <f>'Table S2 Compound Identifiers'!B1803</f>
        <v>0</v>
      </c>
      <c r="E1801" s="247"/>
      <c r="F1801" s="248"/>
      <c r="G1801" s="249"/>
      <c r="H1801" s="330"/>
      <c r="I1801" s="328"/>
      <c r="J1801" s="249"/>
      <c r="K1801" s="330"/>
      <c r="L1801" s="250"/>
      <c r="M1801" s="249"/>
      <c r="N1801" s="330"/>
      <c r="O1801" s="250"/>
      <c r="P1801" s="249"/>
      <c r="Q1801" s="330"/>
      <c r="R1801" s="250"/>
      <c r="S1801" s="249"/>
      <c r="T1801" s="330"/>
      <c r="U1801" s="250"/>
      <c r="V1801" s="249"/>
      <c r="W1801" s="330"/>
      <c r="X1801" s="343"/>
      <c r="Y1801" s="249"/>
      <c r="Z1801" s="330"/>
      <c r="AA1801" s="343"/>
      <c r="AB1801" s="249"/>
      <c r="AC1801" s="330"/>
      <c r="AD1801" s="343"/>
      <c r="AE1801" s="249"/>
      <c r="AF1801" s="330"/>
      <c r="AG1801" s="343"/>
      <c r="AH1801" s="249"/>
      <c r="AI1801" s="330"/>
      <c r="AJ1801" s="343"/>
      <c r="AK1801" s="249"/>
      <c r="AL1801" s="330"/>
      <c r="AM1801" s="343"/>
      <c r="AN1801" s="249"/>
      <c r="AO1801" s="330"/>
      <c r="AP1801" s="343"/>
      <c r="AQ1801" s="249"/>
      <c r="AR1801" s="330"/>
      <c r="AS1801" s="343"/>
      <c r="AT1801" s="249"/>
      <c r="AU1801" s="330"/>
    </row>
    <row r="1802" spans="2:47">
      <c r="B1802" s="247">
        <f>'Table S2 Compound Identifiers'!C1804</f>
        <v>0</v>
      </c>
      <c r="C1802" s="247">
        <f>COUNTIF($D$6:D1802,"&lt;&gt;"&amp;"")</f>
        <v>1797</v>
      </c>
      <c r="D1802" s="247">
        <f>'Table S2 Compound Identifiers'!B1804</f>
        <v>0</v>
      </c>
      <c r="E1802" s="247"/>
      <c r="F1802" s="248"/>
      <c r="G1802" s="249"/>
      <c r="H1802" s="330"/>
      <c r="I1802" s="328"/>
      <c r="J1802" s="249"/>
      <c r="K1802" s="330"/>
      <c r="L1802" s="250"/>
      <c r="M1802" s="249"/>
      <c r="N1802" s="330"/>
      <c r="O1802" s="250"/>
      <c r="P1802" s="249"/>
      <c r="Q1802" s="330"/>
      <c r="R1802" s="250"/>
      <c r="S1802" s="249"/>
      <c r="T1802" s="330"/>
      <c r="U1802" s="250"/>
      <c r="V1802" s="249"/>
      <c r="W1802" s="330"/>
      <c r="X1802" s="343"/>
      <c r="Y1802" s="249"/>
      <c r="Z1802" s="330"/>
      <c r="AA1802" s="343"/>
      <c r="AB1802" s="249"/>
      <c r="AC1802" s="330"/>
      <c r="AD1802" s="343"/>
      <c r="AE1802" s="249"/>
      <c r="AF1802" s="330"/>
      <c r="AG1802" s="343"/>
      <c r="AH1802" s="249"/>
      <c r="AI1802" s="330"/>
      <c r="AJ1802" s="343"/>
      <c r="AK1802" s="249"/>
      <c r="AL1802" s="330"/>
      <c r="AM1802" s="343"/>
      <c r="AN1802" s="249"/>
      <c r="AO1802" s="330"/>
      <c r="AP1802" s="343"/>
      <c r="AQ1802" s="249"/>
      <c r="AR1802" s="330"/>
      <c r="AS1802" s="343"/>
      <c r="AT1802" s="249"/>
      <c r="AU1802" s="330"/>
    </row>
    <row r="1803" spans="2:47">
      <c r="B1803" s="247">
        <f>'Table S2 Compound Identifiers'!C1805</f>
        <v>0</v>
      </c>
      <c r="C1803" s="247">
        <f>COUNTIF($D$6:D1803,"&lt;&gt;"&amp;"")</f>
        <v>1798</v>
      </c>
      <c r="D1803" s="247">
        <f>'Table S2 Compound Identifiers'!B1805</f>
        <v>0</v>
      </c>
      <c r="E1803" s="247"/>
      <c r="F1803" s="248"/>
      <c r="G1803" s="249"/>
      <c r="H1803" s="330"/>
      <c r="I1803" s="328"/>
      <c r="J1803" s="249"/>
      <c r="K1803" s="330"/>
      <c r="L1803" s="250"/>
      <c r="M1803" s="249"/>
      <c r="N1803" s="330"/>
      <c r="O1803" s="250"/>
      <c r="P1803" s="249"/>
      <c r="Q1803" s="330"/>
      <c r="R1803" s="250"/>
      <c r="S1803" s="249"/>
      <c r="T1803" s="330"/>
      <c r="U1803" s="250"/>
      <c r="V1803" s="249"/>
      <c r="W1803" s="330"/>
      <c r="X1803" s="343"/>
      <c r="Y1803" s="249"/>
      <c r="Z1803" s="330"/>
      <c r="AA1803" s="343"/>
      <c r="AB1803" s="249"/>
      <c r="AC1803" s="330"/>
      <c r="AD1803" s="343"/>
      <c r="AE1803" s="249"/>
      <c r="AF1803" s="330"/>
      <c r="AG1803" s="343"/>
      <c r="AH1803" s="249"/>
      <c r="AI1803" s="330"/>
      <c r="AJ1803" s="343"/>
      <c r="AK1803" s="249"/>
      <c r="AL1803" s="330"/>
      <c r="AM1803" s="343"/>
      <c r="AN1803" s="249"/>
      <c r="AO1803" s="330"/>
      <c r="AP1803" s="343"/>
      <c r="AQ1803" s="249"/>
      <c r="AR1803" s="330"/>
      <c r="AS1803" s="343"/>
      <c r="AT1803" s="249"/>
      <c r="AU1803" s="330"/>
    </row>
    <row r="1804" spans="2:47">
      <c r="B1804" s="247">
        <f>'Table S2 Compound Identifiers'!C1806</f>
        <v>0</v>
      </c>
      <c r="C1804" s="247">
        <f>COUNTIF($D$6:D1804,"&lt;&gt;"&amp;"")</f>
        <v>1799</v>
      </c>
      <c r="D1804" s="247">
        <f>'Table S2 Compound Identifiers'!B1806</f>
        <v>0</v>
      </c>
      <c r="E1804" s="247"/>
      <c r="F1804" s="248"/>
      <c r="G1804" s="249"/>
      <c r="H1804" s="330"/>
      <c r="I1804" s="328"/>
      <c r="J1804" s="249"/>
      <c r="K1804" s="330"/>
      <c r="L1804" s="250"/>
      <c r="M1804" s="249"/>
      <c r="N1804" s="330"/>
      <c r="O1804" s="250"/>
      <c r="P1804" s="249"/>
      <c r="Q1804" s="330"/>
      <c r="R1804" s="250"/>
      <c r="S1804" s="249"/>
      <c r="T1804" s="330"/>
      <c r="U1804" s="250"/>
      <c r="V1804" s="249"/>
      <c r="W1804" s="330"/>
      <c r="X1804" s="343"/>
      <c r="Y1804" s="249"/>
      <c r="Z1804" s="330"/>
      <c r="AA1804" s="343"/>
      <c r="AB1804" s="249"/>
      <c r="AC1804" s="330"/>
      <c r="AD1804" s="343"/>
      <c r="AE1804" s="249"/>
      <c r="AF1804" s="330"/>
      <c r="AG1804" s="343"/>
      <c r="AH1804" s="249"/>
      <c r="AI1804" s="330"/>
      <c r="AJ1804" s="343"/>
      <c r="AK1804" s="249"/>
      <c r="AL1804" s="330"/>
      <c r="AM1804" s="343"/>
      <c r="AN1804" s="249"/>
      <c r="AO1804" s="330"/>
      <c r="AP1804" s="343"/>
      <c r="AQ1804" s="249"/>
      <c r="AR1804" s="330"/>
      <c r="AS1804" s="343"/>
      <c r="AT1804" s="249"/>
      <c r="AU1804" s="330"/>
    </row>
    <row r="1805" spans="2:47">
      <c r="B1805" s="247">
        <f>'Table S2 Compound Identifiers'!C1807</f>
        <v>0</v>
      </c>
      <c r="C1805" s="247">
        <f>COUNTIF($D$6:D1805,"&lt;&gt;"&amp;"")</f>
        <v>1800</v>
      </c>
      <c r="D1805" s="247">
        <f>'Table S2 Compound Identifiers'!B1807</f>
        <v>0</v>
      </c>
      <c r="E1805" s="247"/>
      <c r="F1805" s="248"/>
      <c r="G1805" s="249"/>
      <c r="H1805" s="330"/>
      <c r="I1805" s="328"/>
      <c r="J1805" s="249"/>
      <c r="K1805" s="330"/>
      <c r="L1805" s="250"/>
      <c r="M1805" s="249"/>
      <c r="N1805" s="330"/>
      <c r="O1805" s="250"/>
      <c r="P1805" s="249"/>
      <c r="Q1805" s="330"/>
      <c r="R1805" s="250"/>
      <c r="S1805" s="249"/>
      <c r="T1805" s="330"/>
      <c r="U1805" s="250"/>
      <c r="V1805" s="249"/>
      <c r="W1805" s="330"/>
      <c r="X1805" s="343"/>
      <c r="Y1805" s="249"/>
      <c r="Z1805" s="330"/>
      <c r="AA1805" s="343"/>
      <c r="AB1805" s="249"/>
      <c r="AC1805" s="330"/>
      <c r="AD1805" s="343"/>
      <c r="AE1805" s="249"/>
      <c r="AF1805" s="330"/>
      <c r="AG1805" s="343"/>
      <c r="AH1805" s="249"/>
      <c r="AI1805" s="330"/>
      <c r="AJ1805" s="343"/>
      <c r="AK1805" s="249"/>
      <c r="AL1805" s="330"/>
      <c r="AM1805" s="343"/>
      <c r="AN1805" s="249"/>
      <c r="AO1805" s="330"/>
      <c r="AP1805" s="343"/>
      <c r="AQ1805" s="249"/>
      <c r="AR1805" s="330"/>
      <c r="AS1805" s="343"/>
      <c r="AT1805" s="249"/>
      <c r="AU1805" s="330"/>
    </row>
    <row r="1806" spans="2:47">
      <c r="B1806" s="247">
        <f>'Table S2 Compound Identifiers'!C1808</f>
        <v>0</v>
      </c>
      <c r="C1806" s="247">
        <f>COUNTIF($D$6:D1806,"&lt;&gt;"&amp;"")</f>
        <v>1801</v>
      </c>
      <c r="D1806" s="247">
        <f>'Table S2 Compound Identifiers'!B1808</f>
        <v>0</v>
      </c>
      <c r="E1806" s="247"/>
      <c r="F1806" s="248"/>
      <c r="G1806" s="249"/>
      <c r="H1806" s="330"/>
      <c r="I1806" s="328"/>
      <c r="J1806" s="249"/>
      <c r="K1806" s="330"/>
      <c r="L1806" s="250"/>
      <c r="M1806" s="249"/>
      <c r="N1806" s="330"/>
      <c r="O1806" s="250"/>
      <c r="P1806" s="249"/>
      <c r="Q1806" s="330"/>
      <c r="R1806" s="250"/>
      <c r="S1806" s="249"/>
      <c r="T1806" s="330"/>
      <c r="U1806" s="250"/>
      <c r="V1806" s="249"/>
      <c r="W1806" s="330"/>
      <c r="X1806" s="343"/>
      <c r="Y1806" s="249"/>
      <c r="Z1806" s="330"/>
      <c r="AA1806" s="343"/>
      <c r="AB1806" s="249"/>
      <c r="AC1806" s="330"/>
      <c r="AD1806" s="343"/>
      <c r="AE1806" s="249"/>
      <c r="AF1806" s="330"/>
      <c r="AG1806" s="343"/>
      <c r="AH1806" s="249"/>
      <c r="AI1806" s="330"/>
      <c r="AJ1806" s="343"/>
      <c r="AK1806" s="249"/>
      <c r="AL1806" s="330"/>
      <c r="AM1806" s="343"/>
      <c r="AN1806" s="249"/>
      <c r="AO1806" s="330"/>
      <c r="AP1806" s="343"/>
      <c r="AQ1806" s="249"/>
      <c r="AR1806" s="330"/>
      <c r="AS1806" s="343"/>
      <c r="AT1806" s="249"/>
      <c r="AU1806" s="330"/>
    </row>
    <row r="1807" spans="2:47">
      <c r="B1807" s="247">
        <f>'Table S2 Compound Identifiers'!C1809</f>
        <v>0</v>
      </c>
      <c r="C1807" s="247">
        <f>COUNTIF($D$6:D1807,"&lt;&gt;"&amp;"")</f>
        <v>1802</v>
      </c>
      <c r="D1807" s="247">
        <f>'Table S2 Compound Identifiers'!B1809</f>
        <v>0</v>
      </c>
      <c r="E1807" s="247"/>
      <c r="F1807" s="248"/>
      <c r="G1807" s="249"/>
      <c r="H1807" s="330"/>
      <c r="I1807" s="328"/>
      <c r="J1807" s="249"/>
      <c r="K1807" s="330"/>
      <c r="L1807" s="250"/>
      <c r="M1807" s="249"/>
      <c r="N1807" s="330"/>
      <c r="O1807" s="250"/>
      <c r="P1807" s="249"/>
      <c r="Q1807" s="330"/>
      <c r="R1807" s="250"/>
      <c r="S1807" s="249"/>
      <c r="T1807" s="330"/>
      <c r="U1807" s="250"/>
      <c r="V1807" s="249"/>
      <c r="W1807" s="330"/>
      <c r="X1807" s="343"/>
      <c r="Y1807" s="249"/>
      <c r="Z1807" s="330"/>
      <c r="AA1807" s="343"/>
      <c r="AB1807" s="249"/>
      <c r="AC1807" s="330"/>
      <c r="AD1807" s="343"/>
      <c r="AE1807" s="249"/>
      <c r="AF1807" s="330"/>
      <c r="AG1807" s="343"/>
      <c r="AH1807" s="249"/>
      <c r="AI1807" s="330"/>
      <c r="AJ1807" s="343"/>
      <c r="AK1807" s="249"/>
      <c r="AL1807" s="330"/>
      <c r="AM1807" s="343"/>
      <c r="AN1807" s="249"/>
      <c r="AO1807" s="330"/>
      <c r="AP1807" s="343"/>
      <c r="AQ1807" s="249"/>
      <c r="AR1807" s="330"/>
      <c r="AS1807" s="343"/>
      <c r="AT1807" s="249"/>
      <c r="AU1807" s="330"/>
    </row>
    <row r="1808" spans="2:47">
      <c r="B1808" s="247">
        <f>'Table S2 Compound Identifiers'!C1810</f>
        <v>0</v>
      </c>
      <c r="C1808" s="247">
        <f>COUNTIF($D$6:D1808,"&lt;&gt;"&amp;"")</f>
        <v>1803</v>
      </c>
      <c r="D1808" s="247">
        <f>'Table S2 Compound Identifiers'!B1810</f>
        <v>0</v>
      </c>
      <c r="E1808" s="247"/>
      <c r="F1808" s="248"/>
      <c r="G1808" s="249"/>
      <c r="H1808" s="330"/>
      <c r="I1808" s="328"/>
      <c r="J1808" s="249"/>
      <c r="K1808" s="330"/>
      <c r="L1808" s="250"/>
      <c r="M1808" s="249"/>
      <c r="N1808" s="330"/>
      <c r="O1808" s="250"/>
      <c r="P1808" s="249"/>
      <c r="Q1808" s="330"/>
      <c r="R1808" s="250"/>
      <c r="S1808" s="249"/>
      <c r="T1808" s="330"/>
      <c r="U1808" s="250"/>
      <c r="V1808" s="249"/>
      <c r="W1808" s="330"/>
      <c r="X1808" s="343"/>
      <c r="Y1808" s="249"/>
      <c r="Z1808" s="330"/>
      <c r="AA1808" s="343"/>
      <c r="AB1808" s="249"/>
      <c r="AC1808" s="330"/>
      <c r="AD1808" s="343"/>
      <c r="AE1808" s="249"/>
      <c r="AF1808" s="330"/>
      <c r="AG1808" s="343"/>
      <c r="AH1808" s="249"/>
      <c r="AI1808" s="330"/>
      <c r="AJ1808" s="343"/>
      <c r="AK1808" s="249"/>
      <c r="AL1808" s="330"/>
      <c r="AM1808" s="343"/>
      <c r="AN1808" s="249"/>
      <c r="AO1808" s="330"/>
      <c r="AP1808" s="343"/>
      <c r="AQ1808" s="249"/>
      <c r="AR1808" s="330"/>
      <c r="AS1808" s="343"/>
      <c r="AT1808" s="249"/>
      <c r="AU1808" s="330"/>
    </row>
    <row r="1809" spans="2:47">
      <c r="B1809" s="247">
        <f>'Table S2 Compound Identifiers'!C1811</f>
        <v>0</v>
      </c>
      <c r="C1809" s="247">
        <f>COUNTIF($D$6:D1809,"&lt;&gt;"&amp;"")</f>
        <v>1804</v>
      </c>
      <c r="D1809" s="247">
        <f>'Table S2 Compound Identifiers'!B1811</f>
        <v>0</v>
      </c>
      <c r="E1809" s="247"/>
      <c r="F1809" s="248"/>
      <c r="G1809" s="249"/>
      <c r="H1809" s="330"/>
      <c r="I1809" s="328"/>
      <c r="J1809" s="249"/>
      <c r="K1809" s="330"/>
      <c r="L1809" s="250"/>
      <c r="M1809" s="249"/>
      <c r="N1809" s="330"/>
      <c r="O1809" s="250"/>
      <c r="P1809" s="249"/>
      <c r="Q1809" s="330"/>
      <c r="R1809" s="250"/>
      <c r="S1809" s="249"/>
      <c r="T1809" s="330"/>
      <c r="U1809" s="250"/>
      <c r="V1809" s="249"/>
      <c r="W1809" s="330"/>
      <c r="X1809" s="343"/>
      <c r="Y1809" s="249"/>
      <c r="Z1809" s="330"/>
      <c r="AA1809" s="343"/>
      <c r="AB1809" s="249"/>
      <c r="AC1809" s="330"/>
      <c r="AD1809" s="343"/>
      <c r="AE1809" s="249"/>
      <c r="AF1809" s="330"/>
      <c r="AG1809" s="343"/>
      <c r="AH1809" s="249"/>
      <c r="AI1809" s="330"/>
      <c r="AJ1809" s="343"/>
      <c r="AK1809" s="249"/>
      <c r="AL1809" s="330"/>
      <c r="AM1809" s="343"/>
      <c r="AN1809" s="249"/>
      <c r="AO1809" s="330"/>
      <c r="AP1809" s="343"/>
      <c r="AQ1809" s="249"/>
      <c r="AR1809" s="330"/>
      <c r="AS1809" s="343"/>
      <c r="AT1809" s="249"/>
      <c r="AU1809" s="330"/>
    </row>
    <row r="1810" spans="2:47">
      <c r="B1810" s="247">
        <f>'Table S2 Compound Identifiers'!C1812</f>
        <v>0</v>
      </c>
      <c r="C1810" s="247">
        <f>COUNTIF($D$6:D1810,"&lt;&gt;"&amp;"")</f>
        <v>1805</v>
      </c>
      <c r="D1810" s="247">
        <f>'Table S2 Compound Identifiers'!B1812</f>
        <v>0</v>
      </c>
      <c r="E1810" s="247"/>
      <c r="F1810" s="248"/>
      <c r="G1810" s="249"/>
      <c r="H1810" s="330"/>
      <c r="I1810" s="328"/>
      <c r="J1810" s="249"/>
      <c r="K1810" s="330"/>
      <c r="L1810" s="250"/>
      <c r="M1810" s="249"/>
      <c r="N1810" s="330"/>
      <c r="O1810" s="250"/>
      <c r="P1810" s="249"/>
      <c r="Q1810" s="330"/>
      <c r="R1810" s="250"/>
      <c r="S1810" s="249"/>
      <c r="T1810" s="330"/>
      <c r="U1810" s="250"/>
      <c r="V1810" s="249"/>
      <c r="W1810" s="330"/>
      <c r="X1810" s="343"/>
      <c r="Y1810" s="249"/>
      <c r="Z1810" s="330"/>
      <c r="AA1810" s="343"/>
      <c r="AB1810" s="249"/>
      <c r="AC1810" s="330"/>
      <c r="AD1810" s="343"/>
      <c r="AE1810" s="249"/>
      <c r="AF1810" s="330"/>
      <c r="AG1810" s="343"/>
      <c r="AH1810" s="249"/>
      <c r="AI1810" s="330"/>
      <c r="AJ1810" s="343"/>
      <c r="AK1810" s="249"/>
      <c r="AL1810" s="330"/>
      <c r="AM1810" s="343"/>
      <c r="AN1810" s="249"/>
      <c r="AO1810" s="330"/>
      <c r="AP1810" s="343"/>
      <c r="AQ1810" s="249"/>
      <c r="AR1810" s="330"/>
      <c r="AS1810" s="343"/>
      <c r="AT1810" s="249"/>
      <c r="AU1810" s="330"/>
    </row>
    <row r="1811" spans="2:47">
      <c r="B1811" s="247">
        <f>'Table S2 Compound Identifiers'!C1813</f>
        <v>0</v>
      </c>
      <c r="C1811" s="247">
        <f>COUNTIF($D$6:D1811,"&lt;&gt;"&amp;"")</f>
        <v>1806</v>
      </c>
      <c r="D1811" s="247">
        <f>'Table S2 Compound Identifiers'!B1813</f>
        <v>0</v>
      </c>
      <c r="E1811" s="247"/>
      <c r="F1811" s="248"/>
      <c r="G1811" s="249"/>
      <c r="H1811" s="330"/>
      <c r="I1811" s="328"/>
      <c r="J1811" s="249"/>
      <c r="K1811" s="330"/>
      <c r="L1811" s="250"/>
      <c r="M1811" s="249"/>
      <c r="N1811" s="330"/>
      <c r="O1811" s="250"/>
      <c r="P1811" s="249"/>
      <c r="Q1811" s="330"/>
      <c r="R1811" s="250"/>
      <c r="S1811" s="249"/>
      <c r="T1811" s="330"/>
      <c r="U1811" s="250"/>
      <c r="V1811" s="249"/>
      <c r="W1811" s="330"/>
      <c r="X1811" s="343"/>
      <c r="Y1811" s="249"/>
      <c r="Z1811" s="330"/>
      <c r="AA1811" s="343"/>
      <c r="AB1811" s="249"/>
      <c r="AC1811" s="330"/>
      <c r="AD1811" s="343"/>
      <c r="AE1811" s="249"/>
      <c r="AF1811" s="330"/>
      <c r="AG1811" s="343"/>
      <c r="AH1811" s="249"/>
      <c r="AI1811" s="330"/>
      <c r="AJ1811" s="343"/>
      <c r="AK1811" s="249"/>
      <c r="AL1811" s="330"/>
      <c r="AM1811" s="343"/>
      <c r="AN1811" s="249"/>
      <c r="AO1811" s="330"/>
      <c r="AP1811" s="343"/>
      <c r="AQ1811" s="249"/>
      <c r="AR1811" s="330"/>
      <c r="AS1811" s="343"/>
      <c r="AT1811" s="249"/>
      <c r="AU1811" s="330"/>
    </row>
    <row r="1812" spans="2:47">
      <c r="B1812" s="247">
        <f>'Table S2 Compound Identifiers'!C1814</f>
        <v>0</v>
      </c>
      <c r="C1812" s="247">
        <f>COUNTIF($D$6:D1812,"&lt;&gt;"&amp;"")</f>
        <v>1807</v>
      </c>
      <c r="D1812" s="247">
        <f>'Table S2 Compound Identifiers'!B1814</f>
        <v>0</v>
      </c>
      <c r="E1812" s="247"/>
      <c r="F1812" s="248"/>
      <c r="G1812" s="249"/>
      <c r="H1812" s="330"/>
      <c r="I1812" s="328"/>
      <c r="J1812" s="249"/>
      <c r="K1812" s="330"/>
      <c r="L1812" s="250"/>
      <c r="M1812" s="249"/>
      <c r="N1812" s="330"/>
      <c r="O1812" s="250"/>
      <c r="P1812" s="249"/>
      <c r="Q1812" s="330"/>
      <c r="R1812" s="250"/>
      <c r="S1812" s="249"/>
      <c r="T1812" s="330"/>
      <c r="U1812" s="250"/>
      <c r="V1812" s="249"/>
      <c r="W1812" s="330"/>
      <c r="X1812" s="343"/>
      <c r="Y1812" s="249"/>
      <c r="Z1812" s="330"/>
      <c r="AA1812" s="343"/>
      <c r="AB1812" s="249"/>
      <c r="AC1812" s="330"/>
      <c r="AD1812" s="343"/>
      <c r="AE1812" s="249"/>
      <c r="AF1812" s="330"/>
      <c r="AG1812" s="343"/>
      <c r="AH1812" s="249"/>
      <c r="AI1812" s="330"/>
      <c r="AJ1812" s="343"/>
      <c r="AK1812" s="249"/>
      <c r="AL1812" s="330"/>
      <c r="AM1812" s="343"/>
      <c r="AN1812" s="249"/>
      <c r="AO1812" s="330"/>
      <c r="AP1812" s="343"/>
      <c r="AQ1812" s="249"/>
      <c r="AR1812" s="330"/>
      <c r="AS1812" s="343"/>
      <c r="AT1812" s="249"/>
      <c r="AU1812" s="330"/>
    </row>
    <row r="1813" spans="2:47">
      <c r="B1813" s="247">
        <f>'Table S2 Compound Identifiers'!C1815</f>
        <v>0</v>
      </c>
      <c r="C1813" s="247">
        <f>COUNTIF($D$6:D1813,"&lt;&gt;"&amp;"")</f>
        <v>1808</v>
      </c>
      <c r="D1813" s="247">
        <f>'Table S2 Compound Identifiers'!B1815</f>
        <v>0</v>
      </c>
      <c r="E1813" s="247"/>
      <c r="F1813" s="248"/>
      <c r="G1813" s="249"/>
      <c r="H1813" s="330"/>
      <c r="I1813" s="328"/>
      <c r="J1813" s="249"/>
      <c r="K1813" s="330"/>
      <c r="L1813" s="250"/>
      <c r="M1813" s="249"/>
      <c r="N1813" s="330"/>
      <c r="O1813" s="250"/>
      <c r="P1813" s="249"/>
      <c r="Q1813" s="330"/>
      <c r="R1813" s="250"/>
      <c r="S1813" s="249"/>
      <c r="T1813" s="330"/>
      <c r="U1813" s="250"/>
      <c r="V1813" s="249"/>
      <c r="W1813" s="330"/>
      <c r="X1813" s="343"/>
      <c r="Y1813" s="249"/>
      <c r="Z1813" s="330"/>
      <c r="AA1813" s="343"/>
      <c r="AB1813" s="249"/>
      <c r="AC1813" s="330"/>
      <c r="AD1813" s="343"/>
      <c r="AE1813" s="249"/>
      <c r="AF1813" s="330"/>
      <c r="AG1813" s="343"/>
      <c r="AH1813" s="249"/>
      <c r="AI1813" s="330"/>
      <c r="AJ1813" s="343"/>
      <c r="AK1813" s="249"/>
      <c r="AL1813" s="330"/>
      <c r="AM1813" s="343"/>
      <c r="AN1813" s="249"/>
      <c r="AO1813" s="330"/>
      <c r="AP1813" s="343"/>
      <c r="AQ1813" s="249"/>
      <c r="AR1813" s="330"/>
      <c r="AS1813" s="343"/>
      <c r="AT1813" s="249"/>
      <c r="AU1813" s="330"/>
    </row>
    <row r="1814" spans="2:47">
      <c r="B1814" s="247">
        <f>'Table S2 Compound Identifiers'!C1816</f>
        <v>0</v>
      </c>
      <c r="C1814" s="247">
        <f>COUNTIF($D$6:D1814,"&lt;&gt;"&amp;"")</f>
        <v>1809</v>
      </c>
      <c r="D1814" s="247">
        <f>'Table S2 Compound Identifiers'!B1816</f>
        <v>0</v>
      </c>
      <c r="E1814" s="247"/>
      <c r="F1814" s="248"/>
      <c r="G1814" s="249"/>
      <c r="H1814" s="330"/>
      <c r="I1814" s="328"/>
      <c r="J1814" s="249"/>
      <c r="K1814" s="330"/>
      <c r="L1814" s="250"/>
      <c r="M1814" s="249"/>
      <c r="N1814" s="330"/>
      <c r="O1814" s="250"/>
      <c r="P1814" s="249"/>
      <c r="Q1814" s="330"/>
      <c r="R1814" s="250"/>
      <c r="S1814" s="249"/>
      <c r="T1814" s="330"/>
      <c r="U1814" s="250"/>
      <c r="V1814" s="249"/>
      <c r="W1814" s="330"/>
      <c r="X1814" s="343"/>
      <c r="Y1814" s="249"/>
      <c r="Z1814" s="330"/>
      <c r="AA1814" s="343"/>
      <c r="AB1814" s="249"/>
      <c r="AC1814" s="330"/>
      <c r="AD1814" s="343"/>
      <c r="AE1814" s="249"/>
      <c r="AF1814" s="330"/>
      <c r="AG1814" s="343"/>
      <c r="AH1814" s="249"/>
      <c r="AI1814" s="330"/>
      <c r="AJ1814" s="343"/>
      <c r="AK1814" s="249"/>
      <c r="AL1814" s="330"/>
      <c r="AM1814" s="343"/>
      <c r="AN1814" s="249"/>
      <c r="AO1814" s="330"/>
      <c r="AP1814" s="343"/>
      <c r="AQ1814" s="249"/>
      <c r="AR1814" s="330"/>
      <c r="AS1814" s="343"/>
      <c r="AT1814" s="249"/>
      <c r="AU1814" s="330"/>
    </row>
    <row r="1815" spans="2:47">
      <c r="B1815" s="247">
        <f>'Table S2 Compound Identifiers'!C1817</f>
        <v>0</v>
      </c>
      <c r="C1815" s="247">
        <f>COUNTIF($D$6:D1815,"&lt;&gt;"&amp;"")</f>
        <v>1810</v>
      </c>
      <c r="D1815" s="247">
        <f>'Table S2 Compound Identifiers'!B1817</f>
        <v>0</v>
      </c>
      <c r="E1815" s="247"/>
      <c r="F1815" s="248"/>
      <c r="G1815" s="249"/>
      <c r="H1815" s="330"/>
      <c r="I1815" s="328"/>
      <c r="J1815" s="249"/>
      <c r="K1815" s="330"/>
      <c r="L1815" s="250"/>
      <c r="M1815" s="249"/>
      <c r="N1815" s="330"/>
      <c r="O1815" s="250"/>
      <c r="P1815" s="249"/>
      <c r="Q1815" s="330"/>
      <c r="R1815" s="250"/>
      <c r="S1815" s="249"/>
      <c r="T1815" s="330"/>
      <c r="U1815" s="250"/>
      <c r="V1815" s="249"/>
      <c r="W1815" s="330"/>
      <c r="X1815" s="343"/>
      <c r="Y1815" s="249"/>
      <c r="Z1815" s="330"/>
      <c r="AA1815" s="343"/>
      <c r="AB1815" s="249"/>
      <c r="AC1815" s="330"/>
      <c r="AD1815" s="343"/>
      <c r="AE1815" s="249"/>
      <c r="AF1815" s="330"/>
      <c r="AG1815" s="343"/>
      <c r="AH1815" s="249"/>
      <c r="AI1815" s="330"/>
      <c r="AJ1815" s="343"/>
      <c r="AK1815" s="249"/>
      <c r="AL1815" s="330"/>
      <c r="AM1815" s="343"/>
      <c r="AN1815" s="249"/>
      <c r="AO1815" s="330"/>
      <c r="AP1815" s="343"/>
      <c r="AQ1815" s="249"/>
      <c r="AR1815" s="330"/>
      <c r="AS1815" s="343"/>
      <c r="AT1815" s="249"/>
      <c r="AU1815" s="330"/>
    </row>
    <row r="1816" spans="2:47">
      <c r="B1816" s="247">
        <f>'Table S2 Compound Identifiers'!C1818</f>
        <v>0</v>
      </c>
      <c r="C1816" s="247">
        <f>COUNTIF($D$6:D1816,"&lt;&gt;"&amp;"")</f>
        <v>1811</v>
      </c>
      <c r="D1816" s="247">
        <f>'Table S2 Compound Identifiers'!B1818</f>
        <v>0</v>
      </c>
      <c r="E1816" s="247"/>
      <c r="F1816" s="248"/>
      <c r="G1816" s="249"/>
      <c r="H1816" s="330"/>
      <c r="I1816" s="328"/>
      <c r="J1816" s="249"/>
      <c r="K1816" s="330"/>
      <c r="L1816" s="250"/>
      <c r="M1816" s="249"/>
      <c r="N1816" s="330"/>
      <c r="O1816" s="250"/>
      <c r="P1816" s="249"/>
      <c r="Q1816" s="330"/>
      <c r="R1816" s="250"/>
      <c r="S1816" s="249"/>
      <c r="T1816" s="330"/>
      <c r="U1816" s="250"/>
      <c r="V1816" s="249"/>
      <c r="W1816" s="330"/>
      <c r="X1816" s="343"/>
      <c r="Y1816" s="249"/>
      <c r="Z1816" s="330"/>
      <c r="AA1816" s="343"/>
      <c r="AB1816" s="249"/>
      <c r="AC1816" s="330"/>
      <c r="AD1816" s="343"/>
      <c r="AE1816" s="249"/>
      <c r="AF1816" s="330"/>
      <c r="AG1816" s="343"/>
      <c r="AH1816" s="249"/>
      <c r="AI1816" s="330"/>
      <c r="AJ1816" s="343"/>
      <c r="AK1816" s="249"/>
      <c r="AL1816" s="330"/>
      <c r="AM1816" s="343"/>
      <c r="AN1816" s="249"/>
      <c r="AO1816" s="330"/>
      <c r="AP1816" s="343"/>
      <c r="AQ1816" s="249"/>
      <c r="AR1816" s="330"/>
      <c r="AS1816" s="343"/>
      <c r="AT1816" s="249"/>
      <c r="AU1816" s="330"/>
    </row>
    <row r="1817" spans="2:47">
      <c r="B1817" s="247">
        <f>'Table S2 Compound Identifiers'!C1819</f>
        <v>0</v>
      </c>
      <c r="C1817" s="247">
        <f>COUNTIF($D$6:D1817,"&lt;&gt;"&amp;"")</f>
        <v>1812</v>
      </c>
      <c r="D1817" s="247">
        <f>'Table S2 Compound Identifiers'!B1819</f>
        <v>0</v>
      </c>
      <c r="E1817" s="247"/>
      <c r="F1817" s="248"/>
      <c r="G1817" s="249"/>
      <c r="H1817" s="330"/>
      <c r="I1817" s="328"/>
      <c r="J1817" s="249"/>
      <c r="K1817" s="330"/>
      <c r="L1817" s="250"/>
      <c r="M1817" s="249"/>
      <c r="N1817" s="330"/>
      <c r="O1817" s="250"/>
      <c r="P1817" s="249"/>
      <c r="Q1817" s="330"/>
      <c r="R1817" s="250"/>
      <c r="S1817" s="249"/>
      <c r="T1817" s="330"/>
      <c r="U1817" s="250"/>
      <c r="V1817" s="249"/>
      <c r="W1817" s="330"/>
      <c r="X1817" s="343"/>
      <c r="Y1817" s="249"/>
      <c r="Z1817" s="330"/>
      <c r="AA1817" s="343"/>
      <c r="AB1817" s="249"/>
      <c r="AC1817" s="330"/>
      <c r="AD1817" s="343"/>
      <c r="AE1817" s="249"/>
      <c r="AF1817" s="330"/>
      <c r="AG1817" s="343"/>
      <c r="AH1817" s="249"/>
      <c r="AI1817" s="330"/>
      <c r="AJ1817" s="343"/>
      <c r="AK1817" s="249"/>
      <c r="AL1817" s="330"/>
      <c r="AM1817" s="343"/>
      <c r="AN1817" s="249"/>
      <c r="AO1817" s="330"/>
      <c r="AP1817" s="343"/>
      <c r="AQ1817" s="249"/>
      <c r="AR1817" s="330"/>
      <c r="AS1817" s="343"/>
      <c r="AT1817" s="249"/>
      <c r="AU1817" s="330"/>
    </row>
    <row r="1818" spans="2:47">
      <c r="B1818" s="247">
        <f>'Table S2 Compound Identifiers'!C1820</f>
        <v>0</v>
      </c>
      <c r="C1818" s="247">
        <f>COUNTIF($D$6:D1818,"&lt;&gt;"&amp;"")</f>
        <v>1813</v>
      </c>
      <c r="D1818" s="247">
        <f>'Table S2 Compound Identifiers'!B1820</f>
        <v>0</v>
      </c>
      <c r="E1818" s="247"/>
      <c r="F1818" s="248"/>
      <c r="G1818" s="249"/>
      <c r="H1818" s="330"/>
      <c r="I1818" s="328"/>
      <c r="J1818" s="249"/>
      <c r="K1818" s="330"/>
      <c r="L1818" s="250"/>
      <c r="M1818" s="249"/>
      <c r="N1818" s="330"/>
      <c r="O1818" s="250"/>
      <c r="P1818" s="249"/>
      <c r="Q1818" s="330"/>
      <c r="R1818" s="250"/>
      <c r="S1818" s="249"/>
      <c r="T1818" s="330"/>
      <c r="U1818" s="250"/>
      <c r="V1818" s="249"/>
      <c r="W1818" s="330"/>
      <c r="X1818" s="343"/>
      <c r="Y1818" s="249"/>
      <c r="Z1818" s="330"/>
      <c r="AA1818" s="343"/>
      <c r="AB1818" s="249"/>
      <c r="AC1818" s="330"/>
      <c r="AD1818" s="343"/>
      <c r="AE1818" s="249"/>
      <c r="AF1818" s="330"/>
      <c r="AG1818" s="343"/>
      <c r="AH1818" s="249"/>
      <c r="AI1818" s="330"/>
      <c r="AJ1818" s="343"/>
      <c r="AK1818" s="249"/>
      <c r="AL1818" s="330"/>
      <c r="AM1818" s="343"/>
      <c r="AN1818" s="249"/>
      <c r="AO1818" s="330"/>
      <c r="AP1818" s="343"/>
      <c r="AQ1818" s="249"/>
      <c r="AR1818" s="330"/>
      <c r="AS1818" s="343"/>
      <c r="AT1818" s="249"/>
      <c r="AU1818" s="330"/>
    </row>
    <row r="1819" spans="2:47">
      <c r="B1819" s="247">
        <f>'Table S2 Compound Identifiers'!C1821</f>
        <v>0</v>
      </c>
      <c r="C1819" s="247">
        <f>COUNTIF($D$6:D1819,"&lt;&gt;"&amp;"")</f>
        <v>1814</v>
      </c>
      <c r="D1819" s="247">
        <f>'Table S2 Compound Identifiers'!B1821</f>
        <v>0</v>
      </c>
      <c r="E1819" s="247"/>
      <c r="F1819" s="248"/>
      <c r="G1819" s="249"/>
      <c r="H1819" s="330"/>
      <c r="I1819" s="328"/>
      <c r="J1819" s="249"/>
      <c r="K1819" s="330"/>
      <c r="L1819" s="250"/>
      <c r="M1819" s="249"/>
      <c r="N1819" s="330"/>
      <c r="O1819" s="250"/>
      <c r="P1819" s="249"/>
      <c r="Q1819" s="330"/>
      <c r="R1819" s="250"/>
      <c r="S1819" s="249"/>
      <c r="T1819" s="330"/>
      <c r="U1819" s="250"/>
      <c r="V1819" s="249"/>
      <c r="W1819" s="330"/>
      <c r="X1819" s="343"/>
      <c r="Y1819" s="249"/>
      <c r="Z1819" s="330"/>
      <c r="AA1819" s="343"/>
      <c r="AB1819" s="249"/>
      <c r="AC1819" s="330"/>
      <c r="AD1819" s="343"/>
      <c r="AE1819" s="249"/>
      <c r="AF1819" s="330"/>
      <c r="AG1819" s="343"/>
      <c r="AH1819" s="249"/>
      <c r="AI1819" s="330"/>
      <c r="AJ1819" s="343"/>
      <c r="AK1819" s="249"/>
      <c r="AL1819" s="330"/>
      <c r="AM1819" s="343"/>
      <c r="AN1819" s="249"/>
      <c r="AO1819" s="330"/>
      <c r="AP1819" s="343"/>
      <c r="AQ1819" s="249"/>
      <c r="AR1819" s="330"/>
      <c r="AS1819" s="343"/>
      <c r="AT1819" s="249"/>
      <c r="AU1819" s="330"/>
    </row>
    <row r="1820" spans="2:47">
      <c r="B1820" s="247">
        <f>'Table S2 Compound Identifiers'!C1822</f>
        <v>0</v>
      </c>
      <c r="C1820" s="247">
        <f>COUNTIF($D$6:D1820,"&lt;&gt;"&amp;"")</f>
        <v>1815</v>
      </c>
      <c r="D1820" s="247">
        <f>'Table S2 Compound Identifiers'!B1822</f>
        <v>0</v>
      </c>
      <c r="E1820" s="247"/>
      <c r="F1820" s="248"/>
      <c r="G1820" s="249"/>
      <c r="H1820" s="330"/>
      <c r="I1820" s="328"/>
      <c r="J1820" s="249"/>
      <c r="K1820" s="330"/>
      <c r="L1820" s="250"/>
      <c r="M1820" s="249"/>
      <c r="N1820" s="330"/>
      <c r="O1820" s="250"/>
      <c r="P1820" s="249"/>
      <c r="Q1820" s="330"/>
      <c r="R1820" s="250"/>
      <c r="S1820" s="249"/>
      <c r="T1820" s="330"/>
      <c r="U1820" s="250"/>
      <c r="V1820" s="249"/>
      <c r="W1820" s="330"/>
      <c r="X1820" s="343"/>
      <c r="Y1820" s="249"/>
      <c r="Z1820" s="330"/>
      <c r="AA1820" s="343"/>
      <c r="AB1820" s="249"/>
      <c r="AC1820" s="330"/>
      <c r="AD1820" s="343"/>
      <c r="AE1820" s="249"/>
      <c r="AF1820" s="330"/>
      <c r="AG1820" s="343"/>
      <c r="AH1820" s="249"/>
      <c r="AI1820" s="330"/>
      <c r="AJ1820" s="343"/>
      <c r="AK1820" s="249"/>
      <c r="AL1820" s="330"/>
      <c r="AM1820" s="343"/>
      <c r="AN1820" s="249"/>
      <c r="AO1820" s="330"/>
      <c r="AP1820" s="343"/>
      <c r="AQ1820" s="249"/>
      <c r="AR1820" s="330"/>
      <c r="AS1820" s="343"/>
      <c r="AT1820" s="249"/>
      <c r="AU1820" s="330"/>
    </row>
    <row r="1821" spans="2:47">
      <c r="B1821" s="247">
        <f>'Table S2 Compound Identifiers'!C1823</f>
        <v>0</v>
      </c>
      <c r="C1821" s="247">
        <f>COUNTIF($D$6:D1821,"&lt;&gt;"&amp;"")</f>
        <v>1816</v>
      </c>
      <c r="D1821" s="247">
        <f>'Table S2 Compound Identifiers'!B1823</f>
        <v>0</v>
      </c>
      <c r="E1821" s="247"/>
      <c r="F1821" s="248"/>
      <c r="G1821" s="249"/>
      <c r="H1821" s="330"/>
      <c r="I1821" s="328"/>
      <c r="J1821" s="249"/>
      <c r="K1821" s="330"/>
      <c r="L1821" s="250"/>
      <c r="M1821" s="249"/>
      <c r="N1821" s="330"/>
      <c r="O1821" s="250"/>
      <c r="P1821" s="249"/>
      <c r="Q1821" s="330"/>
      <c r="R1821" s="250"/>
      <c r="S1821" s="249"/>
      <c r="T1821" s="330"/>
      <c r="U1821" s="250"/>
      <c r="V1821" s="249"/>
      <c r="W1821" s="330"/>
      <c r="X1821" s="343"/>
      <c r="Y1821" s="249"/>
      <c r="Z1821" s="330"/>
      <c r="AA1821" s="343"/>
      <c r="AB1821" s="249"/>
      <c r="AC1821" s="330"/>
      <c r="AD1821" s="343"/>
      <c r="AE1821" s="249"/>
      <c r="AF1821" s="330"/>
      <c r="AG1821" s="343"/>
      <c r="AH1821" s="249"/>
      <c r="AI1821" s="330"/>
      <c r="AJ1821" s="343"/>
      <c r="AK1821" s="249"/>
      <c r="AL1821" s="330"/>
      <c r="AM1821" s="343"/>
      <c r="AN1821" s="249"/>
      <c r="AO1821" s="330"/>
      <c r="AP1821" s="343"/>
      <c r="AQ1821" s="249"/>
      <c r="AR1821" s="330"/>
      <c r="AS1821" s="343"/>
      <c r="AT1821" s="249"/>
      <c r="AU1821" s="330"/>
    </row>
    <row r="1822" spans="2:47">
      <c r="B1822" s="247">
        <f>'Table S2 Compound Identifiers'!C1824</f>
        <v>0</v>
      </c>
      <c r="C1822" s="247">
        <f>COUNTIF($D$6:D1822,"&lt;&gt;"&amp;"")</f>
        <v>1817</v>
      </c>
      <c r="D1822" s="247">
        <f>'Table S2 Compound Identifiers'!B1824</f>
        <v>0</v>
      </c>
      <c r="E1822" s="247"/>
      <c r="F1822" s="248"/>
      <c r="G1822" s="249"/>
      <c r="H1822" s="330"/>
      <c r="I1822" s="328"/>
      <c r="J1822" s="249"/>
      <c r="K1822" s="330"/>
      <c r="L1822" s="250"/>
      <c r="M1822" s="249"/>
      <c r="N1822" s="330"/>
      <c r="O1822" s="250"/>
      <c r="P1822" s="249"/>
      <c r="Q1822" s="330"/>
      <c r="R1822" s="250"/>
      <c r="S1822" s="249"/>
      <c r="T1822" s="330"/>
      <c r="U1822" s="250"/>
      <c r="V1822" s="249"/>
      <c r="W1822" s="330"/>
      <c r="X1822" s="343"/>
      <c r="Y1822" s="249"/>
      <c r="Z1822" s="330"/>
      <c r="AA1822" s="343"/>
      <c r="AB1822" s="249"/>
      <c r="AC1822" s="330"/>
      <c r="AD1822" s="343"/>
      <c r="AE1822" s="249"/>
      <c r="AF1822" s="330"/>
      <c r="AG1822" s="343"/>
      <c r="AH1822" s="249"/>
      <c r="AI1822" s="330"/>
      <c r="AJ1822" s="343"/>
      <c r="AK1822" s="249"/>
      <c r="AL1822" s="330"/>
      <c r="AM1822" s="343"/>
      <c r="AN1822" s="249"/>
      <c r="AO1822" s="330"/>
      <c r="AP1822" s="343"/>
      <c r="AQ1822" s="249"/>
      <c r="AR1822" s="330"/>
      <c r="AS1822" s="343"/>
      <c r="AT1822" s="249"/>
      <c r="AU1822" s="330"/>
    </row>
    <row r="1823" spans="2:47">
      <c r="B1823" s="247">
        <f>'Table S2 Compound Identifiers'!C1825</f>
        <v>0</v>
      </c>
      <c r="C1823" s="247">
        <f>COUNTIF($D$6:D1823,"&lt;&gt;"&amp;"")</f>
        <v>1818</v>
      </c>
      <c r="D1823" s="247">
        <f>'Table S2 Compound Identifiers'!B1825</f>
        <v>0</v>
      </c>
      <c r="E1823" s="247"/>
      <c r="F1823" s="248"/>
      <c r="G1823" s="249"/>
      <c r="H1823" s="330"/>
      <c r="I1823" s="328"/>
      <c r="J1823" s="249"/>
      <c r="K1823" s="330"/>
      <c r="L1823" s="250"/>
      <c r="M1823" s="249"/>
      <c r="N1823" s="330"/>
      <c r="O1823" s="250"/>
      <c r="P1823" s="249"/>
      <c r="Q1823" s="330"/>
      <c r="R1823" s="250"/>
      <c r="S1823" s="249"/>
      <c r="T1823" s="330"/>
      <c r="U1823" s="250"/>
      <c r="V1823" s="249"/>
      <c r="W1823" s="330"/>
      <c r="X1823" s="343"/>
      <c r="Y1823" s="249"/>
      <c r="Z1823" s="330"/>
      <c r="AA1823" s="343"/>
      <c r="AB1823" s="249"/>
      <c r="AC1823" s="330"/>
      <c r="AD1823" s="343"/>
      <c r="AE1823" s="249"/>
      <c r="AF1823" s="330"/>
      <c r="AG1823" s="343"/>
      <c r="AH1823" s="249"/>
      <c r="AI1823" s="330"/>
      <c r="AJ1823" s="343"/>
      <c r="AK1823" s="249"/>
      <c r="AL1823" s="330"/>
      <c r="AM1823" s="343"/>
      <c r="AN1823" s="249"/>
      <c r="AO1823" s="330"/>
      <c r="AP1823" s="343"/>
      <c r="AQ1823" s="249"/>
      <c r="AR1823" s="330"/>
      <c r="AS1823" s="343"/>
      <c r="AT1823" s="249"/>
      <c r="AU1823" s="330"/>
    </row>
    <row r="1824" spans="2:47">
      <c r="B1824" s="247">
        <f>'Table S2 Compound Identifiers'!C1826</f>
        <v>0</v>
      </c>
      <c r="C1824" s="247">
        <f>COUNTIF($D$6:D1824,"&lt;&gt;"&amp;"")</f>
        <v>1819</v>
      </c>
      <c r="D1824" s="247">
        <f>'Table S2 Compound Identifiers'!B1826</f>
        <v>0</v>
      </c>
      <c r="E1824" s="247"/>
      <c r="F1824" s="248"/>
      <c r="G1824" s="249"/>
      <c r="H1824" s="330"/>
      <c r="I1824" s="328"/>
      <c r="J1824" s="249"/>
      <c r="K1824" s="330"/>
      <c r="L1824" s="250"/>
      <c r="M1824" s="249"/>
      <c r="N1824" s="330"/>
      <c r="O1824" s="250"/>
      <c r="P1824" s="249"/>
      <c r="Q1824" s="330"/>
      <c r="R1824" s="250"/>
      <c r="S1824" s="249"/>
      <c r="T1824" s="330"/>
      <c r="U1824" s="250"/>
      <c r="V1824" s="249"/>
      <c r="W1824" s="330"/>
      <c r="X1824" s="343"/>
      <c r="Y1824" s="249"/>
      <c r="Z1824" s="330"/>
      <c r="AA1824" s="343"/>
      <c r="AB1824" s="249"/>
      <c r="AC1824" s="330"/>
      <c r="AD1824" s="343"/>
      <c r="AE1824" s="249"/>
      <c r="AF1824" s="330"/>
      <c r="AG1824" s="343"/>
      <c r="AH1824" s="249"/>
      <c r="AI1824" s="330"/>
      <c r="AJ1824" s="343"/>
      <c r="AK1824" s="249"/>
      <c r="AL1824" s="330"/>
      <c r="AM1824" s="343"/>
      <c r="AN1824" s="249"/>
      <c r="AO1824" s="330"/>
      <c r="AP1824" s="343"/>
      <c r="AQ1824" s="249"/>
      <c r="AR1824" s="330"/>
      <c r="AS1824" s="343"/>
      <c r="AT1824" s="249"/>
      <c r="AU1824" s="330"/>
    </row>
    <row r="1825" spans="2:47">
      <c r="B1825" s="247">
        <f>'Table S2 Compound Identifiers'!C1827</f>
        <v>0</v>
      </c>
      <c r="C1825" s="247">
        <f>COUNTIF($D$6:D1825,"&lt;&gt;"&amp;"")</f>
        <v>1820</v>
      </c>
      <c r="D1825" s="247">
        <f>'Table S2 Compound Identifiers'!B1827</f>
        <v>0</v>
      </c>
      <c r="E1825" s="247"/>
      <c r="F1825" s="248"/>
      <c r="G1825" s="249"/>
      <c r="H1825" s="330"/>
      <c r="I1825" s="328"/>
      <c r="J1825" s="249"/>
      <c r="K1825" s="330"/>
      <c r="L1825" s="250"/>
      <c r="M1825" s="249"/>
      <c r="N1825" s="330"/>
      <c r="O1825" s="250"/>
      <c r="P1825" s="249"/>
      <c r="Q1825" s="330"/>
      <c r="R1825" s="250"/>
      <c r="S1825" s="249"/>
      <c r="T1825" s="330"/>
      <c r="U1825" s="250"/>
      <c r="V1825" s="249"/>
      <c r="W1825" s="330"/>
      <c r="X1825" s="343"/>
      <c r="Y1825" s="249"/>
      <c r="Z1825" s="330"/>
      <c r="AA1825" s="343"/>
      <c r="AB1825" s="249"/>
      <c r="AC1825" s="330"/>
      <c r="AD1825" s="343"/>
      <c r="AE1825" s="249"/>
      <c r="AF1825" s="330"/>
      <c r="AG1825" s="343"/>
      <c r="AH1825" s="249"/>
      <c r="AI1825" s="330"/>
      <c r="AJ1825" s="343"/>
      <c r="AK1825" s="249"/>
      <c r="AL1825" s="330"/>
      <c r="AM1825" s="343"/>
      <c r="AN1825" s="249"/>
      <c r="AO1825" s="330"/>
      <c r="AP1825" s="343"/>
      <c r="AQ1825" s="249"/>
      <c r="AR1825" s="330"/>
      <c r="AS1825" s="343"/>
      <c r="AT1825" s="249"/>
      <c r="AU1825" s="330"/>
    </row>
    <row r="1826" spans="2:47">
      <c r="B1826" s="247">
        <f>'Table S2 Compound Identifiers'!C1828</f>
        <v>0</v>
      </c>
      <c r="C1826" s="247">
        <f>COUNTIF($D$6:D1826,"&lt;&gt;"&amp;"")</f>
        <v>1821</v>
      </c>
      <c r="D1826" s="247">
        <f>'Table S2 Compound Identifiers'!B1828</f>
        <v>0</v>
      </c>
      <c r="E1826" s="247"/>
      <c r="F1826" s="248"/>
      <c r="G1826" s="249"/>
      <c r="H1826" s="330"/>
      <c r="I1826" s="328"/>
      <c r="J1826" s="249"/>
      <c r="K1826" s="330"/>
      <c r="L1826" s="250"/>
      <c r="M1826" s="249"/>
      <c r="N1826" s="330"/>
      <c r="O1826" s="250"/>
      <c r="P1826" s="249"/>
      <c r="Q1826" s="330"/>
      <c r="R1826" s="250"/>
      <c r="S1826" s="249"/>
      <c r="T1826" s="330"/>
      <c r="U1826" s="250"/>
      <c r="V1826" s="249"/>
      <c r="W1826" s="330"/>
      <c r="X1826" s="343"/>
      <c r="Y1826" s="249"/>
      <c r="Z1826" s="330"/>
      <c r="AA1826" s="343"/>
      <c r="AB1826" s="249"/>
      <c r="AC1826" s="330"/>
      <c r="AD1826" s="343"/>
      <c r="AE1826" s="249"/>
      <c r="AF1826" s="330"/>
      <c r="AG1826" s="343"/>
      <c r="AH1826" s="249"/>
      <c r="AI1826" s="330"/>
      <c r="AJ1826" s="343"/>
      <c r="AK1826" s="249"/>
      <c r="AL1826" s="330"/>
      <c r="AM1826" s="343"/>
      <c r="AN1826" s="249"/>
      <c r="AO1826" s="330"/>
      <c r="AP1826" s="343"/>
      <c r="AQ1826" s="249"/>
      <c r="AR1826" s="330"/>
      <c r="AS1826" s="343"/>
      <c r="AT1826" s="249"/>
      <c r="AU1826" s="330"/>
    </row>
    <row r="1827" spans="2:47">
      <c r="B1827" s="247">
        <f>'Table S2 Compound Identifiers'!C1829</f>
        <v>0</v>
      </c>
      <c r="C1827" s="247">
        <f>COUNTIF($D$6:D1827,"&lt;&gt;"&amp;"")</f>
        <v>1822</v>
      </c>
      <c r="D1827" s="247">
        <f>'Table S2 Compound Identifiers'!B1829</f>
        <v>0</v>
      </c>
      <c r="E1827" s="247"/>
      <c r="F1827" s="248"/>
      <c r="G1827" s="249"/>
      <c r="H1827" s="330"/>
      <c r="I1827" s="328"/>
      <c r="J1827" s="249"/>
      <c r="K1827" s="330"/>
      <c r="L1827" s="250"/>
      <c r="M1827" s="249"/>
      <c r="N1827" s="330"/>
      <c r="O1827" s="250"/>
      <c r="P1827" s="249"/>
      <c r="Q1827" s="330"/>
      <c r="R1827" s="250"/>
      <c r="S1827" s="249"/>
      <c r="T1827" s="330"/>
      <c r="U1827" s="250"/>
      <c r="V1827" s="249"/>
      <c r="W1827" s="330"/>
      <c r="X1827" s="343"/>
      <c r="Y1827" s="249"/>
      <c r="Z1827" s="330"/>
      <c r="AA1827" s="343"/>
      <c r="AB1827" s="249"/>
      <c r="AC1827" s="330"/>
      <c r="AD1827" s="343"/>
      <c r="AE1827" s="249"/>
      <c r="AF1827" s="330"/>
      <c r="AG1827" s="343"/>
      <c r="AH1827" s="249"/>
      <c r="AI1827" s="330"/>
      <c r="AJ1827" s="343"/>
      <c r="AK1827" s="249"/>
      <c r="AL1827" s="330"/>
      <c r="AM1827" s="343"/>
      <c r="AN1827" s="249"/>
      <c r="AO1827" s="330"/>
      <c r="AP1827" s="343"/>
      <c r="AQ1827" s="249"/>
      <c r="AR1827" s="330"/>
      <c r="AS1827" s="343"/>
      <c r="AT1827" s="249"/>
      <c r="AU1827" s="330"/>
    </row>
    <row r="1828" spans="2:47">
      <c r="B1828" s="247">
        <f>'Table S2 Compound Identifiers'!C1830</f>
        <v>0</v>
      </c>
      <c r="C1828" s="247">
        <f>COUNTIF($D$6:D1828,"&lt;&gt;"&amp;"")</f>
        <v>1823</v>
      </c>
      <c r="D1828" s="247">
        <f>'Table S2 Compound Identifiers'!B1830</f>
        <v>0</v>
      </c>
      <c r="E1828" s="247"/>
      <c r="F1828" s="248"/>
      <c r="G1828" s="249"/>
      <c r="H1828" s="330"/>
      <c r="I1828" s="328"/>
      <c r="J1828" s="249"/>
      <c r="K1828" s="330"/>
      <c r="L1828" s="250"/>
      <c r="M1828" s="249"/>
      <c r="N1828" s="330"/>
      <c r="O1828" s="250"/>
      <c r="P1828" s="249"/>
      <c r="Q1828" s="330"/>
      <c r="R1828" s="250"/>
      <c r="S1828" s="249"/>
      <c r="T1828" s="330"/>
      <c r="U1828" s="250"/>
      <c r="V1828" s="249"/>
      <c r="W1828" s="330"/>
      <c r="X1828" s="343"/>
      <c r="Y1828" s="249"/>
      <c r="Z1828" s="330"/>
      <c r="AA1828" s="343"/>
      <c r="AB1828" s="249"/>
      <c r="AC1828" s="330"/>
      <c r="AD1828" s="343"/>
      <c r="AE1828" s="249"/>
      <c r="AF1828" s="330"/>
      <c r="AG1828" s="343"/>
      <c r="AH1828" s="249"/>
      <c r="AI1828" s="330"/>
      <c r="AJ1828" s="343"/>
      <c r="AK1828" s="249"/>
      <c r="AL1828" s="330"/>
      <c r="AM1828" s="343"/>
      <c r="AN1828" s="249"/>
      <c r="AO1828" s="330"/>
      <c r="AP1828" s="343"/>
      <c r="AQ1828" s="249"/>
      <c r="AR1828" s="330"/>
      <c r="AS1828" s="343"/>
      <c r="AT1828" s="249"/>
      <c r="AU1828" s="330"/>
    </row>
    <row r="1829" spans="2:47">
      <c r="B1829" s="247">
        <f>'Table S2 Compound Identifiers'!C1831</f>
        <v>0</v>
      </c>
      <c r="C1829" s="247">
        <f>COUNTIF($D$6:D1829,"&lt;&gt;"&amp;"")</f>
        <v>1824</v>
      </c>
      <c r="D1829" s="247">
        <f>'Table S2 Compound Identifiers'!B1831</f>
        <v>0</v>
      </c>
      <c r="E1829" s="247"/>
      <c r="F1829" s="248"/>
      <c r="G1829" s="249"/>
      <c r="H1829" s="330"/>
      <c r="I1829" s="328"/>
      <c r="J1829" s="249"/>
      <c r="K1829" s="330"/>
      <c r="L1829" s="250"/>
      <c r="M1829" s="249"/>
      <c r="N1829" s="330"/>
      <c r="O1829" s="250"/>
      <c r="P1829" s="249"/>
      <c r="Q1829" s="330"/>
      <c r="R1829" s="250"/>
      <c r="S1829" s="249"/>
      <c r="T1829" s="330"/>
      <c r="U1829" s="250"/>
      <c r="V1829" s="249"/>
      <c r="W1829" s="330"/>
      <c r="X1829" s="343"/>
      <c r="Y1829" s="249"/>
      <c r="Z1829" s="330"/>
      <c r="AA1829" s="343"/>
      <c r="AB1829" s="249"/>
      <c r="AC1829" s="330"/>
      <c r="AD1829" s="343"/>
      <c r="AE1829" s="249"/>
      <c r="AF1829" s="330"/>
      <c r="AG1829" s="343"/>
      <c r="AH1829" s="249"/>
      <c r="AI1829" s="330"/>
      <c r="AJ1829" s="343"/>
      <c r="AK1829" s="249"/>
      <c r="AL1829" s="330"/>
      <c r="AM1829" s="343"/>
      <c r="AN1829" s="249"/>
      <c r="AO1829" s="330"/>
      <c r="AP1829" s="343"/>
      <c r="AQ1829" s="249"/>
      <c r="AR1829" s="330"/>
      <c r="AS1829" s="343"/>
      <c r="AT1829" s="249"/>
      <c r="AU1829" s="330"/>
    </row>
    <row r="1830" spans="2:47">
      <c r="B1830" s="247">
        <f>'Table S2 Compound Identifiers'!C1832</f>
        <v>0</v>
      </c>
      <c r="C1830" s="247">
        <f>COUNTIF($D$6:D1830,"&lt;&gt;"&amp;"")</f>
        <v>1825</v>
      </c>
      <c r="D1830" s="247">
        <f>'Table S2 Compound Identifiers'!B1832</f>
        <v>0</v>
      </c>
      <c r="E1830" s="247"/>
      <c r="F1830" s="248"/>
      <c r="G1830" s="249"/>
      <c r="H1830" s="330"/>
      <c r="I1830" s="328"/>
      <c r="J1830" s="249"/>
      <c r="K1830" s="330"/>
      <c r="L1830" s="250"/>
      <c r="M1830" s="249"/>
      <c r="N1830" s="330"/>
      <c r="O1830" s="250"/>
      <c r="P1830" s="249"/>
      <c r="Q1830" s="330"/>
      <c r="R1830" s="250"/>
      <c r="S1830" s="249"/>
      <c r="T1830" s="330"/>
      <c r="U1830" s="250"/>
      <c r="V1830" s="249"/>
      <c r="W1830" s="330"/>
      <c r="X1830" s="343"/>
      <c r="Y1830" s="249"/>
      <c r="Z1830" s="330"/>
      <c r="AA1830" s="343"/>
      <c r="AB1830" s="249"/>
      <c r="AC1830" s="330"/>
      <c r="AD1830" s="343"/>
      <c r="AE1830" s="249"/>
      <c r="AF1830" s="330"/>
      <c r="AG1830" s="343"/>
      <c r="AH1830" s="249"/>
      <c r="AI1830" s="330"/>
      <c r="AJ1830" s="343"/>
      <c r="AK1830" s="249"/>
      <c r="AL1830" s="330"/>
      <c r="AM1830" s="343"/>
      <c r="AN1830" s="249"/>
      <c r="AO1830" s="330"/>
      <c r="AP1830" s="343"/>
      <c r="AQ1830" s="249"/>
      <c r="AR1830" s="330"/>
      <c r="AS1830" s="343"/>
      <c r="AT1830" s="249"/>
      <c r="AU1830" s="330"/>
    </row>
    <row r="1831" spans="2:47">
      <c r="B1831" s="247">
        <f>'Table S2 Compound Identifiers'!C1833</f>
        <v>0</v>
      </c>
      <c r="C1831" s="247">
        <f>COUNTIF($D$6:D1831,"&lt;&gt;"&amp;"")</f>
        <v>1826</v>
      </c>
      <c r="D1831" s="247">
        <f>'Table S2 Compound Identifiers'!B1833</f>
        <v>0</v>
      </c>
      <c r="E1831" s="247"/>
      <c r="F1831" s="248"/>
      <c r="G1831" s="249"/>
      <c r="H1831" s="330"/>
      <c r="I1831" s="328"/>
      <c r="J1831" s="249"/>
      <c r="K1831" s="330"/>
      <c r="L1831" s="250"/>
      <c r="M1831" s="249"/>
      <c r="N1831" s="330"/>
      <c r="O1831" s="250"/>
      <c r="P1831" s="249"/>
      <c r="Q1831" s="330"/>
      <c r="R1831" s="250"/>
      <c r="S1831" s="249"/>
      <c r="T1831" s="330"/>
      <c r="U1831" s="250"/>
      <c r="V1831" s="249"/>
      <c r="W1831" s="330"/>
      <c r="X1831" s="343"/>
      <c r="Y1831" s="249"/>
      <c r="Z1831" s="330"/>
      <c r="AA1831" s="343"/>
      <c r="AB1831" s="249"/>
      <c r="AC1831" s="330"/>
      <c r="AD1831" s="343"/>
      <c r="AE1831" s="249"/>
      <c r="AF1831" s="330"/>
      <c r="AG1831" s="343"/>
      <c r="AH1831" s="249"/>
      <c r="AI1831" s="330"/>
      <c r="AJ1831" s="343"/>
      <c r="AK1831" s="249"/>
      <c r="AL1831" s="330"/>
      <c r="AM1831" s="343"/>
      <c r="AN1831" s="249"/>
      <c r="AO1831" s="330"/>
      <c r="AP1831" s="343"/>
      <c r="AQ1831" s="249"/>
      <c r="AR1831" s="330"/>
      <c r="AS1831" s="343"/>
      <c r="AT1831" s="249"/>
      <c r="AU1831" s="330"/>
    </row>
    <row r="1832" spans="2:47">
      <c r="B1832" s="247">
        <f>'Table S2 Compound Identifiers'!C1834</f>
        <v>0</v>
      </c>
      <c r="C1832" s="247">
        <f>COUNTIF($D$6:D1832,"&lt;&gt;"&amp;"")</f>
        <v>1827</v>
      </c>
      <c r="D1832" s="247">
        <f>'Table S2 Compound Identifiers'!B1834</f>
        <v>0</v>
      </c>
      <c r="E1832" s="247"/>
      <c r="F1832" s="248"/>
      <c r="G1832" s="249"/>
      <c r="H1832" s="330"/>
      <c r="I1832" s="328"/>
      <c r="J1832" s="249"/>
      <c r="K1832" s="330"/>
      <c r="L1832" s="250"/>
      <c r="M1832" s="249"/>
      <c r="N1832" s="330"/>
      <c r="O1832" s="250"/>
      <c r="P1832" s="249"/>
      <c r="Q1832" s="330"/>
      <c r="R1832" s="250"/>
      <c r="S1832" s="249"/>
      <c r="T1832" s="330"/>
      <c r="U1832" s="250"/>
      <c r="V1832" s="249"/>
      <c r="W1832" s="330"/>
      <c r="X1832" s="343"/>
      <c r="Y1832" s="249"/>
      <c r="Z1832" s="330"/>
      <c r="AA1832" s="343"/>
      <c r="AB1832" s="249"/>
      <c r="AC1832" s="330"/>
      <c r="AD1832" s="343"/>
      <c r="AE1832" s="249"/>
      <c r="AF1832" s="330"/>
      <c r="AG1832" s="343"/>
      <c r="AH1832" s="249"/>
      <c r="AI1832" s="330"/>
      <c r="AJ1832" s="343"/>
      <c r="AK1832" s="249"/>
      <c r="AL1832" s="330"/>
      <c r="AM1832" s="343"/>
      <c r="AN1832" s="249"/>
      <c r="AO1832" s="330"/>
      <c r="AP1832" s="343"/>
      <c r="AQ1832" s="249"/>
      <c r="AR1832" s="330"/>
      <c r="AS1832" s="343"/>
      <c r="AT1832" s="249"/>
      <c r="AU1832" s="330"/>
    </row>
    <row r="1833" spans="2:47">
      <c r="B1833" s="247">
        <f>'Table S2 Compound Identifiers'!C1835</f>
        <v>0</v>
      </c>
      <c r="C1833" s="247">
        <f>COUNTIF($D$6:D1833,"&lt;&gt;"&amp;"")</f>
        <v>1828</v>
      </c>
      <c r="D1833" s="247">
        <f>'Table S2 Compound Identifiers'!B1835</f>
        <v>0</v>
      </c>
      <c r="E1833" s="247"/>
      <c r="F1833" s="248"/>
      <c r="G1833" s="249"/>
      <c r="H1833" s="330"/>
      <c r="I1833" s="328"/>
      <c r="J1833" s="249"/>
      <c r="K1833" s="330"/>
      <c r="L1833" s="250"/>
      <c r="M1833" s="249"/>
      <c r="N1833" s="330"/>
      <c r="O1833" s="250"/>
      <c r="P1833" s="249"/>
      <c r="Q1833" s="330"/>
      <c r="R1833" s="250"/>
      <c r="S1833" s="249"/>
      <c r="T1833" s="330"/>
      <c r="U1833" s="250"/>
      <c r="V1833" s="249"/>
      <c r="W1833" s="330"/>
      <c r="X1833" s="343"/>
      <c r="Y1833" s="249"/>
      <c r="Z1833" s="330"/>
      <c r="AA1833" s="343"/>
      <c r="AB1833" s="249"/>
      <c r="AC1833" s="330"/>
      <c r="AD1833" s="343"/>
      <c r="AE1833" s="249"/>
      <c r="AF1833" s="330"/>
      <c r="AG1833" s="343"/>
      <c r="AH1833" s="249"/>
      <c r="AI1833" s="330"/>
      <c r="AJ1833" s="343"/>
      <c r="AK1833" s="249"/>
      <c r="AL1833" s="330"/>
      <c r="AM1833" s="343"/>
      <c r="AN1833" s="249"/>
      <c r="AO1833" s="330"/>
      <c r="AP1833" s="343"/>
      <c r="AQ1833" s="249"/>
      <c r="AR1833" s="330"/>
      <c r="AS1833" s="343"/>
      <c r="AT1833" s="249"/>
      <c r="AU1833" s="330"/>
    </row>
    <row r="1834" spans="2:47">
      <c r="B1834" s="247">
        <f>'Table S2 Compound Identifiers'!C1836</f>
        <v>0</v>
      </c>
      <c r="C1834" s="247">
        <f>COUNTIF($D$6:D1834,"&lt;&gt;"&amp;"")</f>
        <v>1829</v>
      </c>
      <c r="D1834" s="247">
        <f>'Table S2 Compound Identifiers'!B1836</f>
        <v>0</v>
      </c>
      <c r="E1834" s="247"/>
      <c r="F1834" s="248"/>
      <c r="G1834" s="249"/>
      <c r="H1834" s="330"/>
      <c r="I1834" s="328"/>
      <c r="J1834" s="249"/>
      <c r="K1834" s="330"/>
      <c r="L1834" s="250"/>
      <c r="M1834" s="249"/>
      <c r="N1834" s="330"/>
      <c r="O1834" s="250"/>
      <c r="P1834" s="249"/>
      <c r="Q1834" s="330"/>
      <c r="R1834" s="250"/>
      <c r="S1834" s="249"/>
      <c r="T1834" s="330"/>
      <c r="U1834" s="250"/>
      <c r="V1834" s="249"/>
      <c r="W1834" s="330"/>
      <c r="X1834" s="343"/>
      <c r="Y1834" s="249"/>
      <c r="Z1834" s="330"/>
      <c r="AA1834" s="343"/>
      <c r="AB1834" s="249"/>
      <c r="AC1834" s="330"/>
      <c r="AD1834" s="343"/>
      <c r="AE1834" s="249"/>
      <c r="AF1834" s="330"/>
      <c r="AG1834" s="343"/>
      <c r="AH1834" s="249"/>
      <c r="AI1834" s="330"/>
      <c r="AJ1834" s="343"/>
      <c r="AK1834" s="249"/>
      <c r="AL1834" s="330"/>
      <c r="AM1834" s="343"/>
      <c r="AN1834" s="249"/>
      <c r="AO1834" s="330"/>
      <c r="AP1834" s="343"/>
      <c r="AQ1834" s="249"/>
      <c r="AR1834" s="330"/>
      <c r="AS1834" s="343"/>
      <c r="AT1834" s="249"/>
      <c r="AU1834" s="330"/>
    </row>
    <row r="1835" spans="2:47">
      <c r="B1835" s="247">
        <f>'Table S2 Compound Identifiers'!C1837</f>
        <v>0</v>
      </c>
      <c r="C1835" s="247">
        <f>COUNTIF($D$6:D1835,"&lt;&gt;"&amp;"")</f>
        <v>1830</v>
      </c>
      <c r="D1835" s="247">
        <f>'Table S2 Compound Identifiers'!B1837</f>
        <v>0</v>
      </c>
      <c r="E1835" s="247"/>
      <c r="F1835" s="248"/>
      <c r="G1835" s="249"/>
      <c r="H1835" s="330"/>
      <c r="I1835" s="328"/>
      <c r="J1835" s="249"/>
      <c r="K1835" s="330"/>
      <c r="L1835" s="250"/>
      <c r="M1835" s="249"/>
      <c r="N1835" s="330"/>
      <c r="O1835" s="250"/>
      <c r="P1835" s="249"/>
      <c r="Q1835" s="330"/>
      <c r="R1835" s="250"/>
      <c r="S1835" s="249"/>
      <c r="T1835" s="330"/>
      <c r="U1835" s="250"/>
      <c r="V1835" s="249"/>
      <c r="W1835" s="330"/>
      <c r="X1835" s="343"/>
      <c r="Y1835" s="249"/>
      <c r="Z1835" s="330"/>
      <c r="AA1835" s="343"/>
      <c r="AB1835" s="249"/>
      <c r="AC1835" s="330"/>
      <c r="AD1835" s="343"/>
      <c r="AE1835" s="249"/>
      <c r="AF1835" s="330"/>
      <c r="AG1835" s="343"/>
      <c r="AH1835" s="249"/>
      <c r="AI1835" s="330"/>
      <c r="AJ1835" s="343"/>
      <c r="AK1835" s="249"/>
      <c r="AL1835" s="330"/>
      <c r="AM1835" s="343"/>
      <c r="AN1835" s="249"/>
      <c r="AO1835" s="330"/>
      <c r="AP1835" s="343"/>
      <c r="AQ1835" s="249"/>
      <c r="AR1835" s="330"/>
      <c r="AS1835" s="343"/>
      <c r="AT1835" s="249"/>
      <c r="AU1835" s="330"/>
    </row>
    <row r="1836" spans="2:47">
      <c r="B1836" s="247">
        <f>'Table S2 Compound Identifiers'!C1838</f>
        <v>0</v>
      </c>
      <c r="C1836" s="247">
        <f>COUNTIF($D$6:D1836,"&lt;&gt;"&amp;"")</f>
        <v>1831</v>
      </c>
      <c r="D1836" s="247">
        <f>'Table S2 Compound Identifiers'!B1838</f>
        <v>0</v>
      </c>
      <c r="E1836" s="247"/>
      <c r="F1836" s="248"/>
      <c r="G1836" s="249"/>
      <c r="H1836" s="330"/>
      <c r="I1836" s="328"/>
      <c r="J1836" s="249"/>
      <c r="K1836" s="330"/>
      <c r="L1836" s="250"/>
      <c r="M1836" s="249"/>
      <c r="N1836" s="330"/>
      <c r="O1836" s="250"/>
      <c r="P1836" s="249"/>
      <c r="Q1836" s="330"/>
      <c r="R1836" s="250"/>
      <c r="S1836" s="249"/>
      <c r="T1836" s="330"/>
      <c r="U1836" s="250"/>
      <c r="V1836" s="249"/>
      <c r="W1836" s="330"/>
      <c r="X1836" s="343"/>
      <c r="Y1836" s="249"/>
      <c r="Z1836" s="330"/>
      <c r="AA1836" s="343"/>
      <c r="AB1836" s="249"/>
      <c r="AC1836" s="330"/>
      <c r="AD1836" s="343"/>
      <c r="AE1836" s="249"/>
      <c r="AF1836" s="330"/>
      <c r="AG1836" s="343"/>
      <c r="AH1836" s="249"/>
      <c r="AI1836" s="330"/>
      <c r="AJ1836" s="343"/>
      <c r="AK1836" s="249"/>
      <c r="AL1836" s="330"/>
      <c r="AM1836" s="343"/>
      <c r="AN1836" s="249"/>
      <c r="AO1836" s="330"/>
      <c r="AP1836" s="343"/>
      <c r="AQ1836" s="249"/>
      <c r="AR1836" s="330"/>
      <c r="AS1836" s="343"/>
      <c r="AT1836" s="249"/>
      <c r="AU1836" s="330"/>
    </row>
    <row r="1837" spans="2:47">
      <c r="B1837" s="247">
        <f>'Table S2 Compound Identifiers'!C1839</f>
        <v>0</v>
      </c>
      <c r="C1837" s="247">
        <f>COUNTIF($D$6:D1837,"&lt;&gt;"&amp;"")</f>
        <v>1832</v>
      </c>
      <c r="D1837" s="247">
        <f>'Table S2 Compound Identifiers'!B1839</f>
        <v>0</v>
      </c>
      <c r="E1837" s="247"/>
      <c r="F1837" s="248"/>
      <c r="G1837" s="249"/>
      <c r="H1837" s="330"/>
      <c r="I1837" s="328"/>
      <c r="J1837" s="249"/>
      <c r="K1837" s="330"/>
      <c r="L1837" s="250"/>
      <c r="M1837" s="249"/>
      <c r="N1837" s="330"/>
      <c r="O1837" s="250"/>
      <c r="P1837" s="249"/>
      <c r="Q1837" s="330"/>
      <c r="R1837" s="250"/>
      <c r="S1837" s="249"/>
      <c r="T1837" s="330"/>
      <c r="U1837" s="250"/>
      <c r="V1837" s="249"/>
      <c r="W1837" s="330"/>
      <c r="X1837" s="343"/>
      <c r="Y1837" s="249"/>
      <c r="Z1837" s="330"/>
      <c r="AA1837" s="343"/>
      <c r="AB1837" s="249"/>
      <c r="AC1837" s="330"/>
      <c r="AD1837" s="343"/>
      <c r="AE1837" s="249"/>
      <c r="AF1837" s="330"/>
      <c r="AG1837" s="343"/>
      <c r="AH1837" s="249"/>
      <c r="AI1837" s="330"/>
      <c r="AJ1837" s="343"/>
      <c r="AK1837" s="249"/>
      <c r="AL1837" s="330"/>
      <c r="AM1837" s="343"/>
      <c r="AN1837" s="249"/>
      <c r="AO1837" s="330"/>
      <c r="AP1837" s="343"/>
      <c r="AQ1837" s="249"/>
      <c r="AR1837" s="330"/>
      <c r="AS1837" s="343"/>
      <c r="AT1837" s="249"/>
      <c r="AU1837" s="330"/>
    </row>
    <row r="1838" spans="2:47">
      <c r="B1838" s="247">
        <f>'Table S2 Compound Identifiers'!C1840</f>
        <v>0</v>
      </c>
      <c r="C1838" s="247">
        <f>COUNTIF($D$6:D1838,"&lt;&gt;"&amp;"")</f>
        <v>1833</v>
      </c>
      <c r="D1838" s="432">
        <f>'Table S2 Compound Identifiers'!B1840</f>
        <v>0</v>
      </c>
      <c r="E1838" s="247"/>
      <c r="F1838" s="248"/>
      <c r="G1838" s="249"/>
      <c r="H1838" s="330"/>
      <c r="I1838" s="328"/>
      <c r="J1838" s="249"/>
      <c r="K1838" s="330"/>
      <c r="L1838" s="250"/>
      <c r="M1838" s="249"/>
      <c r="N1838" s="330"/>
      <c r="O1838" s="250"/>
      <c r="P1838" s="249"/>
      <c r="Q1838" s="330"/>
      <c r="R1838" s="250"/>
      <c r="S1838" s="249"/>
      <c r="T1838" s="330"/>
      <c r="U1838" s="250"/>
      <c r="V1838" s="249"/>
      <c r="W1838" s="330"/>
      <c r="X1838" s="343"/>
      <c r="Y1838" s="249"/>
      <c r="Z1838" s="330"/>
      <c r="AA1838" s="343"/>
      <c r="AB1838" s="249"/>
      <c r="AC1838" s="330"/>
      <c r="AD1838" s="343"/>
      <c r="AE1838" s="249"/>
      <c r="AF1838" s="330"/>
      <c r="AG1838" s="343"/>
      <c r="AH1838" s="249"/>
      <c r="AI1838" s="330"/>
      <c r="AJ1838" s="343"/>
      <c r="AK1838" s="249"/>
      <c r="AL1838" s="330"/>
      <c r="AM1838" s="343"/>
      <c r="AN1838" s="249"/>
      <c r="AO1838" s="330"/>
      <c r="AP1838" s="343"/>
      <c r="AQ1838" s="249"/>
      <c r="AR1838" s="330"/>
      <c r="AS1838" s="343"/>
      <c r="AT1838" s="249"/>
      <c r="AU1838" s="330"/>
    </row>
    <row r="1839" spans="2:47">
      <c r="B1839" s="247">
        <f>'Table S2 Compound Identifiers'!C1841</f>
        <v>0</v>
      </c>
      <c r="C1839" s="247">
        <f>COUNTIF($D$6:D1839,"&lt;&gt;"&amp;"")</f>
        <v>1834</v>
      </c>
      <c r="D1839" s="432">
        <f>'Table S2 Compound Identifiers'!B1841</f>
        <v>0</v>
      </c>
      <c r="E1839" s="247"/>
      <c r="F1839" s="248"/>
      <c r="G1839" s="249"/>
      <c r="H1839" s="330"/>
      <c r="I1839" s="328"/>
      <c r="J1839" s="249"/>
      <c r="K1839" s="330"/>
      <c r="L1839" s="250"/>
      <c r="M1839" s="249"/>
      <c r="N1839" s="330"/>
      <c r="O1839" s="250"/>
      <c r="P1839" s="249"/>
      <c r="Q1839" s="330"/>
      <c r="R1839" s="250"/>
      <c r="S1839" s="249"/>
      <c r="T1839" s="330"/>
      <c r="U1839" s="250"/>
      <c r="V1839" s="249"/>
      <c r="W1839" s="330"/>
      <c r="X1839" s="343"/>
      <c r="Y1839" s="249"/>
      <c r="Z1839" s="330"/>
      <c r="AA1839" s="343"/>
      <c r="AB1839" s="249"/>
      <c r="AC1839" s="330"/>
      <c r="AD1839" s="343"/>
      <c r="AE1839" s="249"/>
      <c r="AF1839" s="330"/>
      <c r="AG1839" s="343"/>
      <c r="AH1839" s="249"/>
      <c r="AI1839" s="330"/>
      <c r="AJ1839" s="343"/>
      <c r="AK1839" s="249"/>
      <c r="AL1839" s="330"/>
      <c r="AM1839" s="343"/>
      <c r="AN1839" s="249"/>
      <c r="AO1839" s="330"/>
      <c r="AP1839" s="343"/>
      <c r="AQ1839" s="249"/>
      <c r="AR1839" s="330"/>
      <c r="AS1839" s="343"/>
      <c r="AT1839" s="249"/>
      <c r="AU1839" s="330"/>
    </row>
    <row r="1840" spans="2:47">
      <c r="B1840" s="247">
        <f>'Table S2 Compound Identifiers'!C1842</f>
        <v>0</v>
      </c>
      <c r="C1840" s="247">
        <f>COUNTIF($D$6:D1840,"&lt;&gt;"&amp;"")</f>
        <v>1835</v>
      </c>
      <c r="D1840" s="432">
        <f>'Table S2 Compound Identifiers'!B1842</f>
        <v>0</v>
      </c>
      <c r="E1840" s="247"/>
      <c r="F1840" s="248"/>
      <c r="G1840" s="249"/>
      <c r="H1840" s="330"/>
      <c r="I1840" s="328"/>
      <c r="J1840" s="249"/>
      <c r="K1840" s="330"/>
      <c r="L1840" s="250"/>
      <c r="M1840" s="249"/>
      <c r="N1840" s="330"/>
      <c r="O1840" s="250"/>
      <c r="P1840" s="249"/>
      <c r="Q1840" s="330"/>
      <c r="R1840" s="250"/>
      <c r="S1840" s="249"/>
      <c r="T1840" s="330"/>
      <c r="U1840" s="250"/>
      <c r="V1840" s="249"/>
      <c r="W1840" s="330"/>
      <c r="X1840" s="343"/>
      <c r="Y1840" s="249"/>
      <c r="Z1840" s="330"/>
      <c r="AA1840" s="343"/>
      <c r="AB1840" s="249"/>
      <c r="AC1840" s="330"/>
      <c r="AD1840" s="343"/>
      <c r="AE1840" s="249"/>
      <c r="AF1840" s="330"/>
      <c r="AG1840" s="343"/>
      <c r="AH1840" s="249"/>
      <c r="AI1840" s="330"/>
      <c r="AJ1840" s="343"/>
      <c r="AK1840" s="249"/>
      <c r="AL1840" s="330"/>
      <c r="AM1840" s="343"/>
      <c r="AN1840" s="249"/>
      <c r="AO1840" s="330"/>
      <c r="AP1840" s="343"/>
      <c r="AQ1840" s="249"/>
      <c r="AR1840" s="330"/>
      <c r="AS1840" s="343"/>
      <c r="AT1840" s="249"/>
      <c r="AU1840" s="330"/>
    </row>
    <row r="1841" spans="2:47">
      <c r="B1841" s="247">
        <f>'Table S2 Compound Identifiers'!C1843</f>
        <v>0</v>
      </c>
      <c r="C1841" s="247">
        <f>COUNTIF($D$6:D1841,"&lt;&gt;"&amp;"")</f>
        <v>1836</v>
      </c>
      <c r="D1841" s="432">
        <f>'Table S2 Compound Identifiers'!B1843</f>
        <v>0</v>
      </c>
      <c r="E1841" s="247"/>
      <c r="F1841" s="248"/>
      <c r="G1841" s="249"/>
      <c r="H1841" s="330"/>
      <c r="I1841" s="328"/>
      <c r="J1841" s="249"/>
      <c r="K1841" s="330"/>
      <c r="L1841" s="250"/>
      <c r="M1841" s="249"/>
      <c r="N1841" s="330"/>
      <c r="O1841" s="250"/>
      <c r="P1841" s="249"/>
      <c r="Q1841" s="330"/>
      <c r="R1841" s="250"/>
      <c r="S1841" s="249"/>
      <c r="T1841" s="330"/>
      <c r="U1841" s="250"/>
      <c r="V1841" s="249"/>
      <c r="W1841" s="330"/>
      <c r="X1841" s="343"/>
      <c r="Y1841" s="249"/>
      <c r="Z1841" s="330"/>
      <c r="AA1841" s="343"/>
      <c r="AB1841" s="249"/>
      <c r="AC1841" s="330"/>
      <c r="AD1841" s="343"/>
      <c r="AE1841" s="249"/>
      <c r="AF1841" s="330"/>
      <c r="AG1841" s="343"/>
      <c r="AH1841" s="249"/>
      <c r="AI1841" s="330"/>
      <c r="AJ1841" s="343"/>
      <c r="AK1841" s="249"/>
      <c r="AL1841" s="330"/>
      <c r="AM1841" s="343"/>
      <c r="AN1841" s="249"/>
      <c r="AO1841" s="330"/>
      <c r="AP1841" s="343"/>
      <c r="AQ1841" s="249"/>
      <c r="AR1841" s="330"/>
      <c r="AS1841" s="343"/>
      <c r="AT1841" s="249"/>
      <c r="AU1841" s="330"/>
    </row>
    <row r="1842" spans="2:47">
      <c r="B1842" s="247">
        <f>'Table S2 Compound Identifiers'!C1844</f>
        <v>0</v>
      </c>
      <c r="C1842" s="247">
        <f>COUNTIF($D$6:D1842,"&lt;&gt;"&amp;"")</f>
        <v>1837</v>
      </c>
      <c r="D1842" s="432">
        <f>'Table S2 Compound Identifiers'!B1844</f>
        <v>0</v>
      </c>
      <c r="E1842" s="247"/>
      <c r="F1842" s="248"/>
      <c r="G1842" s="249"/>
      <c r="H1842" s="330"/>
      <c r="I1842" s="328"/>
      <c r="J1842" s="249"/>
      <c r="K1842" s="330"/>
      <c r="L1842" s="250"/>
      <c r="M1842" s="249"/>
      <c r="N1842" s="330"/>
      <c r="O1842" s="250"/>
      <c r="P1842" s="249"/>
      <c r="Q1842" s="330"/>
      <c r="R1842" s="250"/>
      <c r="S1842" s="249"/>
      <c r="T1842" s="330"/>
      <c r="U1842" s="250"/>
      <c r="V1842" s="249"/>
      <c r="W1842" s="330"/>
      <c r="X1842" s="343"/>
      <c r="Y1842" s="249"/>
      <c r="Z1842" s="330"/>
      <c r="AA1842" s="343"/>
      <c r="AB1842" s="249"/>
      <c r="AC1842" s="330"/>
      <c r="AD1842" s="343"/>
      <c r="AE1842" s="249"/>
      <c r="AF1842" s="330"/>
      <c r="AG1842" s="343"/>
      <c r="AH1842" s="249"/>
      <c r="AI1842" s="330"/>
      <c r="AJ1842" s="343"/>
      <c r="AK1842" s="249"/>
      <c r="AL1842" s="330"/>
      <c r="AM1842" s="343"/>
      <c r="AN1842" s="249"/>
      <c r="AO1842" s="330"/>
      <c r="AP1842" s="343"/>
      <c r="AQ1842" s="249"/>
      <c r="AR1842" s="330"/>
      <c r="AS1842" s="343"/>
      <c r="AT1842" s="249"/>
      <c r="AU1842" s="330"/>
    </row>
    <row r="1843" spans="2:47">
      <c r="B1843" s="247">
        <f>'Table S2 Compound Identifiers'!C1845</f>
        <v>0</v>
      </c>
      <c r="C1843" s="247">
        <f>COUNTIF($D$6:D1843,"&lt;&gt;"&amp;"")</f>
        <v>1838</v>
      </c>
      <c r="D1843" s="432">
        <f>'Table S2 Compound Identifiers'!B1845</f>
        <v>0</v>
      </c>
      <c r="E1843" s="247"/>
      <c r="F1843" s="248"/>
      <c r="G1843" s="249"/>
      <c r="H1843" s="330"/>
      <c r="I1843" s="328"/>
      <c r="J1843" s="249"/>
      <c r="K1843" s="330"/>
      <c r="L1843" s="250"/>
      <c r="M1843" s="249"/>
      <c r="N1843" s="330"/>
      <c r="O1843" s="250"/>
      <c r="P1843" s="249"/>
      <c r="Q1843" s="330"/>
      <c r="R1843" s="250"/>
      <c r="S1843" s="249"/>
      <c r="T1843" s="330"/>
      <c r="U1843" s="250"/>
      <c r="V1843" s="249"/>
      <c r="W1843" s="330"/>
      <c r="X1843" s="343"/>
      <c r="Y1843" s="249"/>
      <c r="Z1843" s="330"/>
      <c r="AA1843" s="343"/>
      <c r="AB1843" s="249"/>
      <c r="AC1843" s="330"/>
      <c r="AD1843" s="343"/>
      <c r="AE1843" s="249"/>
      <c r="AF1843" s="330"/>
      <c r="AG1843" s="343"/>
      <c r="AH1843" s="249"/>
      <c r="AI1843" s="330"/>
      <c r="AJ1843" s="343"/>
      <c r="AK1843" s="249"/>
      <c r="AL1843" s="330"/>
      <c r="AM1843" s="343"/>
      <c r="AN1843" s="249"/>
      <c r="AO1843" s="330"/>
      <c r="AP1843" s="343"/>
      <c r="AQ1843" s="249"/>
      <c r="AR1843" s="330"/>
      <c r="AS1843" s="343"/>
      <c r="AT1843" s="249"/>
      <c r="AU1843" s="330"/>
    </row>
    <row r="1844" spans="2:47">
      <c r="B1844" s="247">
        <f>'Table S2 Compound Identifiers'!C1846</f>
        <v>0</v>
      </c>
      <c r="C1844" s="247">
        <f>COUNTIF($D$6:D1844,"&lt;&gt;"&amp;"")</f>
        <v>1839</v>
      </c>
      <c r="D1844" s="432">
        <f>'Table S2 Compound Identifiers'!B1846</f>
        <v>0</v>
      </c>
      <c r="E1844" s="247"/>
      <c r="F1844" s="248"/>
      <c r="G1844" s="249"/>
      <c r="H1844" s="330"/>
      <c r="I1844" s="328"/>
      <c r="J1844" s="249"/>
      <c r="K1844" s="330"/>
      <c r="L1844" s="250"/>
      <c r="M1844" s="249"/>
      <c r="N1844" s="330"/>
      <c r="O1844" s="250"/>
      <c r="P1844" s="249"/>
      <c r="Q1844" s="330"/>
      <c r="R1844" s="250"/>
      <c r="S1844" s="249"/>
      <c r="T1844" s="330"/>
      <c r="U1844" s="250"/>
      <c r="V1844" s="249"/>
      <c r="W1844" s="330"/>
      <c r="X1844" s="343"/>
      <c r="Y1844" s="249"/>
      <c r="Z1844" s="330"/>
      <c r="AA1844" s="343"/>
      <c r="AB1844" s="249"/>
      <c r="AC1844" s="330"/>
      <c r="AD1844" s="343"/>
      <c r="AE1844" s="249"/>
      <c r="AF1844" s="330"/>
      <c r="AG1844" s="343"/>
      <c r="AH1844" s="249"/>
      <c r="AI1844" s="330"/>
      <c r="AJ1844" s="343"/>
      <c r="AK1844" s="249"/>
      <c r="AL1844" s="330"/>
      <c r="AM1844" s="343"/>
      <c r="AN1844" s="249"/>
      <c r="AO1844" s="330"/>
      <c r="AP1844" s="343"/>
      <c r="AQ1844" s="249"/>
      <c r="AR1844" s="330"/>
      <c r="AS1844" s="343"/>
      <c r="AT1844" s="249"/>
      <c r="AU1844" s="330"/>
    </row>
    <row r="1845" spans="2:47">
      <c r="B1845" s="247">
        <f>'Table S2 Compound Identifiers'!C1847</f>
        <v>0</v>
      </c>
      <c r="C1845" s="247">
        <f>COUNTIF($D$6:D1845,"&lt;&gt;"&amp;"")</f>
        <v>1840</v>
      </c>
      <c r="D1845" s="432">
        <f>'Table S2 Compound Identifiers'!B1847</f>
        <v>0</v>
      </c>
      <c r="E1845" s="247"/>
      <c r="F1845" s="248"/>
      <c r="G1845" s="249"/>
      <c r="H1845" s="330"/>
      <c r="I1845" s="328"/>
      <c r="J1845" s="249"/>
      <c r="K1845" s="330"/>
      <c r="L1845" s="250"/>
      <c r="M1845" s="249"/>
      <c r="N1845" s="330"/>
      <c r="O1845" s="250"/>
      <c r="P1845" s="249"/>
      <c r="Q1845" s="330"/>
      <c r="R1845" s="250"/>
      <c r="S1845" s="249"/>
      <c r="T1845" s="330"/>
      <c r="U1845" s="250"/>
      <c r="V1845" s="249"/>
      <c r="W1845" s="330"/>
      <c r="X1845" s="343"/>
      <c r="Y1845" s="249"/>
      <c r="Z1845" s="330"/>
      <c r="AA1845" s="343"/>
      <c r="AB1845" s="249"/>
      <c r="AC1845" s="330"/>
      <c r="AD1845" s="343"/>
      <c r="AE1845" s="249"/>
      <c r="AF1845" s="330"/>
      <c r="AG1845" s="343"/>
      <c r="AH1845" s="249"/>
      <c r="AI1845" s="330"/>
      <c r="AJ1845" s="343"/>
      <c r="AK1845" s="249"/>
      <c r="AL1845" s="330"/>
      <c r="AM1845" s="343"/>
      <c r="AN1845" s="249"/>
      <c r="AO1845" s="330"/>
      <c r="AP1845" s="343"/>
      <c r="AQ1845" s="249"/>
      <c r="AR1845" s="330"/>
      <c r="AS1845" s="343"/>
      <c r="AT1845" s="249"/>
      <c r="AU1845" s="330"/>
    </row>
    <row r="1846" spans="2:47">
      <c r="B1846" s="247">
        <f>'Table S2 Compound Identifiers'!C1848</f>
        <v>0</v>
      </c>
      <c r="C1846" s="247">
        <f>COUNTIF($D$6:D1846,"&lt;&gt;"&amp;"")</f>
        <v>1841</v>
      </c>
      <c r="D1846" s="432">
        <f>'Table S2 Compound Identifiers'!B1848</f>
        <v>0</v>
      </c>
      <c r="E1846" s="247"/>
      <c r="F1846" s="248"/>
      <c r="G1846" s="249"/>
      <c r="H1846" s="330"/>
      <c r="I1846" s="328"/>
      <c r="J1846" s="249"/>
      <c r="K1846" s="330"/>
      <c r="L1846" s="250"/>
      <c r="M1846" s="249"/>
      <c r="N1846" s="330"/>
      <c r="O1846" s="250"/>
      <c r="P1846" s="249"/>
      <c r="Q1846" s="330"/>
      <c r="R1846" s="250"/>
      <c r="S1846" s="249"/>
      <c r="T1846" s="330"/>
      <c r="U1846" s="250"/>
      <c r="V1846" s="249"/>
      <c r="W1846" s="330"/>
      <c r="X1846" s="343"/>
      <c r="Y1846" s="249"/>
      <c r="Z1846" s="330"/>
      <c r="AA1846" s="343"/>
      <c r="AB1846" s="249"/>
      <c r="AC1846" s="330"/>
      <c r="AD1846" s="343"/>
      <c r="AE1846" s="249"/>
      <c r="AF1846" s="330"/>
      <c r="AG1846" s="343"/>
      <c r="AH1846" s="249"/>
      <c r="AI1846" s="330"/>
      <c r="AJ1846" s="343"/>
      <c r="AK1846" s="249"/>
      <c r="AL1846" s="330"/>
      <c r="AM1846" s="343"/>
      <c r="AN1846" s="249"/>
      <c r="AO1846" s="330"/>
      <c r="AP1846" s="343"/>
      <c r="AQ1846" s="249"/>
      <c r="AR1846" s="330"/>
      <c r="AS1846" s="343"/>
      <c r="AT1846" s="249"/>
      <c r="AU1846" s="330"/>
    </row>
    <row r="1847" spans="2:47">
      <c r="B1847" s="247">
        <f>'Table S2 Compound Identifiers'!C1849</f>
        <v>0</v>
      </c>
      <c r="C1847" s="247">
        <f>COUNTIF($D$6:D1847,"&lt;&gt;"&amp;"")</f>
        <v>1842</v>
      </c>
      <c r="D1847" s="432">
        <f>'Table S2 Compound Identifiers'!B1849</f>
        <v>0</v>
      </c>
      <c r="E1847" s="247"/>
      <c r="F1847" s="248"/>
      <c r="G1847" s="249"/>
      <c r="H1847" s="330"/>
      <c r="I1847" s="328"/>
      <c r="J1847" s="249"/>
      <c r="K1847" s="330"/>
      <c r="L1847" s="250"/>
      <c r="M1847" s="249"/>
      <c r="N1847" s="330"/>
      <c r="O1847" s="250"/>
      <c r="P1847" s="249"/>
      <c r="Q1847" s="330"/>
      <c r="R1847" s="250"/>
      <c r="S1847" s="249"/>
      <c r="T1847" s="330"/>
      <c r="U1847" s="250"/>
      <c r="V1847" s="249"/>
      <c r="W1847" s="330"/>
      <c r="X1847" s="343"/>
      <c r="Y1847" s="249"/>
      <c r="Z1847" s="330"/>
      <c r="AA1847" s="343"/>
      <c r="AB1847" s="249"/>
      <c r="AC1847" s="330"/>
      <c r="AD1847" s="343"/>
      <c r="AE1847" s="249"/>
      <c r="AF1847" s="330"/>
      <c r="AG1847" s="343"/>
      <c r="AH1847" s="249"/>
      <c r="AI1847" s="330"/>
      <c r="AJ1847" s="343"/>
      <c r="AK1847" s="249"/>
      <c r="AL1847" s="330"/>
      <c r="AM1847" s="343"/>
      <c r="AN1847" s="249"/>
      <c r="AO1847" s="330"/>
      <c r="AP1847" s="343"/>
      <c r="AQ1847" s="249"/>
      <c r="AR1847" s="330"/>
      <c r="AS1847" s="343"/>
      <c r="AT1847" s="249"/>
      <c r="AU1847" s="330"/>
    </row>
    <row r="1848" spans="2:47">
      <c r="B1848" s="247">
        <f>'Table S2 Compound Identifiers'!C1850</f>
        <v>0</v>
      </c>
      <c r="C1848" s="247">
        <f>COUNTIF($D$6:D1848,"&lt;&gt;"&amp;"")</f>
        <v>1843</v>
      </c>
      <c r="D1848" s="247">
        <f>'Table S2 Compound Identifiers'!B1850</f>
        <v>0</v>
      </c>
      <c r="E1848" s="247"/>
      <c r="F1848" s="248"/>
      <c r="G1848" s="249"/>
      <c r="H1848" s="330"/>
      <c r="I1848" s="328"/>
      <c r="J1848" s="249"/>
      <c r="K1848" s="330"/>
      <c r="L1848" s="250"/>
      <c r="M1848" s="249"/>
      <c r="N1848" s="330"/>
      <c r="O1848" s="250"/>
      <c r="P1848" s="249"/>
      <c r="Q1848" s="330"/>
      <c r="R1848" s="250"/>
      <c r="S1848" s="249"/>
      <c r="T1848" s="330"/>
      <c r="U1848" s="250"/>
      <c r="V1848" s="249"/>
      <c r="W1848" s="330"/>
      <c r="X1848" s="343"/>
      <c r="Y1848" s="249"/>
      <c r="Z1848" s="330"/>
      <c r="AA1848" s="343"/>
      <c r="AB1848" s="249"/>
      <c r="AC1848" s="330"/>
      <c r="AD1848" s="343"/>
      <c r="AE1848" s="249"/>
      <c r="AF1848" s="330"/>
      <c r="AG1848" s="343"/>
      <c r="AH1848" s="249"/>
      <c r="AI1848" s="330"/>
      <c r="AJ1848" s="343"/>
      <c r="AK1848" s="249"/>
      <c r="AL1848" s="330"/>
      <c r="AM1848" s="343"/>
      <c r="AN1848" s="249"/>
      <c r="AO1848" s="330"/>
      <c r="AP1848" s="343"/>
      <c r="AQ1848" s="249"/>
      <c r="AR1848" s="330"/>
      <c r="AS1848" s="343"/>
      <c r="AT1848" s="249"/>
      <c r="AU1848" s="330"/>
    </row>
    <row r="1849" spans="2:47">
      <c r="B1849" s="247">
        <f>'Table S2 Compound Identifiers'!C1851</f>
        <v>0</v>
      </c>
      <c r="C1849" s="247">
        <f>COUNTIF($D$6:D1849,"&lt;&gt;"&amp;"")</f>
        <v>1844</v>
      </c>
      <c r="D1849" s="247">
        <f>'Table S2 Compound Identifiers'!B1851</f>
        <v>0</v>
      </c>
      <c r="E1849" s="247"/>
      <c r="F1849" s="248"/>
      <c r="G1849" s="249"/>
      <c r="H1849" s="330"/>
      <c r="I1849" s="328"/>
      <c r="J1849" s="249"/>
      <c r="K1849" s="330"/>
      <c r="L1849" s="250"/>
      <c r="M1849" s="249"/>
      <c r="N1849" s="330"/>
      <c r="O1849" s="250"/>
      <c r="P1849" s="249"/>
      <c r="Q1849" s="330"/>
      <c r="R1849" s="250"/>
      <c r="S1849" s="249"/>
      <c r="T1849" s="330"/>
      <c r="U1849" s="250"/>
      <c r="V1849" s="249"/>
      <c r="W1849" s="330"/>
      <c r="X1849" s="343"/>
      <c r="Y1849" s="249"/>
      <c r="Z1849" s="330"/>
      <c r="AA1849" s="343"/>
      <c r="AB1849" s="249"/>
      <c r="AC1849" s="330"/>
      <c r="AD1849" s="343"/>
      <c r="AE1849" s="249"/>
      <c r="AF1849" s="330"/>
      <c r="AG1849" s="343"/>
      <c r="AH1849" s="249"/>
      <c r="AI1849" s="330"/>
      <c r="AJ1849" s="343"/>
      <c r="AK1849" s="249"/>
      <c r="AL1849" s="330"/>
      <c r="AM1849" s="343"/>
      <c r="AN1849" s="249"/>
      <c r="AO1849" s="330"/>
      <c r="AP1849" s="343"/>
      <c r="AQ1849" s="249"/>
      <c r="AR1849" s="330"/>
      <c r="AS1849" s="343"/>
      <c r="AT1849" s="249"/>
      <c r="AU1849" s="330"/>
    </row>
    <row r="1850" spans="2:47">
      <c r="B1850" s="247">
        <f>'Table S2 Compound Identifiers'!C1852</f>
        <v>0</v>
      </c>
      <c r="C1850" s="247">
        <f>COUNTIF($D$6:D1850,"&lt;&gt;"&amp;"")</f>
        <v>1845</v>
      </c>
      <c r="D1850" s="247">
        <f>'Table S2 Compound Identifiers'!B1852</f>
        <v>0</v>
      </c>
      <c r="E1850" s="247"/>
      <c r="F1850" s="248"/>
      <c r="G1850" s="249"/>
      <c r="H1850" s="330"/>
      <c r="I1850" s="328"/>
      <c r="J1850" s="249"/>
      <c r="K1850" s="330"/>
      <c r="L1850" s="250"/>
      <c r="M1850" s="249"/>
      <c r="N1850" s="330"/>
      <c r="O1850" s="250"/>
      <c r="P1850" s="249"/>
      <c r="Q1850" s="330"/>
      <c r="R1850" s="250"/>
      <c r="S1850" s="249"/>
      <c r="T1850" s="330"/>
      <c r="U1850" s="250"/>
      <c r="V1850" s="249"/>
      <c r="W1850" s="330"/>
      <c r="X1850" s="343"/>
      <c r="Y1850" s="249"/>
      <c r="Z1850" s="330"/>
      <c r="AA1850" s="343"/>
      <c r="AB1850" s="249"/>
      <c r="AC1850" s="330"/>
      <c r="AD1850" s="343"/>
      <c r="AE1850" s="249"/>
      <c r="AF1850" s="330"/>
      <c r="AG1850" s="343"/>
      <c r="AH1850" s="249"/>
      <c r="AI1850" s="330"/>
      <c r="AJ1850" s="343"/>
      <c r="AK1850" s="249"/>
      <c r="AL1850" s="330"/>
      <c r="AM1850" s="343"/>
      <c r="AN1850" s="249"/>
      <c r="AO1850" s="330"/>
      <c r="AP1850" s="343"/>
      <c r="AQ1850" s="249"/>
      <c r="AR1850" s="330"/>
      <c r="AS1850" s="343"/>
      <c r="AT1850" s="249"/>
      <c r="AU1850" s="330"/>
    </row>
    <row r="1851" spans="2:47">
      <c r="B1851" s="247">
        <f>'Table S2 Compound Identifiers'!C1853</f>
        <v>0</v>
      </c>
      <c r="C1851" s="247">
        <f>COUNTIF($D$6:D1851,"&lt;&gt;"&amp;"")</f>
        <v>1846</v>
      </c>
      <c r="D1851" s="247">
        <f>'Table S2 Compound Identifiers'!B1853</f>
        <v>0</v>
      </c>
      <c r="E1851" s="247"/>
      <c r="F1851" s="248"/>
      <c r="G1851" s="249"/>
      <c r="H1851" s="330"/>
      <c r="I1851" s="328"/>
      <c r="J1851" s="249"/>
      <c r="K1851" s="330"/>
      <c r="L1851" s="250"/>
      <c r="M1851" s="249"/>
      <c r="N1851" s="330"/>
      <c r="O1851" s="250"/>
      <c r="P1851" s="249"/>
      <c r="Q1851" s="330"/>
      <c r="R1851" s="250"/>
      <c r="S1851" s="249"/>
      <c r="T1851" s="330"/>
      <c r="U1851" s="250"/>
      <c r="V1851" s="249"/>
      <c r="W1851" s="330"/>
      <c r="X1851" s="343"/>
      <c r="Y1851" s="249"/>
      <c r="Z1851" s="330"/>
      <c r="AA1851" s="343"/>
      <c r="AB1851" s="249"/>
      <c r="AC1851" s="330"/>
      <c r="AD1851" s="343"/>
      <c r="AE1851" s="249"/>
      <c r="AF1851" s="330"/>
      <c r="AG1851" s="343"/>
      <c r="AH1851" s="249"/>
      <c r="AI1851" s="330"/>
      <c r="AJ1851" s="343"/>
      <c r="AK1851" s="249"/>
      <c r="AL1851" s="330"/>
      <c r="AM1851" s="343"/>
      <c r="AN1851" s="249"/>
      <c r="AO1851" s="330"/>
      <c r="AP1851" s="343"/>
      <c r="AQ1851" s="249"/>
      <c r="AR1851" s="330"/>
      <c r="AS1851" s="343"/>
      <c r="AT1851" s="249"/>
      <c r="AU1851" s="330"/>
    </row>
    <row r="1852" spans="2:47">
      <c r="B1852" s="247">
        <f>'Table S2 Compound Identifiers'!C1854</f>
        <v>0</v>
      </c>
      <c r="C1852" s="247">
        <f>COUNTIF($D$6:D1852,"&lt;&gt;"&amp;"")</f>
        <v>1847</v>
      </c>
      <c r="D1852" s="247">
        <f>'Table S2 Compound Identifiers'!B1854</f>
        <v>0</v>
      </c>
      <c r="E1852" s="247"/>
      <c r="F1852" s="248"/>
      <c r="G1852" s="249"/>
      <c r="H1852" s="330"/>
      <c r="I1852" s="328"/>
      <c r="J1852" s="249"/>
      <c r="K1852" s="330"/>
      <c r="L1852" s="250"/>
      <c r="M1852" s="249"/>
      <c r="N1852" s="330"/>
      <c r="O1852" s="250"/>
      <c r="P1852" s="249"/>
      <c r="Q1852" s="330"/>
      <c r="R1852" s="250"/>
      <c r="S1852" s="249"/>
      <c r="T1852" s="330"/>
      <c r="U1852" s="250"/>
      <c r="V1852" s="249"/>
      <c r="W1852" s="330"/>
      <c r="X1852" s="343"/>
      <c r="Y1852" s="249"/>
      <c r="Z1852" s="330"/>
      <c r="AA1852" s="343"/>
      <c r="AB1852" s="249"/>
      <c r="AC1852" s="330"/>
      <c r="AD1852" s="343"/>
      <c r="AE1852" s="249"/>
      <c r="AF1852" s="330"/>
      <c r="AG1852" s="343"/>
      <c r="AH1852" s="249"/>
      <c r="AI1852" s="330"/>
      <c r="AJ1852" s="343"/>
      <c r="AK1852" s="249"/>
      <c r="AL1852" s="330"/>
      <c r="AM1852" s="343"/>
      <c r="AN1852" s="249"/>
      <c r="AO1852" s="330"/>
      <c r="AP1852" s="343"/>
      <c r="AQ1852" s="249"/>
      <c r="AR1852" s="330"/>
      <c r="AS1852" s="343"/>
      <c r="AT1852" s="249"/>
      <c r="AU1852" s="330"/>
    </row>
    <row r="1853" spans="2:47">
      <c r="B1853" s="247">
        <f>'Table S2 Compound Identifiers'!C1855</f>
        <v>0</v>
      </c>
      <c r="C1853" s="247">
        <f>COUNTIF($D$6:D1853,"&lt;&gt;"&amp;"")</f>
        <v>1848</v>
      </c>
      <c r="D1853" s="247">
        <f>'Table S2 Compound Identifiers'!B1855</f>
        <v>0</v>
      </c>
      <c r="E1853" s="247"/>
      <c r="F1853" s="248"/>
      <c r="G1853" s="249"/>
      <c r="H1853" s="330"/>
      <c r="I1853" s="328"/>
      <c r="J1853" s="249"/>
      <c r="K1853" s="330"/>
      <c r="L1853" s="250"/>
      <c r="M1853" s="249"/>
      <c r="N1853" s="330"/>
      <c r="O1853" s="250"/>
      <c r="P1853" s="249"/>
      <c r="Q1853" s="330"/>
      <c r="R1853" s="250"/>
      <c r="S1853" s="249"/>
      <c r="T1853" s="330"/>
      <c r="U1853" s="250"/>
      <c r="V1853" s="249"/>
      <c r="W1853" s="330"/>
      <c r="X1853" s="343"/>
      <c r="Y1853" s="249"/>
      <c r="Z1853" s="330"/>
      <c r="AA1853" s="343"/>
      <c r="AB1853" s="249"/>
      <c r="AC1853" s="330"/>
      <c r="AD1853" s="343"/>
      <c r="AE1853" s="249"/>
      <c r="AF1853" s="330"/>
      <c r="AG1853" s="343"/>
      <c r="AH1853" s="249"/>
      <c r="AI1853" s="330"/>
      <c r="AJ1853" s="343"/>
      <c r="AK1853" s="249"/>
      <c r="AL1853" s="330"/>
      <c r="AM1853" s="343"/>
      <c r="AN1853" s="249"/>
      <c r="AO1853" s="330"/>
      <c r="AP1853" s="343"/>
      <c r="AQ1853" s="249"/>
      <c r="AR1853" s="330"/>
      <c r="AS1853" s="343"/>
      <c r="AT1853" s="249"/>
      <c r="AU1853" s="330"/>
    </row>
    <row r="1854" spans="2:47">
      <c r="B1854" s="247">
        <f>'Table S2 Compound Identifiers'!C1856</f>
        <v>0</v>
      </c>
      <c r="C1854" s="247">
        <f>COUNTIF($D$6:D1854,"&lt;&gt;"&amp;"")</f>
        <v>1849</v>
      </c>
      <c r="D1854" s="247">
        <f>'Table S2 Compound Identifiers'!B1856</f>
        <v>0</v>
      </c>
      <c r="E1854" s="247"/>
      <c r="F1854" s="248"/>
      <c r="G1854" s="249"/>
      <c r="H1854" s="330"/>
      <c r="I1854" s="328"/>
      <c r="J1854" s="249"/>
      <c r="K1854" s="330"/>
      <c r="L1854" s="250"/>
      <c r="M1854" s="249"/>
      <c r="N1854" s="330"/>
      <c r="O1854" s="251"/>
      <c r="P1854" s="252"/>
      <c r="Q1854" s="330"/>
      <c r="R1854" s="251"/>
      <c r="S1854" s="252"/>
      <c r="T1854" s="330"/>
      <c r="U1854" s="251"/>
      <c r="V1854" s="252"/>
      <c r="W1854" s="330"/>
      <c r="X1854" s="343"/>
      <c r="Y1854" s="249"/>
      <c r="Z1854" s="330"/>
      <c r="AA1854" s="343"/>
      <c r="AB1854" s="249"/>
      <c r="AC1854" s="330"/>
      <c r="AD1854" s="343"/>
      <c r="AE1854" s="249"/>
      <c r="AF1854" s="330"/>
      <c r="AG1854" s="343"/>
      <c r="AH1854" s="249"/>
      <c r="AI1854" s="330"/>
      <c r="AJ1854" s="343"/>
      <c r="AK1854" s="249"/>
      <c r="AL1854" s="330"/>
      <c r="AM1854" s="343"/>
      <c r="AN1854" s="249"/>
      <c r="AO1854" s="330"/>
      <c r="AP1854" s="343"/>
      <c r="AQ1854" s="249"/>
      <c r="AR1854" s="330"/>
      <c r="AS1854" s="343"/>
      <c r="AT1854" s="249"/>
      <c r="AU1854" s="330"/>
    </row>
    <row r="1855" spans="2:47">
      <c r="B1855" s="247">
        <f>'Table S2 Compound Identifiers'!C1857</f>
        <v>0</v>
      </c>
      <c r="C1855" s="253">
        <f>COUNTIF($D$6:D1855,"&lt;&gt;"&amp;"")</f>
        <v>1850</v>
      </c>
      <c r="D1855" s="253">
        <f>'Table S2 Compound Identifiers'!B1857</f>
        <v>0</v>
      </c>
      <c r="E1855" s="253"/>
      <c r="F1855" s="254"/>
      <c r="G1855" s="252"/>
      <c r="H1855" s="330"/>
      <c r="I1855" s="333"/>
      <c r="J1855" s="252"/>
      <c r="K1855" s="330"/>
      <c r="L1855" s="251"/>
      <c r="M1855" s="252"/>
      <c r="N1855" s="330"/>
      <c r="O1855" s="251"/>
      <c r="P1855" s="252"/>
      <c r="Q1855" s="330"/>
      <c r="R1855" s="251"/>
      <c r="S1855" s="252"/>
      <c r="T1855" s="330"/>
      <c r="U1855" s="251"/>
      <c r="V1855" s="252"/>
      <c r="W1855" s="330"/>
      <c r="X1855" s="343"/>
      <c r="Y1855" s="249"/>
      <c r="Z1855" s="330"/>
      <c r="AA1855" s="343"/>
      <c r="AB1855" s="249"/>
      <c r="AC1855" s="330"/>
      <c r="AD1855" s="343"/>
      <c r="AE1855" s="249"/>
      <c r="AF1855" s="330"/>
      <c r="AG1855" s="343"/>
      <c r="AH1855" s="249"/>
      <c r="AI1855" s="330"/>
      <c r="AJ1855" s="343"/>
      <c r="AK1855" s="249"/>
      <c r="AL1855" s="330"/>
      <c r="AM1855" s="343"/>
      <c r="AN1855" s="249"/>
      <c r="AO1855" s="330"/>
      <c r="AP1855" s="343"/>
      <c r="AQ1855" s="249"/>
      <c r="AR1855" s="330"/>
      <c r="AS1855" s="343"/>
      <c r="AT1855" s="249"/>
      <c r="AU1855" s="330"/>
    </row>
    <row r="1856" spans="2:47">
      <c r="B1856" s="247">
        <f>'Table S2 Compound Identifiers'!C1858</f>
        <v>0</v>
      </c>
      <c r="C1856" s="247">
        <f>COUNTIF($D$6:D1856,"&lt;&gt;"&amp;"")</f>
        <v>1851</v>
      </c>
      <c r="D1856" s="247">
        <f>'Table S2 Compound Identifiers'!B1858</f>
        <v>0</v>
      </c>
      <c r="E1856" s="247"/>
      <c r="F1856" s="248"/>
      <c r="G1856" s="250"/>
      <c r="H1856" s="330"/>
      <c r="I1856" s="343"/>
      <c r="J1856" s="249"/>
      <c r="K1856" s="327"/>
      <c r="L1856" s="343"/>
      <c r="M1856" s="249"/>
      <c r="N1856" s="327"/>
      <c r="O1856" s="343"/>
      <c r="P1856" s="249"/>
      <c r="Q1856" s="327"/>
      <c r="R1856" s="343"/>
      <c r="S1856" s="249"/>
      <c r="T1856" s="327"/>
      <c r="U1856" s="343"/>
      <c r="V1856" s="249"/>
      <c r="W1856" s="327"/>
      <c r="X1856" s="343"/>
      <c r="Y1856" s="249"/>
      <c r="Z1856" s="327"/>
      <c r="AA1856" s="343"/>
      <c r="AB1856" s="249"/>
      <c r="AC1856" s="343"/>
      <c r="AD1856" s="343"/>
      <c r="AE1856" s="249"/>
      <c r="AF1856" s="249"/>
      <c r="AG1856" s="343"/>
      <c r="AH1856" s="249"/>
      <c r="AI1856" s="343"/>
      <c r="AJ1856" s="343"/>
      <c r="AK1856" s="249"/>
      <c r="AL1856" s="249"/>
      <c r="AM1856" s="343"/>
      <c r="AN1856" s="249"/>
      <c r="AO1856" s="343"/>
      <c r="AP1856" s="343"/>
      <c r="AQ1856" s="249"/>
      <c r="AR1856" s="249"/>
      <c r="AS1856" s="343"/>
      <c r="AT1856" s="249"/>
      <c r="AU1856" s="343"/>
    </row>
    <row r="1857" spans="2:47">
      <c r="B1857" s="247">
        <f>'Table S2 Compound Identifiers'!C1859</f>
        <v>0</v>
      </c>
      <c r="C1857" s="247">
        <f>COUNTIF($D$6:D1857,"&lt;&gt;"&amp;"")</f>
        <v>1852</v>
      </c>
      <c r="D1857" s="247">
        <f>'Table S2 Compound Identifiers'!B1859</f>
        <v>0</v>
      </c>
      <c r="E1857" s="247"/>
      <c r="F1857" s="248"/>
      <c r="G1857" s="249"/>
      <c r="H1857" s="330"/>
      <c r="I1857" s="332"/>
      <c r="J1857" s="330"/>
      <c r="K1857" s="330"/>
      <c r="L1857" s="330"/>
      <c r="M1857" s="330"/>
      <c r="N1857" s="330"/>
      <c r="O1857" s="330"/>
      <c r="P1857" s="330"/>
      <c r="Q1857" s="330"/>
      <c r="R1857" s="330"/>
      <c r="S1857" s="330"/>
      <c r="T1857" s="330"/>
      <c r="U1857" s="330"/>
      <c r="V1857" s="330"/>
      <c r="W1857" s="330"/>
      <c r="X1857" s="343"/>
      <c r="Y1857" s="249"/>
      <c r="Z1857" s="330"/>
      <c r="AA1857" s="343"/>
      <c r="AB1857" s="249"/>
      <c r="AC1857" s="330"/>
      <c r="AD1857" s="343"/>
      <c r="AE1857" s="249"/>
      <c r="AF1857" s="330"/>
      <c r="AG1857" s="343"/>
      <c r="AH1857" s="249"/>
      <c r="AI1857" s="330"/>
      <c r="AJ1857" s="343"/>
      <c r="AK1857" s="249"/>
      <c r="AL1857" s="330"/>
      <c r="AM1857" s="343"/>
      <c r="AN1857" s="249"/>
      <c r="AO1857" s="330"/>
      <c r="AP1857" s="343"/>
      <c r="AQ1857" s="249"/>
      <c r="AR1857" s="330"/>
      <c r="AS1857" s="343"/>
      <c r="AT1857" s="249"/>
      <c r="AU1857" s="330"/>
    </row>
    <row r="1858" spans="2:47">
      <c r="B1858" s="247">
        <f>'Table S2 Compound Identifiers'!C1860</f>
        <v>0</v>
      </c>
      <c r="C1858" s="247">
        <f>COUNTIF($D$6:D1858,"&lt;&gt;"&amp;"")</f>
        <v>1853</v>
      </c>
      <c r="D1858" s="247">
        <f>'Table S2 Compound Identifiers'!B1860</f>
        <v>0</v>
      </c>
      <c r="E1858" s="247"/>
      <c r="F1858" s="248"/>
      <c r="G1858" s="249"/>
      <c r="H1858" s="330"/>
      <c r="I1858" s="332"/>
      <c r="J1858" s="330"/>
      <c r="K1858" s="330"/>
      <c r="L1858" s="330"/>
      <c r="M1858" s="330"/>
      <c r="N1858" s="330"/>
      <c r="O1858" s="330"/>
      <c r="P1858" s="330"/>
      <c r="Q1858" s="330"/>
      <c r="R1858" s="330"/>
      <c r="S1858" s="330"/>
      <c r="T1858" s="330"/>
      <c r="U1858" s="330"/>
      <c r="V1858" s="330"/>
      <c r="W1858" s="330"/>
      <c r="X1858" s="343"/>
      <c r="Y1858" s="249"/>
      <c r="Z1858" s="330"/>
      <c r="AA1858" s="343"/>
      <c r="AB1858" s="249"/>
      <c r="AC1858" s="330"/>
      <c r="AD1858" s="343"/>
      <c r="AE1858" s="249"/>
      <c r="AF1858" s="330"/>
      <c r="AG1858" s="343"/>
      <c r="AH1858" s="249"/>
      <c r="AI1858" s="330"/>
      <c r="AJ1858" s="343"/>
      <c r="AK1858" s="249"/>
      <c r="AL1858" s="330"/>
      <c r="AM1858" s="343"/>
      <c r="AN1858" s="249"/>
      <c r="AO1858" s="330"/>
      <c r="AP1858" s="343"/>
      <c r="AQ1858" s="249"/>
      <c r="AR1858" s="330"/>
      <c r="AS1858" s="343"/>
      <c r="AT1858" s="249"/>
      <c r="AU1858" s="330"/>
    </row>
    <row r="1859" spans="2:47">
      <c r="B1859" s="247">
        <f>'Table S2 Compound Identifiers'!C1861</f>
        <v>0</v>
      </c>
      <c r="C1859" s="247">
        <f>COUNTIF($D$6:D1859,"&lt;&gt;"&amp;"")</f>
        <v>1854</v>
      </c>
      <c r="D1859" s="247">
        <f>'Table S2 Compound Identifiers'!B1861</f>
        <v>0</v>
      </c>
      <c r="E1859" s="247"/>
      <c r="F1859" s="248"/>
      <c r="G1859" s="249"/>
      <c r="H1859" s="330"/>
      <c r="I1859" s="332"/>
      <c r="J1859" s="330"/>
      <c r="K1859" s="330"/>
      <c r="L1859" s="330"/>
      <c r="M1859" s="330"/>
      <c r="N1859" s="330"/>
      <c r="O1859" s="330"/>
      <c r="P1859" s="330"/>
      <c r="Q1859" s="330"/>
      <c r="R1859" s="330"/>
      <c r="S1859" s="330"/>
      <c r="T1859" s="330"/>
      <c r="U1859" s="330"/>
      <c r="V1859" s="330"/>
      <c r="W1859" s="330"/>
      <c r="X1859" s="343"/>
      <c r="Y1859" s="249"/>
      <c r="Z1859" s="330"/>
      <c r="AA1859" s="343"/>
      <c r="AB1859" s="249"/>
      <c r="AC1859" s="330"/>
      <c r="AD1859" s="343"/>
      <c r="AE1859" s="249"/>
      <c r="AF1859" s="330"/>
      <c r="AG1859" s="343"/>
      <c r="AH1859" s="249"/>
      <c r="AI1859" s="330"/>
      <c r="AJ1859" s="343"/>
      <c r="AK1859" s="249"/>
      <c r="AL1859" s="330"/>
      <c r="AM1859" s="343"/>
      <c r="AN1859" s="249"/>
      <c r="AO1859" s="330"/>
      <c r="AP1859" s="343"/>
      <c r="AQ1859" s="249"/>
      <c r="AR1859" s="330"/>
      <c r="AS1859" s="343"/>
      <c r="AT1859" s="249"/>
      <c r="AU1859" s="330"/>
    </row>
    <row r="1860" spans="2:47">
      <c r="B1860" s="247">
        <f>'Table S2 Compound Identifiers'!C1862</f>
        <v>0</v>
      </c>
      <c r="C1860" s="247">
        <f>COUNTIF($D$6:D1860,"&lt;&gt;"&amp;"")</f>
        <v>1855</v>
      </c>
      <c r="D1860" s="247">
        <f>'Table S2 Compound Identifiers'!B1862</f>
        <v>0</v>
      </c>
      <c r="E1860" s="247"/>
      <c r="F1860" s="248"/>
      <c r="G1860" s="249"/>
      <c r="H1860" s="330"/>
      <c r="I1860" s="328"/>
      <c r="J1860" s="249"/>
      <c r="K1860" s="330"/>
      <c r="L1860" s="250"/>
      <c r="M1860" s="249"/>
      <c r="N1860" s="330"/>
      <c r="O1860" s="250"/>
      <c r="P1860" s="249"/>
      <c r="Q1860" s="330"/>
      <c r="R1860" s="250"/>
      <c r="S1860" s="249"/>
      <c r="T1860" s="330"/>
      <c r="U1860" s="250"/>
      <c r="V1860" s="249"/>
      <c r="W1860" s="330"/>
      <c r="X1860" s="343"/>
      <c r="Y1860" s="249"/>
      <c r="Z1860" s="330"/>
      <c r="AA1860" s="343"/>
      <c r="AB1860" s="249"/>
      <c r="AC1860" s="330"/>
      <c r="AD1860" s="343"/>
      <c r="AE1860" s="249"/>
      <c r="AF1860" s="330"/>
      <c r="AG1860" s="343"/>
      <c r="AH1860" s="249"/>
      <c r="AI1860" s="330"/>
      <c r="AJ1860" s="343"/>
      <c r="AK1860" s="249"/>
      <c r="AL1860" s="330"/>
      <c r="AM1860" s="343"/>
      <c r="AN1860" s="249"/>
      <c r="AO1860" s="330"/>
      <c r="AP1860" s="343"/>
      <c r="AQ1860" s="249"/>
      <c r="AR1860" s="330"/>
      <c r="AS1860" s="343"/>
      <c r="AT1860" s="249"/>
      <c r="AU1860" s="330"/>
    </row>
    <row r="1861" spans="2:47">
      <c r="B1861" s="247">
        <f>'Table S2 Compound Identifiers'!C1863</f>
        <v>0</v>
      </c>
      <c r="C1861" s="247">
        <f>COUNTIF($D$6:D1861,"&lt;&gt;"&amp;"")</f>
        <v>1856</v>
      </c>
      <c r="D1861" s="247">
        <f>'Table S2 Compound Identifiers'!B1863</f>
        <v>0</v>
      </c>
      <c r="E1861" s="247"/>
      <c r="F1861" s="248"/>
      <c r="G1861" s="249"/>
      <c r="H1861" s="330"/>
      <c r="I1861" s="328"/>
      <c r="J1861" s="249"/>
      <c r="K1861" s="330"/>
      <c r="L1861" s="250"/>
      <c r="M1861" s="249"/>
      <c r="N1861" s="330"/>
      <c r="O1861" s="250"/>
      <c r="P1861" s="249"/>
      <c r="Q1861" s="330"/>
      <c r="R1861" s="250"/>
      <c r="S1861" s="249"/>
      <c r="T1861" s="330"/>
      <c r="U1861" s="250"/>
      <c r="V1861" s="249"/>
      <c r="W1861" s="330"/>
      <c r="X1861" s="343"/>
      <c r="Y1861" s="249"/>
      <c r="Z1861" s="330"/>
      <c r="AA1861" s="343"/>
      <c r="AB1861" s="249"/>
      <c r="AC1861" s="330"/>
      <c r="AD1861" s="343"/>
      <c r="AE1861" s="249"/>
      <c r="AF1861" s="330"/>
      <c r="AG1861" s="343"/>
      <c r="AH1861" s="249"/>
      <c r="AI1861" s="330"/>
      <c r="AJ1861" s="343"/>
      <c r="AK1861" s="249"/>
      <c r="AL1861" s="330"/>
      <c r="AM1861" s="343"/>
      <c r="AN1861" s="249"/>
      <c r="AO1861" s="330"/>
      <c r="AP1861" s="343"/>
      <c r="AQ1861" s="249"/>
      <c r="AR1861" s="330"/>
      <c r="AS1861" s="343"/>
      <c r="AT1861" s="249"/>
      <c r="AU1861" s="330"/>
    </row>
    <row r="1862" spans="2:47">
      <c r="B1862" s="247">
        <f>'Table S2 Compound Identifiers'!C1864</f>
        <v>0</v>
      </c>
      <c r="C1862" s="247">
        <f>COUNTIF($D$6:D1862,"&lt;&gt;"&amp;"")</f>
        <v>1857</v>
      </c>
      <c r="D1862" s="247">
        <f>'Table S2 Compound Identifiers'!B1864</f>
        <v>0</v>
      </c>
      <c r="E1862" s="247"/>
      <c r="F1862" s="248"/>
      <c r="G1862" s="249"/>
      <c r="H1862" s="330"/>
      <c r="I1862" s="328"/>
      <c r="J1862" s="249"/>
      <c r="K1862" s="330"/>
      <c r="L1862" s="250"/>
      <c r="M1862" s="249"/>
      <c r="N1862" s="330"/>
      <c r="O1862" s="250"/>
      <c r="P1862" s="249"/>
      <c r="Q1862" s="330"/>
      <c r="R1862" s="250"/>
      <c r="S1862" s="249"/>
      <c r="T1862" s="330"/>
      <c r="U1862" s="250"/>
      <c r="V1862" s="249"/>
      <c r="W1862" s="330"/>
      <c r="X1862" s="343"/>
      <c r="Y1862" s="249"/>
      <c r="Z1862" s="330"/>
      <c r="AA1862" s="343"/>
      <c r="AB1862" s="249"/>
      <c r="AC1862" s="330"/>
      <c r="AD1862" s="343"/>
      <c r="AE1862" s="249"/>
      <c r="AF1862" s="330"/>
      <c r="AG1862" s="343"/>
      <c r="AH1862" s="249"/>
      <c r="AI1862" s="330"/>
      <c r="AJ1862" s="343"/>
      <c r="AK1862" s="249"/>
      <c r="AL1862" s="330"/>
      <c r="AM1862" s="343"/>
      <c r="AN1862" s="249"/>
      <c r="AO1862" s="330"/>
      <c r="AP1862" s="343"/>
      <c r="AQ1862" s="249"/>
      <c r="AR1862" s="330"/>
      <c r="AS1862" s="343"/>
      <c r="AT1862" s="249"/>
      <c r="AU1862" s="330"/>
    </row>
    <row r="1863" spans="2:47">
      <c r="B1863" s="247">
        <f>'Table S2 Compound Identifiers'!C1865</f>
        <v>0</v>
      </c>
      <c r="C1863" s="247">
        <f>COUNTIF($D$6:D1863,"&lt;&gt;"&amp;"")</f>
        <v>1858</v>
      </c>
      <c r="D1863" s="247">
        <f>'Table S2 Compound Identifiers'!B1865</f>
        <v>0</v>
      </c>
      <c r="E1863" s="247"/>
      <c r="F1863" s="248"/>
      <c r="G1863" s="249"/>
      <c r="H1863" s="330"/>
      <c r="I1863" s="328"/>
      <c r="J1863" s="249"/>
      <c r="K1863" s="330"/>
      <c r="L1863" s="250"/>
      <c r="M1863" s="249"/>
      <c r="N1863" s="330"/>
      <c r="O1863" s="250"/>
      <c r="P1863" s="249"/>
      <c r="Q1863" s="330"/>
      <c r="R1863" s="250"/>
      <c r="S1863" s="249"/>
      <c r="T1863" s="330"/>
      <c r="U1863" s="250"/>
      <c r="V1863" s="249"/>
      <c r="W1863" s="330"/>
      <c r="X1863" s="343"/>
      <c r="Y1863" s="249"/>
      <c r="Z1863" s="330"/>
      <c r="AA1863" s="343"/>
      <c r="AB1863" s="249"/>
      <c r="AC1863" s="330"/>
      <c r="AD1863" s="343"/>
      <c r="AE1863" s="249"/>
      <c r="AF1863" s="330"/>
      <c r="AG1863" s="343"/>
      <c r="AH1863" s="249"/>
      <c r="AI1863" s="330"/>
      <c r="AJ1863" s="343"/>
      <c r="AK1863" s="249"/>
      <c r="AL1863" s="330"/>
      <c r="AM1863" s="343"/>
      <c r="AN1863" s="249"/>
      <c r="AO1863" s="330"/>
      <c r="AP1863" s="343"/>
      <c r="AQ1863" s="249"/>
      <c r="AR1863" s="330"/>
      <c r="AS1863" s="343"/>
      <c r="AT1863" s="249"/>
      <c r="AU1863" s="330"/>
    </row>
    <row r="1864" spans="2:47">
      <c r="B1864" s="247">
        <f>'Table S2 Compound Identifiers'!C1866</f>
        <v>0</v>
      </c>
      <c r="C1864" s="247">
        <f>COUNTIF($D$6:D1864,"&lt;&gt;"&amp;"")</f>
        <v>1859</v>
      </c>
      <c r="D1864" s="247">
        <f>'Table S2 Compound Identifiers'!B1866</f>
        <v>0</v>
      </c>
      <c r="E1864" s="247"/>
      <c r="F1864" s="248"/>
      <c r="G1864" s="249"/>
      <c r="H1864" s="330"/>
      <c r="I1864" s="328"/>
      <c r="J1864" s="249"/>
      <c r="K1864" s="330"/>
      <c r="L1864" s="250"/>
      <c r="M1864" s="249"/>
      <c r="N1864" s="330"/>
      <c r="O1864" s="250"/>
      <c r="P1864" s="249"/>
      <c r="Q1864" s="330"/>
      <c r="R1864" s="250"/>
      <c r="S1864" s="249"/>
      <c r="T1864" s="330"/>
      <c r="U1864" s="250"/>
      <c r="V1864" s="249"/>
      <c r="W1864" s="330"/>
      <c r="X1864" s="343"/>
      <c r="Y1864" s="249"/>
      <c r="Z1864" s="330"/>
      <c r="AA1864" s="343"/>
      <c r="AB1864" s="249"/>
      <c r="AC1864" s="330"/>
      <c r="AD1864" s="343"/>
      <c r="AE1864" s="249"/>
      <c r="AF1864" s="330"/>
      <c r="AG1864" s="343"/>
      <c r="AH1864" s="249"/>
      <c r="AI1864" s="330"/>
      <c r="AJ1864" s="343"/>
      <c r="AK1864" s="249"/>
      <c r="AL1864" s="330"/>
      <c r="AM1864" s="343"/>
      <c r="AN1864" s="249"/>
      <c r="AO1864" s="330"/>
      <c r="AP1864" s="343"/>
      <c r="AQ1864" s="249"/>
      <c r="AR1864" s="330"/>
      <c r="AS1864" s="343"/>
      <c r="AT1864" s="249"/>
      <c r="AU1864" s="330"/>
    </row>
    <row r="1865" spans="2:47">
      <c r="B1865" s="247">
        <f>'Table S2 Compound Identifiers'!C1867</f>
        <v>0</v>
      </c>
      <c r="C1865" s="247">
        <f>COUNTIF($D$6:D1865,"&lt;&gt;"&amp;"")</f>
        <v>1860</v>
      </c>
      <c r="D1865" s="247">
        <f>'Table S2 Compound Identifiers'!B1867</f>
        <v>0</v>
      </c>
      <c r="E1865" s="247"/>
      <c r="F1865" s="248"/>
      <c r="G1865" s="249"/>
      <c r="H1865" s="330"/>
      <c r="I1865" s="328"/>
      <c r="J1865" s="249"/>
      <c r="K1865" s="330"/>
      <c r="L1865" s="250"/>
      <c r="M1865" s="249"/>
      <c r="N1865" s="330"/>
      <c r="O1865" s="250"/>
      <c r="P1865" s="249"/>
      <c r="Q1865" s="330"/>
      <c r="R1865" s="250"/>
      <c r="S1865" s="249"/>
      <c r="T1865" s="330"/>
      <c r="U1865" s="250"/>
      <c r="V1865" s="249"/>
      <c r="W1865" s="330"/>
      <c r="X1865" s="343"/>
      <c r="Y1865" s="249"/>
      <c r="Z1865" s="330"/>
      <c r="AA1865" s="343"/>
      <c r="AB1865" s="249"/>
      <c r="AC1865" s="330"/>
      <c r="AD1865" s="343"/>
      <c r="AE1865" s="249"/>
      <c r="AF1865" s="330"/>
      <c r="AG1865" s="343"/>
      <c r="AH1865" s="249"/>
      <c r="AI1865" s="330"/>
      <c r="AJ1865" s="343"/>
      <c r="AK1865" s="249"/>
      <c r="AL1865" s="330"/>
      <c r="AM1865" s="343"/>
      <c r="AN1865" s="249"/>
      <c r="AO1865" s="330"/>
      <c r="AP1865" s="343"/>
      <c r="AQ1865" s="249"/>
      <c r="AR1865" s="330"/>
      <c r="AS1865" s="343"/>
      <c r="AT1865" s="249"/>
      <c r="AU1865" s="330"/>
    </row>
    <row r="1866" spans="2:47">
      <c r="B1866" s="247">
        <f>'Table S2 Compound Identifiers'!C1868</f>
        <v>0</v>
      </c>
      <c r="C1866" s="247">
        <f>COUNTIF($D$6:D1866,"&lt;&gt;"&amp;"")</f>
        <v>1861</v>
      </c>
      <c r="D1866" s="247">
        <f>'Table S2 Compound Identifiers'!B1868</f>
        <v>0</v>
      </c>
      <c r="E1866" s="247"/>
      <c r="F1866" s="248"/>
      <c r="G1866" s="249"/>
      <c r="H1866" s="330"/>
      <c r="I1866" s="328"/>
      <c r="J1866" s="249"/>
      <c r="K1866" s="330"/>
      <c r="L1866" s="250"/>
      <c r="M1866" s="249"/>
      <c r="N1866" s="330"/>
      <c r="O1866" s="250"/>
      <c r="P1866" s="249"/>
      <c r="Q1866" s="330"/>
      <c r="R1866" s="250"/>
      <c r="S1866" s="249"/>
      <c r="T1866" s="330"/>
      <c r="U1866" s="250"/>
      <c r="V1866" s="249"/>
      <c r="W1866" s="330"/>
      <c r="X1866" s="343"/>
      <c r="Y1866" s="249"/>
      <c r="Z1866" s="330"/>
      <c r="AA1866" s="343"/>
      <c r="AB1866" s="249"/>
      <c r="AC1866" s="330"/>
      <c r="AD1866" s="343"/>
      <c r="AE1866" s="249"/>
      <c r="AF1866" s="330"/>
      <c r="AG1866" s="343"/>
      <c r="AH1866" s="249"/>
      <c r="AI1866" s="330"/>
      <c r="AJ1866" s="343"/>
      <c r="AK1866" s="249"/>
      <c r="AL1866" s="330"/>
      <c r="AM1866" s="343"/>
      <c r="AN1866" s="249"/>
      <c r="AO1866" s="330"/>
      <c r="AP1866" s="343"/>
      <c r="AQ1866" s="249"/>
      <c r="AR1866" s="330"/>
      <c r="AS1866" s="343"/>
      <c r="AT1866" s="249"/>
      <c r="AU1866" s="330"/>
    </row>
    <row r="1867" spans="2:47">
      <c r="B1867" s="247">
        <f>'Table S2 Compound Identifiers'!C1869</f>
        <v>0</v>
      </c>
      <c r="C1867" s="247">
        <f>COUNTIF($D$6:D1867,"&lt;&gt;"&amp;"")</f>
        <v>1862</v>
      </c>
      <c r="D1867" s="247">
        <f>'Table S2 Compound Identifiers'!B1869</f>
        <v>0</v>
      </c>
      <c r="E1867" s="247"/>
      <c r="F1867" s="248"/>
      <c r="G1867" s="249"/>
      <c r="H1867" s="330"/>
      <c r="I1867" s="328"/>
      <c r="J1867" s="249"/>
      <c r="K1867" s="330"/>
      <c r="L1867" s="250"/>
      <c r="M1867" s="249"/>
      <c r="N1867" s="330"/>
      <c r="O1867" s="250"/>
      <c r="P1867" s="249"/>
      <c r="Q1867" s="330"/>
      <c r="R1867" s="250"/>
      <c r="S1867" s="249"/>
      <c r="T1867" s="330"/>
      <c r="U1867" s="250"/>
      <c r="V1867" s="249"/>
      <c r="W1867" s="330"/>
      <c r="X1867" s="343"/>
      <c r="Y1867" s="249"/>
      <c r="Z1867" s="330"/>
      <c r="AA1867" s="343"/>
      <c r="AB1867" s="249"/>
      <c r="AC1867" s="330"/>
      <c r="AD1867" s="343"/>
      <c r="AE1867" s="249"/>
      <c r="AF1867" s="330"/>
      <c r="AG1867" s="343"/>
      <c r="AH1867" s="249"/>
      <c r="AI1867" s="330"/>
      <c r="AJ1867" s="343"/>
      <c r="AK1867" s="249"/>
      <c r="AL1867" s="330"/>
      <c r="AM1867" s="343"/>
      <c r="AN1867" s="249"/>
      <c r="AO1867" s="330"/>
      <c r="AP1867" s="343"/>
      <c r="AQ1867" s="249"/>
      <c r="AR1867" s="330"/>
      <c r="AS1867" s="343"/>
      <c r="AT1867" s="249"/>
      <c r="AU1867" s="330"/>
    </row>
    <row r="1868" spans="2:47">
      <c r="B1868" s="247">
        <f>'Table S2 Compound Identifiers'!C1870</f>
        <v>0</v>
      </c>
      <c r="C1868" s="247">
        <f>COUNTIF($D$6:D1868,"&lt;&gt;"&amp;"")</f>
        <v>1863</v>
      </c>
      <c r="D1868" s="247">
        <f>'Table S2 Compound Identifiers'!B1870</f>
        <v>0</v>
      </c>
      <c r="E1868" s="247"/>
      <c r="F1868" s="248"/>
      <c r="G1868" s="249"/>
      <c r="H1868" s="330"/>
      <c r="I1868" s="328"/>
      <c r="J1868" s="249"/>
      <c r="K1868" s="330"/>
      <c r="L1868" s="250"/>
      <c r="M1868" s="249"/>
      <c r="N1868" s="330"/>
      <c r="O1868" s="250"/>
      <c r="P1868" s="249"/>
      <c r="Q1868" s="330"/>
      <c r="R1868" s="250"/>
      <c r="S1868" s="249"/>
      <c r="T1868" s="330"/>
      <c r="U1868" s="250"/>
      <c r="V1868" s="249"/>
      <c r="W1868" s="330"/>
      <c r="X1868" s="343"/>
      <c r="Y1868" s="249"/>
      <c r="Z1868" s="330"/>
      <c r="AA1868" s="343"/>
      <c r="AB1868" s="249"/>
      <c r="AC1868" s="330"/>
      <c r="AD1868" s="343"/>
      <c r="AE1868" s="249"/>
      <c r="AF1868" s="330"/>
      <c r="AG1868" s="343"/>
      <c r="AH1868" s="249"/>
      <c r="AI1868" s="330"/>
      <c r="AJ1868" s="343"/>
      <c r="AK1868" s="249"/>
      <c r="AL1868" s="330"/>
      <c r="AM1868" s="343"/>
      <c r="AN1868" s="249"/>
      <c r="AO1868" s="330"/>
      <c r="AP1868" s="343"/>
      <c r="AQ1868" s="249"/>
      <c r="AR1868" s="330"/>
      <c r="AS1868" s="343"/>
      <c r="AT1868" s="249"/>
      <c r="AU1868" s="330"/>
    </row>
    <row r="1869" spans="2:47">
      <c r="B1869" s="247">
        <f>'Table S2 Compound Identifiers'!C1871</f>
        <v>0</v>
      </c>
      <c r="C1869" s="247">
        <f>COUNTIF($D$6:D1869,"&lt;&gt;"&amp;"")</f>
        <v>1864</v>
      </c>
      <c r="D1869" s="247">
        <f>'Table S2 Compound Identifiers'!B1871</f>
        <v>0</v>
      </c>
      <c r="E1869" s="247"/>
      <c r="F1869" s="248"/>
      <c r="G1869" s="249"/>
      <c r="H1869" s="330"/>
      <c r="I1869" s="328"/>
      <c r="J1869" s="249"/>
      <c r="K1869" s="330"/>
      <c r="L1869" s="250"/>
      <c r="M1869" s="249"/>
      <c r="N1869" s="330"/>
      <c r="O1869" s="250"/>
      <c r="P1869" s="249"/>
      <c r="Q1869" s="330"/>
      <c r="R1869" s="250"/>
      <c r="S1869" s="249"/>
      <c r="T1869" s="330"/>
      <c r="U1869" s="250"/>
      <c r="V1869" s="249"/>
      <c r="W1869" s="330"/>
      <c r="X1869" s="343"/>
      <c r="Y1869" s="249"/>
      <c r="Z1869" s="330"/>
      <c r="AA1869" s="343"/>
      <c r="AB1869" s="249"/>
      <c r="AC1869" s="330"/>
      <c r="AD1869" s="343"/>
      <c r="AE1869" s="249"/>
      <c r="AF1869" s="330"/>
      <c r="AG1869" s="343"/>
      <c r="AH1869" s="249"/>
      <c r="AI1869" s="330"/>
      <c r="AJ1869" s="343"/>
      <c r="AK1869" s="249"/>
      <c r="AL1869" s="330"/>
      <c r="AM1869" s="343"/>
      <c r="AN1869" s="249"/>
      <c r="AO1869" s="330"/>
      <c r="AP1869" s="343"/>
      <c r="AQ1869" s="249"/>
      <c r="AR1869" s="330"/>
      <c r="AS1869" s="343"/>
      <c r="AT1869" s="249"/>
      <c r="AU1869" s="330"/>
    </row>
    <row r="1870" spans="2:47">
      <c r="B1870" s="247">
        <f>'Table S2 Compound Identifiers'!C1872</f>
        <v>0</v>
      </c>
      <c r="C1870" s="247">
        <f>COUNTIF($D$6:D1870,"&lt;&gt;"&amp;"")</f>
        <v>1865</v>
      </c>
      <c r="D1870" s="247">
        <f>'Table S2 Compound Identifiers'!B1872</f>
        <v>0</v>
      </c>
      <c r="E1870" s="247"/>
      <c r="F1870" s="248"/>
      <c r="G1870" s="249"/>
      <c r="H1870" s="330"/>
      <c r="I1870" s="328"/>
      <c r="J1870" s="249"/>
      <c r="K1870" s="330"/>
      <c r="L1870" s="250"/>
      <c r="M1870" s="249"/>
      <c r="N1870" s="330"/>
      <c r="O1870" s="250"/>
      <c r="P1870" s="249"/>
      <c r="Q1870" s="330"/>
      <c r="R1870" s="250"/>
      <c r="S1870" s="249"/>
      <c r="T1870" s="330"/>
      <c r="U1870" s="250"/>
      <c r="V1870" s="249"/>
      <c r="W1870" s="330"/>
      <c r="X1870" s="343"/>
      <c r="Y1870" s="249"/>
      <c r="Z1870" s="330"/>
      <c r="AA1870" s="343"/>
      <c r="AB1870" s="249"/>
      <c r="AC1870" s="330"/>
      <c r="AD1870" s="343"/>
      <c r="AE1870" s="249"/>
      <c r="AF1870" s="330"/>
      <c r="AG1870" s="343"/>
      <c r="AH1870" s="249"/>
      <c r="AI1870" s="330"/>
      <c r="AJ1870" s="343"/>
      <c r="AK1870" s="249"/>
      <c r="AL1870" s="330"/>
      <c r="AM1870" s="343"/>
      <c r="AN1870" s="249"/>
      <c r="AO1870" s="330"/>
      <c r="AP1870" s="343"/>
      <c r="AQ1870" s="249"/>
      <c r="AR1870" s="330"/>
      <c r="AS1870" s="343"/>
      <c r="AT1870" s="249"/>
      <c r="AU1870" s="330"/>
    </row>
    <row r="1871" spans="2:47">
      <c r="B1871" s="247">
        <f>'Table S2 Compound Identifiers'!C1873</f>
        <v>0</v>
      </c>
      <c r="C1871" s="247">
        <f>COUNTIF($D$6:D1871,"&lt;&gt;"&amp;"")</f>
        <v>1866</v>
      </c>
      <c r="D1871" s="247">
        <f>'Table S2 Compound Identifiers'!B1873</f>
        <v>0</v>
      </c>
      <c r="E1871" s="247"/>
      <c r="F1871" s="248"/>
      <c r="G1871" s="249"/>
      <c r="H1871" s="330"/>
      <c r="I1871" s="328"/>
      <c r="J1871" s="249"/>
      <c r="K1871" s="330"/>
      <c r="L1871" s="250"/>
      <c r="M1871" s="249"/>
      <c r="N1871" s="330"/>
      <c r="O1871" s="250"/>
      <c r="P1871" s="249"/>
      <c r="Q1871" s="330"/>
      <c r="R1871" s="250"/>
      <c r="S1871" s="249"/>
      <c r="T1871" s="330"/>
      <c r="U1871" s="250"/>
      <c r="V1871" s="249"/>
      <c r="W1871" s="330"/>
      <c r="X1871" s="343"/>
      <c r="Y1871" s="249"/>
      <c r="Z1871" s="330"/>
      <c r="AA1871" s="343"/>
      <c r="AB1871" s="249"/>
      <c r="AC1871" s="330"/>
      <c r="AD1871" s="343"/>
      <c r="AE1871" s="249"/>
      <c r="AF1871" s="330"/>
      <c r="AG1871" s="343"/>
      <c r="AH1871" s="249"/>
      <c r="AI1871" s="330"/>
      <c r="AJ1871" s="343"/>
      <c r="AK1871" s="249"/>
      <c r="AL1871" s="330"/>
      <c r="AM1871" s="343"/>
      <c r="AN1871" s="249"/>
      <c r="AO1871" s="330"/>
      <c r="AP1871" s="343"/>
      <c r="AQ1871" s="249"/>
      <c r="AR1871" s="330"/>
      <c r="AS1871" s="343"/>
      <c r="AT1871" s="249"/>
      <c r="AU1871" s="330"/>
    </row>
    <row r="1872" spans="2:47">
      <c r="B1872" s="247">
        <f>'Table S2 Compound Identifiers'!C1874</f>
        <v>0</v>
      </c>
      <c r="C1872" s="247">
        <f>COUNTIF($D$6:D1872,"&lt;&gt;"&amp;"")</f>
        <v>1867</v>
      </c>
      <c r="D1872" s="247">
        <f>'Table S2 Compound Identifiers'!B1874</f>
        <v>0</v>
      </c>
      <c r="E1872" s="247"/>
      <c r="F1872" s="248"/>
      <c r="G1872" s="249"/>
      <c r="H1872" s="330"/>
      <c r="I1872" s="328"/>
      <c r="J1872" s="249"/>
      <c r="K1872" s="330"/>
      <c r="L1872" s="250"/>
      <c r="M1872" s="249"/>
      <c r="N1872" s="330"/>
      <c r="O1872" s="250"/>
      <c r="P1872" s="249"/>
      <c r="Q1872" s="330"/>
      <c r="R1872" s="250"/>
      <c r="S1872" s="249"/>
      <c r="T1872" s="330"/>
      <c r="U1872" s="250"/>
      <c r="V1872" s="249"/>
      <c r="W1872" s="330"/>
      <c r="X1872" s="343"/>
      <c r="Y1872" s="249"/>
      <c r="Z1872" s="330"/>
      <c r="AA1872" s="343"/>
      <c r="AB1872" s="249"/>
      <c r="AC1872" s="330"/>
      <c r="AD1872" s="343"/>
      <c r="AE1872" s="249"/>
      <c r="AF1872" s="330"/>
      <c r="AG1872" s="343"/>
      <c r="AH1872" s="249"/>
      <c r="AI1872" s="330"/>
      <c r="AJ1872" s="343"/>
      <c r="AK1872" s="249"/>
      <c r="AL1872" s="330"/>
      <c r="AM1872" s="343"/>
      <c r="AN1872" s="249"/>
      <c r="AO1872" s="330"/>
      <c r="AP1872" s="343"/>
      <c r="AQ1872" s="249"/>
      <c r="AR1872" s="330"/>
      <c r="AS1872" s="343"/>
      <c r="AT1872" s="249"/>
      <c r="AU1872" s="330"/>
    </row>
    <row r="1873" spans="2:47">
      <c r="B1873" s="247">
        <f>'Table S2 Compound Identifiers'!C1875</f>
        <v>0</v>
      </c>
      <c r="C1873" s="247">
        <f>COUNTIF($D$6:D1873,"&lt;&gt;"&amp;"")</f>
        <v>1868</v>
      </c>
      <c r="D1873" s="247">
        <f>'Table S2 Compound Identifiers'!B1875</f>
        <v>0</v>
      </c>
      <c r="E1873" s="247"/>
      <c r="F1873" s="248"/>
      <c r="G1873" s="249"/>
      <c r="H1873" s="330"/>
      <c r="I1873" s="328"/>
      <c r="J1873" s="249"/>
      <c r="K1873" s="330"/>
      <c r="L1873" s="250"/>
      <c r="M1873" s="249"/>
      <c r="N1873" s="330"/>
      <c r="O1873" s="250"/>
      <c r="P1873" s="249"/>
      <c r="Q1873" s="330"/>
      <c r="R1873" s="250"/>
      <c r="S1873" s="249"/>
      <c r="T1873" s="330"/>
      <c r="U1873" s="250"/>
      <c r="V1873" s="249"/>
      <c r="W1873" s="330"/>
      <c r="X1873" s="343"/>
      <c r="Y1873" s="249"/>
      <c r="Z1873" s="330"/>
      <c r="AA1873" s="343"/>
      <c r="AB1873" s="249"/>
      <c r="AC1873" s="330"/>
      <c r="AD1873" s="343"/>
      <c r="AE1873" s="249"/>
      <c r="AF1873" s="330"/>
      <c r="AG1873" s="343"/>
      <c r="AH1873" s="249"/>
      <c r="AI1873" s="330"/>
      <c r="AJ1873" s="343"/>
      <c r="AK1873" s="249"/>
      <c r="AL1873" s="330"/>
      <c r="AM1873" s="343"/>
      <c r="AN1873" s="249"/>
      <c r="AO1873" s="330"/>
      <c r="AP1873" s="343"/>
      <c r="AQ1873" s="249"/>
      <c r="AR1873" s="330"/>
      <c r="AS1873" s="343"/>
      <c r="AT1873" s="249"/>
      <c r="AU1873" s="330"/>
    </row>
    <row r="1874" spans="2:47">
      <c r="B1874" s="247">
        <f>'Table S2 Compound Identifiers'!C1876</f>
        <v>0</v>
      </c>
      <c r="C1874" s="247">
        <f>COUNTIF($D$6:D1874,"&lt;&gt;"&amp;"")</f>
        <v>1869</v>
      </c>
      <c r="D1874" s="247">
        <f>'Table S2 Compound Identifiers'!B1876</f>
        <v>0</v>
      </c>
      <c r="E1874" s="247"/>
      <c r="F1874" s="248"/>
      <c r="G1874" s="249"/>
      <c r="H1874" s="330"/>
      <c r="I1874" s="328"/>
      <c r="J1874" s="249"/>
      <c r="K1874" s="330"/>
      <c r="L1874" s="250"/>
      <c r="M1874" s="249"/>
      <c r="N1874" s="330"/>
      <c r="O1874" s="250"/>
      <c r="P1874" s="249"/>
      <c r="Q1874" s="330"/>
      <c r="R1874" s="250"/>
      <c r="S1874" s="249"/>
      <c r="T1874" s="330"/>
      <c r="U1874" s="250"/>
      <c r="V1874" s="249"/>
      <c r="W1874" s="330"/>
      <c r="X1874" s="343"/>
      <c r="Y1874" s="249"/>
      <c r="Z1874" s="330"/>
      <c r="AA1874" s="343"/>
      <c r="AB1874" s="249"/>
      <c r="AC1874" s="330"/>
      <c r="AD1874" s="343"/>
      <c r="AE1874" s="249"/>
      <c r="AF1874" s="330"/>
      <c r="AG1874" s="343"/>
      <c r="AH1874" s="249"/>
      <c r="AI1874" s="330"/>
      <c r="AJ1874" s="343"/>
      <c r="AK1874" s="249"/>
      <c r="AL1874" s="330"/>
      <c r="AM1874" s="343"/>
      <c r="AN1874" s="249"/>
      <c r="AO1874" s="330"/>
      <c r="AP1874" s="343"/>
      <c r="AQ1874" s="249"/>
      <c r="AR1874" s="330"/>
      <c r="AS1874" s="343"/>
      <c r="AT1874" s="249"/>
      <c r="AU1874" s="330"/>
    </row>
    <row r="1875" spans="2:47">
      <c r="B1875" s="247">
        <f>'Table S2 Compound Identifiers'!C1877</f>
        <v>0</v>
      </c>
      <c r="C1875" s="247">
        <f>COUNTIF($D$6:D1875,"&lt;&gt;"&amp;"")</f>
        <v>1870</v>
      </c>
      <c r="D1875" s="247">
        <f>'Table S2 Compound Identifiers'!B1877</f>
        <v>0</v>
      </c>
      <c r="E1875" s="247"/>
      <c r="F1875" s="248"/>
      <c r="G1875" s="249"/>
      <c r="H1875" s="330"/>
      <c r="I1875" s="328"/>
      <c r="J1875" s="249"/>
      <c r="K1875" s="330"/>
      <c r="L1875" s="250"/>
      <c r="M1875" s="249"/>
      <c r="N1875" s="330"/>
      <c r="O1875" s="250"/>
      <c r="P1875" s="249"/>
      <c r="Q1875" s="330"/>
      <c r="R1875" s="250"/>
      <c r="S1875" s="249"/>
      <c r="T1875" s="330"/>
      <c r="U1875" s="250"/>
      <c r="V1875" s="249"/>
      <c r="W1875" s="330"/>
      <c r="X1875" s="343"/>
      <c r="Y1875" s="249"/>
      <c r="Z1875" s="330"/>
      <c r="AA1875" s="343"/>
      <c r="AB1875" s="249"/>
      <c r="AC1875" s="330"/>
      <c r="AD1875" s="343"/>
      <c r="AE1875" s="249"/>
      <c r="AF1875" s="330"/>
      <c r="AG1875" s="343"/>
      <c r="AH1875" s="249"/>
      <c r="AI1875" s="330"/>
      <c r="AJ1875" s="343"/>
      <c r="AK1875" s="249"/>
      <c r="AL1875" s="330"/>
      <c r="AM1875" s="343"/>
      <c r="AN1875" s="249"/>
      <c r="AO1875" s="330"/>
      <c r="AP1875" s="343"/>
      <c r="AQ1875" s="249"/>
      <c r="AR1875" s="330"/>
      <c r="AS1875" s="343"/>
      <c r="AT1875" s="249"/>
      <c r="AU1875" s="330"/>
    </row>
    <row r="1876" spans="2:47">
      <c r="B1876" s="247">
        <f>'Table S2 Compound Identifiers'!C1878</f>
        <v>0</v>
      </c>
      <c r="C1876" s="247">
        <f>COUNTIF($D$6:D1876,"&lt;&gt;"&amp;"")</f>
        <v>1871</v>
      </c>
      <c r="D1876" s="247">
        <f>'Table S2 Compound Identifiers'!B1878</f>
        <v>0</v>
      </c>
      <c r="E1876" s="247"/>
      <c r="F1876" s="248"/>
      <c r="G1876" s="249"/>
      <c r="H1876" s="330"/>
      <c r="I1876" s="328"/>
      <c r="J1876" s="249"/>
      <c r="K1876" s="330"/>
      <c r="L1876" s="250"/>
      <c r="M1876" s="249"/>
      <c r="N1876" s="330"/>
      <c r="O1876" s="250"/>
      <c r="P1876" s="249"/>
      <c r="Q1876" s="330"/>
      <c r="R1876" s="250"/>
      <c r="S1876" s="249"/>
      <c r="T1876" s="330"/>
      <c r="U1876" s="250"/>
      <c r="V1876" s="249"/>
      <c r="W1876" s="330"/>
      <c r="X1876" s="343"/>
      <c r="Y1876" s="249"/>
      <c r="Z1876" s="330"/>
      <c r="AA1876" s="343"/>
      <c r="AB1876" s="249"/>
      <c r="AC1876" s="330"/>
      <c r="AD1876" s="343"/>
      <c r="AE1876" s="249"/>
      <c r="AF1876" s="330"/>
      <c r="AG1876" s="343"/>
      <c r="AH1876" s="249"/>
      <c r="AI1876" s="330"/>
      <c r="AJ1876" s="343"/>
      <c r="AK1876" s="249"/>
      <c r="AL1876" s="330"/>
      <c r="AM1876" s="343"/>
      <c r="AN1876" s="249"/>
      <c r="AO1876" s="330"/>
      <c r="AP1876" s="343"/>
      <c r="AQ1876" s="249"/>
      <c r="AR1876" s="330"/>
      <c r="AS1876" s="343"/>
      <c r="AT1876" s="249"/>
      <c r="AU1876" s="330"/>
    </row>
    <row r="1877" spans="2:47">
      <c r="B1877" s="247">
        <f>'Table S2 Compound Identifiers'!C1879</f>
        <v>0</v>
      </c>
      <c r="C1877" s="247">
        <f>COUNTIF($D$6:D1877,"&lt;&gt;"&amp;"")</f>
        <v>1872</v>
      </c>
      <c r="D1877" s="247">
        <f>'Table S2 Compound Identifiers'!B1879</f>
        <v>0</v>
      </c>
      <c r="E1877" s="247"/>
      <c r="F1877" s="248"/>
      <c r="G1877" s="249"/>
      <c r="H1877" s="330"/>
      <c r="I1877" s="328"/>
      <c r="J1877" s="249"/>
      <c r="K1877" s="330"/>
      <c r="L1877" s="250"/>
      <c r="M1877" s="249"/>
      <c r="N1877" s="330"/>
      <c r="O1877" s="250"/>
      <c r="P1877" s="249"/>
      <c r="Q1877" s="330"/>
      <c r="R1877" s="250"/>
      <c r="S1877" s="249"/>
      <c r="T1877" s="330"/>
      <c r="U1877" s="250"/>
      <c r="V1877" s="249"/>
      <c r="W1877" s="330"/>
      <c r="X1877" s="343"/>
      <c r="Y1877" s="249"/>
      <c r="Z1877" s="330"/>
      <c r="AA1877" s="343"/>
      <c r="AB1877" s="249"/>
      <c r="AC1877" s="330"/>
      <c r="AD1877" s="343"/>
      <c r="AE1877" s="249"/>
      <c r="AF1877" s="330"/>
      <c r="AG1877" s="343"/>
      <c r="AH1877" s="249"/>
      <c r="AI1877" s="330"/>
      <c r="AJ1877" s="343"/>
      <c r="AK1877" s="249"/>
      <c r="AL1877" s="330"/>
      <c r="AM1877" s="343"/>
      <c r="AN1877" s="249"/>
      <c r="AO1877" s="330"/>
      <c r="AP1877" s="343"/>
      <c r="AQ1877" s="249"/>
      <c r="AR1877" s="330"/>
      <c r="AS1877" s="343"/>
      <c r="AT1877" s="249"/>
      <c r="AU1877" s="330"/>
    </row>
    <row r="1878" spans="2:47">
      <c r="B1878" s="247">
        <f>'Table S2 Compound Identifiers'!C1880</f>
        <v>0</v>
      </c>
      <c r="C1878" s="247">
        <f>COUNTIF($D$6:D1878,"&lt;&gt;"&amp;"")</f>
        <v>1873</v>
      </c>
      <c r="D1878" s="247">
        <f>'Table S2 Compound Identifiers'!B1880</f>
        <v>0</v>
      </c>
      <c r="E1878" s="247"/>
      <c r="F1878" s="248"/>
      <c r="G1878" s="249"/>
      <c r="H1878" s="330"/>
      <c r="I1878" s="328"/>
      <c r="J1878" s="249"/>
      <c r="K1878" s="330"/>
      <c r="L1878" s="250"/>
      <c r="M1878" s="249"/>
      <c r="N1878" s="330"/>
      <c r="O1878" s="250"/>
      <c r="P1878" s="249"/>
      <c r="Q1878" s="330"/>
      <c r="R1878" s="250"/>
      <c r="S1878" s="249"/>
      <c r="T1878" s="330"/>
      <c r="U1878" s="250"/>
      <c r="V1878" s="249"/>
      <c r="W1878" s="330"/>
      <c r="X1878" s="343"/>
      <c r="Y1878" s="249"/>
      <c r="Z1878" s="330"/>
      <c r="AA1878" s="343"/>
      <c r="AB1878" s="249"/>
      <c r="AC1878" s="330"/>
      <c r="AD1878" s="343"/>
      <c r="AE1878" s="249"/>
      <c r="AF1878" s="330"/>
      <c r="AG1878" s="343"/>
      <c r="AH1878" s="249"/>
      <c r="AI1878" s="330"/>
      <c r="AJ1878" s="343"/>
      <c r="AK1878" s="249"/>
      <c r="AL1878" s="330"/>
      <c r="AM1878" s="343"/>
      <c r="AN1878" s="249"/>
      <c r="AO1878" s="330"/>
      <c r="AP1878" s="343"/>
      <c r="AQ1878" s="249"/>
      <c r="AR1878" s="330"/>
      <c r="AS1878" s="343"/>
      <c r="AT1878" s="249"/>
      <c r="AU1878" s="330"/>
    </row>
    <row r="1879" spans="2:47">
      <c r="B1879" s="247">
        <f>'Table S2 Compound Identifiers'!C1881</f>
        <v>0</v>
      </c>
      <c r="C1879" s="247">
        <f>COUNTIF($D$6:D1879,"&lt;&gt;"&amp;"")</f>
        <v>1874</v>
      </c>
      <c r="D1879" s="247">
        <f>'Table S2 Compound Identifiers'!B1881</f>
        <v>0</v>
      </c>
      <c r="E1879" s="247"/>
      <c r="F1879" s="248"/>
      <c r="G1879" s="249"/>
      <c r="H1879" s="330"/>
      <c r="I1879" s="328"/>
      <c r="J1879" s="249"/>
      <c r="K1879" s="330"/>
      <c r="L1879" s="250"/>
      <c r="M1879" s="249"/>
      <c r="N1879" s="330"/>
      <c r="O1879" s="250"/>
      <c r="P1879" s="249"/>
      <c r="Q1879" s="330"/>
      <c r="R1879" s="250"/>
      <c r="S1879" s="249"/>
      <c r="T1879" s="330"/>
      <c r="U1879" s="250"/>
      <c r="V1879" s="249"/>
      <c r="W1879" s="330"/>
      <c r="X1879" s="343"/>
      <c r="Y1879" s="249"/>
      <c r="Z1879" s="330"/>
      <c r="AA1879" s="343"/>
      <c r="AB1879" s="249"/>
      <c r="AC1879" s="330"/>
      <c r="AD1879" s="343"/>
      <c r="AE1879" s="249"/>
      <c r="AF1879" s="330"/>
      <c r="AG1879" s="343"/>
      <c r="AH1879" s="249"/>
      <c r="AI1879" s="330"/>
      <c r="AJ1879" s="343"/>
      <c r="AK1879" s="249"/>
      <c r="AL1879" s="330"/>
      <c r="AM1879" s="343"/>
      <c r="AN1879" s="249"/>
      <c r="AO1879" s="330"/>
      <c r="AP1879" s="343"/>
      <c r="AQ1879" s="249"/>
      <c r="AR1879" s="330"/>
      <c r="AS1879" s="343"/>
      <c r="AT1879" s="249"/>
      <c r="AU1879" s="330"/>
    </row>
    <row r="1880" spans="2:47">
      <c r="B1880" s="247">
        <f>'Table S2 Compound Identifiers'!C1882</f>
        <v>0</v>
      </c>
      <c r="C1880" s="247">
        <f>COUNTIF($D$6:D1880,"&lt;&gt;"&amp;"")</f>
        <v>1875</v>
      </c>
      <c r="D1880" s="247">
        <f>'Table S2 Compound Identifiers'!B1882</f>
        <v>0</v>
      </c>
      <c r="E1880" s="247"/>
      <c r="F1880" s="248"/>
      <c r="G1880" s="249"/>
      <c r="H1880" s="330"/>
      <c r="I1880" s="328"/>
      <c r="J1880" s="249"/>
      <c r="K1880" s="330"/>
      <c r="L1880" s="250"/>
      <c r="M1880" s="249"/>
      <c r="N1880" s="330"/>
      <c r="O1880" s="250"/>
      <c r="P1880" s="249"/>
      <c r="Q1880" s="330"/>
      <c r="R1880" s="250"/>
      <c r="S1880" s="249"/>
      <c r="T1880" s="330"/>
      <c r="U1880" s="250"/>
      <c r="V1880" s="249"/>
      <c r="W1880" s="330"/>
      <c r="X1880" s="343"/>
      <c r="Y1880" s="249"/>
      <c r="Z1880" s="330"/>
      <c r="AA1880" s="343"/>
      <c r="AB1880" s="249"/>
      <c r="AC1880" s="330"/>
      <c r="AD1880" s="343"/>
      <c r="AE1880" s="249"/>
      <c r="AF1880" s="330"/>
      <c r="AG1880" s="343"/>
      <c r="AH1880" s="249"/>
      <c r="AI1880" s="330"/>
      <c r="AJ1880" s="343"/>
      <c r="AK1880" s="249"/>
      <c r="AL1880" s="330"/>
      <c r="AM1880" s="343"/>
      <c r="AN1880" s="249"/>
      <c r="AO1880" s="330"/>
      <c r="AP1880" s="343"/>
      <c r="AQ1880" s="249"/>
      <c r="AR1880" s="330"/>
      <c r="AS1880" s="343"/>
      <c r="AT1880" s="249"/>
      <c r="AU1880" s="330"/>
    </row>
    <row r="1881" spans="2:47">
      <c r="B1881" s="247">
        <f>'Table S2 Compound Identifiers'!C1883</f>
        <v>0</v>
      </c>
      <c r="C1881" s="247">
        <f>COUNTIF($D$6:D1881,"&lt;&gt;"&amp;"")</f>
        <v>1876</v>
      </c>
      <c r="D1881" s="247">
        <f>'Table S2 Compound Identifiers'!B1883</f>
        <v>0</v>
      </c>
      <c r="E1881" s="247"/>
      <c r="F1881" s="248"/>
      <c r="G1881" s="249"/>
      <c r="H1881" s="330"/>
      <c r="I1881" s="328"/>
      <c r="J1881" s="249"/>
      <c r="K1881" s="330"/>
      <c r="L1881" s="250"/>
      <c r="M1881" s="249"/>
      <c r="N1881" s="330"/>
      <c r="O1881" s="250"/>
      <c r="P1881" s="249"/>
      <c r="Q1881" s="330"/>
      <c r="R1881" s="250"/>
      <c r="S1881" s="249"/>
      <c r="T1881" s="330"/>
      <c r="U1881" s="250"/>
      <c r="V1881" s="249"/>
      <c r="W1881" s="330"/>
      <c r="X1881" s="343"/>
      <c r="Y1881" s="249"/>
      <c r="Z1881" s="330"/>
      <c r="AA1881" s="343"/>
      <c r="AB1881" s="249"/>
      <c r="AC1881" s="330"/>
      <c r="AD1881" s="343"/>
      <c r="AE1881" s="249"/>
      <c r="AF1881" s="330"/>
      <c r="AG1881" s="343"/>
      <c r="AH1881" s="249"/>
      <c r="AI1881" s="330"/>
      <c r="AJ1881" s="343"/>
      <c r="AK1881" s="249"/>
      <c r="AL1881" s="330"/>
      <c r="AM1881" s="343"/>
      <c r="AN1881" s="249"/>
      <c r="AO1881" s="330"/>
      <c r="AP1881" s="343"/>
      <c r="AQ1881" s="249"/>
      <c r="AR1881" s="330"/>
      <c r="AS1881" s="343"/>
      <c r="AT1881" s="249"/>
      <c r="AU1881" s="330"/>
    </row>
    <row r="1882" spans="2:47">
      <c r="B1882" s="247">
        <f>'Table S2 Compound Identifiers'!C1884</f>
        <v>0</v>
      </c>
      <c r="C1882" s="247">
        <f>COUNTIF($D$6:D1882,"&lt;&gt;"&amp;"")</f>
        <v>1877</v>
      </c>
      <c r="D1882" s="247">
        <f>'Table S2 Compound Identifiers'!B1884</f>
        <v>0</v>
      </c>
      <c r="E1882" s="247"/>
      <c r="F1882" s="248"/>
      <c r="G1882" s="249"/>
      <c r="H1882" s="330"/>
      <c r="I1882" s="328"/>
      <c r="J1882" s="249"/>
      <c r="K1882" s="330"/>
      <c r="L1882" s="250"/>
      <c r="M1882" s="249"/>
      <c r="N1882" s="330"/>
      <c r="O1882" s="250"/>
      <c r="P1882" s="249"/>
      <c r="Q1882" s="330"/>
      <c r="R1882" s="250"/>
      <c r="S1882" s="249"/>
      <c r="T1882" s="330"/>
      <c r="U1882" s="250"/>
      <c r="V1882" s="249"/>
      <c r="W1882" s="330"/>
      <c r="X1882" s="343"/>
      <c r="Y1882" s="249"/>
      <c r="Z1882" s="330"/>
      <c r="AA1882" s="343"/>
      <c r="AB1882" s="249"/>
      <c r="AC1882" s="330"/>
      <c r="AD1882" s="343"/>
      <c r="AE1882" s="249"/>
      <c r="AF1882" s="330"/>
      <c r="AG1882" s="343"/>
      <c r="AH1882" s="249"/>
      <c r="AI1882" s="330"/>
      <c r="AJ1882" s="343"/>
      <c r="AK1882" s="249"/>
      <c r="AL1882" s="330"/>
      <c r="AM1882" s="343"/>
      <c r="AN1882" s="249"/>
      <c r="AO1882" s="330"/>
      <c r="AP1882" s="343"/>
      <c r="AQ1882" s="249"/>
      <c r="AR1882" s="330"/>
      <c r="AS1882" s="343"/>
      <c r="AT1882" s="249"/>
      <c r="AU1882" s="330"/>
    </row>
    <row r="1883" spans="2:47">
      <c r="B1883" s="247">
        <f>'Table S2 Compound Identifiers'!C1885</f>
        <v>0</v>
      </c>
      <c r="C1883" s="247">
        <f>COUNTIF($D$6:D1883,"&lt;&gt;"&amp;"")</f>
        <v>1878</v>
      </c>
      <c r="D1883" s="247">
        <f>'Table S2 Compound Identifiers'!B1885</f>
        <v>0</v>
      </c>
      <c r="E1883" s="247"/>
      <c r="F1883" s="248"/>
      <c r="G1883" s="249"/>
      <c r="H1883" s="330"/>
      <c r="I1883" s="328"/>
      <c r="J1883" s="249"/>
      <c r="K1883" s="330"/>
      <c r="L1883" s="250"/>
      <c r="M1883" s="249"/>
      <c r="N1883" s="330"/>
      <c r="O1883" s="250"/>
      <c r="P1883" s="249"/>
      <c r="Q1883" s="330"/>
      <c r="R1883" s="250"/>
      <c r="S1883" s="249"/>
      <c r="T1883" s="330"/>
      <c r="U1883" s="250"/>
      <c r="V1883" s="249"/>
      <c r="W1883" s="330"/>
      <c r="X1883" s="343"/>
      <c r="Y1883" s="249"/>
      <c r="Z1883" s="330"/>
      <c r="AA1883" s="343"/>
      <c r="AB1883" s="249"/>
      <c r="AC1883" s="330"/>
      <c r="AD1883" s="343"/>
      <c r="AE1883" s="249"/>
      <c r="AF1883" s="330"/>
      <c r="AG1883" s="343"/>
      <c r="AH1883" s="249"/>
      <c r="AI1883" s="330"/>
      <c r="AJ1883" s="343"/>
      <c r="AK1883" s="249"/>
      <c r="AL1883" s="330"/>
      <c r="AM1883" s="343"/>
      <c r="AN1883" s="249"/>
      <c r="AO1883" s="330"/>
      <c r="AP1883" s="343"/>
      <c r="AQ1883" s="249"/>
      <c r="AR1883" s="330"/>
      <c r="AS1883" s="343"/>
      <c r="AT1883" s="249"/>
      <c r="AU1883" s="330"/>
    </row>
    <row r="1884" spans="2:47">
      <c r="B1884" s="247">
        <f>'Table S2 Compound Identifiers'!C1886</f>
        <v>0</v>
      </c>
      <c r="C1884" s="247">
        <f>COUNTIF($D$6:D1884,"&lt;&gt;"&amp;"")</f>
        <v>1879</v>
      </c>
      <c r="D1884" s="247">
        <f>'Table S2 Compound Identifiers'!B1886</f>
        <v>0</v>
      </c>
      <c r="E1884" s="247"/>
      <c r="F1884" s="248"/>
      <c r="G1884" s="249"/>
      <c r="H1884" s="330"/>
      <c r="I1884" s="328"/>
      <c r="J1884" s="249"/>
      <c r="K1884" s="330"/>
      <c r="L1884" s="250"/>
      <c r="M1884" s="249"/>
      <c r="N1884" s="330"/>
      <c r="O1884" s="250"/>
      <c r="P1884" s="249"/>
      <c r="Q1884" s="330"/>
      <c r="R1884" s="250"/>
      <c r="S1884" s="249"/>
      <c r="T1884" s="330"/>
      <c r="U1884" s="250"/>
      <c r="V1884" s="249"/>
      <c r="W1884" s="330"/>
      <c r="X1884" s="343"/>
      <c r="Y1884" s="249"/>
      <c r="Z1884" s="330"/>
      <c r="AA1884" s="343"/>
      <c r="AB1884" s="249"/>
      <c r="AC1884" s="330"/>
      <c r="AD1884" s="343"/>
      <c r="AE1884" s="249"/>
      <c r="AF1884" s="330"/>
      <c r="AG1884" s="343"/>
      <c r="AH1884" s="249"/>
      <c r="AI1884" s="330"/>
      <c r="AJ1884" s="343"/>
      <c r="AK1884" s="249"/>
      <c r="AL1884" s="330"/>
      <c r="AM1884" s="343"/>
      <c r="AN1884" s="249"/>
      <c r="AO1884" s="330"/>
      <c r="AP1884" s="343"/>
      <c r="AQ1884" s="249"/>
      <c r="AR1884" s="330"/>
      <c r="AS1884" s="343"/>
      <c r="AT1884" s="249"/>
      <c r="AU1884" s="330"/>
    </row>
    <row r="1885" spans="2:47">
      <c r="B1885" s="247">
        <f>'Table S2 Compound Identifiers'!C1887</f>
        <v>0</v>
      </c>
      <c r="C1885" s="247">
        <f>COUNTIF($D$6:D1885,"&lt;&gt;"&amp;"")</f>
        <v>1880</v>
      </c>
      <c r="D1885" s="247">
        <f>'Table S2 Compound Identifiers'!B1887</f>
        <v>0</v>
      </c>
      <c r="E1885" s="247"/>
      <c r="F1885" s="248"/>
      <c r="G1885" s="249"/>
      <c r="H1885" s="330"/>
      <c r="I1885" s="328"/>
      <c r="J1885" s="249"/>
      <c r="K1885" s="330"/>
      <c r="L1885" s="250"/>
      <c r="M1885" s="249"/>
      <c r="N1885" s="330"/>
      <c r="O1885" s="250"/>
      <c r="P1885" s="249"/>
      <c r="Q1885" s="330"/>
      <c r="R1885" s="250"/>
      <c r="S1885" s="249"/>
      <c r="T1885" s="330"/>
      <c r="U1885" s="250"/>
      <c r="V1885" s="249"/>
      <c r="W1885" s="330"/>
      <c r="X1885" s="343"/>
      <c r="Y1885" s="249"/>
      <c r="Z1885" s="330"/>
      <c r="AA1885" s="343"/>
      <c r="AB1885" s="249"/>
      <c r="AC1885" s="330"/>
      <c r="AD1885" s="343"/>
      <c r="AE1885" s="249"/>
      <c r="AF1885" s="330"/>
      <c r="AG1885" s="343"/>
      <c r="AH1885" s="249"/>
      <c r="AI1885" s="330"/>
      <c r="AJ1885" s="343"/>
      <c r="AK1885" s="249"/>
      <c r="AL1885" s="330"/>
      <c r="AM1885" s="343"/>
      <c r="AN1885" s="249"/>
      <c r="AO1885" s="330"/>
      <c r="AP1885" s="343"/>
      <c r="AQ1885" s="249"/>
      <c r="AR1885" s="330"/>
      <c r="AS1885" s="343"/>
      <c r="AT1885" s="249"/>
      <c r="AU1885" s="330"/>
    </row>
    <row r="1886" spans="2:47">
      <c r="B1886" s="247">
        <f>'Table S2 Compound Identifiers'!C1888</f>
        <v>0</v>
      </c>
      <c r="C1886" s="247">
        <f>COUNTIF($D$6:D1886,"&lt;&gt;"&amp;"")</f>
        <v>1881</v>
      </c>
      <c r="D1886" s="247">
        <f>'Table S2 Compound Identifiers'!B1888</f>
        <v>0</v>
      </c>
      <c r="E1886" s="247"/>
      <c r="F1886" s="248"/>
      <c r="G1886" s="249"/>
      <c r="H1886" s="330"/>
      <c r="I1886" s="328"/>
      <c r="J1886" s="249"/>
      <c r="K1886" s="330"/>
      <c r="L1886" s="250"/>
      <c r="M1886" s="249"/>
      <c r="N1886" s="330"/>
      <c r="O1886" s="250"/>
      <c r="P1886" s="249"/>
      <c r="Q1886" s="330"/>
      <c r="R1886" s="250"/>
      <c r="S1886" s="249"/>
      <c r="T1886" s="330"/>
      <c r="U1886" s="250"/>
      <c r="V1886" s="249"/>
      <c r="W1886" s="330"/>
      <c r="X1886" s="343"/>
      <c r="Y1886" s="249"/>
      <c r="Z1886" s="330"/>
      <c r="AA1886" s="343"/>
      <c r="AB1886" s="249"/>
      <c r="AC1886" s="330"/>
      <c r="AD1886" s="343"/>
      <c r="AE1886" s="249"/>
      <c r="AF1886" s="330"/>
      <c r="AG1886" s="343"/>
      <c r="AH1886" s="249"/>
      <c r="AI1886" s="330"/>
      <c r="AJ1886" s="343"/>
      <c r="AK1886" s="249"/>
      <c r="AL1886" s="330"/>
      <c r="AM1886" s="343"/>
      <c r="AN1886" s="249"/>
      <c r="AO1886" s="330"/>
      <c r="AP1886" s="343"/>
      <c r="AQ1886" s="249"/>
      <c r="AR1886" s="330"/>
      <c r="AS1886" s="343"/>
      <c r="AT1886" s="249"/>
      <c r="AU1886" s="330"/>
    </row>
    <row r="1887" spans="2:47">
      <c r="B1887" s="247">
        <f>'Table S2 Compound Identifiers'!C1889</f>
        <v>0</v>
      </c>
      <c r="C1887" s="247">
        <f>COUNTIF($D$6:D1887,"&lt;&gt;"&amp;"")</f>
        <v>1882</v>
      </c>
      <c r="D1887" s="247">
        <f>'Table S2 Compound Identifiers'!B1889</f>
        <v>0</v>
      </c>
      <c r="E1887" s="247"/>
      <c r="F1887" s="248"/>
      <c r="G1887" s="249"/>
      <c r="H1887" s="330"/>
      <c r="I1887" s="328"/>
      <c r="J1887" s="249"/>
      <c r="K1887" s="330"/>
      <c r="L1887" s="250"/>
      <c r="M1887" s="249"/>
      <c r="N1887" s="330"/>
      <c r="O1887" s="250"/>
      <c r="P1887" s="249"/>
      <c r="Q1887" s="330"/>
      <c r="R1887" s="250"/>
      <c r="S1887" s="249"/>
      <c r="T1887" s="330"/>
      <c r="U1887" s="250"/>
      <c r="V1887" s="249"/>
      <c r="W1887" s="330"/>
      <c r="X1887" s="343"/>
      <c r="Y1887" s="249"/>
      <c r="Z1887" s="330"/>
      <c r="AA1887" s="343"/>
      <c r="AB1887" s="249"/>
      <c r="AC1887" s="330"/>
      <c r="AD1887" s="343"/>
      <c r="AE1887" s="249"/>
      <c r="AF1887" s="330"/>
      <c r="AG1887" s="343"/>
      <c r="AH1887" s="249"/>
      <c r="AI1887" s="330"/>
      <c r="AJ1887" s="343"/>
      <c r="AK1887" s="249"/>
      <c r="AL1887" s="330"/>
      <c r="AM1887" s="343"/>
      <c r="AN1887" s="249"/>
      <c r="AO1887" s="330"/>
      <c r="AP1887" s="343"/>
      <c r="AQ1887" s="249"/>
      <c r="AR1887" s="330"/>
      <c r="AS1887" s="343"/>
      <c r="AT1887" s="249"/>
      <c r="AU1887" s="330"/>
    </row>
    <row r="1888" spans="2:47">
      <c r="B1888" s="247">
        <f>'Table S2 Compound Identifiers'!C1890</f>
        <v>0</v>
      </c>
      <c r="C1888" s="247">
        <f>COUNTIF($D$6:D1888,"&lt;&gt;"&amp;"")</f>
        <v>1883</v>
      </c>
      <c r="D1888" s="247">
        <f>'Table S2 Compound Identifiers'!B1890</f>
        <v>0</v>
      </c>
      <c r="E1888" s="247"/>
      <c r="F1888" s="248"/>
      <c r="G1888" s="249"/>
      <c r="H1888" s="330"/>
      <c r="I1888" s="328"/>
      <c r="J1888" s="249"/>
      <c r="K1888" s="330"/>
      <c r="L1888" s="250"/>
      <c r="M1888" s="249"/>
      <c r="N1888" s="330"/>
      <c r="O1888" s="250"/>
      <c r="P1888" s="249"/>
      <c r="Q1888" s="330"/>
      <c r="R1888" s="250"/>
      <c r="S1888" s="249"/>
      <c r="T1888" s="330"/>
      <c r="U1888" s="250"/>
      <c r="V1888" s="249"/>
      <c r="W1888" s="330"/>
      <c r="X1888" s="343"/>
      <c r="Y1888" s="249"/>
      <c r="Z1888" s="330"/>
      <c r="AA1888" s="343"/>
      <c r="AB1888" s="249"/>
      <c r="AC1888" s="330"/>
      <c r="AD1888" s="343"/>
      <c r="AE1888" s="249"/>
      <c r="AF1888" s="330"/>
      <c r="AG1888" s="343"/>
      <c r="AH1888" s="249"/>
      <c r="AI1888" s="330"/>
      <c r="AJ1888" s="343"/>
      <c r="AK1888" s="249"/>
      <c r="AL1888" s="330"/>
      <c r="AM1888" s="343"/>
      <c r="AN1888" s="249"/>
      <c r="AO1888" s="330"/>
      <c r="AP1888" s="343"/>
      <c r="AQ1888" s="249"/>
      <c r="AR1888" s="330"/>
      <c r="AS1888" s="343"/>
      <c r="AT1888" s="249"/>
      <c r="AU1888" s="330"/>
    </row>
    <row r="1889" spans="2:47">
      <c r="B1889" s="247">
        <f>'Table S2 Compound Identifiers'!C1891</f>
        <v>0</v>
      </c>
      <c r="C1889" s="247">
        <f>COUNTIF($D$6:D1889,"&lt;&gt;"&amp;"")</f>
        <v>1884</v>
      </c>
      <c r="D1889" s="247">
        <f>'Table S2 Compound Identifiers'!B1891</f>
        <v>0</v>
      </c>
      <c r="E1889" s="247"/>
      <c r="F1889" s="248"/>
      <c r="G1889" s="249"/>
      <c r="H1889" s="330"/>
      <c r="I1889" s="328"/>
      <c r="J1889" s="249"/>
      <c r="K1889" s="330"/>
      <c r="L1889" s="250"/>
      <c r="M1889" s="249"/>
      <c r="N1889" s="330"/>
      <c r="O1889" s="250"/>
      <c r="P1889" s="249"/>
      <c r="Q1889" s="330"/>
      <c r="R1889" s="250"/>
      <c r="S1889" s="249"/>
      <c r="T1889" s="330"/>
      <c r="U1889" s="250"/>
      <c r="V1889" s="249"/>
      <c r="W1889" s="330"/>
      <c r="X1889" s="343"/>
      <c r="Y1889" s="249"/>
      <c r="Z1889" s="330"/>
      <c r="AA1889" s="343"/>
      <c r="AB1889" s="249"/>
      <c r="AC1889" s="330"/>
      <c r="AD1889" s="343"/>
      <c r="AE1889" s="249"/>
      <c r="AF1889" s="330"/>
      <c r="AG1889" s="343"/>
      <c r="AH1889" s="249"/>
      <c r="AI1889" s="330"/>
      <c r="AJ1889" s="343"/>
      <c r="AK1889" s="249"/>
      <c r="AL1889" s="330"/>
      <c r="AM1889" s="343"/>
      <c r="AN1889" s="249"/>
      <c r="AO1889" s="330"/>
      <c r="AP1889" s="343"/>
      <c r="AQ1889" s="249"/>
      <c r="AR1889" s="330"/>
      <c r="AS1889" s="343"/>
      <c r="AT1889" s="249"/>
      <c r="AU1889" s="330"/>
    </row>
    <row r="1890" spans="2:47">
      <c r="B1890" s="247">
        <f>'Table S2 Compound Identifiers'!C1892</f>
        <v>0</v>
      </c>
      <c r="C1890" s="247">
        <f>COUNTIF($D$6:D1890,"&lt;&gt;"&amp;"")</f>
        <v>1885</v>
      </c>
      <c r="D1890" s="247">
        <f>'Table S2 Compound Identifiers'!B1892</f>
        <v>0</v>
      </c>
      <c r="E1890" s="247"/>
      <c r="F1890" s="248"/>
      <c r="G1890" s="249"/>
      <c r="H1890" s="330"/>
      <c r="I1890" s="328"/>
      <c r="J1890" s="249"/>
      <c r="K1890" s="330"/>
      <c r="L1890" s="250"/>
      <c r="M1890" s="249"/>
      <c r="N1890" s="330"/>
      <c r="O1890" s="250"/>
      <c r="P1890" s="249"/>
      <c r="Q1890" s="330"/>
      <c r="R1890" s="250"/>
      <c r="S1890" s="249"/>
      <c r="T1890" s="330"/>
      <c r="U1890" s="250"/>
      <c r="V1890" s="249"/>
      <c r="W1890" s="330"/>
      <c r="X1890" s="343"/>
      <c r="Y1890" s="249"/>
      <c r="Z1890" s="330"/>
      <c r="AA1890" s="343"/>
      <c r="AB1890" s="249"/>
      <c r="AC1890" s="330"/>
      <c r="AD1890" s="343"/>
      <c r="AE1890" s="249"/>
      <c r="AF1890" s="330"/>
      <c r="AG1890" s="343"/>
      <c r="AH1890" s="249"/>
      <c r="AI1890" s="330"/>
      <c r="AJ1890" s="343"/>
      <c r="AK1890" s="249"/>
      <c r="AL1890" s="330"/>
      <c r="AM1890" s="343"/>
      <c r="AN1890" s="249"/>
      <c r="AO1890" s="330"/>
      <c r="AP1890" s="343"/>
      <c r="AQ1890" s="249"/>
      <c r="AR1890" s="330"/>
      <c r="AS1890" s="343"/>
      <c r="AT1890" s="249"/>
      <c r="AU1890" s="330"/>
    </row>
    <row r="1891" spans="2:47">
      <c r="B1891" s="247">
        <f>'Table S2 Compound Identifiers'!C1893</f>
        <v>0</v>
      </c>
      <c r="C1891" s="247">
        <f>COUNTIF($D$6:D1891,"&lt;&gt;"&amp;"")</f>
        <v>1886</v>
      </c>
      <c r="D1891" s="247">
        <f>'Table S2 Compound Identifiers'!B1893</f>
        <v>0</v>
      </c>
      <c r="E1891" s="247"/>
      <c r="F1891" s="248"/>
      <c r="G1891" s="249"/>
      <c r="H1891" s="330"/>
      <c r="I1891" s="328"/>
      <c r="J1891" s="249"/>
      <c r="K1891" s="330"/>
      <c r="L1891" s="250"/>
      <c r="M1891" s="249"/>
      <c r="N1891" s="330"/>
      <c r="O1891" s="250"/>
      <c r="P1891" s="249"/>
      <c r="Q1891" s="330"/>
      <c r="R1891" s="250"/>
      <c r="S1891" s="249"/>
      <c r="T1891" s="330"/>
      <c r="U1891" s="250"/>
      <c r="V1891" s="249"/>
      <c r="W1891" s="330"/>
      <c r="X1891" s="343"/>
      <c r="Y1891" s="249"/>
      <c r="Z1891" s="330"/>
      <c r="AA1891" s="343"/>
      <c r="AB1891" s="249"/>
      <c r="AC1891" s="330"/>
      <c r="AD1891" s="343"/>
      <c r="AE1891" s="249"/>
      <c r="AF1891" s="330"/>
      <c r="AG1891" s="343"/>
      <c r="AH1891" s="249"/>
      <c r="AI1891" s="330"/>
      <c r="AJ1891" s="343"/>
      <c r="AK1891" s="249"/>
      <c r="AL1891" s="330"/>
      <c r="AM1891" s="343"/>
      <c r="AN1891" s="249"/>
      <c r="AO1891" s="330"/>
      <c r="AP1891" s="343"/>
      <c r="AQ1891" s="249"/>
      <c r="AR1891" s="330"/>
      <c r="AS1891" s="343"/>
      <c r="AT1891" s="249"/>
      <c r="AU1891" s="330"/>
    </row>
    <row r="1892" spans="2:47">
      <c r="B1892" s="247">
        <f>'Table S2 Compound Identifiers'!C1894</f>
        <v>0</v>
      </c>
      <c r="C1892" s="247">
        <f>COUNTIF($D$6:D1892,"&lt;&gt;"&amp;"")</f>
        <v>1887</v>
      </c>
      <c r="D1892" s="247">
        <f>'Table S2 Compound Identifiers'!B1894</f>
        <v>0</v>
      </c>
      <c r="E1892" s="247"/>
      <c r="F1892" s="248"/>
      <c r="G1892" s="249"/>
      <c r="H1892" s="330"/>
      <c r="I1892" s="328"/>
      <c r="J1892" s="249"/>
      <c r="K1892" s="330"/>
      <c r="L1892" s="250"/>
      <c r="M1892" s="249"/>
      <c r="N1892" s="330"/>
      <c r="O1892" s="250"/>
      <c r="P1892" s="249"/>
      <c r="Q1892" s="330"/>
      <c r="R1892" s="250"/>
      <c r="S1892" s="249"/>
      <c r="T1892" s="330"/>
      <c r="U1892" s="250"/>
      <c r="V1892" s="249"/>
      <c r="W1892" s="330"/>
      <c r="X1892" s="343"/>
      <c r="Y1892" s="249"/>
      <c r="Z1892" s="330"/>
      <c r="AA1892" s="343"/>
      <c r="AB1892" s="249"/>
      <c r="AC1892" s="330"/>
      <c r="AD1892" s="343"/>
      <c r="AE1892" s="249"/>
      <c r="AF1892" s="330"/>
      <c r="AG1892" s="343"/>
      <c r="AH1892" s="249"/>
      <c r="AI1892" s="330"/>
      <c r="AJ1892" s="343"/>
      <c r="AK1892" s="249"/>
      <c r="AL1892" s="330"/>
      <c r="AM1892" s="343"/>
      <c r="AN1892" s="249"/>
      <c r="AO1892" s="330"/>
      <c r="AP1892" s="343"/>
      <c r="AQ1892" s="249"/>
      <c r="AR1892" s="330"/>
      <c r="AS1892" s="343"/>
      <c r="AT1892" s="249"/>
      <c r="AU1892" s="330"/>
    </row>
    <row r="1893" spans="2:47">
      <c r="B1893" s="247">
        <f>'Table S2 Compound Identifiers'!C1895</f>
        <v>0</v>
      </c>
      <c r="C1893" s="247">
        <f>COUNTIF($D$6:D1893,"&lt;&gt;"&amp;"")</f>
        <v>1888</v>
      </c>
      <c r="D1893" s="247">
        <f>'Table S2 Compound Identifiers'!B1895</f>
        <v>0</v>
      </c>
      <c r="E1893" s="247"/>
      <c r="F1893" s="248"/>
      <c r="G1893" s="249"/>
      <c r="H1893" s="330"/>
      <c r="I1893" s="328"/>
      <c r="J1893" s="249"/>
      <c r="K1893" s="330"/>
      <c r="L1893" s="250"/>
      <c r="M1893" s="249"/>
      <c r="N1893" s="330"/>
      <c r="O1893" s="250"/>
      <c r="P1893" s="249"/>
      <c r="Q1893" s="330"/>
      <c r="R1893" s="250"/>
      <c r="S1893" s="249"/>
      <c r="T1893" s="330"/>
      <c r="U1893" s="250"/>
      <c r="V1893" s="249"/>
      <c r="W1893" s="330"/>
      <c r="X1893" s="343"/>
      <c r="Y1893" s="249"/>
      <c r="Z1893" s="330"/>
      <c r="AA1893" s="343"/>
      <c r="AB1893" s="249"/>
      <c r="AC1893" s="330"/>
      <c r="AD1893" s="343"/>
      <c r="AE1893" s="249"/>
      <c r="AF1893" s="330"/>
      <c r="AG1893" s="343"/>
      <c r="AH1893" s="249"/>
      <c r="AI1893" s="330"/>
      <c r="AJ1893" s="343"/>
      <c r="AK1893" s="249"/>
      <c r="AL1893" s="330"/>
      <c r="AM1893" s="343"/>
      <c r="AN1893" s="249"/>
      <c r="AO1893" s="330"/>
      <c r="AP1893" s="343"/>
      <c r="AQ1893" s="249"/>
      <c r="AR1893" s="330"/>
      <c r="AS1893" s="343"/>
      <c r="AT1893" s="249"/>
      <c r="AU1893" s="330"/>
    </row>
    <row r="1894" spans="2:47">
      <c r="B1894" s="247">
        <f>'Table S2 Compound Identifiers'!C1896</f>
        <v>0</v>
      </c>
      <c r="C1894" s="247">
        <f>COUNTIF($D$6:D1894,"&lt;&gt;"&amp;"")</f>
        <v>1889</v>
      </c>
      <c r="D1894" s="247">
        <f>'Table S2 Compound Identifiers'!B1896</f>
        <v>0</v>
      </c>
      <c r="E1894" s="247"/>
      <c r="F1894" s="248"/>
      <c r="G1894" s="249"/>
      <c r="H1894" s="330"/>
      <c r="I1894" s="328"/>
      <c r="J1894" s="249"/>
      <c r="K1894" s="330"/>
      <c r="L1894" s="250"/>
      <c r="M1894" s="249"/>
      <c r="N1894" s="330"/>
      <c r="O1894" s="250"/>
      <c r="P1894" s="249"/>
      <c r="Q1894" s="330"/>
      <c r="R1894" s="250"/>
      <c r="S1894" s="249"/>
      <c r="T1894" s="330"/>
      <c r="U1894" s="250"/>
      <c r="V1894" s="249"/>
      <c r="W1894" s="330"/>
      <c r="X1894" s="343"/>
      <c r="Y1894" s="249"/>
      <c r="Z1894" s="330"/>
      <c r="AA1894" s="343"/>
      <c r="AB1894" s="249"/>
      <c r="AC1894" s="330"/>
      <c r="AD1894" s="343"/>
      <c r="AE1894" s="249"/>
      <c r="AF1894" s="330"/>
      <c r="AG1894" s="343"/>
      <c r="AH1894" s="249"/>
      <c r="AI1894" s="330"/>
      <c r="AJ1894" s="343"/>
      <c r="AK1894" s="249"/>
      <c r="AL1894" s="330"/>
      <c r="AM1894" s="343"/>
      <c r="AN1894" s="249"/>
      <c r="AO1894" s="330"/>
      <c r="AP1894" s="343"/>
      <c r="AQ1894" s="249"/>
      <c r="AR1894" s="330"/>
      <c r="AS1894" s="343"/>
      <c r="AT1894" s="249"/>
      <c r="AU1894" s="330"/>
    </row>
    <row r="1895" spans="2:47">
      <c r="B1895" s="247">
        <f>'Table S2 Compound Identifiers'!C1897</f>
        <v>0</v>
      </c>
      <c r="C1895" s="247">
        <f>COUNTIF($D$6:D1895,"&lt;&gt;"&amp;"")</f>
        <v>1890</v>
      </c>
      <c r="D1895" s="247">
        <f>'Table S2 Compound Identifiers'!B1897</f>
        <v>0</v>
      </c>
      <c r="E1895" s="247"/>
      <c r="F1895" s="248"/>
      <c r="G1895" s="249"/>
      <c r="H1895" s="330"/>
      <c r="I1895" s="328"/>
      <c r="J1895" s="249"/>
      <c r="K1895" s="330"/>
      <c r="L1895" s="250"/>
      <c r="M1895" s="249"/>
      <c r="N1895" s="330"/>
      <c r="O1895" s="250"/>
      <c r="P1895" s="249"/>
      <c r="Q1895" s="330"/>
      <c r="R1895" s="250"/>
      <c r="S1895" s="249"/>
      <c r="T1895" s="330"/>
      <c r="U1895" s="250"/>
      <c r="V1895" s="249"/>
      <c r="W1895" s="330"/>
      <c r="X1895" s="343"/>
      <c r="Y1895" s="249"/>
      <c r="Z1895" s="330"/>
      <c r="AA1895" s="343"/>
      <c r="AB1895" s="249"/>
      <c r="AC1895" s="330"/>
      <c r="AD1895" s="343"/>
      <c r="AE1895" s="249"/>
      <c r="AF1895" s="330"/>
      <c r="AG1895" s="343"/>
      <c r="AH1895" s="249"/>
      <c r="AI1895" s="330"/>
      <c r="AJ1895" s="343"/>
      <c r="AK1895" s="249"/>
      <c r="AL1895" s="330"/>
      <c r="AM1895" s="343"/>
      <c r="AN1895" s="249"/>
      <c r="AO1895" s="330"/>
      <c r="AP1895" s="343"/>
      <c r="AQ1895" s="249"/>
      <c r="AR1895" s="330"/>
      <c r="AS1895" s="343"/>
      <c r="AT1895" s="249"/>
      <c r="AU1895" s="330"/>
    </row>
    <row r="1896" spans="2:47">
      <c r="B1896" s="247">
        <f>'Table S2 Compound Identifiers'!C1898</f>
        <v>0</v>
      </c>
      <c r="C1896" s="247">
        <f>COUNTIF($D$6:D1896,"&lt;&gt;"&amp;"")</f>
        <v>1891</v>
      </c>
      <c r="D1896" s="247">
        <f>'Table S2 Compound Identifiers'!B1898</f>
        <v>0</v>
      </c>
      <c r="E1896" s="247"/>
      <c r="F1896" s="248"/>
      <c r="G1896" s="249"/>
      <c r="H1896" s="330"/>
      <c r="I1896" s="328"/>
      <c r="J1896" s="249"/>
      <c r="K1896" s="330"/>
      <c r="L1896" s="250"/>
      <c r="M1896" s="249"/>
      <c r="N1896" s="330"/>
      <c r="O1896" s="250"/>
      <c r="P1896" s="249"/>
      <c r="Q1896" s="330"/>
      <c r="R1896" s="250"/>
      <c r="S1896" s="249"/>
      <c r="T1896" s="330"/>
      <c r="U1896" s="250"/>
      <c r="V1896" s="249"/>
      <c r="W1896" s="330"/>
      <c r="X1896" s="343"/>
      <c r="Y1896" s="249"/>
      <c r="Z1896" s="330"/>
      <c r="AA1896" s="343"/>
      <c r="AB1896" s="249"/>
      <c r="AC1896" s="330"/>
      <c r="AD1896" s="343"/>
      <c r="AE1896" s="249"/>
      <c r="AF1896" s="330"/>
      <c r="AG1896" s="343"/>
      <c r="AH1896" s="249"/>
      <c r="AI1896" s="330"/>
      <c r="AJ1896" s="343"/>
      <c r="AK1896" s="249"/>
      <c r="AL1896" s="330"/>
      <c r="AM1896" s="343"/>
      <c r="AN1896" s="249"/>
      <c r="AO1896" s="330"/>
      <c r="AP1896" s="343"/>
      <c r="AQ1896" s="249"/>
      <c r="AR1896" s="330"/>
      <c r="AS1896" s="343"/>
      <c r="AT1896" s="249"/>
      <c r="AU1896" s="330"/>
    </row>
    <row r="1897" spans="2:47">
      <c r="B1897" s="247">
        <f>'Table S2 Compound Identifiers'!C1899</f>
        <v>0</v>
      </c>
      <c r="C1897" s="247">
        <f>COUNTIF($D$6:D1897,"&lt;&gt;"&amp;"")</f>
        <v>1892</v>
      </c>
      <c r="D1897" s="247">
        <f>'Table S2 Compound Identifiers'!B1899</f>
        <v>0</v>
      </c>
      <c r="E1897" s="247"/>
      <c r="F1897" s="248"/>
      <c r="G1897" s="249"/>
      <c r="H1897" s="330"/>
      <c r="I1897" s="328"/>
      <c r="J1897" s="249"/>
      <c r="K1897" s="330"/>
      <c r="L1897" s="250"/>
      <c r="M1897" s="249"/>
      <c r="N1897" s="330"/>
      <c r="O1897" s="250"/>
      <c r="P1897" s="249"/>
      <c r="Q1897" s="330"/>
      <c r="R1897" s="250"/>
      <c r="S1897" s="249"/>
      <c r="T1897" s="330"/>
      <c r="U1897" s="250"/>
      <c r="V1897" s="249"/>
      <c r="W1897" s="330"/>
      <c r="X1897" s="343"/>
      <c r="Y1897" s="249"/>
      <c r="Z1897" s="330"/>
      <c r="AA1897" s="343"/>
      <c r="AB1897" s="249"/>
      <c r="AC1897" s="330"/>
      <c r="AD1897" s="343"/>
      <c r="AE1897" s="249"/>
      <c r="AF1897" s="330"/>
      <c r="AG1897" s="343"/>
      <c r="AH1897" s="249"/>
      <c r="AI1897" s="330"/>
      <c r="AJ1897" s="343"/>
      <c r="AK1897" s="249"/>
      <c r="AL1897" s="330"/>
      <c r="AM1897" s="343"/>
      <c r="AN1897" s="249"/>
      <c r="AO1897" s="330"/>
      <c r="AP1897" s="343"/>
      <c r="AQ1897" s="249"/>
      <c r="AR1897" s="330"/>
      <c r="AS1897" s="343"/>
      <c r="AT1897" s="249"/>
      <c r="AU1897" s="330"/>
    </row>
    <row r="1898" spans="2:47">
      <c r="B1898" s="247">
        <f>'Table S2 Compound Identifiers'!C1900</f>
        <v>0</v>
      </c>
      <c r="C1898" s="247">
        <f>COUNTIF($D$6:D1898,"&lt;&gt;"&amp;"")</f>
        <v>1893</v>
      </c>
      <c r="D1898" s="247">
        <f>'Table S2 Compound Identifiers'!B1900</f>
        <v>0</v>
      </c>
      <c r="E1898" s="247"/>
      <c r="F1898" s="248"/>
      <c r="G1898" s="249"/>
      <c r="H1898" s="330"/>
      <c r="I1898" s="328"/>
      <c r="J1898" s="249"/>
      <c r="K1898" s="330"/>
      <c r="L1898" s="250"/>
      <c r="M1898" s="249"/>
      <c r="N1898" s="330"/>
      <c r="O1898" s="250"/>
      <c r="P1898" s="249"/>
      <c r="Q1898" s="330"/>
      <c r="R1898" s="250"/>
      <c r="S1898" s="249"/>
      <c r="T1898" s="330"/>
      <c r="U1898" s="250"/>
      <c r="V1898" s="249"/>
      <c r="W1898" s="330"/>
      <c r="X1898" s="343"/>
      <c r="Y1898" s="249"/>
      <c r="Z1898" s="330"/>
      <c r="AA1898" s="343"/>
      <c r="AB1898" s="249"/>
      <c r="AC1898" s="330"/>
      <c r="AD1898" s="343"/>
      <c r="AE1898" s="249"/>
      <c r="AF1898" s="330"/>
      <c r="AG1898" s="343"/>
      <c r="AH1898" s="249"/>
      <c r="AI1898" s="330"/>
      <c r="AJ1898" s="343"/>
      <c r="AK1898" s="249"/>
      <c r="AL1898" s="330"/>
      <c r="AM1898" s="343"/>
      <c r="AN1898" s="249"/>
      <c r="AO1898" s="330"/>
      <c r="AP1898" s="343"/>
      <c r="AQ1898" s="249"/>
      <c r="AR1898" s="330"/>
      <c r="AS1898" s="343"/>
      <c r="AT1898" s="249"/>
      <c r="AU1898" s="330"/>
    </row>
    <row r="1899" spans="2:47">
      <c r="B1899" s="247">
        <f>'Table S2 Compound Identifiers'!C1901</f>
        <v>0</v>
      </c>
      <c r="C1899" s="247">
        <f>COUNTIF($D$6:D1899,"&lt;&gt;"&amp;"")</f>
        <v>1894</v>
      </c>
      <c r="D1899" s="247">
        <f>'Table S2 Compound Identifiers'!B1901</f>
        <v>0</v>
      </c>
      <c r="E1899" s="247"/>
      <c r="F1899" s="248"/>
      <c r="G1899" s="249"/>
      <c r="H1899" s="330"/>
      <c r="I1899" s="328"/>
      <c r="J1899" s="249"/>
      <c r="K1899" s="330"/>
      <c r="L1899" s="250"/>
      <c r="M1899" s="249"/>
      <c r="N1899" s="330"/>
      <c r="O1899" s="250"/>
      <c r="P1899" s="249"/>
      <c r="Q1899" s="330"/>
      <c r="R1899" s="250"/>
      <c r="S1899" s="249"/>
      <c r="T1899" s="330"/>
      <c r="U1899" s="250"/>
      <c r="V1899" s="249"/>
      <c r="W1899" s="330"/>
      <c r="X1899" s="343"/>
      <c r="Y1899" s="249"/>
      <c r="Z1899" s="330"/>
      <c r="AA1899" s="343"/>
      <c r="AB1899" s="249"/>
      <c r="AC1899" s="330"/>
      <c r="AD1899" s="343"/>
      <c r="AE1899" s="249"/>
      <c r="AF1899" s="330"/>
      <c r="AG1899" s="343"/>
      <c r="AH1899" s="249"/>
      <c r="AI1899" s="330"/>
      <c r="AJ1899" s="343"/>
      <c r="AK1899" s="249"/>
      <c r="AL1899" s="330"/>
      <c r="AM1899" s="343"/>
      <c r="AN1899" s="249"/>
      <c r="AO1899" s="330"/>
      <c r="AP1899" s="343"/>
      <c r="AQ1899" s="249"/>
      <c r="AR1899" s="330"/>
      <c r="AS1899" s="343"/>
      <c r="AT1899" s="249"/>
      <c r="AU1899" s="330"/>
    </row>
    <row r="1900" spans="2:47">
      <c r="B1900" s="247">
        <f>'Table S2 Compound Identifiers'!C1902</f>
        <v>0</v>
      </c>
      <c r="C1900" s="247">
        <f>COUNTIF($D$6:D1900,"&lt;&gt;"&amp;"")</f>
        <v>1895</v>
      </c>
      <c r="D1900" s="247">
        <f>'Table S2 Compound Identifiers'!B1902</f>
        <v>0</v>
      </c>
      <c r="E1900" s="247"/>
      <c r="F1900" s="248"/>
      <c r="G1900" s="249"/>
      <c r="H1900" s="330"/>
      <c r="I1900" s="328"/>
      <c r="J1900" s="249"/>
      <c r="K1900" s="330"/>
      <c r="L1900" s="250"/>
      <c r="M1900" s="249"/>
      <c r="N1900" s="330"/>
      <c r="O1900" s="250"/>
      <c r="P1900" s="249"/>
      <c r="Q1900" s="330"/>
      <c r="R1900" s="250"/>
      <c r="S1900" s="249"/>
      <c r="T1900" s="330"/>
      <c r="U1900" s="250"/>
      <c r="V1900" s="249"/>
      <c r="W1900" s="330"/>
      <c r="X1900" s="343"/>
      <c r="Y1900" s="249"/>
      <c r="Z1900" s="330"/>
      <c r="AA1900" s="343"/>
      <c r="AB1900" s="249"/>
      <c r="AC1900" s="330"/>
      <c r="AD1900" s="343"/>
      <c r="AE1900" s="249"/>
      <c r="AF1900" s="330"/>
      <c r="AG1900" s="343"/>
      <c r="AH1900" s="249"/>
      <c r="AI1900" s="330"/>
      <c r="AJ1900" s="343"/>
      <c r="AK1900" s="249"/>
      <c r="AL1900" s="330"/>
      <c r="AM1900" s="343"/>
      <c r="AN1900" s="249"/>
      <c r="AO1900" s="330"/>
      <c r="AP1900" s="343"/>
      <c r="AQ1900" s="249"/>
      <c r="AR1900" s="330"/>
      <c r="AS1900" s="343"/>
      <c r="AT1900" s="249"/>
      <c r="AU1900" s="330"/>
    </row>
    <row r="1901" spans="2:47">
      <c r="B1901" s="247">
        <f>'Table S2 Compound Identifiers'!C1903</f>
        <v>0</v>
      </c>
      <c r="C1901" s="247">
        <f>COUNTIF($D$6:D1901,"&lt;&gt;"&amp;"")</f>
        <v>1896</v>
      </c>
      <c r="D1901" s="247">
        <f>'Table S2 Compound Identifiers'!B1903</f>
        <v>0</v>
      </c>
      <c r="E1901" s="247"/>
      <c r="F1901" s="248"/>
      <c r="G1901" s="249"/>
      <c r="H1901" s="330"/>
      <c r="I1901" s="328"/>
      <c r="J1901" s="249"/>
      <c r="K1901" s="330"/>
      <c r="L1901" s="250"/>
      <c r="M1901" s="249"/>
      <c r="N1901" s="330"/>
      <c r="O1901" s="250"/>
      <c r="P1901" s="249"/>
      <c r="Q1901" s="330"/>
      <c r="R1901" s="250"/>
      <c r="S1901" s="249"/>
      <c r="T1901" s="330"/>
      <c r="U1901" s="250"/>
      <c r="V1901" s="249"/>
      <c r="W1901" s="330"/>
      <c r="X1901" s="343"/>
      <c r="Y1901" s="249"/>
      <c r="Z1901" s="330"/>
      <c r="AA1901" s="343"/>
      <c r="AB1901" s="249"/>
      <c r="AC1901" s="330"/>
      <c r="AD1901" s="343"/>
      <c r="AE1901" s="249"/>
      <c r="AF1901" s="330"/>
      <c r="AG1901" s="343"/>
      <c r="AH1901" s="249"/>
      <c r="AI1901" s="330"/>
      <c r="AJ1901" s="343"/>
      <c r="AK1901" s="249"/>
      <c r="AL1901" s="330"/>
      <c r="AM1901" s="343"/>
      <c r="AN1901" s="249"/>
      <c r="AO1901" s="330"/>
      <c r="AP1901" s="343"/>
      <c r="AQ1901" s="249"/>
      <c r="AR1901" s="330"/>
      <c r="AS1901" s="343"/>
      <c r="AT1901" s="249"/>
      <c r="AU1901" s="330"/>
    </row>
    <row r="1902" spans="2:47">
      <c r="B1902" s="247">
        <f>'Table S2 Compound Identifiers'!C1904</f>
        <v>0</v>
      </c>
      <c r="C1902" s="247">
        <f>COUNTIF($D$6:D1902,"&lt;&gt;"&amp;"")</f>
        <v>1897</v>
      </c>
      <c r="D1902" s="247">
        <f>'Table S2 Compound Identifiers'!B1904</f>
        <v>0</v>
      </c>
      <c r="E1902" s="247"/>
      <c r="F1902" s="248"/>
      <c r="G1902" s="249"/>
      <c r="H1902" s="330"/>
      <c r="I1902" s="328"/>
      <c r="J1902" s="249"/>
      <c r="K1902" s="330"/>
      <c r="L1902" s="250"/>
      <c r="M1902" s="249"/>
      <c r="N1902" s="330"/>
      <c r="O1902" s="250"/>
      <c r="P1902" s="249"/>
      <c r="Q1902" s="330"/>
      <c r="R1902" s="250"/>
      <c r="S1902" s="249"/>
      <c r="T1902" s="330"/>
      <c r="U1902" s="250"/>
      <c r="V1902" s="249"/>
      <c r="W1902" s="330"/>
      <c r="X1902" s="343"/>
      <c r="Y1902" s="249"/>
      <c r="Z1902" s="330"/>
      <c r="AA1902" s="343"/>
      <c r="AB1902" s="249"/>
      <c r="AC1902" s="330"/>
      <c r="AD1902" s="343"/>
      <c r="AE1902" s="249"/>
      <c r="AF1902" s="330"/>
      <c r="AG1902" s="343"/>
      <c r="AH1902" s="249"/>
      <c r="AI1902" s="330"/>
      <c r="AJ1902" s="343"/>
      <c r="AK1902" s="249"/>
      <c r="AL1902" s="330"/>
      <c r="AM1902" s="343"/>
      <c r="AN1902" s="249"/>
      <c r="AO1902" s="330"/>
      <c r="AP1902" s="343"/>
      <c r="AQ1902" s="249"/>
      <c r="AR1902" s="330"/>
      <c r="AS1902" s="343"/>
      <c r="AT1902" s="249"/>
      <c r="AU1902" s="330"/>
    </row>
    <row r="1903" spans="2:47">
      <c r="B1903" s="247">
        <f>'Table S2 Compound Identifiers'!C1905</f>
        <v>0</v>
      </c>
      <c r="C1903" s="247">
        <f>COUNTIF($D$6:D1903,"&lt;&gt;"&amp;"")</f>
        <v>1898</v>
      </c>
      <c r="D1903" s="247">
        <f>'Table S2 Compound Identifiers'!B1905</f>
        <v>0</v>
      </c>
      <c r="E1903" s="247"/>
      <c r="F1903" s="248"/>
      <c r="G1903" s="249"/>
      <c r="H1903" s="330"/>
      <c r="I1903" s="328"/>
      <c r="J1903" s="249"/>
      <c r="K1903" s="330"/>
      <c r="L1903" s="250"/>
      <c r="M1903" s="249"/>
      <c r="N1903" s="330"/>
      <c r="O1903" s="250"/>
      <c r="P1903" s="249"/>
      <c r="Q1903" s="330"/>
      <c r="R1903" s="250"/>
      <c r="S1903" s="249"/>
      <c r="T1903" s="330"/>
      <c r="U1903" s="250"/>
      <c r="V1903" s="249"/>
      <c r="W1903" s="330"/>
      <c r="X1903" s="343"/>
      <c r="Y1903" s="249"/>
      <c r="Z1903" s="330"/>
      <c r="AA1903" s="343"/>
      <c r="AB1903" s="249"/>
      <c r="AC1903" s="330"/>
      <c r="AD1903" s="343"/>
      <c r="AE1903" s="249"/>
      <c r="AF1903" s="330"/>
      <c r="AG1903" s="343"/>
      <c r="AH1903" s="249"/>
      <c r="AI1903" s="330"/>
      <c r="AJ1903" s="343"/>
      <c r="AK1903" s="249"/>
      <c r="AL1903" s="330"/>
      <c r="AM1903" s="343"/>
      <c r="AN1903" s="249"/>
      <c r="AO1903" s="330"/>
      <c r="AP1903" s="343"/>
      <c r="AQ1903" s="249"/>
      <c r="AR1903" s="330"/>
      <c r="AS1903" s="343"/>
      <c r="AT1903" s="249"/>
      <c r="AU1903" s="330"/>
    </row>
    <row r="1904" spans="2:47">
      <c r="B1904" s="247">
        <f>'Table S2 Compound Identifiers'!C1906</f>
        <v>0</v>
      </c>
      <c r="C1904" s="247">
        <f>COUNTIF($D$6:D1904,"&lt;&gt;"&amp;"")</f>
        <v>1899</v>
      </c>
      <c r="D1904" s="247">
        <f>'Table S2 Compound Identifiers'!B1906</f>
        <v>0</v>
      </c>
      <c r="E1904" s="247"/>
      <c r="F1904" s="248"/>
      <c r="G1904" s="249"/>
      <c r="H1904" s="330"/>
      <c r="I1904" s="328"/>
      <c r="J1904" s="249"/>
      <c r="K1904" s="330"/>
      <c r="L1904" s="250"/>
      <c r="M1904" s="249"/>
      <c r="N1904" s="330"/>
      <c r="O1904" s="250"/>
      <c r="P1904" s="249"/>
      <c r="Q1904" s="330"/>
      <c r="R1904" s="250"/>
      <c r="S1904" s="249"/>
      <c r="T1904" s="330"/>
      <c r="U1904" s="250"/>
      <c r="V1904" s="249"/>
      <c r="W1904" s="330"/>
      <c r="X1904" s="343"/>
      <c r="Y1904" s="249"/>
      <c r="Z1904" s="330"/>
      <c r="AA1904" s="343"/>
      <c r="AB1904" s="249"/>
      <c r="AC1904" s="330"/>
      <c r="AD1904" s="343"/>
      <c r="AE1904" s="249"/>
      <c r="AF1904" s="330"/>
      <c r="AG1904" s="343"/>
      <c r="AH1904" s="249"/>
      <c r="AI1904" s="330"/>
      <c r="AJ1904" s="343"/>
      <c r="AK1904" s="249"/>
      <c r="AL1904" s="330"/>
      <c r="AM1904" s="343"/>
      <c r="AN1904" s="249"/>
      <c r="AO1904" s="330"/>
      <c r="AP1904" s="343"/>
      <c r="AQ1904" s="249"/>
      <c r="AR1904" s="330"/>
      <c r="AS1904" s="343"/>
      <c r="AT1904" s="249"/>
      <c r="AU1904" s="330"/>
    </row>
    <row r="1905" spans="2:47">
      <c r="B1905" s="247">
        <f>'Table S2 Compound Identifiers'!C1907</f>
        <v>0</v>
      </c>
      <c r="C1905" s="247">
        <f>COUNTIF($D$6:D1905,"&lt;&gt;"&amp;"")</f>
        <v>1900</v>
      </c>
      <c r="D1905" s="247">
        <f>'Table S2 Compound Identifiers'!B1907</f>
        <v>0</v>
      </c>
      <c r="E1905" s="247"/>
      <c r="F1905" s="248"/>
      <c r="G1905" s="249"/>
      <c r="H1905" s="330"/>
      <c r="I1905" s="328"/>
      <c r="J1905" s="249"/>
      <c r="K1905" s="330"/>
      <c r="L1905" s="250"/>
      <c r="M1905" s="249"/>
      <c r="N1905" s="330"/>
      <c r="O1905" s="250"/>
      <c r="P1905" s="249"/>
      <c r="Q1905" s="330"/>
      <c r="R1905" s="250"/>
      <c r="S1905" s="249"/>
      <c r="T1905" s="330"/>
      <c r="U1905" s="250"/>
      <c r="V1905" s="249"/>
      <c r="W1905" s="330"/>
      <c r="X1905" s="343"/>
      <c r="Y1905" s="249"/>
      <c r="Z1905" s="330"/>
      <c r="AA1905" s="343"/>
      <c r="AB1905" s="249"/>
      <c r="AC1905" s="330"/>
      <c r="AD1905" s="343"/>
      <c r="AE1905" s="249"/>
      <c r="AF1905" s="330"/>
      <c r="AG1905" s="343"/>
      <c r="AH1905" s="249"/>
      <c r="AI1905" s="330"/>
      <c r="AJ1905" s="343"/>
      <c r="AK1905" s="249"/>
      <c r="AL1905" s="330"/>
      <c r="AM1905" s="343"/>
      <c r="AN1905" s="249"/>
      <c r="AO1905" s="330"/>
      <c r="AP1905" s="343"/>
      <c r="AQ1905" s="249"/>
      <c r="AR1905" s="330"/>
      <c r="AS1905" s="343"/>
      <c r="AT1905" s="249"/>
      <c r="AU1905" s="330"/>
    </row>
    <row r="1906" spans="2:47">
      <c r="B1906" s="247">
        <f>'Table S2 Compound Identifiers'!C1908</f>
        <v>0</v>
      </c>
      <c r="C1906" s="247">
        <f>COUNTIF($D$6:D1906,"&lt;&gt;"&amp;"")</f>
        <v>1901</v>
      </c>
      <c r="D1906" s="247">
        <f>'Table S2 Compound Identifiers'!B1908</f>
        <v>0</v>
      </c>
      <c r="E1906" s="247"/>
      <c r="F1906" s="248"/>
      <c r="G1906" s="249"/>
      <c r="H1906" s="330"/>
      <c r="I1906" s="328"/>
      <c r="J1906" s="249"/>
      <c r="K1906" s="330"/>
      <c r="L1906" s="250"/>
      <c r="M1906" s="249"/>
      <c r="N1906" s="330"/>
      <c r="O1906" s="250"/>
      <c r="P1906" s="249"/>
      <c r="Q1906" s="330"/>
      <c r="R1906" s="250"/>
      <c r="S1906" s="249"/>
      <c r="T1906" s="330"/>
      <c r="U1906" s="250"/>
      <c r="V1906" s="249"/>
      <c r="W1906" s="330"/>
      <c r="X1906" s="343"/>
      <c r="Y1906" s="249"/>
      <c r="Z1906" s="330"/>
      <c r="AA1906" s="343"/>
      <c r="AB1906" s="249"/>
      <c r="AC1906" s="330"/>
      <c r="AD1906" s="343"/>
      <c r="AE1906" s="249"/>
      <c r="AF1906" s="330"/>
      <c r="AG1906" s="343"/>
      <c r="AH1906" s="249"/>
      <c r="AI1906" s="330"/>
      <c r="AJ1906" s="343"/>
      <c r="AK1906" s="249"/>
      <c r="AL1906" s="330"/>
      <c r="AM1906" s="343"/>
      <c r="AN1906" s="249"/>
      <c r="AO1906" s="330"/>
      <c r="AP1906" s="343"/>
      <c r="AQ1906" s="249"/>
      <c r="AR1906" s="330"/>
      <c r="AS1906" s="343"/>
      <c r="AT1906" s="249"/>
      <c r="AU1906" s="330"/>
    </row>
    <row r="1907" spans="2:47">
      <c r="B1907" s="247">
        <f>'Table S2 Compound Identifiers'!C1909</f>
        <v>0</v>
      </c>
      <c r="C1907" s="247">
        <f>COUNTIF($D$6:D1907,"&lt;&gt;"&amp;"")</f>
        <v>1902</v>
      </c>
      <c r="D1907" s="247">
        <f>'Table S2 Compound Identifiers'!B1909</f>
        <v>0</v>
      </c>
      <c r="E1907" s="247"/>
      <c r="F1907" s="248"/>
      <c r="G1907" s="249"/>
      <c r="H1907" s="330"/>
      <c r="I1907" s="328"/>
      <c r="J1907" s="249"/>
      <c r="K1907" s="330"/>
      <c r="L1907" s="250"/>
      <c r="M1907" s="249"/>
      <c r="N1907" s="330"/>
      <c r="O1907" s="250"/>
      <c r="P1907" s="249"/>
      <c r="Q1907" s="330"/>
      <c r="R1907" s="250"/>
      <c r="S1907" s="249"/>
      <c r="T1907" s="330"/>
      <c r="U1907" s="250"/>
      <c r="V1907" s="249"/>
      <c r="W1907" s="330"/>
      <c r="X1907" s="343"/>
      <c r="Y1907" s="249"/>
      <c r="Z1907" s="330"/>
      <c r="AA1907" s="343"/>
      <c r="AB1907" s="249"/>
      <c r="AC1907" s="330"/>
      <c r="AD1907" s="343"/>
      <c r="AE1907" s="249"/>
      <c r="AF1907" s="330"/>
      <c r="AG1907" s="343"/>
      <c r="AH1907" s="249"/>
      <c r="AI1907" s="330"/>
      <c r="AJ1907" s="343"/>
      <c r="AK1907" s="249"/>
      <c r="AL1907" s="330"/>
      <c r="AM1907" s="343"/>
      <c r="AN1907" s="249"/>
      <c r="AO1907" s="330"/>
      <c r="AP1907" s="343"/>
      <c r="AQ1907" s="249"/>
      <c r="AR1907" s="330"/>
      <c r="AS1907" s="343"/>
      <c r="AT1907" s="249"/>
      <c r="AU1907" s="330"/>
    </row>
    <row r="1908" spans="2:47">
      <c r="B1908" s="247">
        <f>'Table S2 Compound Identifiers'!C1910</f>
        <v>0</v>
      </c>
      <c r="C1908" s="247">
        <f>COUNTIF($D$6:D1908,"&lt;&gt;"&amp;"")</f>
        <v>1903</v>
      </c>
      <c r="D1908" s="247">
        <f>'Table S2 Compound Identifiers'!B1910</f>
        <v>0</v>
      </c>
      <c r="E1908" s="247"/>
      <c r="F1908" s="248"/>
      <c r="G1908" s="249"/>
      <c r="H1908" s="330"/>
      <c r="I1908" s="328"/>
      <c r="J1908" s="249"/>
      <c r="K1908" s="330"/>
      <c r="L1908" s="250"/>
      <c r="M1908" s="249"/>
      <c r="N1908" s="330"/>
      <c r="O1908" s="250"/>
      <c r="P1908" s="249"/>
      <c r="Q1908" s="330"/>
      <c r="R1908" s="250"/>
      <c r="S1908" s="249"/>
      <c r="T1908" s="330"/>
      <c r="U1908" s="250"/>
      <c r="V1908" s="249"/>
      <c r="W1908" s="330"/>
      <c r="X1908" s="343"/>
      <c r="Y1908" s="249"/>
      <c r="Z1908" s="330"/>
      <c r="AA1908" s="343"/>
      <c r="AB1908" s="249"/>
      <c r="AC1908" s="330"/>
      <c r="AD1908" s="343"/>
      <c r="AE1908" s="249"/>
      <c r="AF1908" s="330"/>
      <c r="AG1908" s="343"/>
      <c r="AH1908" s="249"/>
      <c r="AI1908" s="330"/>
      <c r="AJ1908" s="343"/>
      <c r="AK1908" s="249"/>
      <c r="AL1908" s="330"/>
      <c r="AM1908" s="343"/>
      <c r="AN1908" s="249"/>
      <c r="AO1908" s="330"/>
      <c r="AP1908" s="343"/>
      <c r="AQ1908" s="249"/>
      <c r="AR1908" s="330"/>
      <c r="AS1908" s="343"/>
      <c r="AT1908" s="249"/>
      <c r="AU1908" s="330"/>
    </row>
    <row r="1909" spans="2:47">
      <c r="B1909" s="247">
        <f>'Table S2 Compound Identifiers'!C1911</f>
        <v>0</v>
      </c>
      <c r="C1909" s="247">
        <f>COUNTIF($D$6:D1909,"&lt;&gt;"&amp;"")</f>
        <v>1904</v>
      </c>
      <c r="D1909" s="247">
        <f>'Table S2 Compound Identifiers'!B1911</f>
        <v>0</v>
      </c>
      <c r="E1909" s="247"/>
      <c r="F1909" s="248"/>
      <c r="G1909" s="249"/>
      <c r="H1909" s="330"/>
      <c r="I1909" s="328"/>
      <c r="J1909" s="249"/>
      <c r="K1909" s="330"/>
      <c r="L1909" s="250"/>
      <c r="M1909" s="249"/>
      <c r="N1909" s="330"/>
      <c r="O1909" s="250"/>
      <c r="P1909" s="249"/>
      <c r="Q1909" s="330"/>
      <c r="R1909" s="250"/>
      <c r="S1909" s="249"/>
      <c r="T1909" s="330"/>
      <c r="U1909" s="250"/>
      <c r="V1909" s="249"/>
      <c r="W1909" s="330"/>
      <c r="X1909" s="343"/>
      <c r="Y1909" s="249"/>
      <c r="Z1909" s="330"/>
      <c r="AA1909" s="343"/>
      <c r="AB1909" s="249"/>
      <c r="AC1909" s="330"/>
      <c r="AD1909" s="343"/>
      <c r="AE1909" s="249"/>
      <c r="AF1909" s="330"/>
      <c r="AG1909" s="343"/>
      <c r="AH1909" s="249"/>
      <c r="AI1909" s="330"/>
      <c r="AJ1909" s="343"/>
      <c r="AK1909" s="249"/>
      <c r="AL1909" s="330"/>
      <c r="AM1909" s="343"/>
      <c r="AN1909" s="249"/>
      <c r="AO1909" s="330"/>
      <c r="AP1909" s="343"/>
      <c r="AQ1909" s="249"/>
      <c r="AR1909" s="330"/>
      <c r="AS1909" s="343"/>
      <c r="AT1909" s="249"/>
      <c r="AU1909" s="330"/>
    </row>
    <row r="1910" spans="2:47">
      <c r="B1910" s="247">
        <f>'Table S2 Compound Identifiers'!C1912</f>
        <v>0</v>
      </c>
      <c r="C1910" s="247">
        <f>COUNTIF($D$6:D1910,"&lt;&gt;"&amp;"")</f>
        <v>1905</v>
      </c>
      <c r="D1910" s="247">
        <f>'Table S2 Compound Identifiers'!B1912</f>
        <v>0</v>
      </c>
      <c r="E1910" s="247"/>
      <c r="F1910" s="248"/>
      <c r="G1910" s="249"/>
      <c r="H1910" s="330"/>
      <c r="I1910" s="328"/>
      <c r="J1910" s="249"/>
      <c r="K1910" s="330"/>
      <c r="L1910" s="250"/>
      <c r="M1910" s="249"/>
      <c r="N1910" s="330"/>
      <c r="O1910" s="250"/>
      <c r="P1910" s="249"/>
      <c r="Q1910" s="330"/>
      <c r="R1910" s="250"/>
      <c r="S1910" s="249"/>
      <c r="T1910" s="330"/>
      <c r="U1910" s="250"/>
      <c r="V1910" s="249"/>
      <c r="W1910" s="330"/>
      <c r="X1910" s="343"/>
      <c r="Y1910" s="249"/>
      <c r="Z1910" s="330"/>
      <c r="AA1910" s="343"/>
      <c r="AB1910" s="249"/>
      <c r="AC1910" s="330"/>
      <c r="AD1910" s="343"/>
      <c r="AE1910" s="249"/>
      <c r="AF1910" s="330"/>
      <c r="AG1910" s="343"/>
      <c r="AH1910" s="249"/>
      <c r="AI1910" s="330"/>
      <c r="AJ1910" s="343"/>
      <c r="AK1910" s="249"/>
      <c r="AL1910" s="330"/>
      <c r="AM1910" s="343"/>
      <c r="AN1910" s="249"/>
      <c r="AO1910" s="330"/>
      <c r="AP1910" s="343"/>
      <c r="AQ1910" s="249"/>
      <c r="AR1910" s="330"/>
      <c r="AS1910" s="343"/>
      <c r="AT1910" s="249"/>
      <c r="AU1910" s="330"/>
    </row>
    <row r="1911" spans="2:47">
      <c r="B1911" s="247">
        <f>'Table S2 Compound Identifiers'!C1913</f>
        <v>0</v>
      </c>
      <c r="C1911" s="247">
        <f>COUNTIF($D$6:D1911,"&lt;&gt;"&amp;"")</f>
        <v>1906</v>
      </c>
      <c r="D1911" s="247">
        <f>'Table S2 Compound Identifiers'!B1913</f>
        <v>0</v>
      </c>
      <c r="E1911" s="247"/>
      <c r="F1911" s="248"/>
      <c r="G1911" s="249"/>
      <c r="H1911" s="330"/>
      <c r="I1911" s="328"/>
      <c r="J1911" s="249"/>
      <c r="K1911" s="330"/>
      <c r="L1911" s="250"/>
      <c r="M1911" s="249"/>
      <c r="N1911" s="330"/>
      <c r="O1911" s="250"/>
      <c r="P1911" s="249"/>
      <c r="Q1911" s="330"/>
      <c r="R1911" s="250"/>
      <c r="S1911" s="249"/>
      <c r="T1911" s="330"/>
      <c r="U1911" s="250"/>
      <c r="V1911" s="249"/>
      <c r="W1911" s="330"/>
      <c r="X1911" s="343"/>
      <c r="Y1911" s="249"/>
      <c r="Z1911" s="330"/>
      <c r="AA1911" s="343"/>
      <c r="AB1911" s="249"/>
      <c r="AC1911" s="330"/>
      <c r="AD1911" s="343"/>
      <c r="AE1911" s="249"/>
      <c r="AF1911" s="330"/>
      <c r="AG1911" s="343"/>
      <c r="AH1911" s="249"/>
      <c r="AI1911" s="330"/>
      <c r="AJ1911" s="343"/>
      <c r="AK1911" s="249"/>
      <c r="AL1911" s="330"/>
      <c r="AM1911" s="343"/>
      <c r="AN1911" s="249"/>
      <c r="AO1911" s="330"/>
      <c r="AP1911" s="343"/>
      <c r="AQ1911" s="249"/>
      <c r="AR1911" s="330"/>
      <c r="AS1911" s="343"/>
      <c r="AT1911" s="249"/>
      <c r="AU1911" s="330"/>
    </row>
    <row r="1912" spans="2:47">
      <c r="B1912" s="247">
        <f>'Table S2 Compound Identifiers'!C1914</f>
        <v>0</v>
      </c>
      <c r="C1912" s="247">
        <f>COUNTIF($D$6:D1912,"&lt;&gt;"&amp;"")</f>
        <v>1907</v>
      </c>
      <c r="D1912" s="432">
        <f>'Table S2 Compound Identifiers'!B1914</f>
        <v>0</v>
      </c>
      <c r="E1912" s="247"/>
      <c r="F1912" s="248"/>
      <c r="G1912" s="249"/>
      <c r="H1912" s="330"/>
      <c r="I1912" s="328"/>
      <c r="J1912" s="249"/>
      <c r="K1912" s="330"/>
      <c r="L1912" s="250"/>
      <c r="M1912" s="249"/>
      <c r="N1912" s="330"/>
      <c r="O1912" s="250"/>
      <c r="P1912" s="249"/>
      <c r="Q1912" s="330"/>
      <c r="R1912" s="250"/>
      <c r="S1912" s="249"/>
      <c r="T1912" s="330"/>
      <c r="U1912" s="250"/>
      <c r="V1912" s="249"/>
      <c r="W1912" s="330"/>
      <c r="X1912" s="343"/>
      <c r="Y1912" s="249"/>
      <c r="Z1912" s="330"/>
      <c r="AA1912" s="343"/>
      <c r="AB1912" s="249"/>
      <c r="AC1912" s="330"/>
      <c r="AD1912" s="343"/>
      <c r="AE1912" s="249"/>
      <c r="AF1912" s="330"/>
      <c r="AG1912" s="343"/>
      <c r="AH1912" s="249"/>
      <c r="AI1912" s="330"/>
      <c r="AJ1912" s="343"/>
      <c r="AK1912" s="249"/>
      <c r="AL1912" s="330"/>
      <c r="AM1912" s="343"/>
      <c r="AN1912" s="249"/>
      <c r="AO1912" s="330"/>
      <c r="AP1912" s="343"/>
      <c r="AQ1912" s="249"/>
      <c r="AR1912" s="330"/>
      <c r="AS1912" s="343"/>
      <c r="AT1912" s="249"/>
      <c r="AU1912" s="330"/>
    </row>
    <row r="1913" spans="2:47">
      <c r="B1913" s="247">
        <f>'Table S2 Compound Identifiers'!C1915</f>
        <v>0</v>
      </c>
      <c r="C1913" s="247">
        <f>COUNTIF($D$6:D1913,"&lt;&gt;"&amp;"")</f>
        <v>1908</v>
      </c>
      <c r="D1913" s="432">
        <f>'Table S2 Compound Identifiers'!B1915</f>
        <v>0</v>
      </c>
      <c r="E1913" s="247"/>
      <c r="F1913" s="248"/>
      <c r="G1913" s="249"/>
      <c r="H1913" s="330"/>
      <c r="I1913" s="328"/>
      <c r="J1913" s="249"/>
      <c r="K1913" s="330"/>
      <c r="L1913" s="250"/>
      <c r="M1913" s="249"/>
      <c r="N1913" s="330"/>
      <c r="O1913" s="250"/>
      <c r="P1913" s="249"/>
      <c r="Q1913" s="330"/>
      <c r="R1913" s="250"/>
      <c r="S1913" s="249"/>
      <c r="T1913" s="330"/>
      <c r="U1913" s="250"/>
      <c r="V1913" s="249"/>
      <c r="W1913" s="330"/>
      <c r="X1913" s="343"/>
      <c r="Y1913" s="249"/>
      <c r="Z1913" s="330"/>
      <c r="AA1913" s="343"/>
      <c r="AB1913" s="249"/>
      <c r="AC1913" s="330"/>
      <c r="AD1913" s="343"/>
      <c r="AE1913" s="249"/>
      <c r="AF1913" s="330"/>
      <c r="AG1913" s="343"/>
      <c r="AH1913" s="249"/>
      <c r="AI1913" s="330"/>
      <c r="AJ1913" s="343"/>
      <c r="AK1913" s="249"/>
      <c r="AL1913" s="330"/>
      <c r="AM1913" s="343"/>
      <c r="AN1913" s="249"/>
      <c r="AO1913" s="330"/>
      <c r="AP1913" s="343"/>
      <c r="AQ1913" s="249"/>
      <c r="AR1913" s="330"/>
      <c r="AS1913" s="343"/>
      <c r="AT1913" s="249"/>
      <c r="AU1913" s="330"/>
    </row>
    <row r="1914" spans="2:47">
      <c r="B1914" s="247">
        <f>'Table S2 Compound Identifiers'!C1916</f>
        <v>0</v>
      </c>
      <c r="C1914" s="247">
        <f>COUNTIF($D$6:D1914,"&lt;&gt;"&amp;"")</f>
        <v>1909</v>
      </c>
      <c r="D1914" s="432">
        <f>'Table S2 Compound Identifiers'!B1916</f>
        <v>0</v>
      </c>
      <c r="E1914" s="247"/>
      <c r="F1914" s="248"/>
      <c r="G1914" s="249"/>
      <c r="H1914" s="330"/>
      <c r="I1914" s="328"/>
      <c r="J1914" s="249"/>
      <c r="K1914" s="330"/>
      <c r="L1914" s="250"/>
      <c r="M1914" s="249"/>
      <c r="N1914" s="330"/>
      <c r="O1914" s="250"/>
      <c r="P1914" s="249"/>
      <c r="Q1914" s="330"/>
      <c r="R1914" s="250"/>
      <c r="S1914" s="249"/>
      <c r="T1914" s="330"/>
      <c r="U1914" s="250"/>
      <c r="V1914" s="249"/>
      <c r="W1914" s="330"/>
      <c r="X1914" s="343"/>
      <c r="Y1914" s="249"/>
      <c r="Z1914" s="330"/>
      <c r="AA1914" s="343"/>
      <c r="AB1914" s="249"/>
      <c r="AC1914" s="330"/>
      <c r="AD1914" s="343"/>
      <c r="AE1914" s="249"/>
      <c r="AF1914" s="330"/>
      <c r="AG1914" s="343"/>
      <c r="AH1914" s="249"/>
      <c r="AI1914" s="330"/>
      <c r="AJ1914" s="343"/>
      <c r="AK1914" s="249"/>
      <c r="AL1914" s="330"/>
      <c r="AM1914" s="343"/>
      <c r="AN1914" s="249"/>
      <c r="AO1914" s="330"/>
      <c r="AP1914" s="343"/>
      <c r="AQ1914" s="249"/>
      <c r="AR1914" s="330"/>
      <c r="AS1914" s="343"/>
      <c r="AT1914" s="249"/>
      <c r="AU1914" s="330"/>
    </row>
    <row r="1915" spans="2:47">
      <c r="B1915" s="247">
        <f>'Table S2 Compound Identifiers'!C1917</f>
        <v>0</v>
      </c>
      <c r="C1915" s="247">
        <f>COUNTIF($D$6:D1915,"&lt;&gt;"&amp;"")</f>
        <v>1910</v>
      </c>
      <c r="D1915" s="432">
        <f>'Table S2 Compound Identifiers'!B1917</f>
        <v>0</v>
      </c>
      <c r="E1915" s="247"/>
      <c r="F1915" s="248"/>
      <c r="G1915" s="249"/>
      <c r="H1915" s="330"/>
      <c r="I1915" s="328"/>
      <c r="J1915" s="249"/>
      <c r="K1915" s="330"/>
      <c r="L1915" s="250"/>
      <c r="M1915" s="249"/>
      <c r="N1915" s="330"/>
      <c r="O1915" s="250"/>
      <c r="P1915" s="249"/>
      <c r="Q1915" s="330"/>
      <c r="R1915" s="250"/>
      <c r="S1915" s="249"/>
      <c r="T1915" s="330"/>
      <c r="U1915" s="250"/>
      <c r="V1915" s="249"/>
      <c r="W1915" s="330"/>
      <c r="X1915" s="343"/>
      <c r="Y1915" s="249"/>
      <c r="Z1915" s="330"/>
      <c r="AA1915" s="343"/>
      <c r="AB1915" s="249"/>
      <c r="AC1915" s="330"/>
      <c r="AD1915" s="343"/>
      <c r="AE1915" s="249"/>
      <c r="AF1915" s="330"/>
      <c r="AG1915" s="343"/>
      <c r="AH1915" s="249"/>
      <c r="AI1915" s="330"/>
      <c r="AJ1915" s="343"/>
      <c r="AK1915" s="249"/>
      <c r="AL1915" s="330"/>
      <c r="AM1915" s="343"/>
      <c r="AN1915" s="249"/>
      <c r="AO1915" s="330"/>
      <c r="AP1915" s="343"/>
      <c r="AQ1915" s="249"/>
      <c r="AR1915" s="330"/>
      <c r="AS1915" s="343"/>
      <c r="AT1915" s="249"/>
      <c r="AU1915" s="330"/>
    </row>
    <row r="1916" spans="2:47">
      <c r="B1916" s="247">
        <f>'Table S2 Compound Identifiers'!C1918</f>
        <v>0</v>
      </c>
      <c r="C1916" s="247">
        <f>COUNTIF($D$6:D1916,"&lt;&gt;"&amp;"")</f>
        <v>1911</v>
      </c>
      <c r="D1916" s="432">
        <f>'Table S2 Compound Identifiers'!B1918</f>
        <v>0</v>
      </c>
      <c r="E1916" s="247"/>
      <c r="F1916" s="248"/>
      <c r="G1916" s="249"/>
      <c r="H1916" s="330"/>
      <c r="I1916" s="328"/>
      <c r="J1916" s="249"/>
      <c r="K1916" s="330"/>
      <c r="L1916" s="250"/>
      <c r="M1916" s="249"/>
      <c r="N1916" s="330"/>
      <c r="O1916" s="250"/>
      <c r="P1916" s="249"/>
      <c r="Q1916" s="330"/>
      <c r="R1916" s="250"/>
      <c r="S1916" s="249"/>
      <c r="T1916" s="330"/>
      <c r="U1916" s="250"/>
      <c r="V1916" s="249"/>
      <c r="W1916" s="330"/>
      <c r="X1916" s="343"/>
      <c r="Y1916" s="249"/>
      <c r="Z1916" s="330"/>
      <c r="AA1916" s="343"/>
      <c r="AB1916" s="249"/>
      <c r="AC1916" s="330"/>
      <c r="AD1916" s="343"/>
      <c r="AE1916" s="249"/>
      <c r="AF1916" s="330"/>
      <c r="AG1916" s="343"/>
      <c r="AH1916" s="249"/>
      <c r="AI1916" s="330"/>
      <c r="AJ1916" s="343"/>
      <c r="AK1916" s="249"/>
      <c r="AL1916" s="330"/>
      <c r="AM1916" s="343"/>
      <c r="AN1916" s="249"/>
      <c r="AO1916" s="330"/>
      <c r="AP1916" s="343"/>
      <c r="AQ1916" s="249"/>
      <c r="AR1916" s="330"/>
      <c r="AS1916" s="343"/>
      <c r="AT1916" s="249"/>
      <c r="AU1916" s="330"/>
    </row>
    <row r="1917" spans="2:47">
      <c r="B1917" s="247">
        <f>'Table S2 Compound Identifiers'!C1919</f>
        <v>0</v>
      </c>
      <c r="C1917" s="247">
        <f>COUNTIF($D$6:D1917,"&lt;&gt;"&amp;"")</f>
        <v>1912</v>
      </c>
      <c r="D1917" s="432">
        <f>'Table S2 Compound Identifiers'!B1919</f>
        <v>0</v>
      </c>
      <c r="E1917" s="247"/>
      <c r="F1917" s="248"/>
      <c r="G1917" s="249"/>
      <c r="H1917" s="330"/>
      <c r="I1917" s="328"/>
      <c r="J1917" s="249"/>
      <c r="K1917" s="330"/>
      <c r="L1917" s="250"/>
      <c r="M1917" s="249"/>
      <c r="N1917" s="330"/>
      <c r="O1917" s="250"/>
      <c r="P1917" s="249"/>
      <c r="Q1917" s="330"/>
      <c r="R1917" s="250"/>
      <c r="S1917" s="249"/>
      <c r="T1917" s="330"/>
      <c r="U1917" s="250"/>
      <c r="V1917" s="249"/>
      <c r="W1917" s="330"/>
      <c r="X1917" s="343"/>
      <c r="Y1917" s="249"/>
      <c r="Z1917" s="330"/>
      <c r="AA1917" s="343"/>
      <c r="AB1917" s="249"/>
      <c r="AC1917" s="330"/>
      <c r="AD1917" s="343"/>
      <c r="AE1917" s="249"/>
      <c r="AF1917" s="330"/>
      <c r="AG1917" s="343"/>
      <c r="AH1917" s="249"/>
      <c r="AI1917" s="330"/>
      <c r="AJ1917" s="343"/>
      <c r="AK1917" s="249"/>
      <c r="AL1917" s="330"/>
      <c r="AM1917" s="343"/>
      <c r="AN1917" s="249"/>
      <c r="AO1917" s="330"/>
      <c r="AP1917" s="343"/>
      <c r="AQ1917" s="249"/>
      <c r="AR1917" s="330"/>
      <c r="AS1917" s="343"/>
      <c r="AT1917" s="249"/>
      <c r="AU1917" s="330"/>
    </row>
    <row r="1918" spans="2:47">
      <c r="B1918" s="247">
        <f>'Table S2 Compound Identifiers'!C1920</f>
        <v>0</v>
      </c>
      <c r="C1918" s="247">
        <f>COUNTIF($D$6:D1918,"&lt;&gt;"&amp;"")</f>
        <v>1913</v>
      </c>
      <c r="D1918" s="432">
        <f>'Table S2 Compound Identifiers'!B1920</f>
        <v>0</v>
      </c>
      <c r="E1918" s="247"/>
      <c r="F1918" s="248"/>
      <c r="G1918" s="249"/>
      <c r="H1918" s="330"/>
      <c r="I1918" s="328"/>
      <c r="J1918" s="249"/>
      <c r="K1918" s="330"/>
      <c r="L1918" s="250"/>
      <c r="M1918" s="249"/>
      <c r="N1918" s="330"/>
      <c r="O1918" s="250"/>
      <c r="P1918" s="249"/>
      <c r="Q1918" s="330"/>
      <c r="R1918" s="250"/>
      <c r="S1918" s="249"/>
      <c r="T1918" s="330"/>
      <c r="U1918" s="250"/>
      <c r="V1918" s="249"/>
      <c r="W1918" s="330"/>
      <c r="X1918" s="343"/>
      <c r="Y1918" s="249"/>
      <c r="Z1918" s="330"/>
      <c r="AA1918" s="343"/>
      <c r="AB1918" s="249"/>
      <c r="AC1918" s="330"/>
      <c r="AD1918" s="343"/>
      <c r="AE1918" s="249"/>
      <c r="AF1918" s="330"/>
      <c r="AG1918" s="343"/>
      <c r="AH1918" s="249"/>
      <c r="AI1918" s="330"/>
      <c r="AJ1918" s="343"/>
      <c r="AK1918" s="249"/>
      <c r="AL1918" s="330"/>
      <c r="AM1918" s="343"/>
      <c r="AN1918" s="249"/>
      <c r="AO1918" s="330"/>
      <c r="AP1918" s="343"/>
      <c r="AQ1918" s="249"/>
      <c r="AR1918" s="330"/>
      <c r="AS1918" s="343"/>
      <c r="AT1918" s="249"/>
      <c r="AU1918" s="330"/>
    </row>
    <row r="1919" spans="2:47">
      <c r="B1919" s="247">
        <f>'Table S2 Compound Identifiers'!C1921</f>
        <v>0</v>
      </c>
      <c r="C1919" s="247">
        <f>COUNTIF($D$6:D1919,"&lt;&gt;"&amp;"")</f>
        <v>1914</v>
      </c>
      <c r="D1919" s="432">
        <f>'Table S2 Compound Identifiers'!B1921</f>
        <v>0</v>
      </c>
      <c r="E1919" s="247"/>
      <c r="F1919" s="248"/>
      <c r="G1919" s="249"/>
      <c r="H1919" s="330"/>
      <c r="I1919" s="328"/>
      <c r="J1919" s="249"/>
      <c r="K1919" s="330"/>
      <c r="L1919" s="250"/>
      <c r="M1919" s="249"/>
      <c r="N1919" s="330"/>
      <c r="O1919" s="250"/>
      <c r="P1919" s="249"/>
      <c r="Q1919" s="330"/>
      <c r="R1919" s="250"/>
      <c r="S1919" s="249"/>
      <c r="T1919" s="330"/>
      <c r="U1919" s="250"/>
      <c r="V1919" s="249"/>
      <c r="W1919" s="330"/>
      <c r="X1919" s="343"/>
      <c r="Y1919" s="249"/>
      <c r="Z1919" s="330"/>
      <c r="AA1919" s="343"/>
      <c r="AB1919" s="249"/>
      <c r="AC1919" s="330"/>
      <c r="AD1919" s="343"/>
      <c r="AE1919" s="249"/>
      <c r="AF1919" s="330"/>
      <c r="AG1919" s="343"/>
      <c r="AH1919" s="249"/>
      <c r="AI1919" s="330"/>
      <c r="AJ1919" s="343"/>
      <c r="AK1919" s="249"/>
      <c r="AL1919" s="330"/>
      <c r="AM1919" s="343"/>
      <c r="AN1919" s="249"/>
      <c r="AO1919" s="330"/>
      <c r="AP1919" s="343"/>
      <c r="AQ1919" s="249"/>
      <c r="AR1919" s="330"/>
      <c r="AS1919" s="343"/>
      <c r="AT1919" s="249"/>
      <c r="AU1919" s="330"/>
    </row>
    <row r="1920" spans="2:47">
      <c r="B1920" s="247">
        <f>'Table S2 Compound Identifiers'!C1922</f>
        <v>0</v>
      </c>
      <c r="C1920" s="247">
        <f>COUNTIF($D$6:D1920,"&lt;&gt;"&amp;"")</f>
        <v>1915</v>
      </c>
      <c r="D1920" s="432">
        <f>'Table S2 Compound Identifiers'!B1922</f>
        <v>0</v>
      </c>
      <c r="E1920" s="247"/>
      <c r="F1920" s="248"/>
      <c r="G1920" s="249"/>
      <c r="H1920" s="330"/>
      <c r="I1920" s="328"/>
      <c r="J1920" s="249"/>
      <c r="K1920" s="330"/>
      <c r="L1920" s="250"/>
      <c r="M1920" s="249"/>
      <c r="N1920" s="330"/>
      <c r="O1920" s="250"/>
      <c r="P1920" s="249"/>
      <c r="Q1920" s="330"/>
      <c r="R1920" s="250"/>
      <c r="S1920" s="249"/>
      <c r="T1920" s="330"/>
      <c r="U1920" s="250"/>
      <c r="V1920" s="249"/>
      <c r="W1920" s="330"/>
      <c r="X1920" s="343"/>
      <c r="Y1920" s="249"/>
      <c r="Z1920" s="330"/>
      <c r="AA1920" s="343"/>
      <c r="AB1920" s="249"/>
      <c r="AC1920" s="330"/>
      <c r="AD1920" s="343"/>
      <c r="AE1920" s="249"/>
      <c r="AF1920" s="330"/>
      <c r="AG1920" s="343"/>
      <c r="AH1920" s="249"/>
      <c r="AI1920" s="330"/>
      <c r="AJ1920" s="343"/>
      <c r="AK1920" s="249"/>
      <c r="AL1920" s="330"/>
      <c r="AM1920" s="343"/>
      <c r="AN1920" s="249"/>
      <c r="AO1920" s="330"/>
      <c r="AP1920" s="343"/>
      <c r="AQ1920" s="249"/>
      <c r="AR1920" s="330"/>
      <c r="AS1920" s="343"/>
      <c r="AT1920" s="249"/>
      <c r="AU1920" s="330"/>
    </row>
    <row r="1921" spans="2:47">
      <c r="B1921" s="247">
        <f>'Table S2 Compound Identifiers'!C1923</f>
        <v>0</v>
      </c>
      <c r="C1921" s="247">
        <f>COUNTIF($D$6:D1921,"&lt;&gt;"&amp;"")</f>
        <v>1916</v>
      </c>
      <c r="D1921" s="432">
        <f>'Table S2 Compound Identifiers'!B1923</f>
        <v>0</v>
      </c>
      <c r="E1921" s="247"/>
      <c r="F1921" s="248"/>
      <c r="G1921" s="249"/>
      <c r="H1921" s="330"/>
      <c r="I1921" s="328"/>
      <c r="J1921" s="249"/>
      <c r="K1921" s="330"/>
      <c r="L1921" s="250"/>
      <c r="M1921" s="249"/>
      <c r="N1921" s="330"/>
      <c r="O1921" s="250"/>
      <c r="P1921" s="249"/>
      <c r="Q1921" s="330"/>
      <c r="R1921" s="250"/>
      <c r="S1921" s="249"/>
      <c r="T1921" s="330"/>
      <c r="U1921" s="250"/>
      <c r="V1921" s="249"/>
      <c r="W1921" s="330"/>
      <c r="X1921" s="343"/>
      <c r="Y1921" s="249"/>
      <c r="Z1921" s="330"/>
      <c r="AA1921" s="343"/>
      <c r="AB1921" s="249"/>
      <c r="AC1921" s="330"/>
      <c r="AD1921" s="343"/>
      <c r="AE1921" s="249"/>
      <c r="AF1921" s="330"/>
      <c r="AG1921" s="343"/>
      <c r="AH1921" s="249"/>
      <c r="AI1921" s="330"/>
      <c r="AJ1921" s="343"/>
      <c r="AK1921" s="249"/>
      <c r="AL1921" s="330"/>
      <c r="AM1921" s="343"/>
      <c r="AN1921" s="249"/>
      <c r="AO1921" s="330"/>
      <c r="AP1921" s="343"/>
      <c r="AQ1921" s="249"/>
      <c r="AR1921" s="330"/>
      <c r="AS1921" s="343"/>
      <c r="AT1921" s="249"/>
      <c r="AU1921" s="330"/>
    </row>
    <row r="1922" spans="2:47">
      <c r="B1922" s="247">
        <f>'Table S2 Compound Identifiers'!C1924</f>
        <v>0</v>
      </c>
      <c r="C1922" s="247">
        <f>COUNTIF($D$6:D1922,"&lt;&gt;"&amp;"")</f>
        <v>1917</v>
      </c>
      <c r="D1922" s="247">
        <f>'Table S2 Compound Identifiers'!B1924</f>
        <v>0</v>
      </c>
      <c r="E1922" s="247"/>
      <c r="F1922" s="248"/>
      <c r="G1922" s="249"/>
      <c r="H1922" s="330"/>
      <c r="I1922" s="328"/>
      <c r="J1922" s="249"/>
      <c r="K1922" s="330"/>
      <c r="L1922" s="250"/>
      <c r="M1922" s="249"/>
      <c r="N1922" s="330"/>
      <c r="O1922" s="250"/>
      <c r="P1922" s="249"/>
      <c r="Q1922" s="330"/>
      <c r="R1922" s="250"/>
      <c r="S1922" s="249"/>
      <c r="T1922" s="330"/>
      <c r="U1922" s="250"/>
      <c r="V1922" s="249"/>
      <c r="W1922" s="330"/>
      <c r="X1922" s="343"/>
      <c r="Y1922" s="249"/>
      <c r="Z1922" s="330"/>
      <c r="AA1922" s="343"/>
      <c r="AB1922" s="249"/>
      <c r="AC1922" s="330"/>
      <c r="AD1922" s="343"/>
      <c r="AE1922" s="249"/>
      <c r="AF1922" s="330"/>
      <c r="AG1922" s="343"/>
      <c r="AH1922" s="249"/>
      <c r="AI1922" s="330"/>
      <c r="AJ1922" s="343"/>
      <c r="AK1922" s="249"/>
      <c r="AL1922" s="330"/>
      <c r="AM1922" s="343"/>
      <c r="AN1922" s="249"/>
      <c r="AO1922" s="330"/>
      <c r="AP1922" s="343"/>
      <c r="AQ1922" s="249"/>
      <c r="AR1922" s="330"/>
      <c r="AS1922" s="343"/>
      <c r="AT1922" s="249"/>
      <c r="AU1922" s="330"/>
    </row>
    <row r="1923" spans="2:47">
      <c r="B1923" s="247">
        <f>'Table S2 Compound Identifiers'!C1925</f>
        <v>0</v>
      </c>
      <c r="C1923" s="247">
        <f>COUNTIF($D$6:D1923,"&lt;&gt;"&amp;"")</f>
        <v>1918</v>
      </c>
      <c r="D1923" s="247">
        <f>'Table S2 Compound Identifiers'!B1925</f>
        <v>0</v>
      </c>
      <c r="E1923" s="247"/>
      <c r="F1923" s="248"/>
      <c r="G1923" s="249"/>
      <c r="H1923" s="330"/>
      <c r="I1923" s="328"/>
      <c r="J1923" s="249"/>
      <c r="K1923" s="330"/>
      <c r="L1923" s="250"/>
      <c r="M1923" s="249"/>
      <c r="N1923" s="330"/>
      <c r="O1923" s="250"/>
      <c r="P1923" s="249"/>
      <c r="Q1923" s="330"/>
      <c r="R1923" s="250"/>
      <c r="S1923" s="249"/>
      <c r="T1923" s="330"/>
      <c r="U1923" s="250"/>
      <c r="V1923" s="249"/>
      <c r="W1923" s="330"/>
      <c r="X1923" s="343"/>
      <c r="Y1923" s="249"/>
      <c r="Z1923" s="330"/>
      <c r="AA1923" s="343"/>
      <c r="AB1923" s="249"/>
      <c r="AC1923" s="330"/>
      <c r="AD1923" s="343"/>
      <c r="AE1923" s="249"/>
      <c r="AF1923" s="330"/>
      <c r="AG1923" s="343"/>
      <c r="AH1923" s="249"/>
      <c r="AI1923" s="330"/>
      <c r="AJ1923" s="343"/>
      <c r="AK1923" s="249"/>
      <c r="AL1923" s="330"/>
      <c r="AM1923" s="343"/>
      <c r="AN1923" s="249"/>
      <c r="AO1923" s="330"/>
      <c r="AP1923" s="343"/>
      <c r="AQ1923" s="249"/>
      <c r="AR1923" s="330"/>
      <c r="AS1923" s="343"/>
      <c r="AT1923" s="249"/>
      <c r="AU1923" s="330"/>
    </row>
    <row r="1924" spans="2:47">
      <c r="B1924" s="247">
        <f>'Table S2 Compound Identifiers'!C1926</f>
        <v>0</v>
      </c>
      <c r="C1924" s="247">
        <f>COUNTIF($D$6:D1924,"&lt;&gt;"&amp;"")</f>
        <v>1919</v>
      </c>
      <c r="D1924" s="247">
        <f>'Table S2 Compound Identifiers'!B1926</f>
        <v>0</v>
      </c>
      <c r="E1924" s="247"/>
      <c r="F1924" s="248"/>
      <c r="G1924" s="249"/>
      <c r="H1924" s="330"/>
      <c r="I1924" s="328"/>
      <c r="J1924" s="249"/>
      <c r="K1924" s="330"/>
      <c r="L1924" s="250"/>
      <c r="M1924" s="249"/>
      <c r="N1924" s="330"/>
      <c r="O1924" s="250"/>
      <c r="P1924" s="249"/>
      <c r="Q1924" s="330"/>
      <c r="R1924" s="250"/>
      <c r="S1924" s="249"/>
      <c r="T1924" s="330"/>
      <c r="U1924" s="250"/>
      <c r="V1924" s="249"/>
      <c r="W1924" s="330"/>
      <c r="X1924" s="343"/>
      <c r="Y1924" s="249"/>
      <c r="Z1924" s="330"/>
      <c r="AA1924" s="343"/>
      <c r="AB1924" s="249"/>
      <c r="AC1924" s="330"/>
      <c r="AD1924" s="343"/>
      <c r="AE1924" s="249"/>
      <c r="AF1924" s="330"/>
      <c r="AG1924" s="343"/>
      <c r="AH1924" s="249"/>
      <c r="AI1924" s="330"/>
      <c r="AJ1924" s="343"/>
      <c r="AK1924" s="249"/>
      <c r="AL1924" s="330"/>
      <c r="AM1924" s="343"/>
      <c r="AN1924" s="249"/>
      <c r="AO1924" s="330"/>
      <c r="AP1924" s="343"/>
      <c r="AQ1924" s="249"/>
      <c r="AR1924" s="330"/>
      <c r="AS1924" s="343"/>
      <c r="AT1924" s="249"/>
      <c r="AU1924" s="330"/>
    </row>
    <row r="1925" spans="2:47">
      <c r="B1925" s="247">
        <f>'Table S2 Compound Identifiers'!C1927</f>
        <v>0</v>
      </c>
      <c r="C1925" s="247">
        <f>COUNTIF($D$6:D1925,"&lt;&gt;"&amp;"")</f>
        <v>1920</v>
      </c>
      <c r="D1925" s="247">
        <f>'Table S2 Compound Identifiers'!B1927</f>
        <v>0</v>
      </c>
      <c r="E1925" s="247"/>
      <c r="F1925" s="248"/>
      <c r="G1925" s="249"/>
      <c r="H1925" s="330"/>
      <c r="I1925" s="328"/>
      <c r="J1925" s="249"/>
      <c r="K1925" s="330"/>
      <c r="L1925" s="250"/>
      <c r="M1925" s="249"/>
      <c r="N1925" s="330"/>
      <c r="O1925" s="250"/>
      <c r="P1925" s="249"/>
      <c r="Q1925" s="330"/>
      <c r="R1925" s="250"/>
      <c r="S1925" s="249"/>
      <c r="T1925" s="330"/>
      <c r="U1925" s="250"/>
      <c r="V1925" s="249"/>
      <c r="W1925" s="330"/>
      <c r="X1925" s="343"/>
      <c r="Y1925" s="249"/>
      <c r="Z1925" s="330"/>
      <c r="AA1925" s="343"/>
      <c r="AB1925" s="249"/>
      <c r="AC1925" s="330"/>
      <c r="AD1925" s="343"/>
      <c r="AE1925" s="249"/>
      <c r="AF1925" s="330"/>
      <c r="AG1925" s="343"/>
      <c r="AH1925" s="249"/>
      <c r="AI1925" s="330"/>
      <c r="AJ1925" s="343"/>
      <c r="AK1925" s="249"/>
      <c r="AL1925" s="330"/>
      <c r="AM1925" s="343"/>
      <c r="AN1925" s="249"/>
      <c r="AO1925" s="330"/>
      <c r="AP1925" s="343"/>
      <c r="AQ1925" s="249"/>
      <c r="AR1925" s="330"/>
      <c r="AS1925" s="343"/>
      <c r="AT1925" s="249"/>
      <c r="AU1925" s="330"/>
    </row>
    <row r="1926" spans="2:47">
      <c r="B1926" s="247">
        <f>'Table S2 Compound Identifiers'!C1928</f>
        <v>0</v>
      </c>
      <c r="C1926" s="247">
        <f>COUNTIF($D$6:D1926,"&lt;&gt;"&amp;"")</f>
        <v>1921</v>
      </c>
      <c r="D1926" s="247">
        <f>'Table S2 Compound Identifiers'!B1928</f>
        <v>0</v>
      </c>
      <c r="E1926" s="247"/>
      <c r="F1926" s="248"/>
      <c r="G1926" s="249"/>
      <c r="H1926" s="330"/>
      <c r="I1926" s="328"/>
      <c r="J1926" s="249"/>
      <c r="K1926" s="330"/>
      <c r="L1926" s="250"/>
      <c r="M1926" s="249"/>
      <c r="N1926" s="330"/>
      <c r="O1926" s="250"/>
      <c r="P1926" s="249"/>
      <c r="Q1926" s="330"/>
      <c r="R1926" s="250"/>
      <c r="S1926" s="249"/>
      <c r="T1926" s="330"/>
      <c r="U1926" s="250"/>
      <c r="V1926" s="249"/>
      <c r="W1926" s="330"/>
      <c r="X1926" s="343"/>
      <c r="Y1926" s="249"/>
      <c r="Z1926" s="330"/>
      <c r="AA1926" s="343"/>
      <c r="AB1926" s="249"/>
      <c r="AC1926" s="330"/>
      <c r="AD1926" s="343"/>
      <c r="AE1926" s="249"/>
      <c r="AF1926" s="330"/>
      <c r="AG1926" s="343"/>
      <c r="AH1926" s="249"/>
      <c r="AI1926" s="330"/>
      <c r="AJ1926" s="343"/>
      <c r="AK1926" s="249"/>
      <c r="AL1926" s="330"/>
      <c r="AM1926" s="343"/>
      <c r="AN1926" s="249"/>
      <c r="AO1926" s="330"/>
      <c r="AP1926" s="343"/>
      <c r="AQ1926" s="249"/>
      <c r="AR1926" s="330"/>
      <c r="AS1926" s="343"/>
      <c r="AT1926" s="249"/>
      <c r="AU1926" s="330"/>
    </row>
    <row r="1927" spans="2:47">
      <c r="B1927" s="247">
        <f>'Table S2 Compound Identifiers'!C1929</f>
        <v>0</v>
      </c>
      <c r="C1927" s="247">
        <f>COUNTIF($D$6:D1927,"&lt;&gt;"&amp;"")</f>
        <v>1922</v>
      </c>
      <c r="D1927" s="247">
        <f>'Table S2 Compound Identifiers'!B1929</f>
        <v>0</v>
      </c>
      <c r="E1927" s="247"/>
      <c r="F1927" s="248"/>
      <c r="G1927" s="249"/>
      <c r="H1927" s="330"/>
      <c r="I1927" s="328"/>
      <c r="J1927" s="249"/>
      <c r="K1927" s="330"/>
      <c r="L1927" s="250"/>
      <c r="M1927" s="249"/>
      <c r="N1927" s="330"/>
      <c r="O1927" s="250"/>
      <c r="P1927" s="249"/>
      <c r="Q1927" s="330"/>
      <c r="R1927" s="250"/>
      <c r="S1927" s="249"/>
      <c r="T1927" s="330"/>
      <c r="U1927" s="250"/>
      <c r="V1927" s="249"/>
      <c r="W1927" s="330"/>
      <c r="X1927" s="343"/>
      <c r="Y1927" s="249"/>
      <c r="Z1927" s="330"/>
      <c r="AA1927" s="343"/>
      <c r="AB1927" s="249"/>
      <c r="AC1927" s="330"/>
      <c r="AD1927" s="343"/>
      <c r="AE1927" s="249"/>
      <c r="AF1927" s="330"/>
      <c r="AG1927" s="343"/>
      <c r="AH1927" s="249"/>
      <c r="AI1927" s="330"/>
      <c r="AJ1927" s="343"/>
      <c r="AK1927" s="249"/>
      <c r="AL1927" s="330"/>
      <c r="AM1927" s="343"/>
      <c r="AN1927" s="249"/>
      <c r="AO1927" s="330"/>
      <c r="AP1927" s="343"/>
      <c r="AQ1927" s="249"/>
      <c r="AR1927" s="330"/>
      <c r="AS1927" s="343"/>
      <c r="AT1927" s="249"/>
      <c r="AU1927" s="330"/>
    </row>
    <row r="1928" spans="2:47">
      <c r="B1928" s="247">
        <f>'Table S2 Compound Identifiers'!C1930</f>
        <v>0</v>
      </c>
      <c r="C1928" s="247">
        <f>COUNTIF($D$6:D1928,"&lt;&gt;"&amp;"")</f>
        <v>1923</v>
      </c>
      <c r="D1928" s="247">
        <f>'Table S2 Compound Identifiers'!B1930</f>
        <v>0</v>
      </c>
      <c r="E1928" s="247"/>
      <c r="F1928" s="248"/>
      <c r="G1928" s="249"/>
      <c r="H1928" s="330"/>
      <c r="I1928" s="328"/>
      <c r="J1928" s="249"/>
      <c r="K1928" s="330"/>
      <c r="L1928" s="250"/>
      <c r="M1928" s="249"/>
      <c r="N1928" s="330"/>
      <c r="O1928" s="251"/>
      <c r="P1928" s="252"/>
      <c r="Q1928" s="330"/>
      <c r="R1928" s="251"/>
      <c r="S1928" s="252"/>
      <c r="T1928" s="330"/>
      <c r="U1928" s="251"/>
      <c r="V1928" s="252"/>
      <c r="W1928" s="330"/>
      <c r="X1928" s="343"/>
      <c r="Y1928" s="249"/>
      <c r="Z1928" s="330"/>
      <c r="AA1928" s="343"/>
      <c r="AB1928" s="249"/>
      <c r="AC1928" s="330"/>
      <c r="AD1928" s="343"/>
      <c r="AE1928" s="249"/>
      <c r="AF1928" s="330"/>
      <c r="AG1928" s="343"/>
      <c r="AH1928" s="249"/>
      <c r="AI1928" s="330"/>
      <c r="AJ1928" s="343"/>
      <c r="AK1928" s="249"/>
      <c r="AL1928" s="330"/>
      <c r="AM1928" s="343"/>
      <c r="AN1928" s="249"/>
      <c r="AO1928" s="330"/>
      <c r="AP1928" s="343"/>
      <c r="AQ1928" s="249"/>
      <c r="AR1928" s="330"/>
      <c r="AS1928" s="343"/>
      <c r="AT1928" s="249"/>
      <c r="AU1928" s="330"/>
    </row>
    <row r="1929" spans="2:47">
      <c r="B1929" s="247">
        <f>'Table S2 Compound Identifiers'!C1931</f>
        <v>0</v>
      </c>
      <c r="C1929" s="253">
        <f>COUNTIF($D$6:D1929,"&lt;&gt;"&amp;"")</f>
        <v>1924</v>
      </c>
      <c r="D1929" s="253">
        <f>'Table S2 Compound Identifiers'!B1931</f>
        <v>0</v>
      </c>
      <c r="E1929" s="253"/>
      <c r="F1929" s="254"/>
      <c r="G1929" s="252"/>
      <c r="H1929" s="330"/>
      <c r="I1929" s="333"/>
      <c r="J1929" s="252"/>
      <c r="K1929" s="330"/>
      <c r="L1929" s="251"/>
      <c r="M1929" s="252"/>
      <c r="N1929" s="330"/>
      <c r="O1929" s="251"/>
      <c r="P1929" s="252"/>
      <c r="Q1929" s="330"/>
      <c r="R1929" s="251"/>
      <c r="S1929" s="252"/>
      <c r="T1929" s="330"/>
      <c r="U1929" s="251"/>
      <c r="V1929" s="252"/>
      <c r="W1929" s="330"/>
      <c r="X1929" s="343"/>
      <c r="Y1929" s="249"/>
      <c r="Z1929" s="330"/>
      <c r="AA1929" s="343"/>
      <c r="AB1929" s="249"/>
      <c r="AC1929" s="330"/>
      <c r="AD1929" s="343"/>
      <c r="AE1929" s="249"/>
      <c r="AF1929" s="330"/>
      <c r="AG1929" s="343"/>
      <c r="AH1929" s="249"/>
      <c r="AI1929" s="330"/>
      <c r="AJ1929" s="343"/>
      <c r="AK1929" s="249"/>
      <c r="AL1929" s="330"/>
      <c r="AM1929" s="343"/>
      <c r="AN1929" s="249"/>
      <c r="AO1929" s="330"/>
      <c r="AP1929" s="343"/>
      <c r="AQ1929" s="249"/>
      <c r="AR1929" s="330"/>
      <c r="AS1929" s="343"/>
      <c r="AT1929" s="249"/>
      <c r="AU1929" s="330"/>
    </row>
    <row r="1930" spans="2:47">
      <c r="B1930" s="247">
        <f>'Table S2 Compound Identifiers'!C1932</f>
        <v>0</v>
      </c>
      <c r="C1930" s="247">
        <f>COUNTIF($D$6:D1930,"&lt;&gt;"&amp;"")</f>
        <v>1925</v>
      </c>
      <c r="D1930" s="247">
        <f>'Table S2 Compound Identifiers'!B1932</f>
        <v>0</v>
      </c>
      <c r="E1930" s="247"/>
      <c r="F1930" s="248"/>
      <c r="G1930" s="250"/>
      <c r="H1930" s="330"/>
      <c r="I1930" s="343"/>
      <c r="J1930" s="249"/>
      <c r="K1930" s="327"/>
      <c r="L1930" s="343"/>
      <c r="M1930" s="249"/>
      <c r="N1930" s="327"/>
      <c r="O1930" s="343"/>
      <c r="P1930" s="249"/>
      <c r="Q1930" s="327"/>
      <c r="R1930" s="343"/>
      <c r="S1930" s="249"/>
      <c r="T1930" s="327"/>
      <c r="U1930" s="343"/>
      <c r="V1930" s="249"/>
      <c r="W1930" s="327"/>
      <c r="X1930" s="343"/>
      <c r="Y1930" s="249"/>
      <c r="Z1930" s="327"/>
      <c r="AA1930" s="343"/>
      <c r="AB1930" s="249"/>
      <c r="AC1930" s="343"/>
      <c r="AD1930" s="343"/>
      <c r="AE1930" s="249"/>
      <c r="AF1930" s="249"/>
      <c r="AG1930" s="343"/>
      <c r="AH1930" s="249"/>
      <c r="AI1930" s="343"/>
      <c r="AJ1930" s="343"/>
      <c r="AK1930" s="249"/>
      <c r="AL1930" s="249"/>
      <c r="AM1930" s="343"/>
      <c r="AN1930" s="249"/>
      <c r="AO1930" s="343"/>
      <c r="AP1930" s="343"/>
      <c r="AQ1930" s="249"/>
      <c r="AR1930" s="249"/>
      <c r="AS1930" s="343"/>
      <c r="AT1930" s="249"/>
      <c r="AU1930" s="343"/>
    </row>
    <row r="1931" spans="2:47">
      <c r="B1931" s="247">
        <f>'Table S2 Compound Identifiers'!C1933</f>
        <v>0</v>
      </c>
      <c r="C1931" s="247">
        <f>COUNTIF($D$6:D1931,"&lt;&gt;"&amp;"")</f>
        <v>1926</v>
      </c>
      <c r="D1931" s="247">
        <f>'Table S2 Compound Identifiers'!B1933</f>
        <v>0</v>
      </c>
      <c r="E1931" s="247"/>
      <c r="F1931" s="248"/>
      <c r="G1931" s="249"/>
      <c r="H1931" s="330"/>
      <c r="I1931" s="332"/>
      <c r="J1931" s="330"/>
      <c r="K1931" s="330"/>
      <c r="L1931" s="330"/>
      <c r="M1931" s="330"/>
      <c r="N1931" s="330"/>
      <c r="O1931" s="330"/>
      <c r="P1931" s="330"/>
      <c r="Q1931" s="330"/>
      <c r="R1931" s="330"/>
      <c r="S1931" s="330"/>
      <c r="T1931" s="330"/>
      <c r="U1931" s="330"/>
      <c r="V1931" s="330"/>
      <c r="W1931" s="330"/>
      <c r="X1931" s="343"/>
      <c r="Y1931" s="249"/>
      <c r="Z1931" s="330"/>
      <c r="AA1931" s="343"/>
      <c r="AB1931" s="249"/>
      <c r="AC1931" s="330"/>
      <c r="AD1931" s="343"/>
      <c r="AE1931" s="249"/>
      <c r="AF1931" s="330"/>
      <c r="AG1931" s="343"/>
      <c r="AH1931" s="249"/>
      <c r="AI1931" s="330"/>
      <c r="AJ1931" s="343"/>
      <c r="AK1931" s="249"/>
      <c r="AL1931" s="330"/>
      <c r="AM1931" s="343"/>
      <c r="AN1931" s="249"/>
      <c r="AO1931" s="330"/>
      <c r="AP1931" s="343"/>
      <c r="AQ1931" s="249"/>
      <c r="AR1931" s="330"/>
      <c r="AS1931" s="343"/>
      <c r="AT1931" s="249"/>
      <c r="AU1931" s="330"/>
    </row>
    <row r="1932" spans="2:47">
      <c r="B1932" s="247">
        <f>'Table S2 Compound Identifiers'!C1934</f>
        <v>0</v>
      </c>
      <c r="C1932" s="247">
        <f>COUNTIF($D$6:D1932,"&lt;&gt;"&amp;"")</f>
        <v>1927</v>
      </c>
      <c r="D1932" s="247">
        <f>'Table S2 Compound Identifiers'!B1934</f>
        <v>0</v>
      </c>
      <c r="E1932" s="247"/>
      <c r="F1932" s="248"/>
      <c r="G1932" s="249"/>
      <c r="H1932" s="330"/>
      <c r="I1932" s="332"/>
      <c r="J1932" s="330"/>
      <c r="K1932" s="330"/>
      <c r="L1932" s="330"/>
      <c r="M1932" s="330"/>
      <c r="N1932" s="330"/>
      <c r="O1932" s="330"/>
      <c r="P1932" s="330"/>
      <c r="Q1932" s="330"/>
      <c r="R1932" s="330"/>
      <c r="S1932" s="330"/>
      <c r="T1932" s="330"/>
      <c r="U1932" s="330"/>
      <c r="V1932" s="330"/>
      <c r="W1932" s="330"/>
      <c r="X1932" s="343"/>
      <c r="Y1932" s="249"/>
      <c r="Z1932" s="330"/>
      <c r="AA1932" s="343"/>
      <c r="AB1932" s="249"/>
      <c r="AC1932" s="330"/>
      <c r="AD1932" s="343"/>
      <c r="AE1932" s="249"/>
      <c r="AF1932" s="330"/>
      <c r="AG1932" s="343"/>
      <c r="AH1932" s="249"/>
      <c r="AI1932" s="330"/>
      <c r="AJ1932" s="343"/>
      <c r="AK1932" s="249"/>
      <c r="AL1932" s="330"/>
      <c r="AM1932" s="343"/>
      <c r="AN1932" s="249"/>
      <c r="AO1932" s="330"/>
      <c r="AP1932" s="343"/>
      <c r="AQ1932" s="249"/>
      <c r="AR1932" s="330"/>
      <c r="AS1932" s="343"/>
      <c r="AT1932" s="249"/>
      <c r="AU1932" s="330"/>
    </row>
    <row r="1933" spans="2:47">
      <c r="B1933" s="247">
        <f>'Table S2 Compound Identifiers'!C1935</f>
        <v>0</v>
      </c>
      <c r="C1933" s="247">
        <f>COUNTIF($D$6:D1933,"&lt;&gt;"&amp;"")</f>
        <v>1928</v>
      </c>
      <c r="D1933" s="247">
        <f>'Table S2 Compound Identifiers'!B1935</f>
        <v>0</v>
      </c>
      <c r="E1933" s="247"/>
      <c r="F1933" s="248"/>
      <c r="G1933" s="249"/>
      <c r="H1933" s="330"/>
      <c r="I1933" s="332"/>
      <c r="J1933" s="330"/>
      <c r="K1933" s="330"/>
      <c r="L1933" s="330"/>
      <c r="M1933" s="330"/>
      <c r="N1933" s="330"/>
      <c r="O1933" s="330"/>
      <c r="P1933" s="330"/>
      <c r="Q1933" s="330"/>
      <c r="R1933" s="330"/>
      <c r="S1933" s="330"/>
      <c r="T1933" s="330"/>
      <c r="U1933" s="330"/>
      <c r="V1933" s="330"/>
      <c r="W1933" s="330"/>
      <c r="X1933" s="343"/>
      <c r="Y1933" s="249"/>
      <c r="Z1933" s="330"/>
      <c r="AA1933" s="343"/>
      <c r="AB1933" s="249"/>
      <c r="AC1933" s="330"/>
      <c r="AD1933" s="343"/>
      <c r="AE1933" s="249"/>
      <c r="AF1933" s="330"/>
      <c r="AG1933" s="343"/>
      <c r="AH1933" s="249"/>
      <c r="AI1933" s="330"/>
      <c r="AJ1933" s="343"/>
      <c r="AK1933" s="249"/>
      <c r="AL1933" s="330"/>
      <c r="AM1933" s="343"/>
      <c r="AN1933" s="249"/>
      <c r="AO1933" s="330"/>
      <c r="AP1933" s="343"/>
      <c r="AQ1933" s="249"/>
      <c r="AR1933" s="330"/>
      <c r="AS1933" s="343"/>
      <c r="AT1933" s="249"/>
      <c r="AU1933" s="330"/>
    </row>
    <row r="1934" spans="2:47">
      <c r="B1934" s="247">
        <f>'Table S2 Compound Identifiers'!C1936</f>
        <v>0</v>
      </c>
      <c r="C1934" s="247">
        <f>COUNTIF($D$6:D1934,"&lt;&gt;"&amp;"")</f>
        <v>1929</v>
      </c>
      <c r="D1934" s="247">
        <f>'Table S2 Compound Identifiers'!B1936</f>
        <v>0</v>
      </c>
      <c r="E1934" s="247"/>
      <c r="F1934" s="248"/>
      <c r="G1934" s="249"/>
      <c r="H1934" s="330"/>
      <c r="I1934" s="328"/>
      <c r="J1934" s="249"/>
      <c r="K1934" s="330"/>
      <c r="L1934" s="250"/>
      <c r="M1934" s="249"/>
      <c r="N1934" s="330"/>
      <c r="O1934" s="250"/>
      <c r="P1934" s="249"/>
      <c r="Q1934" s="330"/>
      <c r="R1934" s="250"/>
      <c r="S1934" s="249"/>
      <c r="T1934" s="330"/>
      <c r="U1934" s="250"/>
      <c r="V1934" s="249"/>
      <c r="W1934" s="330"/>
      <c r="X1934" s="343"/>
      <c r="Y1934" s="249"/>
      <c r="Z1934" s="330"/>
      <c r="AA1934" s="343"/>
      <c r="AB1934" s="249"/>
      <c r="AC1934" s="330"/>
      <c r="AD1934" s="343"/>
      <c r="AE1934" s="249"/>
      <c r="AF1934" s="330"/>
      <c r="AG1934" s="343"/>
      <c r="AH1934" s="249"/>
      <c r="AI1934" s="330"/>
      <c r="AJ1934" s="343"/>
      <c r="AK1934" s="249"/>
      <c r="AL1934" s="330"/>
      <c r="AM1934" s="343"/>
      <c r="AN1934" s="249"/>
      <c r="AO1934" s="330"/>
      <c r="AP1934" s="343"/>
      <c r="AQ1934" s="249"/>
      <c r="AR1934" s="330"/>
      <c r="AS1934" s="343"/>
      <c r="AT1934" s="249"/>
      <c r="AU1934" s="330"/>
    </row>
    <row r="1935" spans="2:47">
      <c r="B1935" s="247">
        <f>'Table S2 Compound Identifiers'!C1937</f>
        <v>0</v>
      </c>
      <c r="C1935" s="247">
        <f>COUNTIF($D$6:D1935,"&lt;&gt;"&amp;"")</f>
        <v>1930</v>
      </c>
      <c r="D1935" s="247">
        <f>'Table S2 Compound Identifiers'!B1937</f>
        <v>0</v>
      </c>
      <c r="E1935" s="247"/>
      <c r="F1935" s="248"/>
      <c r="G1935" s="249"/>
      <c r="H1935" s="330"/>
      <c r="I1935" s="328"/>
      <c r="J1935" s="249"/>
      <c r="K1935" s="330"/>
      <c r="L1935" s="250"/>
      <c r="M1935" s="249"/>
      <c r="N1935" s="330"/>
      <c r="O1935" s="250"/>
      <c r="P1935" s="249"/>
      <c r="Q1935" s="330"/>
      <c r="R1935" s="250"/>
      <c r="S1935" s="249"/>
      <c r="T1935" s="330"/>
      <c r="U1935" s="250"/>
      <c r="V1935" s="249"/>
      <c r="W1935" s="330"/>
      <c r="X1935" s="343"/>
      <c r="Y1935" s="249"/>
      <c r="Z1935" s="330"/>
      <c r="AA1935" s="343"/>
      <c r="AB1935" s="249"/>
      <c r="AC1935" s="330"/>
      <c r="AD1935" s="343"/>
      <c r="AE1935" s="249"/>
      <c r="AF1935" s="330"/>
      <c r="AG1935" s="343"/>
      <c r="AH1935" s="249"/>
      <c r="AI1935" s="330"/>
      <c r="AJ1935" s="343"/>
      <c r="AK1935" s="249"/>
      <c r="AL1935" s="330"/>
      <c r="AM1935" s="343"/>
      <c r="AN1935" s="249"/>
      <c r="AO1935" s="330"/>
      <c r="AP1935" s="343"/>
      <c r="AQ1935" s="249"/>
      <c r="AR1935" s="330"/>
      <c r="AS1935" s="343"/>
      <c r="AT1935" s="249"/>
      <c r="AU1935" s="330"/>
    </row>
    <row r="1936" spans="2:47">
      <c r="B1936" s="247">
        <f>'Table S2 Compound Identifiers'!C1938</f>
        <v>0</v>
      </c>
      <c r="C1936" s="247">
        <f>COUNTIF($D$6:D1936,"&lt;&gt;"&amp;"")</f>
        <v>1931</v>
      </c>
      <c r="D1936" s="247">
        <f>'Table S2 Compound Identifiers'!B1938</f>
        <v>0</v>
      </c>
      <c r="E1936" s="247"/>
      <c r="F1936" s="248"/>
      <c r="G1936" s="249"/>
      <c r="H1936" s="330"/>
      <c r="I1936" s="328"/>
      <c r="J1936" s="249"/>
      <c r="K1936" s="330"/>
      <c r="L1936" s="250"/>
      <c r="M1936" s="249"/>
      <c r="N1936" s="330"/>
      <c r="O1936" s="250"/>
      <c r="P1936" s="249"/>
      <c r="Q1936" s="330"/>
      <c r="R1936" s="250"/>
      <c r="S1936" s="249"/>
      <c r="T1936" s="330"/>
      <c r="U1936" s="250"/>
      <c r="V1936" s="249"/>
      <c r="W1936" s="330"/>
      <c r="X1936" s="343"/>
      <c r="Y1936" s="249"/>
      <c r="Z1936" s="330"/>
      <c r="AA1936" s="343"/>
      <c r="AB1936" s="249"/>
      <c r="AC1936" s="330"/>
      <c r="AD1936" s="343"/>
      <c r="AE1936" s="249"/>
      <c r="AF1936" s="330"/>
      <c r="AG1936" s="343"/>
      <c r="AH1936" s="249"/>
      <c r="AI1936" s="330"/>
      <c r="AJ1936" s="343"/>
      <c r="AK1936" s="249"/>
      <c r="AL1936" s="330"/>
      <c r="AM1936" s="343"/>
      <c r="AN1936" s="249"/>
      <c r="AO1936" s="330"/>
      <c r="AP1936" s="343"/>
      <c r="AQ1936" s="249"/>
      <c r="AR1936" s="330"/>
      <c r="AS1936" s="343"/>
      <c r="AT1936" s="249"/>
      <c r="AU1936" s="330"/>
    </row>
    <row r="1937" spans="2:47">
      <c r="B1937" s="247">
        <f>'Table S2 Compound Identifiers'!C1939</f>
        <v>0</v>
      </c>
      <c r="C1937" s="247">
        <f>COUNTIF($D$6:D1937,"&lt;&gt;"&amp;"")</f>
        <v>1932</v>
      </c>
      <c r="D1937" s="247">
        <f>'Table S2 Compound Identifiers'!B1939</f>
        <v>0</v>
      </c>
      <c r="E1937" s="247"/>
      <c r="F1937" s="248"/>
      <c r="G1937" s="249"/>
      <c r="H1937" s="330"/>
      <c r="I1937" s="328"/>
      <c r="J1937" s="249"/>
      <c r="K1937" s="330"/>
      <c r="L1937" s="250"/>
      <c r="M1937" s="249"/>
      <c r="N1937" s="330"/>
      <c r="O1937" s="250"/>
      <c r="P1937" s="249"/>
      <c r="Q1937" s="330"/>
      <c r="R1937" s="250"/>
      <c r="S1937" s="249"/>
      <c r="T1937" s="330"/>
      <c r="U1937" s="250"/>
      <c r="V1937" s="249"/>
      <c r="W1937" s="330"/>
      <c r="X1937" s="343"/>
      <c r="Y1937" s="249"/>
      <c r="Z1937" s="330"/>
      <c r="AA1937" s="343"/>
      <c r="AB1937" s="249"/>
      <c r="AC1937" s="330"/>
      <c r="AD1937" s="343"/>
      <c r="AE1937" s="249"/>
      <c r="AF1937" s="330"/>
      <c r="AG1937" s="343"/>
      <c r="AH1937" s="249"/>
      <c r="AI1937" s="330"/>
      <c r="AJ1937" s="343"/>
      <c r="AK1937" s="249"/>
      <c r="AL1937" s="330"/>
      <c r="AM1937" s="343"/>
      <c r="AN1937" s="249"/>
      <c r="AO1937" s="330"/>
      <c r="AP1937" s="343"/>
      <c r="AQ1937" s="249"/>
      <c r="AR1937" s="330"/>
      <c r="AS1937" s="343"/>
      <c r="AT1937" s="249"/>
      <c r="AU1937" s="330"/>
    </row>
    <row r="1938" spans="2:47">
      <c r="B1938" s="247">
        <f>'Table S2 Compound Identifiers'!C1940</f>
        <v>0</v>
      </c>
      <c r="C1938" s="247">
        <f>COUNTIF($D$6:D1938,"&lt;&gt;"&amp;"")</f>
        <v>1933</v>
      </c>
      <c r="D1938" s="247">
        <f>'Table S2 Compound Identifiers'!B1940</f>
        <v>0</v>
      </c>
      <c r="E1938" s="247"/>
      <c r="F1938" s="248"/>
      <c r="G1938" s="249"/>
      <c r="H1938" s="330"/>
      <c r="I1938" s="328"/>
      <c r="J1938" s="249"/>
      <c r="K1938" s="330"/>
      <c r="L1938" s="250"/>
      <c r="M1938" s="249"/>
      <c r="N1938" s="330"/>
      <c r="O1938" s="250"/>
      <c r="P1938" s="249"/>
      <c r="Q1938" s="330"/>
      <c r="R1938" s="250"/>
      <c r="S1938" s="249"/>
      <c r="T1938" s="330"/>
      <c r="U1938" s="250"/>
      <c r="V1938" s="249"/>
      <c r="W1938" s="330"/>
      <c r="X1938" s="343"/>
      <c r="Y1938" s="249"/>
      <c r="Z1938" s="330"/>
      <c r="AA1938" s="343"/>
      <c r="AB1938" s="249"/>
      <c r="AC1938" s="330"/>
      <c r="AD1938" s="343"/>
      <c r="AE1938" s="249"/>
      <c r="AF1938" s="330"/>
      <c r="AG1938" s="343"/>
      <c r="AH1938" s="249"/>
      <c r="AI1938" s="330"/>
      <c r="AJ1938" s="343"/>
      <c r="AK1938" s="249"/>
      <c r="AL1938" s="330"/>
      <c r="AM1938" s="343"/>
      <c r="AN1938" s="249"/>
      <c r="AO1938" s="330"/>
      <c r="AP1938" s="343"/>
      <c r="AQ1938" s="249"/>
      <c r="AR1938" s="330"/>
      <c r="AS1938" s="343"/>
      <c r="AT1938" s="249"/>
      <c r="AU1938" s="330"/>
    </row>
    <row r="1939" spans="2:47">
      <c r="B1939" s="247">
        <f>'Table S2 Compound Identifiers'!C1941</f>
        <v>0</v>
      </c>
      <c r="C1939" s="247">
        <f>COUNTIF($D$6:D1939,"&lt;&gt;"&amp;"")</f>
        <v>1934</v>
      </c>
      <c r="D1939" s="247">
        <f>'Table S2 Compound Identifiers'!B1941</f>
        <v>0</v>
      </c>
      <c r="E1939" s="247"/>
      <c r="F1939" s="248"/>
      <c r="G1939" s="249"/>
      <c r="H1939" s="330"/>
      <c r="I1939" s="328"/>
      <c r="J1939" s="249"/>
      <c r="K1939" s="330"/>
      <c r="L1939" s="250"/>
      <c r="M1939" s="249"/>
      <c r="N1939" s="330"/>
      <c r="O1939" s="250"/>
      <c r="P1939" s="249"/>
      <c r="Q1939" s="330"/>
      <c r="R1939" s="250"/>
      <c r="S1939" s="249"/>
      <c r="T1939" s="330"/>
      <c r="U1939" s="250"/>
      <c r="V1939" s="249"/>
      <c r="W1939" s="330"/>
      <c r="X1939" s="343"/>
      <c r="Y1939" s="249"/>
      <c r="Z1939" s="330"/>
      <c r="AA1939" s="343"/>
      <c r="AB1939" s="249"/>
      <c r="AC1939" s="330"/>
      <c r="AD1939" s="343"/>
      <c r="AE1939" s="249"/>
      <c r="AF1939" s="330"/>
      <c r="AG1939" s="343"/>
      <c r="AH1939" s="249"/>
      <c r="AI1939" s="330"/>
      <c r="AJ1939" s="343"/>
      <c r="AK1939" s="249"/>
      <c r="AL1939" s="330"/>
      <c r="AM1939" s="343"/>
      <c r="AN1939" s="249"/>
      <c r="AO1939" s="330"/>
      <c r="AP1939" s="343"/>
      <c r="AQ1939" s="249"/>
      <c r="AR1939" s="330"/>
      <c r="AS1939" s="343"/>
      <c r="AT1939" s="249"/>
      <c r="AU1939" s="330"/>
    </row>
    <row r="1940" spans="2:47">
      <c r="B1940" s="247">
        <f>'Table S2 Compound Identifiers'!C1942</f>
        <v>0</v>
      </c>
      <c r="C1940" s="247">
        <f>COUNTIF($D$6:D1940,"&lt;&gt;"&amp;"")</f>
        <v>1935</v>
      </c>
      <c r="D1940" s="247">
        <f>'Table S2 Compound Identifiers'!B1942</f>
        <v>0</v>
      </c>
      <c r="E1940" s="247"/>
      <c r="F1940" s="248"/>
      <c r="G1940" s="249"/>
      <c r="H1940" s="330"/>
      <c r="I1940" s="328"/>
      <c r="J1940" s="249"/>
      <c r="K1940" s="330"/>
      <c r="L1940" s="250"/>
      <c r="M1940" s="249"/>
      <c r="N1940" s="330"/>
      <c r="O1940" s="250"/>
      <c r="P1940" s="249"/>
      <c r="Q1940" s="330"/>
      <c r="R1940" s="250"/>
      <c r="S1940" s="249"/>
      <c r="T1940" s="330"/>
      <c r="U1940" s="250"/>
      <c r="V1940" s="249"/>
      <c r="W1940" s="330"/>
      <c r="X1940" s="343"/>
      <c r="Y1940" s="249"/>
      <c r="Z1940" s="330"/>
      <c r="AA1940" s="343"/>
      <c r="AB1940" s="249"/>
      <c r="AC1940" s="330"/>
      <c r="AD1940" s="343"/>
      <c r="AE1940" s="249"/>
      <c r="AF1940" s="330"/>
      <c r="AG1940" s="343"/>
      <c r="AH1940" s="249"/>
      <c r="AI1940" s="330"/>
      <c r="AJ1940" s="343"/>
      <c r="AK1940" s="249"/>
      <c r="AL1940" s="330"/>
      <c r="AM1940" s="343"/>
      <c r="AN1940" s="249"/>
      <c r="AO1940" s="330"/>
      <c r="AP1940" s="343"/>
      <c r="AQ1940" s="249"/>
      <c r="AR1940" s="330"/>
      <c r="AS1940" s="343"/>
      <c r="AT1940" s="249"/>
      <c r="AU1940" s="330"/>
    </row>
    <row r="1941" spans="2:47">
      <c r="B1941" s="247">
        <f>'Table S2 Compound Identifiers'!C1943</f>
        <v>0</v>
      </c>
      <c r="C1941" s="247">
        <f>COUNTIF($D$6:D1941,"&lt;&gt;"&amp;"")</f>
        <v>1936</v>
      </c>
      <c r="D1941" s="247">
        <f>'Table S2 Compound Identifiers'!B1943</f>
        <v>0</v>
      </c>
      <c r="E1941" s="247"/>
      <c r="F1941" s="248"/>
      <c r="G1941" s="249"/>
      <c r="H1941" s="330"/>
      <c r="I1941" s="328"/>
      <c r="J1941" s="249"/>
      <c r="K1941" s="330"/>
      <c r="L1941" s="250"/>
      <c r="M1941" s="249"/>
      <c r="N1941" s="330"/>
      <c r="O1941" s="250"/>
      <c r="P1941" s="249"/>
      <c r="Q1941" s="330"/>
      <c r="R1941" s="250"/>
      <c r="S1941" s="249"/>
      <c r="T1941" s="330"/>
      <c r="U1941" s="250"/>
      <c r="V1941" s="249"/>
      <c r="W1941" s="330"/>
      <c r="X1941" s="343"/>
      <c r="Y1941" s="249"/>
      <c r="Z1941" s="330"/>
      <c r="AA1941" s="343"/>
      <c r="AB1941" s="249"/>
      <c r="AC1941" s="330"/>
      <c r="AD1941" s="343"/>
      <c r="AE1941" s="249"/>
      <c r="AF1941" s="330"/>
      <c r="AG1941" s="343"/>
      <c r="AH1941" s="249"/>
      <c r="AI1941" s="330"/>
      <c r="AJ1941" s="343"/>
      <c r="AK1941" s="249"/>
      <c r="AL1941" s="330"/>
      <c r="AM1941" s="343"/>
      <c r="AN1941" s="249"/>
      <c r="AO1941" s="330"/>
      <c r="AP1941" s="343"/>
      <c r="AQ1941" s="249"/>
      <c r="AR1941" s="330"/>
      <c r="AS1941" s="343"/>
      <c r="AT1941" s="249"/>
      <c r="AU1941" s="330"/>
    </row>
    <row r="1942" spans="2:47">
      <c r="B1942" s="247">
        <f>'Table S2 Compound Identifiers'!C1944</f>
        <v>0</v>
      </c>
      <c r="C1942" s="247">
        <f>COUNTIF($D$6:D1942,"&lt;&gt;"&amp;"")</f>
        <v>1937</v>
      </c>
      <c r="D1942" s="247">
        <f>'Table S2 Compound Identifiers'!B1944</f>
        <v>0</v>
      </c>
      <c r="E1942" s="247"/>
      <c r="F1942" s="248"/>
      <c r="G1942" s="249"/>
      <c r="H1942" s="330"/>
      <c r="I1942" s="328"/>
      <c r="J1942" s="249"/>
      <c r="K1942" s="330"/>
      <c r="L1942" s="250"/>
      <c r="M1942" s="249"/>
      <c r="N1942" s="330"/>
      <c r="O1942" s="250"/>
      <c r="P1942" s="249"/>
      <c r="Q1942" s="330"/>
      <c r="R1942" s="250"/>
      <c r="S1942" s="249"/>
      <c r="T1942" s="330"/>
      <c r="U1942" s="250"/>
      <c r="V1942" s="249"/>
      <c r="W1942" s="330"/>
      <c r="X1942" s="343"/>
      <c r="Y1942" s="249"/>
      <c r="Z1942" s="330"/>
      <c r="AA1942" s="343"/>
      <c r="AB1942" s="249"/>
      <c r="AC1942" s="330"/>
      <c r="AD1942" s="343"/>
      <c r="AE1942" s="249"/>
      <c r="AF1942" s="330"/>
      <c r="AG1942" s="343"/>
      <c r="AH1942" s="249"/>
      <c r="AI1942" s="330"/>
      <c r="AJ1942" s="343"/>
      <c r="AK1942" s="249"/>
      <c r="AL1942" s="330"/>
      <c r="AM1942" s="343"/>
      <c r="AN1942" s="249"/>
      <c r="AO1942" s="330"/>
      <c r="AP1942" s="343"/>
      <c r="AQ1942" s="249"/>
      <c r="AR1942" s="330"/>
      <c r="AS1942" s="343"/>
      <c r="AT1942" s="249"/>
      <c r="AU1942" s="330"/>
    </row>
    <row r="1943" spans="2:47">
      <c r="B1943" s="247">
        <f>'Table S2 Compound Identifiers'!C1945</f>
        <v>0</v>
      </c>
      <c r="C1943" s="247">
        <f>COUNTIF($D$6:D1943,"&lt;&gt;"&amp;"")</f>
        <v>1938</v>
      </c>
      <c r="D1943" s="247">
        <f>'Table S2 Compound Identifiers'!B1945</f>
        <v>0</v>
      </c>
      <c r="E1943" s="247"/>
      <c r="F1943" s="248"/>
      <c r="G1943" s="249"/>
      <c r="H1943" s="330"/>
      <c r="I1943" s="328"/>
      <c r="J1943" s="249"/>
      <c r="K1943" s="330"/>
      <c r="L1943" s="250"/>
      <c r="M1943" s="249"/>
      <c r="N1943" s="330"/>
      <c r="O1943" s="250"/>
      <c r="P1943" s="249"/>
      <c r="Q1943" s="330"/>
      <c r="R1943" s="250"/>
      <c r="S1943" s="249"/>
      <c r="T1943" s="330"/>
      <c r="U1943" s="250"/>
      <c r="V1943" s="249"/>
      <c r="W1943" s="330"/>
      <c r="X1943" s="343"/>
      <c r="Y1943" s="249"/>
      <c r="Z1943" s="330"/>
      <c r="AA1943" s="343"/>
      <c r="AB1943" s="249"/>
      <c r="AC1943" s="330"/>
      <c r="AD1943" s="343"/>
      <c r="AE1943" s="249"/>
      <c r="AF1943" s="330"/>
      <c r="AG1943" s="343"/>
      <c r="AH1943" s="249"/>
      <c r="AI1943" s="330"/>
      <c r="AJ1943" s="343"/>
      <c r="AK1943" s="249"/>
      <c r="AL1943" s="330"/>
      <c r="AM1943" s="343"/>
      <c r="AN1943" s="249"/>
      <c r="AO1943" s="330"/>
      <c r="AP1943" s="343"/>
      <c r="AQ1943" s="249"/>
      <c r="AR1943" s="330"/>
      <c r="AS1943" s="343"/>
      <c r="AT1943" s="249"/>
      <c r="AU1943" s="330"/>
    </row>
    <row r="1944" spans="2:47">
      <c r="B1944" s="247">
        <f>'Table S2 Compound Identifiers'!C1946</f>
        <v>0</v>
      </c>
      <c r="C1944" s="247">
        <f>COUNTIF($D$6:D1944,"&lt;&gt;"&amp;"")</f>
        <v>1939</v>
      </c>
      <c r="D1944" s="247">
        <f>'Table S2 Compound Identifiers'!B1946</f>
        <v>0</v>
      </c>
      <c r="E1944" s="247"/>
      <c r="F1944" s="248"/>
      <c r="G1944" s="249"/>
      <c r="H1944" s="330"/>
      <c r="I1944" s="328"/>
      <c r="J1944" s="249"/>
      <c r="K1944" s="330"/>
      <c r="L1944" s="250"/>
      <c r="M1944" s="249"/>
      <c r="N1944" s="330"/>
      <c r="O1944" s="250"/>
      <c r="P1944" s="249"/>
      <c r="Q1944" s="330"/>
      <c r="R1944" s="250"/>
      <c r="S1944" s="249"/>
      <c r="T1944" s="330"/>
      <c r="U1944" s="250"/>
      <c r="V1944" s="249"/>
      <c r="W1944" s="330"/>
      <c r="X1944" s="343"/>
      <c r="Y1944" s="249"/>
      <c r="Z1944" s="330"/>
      <c r="AA1944" s="343"/>
      <c r="AB1944" s="249"/>
      <c r="AC1944" s="330"/>
      <c r="AD1944" s="343"/>
      <c r="AE1944" s="249"/>
      <c r="AF1944" s="330"/>
      <c r="AG1944" s="343"/>
      <c r="AH1944" s="249"/>
      <c r="AI1944" s="330"/>
      <c r="AJ1944" s="343"/>
      <c r="AK1944" s="249"/>
      <c r="AL1944" s="330"/>
      <c r="AM1944" s="343"/>
      <c r="AN1944" s="249"/>
      <c r="AO1944" s="330"/>
      <c r="AP1944" s="343"/>
      <c r="AQ1944" s="249"/>
      <c r="AR1944" s="330"/>
      <c r="AS1944" s="343"/>
      <c r="AT1944" s="249"/>
      <c r="AU1944" s="330"/>
    </row>
    <row r="1945" spans="2:47">
      <c r="B1945" s="247">
        <f>'Table S2 Compound Identifiers'!C1947</f>
        <v>0</v>
      </c>
      <c r="C1945" s="247">
        <f>COUNTIF($D$6:D1945,"&lt;&gt;"&amp;"")</f>
        <v>1940</v>
      </c>
      <c r="D1945" s="247">
        <f>'Table S2 Compound Identifiers'!B1947</f>
        <v>0</v>
      </c>
      <c r="E1945" s="247"/>
      <c r="F1945" s="248"/>
      <c r="G1945" s="249"/>
      <c r="H1945" s="330"/>
      <c r="I1945" s="328"/>
      <c r="J1945" s="249"/>
      <c r="K1945" s="330"/>
      <c r="L1945" s="250"/>
      <c r="M1945" s="249"/>
      <c r="N1945" s="330"/>
      <c r="O1945" s="250"/>
      <c r="P1945" s="249"/>
      <c r="Q1945" s="330"/>
      <c r="R1945" s="250"/>
      <c r="S1945" s="249"/>
      <c r="T1945" s="330"/>
      <c r="U1945" s="250"/>
      <c r="V1945" s="249"/>
      <c r="W1945" s="330"/>
      <c r="X1945" s="343"/>
      <c r="Y1945" s="249"/>
      <c r="Z1945" s="330"/>
      <c r="AA1945" s="343"/>
      <c r="AB1945" s="249"/>
      <c r="AC1945" s="330"/>
      <c r="AD1945" s="343"/>
      <c r="AE1945" s="249"/>
      <c r="AF1945" s="330"/>
      <c r="AG1945" s="343"/>
      <c r="AH1945" s="249"/>
      <c r="AI1945" s="330"/>
      <c r="AJ1945" s="343"/>
      <c r="AK1945" s="249"/>
      <c r="AL1945" s="330"/>
      <c r="AM1945" s="343"/>
      <c r="AN1945" s="249"/>
      <c r="AO1945" s="330"/>
      <c r="AP1945" s="343"/>
      <c r="AQ1945" s="249"/>
      <c r="AR1945" s="330"/>
      <c r="AS1945" s="343"/>
      <c r="AT1945" s="249"/>
      <c r="AU1945" s="330"/>
    </row>
    <row r="1946" spans="2:47">
      <c r="B1946" s="247">
        <f>'Table S2 Compound Identifiers'!C1948</f>
        <v>0</v>
      </c>
      <c r="C1946" s="247">
        <f>COUNTIF($D$6:D1946,"&lt;&gt;"&amp;"")</f>
        <v>1941</v>
      </c>
      <c r="D1946" s="247">
        <f>'Table S2 Compound Identifiers'!B1948</f>
        <v>0</v>
      </c>
      <c r="E1946" s="247"/>
      <c r="F1946" s="248"/>
      <c r="G1946" s="249"/>
      <c r="H1946" s="330"/>
      <c r="I1946" s="328"/>
      <c r="J1946" s="249"/>
      <c r="K1946" s="330"/>
      <c r="L1946" s="250"/>
      <c r="M1946" s="249"/>
      <c r="N1946" s="330"/>
      <c r="O1946" s="250"/>
      <c r="P1946" s="249"/>
      <c r="Q1946" s="330"/>
      <c r="R1946" s="250"/>
      <c r="S1946" s="249"/>
      <c r="T1946" s="330"/>
      <c r="U1946" s="250"/>
      <c r="V1946" s="249"/>
      <c r="W1946" s="330"/>
      <c r="X1946" s="343"/>
      <c r="Y1946" s="249"/>
      <c r="Z1946" s="330"/>
      <c r="AA1946" s="343"/>
      <c r="AB1946" s="249"/>
      <c r="AC1946" s="330"/>
      <c r="AD1946" s="343"/>
      <c r="AE1946" s="249"/>
      <c r="AF1946" s="330"/>
      <c r="AG1946" s="343"/>
      <c r="AH1946" s="249"/>
      <c r="AI1946" s="330"/>
      <c r="AJ1946" s="343"/>
      <c r="AK1946" s="249"/>
      <c r="AL1946" s="330"/>
      <c r="AM1946" s="343"/>
      <c r="AN1946" s="249"/>
      <c r="AO1946" s="330"/>
      <c r="AP1946" s="343"/>
      <c r="AQ1946" s="249"/>
      <c r="AR1946" s="330"/>
      <c r="AS1946" s="343"/>
      <c r="AT1946" s="249"/>
      <c r="AU1946" s="330"/>
    </row>
    <row r="1947" spans="2:47">
      <c r="B1947" s="247">
        <f>'Table S2 Compound Identifiers'!C1949</f>
        <v>0</v>
      </c>
      <c r="C1947" s="247">
        <f>COUNTIF($D$6:D1947,"&lt;&gt;"&amp;"")</f>
        <v>1942</v>
      </c>
      <c r="D1947" s="247">
        <f>'Table S2 Compound Identifiers'!B1949</f>
        <v>0</v>
      </c>
      <c r="E1947" s="247"/>
      <c r="F1947" s="248"/>
      <c r="G1947" s="249"/>
      <c r="H1947" s="330"/>
      <c r="I1947" s="328"/>
      <c r="J1947" s="249"/>
      <c r="K1947" s="330"/>
      <c r="L1947" s="250"/>
      <c r="M1947" s="249"/>
      <c r="N1947" s="330"/>
      <c r="O1947" s="250"/>
      <c r="P1947" s="249"/>
      <c r="Q1947" s="330"/>
      <c r="R1947" s="250"/>
      <c r="S1947" s="249"/>
      <c r="T1947" s="330"/>
      <c r="U1947" s="250"/>
      <c r="V1947" s="249"/>
      <c r="W1947" s="330"/>
      <c r="X1947" s="343"/>
      <c r="Y1947" s="249"/>
      <c r="Z1947" s="330"/>
      <c r="AA1947" s="343"/>
      <c r="AB1947" s="249"/>
      <c r="AC1947" s="330"/>
      <c r="AD1947" s="343"/>
      <c r="AE1947" s="249"/>
      <c r="AF1947" s="330"/>
      <c r="AG1947" s="343"/>
      <c r="AH1947" s="249"/>
      <c r="AI1947" s="330"/>
      <c r="AJ1947" s="343"/>
      <c r="AK1947" s="249"/>
      <c r="AL1947" s="330"/>
      <c r="AM1947" s="343"/>
      <c r="AN1947" s="249"/>
      <c r="AO1947" s="330"/>
      <c r="AP1947" s="343"/>
      <c r="AQ1947" s="249"/>
      <c r="AR1947" s="330"/>
      <c r="AS1947" s="343"/>
      <c r="AT1947" s="249"/>
      <c r="AU1947" s="330"/>
    </row>
    <row r="1948" spans="2:47">
      <c r="B1948" s="247">
        <f>'Table S2 Compound Identifiers'!C1950</f>
        <v>0</v>
      </c>
      <c r="C1948" s="247">
        <f>COUNTIF($D$6:D1948,"&lt;&gt;"&amp;"")</f>
        <v>1943</v>
      </c>
      <c r="D1948" s="247">
        <f>'Table S2 Compound Identifiers'!B1950</f>
        <v>0</v>
      </c>
      <c r="E1948" s="247"/>
      <c r="F1948" s="248"/>
      <c r="G1948" s="249"/>
      <c r="H1948" s="330"/>
      <c r="I1948" s="328"/>
      <c r="J1948" s="249"/>
      <c r="K1948" s="330"/>
      <c r="L1948" s="250"/>
      <c r="M1948" s="249"/>
      <c r="N1948" s="330"/>
      <c r="O1948" s="250"/>
      <c r="P1948" s="249"/>
      <c r="Q1948" s="330"/>
      <c r="R1948" s="250"/>
      <c r="S1948" s="249"/>
      <c r="T1948" s="330"/>
      <c r="U1948" s="250"/>
      <c r="V1948" s="249"/>
      <c r="W1948" s="330"/>
      <c r="X1948" s="343"/>
      <c r="Y1948" s="249"/>
      <c r="Z1948" s="330"/>
      <c r="AA1948" s="343"/>
      <c r="AB1948" s="249"/>
      <c r="AC1948" s="330"/>
      <c r="AD1948" s="343"/>
      <c r="AE1948" s="249"/>
      <c r="AF1948" s="330"/>
      <c r="AG1948" s="343"/>
      <c r="AH1948" s="249"/>
      <c r="AI1948" s="330"/>
      <c r="AJ1948" s="343"/>
      <c r="AK1948" s="249"/>
      <c r="AL1948" s="330"/>
      <c r="AM1948" s="343"/>
      <c r="AN1948" s="249"/>
      <c r="AO1948" s="330"/>
      <c r="AP1948" s="343"/>
      <c r="AQ1948" s="249"/>
      <c r="AR1948" s="330"/>
      <c r="AS1948" s="343"/>
      <c r="AT1948" s="249"/>
      <c r="AU1948" s="330"/>
    </row>
    <row r="1949" spans="2:47">
      <c r="B1949" s="247">
        <f>'Table S2 Compound Identifiers'!C1951</f>
        <v>0</v>
      </c>
      <c r="C1949" s="247">
        <f>COUNTIF($D$6:D1949,"&lt;&gt;"&amp;"")</f>
        <v>1944</v>
      </c>
      <c r="D1949" s="247">
        <f>'Table S2 Compound Identifiers'!B1951</f>
        <v>0</v>
      </c>
      <c r="E1949" s="247"/>
      <c r="F1949" s="248"/>
      <c r="G1949" s="249"/>
      <c r="H1949" s="330"/>
      <c r="I1949" s="328"/>
      <c r="J1949" s="249"/>
      <c r="K1949" s="330"/>
      <c r="L1949" s="250"/>
      <c r="M1949" s="249"/>
      <c r="N1949" s="330"/>
      <c r="O1949" s="250"/>
      <c r="P1949" s="249"/>
      <c r="Q1949" s="330"/>
      <c r="R1949" s="250"/>
      <c r="S1949" s="249"/>
      <c r="T1949" s="330"/>
      <c r="U1949" s="250"/>
      <c r="V1949" s="249"/>
      <c r="W1949" s="330"/>
      <c r="X1949" s="343"/>
      <c r="Y1949" s="249"/>
      <c r="Z1949" s="330"/>
      <c r="AA1949" s="343"/>
      <c r="AB1949" s="249"/>
      <c r="AC1949" s="330"/>
      <c r="AD1949" s="343"/>
      <c r="AE1949" s="249"/>
      <c r="AF1949" s="330"/>
      <c r="AG1949" s="343"/>
      <c r="AH1949" s="249"/>
      <c r="AI1949" s="330"/>
      <c r="AJ1949" s="343"/>
      <c r="AK1949" s="249"/>
      <c r="AL1949" s="330"/>
      <c r="AM1949" s="343"/>
      <c r="AN1949" s="249"/>
      <c r="AO1949" s="330"/>
      <c r="AP1949" s="343"/>
      <c r="AQ1949" s="249"/>
      <c r="AR1949" s="330"/>
      <c r="AS1949" s="343"/>
      <c r="AT1949" s="249"/>
      <c r="AU1949" s="330"/>
    </row>
    <row r="1950" spans="2:47">
      <c r="B1950" s="247">
        <f>'Table S2 Compound Identifiers'!C1952</f>
        <v>0</v>
      </c>
      <c r="C1950" s="247">
        <f>COUNTIF($D$6:D1950,"&lt;&gt;"&amp;"")</f>
        <v>1945</v>
      </c>
      <c r="D1950" s="247">
        <f>'Table S2 Compound Identifiers'!B1952</f>
        <v>0</v>
      </c>
      <c r="E1950" s="247"/>
      <c r="F1950" s="248"/>
      <c r="G1950" s="249"/>
      <c r="H1950" s="330"/>
      <c r="I1950" s="328"/>
      <c r="J1950" s="249"/>
      <c r="K1950" s="330"/>
      <c r="L1950" s="250"/>
      <c r="M1950" s="249"/>
      <c r="N1950" s="330"/>
      <c r="O1950" s="250"/>
      <c r="P1950" s="249"/>
      <c r="Q1950" s="330"/>
      <c r="R1950" s="250"/>
      <c r="S1950" s="249"/>
      <c r="T1950" s="330"/>
      <c r="U1950" s="250"/>
      <c r="V1950" s="249"/>
      <c r="W1950" s="330"/>
      <c r="X1950" s="343"/>
      <c r="Y1950" s="249"/>
      <c r="Z1950" s="330"/>
      <c r="AA1950" s="343"/>
      <c r="AB1950" s="249"/>
      <c r="AC1950" s="330"/>
      <c r="AD1950" s="343"/>
      <c r="AE1950" s="249"/>
      <c r="AF1950" s="330"/>
      <c r="AG1950" s="343"/>
      <c r="AH1950" s="249"/>
      <c r="AI1950" s="330"/>
      <c r="AJ1950" s="343"/>
      <c r="AK1950" s="249"/>
      <c r="AL1950" s="330"/>
      <c r="AM1950" s="343"/>
      <c r="AN1950" s="249"/>
      <c r="AO1950" s="330"/>
      <c r="AP1950" s="343"/>
      <c r="AQ1950" s="249"/>
      <c r="AR1950" s="330"/>
      <c r="AS1950" s="343"/>
      <c r="AT1950" s="249"/>
      <c r="AU1950" s="330"/>
    </row>
    <row r="1951" spans="2:47">
      <c r="B1951" s="247">
        <f>'Table S2 Compound Identifiers'!C1953</f>
        <v>0</v>
      </c>
      <c r="C1951" s="247">
        <f>COUNTIF($D$6:D1951,"&lt;&gt;"&amp;"")</f>
        <v>1946</v>
      </c>
      <c r="D1951" s="247">
        <f>'Table S2 Compound Identifiers'!B1953</f>
        <v>0</v>
      </c>
      <c r="E1951" s="247"/>
      <c r="F1951" s="248"/>
      <c r="G1951" s="249"/>
      <c r="H1951" s="330"/>
      <c r="I1951" s="328"/>
      <c r="J1951" s="249"/>
      <c r="K1951" s="330"/>
      <c r="L1951" s="250"/>
      <c r="M1951" s="249"/>
      <c r="N1951" s="330"/>
      <c r="O1951" s="250"/>
      <c r="P1951" s="249"/>
      <c r="Q1951" s="330"/>
      <c r="R1951" s="250"/>
      <c r="S1951" s="249"/>
      <c r="T1951" s="330"/>
      <c r="U1951" s="250"/>
      <c r="V1951" s="249"/>
      <c r="W1951" s="330"/>
      <c r="X1951" s="343"/>
      <c r="Y1951" s="249"/>
      <c r="Z1951" s="330"/>
      <c r="AA1951" s="343"/>
      <c r="AB1951" s="249"/>
      <c r="AC1951" s="330"/>
      <c r="AD1951" s="343"/>
      <c r="AE1951" s="249"/>
      <c r="AF1951" s="330"/>
      <c r="AG1951" s="343"/>
      <c r="AH1951" s="249"/>
      <c r="AI1951" s="330"/>
      <c r="AJ1951" s="343"/>
      <c r="AK1951" s="249"/>
      <c r="AL1951" s="330"/>
      <c r="AM1951" s="343"/>
      <c r="AN1951" s="249"/>
      <c r="AO1951" s="330"/>
      <c r="AP1951" s="343"/>
      <c r="AQ1951" s="249"/>
      <c r="AR1951" s="330"/>
      <c r="AS1951" s="343"/>
      <c r="AT1951" s="249"/>
      <c r="AU1951" s="330"/>
    </row>
    <row r="1952" spans="2:47">
      <c r="B1952" s="247">
        <f>'Table S2 Compound Identifiers'!C1954</f>
        <v>0</v>
      </c>
      <c r="C1952" s="247">
        <f>COUNTIF($D$6:D1952,"&lt;&gt;"&amp;"")</f>
        <v>1947</v>
      </c>
      <c r="D1952" s="247">
        <f>'Table S2 Compound Identifiers'!B1954</f>
        <v>0</v>
      </c>
      <c r="E1952" s="247"/>
      <c r="F1952" s="248"/>
      <c r="G1952" s="249"/>
      <c r="H1952" s="330"/>
      <c r="I1952" s="328"/>
      <c r="J1952" s="249"/>
      <c r="K1952" s="330"/>
      <c r="L1952" s="250"/>
      <c r="M1952" s="249"/>
      <c r="N1952" s="330"/>
      <c r="O1952" s="250"/>
      <c r="P1952" s="249"/>
      <c r="Q1952" s="330"/>
      <c r="R1952" s="250"/>
      <c r="S1952" s="249"/>
      <c r="T1952" s="330"/>
      <c r="U1952" s="250"/>
      <c r="V1952" s="249"/>
      <c r="W1952" s="330"/>
      <c r="X1952" s="343"/>
      <c r="Y1952" s="249"/>
      <c r="Z1952" s="330"/>
      <c r="AA1952" s="343"/>
      <c r="AB1952" s="249"/>
      <c r="AC1952" s="330"/>
      <c r="AD1952" s="343"/>
      <c r="AE1952" s="249"/>
      <c r="AF1952" s="330"/>
      <c r="AG1952" s="343"/>
      <c r="AH1952" s="249"/>
      <c r="AI1952" s="330"/>
      <c r="AJ1952" s="343"/>
      <c r="AK1952" s="249"/>
      <c r="AL1952" s="330"/>
      <c r="AM1952" s="343"/>
      <c r="AN1952" s="249"/>
      <c r="AO1952" s="330"/>
      <c r="AP1952" s="343"/>
      <c r="AQ1952" s="249"/>
      <c r="AR1952" s="330"/>
      <c r="AS1952" s="343"/>
      <c r="AT1952" s="249"/>
      <c r="AU1952" s="330"/>
    </row>
    <row r="1953" spans="2:47">
      <c r="B1953" s="247">
        <f>'Table S2 Compound Identifiers'!C1955</f>
        <v>0</v>
      </c>
      <c r="C1953" s="247">
        <f>COUNTIF($D$6:D1953,"&lt;&gt;"&amp;"")</f>
        <v>1948</v>
      </c>
      <c r="D1953" s="247">
        <f>'Table S2 Compound Identifiers'!B1955</f>
        <v>0</v>
      </c>
      <c r="E1953" s="247"/>
      <c r="F1953" s="248"/>
      <c r="G1953" s="249"/>
      <c r="H1953" s="330"/>
      <c r="I1953" s="328"/>
      <c r="J1953" s="249"/>
      <c r="K1953" s="330"/>
      <c r="L1953" s="250"/>
      <c r="M1953" s="249"/>
      <c r="N1953" s="330"/>
      <c r="O1953" s="250"/>
      <c r="P1953" s="249"/>
      <c r="Q1953" s="330"/>
      <c r="R1953" s="250"/>
      <c r="S1953" s="249"/>
      <c r="T1953" s="330"/>
      <c r="U1953" s="250"/>
      <c r="V1953" s="249"/>
      <c r="W1953" s="330"/>
      <c r="X1953" s="343"/>
      <c r="Y1953" s="249"/>
      <c r="Z1953" s="330"/>
      <c r="AA1953" s="343"/>
      <c r="AB1953" s="249"/>
      <c r="AC1953" s="330"/>
      <c r="AD1953" s="343"/>
      <c r="AE1953" s="249"/>
      <c r="AF1953" s="330"/>
      <c r="AG1953" s="343"/>
      <c r="AH1953" s="249"/>
      <c r="AI1953" s="330"/>
      <c r="AJ1953" s="343"/>
      <c r="AK1953" s="249"/>
      <c r="AL1953" s="330"/>
      <c r="AM1953" s="343"/>
      <c r="AN1953" s="249"/>
      <c r="AO1953" s="330"/>
      <c r="AP1953" s="343"/>
      <c r="AQ1953" s="249"/>
      <c r="AR1953" s="330"/>
      <c r="AS1953" s="343"/>
      <c r="AT1953" s="249"/>
      <c r="AU1953" s="330"/>
    </row>
    <row r="1954" spans="2:47">
      <c r="B1954" s="247">
        <f>'Table S2 Compound Identifiers'!C1956</f>
        <v>0</v>
      </c>
      <c r="C1954" s="247">
        <f>COUNTIF($D$6:D1954,"&lt;&gt;"&amp;"")</f>
        <v>1949</v>
      </c>
      <c r="D1954" s="247">
        <f>'Table S2 Compound Identifiers'!B1956</f>
        <v>0</v>
      </c>
      <c r="E1954" s="247"/>
      <c r="F1954" s="248"/>
      <c r="G1954" s="249"/>
      <c r="H1954" s="330"/>
      <c r="I1954" s="328"/>
      <c r="J1954" s="249"/>
      <c r="K1954" s="330"/>
      <c r="L1954" s="250"/>
      <c r="M1954" s="249"/>
      <c r="N1954" s="330"/>
      <c r="O1954" s="250"/>
      <c r="P1954" s="249"/>
      <c r="Q1954" s="330"/>
      <c r="R1954" s="250"/>
      <c r="S1954" s="249"/>
      <c r="T1954" s="330"/>
      <c r="U1954" s="250"/>
      <c r="V1954" s="249"/>
      <c r="W1954" s="330"/>
      <c r="X1954" s="343"/>
      <c r="Y1954" s="249"/>
      <c r="Z1954" s="330"/>
      <c r="AA1954" s="343"/>
      <c r="AB1954" s="249"/>
      <c r="AC1954" s="330"/>
      <c r="AD1954" s="343"/>
      <c r="AE1954" s="249"/>
      <c r="AF1954" s="330"/>
      <c r="AG1954" s="343"/>
      <c r="AH1954" s="249"/>
      <c r="AI1954" s="330"/>
      <c r="AJ1954" s="343"/>
      <c r="AK1954" s="249"/>
      <c r="AL1954" s="330"/>
      <c r="AM1954" s="343"/>
      <c r="AN1954" s="249"/>
      <c r="AO1954" s="330"/>
      <c r="AP1954" s="343"/>
      <c r="AQ1954" s="249"/>
      <c r="AR1954" s="330"/>
      <c r="AS1954" s="343"/>
      <c r="AT1954" s="249"/>
      <c r="AU1954" s="330"/>
    </row>
    <row r="1955" spans="2:47">
      <c r="B1955" s="247">
        <f>'Table S2 Compound Identifiers'!C1957</f>
        <v>0</v>
      </c>
      <c r="C1955" s="247">
        <f>COUNTIF($D$6:D1955,"&lt;&gt;"&amp;"")</f>
        <v>1950</v>
      </c>
      <c r="D1955" s="247">
        <f>'Table S2 Compound Identifiers'!B1957</f>
        <v>0</v>
      </c>
      <c r="E1955" s="247"/>
      <c r="F1955" s="248"/>
      <c r="G1955" s="249"/>
      <c r="H1955" s="330"/>
      <c r="I1955" s="328"/>
      <c r="J1955" s="249"/>
      <c r="K1955" s="330"/>
      <c r="L1955" s="250"/>
      <c r="M1955" s="249"/>
      <c r="N1955" s="330"/>
      <c r="O1955" s="250"/>
      <c r="P1955" s="249"/>
      <c r="Q1955" s="330"/>
      <c r="R1955" s="250"/>
      <c r="S1955" s="249"/>
      <c r="T1955" s="330"/>
      <c r="U1955" s="250"/>
      <c r="V1955" s="249"/>
      <c r="W1955" s="330"/>
      <c r="X1955" s="343"/>
      <c r="Y1955" s="249"/>
      <c r="Z1955" s="330"/>
      <c r="AA1955" s="343"/>
      <c r="AB1955" s="249"/>
      <c r="AC1955" s="330"/>
      <c r="AD1955" s="343"/>
      <c r="AE1955" s="249"/>
      <c r="AF1955" s="330"/>
      <c r="AG1955" s="343"/>
      <c r="AH1955" s="249"/>
      <c r="AI1955" s="330"/>
      <c r="AJ1955" s="343"/>
      <c r="AK1955" s="249"/>
      <c r="AL1955" s="330"/>
      <c r="AM1955" s="343"/>
      <c r="AN1955" s="249"/>
      <c r="AO1955" s="330"/>
      <c r="AP1955" s="343"/>
      <c r="AQ1955" s="249"/>
      <c r="AR1955" s="330"/>
      <c r="AS1955" s="343"/>
      <c r="AT1955" s="249"/>
      <c r="AU1955" s="330"/>
    </row>
    <row r="1956" spans="2:47">
      <c r="B1956" s="247">
        <f>'Table S2 Compound Identifiers'!C1958</f>
        <v>0</v>
      </c>
      <c r="C1956" s="247">
        <f>COUNTIF($D$6:D1956,"&lt;&gt;"&amp;"")</f>
        <v>1951</v>
      </c>
      <c r="D1956" s="247">
        <f>'Table S2 Compound Identifiers'!B1958</f>
        <v>0</v>
      </c>
      <c r="E1956" s="247"/>
      <c r="F1956" s="248"/>
      <c r="G1956" s="249"/>
      <c r="H1956" s="330"/>
      <c r="I1956" s="328"/>
      <c r="J1956" s="249"/>
      <c r="K1956" s="330"/>
      <c r="L1956" s="250"/>
      <c r="M1956" s="249"/>
      <c r="N1956" s="330"/>
      <c r="O1956" s="250"/>
      <c r="P1956" s="249"/>
      <c r="Q1956" s="330"/>
      <c r="R1956" s="250"/>
      <c r="S1956" s="249"/>
      <c r="T1956" s="330"/>
      <c r="U1956" s="250"/>
      <c r="V1956" s="249"/>
      <c r="W1956" s="330"/>
      <c r="X1956" s="343"/>
      <c r="Y1956" s="249"/>
      <c r="Z1956" s="330"/>
      <c r="AA1956" s="343"/>
      <c r="AB1956" s="249"/>
      <c r="AC1956" s="330"/>
      <c r="AD1956" s="343"/>
      <c r="AE1956" s="249"/>
      <c r="AF1956" s="330"/>
      <c r="AG1956" s="343"/>
      <c r="AH1956" s="249"/>
      <c r="AI1956" s="330"/>
      <c r="AJ1956" s="343"/>
      <c r="AK1956" s="249"/>
      <c r="AL1956" s="330"/>
      <c r="AM1956" s="343"/>
      <c r="AN1956" s="249"/>
      <c r="AO1956" s="330"/>
      <c r="AP1956" s="343"/>
      <c r="AQ1956" s="249"/>
      <c r="AR1956" s="330"/>
      <c r="AS1956" s="343"/>
      <c r="AT1956" s="249"/>
      <c r="AU1956" s="330"/>
    </row>
    <row r="1957" spans="2:47">
      <c r="B1957" s="247">
        <f>'Table S2 Compound Identifiers'!C1959</f>
        <v>0</v>
      </c>
      <c r="C1957" s="247">
        <f>COUNTIF($D$6:D1957,"&lt;&gt;"&amp;"")</f>
        <v>1952</v>
      </c>
      <c r="D1957" s="247">
        <f>'Table S2 Compound Identifiers'!B1959</f>
        <v>0</v>
      </c>
      <c r="E1957" s="247"/>
      <c r="F1957" s="248"/>
      <c r="G1957" s="249"/>
      <c r="H1957" s="330"/>
      <c r="I1957" s="328"/>
      <c r="J1957" s="249"/>
      <c r="K1957" s="330"/>
      <c r="L1957" s="250"/>
      <c r="M1957" s="249"/>
      <c r="N1957" s="330"/>
      <c r="O1957" s="250"/>
      <c r="P1957" s="249"/>
      <c r="Q1957" s="330"/>
      <c r="R1957" s="250"/>
      <c r="S1957" s="249"/>
      <c r="T1957" s="330"/>
      <c r="U1957" s="250"/>
      <c r="V1957" s="249"/>
      <c r="W1957" s="330"/>
      <c r="X1957" s="343"/>
      <c r="Y1957" s="249"/>
      <c r="Z1957" s="330"/>
      <c r="AA1957" s="343"/>
      <c r="AB1957" s="249"/>
      <c r="AC1957" s="330"/>
      <c r="AD1957" s="343"/>
      <c r="AE1957" s="249"/>
      <c r="AF1957" s="330"/>
      <c r="AG1957" s="343"/>
      <c r="AH1957" s="249"/>
      <c r="AI1957" s="330"/>
      <c r="AJ1957" s="343"/>
      <c r="AK1957" s="249"/>
      <c r="AL1957" s="330"/>
      <c r="AM1957" s="343"/>
      <c r="AN1957" s="249"/>
      <c r="AO1957" s="330"/>
      <c r="AP1957" s="343"/>
      <c r="AQ1957" s="249"/>
      <c r="AR1957" s="330"/>
      <c r="AS1957" s="343"/>
      <c r="AT1957" s="249"/>
      <c r="AU1957" s="330"/>
    </row>
    <row r="1958" spans="2:47">
      <c r="B1958" s="247">
        <f>'Table S2 Compound Identifiers'!C1960</f>
        <v>0</v>
      </c>
      <c r="C1958" s="247">
        <f>COUNTIF($D$6:D1958,"&lt;&gt;"&amp;"")</f>
        <v>1953</v>
      </c>
      <c r="D1958" s="247">
        <f>'Table S2 Compound Identifiers'!B1960</f>
        <v>0</v>
      </c>
      <c r="E1958" s="247"/>
      <c r="F1958" s="248"/>
      <c r="G1958" s="249"/>
      <c r="H1958" s="330"/>
      <c r="I1958" s="328"/>
      <c r="J1958" s="249"/>
      <c r="K1958" s="330"/>
      <c r="L1958" s="250"/>
      <c r="M1958" s="249"/>
      <c r="N1958" s="330"/>
      <c r="O1958" s="250"/>
      <c r="P1958" s="249"/>
      <c r="Q1958" s="330"/>
      <c r="R1958" s="250"/>
      <c r="S1958" s="249"/>
      <c r="T1958" s="330"/>
      <c r="U1958" s="250"/>
      <c r="V1958" s="249"/>
      <c r="W1958" s="330"/>
      <c r="X1958" s="343"/>
      <c r="Y1958" s="249"/>
      <c r="Z1958" s="330"/>
      <c r="AA1958" s="343"/>
      <c r="AB1958" s="249"/>
      <c r="AC1958" s="330"/>
      <c r="AD1958" s="343"/>
      <c r="AE1958" s="249"/>
      <c r="AF1958" s="330"/>
      <c r="AG1958" s="343"/>
      <c r="AH1958" s="249"/>
      <c r="AI1958" s="330"/>
      <c r="AJ1958" s="343"/>
      <c r="AK1958" s="249"/>
      <c r="AL1958" s="330"/>
      <c r="AM1958" s="343"/>
      <c r="AN1958" s="249"/>
      <c r="AO1958" s="330"/>
      <c r="AP1958" s="343"/>
      <c r="AQ1958" s="249"/>
      <c r="AR1958" s="330"/>
      <c r="AS1958" s="343"/>
      <c r="AT1958" s="249"/>
      <c r="AU1958" s="330"/>
    </row>
    <row r="1959" spans="2:47">
      <c r="B1959" s="247">
        <f>'Table S2 Compound Identifiers'!C1961</f>
        <v>0</v>
      </c>
      <c r="C1959" s="247">
        <f>COUNTIF($D$6:D1959,"&lt;&gt;"&amp;"")</f>
        <v>1954</v>
      </c>
      <c r="D1959" s="247">
        <f>'Table S2 Compound Identifiers'!B1961</f>
        <v>0</v>
      </c>
      <c r="E1959" s="247"/>
      <c r="F1959" s="248"/>
      <c r="G1959" s="249"/>
      <c r="H1959" s="330"/>
      <c r="I1959" s="328"/>
      <c r="J1959" s="249"/>
      <c r="K1959" s="330"/>
      <c r="L1959" s="250"/>
      <c r="M1959" s="249"/>
      <c r="N1959" s="330"/>
      <c r="O1959" s="250"/>
      <c r="P1959" s="249"/>
      <c r="Q1959" s="330"/>
      <c r="R1959" s="250"/>
      <c r="S1959" s="249"/>
      <c r="T1959" s="330"/>
      <c r="U1959" s="250"/>
      <c r="V1959" s="249"/>
      <c r="W1959" s="330"/>
      <c r="X1959" s="343"/>
      <c r="Y1959" s="249"/>
      <c r="Z1959" s="330"/>
      <c r="AA1959" s="343"/>
      <c r="AB1959" s="249"/>
      <c r="AC1959" s="330"/>
      <c r="AD1959" s="343"/>
      <c r="AE1959" s="249"/>
      <c r="AF1959" s="330"/>
      <c r="AG1959" s="343"/>
      <c r="AH1959" s="249"/>
      <c r="AI1959" s="330"/>
      <c r="AJ1959" s="343"/>
      <c r="AK1959" s="249"/>
      <c r="AL1959" s="330"/>
      <c r="AM1959" s="343"/>
      <c r="AN1959" s="249"/>
      <c r="AO1959" s="330"/>
      <c r="AP1959" s="343"/>
      <c r="AQ1959" s="249"/>
      <c r="AR1959" s="330"/>
      <c r="AS1959" s="343"/>
      <c r="AT1959" s="249"/>
      <c r="AU1959" s="330"/>
    </row>
    <row r="1960" spans="2:47">
      <c r="B1960" s="247">
        <f>'Table S2 Compound Identifiers'!C1962</f>
        <v>0</v>
      </c>
      <c r="C1960" s="247">
        <f>COUNTIF($D$6:D1960,"&lt;&gt;"&amp;"")</f>
        <v>1955</v>
      </c>
      <c r="D1960" s="247">
        <f>'Table S2 Compound Identifiers'!B1962</f>
        <v>0</v>
      </c>
      <c r="E1960" s="247"/>
      <c r="F1960" s="248"/>
      <c r="G1960" s="249"/>
      <c r="H1960" s="330"/>
      <c r="I1960" s="328"/>
      <c r="J1960" s="249"/>
      <c r="K1960" s="330"/>
      <c r="L1960" s="250"/>
      <c r="M1960" s="249"/>
      <c r="N1960" s="330"/>
      <c r="O1960" s="250"/>
      <c r="P1960" s="249"/>
      <c r="Q1960" s="330"/>
      <c r="R1960" s="250"/>
      <c r="S1960" s="249"/>
      <c r="T1960" s="330"/>
      <c r="U1960" s="250"/>
      <c r="V1960" s="249"/>
      <c r="W1960" s="330"/>
      <c r="X1960" s="343"/>
      <c r="Y1960" s="249"/>
      <c r="Z1960" s="330"/>
      <c r="AA1960" s="343"/>
      <c r="AB1960" s="249"/>
      <c r="AC1960" s="330"/>
      <c r="AD1960" s="343"/>
      <c r="AE1960" s="249"/>
      <c r="AF1960" s="330"/>
      <c r="AG1960" s="343"/>
      <c r="AH1960" s="249"/>
      <c r="AI1960" s="330"/>
      <c r="AJ1960" s="343"/>
      <c r="AK1960" s="249"/>
      <c r="AL1960" s="330"/>
      <c r="AM1960" s="343"/>
      <c r="AN1960" s="249"/>
      <c r="AO1960" s="330"/>
      <c r="AP1960" s="343"/>
      <c r="AQ1960" s="249"/>
      <c r="AR1960" s="330"/>
      <c r="AS1960" s="343"/>
      <c r="AT1960" s="249"/>
      <c r="AU1960" s="330"/>
    </row>
    <row r="1961" spans="2:47">
      <c r="B1961" s="247">
        <f>'Table S2 Compound Identifiers'!C1963</f>
        <v>0</v>
      </c>
      <c r="C1961" s="247">
        <f>COUNTIF($D$6:D1961,"&lt;&gt;"&amp;"")</f>
        <v>1956</v>
      </c>
      <c r="D1961" s="247">
        <f>'Table S2 Compound Identifiers'!B1963</f>
        <v>0</v>
      </c>
      <c r="E1961" s="247"/>
      <c r="F1961" s="248"/>
      <c r="G1961" s="249"/>
      <c r="H1961" s="330"/>
      <c r="I1961" s="328"/>
      <c r="J1961" s="249"/>
      <c r="K1961" s="330"/>
      <c r="L1961" s="250"/>
      <c r="M1961" s="249"/>
      <c r="N1961" s="330"/>
      <c r="O1961" s="250"/>
      <c r="P1961" s="249"/>
      <c r="Q1961" s="330"/>
      <c r="R1961" s="250"/>
      <c r="S1961" s="249"/>
      <c r="T1961" s="330"/>
      <c r="U1961" s="250"/>
      <c r="V1961" s="249"/>
      <c r="W1961" s="330"/>
      <c r="X1961" s="343"/>
      <c r="Y1961" s="249"/>
      <c r="Z1961" s="330"/>
      <c r="AA1961" s="343"/>
      <c r="AB1961" s="249"/>
      <c r="AC1961" s="330"/>
      <c r="AD1961" s="343"/>
      <c r="AE1961" s="249"/>
      <c r="AF1961" s="330"/>
      <c r="AG1961" s="343"/>
      <c r="AH1961" s="249"/>
      <c r="AI1961" s="330"/>
      <c r="AJ1961" s="343"/>
      <c r="AK1961" s="249"/>
      <c r="AL1961" s="330"/>
      <c r="AM1961" s="343"/>
      <c r="AN1961" s="249"/>
      <c r="AO1961" s="330"/>
      <c r="AP1961" s="343"/>
      <c r="AQ1961" s="249"/>
      <c r="AR1961" s="330"/>
      <c r="AS1961" s="343"/>
      <c r="AT1961" s="249"/>
      <c r="AU1961" s="330"/>
    </row>
    <row r="1962" spans="2:47">
      <c r="B1962" s="247">
        <f>'Table S2 Compound Identifiers'!C1964</f>
        <v>0</v>
      </c>
      <c r="C1962" s="247">
        <f>COUNTIF($D$6:D1962,"&lt;&gt;"&amp;"")</f>
        <v>1957</v>
      </c>
      <c r="D1962" s="247">
        <f>'Table S2 Compound Identifiers'!B1964</f>
        <v>0</v>
      </c>
      <c r="E1962" s="247"/>
      <c r="F1962" s="248"/>
      <c r="G1962" s="249"/>
      <c r="H1962" s="330"/>
      <c r="I1962" s="328"/>
      <c r="J1962" s="249"/>
      <c r="K1962" s="330"/>
      <c r="L1962" s="250"/>
      <c r="M1962" s="249"/>
      <c r="N1962" s="330"/>
      <c r="O1962" s="250"/>
      <c r="P1962" s="249"/>
      <c r="Q1962" s="330"/>
      <c r="R1962" s="250"/>
      <c r="S1962" s="249"/>
      <c r="T1962" s="330"/>
      <c r="U1962" s="250"/>
      <c r="V1962" s="249"/>
      <c r="W1962" s="330"/>
      <c r="X1962" s="343"/>
      <c r="Y1962" s="249"/>
      <c r="Z1962" s="330"/>
      <c r="AA1962" s="343"/>
      <c r="AB1962" s="249"/>
      <c r="AC1962" s="330"/>
      <c r="AD1962" s="343"/>
      <c r="AE1962" s="249"/>
      <c r="AF1962" s="330"/>
      <c r="AG1962" s="343"/>
      <c r="AH1962" s="249"/>
      <c r="AI1962" s="330"/>
      <c r="AJ1962" s="343"/>
      <c r="AK1962" s="249"/>
      <c r="AL1962" s="330"/>
      <c r="AM1962" s="343"/>
      <c r="AN1962" s="249"/>
      <c r="AO1962" s="330"/>
      <c r="AP1962" s="343"/>
      <c r="AQ1962" s="249"/>
      <c r="AR1962" s="330"/>
      <c r="AS1962" s="343"/>
      <c r="AT1962" s="249"/>
      <c r="AU1962" s="330"/>
    </row>
    <row r="1963" spans="2:47">
      <c r="B1963" s="247">
        <f>'Table S2 Compound Identifiers'!C1965</f>
        <v>0</v>
      </c>
      <c r="C1963" s="247">
        <f>COUNTIF($D$6:D1963,"&lt;&gt;"&amp;"")</f>
        <v>1958</v>
      </c>
      <c r="D1963" s="247">
        <f>'Table S2 Compound Identifiers'!B1965</f>
        <v>0</v>
      </c>
      <c r="E1963" s="247"/>
      <c r="F1963" s="248"/>
      <c r="G1963" s="249"/>
      <c r="H1963" s="330"/>
      <c r="I1963" s="328"/>
      <c r="J1963" s="249"/>
      <c r="K1963" s="330"/>
      <c r="L1963" s="250"/>
      <c r="M1963" s="249"/>
      <c r="N1963" s="330"/>
      <c r="O1963" s="250"/>
      <c r="P1963" s="249"/>
      <c r="Q1963" s="330"/>
      <c r="R1963" s="250"/>
      <c r="S1963" s="249"/>
      <c r="T1963" s="330"/>
      <c r="U1963" s="250"/>
      <c r="V1963" s="249"/>
      <c r="W1963" s="330"/>
      <c r="X1963" s="343"/>
      <c r="Y1963" s="249"/>
      <c r="Z1963" s="330"/>
      <c r="AA1963" s="343"/>
      <c r="AB1963" s="249"/>
      <c r="AC1963" s="330"/>
      <c r="AD1963" s="343"/>
      <c r="AE1963" s="249"/>
      <c r="AF1963" s="330"/>
      <c r="AG1963" s="343"/>
      <c r="AH1963" s="249"/>
      <c r="AI1963" s="330"/>
      <c r="AJ1963" s="343"/>
      <c r="AK1963" s="249"/>
      <c r="AL1963" s="330"/>
      <c r="AM1963" s="343"/>
      <c r="AN1963" s="249"/>
      <c r="AO1963" s="330"/>
      <c r="AP1963" s="343"/>
      <c r="AQ1963" s="249"/>
      <c r="AR1963" s="330"/>
      <c r="AS1963" s="343"/>
      <c r="AT1963" s="249"/>
      <c r="AU1963" s="330"/>
    </row>
    <row r="1964" spans="2:47">
      <c r="B1964" s="247">
        <f>'Table S2 Compound Identifiers'!C1966</f>
        <v>0</v>
      </c>
      <c r="C1964" s="247">
        <f>COUNTIF($D$6:D1964,"&lt;&gt;"&amp;"")</f>
        <v>1959</v>
      </c>
      <c r="D1964" s="247">
        <f>'Table S2 Compound Identifiers'!B1966</f>
        <v>0</v>
      </c>
      <c r="E1964" s="247"/>
      <c r="F1964" s="248"/>
      <c r="G1964" s="249"/>
      <c r="H1964" s="330"/>
      <c r="I1964" s="328"/>
      <c r="J1964" s="249"/>
      <c r="K1964" s="330"/>
      <c r="L1964" s="250"/>
      <c r="M1964" s="249"/>
      <c r="N1964" s="330"/>
      <c r="O1964" s="250"/>
      <c r="P1964" s="249"/>
      <c r="Q1964" s="330"/>
      <c r="R1964" s="250"/>
      <c r="S1964" s="249"/>
      <c r="T1964" s="330"/>
      <c r="U1964" s="250"/>
      <c r="V1964" s="249"/>
      <c r="W1964" s="330"/>
      <c r="X1964" s="343"/>
      <c r="Y1964" s="249"/>
      <c r="Z1964" s="330"/>
      <c r="AA1964" s="343"/>
      <c r="AB1964" s="249"/>
      <c r="AC1964" s="330"/>
      <c r="AD1964" s="343"/>
      <c r="AE1964" s="249"/>
      <c r="AF1964" s="330"/>
      <c r="AG1964" s="343"/>
      <c r="AH1964" s="249"/>
      <c r="AI1964" s="330"/>
      <c r="AJ1964" s="343"/>
      <c r="AK1964" s="249"/>
      <c r="AL1964" s="330"/>
      <c r="AM1964" s="343"/>
      <c r="AN1964" s="249"/>
      <c r="AO1964" s="330"/>
      <c r="AP1964" s="343"/>
      <c r="AQ1964" s="249"/>
      <c r="AR1964" s="330"/>
      <c r="AS1964" s="343"/>
      <c r="AT1964" s="249"/>
      <c r="AU1964" s="330"/>
    </row>
    <row r="1965" spans="2:47">
      <c r="B1965" s="247">
        <f>'Table S2 Compound Identifiers'!C1967</f>
        <v>0</v>
      </c>
      <c r="C1965" s="247">
        <f>COUNTIF($D$6:D1965,"&lt;&gt;"&amp;"")</f>
        <v>1960</v>
      </c>
      <c r="D1965" s="247">
        <f>'Table S2 Compound Identifiers'!B1967</f>
        <v>0</v>
      </c>
      <c r="E1965" s="247"/>
      <c r="F1965" s="248"/>
      <c r="G1965" s="249"/>
      <c r="H1965" s="330"/>
      <c r="I1965" s="328"/>
      <c r="J1965" s="249"/>
      <c r="K1965" s="330"/>
      <c r="L1965" s="250"/>
      <c r="M1965" s="249"/>
      <c r="N1965" s="330"/>
      <c r="O1965" s="250"/>
      <c r="P1965" s="249"/>
      <c r="Q1965" s="330"/>
      <c r="R1965" s="250"/>
      <c r="S1965" s="249"/>
      <c r="T1965" s="330"/>
      <c r="U1965" s="250"/>
      <c r="V1965" s="249"/>
      <c r="W1965" s="330"/>
      <c r="X1965" s="343"/>
      <c r="Y1965" s="249"/>
      <c r="Z1965" s="330"/>
      <c r="AA1965" s="343"/>
      <c r="AB1965" s="249"/>
      <c r="AC1965" s="330"/>
      <c r="AD1965" s="343"/>
      <c r="AE1965" s="249"/>
      <c r="AF1965" s="330"/>
      <c r="AG1965" s="343"/>
      <c r="AH1965" s="249"/>
      <c r="AI1965" s="330"/>
      <c r="AJ1965" s="343"/>
      <c r="AK1965" s="249"/>
      <c r="AL1965" s="330"/>
      <c r="AM1965" s="343"/>
      <c r="AN1965" s="249"/>
      <c r="AO1965" s="330"/>
      <c r="AP1965" s="343"/>
      <c r="AQ1965" s="249"/>
      <c r="AR1965" s="330"/>
      <c r="AS1965" s="343"/>
      <c r="AT1965" s="249"/>
      <c r="AU1965" s="330"/>
    </row>
    <row r="1966" spans="2:47">
      <c r="B1966" s="247">
        <f>'Table S2 Compound Identifiers'!C1968</f>
        <v>0</v>
      </c>
      <c r="C1966" s="247">
        <f>COUNTIF($D$6:D1966,"&lt;&gt;"&amp;"")</f>
        <v>1961</v>
      </c>
      <c r="D1966" s="247">
        <f>'Table S2 Compound Identifiers'!B1968</f>
        <v>0</v>
      </c>
      <c r="E1966" s="247"/>
      <c r="F1966" s="248"/>
      <c r="G1966" s="249"/>
      <c r="H1966" s="330"/>
      <c r="I1966" s="328"/>
      <c r="J1966" s="249"/>
      <c r="K1966" s="330"/>
      <c r="L1966" s="250"/>
      <c r="M1966" s="249"/>
      <c r="N1966" s="330"/>
      <c r="O1966" s="250"/>
      <c r="P1966" s="249"/>
      <c r="Q1966" s="330"/>
      <c r="R1966" s="250"/>
      <c r="S1966" s="249"/>
      <c r="T1966" s="330"/>
      <c r="U1966" s="250"/>
      <c r="V1966" s="249"/>
      <c r="W1966" s="330"/>
      <c r="X1966" s="343"/>
      <c r="Y1966" s="249"/>
      <c r="Z1966" s="330"/>
      <c r="AA1966" s="343"/>
      <c r="AB1966" s="249"/>
      <c r="AC1966" s="330"/>
      <c r="AD1966" s="343"/>
      <c r="AE1966" s="249"/>
      <c r="AF1966" s="330"/>
      <c r="AG1966" s="343"/>
      <c r="AH1966" s="249"/>
      <c r="AI1966" s="330"/>
      <c r="AJ1966" s="343"/>
      <c r="AK1966" s="249"/>
      <c r="AL1966" s="330"/>
      <c r="AM1966" s="343"/>
      <c r="AN1966" s="249"/>
      <c r="AO1966" s="330"/>
      <c r="AP1966" s="343"/>
      <c r="AQ1966" s="249"/>
      <c r="AR1966" s="330"/>
      <c r="AS1966" s="343"/>
      <c r="AT1966" s="249"/>
      <c r="AU1966" s="330"/>
    </row>
    <row r="1967" spans="2:47">
      <c r="B1967" s="247">
        <f>'Table S2 Compound Identifiers'!C1969</f>
        <v>0</v>
      </c>
      <c r="C1967" s="247">
        <f>COUNTIF($D$6:D1967,"&lt;&gt;"&amp;"")</f>
        <v>1962</v>
      </c>
      <c r="D1967" s="247">
        <f>'Table S2 Compound Identifiers'!B1969</f>
        <v>0</v>
      </c>
      <c r="E1967" s="247"/>
      <c r="F1967" s="248"/>
      <c r="G1967" s="249"/>
      <c r="H1967" s="330"/>
      <c r="I1967" s="328"/>
      <c r="J1967" s="249"/>
      <c r="K1967" s="330"/>
      <c r="L1967" s="250"/>
      <c r="M1967" s="249"/>
      <c r="N1967" s="330"/>
      <c r="O1967" s="250"/>
      <c r="P1967" s="249"/>
      <c r="Q1967" s="330"/>
      <c r="R1967" s="250"/>
      <c r="S1967" s="249"/>
      <c r="T1967" s="330"/>
      <c r="U1967" s="250"/>
      <c r="V1967" s="249"/>
      <c r="W1967" s="330"/>
      <c r="X1967" s="343"/>
      <c r="Y1967" s="249"/>
      <c r="Z1967" s="330"/>
      <c r="AA1967" s="343"/>
      <c r="AB1967" s="249"/>
      <c r="AC1967" s="330"/>
      <c r="AD1967" s="343"/>
      <c r="AE1967" s="249"/>
      <c r="AF1967" s="330"/>
      <c r="AG1967" s="343"/>
      <c r="AH1967" s="249"/>
      <c r="AI1967" s="330"/>
      <c r="AJ1967" s="343"/>
      <c r="AK1967" s="249"/>
      <c r="AL1967" s="330"/>
      <c r="AM1967" s="343"/>
      <c r="AN1967" s="249"/>
      <c r="AO1967" s="330"/>
      <c r="AP1967" s="343"/>
      <c r="AQ1967" s="249"/>
      <c r="AR1967" s="330"/>
      <c r="AS1967" s="343"/>
      <c r="AT1967" s="249"/>
      <c r="AU1967" s="330"/>
    </row>
    <row r="1968" spans="2:47">
      <c r="B1968" s="247">
        <f>'Table S2 Compound Identifiers'!C1970</f>
        <v>0</v>
      </c>
      <c r="C1968" s="247">
        <f>COUNTIF($D$6:D1968,"&lt;&gt;"&amp;"")</f>
        <v>1963</v>
      </c>
      <c r="D1968" s="247">
        <f>'Table S2 Compound Identifiers'!B1970</f>
        <v>0</v>
      </c>
      <c r="E1968" s="247"/>
      <c r="F1968" s="248"/>
      <c r="G1968" s="249"/>
      <c r="H1968" s="330"/>
      <c r="I1968" s="328"/>
      <c r="J1968" s="249"/>
      <c r="K1968" s="330"/>
      <c r="L1968" s="250"/>
      <c r="M1968" s="249"/>
      <c r="N1968" s="330"/>
      <c r="O1968" s="250"/>
      <c r="P1968" s="249"/>
      <c r="Q1968" s="330"/>
      <c r="R1968" s="250"/>
      <c r="S1968" s="249"/>
      <c r="T1968" s="330"/>
      <c r="U1968" s="250"/>
      <c r="V1968" s="249"/>
      <c r="W1968" s="330"/>
      <c r="X1968" s="343"/>
      <c r="Y1968" s="249"/>
      <c r="Z1968" s="330"/>
      <c r="AA1968" s="343"/>
      <c r="AB1968" s="249"/>
      <c r="AC1968" s="330"/>
      <c r="AD1968" s="343"/>
      <c r="AE1968" s="249"/>
      <c r="AF1968" s="330"/>
      <c r="AG1968" s="343"/>
      <c r="AH1968" s="249"/>
      <c r="AI1968" s="330"/>
      <c r="AJ1968" s="343"/>
      <c r="AK1968" s="249"/>
      <c r="AL1968" s="330"/>
      <c r="AM1968" s="343"/>
      <c r="AN1968" s="249"/>
      <c r="AO1968" s="330"/>
      <c r="AP1968" s="343"/>
      <c r="AQ1968" s="249"/>
      <c r="AR1968" s="330"/>
      <c r="AS1968" s="343"/>
      <c r="AT1968" s="249"/>
      <c r="AU1968" s="330"/>
    </row>
    <row r="1969" spans="2:47">
      <c r="B1969" s="247">
        <f>'Table S2 Compound Identifiers'!C1971</f>
        <v>0</v>
      </c>
      <c r="C1969" s="247">
        <f>COUNTIF($D$6:D1969,"&lt;&gt;"&amp;"")</f>
        <v>1964</v>
      </c>
      <c r="D1969" s="247">
        <f>'Table S2 Compound Identifiers'!B1971</f>
        <v>0</v>
      </c>
      <c r="E1969" s="247"/>
      <c r="F1969" s="248"/>
      <c r="G1969" s="249"/>
      <c r="H1969" s="330"/>
      <c r="I1969" s="328"/>
      <c r="J1969" s="249"/>
      <c r="K1969" s="330"/>
      <c r="L1969" s="250"/>
      <c r="M1969" s="249"/>
      <c r="N1969" s="330"/>
      <c r="O1969" s="250"/>
      <c r="P1969" s="249"/>
      <c r="Q1969" s="330"/>
      <c r="R1969" s="250"/>
      <c r="S1969" s="249"/>
      <c r="T1969" s="330"/>
      <c r="U1969" s="250"/>
      <c r="V1969" s="249"/>
      <c r="W1969" s="330"/>
      <c r="X1969" s="343"/>
      <c r="Y1969" s="249"/>
      <c r="Z1969" s="330"/>
      <c r="AA1969" s="343"/>
      <c r="AB1969" s="249"/>
      <c r="AC1969" s="330"/>
      <c r="AD1969" s="343"/>
      <c r="AE1969" s="249"/>
      <c r="AF1969" s="330"/>
      <c r="AG1969" s="343"/>
      <c r="AH1969" s="249"/>
      <c r="AI1969" s="330"/>
      <c r="AJ1969" s="343"/>
      <c r="AK1969" s="249"/>
      <c r="AL1969" s="330"/>
      <c r="AM1969" s="343"/>
      <c r="AN1969" s="249"/>
      <c r="AO1969" s="330"/>
      <c r="AP1969" s="343"/>
      <c r="AQ1969" s="249"/>
      <c r="AR1969" s="330"/>
      <c r="AS1969" s="343"/>
      <c r="AT1969" s="249"/>
      <c r="AU1969" s="330"/>
    </row>
    <row r="1970" spans="2:47">
      <c r="B1970" s="247">
        <f>'Table S2 Compound Identifiers'!C1972</f>
        <v>0</v>
      </c>
      <c r="C1970" s="247">
        <f>COUNTIF($D$6:D1970,"&lt;&gt;"&amp;"")</f>
        <v>1965</v>
      </c>
      <c r="D1970" s="247">
        <f>'Table S2 Compound Identifiers'!B1972</f>
        <v>0</v>
      </c>
      <c r="E1970" s="247"/>
      <c r="F1970" s="248"/>
      <c r="G1970" s="249"/>
      <c r="H1970" s="330"/>
      <c r="I1970" s="328"/>
      <c r="J1970" s="249"/>
      <c r="K1970" s="330"/>
      <c r="L1970" s="250"/>
      <c r="M1970" s="249"/>
      <c r="N1970" s="330"/>
      <c r="O1970" s="250"/>
      <c r="P1970" s="249"/>
      <c r="Q1970" s="330"/>
      <c r="R1970" s="250"/>
      <c r="S1970" s="249"/>
      <c r="T1970" s="330"/>
      <c r="U1970" s="250"/>
      <c r="V1970" s="249"/>
      <c r="W1970" s="330"/>
      <c r="X1970" s="343"/>
      <c r="Y1970" s="249"/>
      <c r="Z1970" s="330"/>
      <c r="AA1970" s="343"/>
      <c r="AB1970" s="249"/>
      <c r="AC1970" s="330"/>
      <c r="AD1970" s="343"/>
      <c r="AE1970" s="249"/>
      <c r="AF1970" s="330"/>
      <c r="AG1970" s="343"/>
      <c r="AH1970" s="249"/>
      <c r="AI1970" s="330"/>
      <c r="AJ1970" s="343"/>
      <c r="AK1970" s="249"/>
      <c r="AL1970" s="330"/>
      <c r="AM1970" s="343"/>
      <c r="AN1970" s="249"/>
      <c r="AO1970" s="330"/>
      <c r="AP1970" s="343"/>
      <c r="AQ1970" s="249"/>
      <c r="AR1970" s="330"/>
      <c r="AS1970" s="343"/>
      <c r="AT1970" s="249"/>
      <c r="AU1970" s="330"/>
    </row>
    <row r="1971" spans="2:47">
      <c r="B1971" s="247">
        <f>'Table S2 Compound Identifiers'!C1973</f>
        <v>0</v>
      </c>
      <c r="C1971" s="247">
        <f>COUNTIF($D$6:D1971,"&lt;&gt;"&amp;"")</f>
        <v>1966</v>
      </c>
      <c r="D1971" s="247">
        <f>'Table S2 Compound Identifiers'!B1973</f>
        <v>0</v>
      </c>
      <c r="E1971" s="247"/>
      <c r="F1971" s="248"/>
      <c r="G1971" s="249"/>
      <c r="H1971" s="330"/>
      <c r="I1971" s="328"/>
      <c r="J1971" s="249"/>
      <c r="K1971" s="330"/>
      <c r="L1971" s="250"/>
      <c r="M1971" s="249"/>
      <c r="N1971" s="330"/>
      <c r="O1971" s="250"/>
      <c r="P1971" s="249"/>
      <c r="Q1971" s="330"/>
      <c r="R1971" s="250"/>
      <c r="S1971" s="249"/>
      <c r="T1971" s="330"/>
      <c r="U1971" s="250"/>
      <c r="V1971" s="249"/>
      <c r="W1971" s="330"/>
      <c r="X1971" s="343"/>
      <c r="Y1971" s="249"/>
      <c r="Z1971" s="330"/>
      <c r="AA1971" s="343"/>
      <c r="AB1971" s="249"/>
      <c r="AC1971" s="330"/>
      <c r="AD1971" s="343"/>
      <c r="AE1971" s="249"/>
      <c r="AF1971" s="330"/>
      <c r="AG1971" s="343"/>
      <c r="AH1971" s="249"/>
      <c r="AI1971" s="330"/>
      <c r="AJ1971" s="343"/>
      <c r="AK1971" s="249"/>
      <c r="AL1971" s="330"/>
      <c r="AM1971" s="343"/>
      <c r="AN1971" s="249"/>
      <c r="AO1971" s="330"/>
      <c r="AP1971" s="343"/>
      <c r="AQ1971" s="249"/>
      <c r="AR1971" s="330"/>
      <c r="AS1971" s="343"/>
      <c r="AT1971" s="249"/>
      <c r="AU1971" s="330"/>
    </row>
    <row r="1972" spans="2:47">
      <c r="B1972" s="247">
        <f>'Table S2 Compound Identifiers'!C1974</f>
        <v>0</v>
      </c>
      <c r="C1972" s="247">
        <f>COUNTIF($D$6:D1972,"&lt;&gt;"&amp;"")</f>
        <v>1967</v>
      </c>
      <c r="D1972" s="247">
        <f>'Table S2 Compound Identifiers'!B1974</f>
        <v>0</v>
      </c>
      <c r="E1972" s="247"/>
      <c r="F1972" s="248"/>
      <c r="G1972" s="249"/>
      <c r="H1972" s="330"/>
      <c r="I1972" s="328"/>
      <c r="J1972" s="249"/>
      <c r="K1972" s="330"/>
      <c r="L1972" s="250"/>
      <c r="M1972" s="249"/>
      <c r="N1972" s="330"/>
      <c r="O1972" s="250"/>
      <c r="P1972" s="249"/>
      <c r="Q1972" s="330"/>
      <c r="R1972" s="250"/>
      <c r="S1972" s="249"/>
      <c r="T1972" s="330"/>
      <c r="U1972" s="250"/>
      <c r="V1972" s="249"/>
      <c r="W1972" s="330"/>
      <c r="X1972" s="343"/>
      <c r="Y1972" s="249"/>
      <c r="Z1972" s="330"/>
      <c r="AA1972" s="343"/>
      <c r="AB1972" s="249"/>
      <c r="AC1972" s="330"/>
      <c r="AD1972" s="343"/>
      <c r="AE1972" s="249"/>
      <c r="AF1972" s="330"/>
      <c r="AG1972" s="343"/>
      <c r="AH1972" s="249"/>
      <c r="AI1972" s="330"/>
      <c r="AJ1972" s="343"/>
      <c r="AK1972" s="249"/>
      <c r="AL1972" s="330"/>
      <c r="AM1972" s="343"/>
      <c r="AN1972" s="249"/>
      <c r="AO1972" s="330"/>
      <c r="AP1972" s="343"/>
      <c r="AQ1972" s="249"/>
      <c r="AR1972" s="330"/>
      <c r="AS1972" s="343"/>
      <c r="AT1972" s="249"/>
      <c r="AU1972" s="330"/>
    </row>
    <row r="1973" spans="2:47">
      <c r="B1973" s="247">
        <f>'Table S2 Compound Identifiers'!C1975</f>
        <v>0</v>
      </c>
      <c r="C1973" s="247">
        <f>COUNTIF($D$6:D1973,"&lt;&gt;"&amp;"")</f>
        <v>1968</v>
      </c>
      <c r="D1973" s="247">
        <f>'Table S2 Compound Identifiers'!B1975</f>
        <v>0</v>
      </c>
      <c r="E1973" s="247"/>
      <c r="F1973" s="248"/>
      <c r="G1973" s="249"/>
      <c r="H1973" s="330"/>
      <c r="I1973" s="328"/>
      <c r="J1973" s="249"/>
      <c r="K1973" s="330"/>
      <c r="L1973" s="250"/>
      <c r="M1973" s="249"/>
      <c r="N1973" s="330"/>
      <c r="O1973" s="250"/>
      <c r="P1973" s="249"/>
      <c r="Q1973" s="330"/>
      <c r="R1973" s="250"/>
      <c r="S1973" s="249"/>
      <c r="T1973" s="330"/>
      <c r="U1973" s="250"/>
      <c r="V1973" s="249"/>
      <c r="W1973" s="330"/>
      <c r="X1973" s="343"/>
      <c r="Y1973" s="249"/>
      <c r="Z1973" s="330"/>
      <c r="AA1973" s="343"/>
      <c r="AB1973" s="249"/>
      <c r="AC1973" s="330"/>
      <c r="AD1973" s="343"/>
      <c r="AE1973" s="249"/>
      <c r="AF1973" s="330"/>
      <c r="AG1973" s="343"/>
      <c r="AH1973" s="249"/>
      <c r="AI1973" s="330"/>
      <c r="AJ1973" s="343"/>
      <c r="AK1973" s="249"/>
      <c r="AL1973" s="330"/>
      <c r="AM1973" s="343"/>
      <c r="AN1973" s="249"/>
      <c r="AO1973" s="330"/>
      <c r="AP1973" s="343"/>
      <c r="AQ1973" s="249"/>
      <c r="AR1973" s="330"/>
      <c r="AS1973" s="343"/>
      <c r="AT1973" s="249"/>
      <c r="AU1973" s="330"/>
    </row>
    <row r="1974" spans="2:47">
      <c r="B1974" s="247">
        <f>'Table S2 Compound Identifiers'!C1976</f>
        <v>0</v>
      </c>
      <c r="C1974" s="247">
        <f>COUNTIF($D$6:D1974,"&lt;&gt;"&amp;"")</f>
        <v>1969</v>
      </c>
      <c r="D1974" s="247">
        <f>'Table S2 Compound Identifiers'!B1976</f>
        <v>0</v>
      </c>
      <c r="E1974" s="247"/>
      <c r="F1974" s="248"/>
      <c r="G1974" s="249"/>
      <c r="H1974" s="330"/>
      <c r="I1974" s="328"/>
      <c r="J1974" s="249"/>
      <c r="K1974" s="330"/>
      <c r="L1974" s="250"/>
      <c r="M1974" s="249"/>
      <c r="N1974" s="330"/>
      <c r="O1974" s="250"/>
      <c r="P1974" s="249"/>
      <c r="Q1974" s="330"/>
      <c r="R1974" s="250"/>
      <c r="S1974" s="249"/>
      <c r="T1974" s="330"/>
      <c r="U1974" s="250"/>
      <c r="V1974" s="249"/>
      <c r="W1974" s="330"/>
      <c r="X1974" s="343"/>
      <c r="Y1974" s="249"/>
      <c r="Z1974" s="330"/>
      <c r="AA1974" s="343"/>
      <c r="AB1974" s="249"/>
      <c r="AC1974" s="330"/>
      <c r="AD1974" s="343"/>
      <c r="AE1974" s="249"/>
      <c r="AF1974" s="330"/>
      <c r="AG1974" s="343"/>
      <c r="AH1974" s="249"/>
      <c r="AI1974" s="330"/>
      <c r="AJ1974" s="343"/>
      <c r="AK1974" s="249"/>
      <c r="AL1974" s="330"/>
      <c r="AM1974" s="343"/>
      <c r="AN1974" s="249"/>
      <c r="AO1974" s="330"/>
      <c r="AP1974" s="343"/>
      <c r="AQ1974" s="249"/>
      <c r="AR1974" s="330"/>
      <c r="AS1974" s="343"/>
      <c r="AT1974" s="249"/>
      <c r="AU1974" s="330"/>
    </row>
    <row r="1975" spans="2:47">
      <c r="B1975" s="247">
        <f>'Table S2 Compound Identifiers'!C1977</f>
        <v>0</v>
      </c>
      <c r="C1975" s="247">
        <f>COUNTIF($D$6:D1975,"&lt;&gt;"&amp;"")</f>
        <v>1970</v>
      </c>
      <c r="D1975" s="247">
        <f>'Table S2 Compound Identifiers'!B1977</f>
        <v>0</v>
      </c>
      <c r="E1975" s="247"/>
      <c r="F1975" s="248"/>
      <c r="G1975" s="249"/>
      <c r="H1975" s="330"/>
      <c r="I1975" s="328"/>
      <c r="J1975" s="249"/>
      <c r="K1975" s="330"/>
      <c r="L1975" s="250"/>
      <c r="M1975" s="249"/>
      <c r="N1975" s="330"/>
      <c r="O1975" s="250"/>
      <c r="P1975" s="249"/>
      <c r="Q1975" s="330"/>
      <c r="R1975" s="250"/>
      <c r="S1975" s="249"/>
      <c r="T1975" s="330"/>
      <c r="U1975" s="250"/>
      <c r="V1975" s="249"/>
      <c r="W1975" s="330"/>
      <c r="X1975" s="343"/>
      <c r="Y1975" s="249"/>
      <c r="Z1975" s="330"/>
      <c r="AA1975" s="343"/>
      <c r="AB1975" s="249"/>
      <c r="AC1975" s="330"/>
      <c r="AD1975" s="343"/>
      <c r="AE1975" s="249"/>
      <c r="AF1975" s="330"/>
      <c r="AG1975" s="343"/>
      <c r="AH1975" s="249"/>
      <c r="AI1975" s="330"/>
      <c r="AJ1975" s="343"/>
      <c r="AK1975" s="249"/>
      <c r="AL1975" s="330"/>
      <c r="AM1975" s="343"/>
      <c r="AN1975" s="249"/>
      <c r="AO1975" s="330"/>
      <c r="AP1975" s="343"/>
      <c r="AQ1975" s="249"/>
      <c r="AR1975" s="330"/>
      <c r="AS1975" s="343"/>
      <c r="AT1975" s="249"/>
      <c r="AU1975" s="330"/>
    </row>
    <row r="1976" spans="2:47">
      <c r="B1976" s="247">
        <f>'Table S2 Compound Identifiers'!C1978</f>
        <v>0</v>
      </c>
      <c r="C1976" s="247">
        <f>COUNTIF($D$6:D1976,"&lt;&gt;"&amp;"")</f>
        <v>1971</v>
      </c>
      <c r="D1976" s="247">
        <f>'Table S2 Compound Identifiers'!B1978</f>
        <v>0</v>
      </c>
      <c r="E1976" s="247"/>
      <c r="F1976" s="248"/>
      <c r="G1976" s="249"/>
      <c r="H1976" s="330"/>
      <c r="I1976" s="328"/>
      <c r="J1976" s="249"/>
      <c r="K1976" s="330"/>
      <c r="L1976" s="250"/>
      <c r="M1976" s="249"/>
      <c r="N1976" s="330"/>
      <c r="O1976" s="250"/>
      <c r="P1976" s="249"/>
      <c r="Q1976" s="330"/>
      <c r="R1976" s="250"/>
      <c r="S1976" s="249"/>
      <c r="T1976" s="330"/>
      <c r="U1976" s="250"/>
      <c r="V1976" s="249"/>
      <c r="W1976" s="330"/>
      <c r="X1976" s="343"/>
      <c r="Y1976" s="249"/>
      <c r="Z1976" s="330"/>
      <c r="AA1976" s="343"/>
      <c r="AB1976" s="249"/>
      <c r="AC1976" s="330"/>
      <c r="AD1976" s="343"/>
      <c r="AE1976" s="249"/>
      <c r="AF1976" s="330"/>
      <c r="AG1976" s="343"/>
      <c r="AH1976" s="249"/>
      <c r="AI1976" s="330"/>
      <c r="AJ1976" s="343"/>
      <c r="AK1976" s="249"/>
      <c r="AL1976" s="330"/>
      <c r="AM1976" s="343"/>
      <c r="AN1976" s="249"/>
      <c r="AO1976" s="330"/>
      <c r="AP1976" s="343"/>
      <c r="AQ1976" s="249"/>
      <c r="AR1976" s="330"/>
      <c r="AS1976" s="343"/>
      <c r="AT1976" s="249"/>
      <c r="AU1976" s="330"/>
    </row>
    <row r="1977" spans="2:47">
      <c r="B1977" s="247">
        <f>'Table S2 Compound Identifiers'!C1979</f>
        <v>0</v>
      </c>
      <c r="C1977" s="247">
        <f>COUNTIF($D$6:D1977,"&lt;&gt;"&amp;"")</f>
        <v>1972</v>
      </c>
      <c r="D1977" s="247">
        <f>'Table S2 Compound Identifiers'!B1979</f>
        <v>0</v>
      </c>
      <c r="E1977" s="247"/>
      <c r="F1977" s="248"/>
      <c r="G1977" s="249"/>
      <c r="H1977" s="330"/>
      <c r="I1977" s="328"/>
      <c r="J1977" s="249"/>
      <c r="K1977" s="330"/>
      <c r="L1977" s="250"/>
      <c r="M1977" s="249"/>
      <c r="N1977" s="330"/>
      <c r="O1977" s="250"/>
      <c r="P1977" s="249"/>
      <c r="Q1977" s="330"/>
      <c r="R1977" s="250"/>
      <c r="S1977" s="249"/>
      <c r="T1977" s="330"/>
      <c r="U1977" s="250"/>
      <c r="V1977" s="249"/>
      <c r="W1977" s="330"/>
      <c r="X1977" s="343"/>
      <c r="Y1977" s="249"/>
      <c r="Z1977" s="330"/>
      <c r="AA1977" s="343"/>
      <c r="AB1977" s="249"/>
      <c r="AC1977" s="330"/>
      <c r="AD1977" s="343"/>
      <c r="AE1977" s="249"/>
      <c r="AF1977" s="330"/>
      <c r="AG1977" s="343"/>
      <c r="AH1977" s="249"/>
      <c r="AI1977" s="330"/>
      <c r="AJ1977" s="343"/>
      <c r="AK1977" s="249"/>
      <c r="AL1977" s="330"/>
      <c r="AM1977" s="343"/>
      <c r="AN1977" s="249"/>
      <c r="AO1977" s="330"/>
      <c r="AP1977" s="343"/>
      <c r="AQ1977" s="249"/>
      <c r="AR1977" s="330"/>
      <c r="AS1977" s="343"/>
      <c r="AT1977" s="249"/>
      <c r="AU1977" s="330"/>
    </row>
    <row r="1978" spans="2:47">
      <c r="B1978" s="247">
        <f>'Table S2 Compound Identifiers'!C1980</f>
        <v>0</v>
      </c>
      <c r="C1978" s="247">
        <f>COUNTIF($D$6:D1978,"&lt;&gt;"&amp;"")</f>
        <v>1973</v>
      </c>
      <c r="D1978" s="247">
        <f>'Table S2 Compound Identifiers'!B1980</f>
        <v>0</v>
      </c>
      <c r="E1978" s="247"/>
      <c r="F1978" s="248"/>
      <c r="G1978" s="249"/>
      <c r="H1978" s="330"/>
      <c r="I1978" s="328"/>
      <c r="J1978" s="249"/>
      <c r="K1978" s="330"/>
      <c r="L1978" s="250"/>
      <c r="M1978" s="249"/>
      <c r="N1978" s="330"/>
      <c r="O1978" s="250"/>
      <c r="P1978" s="249"/>
      <c r="Q1978" s="330"/>
      <c r="R1978" s="250"/>
      <c r="S1978" s="249"/>
      <c r="T1978" s="330"/>
      <c r="U1978" s="250"/>
      <c r="V1978" s="249"/>
      <c r="W1978" s="330"/>
      <c r="X1978" s="343"/>
      <c r="Y1978" s="249"/>
      <c r="Z1978" s="330"/>
      <c r="AA1978" s="343"/>
      <c r="AB1978" s="249"/>
      <c r="AC1978" s="330"/>
      <c r="AD1978" s="343"/>
      <c r="AE1978" s="249"/>
      <c r="AF1978" s="330"/>
      <c r="AG1978" s="343"/>
      <c r="AH1978" s="249"/>
      <c r="AI1978" s="330"/>
      <c r="AJ1978" s="343"/>
      <c r="AK1978" s="249"/>
      <c r="AL1978" s="330"/>
      <c r="AM1978" s="343"/>
      <c r="AN1978" s="249"/>
      <c r="AO1978" s="330"/>
      <c r="AP1978" s="343"/>
      <c r="AQ1978" s="249"/>
      <c r="AR1978" s="330"/>
      <c r="AS1978" s="343"/>
      <c r="AT1978" s="249"/>
      <c r="AU1978" s="330"/>
    </row>
    <row r="1979" spans="2:47">
      <c r="B1979" s="247">
        <f>'Table S2 Compound Identifiers'!C1981</f>
        <v>0</v>
      </c>
      <c r="C1979" s="247">
        <f>COUNTIF($D$6:D1979,"&lt;&gt;"&amp;"")</f>
        <v>1974</v>
      </c>
      <c r="D1979" s="247">
        <f>'Table S2 Compound Identifiers'!B1981</f>
        <v>0</v>
      </c>
      <c r="E1979" s="247"/>
      <c r="F1979" s="248"/>
      <c r="G1979" s="249"/>
      <c r="H1979" s="330"/>
      <c r="I1979" s="328"/>
      <c r="J1979" s="249"/>
      <c r="K1979" s="330"/>
      <c r="L1979" s="250"/>
      <c r="M1979" s="249"/>
      <c r="N1979" s="330"/>
      <c r="O1979" s="250"/>
      <c r="P1979" s="249"/>
      <c r="Q1979" s="330"/>
      <c r="R1979" s="250"/>
      <c r="S1979" s="249"/>
      <c r="T1979" s="330"/>
      <c r="U1979" s="250"/>
      <c r="V1979" s="249"/>
      <c r="W1979" s="330"/>
      <c r="X1979" s="343"/>
      <c r="Y1979" s="249"/>
      <c r="Z1979" s="330"/>
      <c r="AA1979" s="343"/>
      <c r="AB1979" s="249"/>
      <c r="AC1979" s="330"/>
      <c r="AD1979" s="343"/>
      <c r="AE1979" s="249"/>
      <c r="AF1979" s="330"/>
      <c r="AG1979" s="343"/>
      <c r="AH1979" s="249"/>
      <c r="AI1979" s="330"/>
      <c r="AJ1979" s="343"/>
      <c r="AK1979" s="249"/>
      <c r="AL1979" s="330"/>
      <c r="AM1979" s="343"/>
      <c r="AN1979" s="249"/>
      <c r="AO1979" s="330"/>
      <c r="AP1979" s="343"/>
      <c r="AQ1979" s="249"/>
      <c r="AR1979" s="330"/>
      <c r="AS1979" s="343"/>
      <c r="AT1979" s="249"/>
      <c r="AU1979" s="330"/>
    </row>
    <row r="1980" spans="2:47">
      <c r="B1980" s="247">
        <f>'Table S2 Compound Identifiers'!C1982</f>
        <v>0</v>
      </c>
      <c r="C1980" s="247">
        <f>COUNTIF($D$6:D1980,"&lt;&gt;"&amp;"")</f>
        <v>1975</v>
      </c>
      <c r="D1980" s="247">
        <f>'Table S2 Compound Identifiers'!B1982</f>
        <v>0</v>
      </c>
      <c r="E1980" s="247"/>
      <c r="F1980" s="248"/>
      <c r="G1980" s="249"/>
      <c r="H1980" s="330"/>
      <c r="I1980" s="328"/>
      <c r="J1980" s="249"/>
      <c r="K1980" s="330"/>
      <c r="L1980" s="250"/>
      <c r="M1980" s="249"/>
      <c r="N1980" s="330"/>
      <c r="O1980" s="250"/>
      <c r="P1980" s="249"/>
      <c r="Q1980" s="330"/>
      <c r="R1980" s="250"/>
      <c r="S1980" s="249"/>
      <c r="T1980" s="330"/>
      <c r="U1980" s="250"/>
      <c r="V1980" s="249"/>
      <c r="W1980" s="330"/>
      <c r="X1980" s="343"/>
      <c r="Y1980" s="249"/>
      <c r="Z1980" s="330"/>
      <c r="AA1980" s="343"/>
      <c r="AB1980" s="249"/>
      <c r="AC1980" s="330"/>
      <c r="AD1980" s="343"/>
      <c r="AE1980" s="249"/>
      <c r="AF1980" s="330"/>
      <c r="AG1980" s="343"/>
      <c r="AH1980" s="249"/>
      <c r="AI1980" s="330"/>
      <c r="AJ1980" s="343"/>
      <c r="AK1980" s="249"/>
      <c r="AL1980" s="330"/>
      <c r="AM1980" s="343"/>
      <c r="AN1980" s="249"/>
      <c r="AO1980" s="330"/>
      <c r="AP1980" s="343"/>
      <c r="AQ1980" s="249"/>
      <c r="AR1980" s="330"/>
      <c r="AS1980" s="343"/>
      <c r="AT1980" s="249"/>
      <c r="AU1980" s="330"/>
    </row>
    <row r="1981" spans="2:47">
      <c r="B1981" s="247">
        <f>'Table S2 Compound Identifiers'!C1983</f>
        <v>0</v>
      </c>
      <c r="C1981" s="247">
        <f>COUNTIF($D$6:D1981,"&lt;&gt;"&amp;"")</f>
        <v>1976</v>
      </c>
      <c r="D1981" s="247">
        <f>'Table S2 Compound Identifiers'!B1983</f>
        <v>0</v>
      </c>
      <c r="E1981" s="247"/>
      <c r="F1981" s="248"/>
      <c r="G1981" s="249"/>
      <c r="H1981" s="330"/>
      <c r="I1981" s="328"/>
      <c r="J1981" s="249"/>
      <c r="K1981" s="330"/>
      <c r="L1981" s="250"/>
      <c r="M1981" s="249"/>
      <c r="N1981" s="330"/>
      <c r="O1981" s="250"/>
      <c r="P1981" s="249"/>
      <c r="Q1981" s="330"/>
      <c r="R1981" s="250"/>
      <c r="S1981" s="249"/>
      <c r="T1981" s="330"/>
      <c r="U1981" s="250"/>
      <c r="V1981" s="249"/>
      <c r="W1981" s="330"/>
      <c r="X1981" s="343"/>
      <c r="Y1981" s="249"/>
      <c r="Z1981" s="330"/>
      <c r="AA1981" s="343"/>
      <c r="AB1981" s="249"/>
      <c r="AC1981" s="330"/>
      <c r="AD1981" s="343"/>
      <c r="AE1981" s="249"/>
      <c r="AF1981" s="330"/>
      <c r="AG1981" s="343"/>
      <c r="AH1981" s="249"/>
      <c r="AI1981" s="330"/>
      <c r="AJ1981" s="343"/>
      <c r="AK1981" s="249"/>
      <c r="AL1981" s="330"/>
      <c r="AM1981" s="343"/>
      <c r="AN1981" s="249"/>
      <c r="AO1981" s="330"/>
      <c r="AP1981" s="343"/>
      <c r="AQ1981" s="249"/>
      <c r="AR1981" s="330"/>
      <c r="AS1981" s="343"/>
      <c r="AT1981" s="249"/>
      <c r="AU1981" s="330"/>
    </row>
    <row r="1982" spans="2:47">
      <c r="B1982" s="247">
        <f>'Table S2 Compound Identifiers'!C1984</f>
        <v>0</v>
      </c>
      <c r="C1982" s="247">
        <f>COUNTIF($D$6:D1982,"&lt;&gt;"&amp;"")</f>
        <v>1977</v>
      </c>
      <c r="D1982" s="247">
        <f>'Table S2 Compound Identifiers'!B1984</f>
        <v>0</v>
      </c>
      <c r="E1982" s="247"/>
      <c r="F1982" s="248"/>
      <c r="G1982" s="249"/>
      <c r="H1982" s="330"/>
      <c r="I1982" s="328"/>
      <c r="J1982" s="249"/>
      <c r="K1982" s="330"/>
      <c r="L1982" s="250"/>
      <c r="M1982" s="249"/>
      <c r="N1982" s="330"/>
      <c r="O1982" s="250"/>
      <c r="P1982" s="249"/>
      <c r="Q1982" s="330"/>
      <c r="R1982" s="250"/>
      <c r="S1982" s="249"/>
      <c r="T1982" s="330"/>
      <c r="U1982" s="250"/>
      <c r="V1982" s="249"/>
      <c r="W1982" s="330"/>
      <c r="X1982" s="343"/>
      <c r="Y1982" s="249"/>
      <c r="Z1982" s="330"/>
      <c r="AA1982" s="343"/>
      <c r="AB1982" s="249"/>
      <c r="AC1982" s="330"/>
      <c r="AD1982" s="343"/>
      <c r="AE1982" s="249"/>
      <c r="AF1982" s="330"/>
      <c r="AG1982" s="343"/>
      <c r="AH1982" s="249"/>
      <c r="AI1982" s="330"/>
      <c r="AJ1982" s="343"/>
      <c r="AK1982" s="249"/>
      <c r="AL1982" s="330"/>
      <c r="AM1982" s="343"/>
      <c r="AN1982" s="249"/>
      <c r="AO1982" s="330"/>
      <c r="AP1982" s="343"/>
      <c r="AQ1982" s="249"/>
      <c r="AR1982" s="330"/>
      <c r="AS1982" s="343"/>
      <c r="AT1982" s="249"/>
      <c r="AU1982" s="330"/>
    </row>
    <row r="1983" spans="2:47">
      <c r="B1983" s="247">
        <f>'Table S2 Compound Identifiers'!C1985</f>
        <v>0</v>
      </c>
      <c r="C1983" s="247">
        <f>COUNTIF($D$6:D1983,"&lt;&gt;"&amp;"")</f>
        <v>1978</v>
      </c>
      <c r="D1983" s="247">
        <f>'Table S2 Compound Identifiers'!B1985</f>
        <v>0</v>
      </c>
      <c r="E1983" s="247"/>
      <c r="F1983" s="248"/>
      <c r="G1983" s="249"/>
      <c r="H1983" s="330"/>
      <c r="I1983" s="328"/>
      <c r="J1983" s="249"/>
      <c r="K1983" s="330"/>
      <c r="L1983" s="250"/>
      <c r="M1983" s="249"/>
      <c r="N1983" s="330"/>
      <c r="O1983" s="250"/>
      <c r="P1983" s="249"/>
      <c r="Q1983" s="330"/>
      <c r="R1983" s="250"/>
      <c r="S1983" s="249"/>
      <c r="T1983" s="330"/>
      <c r="U1983" s="250"/>
      <c r="V1983" s="249"/>
      <c r="W1983" s="330"/>
      <c r="X1983" s="343"/>
      <c r="Y1983" s="249"/>
      <c r="Z1983" s="330"/>
      <c r="AA1983" s="343"/>
      <c r="AB1983" s="249"/>
      <c r="AC1983" s="330"/>
      <c r="AD1983" s="343"/>
      <c r="AE1983" s="249"/>
      <c r="AF1983" s="330"/>
      <c r="AG1983" s="343"/>
      <c r="AH1983" s="249"/>
      <c r="AI1983" s="330"/>
      <c r="AJ1983" s="343"/>
      <c r="AK1983" s="249"/>
      <c r="AL1983" s="330"/>
      <c r="AM1983" s="343"/>
      <c r="AN1983" s="249"/>
      <c r="AO1983" s="330"/>
      <c r="AP1983" s="343"/>
      <c r="AQ1983" s="249"/>
      <c r="AR1983" s="330"/>
      <c r="AS1983" s="343"/>
      <c r="AT1983" s="249"/>
      <c r="AU1983" s="330"/>
    </row>
    <row r="1984" spans="2:47">
      <c r="B1984" s="247">
        <f>'Table S2 Compound Identifiers'!C1986</f>
        <v>0</v>
      </c>
      <c r="C1984" s="247">
        <f>COUNTIF($D$6:D1984,"&lt;&gt;"&amp;"")</f>
        <v>1979</v>
      </c>
      <c r="D1984" s="247">
        <f>'Table S2 Compound Identifiers'!B1986</f>
        <v>0</v>
      </c>
      <c r="E1984" s="247"/>
      <c r="F1984" s="248"/>
      <c r="G1984" s="249"/>
      <c r="H1984" s="330"/>
      <c r="I1984" s="328"/>
      <c r="J1984" s="249"/>
      <c r="K1984" s="330"/>
      <c r="L1984" s="250"/>
      <c r="M1984" s="249"/>
      <c r="N1984" s="330"/>
      <c r="O1984" s="250"/>
      <c r="P1984" s="249"/>
      <c r="Q1984" s="330"/>
      <c r="R1984" s="250"/>
      <c r="S1984" s="249"/>
      <c r="T1984" s="330"/>
      <c r="U1984" s="250"/>
      <c r="V1984" s="249"/>
      <c r="W1984" s="330"/>
      <c r="X1984" s="343"/>
      <c r="Y1984" s="249"/>
      <c r="Z1984" s="330"/>
      <c r="AA1984" s="343"/>
      <c r="AB1984" s="249"/>
      <c r="AC1984" s="330"/>
      <c r="AD1984" s="343"/>
      <c r="AE1984" s="249"/>
      <c r="AF1984" s="330"/>
      <c r="AG1984" s="343"/>
      <c r="AH1984" s="249"/>
      <c r="AI1984" s="330"/>
      <c r="AJ1984" s="343"/>
      <c r="AK1984" s="249"/>
      <c r="AL1984" s="330"/>
      <c r="AM1984" s="343"/>
      <c r="AN1984" s="249"/>
      <c r="AO1984" s="330"/>
      <c r="AP1984" s="343"/>
      <c r="AQ1984" s="249"/>
      <c r="AR1984" s="330"/>
      <c r="AS1984" s="343"/>
      <c r="AT1984" s="249"/>
      <c r="AU1984" s="330"/>
    </row>
    <row r="1985" spans="2:47">
      <c r="B1985" s="247">
        <f>'Table S2 Compound Identifiers'!C1987</f>
        <v>0</v>
      </c>
      <c r="C1985" s="247">
        <f>COUNTIF($D$6:D1985,"&lt;&gt;"&amp;"")</f>
        <v>1980</v>
      </c>
      <c r="D1985" s="247">
        <f>'Table S2 Compound Identifiers'!B1987</f>
        <v>0</v>
      </c>
      <c r="E1985" s="247"/>
      <c r="F1985" s="248"/>
      <c r="G1985" s="249"/>
      <c r="H1985" s="330"/>
      <c r="I1985" s="328"/>
      <c r="J1985" s="249"/>
      <c r="K1985" s="330"/>
      <c r="L1985" s="250"/>
      <c r="M1985" s="249"/>
      <c r="N1985" s="330"/>
      <c r="O1985" s="250"/>
      <c r="P1985" s="249"/>
      <c r="Q1985" s="330"/>
      <c r="R1985" s="250"/>
      <c r="S1985" s="249"/>
      <c r="T1985" s="330"/>
      <c r="U1985" s="250"/>
      <c r="V1985" s="249"/>
      <c r="W1985" s="330"/>
      <c r="X1985" s="343"/>
      <c r="Y1985" s="249"/>
      <c r="Z1985" s="330"/>
      <c r="AA1985" s="343"/>
      <c r="AB1985" s="249"/>
      <c r="AC1985" s="330"/>
      <c r="AD1985" s="343"/>
      <c r="AE1985" s="249"/>
      <c r="AF1985" s="330"/>
      <c r="AG1985" s="343"/>
      <c r="AH1985" s="249"/>
      <c r="AI1985" s="330"/>
      <c r="AJ1985" s="343"/>
      <c r="AK1985" s="249"/>
      <c r="AL1985" s="330"/>
      <c r="AM1985" s="343"/>
      <c r="AN1985" s="249"/>
      <c r="AO1985" s="330"/>
      <c r="AP1985" s="343"/>
      <c r="AQ1985" s="249"/>
      <c r="AR1985" s="330"/>
      <c r="AS1985" s="343"/>
      <c r="AT1985" s="249"/>
      <c r="AU1985" s="330"/>
    </row>
    <row r="1986" spans="2:47">
      <c r="B1986" s="247">
        <f>'Table S2 Compound Identifiers'!C1988</f>
        <v>0</v>
      </c>
      <c r="C1986" s="247">
        <f>COUNTIF($D$6:D1986,"&lt;&gt;"&amp;"")</f>
        <v>1981</v>
      </c>
      <c r="D1986" s="432">
        <f>'Table S2 Compound Identifiers'!B1988</f>
        <v>0</v>
      </c>
      <c r="E1986" s="247"/>
      <c r="F1986" s="248"/>
      <c r="G1986" s="249"/>
      <c r="H1986" s="330"/>
      <c r="I1986" s="328"/>
      <c r="J1986" s="249"/>
      <c r="K1986" s="330"/>
      <c r="L1986" s="250"/>
      <c r="M1986" s="249"/>
      <c r="N1986" s="330"/>
      <c r="O1986" s="250"/>
      <c r="P1986" s="249"/>
      <c r="Q1986" s="330"/>
      <c r="R1986" s="250"/>
      <c r="S1986" s="249"/>
      <c r="T1986" s="330"/>
      <c r="U1986" s="250"/>
      <c r="V1986" s="249"/>
      <c r="W1986" s="330"/>
      <c r="X1986" s="343"/>
      <c r="Y1986" s="249"/>
      <c r="Z1986" s="330"/>
      <c r="AA1986" s="343"/>
      <c r="AB1986" s="249"/>
      <c r="AC1986" s="330"/>
      <c r="AD1986" s="343"/>
      <c r="AE1986" s="249"/>
      <c r="AF1986" s="330"/>
      <c r="AG1986" s="343"/>
      <c r="AH1986" s="249"/>
      <c r="AI1986" s="330"/>
      <c r="AJ1986" s="343"/>
      <c r="AK1986" s="249"/>
      <c r="AL1986" s="330"/>
      <c r="AM1986" s="343"/>
      <c r="AN1986" s="249"/>
      <c r="AO1986" s="330"/>
      <c r="AP1986" s="343"/>
      <c r="AQ1986" s="249"/>
      <c r="AR1986" s="330"/>
      <c r="AS1986" s="343"/>
      <c r="AT1986" s="249"/>
      <c r="AU1986" s="330"/>
    </row>
    <row r="1987" spans="2:47">
      <c r="B1987" s="247">
        <f>'Table S2 Compound Identifiers'!C1989</f>
        <v>0</v>
      </c>
      <c r="C1987" s="247">
        <f>COUNTIF($D$6:D1987,"&lt;&gt;"&amp;"")</f>
        <v>1982</v>
      </c>
      <c r="D1987" s="432">
        <f>'Table S2 Compound Identifiers'!B1989</f>
        <v>0</v>
      </c>
      <c r="E1987" s="247"/>
      <c r="F1987" s="248"/>
      <c r="G1987" s="249"/>
      <c r="H1987" s="330"/>
      <c r="I1987" s="328"/>
      <c r="J1987" s="249"/>
      <c r="K1987" s="330"/>
      <c r="L1987" s="250"/>
      <c r="M1987" s="249"/>
      <c r="N1987" s="330"/>
      <c r="O1987" s="250"/>
      <c r="P1987" s="249"/>
      <c r="Q1987" s="330"/>
      <c r="R1987" s="250"/>
      <c r="S1987" s="249"/>
      <c r="T1987" s="330"/>
      <c r="U1987" s="250"/>
      <c r="V1987" s="249"/>
      <c r="W1987" s="330"/>
      <c r="X1987" s="343"/>
      <c r="Y1987" s="249"/>
      <c r="Z1987" s="330"/>
      <c r="AA1987" s="343"/>
      <c r="AB1987" s="249"/>
      <c r="AC1987" s="330"/>
      <c r="AD1987" s="343"/>
      <c r="AE1987" s="249"/>
      <c r="AF1987" s="330"/>
      <c r="AG1987" s="343"/>
      <c r="AH1987" s="249"/>
      <c r="AI1987" s="330"/>
      <c r="AJ1987" s="343"/>
      <c r="AK1987" s="249"/>
      <c r="AL1987" s="330"/>
      <c r="AM1987" s="343"/>
      <c r="AN1987" s="249"/>
      <c r="AO1987" s="330"/>
      <c r="AP1987" s="343"/>
      <c r="AQ1987" s="249"/>
      <c r="AR1987" s="330"/>
      <c r="AS1987" s="343"/>
      <c r="AT1987" s="249"/>
      <c r="AU1987" s="330"/>
    </row>
    <row r="1988" spans="2:47">
      <c r="B1988" s="247">
        <f>'Table S2 Compound Identifiers'!C1990</f>
        <v>0</v>
      </c>
      <c r="C1988" s="247">
        <f>COUNTIF($D$6:D1988,"&lt;&gt;"&amp;"")</f>
        <v>1983</v>
      </c>
      <c r="D1988" s="432">
        <f>'Table S2 Compound Identifiers'!B1990</f>
        <v>0</v>
      </c>
      <c r="E1988" s="247"/>
      <c r="F1988" s="248"/>
      <c r="G1988" s="249"/>
      <c r="H1988" s="330"/>
      <c r="I1988" s="328"/>
      <c r="J1988" s="249"/>
      <c r="K1988" s="330"/>
      <c r="L1988" s="250"/>
      <c r="M1988" s="249"/>
      <c r="N1988" s="330"/>
      <c r="O1988" s="250"/>
      <c r="P1988" s="249"/>
      <c r="Q1988" s="330"/>
      <c r="R1988" s="250"/>
      <c r="S1988" s="249"/>
      <c r="T1988" s="330"/>
      <c r="U1988" s="250"/>
      <c r="V1988" s="249"/>
      <c r="W1988" s="330"/>
      <c r="X1988" s="343"/>
      <c r="Y1988" s="249"/>
      <c r="Z1988" s="330"/>
      <c r="AA1988" s="343"/>
      <c r="AB1988" s="249"/>
      <c r="AC1988" s="330"/>
      <c r="AD1988" s="343"/>
      <c r="AE1988" s="249"/>
      <c r="AF1988" s="330"/>
      <c r="AG1988" s="343"/>
      <c r="AH1988" s="249"/>
      <c r="AI1988" s="330"/>
      <c r="AJ1988" s="343"/>
      <c r="AK1988" s="249"/>
      <c r="AL1988" s="330"/>
      <c r="AM1988" s="343"/>
      <c r="AN1988" s="249"/>
      <c r="AO1988" s="330"/>
      <c r="AP1988" s="343"/>
      <c r="AQ1988" s="249"/>
      <c r="AR1988" s="330"/>
      <c r="AS1988" s="343"/>
      <c r="AT1988" s="249"/>
      <c r="AU1988" s="330"/>
    </row>
    <row r="1989" spans="2:47">
      <c r="B1989" s="247">
        <f>'Table S2 Compound Identifiers'!C1991</f>
        <v>0</v>
      </c>
      <c r="C1989" s="247">
        <f>COUNTIF($D$6:D1989,"&lt;&gt;"&amp;"")</f>
        <v>1984</v>
      </c>
      <c r="D1989" s="432">
        <f>'Table S2 Compound Identifiers'!B1991</f>
        <v>0</v>
      </c>
      <c r="E1989" s="247"/>
      <c r="F1989" s="248"/>
      <c r="G1989" s="249"/>
      <c r="H1989" s="330"/>
      <c r="I1989" s="328"/>
      <c r="J1989" s="249"/>
      <c r="K1989" s="330"/>
      <c r="L1989" s="250"/>
      <c r="M1989" s="249"/>
      <c r="N1989" s="330"/>
      <c r="O1989" s="250"/>
      <c r="P1989" s="249"/>
      <c r="Q1989" s="330"/>
      <c r="R1989" s="250"/>
      <c r="S1989" s="249"/>
      <c r="T1989" s="330"/>
      <c r="U1989" s="250"/>
      <c r="V1989" s="249"/>
      <c r="W1989" s="330"/>
      <c r="X1989" s="343"/>
      <c r="Y1989" s="249"/>
      <c r="Z1989" s="330"/>
      <c r="AA1989" s="343"/>
      <c r="AB1989" s="249"/>
      <c r="AC1989" s="330"/>
      <c r="AD1989" s="343"/>
      <c r="AE1989" s="249"/>
      <c r="AF1989" s="330"/>
      <c r="AG1989" s="343"/>
      <c r="AH1989" s="249"/>
      <c r="AI1989" s="330"/>
      <c r="AJ1989" s="343"/>
      <c r="AK1989" s="249"/>
      <c r="AL1989" s="330"/>
      <c r="AM1989" s="343"/>
      <c r="AN1989" s="249"/>
      <c r="AO1989" s="330"/>
      <c r="AP1989" s="343"/>
      <c r="AQ1989" s="249"/>
      <c r="AR1989" s="330"/>
      <c r="AS1989" s="343"/>
      <c r="AT1989" s="249"/>
      <c r="AU1989" s="330"/>
    </row>
    <row r="1990" spans="2:47">
      <c r="B1990" s="247">
        <f>'Table S2 Compound Identifiers'!C1992</f>
        <v>0</v>
      </c>
      <c r="C1990" s="247">
        <f>COUNTIF($D$6:D1990,"&lt;&gt;"&amp;"")</f>
        <v>1985</v>
      </c>
      <c r="D1990" s="432">
        <f>'Table S2 Compound Identifiers'!B1992</f>
        <v>0</v>
      </c>
      <c r="E1990" s="247"/>
      <c r="F1990" s="248"/>
      <c r="G1990" s="249"/>
      <c r="H1990" s="330"/>
      <c r="I1990" s="328"/>
      <c r="J1990" s="249"/>
      <c r="K1990" s="330"/>
      <c r="L1990" s="250"/>
      <c r="M1990" s="249"/>
      <c r="N1990" s="330"/>
      <c r="O1990" s="250"/>
      <c r="P1990" s="249"/>
      <c r="Q1990" s="330"/>
      <c r="R1990" s="250"/>
      <c r="S1990" s="249"/>
      <c r="T1990" s="330"/>
      <c r="U1990" s="250"/>
      <c r="V1990" s="249"/>
      <c r="W1990" s="330"/>
      <c r="X1990" s="343"/>
      <c r="Y1990" s="249"/>
      <c r="Z1990" s="330"/>
      <c r="AA1990" s="343"/>
      <c r="AB1990" s="249"/>
      <c r="AC1990" s="330"/>
      <c r="AD1990" s="343"/>
      <c r="AE1990" s="249"/>
      <c r="AF1990" s="330"/>
      <c r="AG1990" s="343"/>
      <c r="AH1990" s="249"/>
      <c r="AI1990" s="330"/>
      <c r="AJ1990" s="343"/>
      <c r="AK1990" s="249"/>
      <c r="AL1990" s="330"/>
      <c r="AM1990" s="343"/>
      <c r="AN1990" s="249"/>
      <c r="AO1990" s="330"/>
      <c r="AP1990" s="343"/>
      <c r="AQ1990" s="249"/>
      <c r="AR1990" s="330"/>
      <c r="AS1990" s="343"/>
      <c r="AT1990" s="249"/>
      <c r="AU1990" s="330"/>
    </row>
    <row r="1991" spans="2:47">
      <c r="B1991" s="247">
        <f>'Table S2 Compound Identifiers'!C1993</f>
        <v>0</v>
      </c>
      <c r="C1991" s="247">
        <f>COUNTIF($D$6:D1991,"&lt;&gt;"&amp;"")</f>
        <v>1986</v>
      </c>
      <c r="D1991" s="432">
        <f>'Table S2 Compound Identifiers'!B1993</f>
        <v>0</v>
      </c>
      <c r="E1991" s="247"/>
      <c r="F1991" s="248"/>
      <c r="G1991" s="249"/>
      <c r="H1991" s="330"/>
      <c r="I1991" s="328"/>
      <c r="J1991" s="249"/>
      <c r="K1991" s="330"/>
      <c r="L1991" s="250"/>
      <c r="M1991" s="249"/>
      <c r="N1991" s="330"/>
      <c r="O1991" s="250"/>
      <c r="P1991" s="249"/>
      <c r="Q1991" s="330"/>
      <c r="R1991" s="250"/>
      <c r="S1991" s="249"/>
      <c r="T1991" s="330"/>
      <c r="U1991" s="250"/>
      <c r="V1991" s="249"/>
      <c r="W1991" s="330"/>
      <c r="X1991" s="343"/>
      <c r="Y1991" s="249"/>
      <c r="Z1991" s="330"/>
      <c r="AA1991" s="343"/>
      <c r="AB1991" s="249"/>
      <c r="AC1991" s="330"/>
      <c r="AD1991" s="343"/>
      <c r="AE1991" s="249"/>
      <c r="AF1991" s="330"/>
      <c r="AG1991" s="343"/>
      <c r="AH1991" s="249"/>
      <c r="AI1991" s="330"/>
      <c r="AJ1991" s="343"/>
      <c r="AK1991" s="249"/>
      <c r="AL1991" s="330"/>
      <c r="AM1991" s="343"/>
      <c r="AN1991" s="249"/>
      <c r="AO1991" s="330"/>
      <c r="AP1991" s="343"/>
      <c r="AQ1991" s="249"/>
      <c r="AR1991" s="330"/>
      <c r="AS1991" s="343"/>
      <c r="AT1991" s="249"/>
      <c r="AU1991" s="330"/>
    </row>
    <row r="1992" spans="2:47">
      <c r="B1992" s="247">
        <f>'Table S2 Compound Identifiers'!C1994</f>
        <v>0</v>
      </c>
      <c r="C1992" s="247">
        <f>COUNTIF($D$6:D1992,"&lt;&gt;"&amp;"")</f>
        <v>1987</v>
      </c>
      <c r="D1992" s="432">
        <f>'Table S2 Compound Identifiers'!B1994</f>
        <v>0</v>
      </c>
      <c r="E1992" s="247"/>
      <c r="F1992" s="248"/>
      <c r="G1992" s="249"/>
      <c r="H1992" s="330"/>
      <c r="I1992" s="328"/>
      <c r="J1992" s="249"/>
      <c r="K1992" s="330"/>
      <c r="L1992" s="250"/>
      <c r="M1992" s="249"/>
      <c r="N1992" s="330"/>
      <c r="O1992" s="250"/>
      <c r="P1992" s="249"/>
      <c r="Q1992" s="330"/>
      <c r="R1992" s="250"/>
      <c r="S1992" s="249"/>
      <c r="T1992" s="330"/>
      <c r="U1992" s="250"/>
      <c r="V1992" s="249"/>
      <c r="W1992" s="330"/>
      <c r="X1992" s="343"/>
      <c r="Y1992" s="249"/>
      <c r="Z1992" s="330"/>
      <c r="AA1992" s="343"/>
      <c r="AB1992" s="249"/>
      <c r="AC1992" s="330"/>
      <c r="AD1992" s="343"/>
      <c r="AE1992" s="249"/>
      <c r="AF1992" s="330"/>
      <c r="AG1992" s="343"/>
      <c r="AH1992" s="249"/>
      <c r="AI1992" s="330"/>
      <c r="AJ1992" s="343"/>
      <c r="AK1992" s="249"/>
      <c r="AL1992" s="330"/>
      <c r="AM1992" s="343"/>
      <c r="AN1992" s="249"/>
      <c r="AO1992" s="330"/>
      <c r="AP1992" s="343"/>
      <c r="AQ1992" s="249"/>
      <c r="AR1992" s="330"/>
      <c r="AS1992" s="343"/>
      <c r="AT1992" s="249"/>
      <c r="AU1992" s="330"/>
    </row>
    <row r="1993" spans="2:47">
      <c r="B1993" s="247">
        <f>'Table S2 Compound Identifiers'!C1995</f>
        <v>0</v>
      </c>
      <c r="C1993" s="247">
        <f>COUNTIF($D$6:D1993,"&lt;&gt;"&amp;"")</f>
        <v>1988</v>
      </c>
      <c r="D1993" s="432">
        <f>'Table S2 Compound Identifiers'!B1995</f>
        <v>0</v>
      </c>
      <c r="E1993" s="247"/>
      <c r="F1993" s="248"/>
      <c r="G1993" s="249"/>
      <c r="H1993" s="330"/>
      <c r="I1993" s="328"/>
      <c r="J1993" s="249"/>
      <c r="K1993" s="330"/>
      <c r="L1993" s="250"/>
      <c r="M1993" s="249"/>
      <c r="N1993" s="330"/>
      <c r="O1993" s="250"/>
      <c r="P1993" s="249"/>
      <c r="Q1993" s="330"/>
      <c r="R1993" s="250"/>
      <c r="S1993" s="249"/>
      <c r="T1993" s="330"/>
      <c r="U1993" s="250"/>
      <c r="V1993" s="249"/>
      <c r="W1993" s="330"/>
      <c r="X1993" s="343"/>
      <c r="Y1993" s="249"/>
      <c r="Z1993" s="330"/>
      <c r="AA1993" s="343"/>
      <c r="AB1993" s="249"/>
      <c r="AC1993" s="330"/>
      <c r="AD1993" s="343"/>
      <c r="AE1993" s="249"/>
      <c r="AF1993" s="330"/>
      <c r="AG1993" s="343"/>
      <c r="AH1993" s="249"/>
      <c r="AI1993" s="330"/>
      <c r="AJ1993" s="343"/>
      <c r="AK1993" s="249"/>
      <c r="AL1993" s="330"/>
      <c r="AM1993" s="343"/>
      <c r="AN1993" s="249"/>
      <c r="AO1993" s="330"/>
      <c r="AP1993" s="343"/>
      <c r="AQ1993" s="249"/>
      <c r="AR1993" s="330"/>
      <c r="AS1993" s="343"/>
      <c r="AT1993" s="249"/>
      <c r="AU1993" s="330"/>
    </row>
    <row r="1994" spans="2:47">
      <c r="B1994" s="247">
        <f>'Table S2 Compound Identifiers'!C1996</f>
        <v>0</v>
      </c>
      <c r="C1994" s="247">
        <f>COUNTIF($D$6:D1994,"&lt;&gt;"&amp;"")</f>
        <v>1989</v>
      </c>
      <c r="D1994" s="432">
        <f>'Table S2 Compound Identifiers'!B1996</f>
        <v>0</v>
      </c>
      <c r="E1994" s="247"/>
      <c r="F1994" s="248"/>
      <c r="G1994" s="249"/>
      <c r="H1994" s="330"/>
      <c r="I1994" s="328"/>
      <c r="J1994" s="249"/>
      <c r="K1994" s="330"/>
      <c r="L1994" s="250"/>
      <c r="M1994" s="249"/>
      <c r="N1994" s="330"/>
      <c r="O1994" s="250"/>
      <c r="P1994" s="249"/>
      <c r="Q1994" s="330"/>
      <c r="R1994" s="250"/>
      <c r="S1994" s="249"/>
      <c r="T1994" s="330"/>
      <c r="U1994" s="250"/>
      <c r="V1994" s="249"/>
      <c r="W1994" s="330"/>
      <c r="X1994" s="343"/>
      <c r="Y1994" s="249"/>
      <c r="Z1994" s="330"/>
      <c r="AA1994" s="343"/>
      <c r="AB1994" s="249"/>
      <c r="AC1994" s="330"/>
      <c r="AD1994" s="343"/>
      <c r="AE1994" s="249"/>
      <c r="AF1994" s="330"/>
      <c r="AG1994" s="343"/>
      <c r="AH1994" s="249"/>
      <c r="AI1994" s="330"/>
      <c r="AJ1994" s="343"/>
      <c r="AK1994" s="249"/>
      <c r="AL1994" s="330"/>
      <c r="AM1994" s="343"/>
      <c r="AN1994" s="249"/>
      <c r="AO1994" s="330"/>
      <c r="AP1994" s="343"/>
      <c r="AQ1994" s="249"/>
      <c r="AR1994" s="330"/>
      <c r="AS1994" s="343"/>
      <c r="AT1994" s="249"/>
      <c r="AU1994" s="330"/>
    </row>
    <row r="1995" spans="2:47">
      <c r="B1995" s="247">
        <f>'Table S2 Compound Identifiers'!C1997</f>
        <v>0</v>
      </c>
      <c r="C1995" s="247">
        <f>COUNTIF($D$6:D1995,"&lt;&gt;"&amp;"")</f>
        <v>1990</v>
      </c>
      <c r="D1995" s="432">
        <f>'Table S2 Compound Identifiers'!B1997</f>
        <v>0</v>
      </c>
      <c r="E1995" s="247"/>
      <c r="F1995" s="248"/>
      <c r="G1995" s="249"/>
      <c r="H1995" s="330"/>
      <c r="I1995" s="328"/>
      <c r="J1995" s="249"/>
      <c r="K1995" s="330"/>
      <c r="L1995" s="250"/>
      <c r="M1995" s="249"/>
      <c r="N1995" s="330"/>
      <c r="O1995" s="250"/>
      <c r="P1995" s="249"/>
      <c r="Q1995" s="330"/>
      <c r="R1995" s="250"/>
      <c r="S1995" s="249"/>
      <c r="T1995" s="330"/>
      <c r="U1995" s="250"/>
      <c r="V1995" s="249"/>
      <c r="W1995" s="330"/>
      <c r="X1995" s="343"/>
      <c r="Y1995" s="249"/>
      <c r="Z1995" s="330"/>
      <c r="AA1995" s="343"/>
      <c r="AB1995" s="249"/>
      <c r="AC1995" s="330"/>
      <c r="AD1995" s="343"/>
      <c r="AE1995" s="249"/>
      <c r="AF1995" s="330"/>
      <c r="AG1995" s="343"/>
      <c r="AH1995" s="249"/>
      <c r="AI1995" s="330"/>
      <c r="AJ1995" s="343"/>
      <c r="AK1995" s="249"/>
      <c r="AL1995" s="330"/>
      <c r="AM1995" s="343"/>
      <c r="AN1995" s="249"/>
      <c r="AO1995" s="330"/>
      <c r="AP1995" s="343"/>
      <c r="AQ1995" s="249"/>
      <c r="AR1995" s="330"/>
      <c r="AS1995" s="343"/>
      <c r="AT1995" s="249"/>
      <c r="AU1995" s="330"/>
    </row>
    <row r="1996" spans="2:47">
      <c r="B1996" s="247">
        <f>'Table S2 Compound Identifiers'!C1998</f>
        <v>0</v>
      </c>
      <c r="C1996" s="247">
        <f>COUNTIF($D$6:D1996,"&lt;&gt;"&amp;"")</f>
        <v>1991</v>
      </c>
      <c r="D1996" s="247">
        <f>'Table S2 Compound Identifiers'!B1998</f>
        <v>0</v>
      </c>
      <c r="E1996" s="247"/>
      <c r="F1996" s="248"/>
      <c r="G1996" s="249"/>
      <c r="H1996" s="330"/>
      <c r="I1996" s="328"/>
      <c r="J1996" s="249"/>
      <c r="K1996" s="330"/>
      <c r="L1996" s="250"/>
      <c r="M1996" s="249"/>
      <c r="N1996" s="330"/>
      <c r="O1996" s="250"/>
      <c r="P1996" s="249"/>
      <c r="Q1996" s="330"/>
      <c r="R1996" s="250"/>
      <c r="S1996" s="249"/>
      <c r="T1996" s="330"/>
      <c r="U1996" s="250"/>
      <c r="V1996" s="249"/>
      <c r="W1996" s="330"/>
      <c r="X1996" s="343"/>
      <c r="Y1996" s="249"/>
      <c r="Z1996" s="330"/>
      <c r="AA1996" s="343"/>
      <c r="AB1996" s="249"/>
      <c r="AC1996" s="330"/>
      <c r="AD1996" s="343"/>
      <c r="AE1996" s="249"/>
      <c r="AF1996" s="330"/>
      <c r="AG1996" s="343"/>
      <c r="AH1996" s="249"/>
      <c r="AI1996" s="330"/>
      <c r="AJ1996" s="343"/>
      <c r="AK1996" s="249"/>
      <c r="AL1996" s="330"/>
      <c r="AM1996" s="343"/>
      <c r="AN1996" s="249"/>
      <c r="AO1996" s="330"/>
      <c r="AP1996" s="343"/>
      <c r="AQ1996" s="249"/>
      <c r="AR1996" s="330"/>
      <c r="AS1996" s="343"/>
      <c r="AT1996" s="249"/>
      <c r="AU1996" s="330"/>
    </row>
    <row r="1997" spans="2:47">
      <c r="B1997" s="247">
        <f>'Table S2 Compound Identifiers'!C1999</f>
        <v>0</v>
      </c>
      <c r="C1997" s="247">
        <f>COUNTIF($D$6:D1997,"&lt;&gt;"&amp;"")</f>
        <v>1992</v>
      </c>
      <c r="D1997" s="247">
        <f>'Table S2 Compound Identifiers'!B1999</f>
        <v>0</v>
      </c>
      <c r="E1997" s="247"/>
      <c r="F1997" s="248"/>
      <c r="G1997" s="249"/>
      <c r="H1997" s="330"/>
      <c r="I1997" s="328"/>
      <c r="J1997" s="249"/>
      <c r="K1997" s="330"/>
      <c r="L1997" s="250"/>
      <c r="M1997" s="249"/>
      <c r="N1997" s="330"/>
      <c r="O1997" s="250"/>
      <c r="P1997" s="249"/>
      <c r="Q1997" s="330"/>
      <c r="R1997" s="250"/>
      <c r="S1997" s="249"/>
      <c r="T1997" s="330"/>
      <c r="U1997" s="250"/>
      <c r="V1997" s="249"/>
      <c r="W1997" s="330"/>
      <c r="X1997" s="343"/>
      <c r="Y1997" s="249"/>
      <c r="Z1997" s="330"/>
      <c r="AA1997" s="343"/>
      <c r="AB1997" s="249"/>
      <c r="AC1997" s="330"/>
      <c r="AD1997" s="343"/>
      <c r="AE1997" s="249"/>
      <c r="AF1997" s="330"/>
      <c r="AG1997" s="343"/>
      <c r="AH1997" s="249"/>
      <c r="AI1997" s="330"/>
      <c r="AJ1997" s="343"/>
      <c r="AK1997" s="249"/>
      <c r="AL1997" s="330"/>
      <c r="AM1997" s="343"/>
      <c r="AN1997" s="249"/>
      <c r="AO1997" s="330"/>
      <c r="AP1997" s="343"/>
      <c r="AQ1997" s="249"/>
      <c r="AR1997" s="330"/>
      <c r="AS1997" s="343"/>
      <c r="AT1997" s="249"/>
      <c r="AU1997" s="330"/>
    </row>
    <row r="1998" spans="2:47">
      <c r="B1998" s="247">
        <f>'Table S2 Compound Identifiers'!C2000</f>
        <v>0</v>
      </c>
      <c r="C1998" s="247">
        <f>COUNTIF($D$6:D1998,"&lt;&gt;"&amp;"")</f>
        <v>1993</v>
      </c>
      <c r="D1998" s="247">
        <f>'Table S2 Compound Identifiers'!B2000</f>
        <v>0</v>
      </c>
      <c r="E1998" s="247"/>
      <c r="F1998" s="248"/>
      <c r="G1998" s="249"/>
      <c r="H1998" s="330"/>
      <c r="I1998" s="328"/>
      <c r="J1998" s="249"/>
      <c r="K1998" s="330"/>
      <c r="L1998" s="250"/>
      <c r="M1998" s="249"/>
      <c r="N1998" s="330"/>
      <c r="O1998" s="250"/>
      <c r="P1998" s="249"/>
      <c r="Q1998" s="330"/>
      <c r="R1998" s="250"/>
      <c r="S1998" s="249"/>
      <c r="T1998" s="330"/>
      <c r="U1998" s="250"/>
      <c r="V1998" s="249"/>
      <c r="W1998" s="330"/>
      <c r="X1998" s="343"/>
      <c r="Y1998" s="249"/>
      <c r="Z1998" s="330"/>
      <c r="AA1998" s="343"/>
      <c r="AB1998" s="249"/>
      <c r="AC1998" s="330"/>
      <c r="AD1998" s="343"/>
      <c r="AE1998" s="249"/>
      <c r="AF1998" s="330"/>
      <c r="AG1998" s="343"/>
      <c r="AH1998" s="249"/>
      <c r="AI1998" s="330"/>
      <c r="AJ1998" s="343"/>
      <c r="AK1998" s="249"/>
      <c r="AL1998" s="330"/>
      <c r="AM1998" s="343"/>
      <c r="AN1998" s="249"/>
      <c r="AO1998" s="330"/>
      <c r="AP1998" s="343"/>
      <c r="AQ1998" s="249"/>
      <c r="AR1998" s="330"/>
      <c r="AS1998" s="343"/>
      <c r="AT1998" s="249"/>
      <c r="AU1998" s="330"/>
    </row>
    <row r="1999" spans="2:47">
      <c r="B1999" s="247">
        <f>'Table S2 Compound Identifiers'!C2001</f>
        <v>0</v>
      </c>
      <c r="C1999" s="247">
        <f>COUNTIF($D$6:D1999,"&lt;&gt;"&amp;"")</f>
        <v>1994</v>
      </c>
      <c r="D1999" s="247">
        <f>'Table S2 Compound Identifiers'!B2001</f>
        <v>0</v>
      </c>
      <c r="E1999" s="247"/>
      <c r="F1999" s="248"/>
      <c r="G1999" s="249"/>
      <c r="H1999" s="330"/>
      <c r="I1999" s="328"/>
      <c r="J1999" s="249"/>
      <c r="K1999" s="330"/>
      <c r="L1999" s="250"/>
      <c r="M1999" s="249"/>
      <c r="N1999" s="330"/>
      <c r="O1999" s="250"/>
      <c r="P1999" s="249"/>
      <c r="Q1999" s="330"/>
      <c r="R1999" s="250"/>
      <c r="S1999" s="249"/>
      <c r="T1999" s="330"/>
      <c r="U1999" s="250"/>
      <c r="V1999" s="249"/>
      <c r="W1999" s="330"/>
      <c r="X1999" s="343"/>
      <c r="Y1999" s="249"/>
      <c r="Z1999" s="330"/>
      <c r="AA1999" s="343"/>
      <c r="AB1999" s="249"/>
      <c r="AC1999" s="330"/>
      <c r="AD1999" s="343"/>
      <c r="AE1999" s="249"/>
      <c r="AF1999" s="330"/>
      <c r="AG1999" s="343"/>
      <c r="AH1999" s="249"/>
      <c r="AI1999" s="330"/>
      <c r="AJ1999" s="343"/>
      <c r="AK1999" s="249"/>
      <c r="AL1999" s="330"/>
      <c r="AM1999" s="343"/>
      <c r="AN1999" s="249"/>
      <c r="AO1999" s="330"/>
      <c r="AP1999" s="343"/>
      <c r="AQ1999" s="249"/>
      <c r="AR1999" s="330"/>
      <c r="AS1999" s="343"/>
      <c r="AT1999" s="249"/>
      <c r="AU1999" s="330"/>
    </row>
    <row r="2000" spans="2:47">
      <c r="B2000" s="247">
        <f>'Table S2 Compound Identifiers'!C2002</f>
        <v>0</v>
      </c>
      <c r="C2000" s="247">
        <f>COUNTIF($D$6:D2000,"&lt;&gt;"&amp;"")</f>
        <v>1995</v>
      </c>
      <c r="D2000" s="247">
        <f>'Table S2 Compound Identifiers'!B2002</f>
        <v>0</v>
      </c>
      <c r="E2000" s="247"/>
      <c r="F2000" s="248"/>
      <c r="G2000" s="249"/>
      <c r="H2000" s="330"/>
      <c r="I2000" s="328"/>
      <c r="J2000" s="249"/>
      <c r="K2000" s="330"/>
      <c r="L2000" s="250"/>
      <c r="M2000" s="249"/>
      <c r="N2000" s="330"/>
      <c r="O2000" s="250"/>
      <c r="P2000" s="249"/>
      <c r="Q2000" s="330"/>
      <c r="R2000" s="250"/>
      <c r="S2000" s="249"/>
      <c r="T2000" s="330"/>
      <c r="U2000" s="250"/>
      <c r="V2000" s="249"/>
      <c r="W2000" s="330"/>
      <c r="X2000" s="343"/>
      <c r="Y2000" s="249"/>
      <c r="Z2000" s="330"/>
      <c r="AA2000" s="343"/>
      <c r="AB2000" s="249"/>
      <c r="AC2000" s="330"/>
      <c r="AD2000" s="343"/>
      <c r="AE2000" s="249"/>
      <c r="AF2000" s="330"/>
      <c r="AG2000" s="343"/>
      <c r="AH2000" s="249"/>
      <c r="AI2000" s="330"/>
      <c r="AJ2000" s="343"/>
      <c r="AK2000" s="249"/>
      <c r="AL2000" s="330"/>
      <c r="AM2000" s="343"/>
      <c r="AN2000" s="249"/>
      <c r="AO2000" s="330"/>
      <c r="AP2000" s="343"/>
      <c r="AQ2000" s="249"/>
      <c r="AR2000" s="330"/>
      <c r="AS2000" s="343"/>
      <c r="AT2000" s="249"/>
      <c r="AU2000" s="330"/>
    </row>
    <row r="2001" spans="2:47">
      <c r="B2001" s="247">
        <f>'Table S2 Compound Identifiers'!C2003</f>
        <v>0</v>
      </c>
      <c r="C2001" s="247">
        <f>COUNTIF($D$6:D2001,"&lt;&gt;"&amp;"")</f>
        <v>1996</v>
      </c>
      <c r="D2001" s="247">
        <f>'Table S2 Compound Identifiers'!B2003</f>
        <v>0</v>
      </c>
      <c r="E2001" s="247"/>
      <c r="F2001" s="248"/>
      <c r="G2001" s="249"/>
      <c r="H2001" s="330"/>
      <c r="I2001" s="328"/>
      <c r="J2001" s="249"/>
      <c r="K2001" s="330"/>
      <c r="L2001" s="250"/>
      <c r="M2001" s="249"/>
      <c r="N2001" s="330"/>
      <c r="O2001" s="250"/>
      <c r="P2001" s="249"/>
      <c r="Q2001" s="330"/>
      <c r="R2001" s="250"/>
      <c r="S2001" s="249"/>
      <c r="T2001" s="330"/>
      <c r="U2001" s="250"/>
      <c r="V2001" s="249"/>
      <c r="W2001" s="330"/>
      <c r="X2001" s="343"/>
      <c r="Y2001" s="249"/>
      <c r="Z2001" s="330"/>
      <c r="AA2001" s="343"/>
      <c r="AB2001" s="249"/>
      <c r="AC2001" s="330"/>
      <c r="AD2001" s="343"/>
      <c r="AE2001" s="249"/>
      <c r="AF2001" s="330"/>
      <c r="AG2001" s="343"/>
      <c r="AH2001" s="249"/>
      <c r="AI2001" s="330"/>
      <c r="AJ2001" s="343"/>
      <c r="AK2001" s="249"/>
      <c r="AL2001" s="330"/>
      <c r="AM2001" s="343"/>
      <c r="AN2001" s="249"/>
      <c r="AO2001" s="330"/>
      <c r="AP2001" s="343"/>
      <c r="AQ2001" s="249"/>
      <c r="AR2001" s="330"/>
      <c r="AS2001" s="343"/>
      <c r="AT2001" s="249"/>
      <c r="AU2001" s="330"/>
    </row>
    <row r="2002" spans="2:47">
      <c r="B2002" s="247">
        <f>'Table S2 Compound Identifiers'!C2004</f>
        <v>0</v>
      </c>
      <c r="C2002" s="247">
        <f>COUNTIF($D$6:D2002,"&lt;&gt;"&amp;"")</f>
        <v>1997</v>
      </c>
      <c r="D2002" s="247">
        <f>'Table S2 Compound Identifiers'!B2004</f>
        <v>0</v>
      </c>
      <c r="E2002" s="247"/>
      <c r="F2002" s="248"/>
      <c r="G2002" s="249"/>
      <c r="H2002" s="330"/>
      <c r="I2002" s="328"/>
      <c r="J2002" s="249"/>
      <c r="K2002" s="330"/>
      <c r="L2002" s="250"/>
      <c r="M2002" s="249"/>
      <c r="N2002" s="330"/>
      <c r="O2002" s="251"/>
      <c r="P2002" s="252"/>
      <c r="Q2002" s="330"/>
      <c r="R2002" s="251"/>
      <c r="S2002" s="252"/>
      <c r="T2002" s="330"/>
      <c r="U2002" s="251"/>
      <c r="V2002" s="252"/>
      <c r="W2002" s="330"/>
      <c r="X2002" s="343"/>
      <c r="Y2002" s="249"/>
      <c r="Z2002" s="330"/>
      <c r="AA2002" s="343"/>
      <c r="AB2002" s="249"/>
      <c r="AC2002" s="330"/>
      <c r="AD2002" s="343"/>
      <c r="AE2002" s="249"/>
      <c r="AF2002" s="330"/>
      <c r="AG2002" s="343"/>
      <c r="AH2002" s="249"/>
      <c r="AI2002" s="330"/>
      <c r="AJ2002" s="343"/>
      <c r="AK2002" s="249"/>
      <c r="AL2002" s="330"/>
      <c r="AM2002" s="343"/>
      <c r="AN2002" s="249"/>
      <c r="AO2002" s="330"/>
      <c r="AP2002" s="343"/>
      <c r="AQ2002" s="249"/>
      <c r="AR2002" s="330"/>
      <c r="AS2002" s="343"/>
      <c r="AT2002" s="249"/>
      <c r="AU2002" s="330"/>
    </row>
    <row r="2003" spans="2:47">
      <c r="B2003" s="247">
        <f>'Table S2 Compound Identifiers'!C2005</f>
        <v>0</v>
      </c>
      <c r="C2003" s="253">
        <f>COUNTIF($D$6:D2003,"&lt;&gt;"&amp;"")</f>
        <v>1998</v>
      </c>
      <c r="D2003" s="253">
        <f>'Table S2 Compound Identifiers'!B2005</f>
        <v>0</v>
      </c>
      <c r="E2003" s="253"/>
      <c r="F2003" s="254"/>
      <c r="G2003" s="252"/>
      <c r="H2003" s="330"/>
      <c r="I2003" s="333"/>
      <c r="J2003" s="252"/>
      <c r="K2003" s="330"/>
      <c r="L2003" s="251"/>
      <c r="M2003" s="252"/>
      <c r="N2003" s="330"/>
      <c r="O2003" s="251"/>
      <c r="P2003" s="252"/>
      <c r="Q2003" s="330"/>
      <c r="R2003" s="251"/>
      <c r="S2003" s="252"/>
      <c r="T2003" s="330"/>
      <c r="U2003" s="251"/>
      <c r="V2003" s="252"/>
      <c r="W2003" s="330"/>
      <c r="X2003" s="343"/>
      <c r="Y2003" s="249"/>
      <c r="Z2003" s="330"/>
      <c r="AA2003" s="343"/>
      <c r="AB2003" s="249"/>
      <c r="AC2003" s="330"/>
      <c r="AD2003" s="343"/>
      <c r="AE2003" s="249"/>
      <c r="AF2003" s="330"/>
      <c r="AG2003" s="343"/>
      <c r="AH2003" s="249"/>
      <c r="AI2003" s="330"/>
      <c r="AJ2003" s="343"/>
      <c r="AK2003" s="249"/>
      <c r="AL2003" s="330"/>
      <c r="AM2003" s="343"/>
      <c r="AN2003" s="249"/>
      <c r="AO2003" s="330"/>
      <c r="AP2003" s="343"/>
      <c r="AQ2003" s="249"/>
      <c r="AR2003" s="330"/>
      <c r="AS2003" s="343"/>
      <c r="AT2003" s="249"/>
      <c r="AU2003" s="330"/>
    </row>
    <row r="2004" spans="2:47">
      <c r="B2004" s="247">
        <f>'Table S2 Compound Identifiers'!C2006</f>
        <v>0</v>
      </c>
      <c r="C2004" s="247">
        <f>COUNTIF($D$6:D2004,"&lt;&gt;"&amp;"")</f>
        <v>1999</v>
      </c>
      <c r="D2004" s="247">
        <f>'Table S2 Compound Identifiers'!B2006</f>
        <v>0</v>
      </c>
      <c r="E2004" s="247"/>
      <c r="F2004" s="248"/>
      <c r="G2004" s="250"/>
      <c r="H2004" s="330"/>
      <c r="I2004" s="343"/>
      <c r="J2004" s="249"/>
      <c r="K2004" s="327"/>
      <c r="L2004" s="343"/>
      <c r="M2004" s="249"/>
      <c r="N2004" s="327"/>
      <c r="O2004" s="343"/>
      <c r="P2004" s="249"/>
      <c r="Q2004" s="327"/>
      <c r="R2004" s="343"/>
      <c r="S2004" s="249"/>
      <c r="T2004" s="327"/>
      <c r="U2004" s="343"/>
      <c r="V2004" s="249"/>
      <c r="W2004" s="327"/>
      <c r="X2004" s="343"/>
      <c r="Y2004" s="249"/>
      <c r="Z2004" s="327"/>
      <c r="AA2004" s="343"/>
      <c r="AB2004" s="249"/>
      <c r="AC2004" s="343"/>
      <c r="AD2004" s="343"/>
      <c r="AE2004" s="249"/>
      <c r="AF2004" s="249"/>
      <c r="AG2004" s="343"/>
      <c r="AH2004" s="249"/>
      <c r="AI2004" s="343"/>
      <c r="AJ2004" s="343"/>
      <c r="AK2004" s="249"/>
      <c r="AL2004" s="249"/>
      <c r="AM2004" s="343"/>
      <c r="AN2004" s="249"/>
      <c r="AO2004" s="343"/>
      <c r="AP2004" s="343"/>
      <c r="AQ2004" s="249"/>
      <c r="AR2004" s="249"/>
      <c r="AS2004" s="343"/>
      <c r="AT2004" s="249"/>
      <c r="AU2004" s="343"/>
    </row>
    <row r="2005" spans="2:47">
      <c r="B2005" s="247">
        <f>'Table S2 Compound Identifiers'!C2007</f>
        <v>0</v>
      </c>
      <c r="C2005" s="247">
        <f>COUNTIF($D$6:D2005,"&lt;&gt;"&amp;"")</f>
        <v>2000</v>
      </c>
      <c r="D2005" s="247">
        <f>'Table S2 Compound Identifiers'!B2007</f>
        <v>0</v>
      </c>
      <c r="E2005" s="247"/>
      <c r="F2005" s="248"/>
      <c r="G2005" s="249"/>
      <c r="H2005" s="330"/>
      <c r="I2005" s="332"/>
      <c r="J2005" s="330"/>
      <c r="K2005" s="330"/>
      <c r="L2005" s="330"/>
      <c r="M2005" s="330"/>
      <c r="N2005" s="330"/>
      <c r="O2005" s="330"/>
      <c r="P2005" s="330"/>
      <c r="Q2005" s="330"/>
      <c r="R2005" s="330"/>
      <c r="S2005" s="330"/>
      <c r="T2005" s="330"/>
      <c r="U2005" s="330"/>
      <c r="V2005" s="330"/>
      <c r="W2005" s="330"/>
      <c r="X2005" s="343"/>
      <c r="Y2005" s="249"/>
      <c r="Z2005" s="330"/>
      <c r="AA2005" s="343"/>
      <c r="AB2005" s="249"/>
      <c r="AC2005" s="330"/>
      <c r="AD2005" s="343"/>
      <c r="AE2005" s="249"/>
      <c r="AF2005" s="330"/>
      <c r="AG2005" s="343"/>
      <c r="AH2005" s="249"/>
      <c r="AI2005" s="330"/>
      <c r="AJ2005" s="343"/>
      <c r="AK2005" s="249"/>
      <c r="AL2005" s="330"/>
      <c r="AM2005" s="343"/>
      <c r="AN2005" s="249"/>
      <c r="AO2005" s="330"/>
      <c r="AP2005" s="343"/>
      <c r="AQ2005" s="249"/>
      <c r="AR2005" s="330"/>
      <c r="AS2005" s="343"/>
      <c r="AT2005" s="249"/>
      <c r="AU2005" s="330"/>
    </row>
    <row r="2006" spans="2:47">
      <c r="B2006" s="247">
        <f>'Table S2 Compound Identifiers'!C2008</f>
        <v>0</v>
      </c>
      <c r="C2006" s="247">
        <f>COUNTIF($D$6:D2006,"&lt;&gt;"&amp;"")</f>
        <v>2001</v>
      </c>
      <c r="D2006" s="247">
        <f>'Table S2 Compound Identifiers'!B2008</f>
        <v>0</v>
      </c>
      <c r="E2006" s="247"/>
      <c r="F2006" s="248"/>
      <c r="G2006" s="249"/>
      <c r="H2006" s="330"/>
      <c r="I2006" s="332"/>
      <c r="J2006" s="330"/>
      <c r="K2006" s="330"/>
      <c r="L2006" s="330"/>
      <c r="M2006" s="330"/>
      <c r="N2006" s="330"/>
      <c r="O2006" s="330"/>
      <c r="P2006" s="330"/>
      <c r="Q2006" s="330"/>
      <c r="R2006" s="330"/>
      <c r="S2006" s="330"/>
      <c r="T2006" s="330"/>
      <c r="U2006" s="330"/>
      <c r="V2006" s="330"/>
      <c r="W2006" s="330"/>
      <c r="X2006" s="343"/>
      <c r="Y2006" s="249"/>
      <c r="Z2006" s="330"/>
      <c r="AA2006" s="343"/>
      <c r="AB2006" s="249"/>
      <c r="AC2006" s="330"/>
      <c r="AD2006" s="343"/>
      <c r="AE2006" s="249"/>
      <c r="AF2006" s="330"/>
      <c r="AG2006" s="343"/>
      <c r="AH2006" s="249"/>
      <c r="AI2006" s="330"/>
      <c r="AJ2006" s="343"/>
      <c r="AK2006" s="249"/>
      <c r="AL2006" s="330"/>
      <c r="AM2006" s="343"/>
      <c r="AN2006" s="249"/>
      <c r="AO2006" s="330"/>
      <c r="AP2006" s="343"/>
      <c r="AQ2006" s="249"/>
      <c r="AR2006" s="330"/>
      <c r="AS2006" s="343"/>
      <c r="AT2006" s="249"/>
      <c r="AU2006" s="330"/>
    </row>
    <row r="2007" spans="2:47">
      <c r="B2007" s="247">
        <f>'Table S2 Compound Identifiers'!C2009</f>
        <v>0</v>
      </c>
      <c r="C2007" s="247">
        <f>COUNTIF($D$6:D2007,"&lt;&gt;"&amp;"")</f>
        <v>2002</v>
      </c>
      <c r="D2007" s="247">
        <f>'Table S2 Compound Identifiers'!B2009</f>
        <v>0</v>
      </c>
      <c r="E2007" s="247"/>
      <c r="F2007" s="248"/>
      <c r="G2007" s="249"/>
      <c r="H2007" s="330"/>
      <c r="I2007" s="332"/>
      <c r="J2007" s="330"/>
      <c r="K2007" s="330"/>
      <c r="L2007" s="330"/>
      <c r="M2007" s="330"/>
      <c r="N2007" s="330"/>
      <c r="O2007" s="330"/>
      <c r="P2007" s="330"/>
      <c r="Q2007" s="330"/>
      <c r="R2007" s="330"/>
      <c r="S2007" s="330"/>
      <c r="T2007" s="330"/>
      <c r="U2007" s="330"/>
      <c r="V2007" s="330"/>
      <c r="W2007" s="330"/>
      <c r="X2007" s="343"/>
      <c r="Y2007" s="249"/>
      <c r="Z2007" s="330"/>
      <c r="AA2007" s="343"/>
      <c r="AB2007" s="249"/>
      <c r="AC2007" s="330"/>
      <c r="AD2007" s="343"/>
      <c r="AE2007" s="249"/>
      <c r="AF2007" s="330"/>
      <c r="AG2007" s="343"/>
      <c r="AH2007" s="249"/>
      <c r="AI2007" s="330"/>
      <c r="AJ2007" s="343"/>
      <c r="AK2007" s="249"/>
      <c r="AL2007" s="330"/>
      <c r="AM2007" s="343"/>
      <c r="AN2007" s="249"/>
      <c r="AO2007" s="330"/>
      <c r="AP2007" s="343"/>
      <c r="AQ2007" s="249"/>
      <c r="AR2007" s="330"/>
      <c r="AS2007" s="343"/>
      <c r="AT2007" s="249"/>
      <c r="AU2007" s="330"/>
    </row>
    <row r="2008" spans="2:47">
      <c r="B2008" s="247">
        <f>'Table S2 Compound Identifiers'!C2010</f>
        <v>0</v>
      </c>
      <c r="C2008" s="247">
        <f>COUNTIF($D$6:D2008,"&lt;&gt;"&amp;"")</f>
        <v>2003</v>
      </c>
      <c r="D2008" s="247">
        <f>'Table S2 Compound Identifiers'!B2010</f>
        <v>0</v>
      </c>
      <c r="E2008" s="247"/>
      <c r="F2008" s="248"/>
      <c r="G2008" s="249"/>
      <c r="H2008" s="330"/>
      <c r="I2008" s="328"/>
      <c r="J2008" s="249"/>
      <c r="K2008" s="330"/>
      <c r="L2008" s="250"/>
      <c r="M2008" s="249"/>
      <c r="N2008" s="330"/>
      <c r="O2008" s="250"/>
      <c r="P2008" s="249"/>
      <c r="Q2008" s="330"/>
      <c r="R2008" s="250"/>
      <c r="S2008" s="249"/>
      <c r="T2008" s="330"/>
      <c r="U2008" s="250"/>
      <c r="V2008" s="249"/>
      <c r="W2008" s="330"/>
      <c r="X2008" s="343"/>
      <c r="Y2008" s="249"/>
      <c r="Z2008" s="330"/>
      <c r="AA2008" s="343"/>
      <c r="AB2008" s="249"/>
      <c r="AC2008" s="330"/>
      <c r="AD2008" s="343"/>
      <c r="AE2008" s="249"/>
      <c r="AF2008" s="330"/>
      <c r="AG2008" s="343"/>
      <c r="AH2008" s="249"/>
      <c r="AI2008" s="330"/>
      <c r="AJ2008" s="343"/>
      <c r="AK2008" s="249"/>
      <c r="AL2008" s="330"/>
      <c r="AM2008" s="343"/>
      <c r="AN2008" s="249"/>
      <c r="AO2008" s="330"/>
      <c r="AP2008" s="343"/>
      <c r="AQ2008" s="249"/>
      <c r="AR2008" s="330"/>
      <c r="AS2008" s="343"/>
      <c r="AT2008" s="249"/>
      <c r="AU2008" s="330"/>
    </row>
    <row r="2009" spans="2:47">
      <c r="B2009" s="247">
        <f>'Table S2 Compound Identifiers'!C2011</f>
        <v>0</v>
      </c>
      <c r="C2009" s="247">
        <f>COUNTIF($D$6:D2009,"&lt;&gt;"&amp;"")</f>
        <v>2004</v>
      </c>
      <c r="D2009" s="247">
        <f>'Table S2 Compound Identifiers'!B2011</f>
        <v>0</v>
      </c>
      <c r="E2009" s="247"/>
      <c r="F2009" s="248"/>
      <c r="G2009" s="249"/>
      <c r="H2009" s="330"/>
      <c r="I2009" s="328"/>
      <c r="J2009" s="249"/>
      <c r="K2009" s="330"/>
      <c r="L2009" s="250"/>
      <c r="M2009" s="249"/>
      <c r="N2009" s="330"/>
      <c r="O2009" s="250"/>
      <c r="P2009" s="249"/>
      <c r="Q2009" s="330"/>
      <c r="R2009" s="250"/>
      <c r="S2009" s="249"/>
      <c r="T2009" s="330"/>
      <c r="U2009" s="250"/>
      <c r="V2009" s="249"/>
      <c r="W2009" s="330"/>
      <c r="X2009" s="343"/>
      <c r="Y2009" s="249"/>
      <c r="Z2009" s="330"/>
      <c r="AA2009" s="343"/>
      <c r="AB2009" s="249"/>
      <c r="AC2009" s="330"/>
      <c r="AD2009" s="343"/>
      <c r="AE2009" s="249"/>
      <c r="AF2009" s="330"/>
      <c r="AG2009" s="343"/>
      <c r="AH2009" s="249"/>
      <c r="AI2009" s="330"/>
      <c r="AJ2009" s="343"/>
      <c r="AK2009" s="249"/>
      <c r="AL2009" s="330"/>
      <c r="AM2009" s="343"/>
      <c r="AN2009" s="249"/>
      <c r="AO2009" s="330"/>
      <c r="AP2009" s="343"/>
      <c r="AQ2009" s="249"/>
      <c r="AR2009" s="330"/>
      <c r="AS2009" s="343"/>
      <c r="AT2009" s="249"/>
      <c r="AU2009" s="330"/>
    </row>
    <row r="2010" spans="2:47">
      <c r="B2010" s="247">
        <f>'Table S2 Compound Identifiers'!C2012</f>
        <v>0</v>
      </c>
      <c r="C2010" s="247">
        <f>COUNTIF($D$6:D2010,"&lt;&gt;"&amp;"")</f>
        <v>2005</v>
      </c>
      <c r="D2010" s="247">
        <f>'Table S2 Compound Identifiers'!B2012</f>
        <v>0</v>
      </c>
      <c r="E2010" s="247"/>
      <c r="F2010" s="248"/>
      <c r="G2010" s="249"/>
      <c r="H2010" s="330"/>
      <c r="I2010" s="328"/>
      <c r="J2010" s="249"/>
      <c r="K2010" s="330"/>
      <c r="L2010" s="250"/>
      <c r="M2010" s="249"/>
      <c r="N2010" s="330"/>
      <c r="O2010" s="250"/>
      <c r="P2010" s="249"/>
      <c r="Q2010" s="330"/>
      <c r="R2010" s="250"/>
      <c r="S2010" s="249"/>
      <c r="T2010" s="330"/>
      <c r="U2010" s="250"/>
      <c r="V2010" s="249"/>
      <c r="W2010" s="330"/>
      <c r="X2010" s="343"/>
      <c r="Y2010" s="249"/>
      <c r="Z2010" s="330"/>
      <c r="AA2010" s="343"/>
      <c r="AB2010" s="249"/>
      <c r="AC2010" s="330"/>
      <c r="AD2010" s="343"/>
      <c r="AE2010" s="249"/>
      <c r="AF2010" s="330"/>
      <c r="AG2010" s="343"/>
      <c r="AH2010" s="249"/>
      <c r="AI2010" s="330"/>
      <c r="AJ2010" s="343"/>
      <c r="AK2010" s="249"/>
      <c r="AL2010" s="330"/>
      <c r="AM2010" s="343"/>
      <c r="AN2010" s="249"/>
      <c r="AO2010" s="330"/>
      <c r="AP2010" s="343"/>
      <c r="AQ2010" s="249"/>
      <c r="AR2010" s="330"/>
      <c r="AS2010" s="343"/>
      <c r="AT2010" s="249"/>
      <c r="AU2010" s="330"/>
    </row>
    <row r="2011" spans="2:47">
      <c r="B2011" s="247">
        <f>'Table S2 Compound Identifiers'!C2013</f>
        <v>0</v>
      </c>
      <c r="C2011" s="247">
        <f>COUNTIF($D$6:D2011,"&lt;&gt;"&amp;"")</f>
        <v>2006</v>
      </c>
      <c r="D2011" s="247">
        <f>'Table S2 Compound Identifiers'!B2013</f>
        <v>0</v>
      </c>
      <c r="E2011" s="247"/>
      <c r="F2011" s="248"/>
      <c r="G2011" s="249"/>
      <c r="H2011" s="330"/>
      <c r="I2011" s="328"/>
      <c r="J2011" s="249"/>
      <c r="K2011" s="330"/>
      <c r="L2011" s="250"/>
      <c r="M2011" s="249"/>
      <c r="N2011" s="330"/>
      <c r="O2011" s="250"/>
      <c r="P2011" s="249"/>
      <c r="Q2011" s="330"/>
      <c r="R2011" s="250"/>
      <c r="S2011" s="249"/>
      <c r="T2011" s="330"/>
      <c r="U2011" s="250"/>
      <c r="V2011" s="249"/>
      <c r="W2011" s="330"/>
      <c r="X2011" s="343"/>
      <c r="Y2011" s="249"/>
      <c r="Z2011" s="330"/>
      <c r="AA2011" s="343"/>
      <c r="AB2011" s="249"/>
      <c r="AC2011" s="330"/>
      <c r="AD2011" s="343"/>
      <c r="AE2011" s="249"/>
      <c r="AF2011" s="330"/>
      <c r="AG2011" s="343"/>
      <c r="AH2011" s="249"/>
      <c r="AI2011" s="330"/>
      <c r="AJ2011" s="343"/>
      <c r="AK2011" s="249"/>
      <c r="AL2011" s="330"/>
      <c r="AM2011" s="343"/>
      <c r="AN2011" s="249"/>
      <c r="AO2011" s="330"/>
      <c r="AP2011" s="343"/>
      <c r="AQ2011" s="249"/>
      <c r="AR2011" s="330"/>
      <c r="AS2011" s="343"/>
      <c r="AT2011" s="249"/>
      <c r="AU2011" s="330"/>
    </row>
    <row r="2012" spans="2:47">
      <c r="B2012" s="247">
        <f>'Table S2 Compound Identifiers'!C2014</f>
        <v>0</v>
      </c>
      <c r="C2012" s="247">
        <f>COUNTIF($D$6:D2012,"&lt;&gt;"&amp;"")</f>
        <v>2007</v>
      </c>
      <c r="D2012" s="247">
        <f>'Table S2 Compound Identifiers'!B2014</f>
        <v>0</v>
      </c>
      <c r="E2012" s="247"/>
      <c r="F2012" s="248"/>
      <c r="G2012" s="249"/>
      <c r="H2012" s="330"/>
      <c r="I2012" s="328"/>
      <c r="J2012" s="249"/>
      <c r="K2012" s="330"/>
      <c r="L2012" s="250"/>
      <c r="M2012" s="249"/>
      <c r="N2012" s="330"/>
      <c r="O2012" s="250"/>
      <c r="P2012" s="249"/>
      <c r="Q2012" s="330"/>
      <c r="R2012" s="250"/>
      <c r="S2012" s="249"/>
      <c r="T2012" s="330"/>
      <c r="U2012" s="250"/>
      <c r="V2012" s="249"/>
      <c r="W2012" s="330"/>
      <c r="X2012" s="343"/>
      <c r="Y2012" s="249"/>
      <c r="Z2012" s="330"/>
      <c r="AA2012" s="343"/>
      <c r="AB2012" s="249"/>
      <c r="AC2012" s="330"/>
      <c r="AD2012" s="343"/>
      <c r="AE2012" s="249"/>
      <c r="AF2012" s="330"/>
      <c r="AG2012" s="343"/>
      <c r="AH2012" s="249"/>
      <c r="AI2012" s="330"/>
      <c r="AJ2012" s="343"/>
      <c r="AK2012" s="249"/>
      <c r="AL2012" s="330"/>
      <c r="AM2012" s="343"/>
      <c r="AN2012" s="249"/>
      <c r="AO2012" s="330"/>
      <c r="AP2012" s="343"/>
      <c r="AQ2012" s="249"/>
      <c r="AR2012" s="330"/>
      <c r="AS2012" s="343"/>
      <c r="AT2012" s="249"/>
      <c r="AU2012" s="330"/>
    </row>
    <row r="2013" spans="2:47">
      <c r="B2013" s="247">
        <f>'Table S2 Compound Identifiers'!C2015</f>
        <v>0</v>
      </c>
      <c r="C2013" s="247">
        <f>COUNTIF($D$6:D2013,"&lt;&gt;"&amp;"")</f>
        <v>2008</v>
      </c>
      <c r="D2013" s="247">
        <f>'Table S2 Compound Identifiers'!B2015</f>
        <v>0</v>
      </c>
      <c r="E2013" s="247"/>
      <c r="F2013" s="248"/>
      <c r="G2013" s="249"/>
      <c r="H2013" s="330"/>
      <c r="I2013" s="328"/>
      <c r="J2013" s="249"/>
      <c r="K2013" s="330"/>
      <c r="L2013" s="250"/>
      <c r="M2013" s="249"/>
      <c r="N2013" s="330"/>
      <c r="O2013" s="250"/>
      <c r="P2013" s="249"/>
      <c r="Q2013" s="330"/>
      <c r="R2013" s="250"/>
      <c r="S2013" s="249"/>
      <c r="T2013" s="330"/>
      <c r="U2013" s="250"/>
      <c r="V2013" s="249"/>
      <c r="W2013" s="330"/>
      <c r="X2013" s="343"/>
      <c r="Y2013" s="249"/>
      <c r="Z2013" s="330"/>
      <c r="AA2013" s="343"/>
      <c r="AB2013" s="249"/>
      <c r="AC2013" s="330"/>
      <c r="AD2013" s="343"/>
      <c r="AE2013" s="249"/>
      <c r="AF2013" s="330"/>
      <c r="AG2013" s="343"/>
      <c r="AH2013" s="249"/>
      <c r="AI2013" s="330"/>
      <c r="AJ2013" s="343"/>
      <c r="AK2013" s="249"/>
      <c r="AL2013" s="330"/>
      <c r="AM2013" s="343"/>
      <c r="AN2013" s="249"/>
      <c r="AO2013" s="330"/>
      <c r="AP2013" s="343"/>
      <c r="AQ2013" s="249"/>
      <c r="AR2013" s="330"/>
      <c r="AS2013" s="343"/>
      <c r="AT2013" s="249"/>
      <c r="AU2013" s="330"/>
    </row>
    <row r="2014" spans="2:47">
      <c r="B2014" s="247">
        <f>'Table S2 Compound Identifiers'!C2016</f>
        <v>0</v>
      </c>
      <c r="C2014" s="247">
        <f>COUNTIF($D$6:D2014,"&lt;&gt;"&amp;"")</f>
        <v>2009</v>
      </c>
      <c r="D2014" s="247">
        <f>'Table S2 Compound Identifiers'!B2016</f>
        <v>0</v>
      </c>
      <c r="E2014" s="247"/>
      <c r="F2014" s="248"/>
      <c r="G2014" s="249"/>
      <c r="H2014" s="330"/>
      <c r="I2014" s="328"/>
      <c r="J2014" s="249"/>
      <c r="K2014" s="330"/>
      <c r="L2014" s="250"/>
      <c r="M2014" s="249"/>
      <c r="N2014" s="330"/>
      <c r="O2014" s="250"/>
      <c r="P2014" s="249"/>
      <c r="Q2014" s="330"/>
      <c r="R2014" s="250"/>
      <c r="S2014" s="249"/>
      <c r="T2014" s="330"/>
      <c r="U2014" s="250"/>
      <c r="V2014" s="249"/>
      <c r="W2014" s="330"/>
      <c r="X2014" s="343"/>
      <c r="Y2014" s="249"/>
      <c r="Z2014" s="330"/>
      <c r="AA2014" s="343"/>
      <c r="AB2014" s="249"/>
      <c r="AC2014" s="330"/>
      <c r="AD2014" s="343"/>
      <c r="AE2014" s="249"/>
      <c r="AF2014" s="330"/>
      <c r="AG2014" s="343"/>
      <c r="AH2014" s="249"/>
      <c r="AI2014" s="330"/>
      <c r="AJ2014" s="343"/>
      <c r="AK2014" s="249"/>
      <c r="AL2014" s="330"/>
      <c r="AM2014" s="343"/>
      <c r="AN2014" s="249"/>
      <c r="AO2014" s="330"/>
      <c r="AP2014" s="343"/>
      <c r="AQ2014" s="249"/>
      <c r="AR2014" s="330"/>
      <c r="AS2014" s="343"/>
      <c r="AT2014" s="249"/>
      <c r="AU2014" s="330"/>
    </row>
    <row r="2015" spans="2:47">
      <c r="B2015" s="247">
        <f>'Table S2 Compound Identifiers'!C2017</f>
        <v>0</v>
      </c>
      <c r="C2015" s="247">
        <f>COUNTIF($D$6:D2015,"&lt;&gt;"&amp;"")</f>
        <v>2010</v>
      </c>
      <c r="D2015" s="247">
        <f>'Table S2 Compound Identifiers'!B2017</f>
        <v>0</v>
      </c>
      <c r="E2015" s="247"/>
      <c r="F2015" s="248"/>
      <c r="G2015" s="249"/>
      <c r="H2015" s="330"/>
      <c r="I2015" s="328"/>
      <c r="J2015" s="249"/>
      <c r="K2015" s="330"/>
      <c r="L2015" s="250"/>
      <c r="M2015" s="249"/>
      <c r="N2015" s="330"/>
      <c r="O2015" s="250"/>
      <c r="P2015" s="249"/>
      <c r="Q2015" s="330"/>
      <c r="R2015" s="250"/>
      <c r="S2015" s="249"/>
      <c r="T2015" s="330"/>
      <c r="U2015" s="250"/>
      <c r="V2015" s="249"/>
      <c r="W2015" s="330"/>
      <c r="X2015" s="343"/>
      <c r="Y2015" s="249"/>
      <c r="Z2015" s="330"/>
      <c r="AA2015" s="343"/>
      <c r="AB2015" s="249"/>
      <c r="AC2015" s="330"/>
      <c r="AD2015" s="343"/>
      <c r="AE2015" s="249"/>
      <c r="AF2015" s="330"/>
      <c r="AG2015" s="343"/>
      <c r="AH2015" s="249"/>
      <c r="AI2015" s="330"/>
      <c r="AJ2015" s="343"/>
      <c r="AK2015" s="249"/>
      <c r="AL2015" s="330"/>
      <c r="AM2015" s="343"/>
      <c r="AN2015" s="249"/>
      <c r="AO2015" s="330"/>
      <c r="AP2015" s="343"/>
      <c r="AQ2015" s="249"/>
      <c r="AR2015" s="330"/>
      <c r="AS2015" s="343"/>
      <c r="AT2015" s="249"/>
      <c r="AU2015" s="330"/>
    </row>
    <row r="2016" spans="2:47">
      <c r="B2016" s="247">
        <f>'Table S2 Compound Identifiers'!C2018</f>
        <v>0</v>
      </c>
      <c r="C2016" s="247">
        <f>COUNTIF($D$6:D2016,"&lt;&gt;"&amp;"")</f>
        <v>2011</v>
      </c>
      <c r="D2016" s="247">
        <f>'Table S2 Compound Identifiers'!B2018</f>
        <v>0</v>
      </c>
      <c r="E2016" s="247"/>
      <c r="F2016" s="248"/>
      <c r="G2016" s="249"/>
      <c r="H2016" s="330"/>
      <c r="I2016" s="328"/>
      <c r="J2016" s="249"/>
      <c r="K2016" s="330"/>
      <c r="L2016" s="250"/>
      <c r="M2016" s="249"/>
      <c r="N2016" s="330"/>
      <c r="O2016" s="250"/>
      <c r="P2016" s="249"/>
      <c r="Q2016" s="330"/>
      <c r="R2016" s="250"/>
      <c r="S2016" s="249"/>
      <c r="T2016" s="330"/>
      <c r="U2016" s="250"/>
      <c r="V2016" s="249"/>
      <c r="W2016" s="330"/>
      <c r="X2016" s="343"/>
      <c r="Y2016" s="249"/>
      <c r="Z2016" s="330"/>
      <c r="AA2016" s="343"/>
      <c r="AB2016" s="249"/>
      <c r="AC2016" s="330"/>
      <c r="AD2016" s="343"/>
      <c r="AE2016" s="249"/>
      <c r="AF2016" s="330"/>
      <c r="AG2016" s="343"/>
      <c r="AH2016" s="249"/>
      <c r="AI2016" s="330"/>
      <c r="AJ2016" s="343"/>
      <c r="AK2016" s="249"/>
      <c r="AL2016" s="330"/>
      <c r="AM2016" s="343"/>
      <c r="AN2016" s="249"/>
      <c r="AO2016" s="330"/>
      <c r="AP2016" s="343"/>
      <c r="AQ2016" s="249"/>
      <c r="AR2016" s="330"/>
      <c r="AS2016" s="343"/>
      <c r="AT2016" s="249"/>
      <c r="AU2016" s="330"/>
    </row>
    <row r="2017" spans="2:47">
      <c r="B2017" s="247">
        <f>'Table S2 Compound Identifiers'!C2019</f>
        <v>0</v>
      </c>
      <c r="C2017" s="247">
        <f>COUNTIF($D$6:D2017,"&lt;&gt;"&amp;"")</f>
        <v>2012</v>
      </c>
      <c r="D2017" s="247">
        <f>'Table S2 Compound Identifiers'!B2019</f>
        <v>0</v>
      </c>
      <c r="E2017" s="247"/>
      <c r="F2017" s="248"/>
      <c r="G2017" s="249"/>
      <c r="H2017" s="330"/>
      <c r="I2017" s="328"/>
      <c r="J2017" s="249"/>
      <c r="K2017" s="330"/>
      <c r="L2017" s="250"/>
      <c r="M2017" s="249"/>
      <c r="N2017" s="330"/>
      <c r="O2017" s="250"/>
      <c r="P2017" s="249"/>
      <c r="Q2017" s="330"/>
      <c r="R2017" s="250"/>
      <c r="S2017" s="249"/>
      <c r="T2017" s="330"/>
      <c r="U2017" s="250"/>
      <c r="V2017" s="249"/>
      <c r="W2017" s="330"/>
      <c r="X2017" s="343"/>
      <c r="Y2017" s="249"/>
      <c r="Z2017" s="330"/>
      <c r="AA2017" s="343"/>
      <c r="AB2017" s="249"/>
      <c r="AC2017" s="330"/>
      <c r="AD2017" s="343"/>
      <c r="AE2017" s="249"/>
      <c r="AF2017" s="330"/>
      <c r="AG2017" s="343"/>
      <c r="AH2017" s="249"/>
      <c r="AI2017" s="330"/>
      <c r="AJ2017" s="343"/>
      <c r="AK2017" s="249"/>
      <c r="AL2017" s="330"/>
      <c r="AM2017" s="343"/>
      <c r="AN2017" s="249"/>
      <c r="AO2017" s="330"/>
      <c r="AP2017" s="343"/>
      <c r="AQ2017" s="249"/>
      <c r="AR2017" s="330"/>
      <c r="AS2017" s="343"/>
      <c r="AT2017" s="249"/>
      <c r="AU2017" s="330"/>
    </row>
    <row r="2018" spans="2:47">
      <c r="B2018" s="247">
        <f>'Table S2 Compound Identifiers'!C2020</f>
        <v>0</v>
      </c>
      <c r="C2018" s="247">
        <f>COUNTIF($D$6:D2018,"&lt;&gt;"&amp;"")</f>
        <v>2013</v>
      </c>
      <c r="D2018" s="247">
        <f>'Table S2 Compound Identifiers'!B2020</f>
        <v>0</v>
      </c>
      <c r="E2018" s="247"/>
      <c r="F2018" s="248"/>
      <c r="G2018" s="249"/>
      <c r="H2018" s="330"/>
      <c r="I2018" s="328"/>
      <c r="J2018" s="249"/>
      <c r="K2018" s="330"/>
      <c r="L2018" s="250"/>
      <c r="M2018" s="249"/>
      <c r="N2018" s="330"/>
      <c r="O2018" s="250"/>
      <c r="P2018" s="249"/>
      <c r="Q2018" s="330"/>
      <c r="R2018" s="250"/>
      <c r="S2018" s="249"/>
      <c r="T2018" s="330"/>
      <c r="U2018" s="250"/>
      <c r="V2018" s="249"/>
      <c r="W2018" s="330"/>
      <c r="X2018" s="343"/>
      <c r="Y2018" s="249"/>
      <c r="Z2018" s="330"/>
      <c r="AA2018" s="343"/>
      <c r="AB2018" s="249"/>
      <c r="AC2018" s="330"/>
      <c r="AD2018" s="343"/>
      <c r="AE2018" s="249"/>
      <c r="AF2018" s="330"/>
      <c r="AG2018" s="343"/>
      <c r="AH2018" s="249"/>
      <c r="AI2018" s="330"/>
      <c r="AJ2018" s="343"/>
      <c r="AK2018" s="249"/>
      <c r="AL2018" s="330"/>
      <c r="AM2018" s="343"/>
      <c r="AN2018" s="249"/>
      <c r="AO2018" s="330"/>
      <c r="AP2018" s="343"/>
      <c r="AQ2018" s="249"/>
      <c r="AR2018" s="330"/>
      <c r="AS2018" s="343"/>
      <c r="AT2018" s="249"/>
      <c r="AU2018" s="330"/>
    </row>
    <row r="2019" spans="2:47">
      <c r="B2019" s="247">
        <f>'Table S2 Compound Identifiers'!C2021</f>
        <v>0</v>
      </c>
      <c r="C2019" s="247">
        <f>COUNTIF($D$6:D2019,"&lt;&gt;"&amp;"")</f>
        <v>2014</v>
      </c>
      <c r="D2019" s="247">
        <f>'Table S2 Compound Identifiers'!B2021</f>
        <v>0</v>
      </c>
      <c r="E2019" s="247"/>
      <c r="F2019" s="248"/>
      <c r="G2019" s="249"/>
      <c r="H2019" s="330"/>
      <c r="I2019" s="328"/>
      <c r="J2019" s="249"/>
      <c r="K2019" s="330"/>
      <c r="L2019" s="250"/>
      <c r="M2019" s="249"/>
      <c r="N2019" s="330"/>
      <c r="O2019" s="250"/>
      <c r="P2019" s="249"/>
      <c r="Q2019" s="330"/>
      <c r="R2019" s="250"/>
      <c r="S2019" s="249"/>
      <c r="T2019" s="330"/>
      <c r="U2019" s="250"/>
      <c r="V2019" s="249"/>
      <c r="W2019" s="330"/>
      <c r="X2019" s="343"/>
      <c r="Y2019" s="249"/>
      <c r="Z2019" s="330"/>
      <c r="AA2019" s="343"/>
      <c r="AB2019" s="249"/>
      <c r="AC2019" s="330"/>
      <c r="AD2019" s="343"/>
      <c r="AE2019" s="249"/>
      <c r="AF2019" s="330"/>
      <c r="AG2019" s="343"/>
      <c r="AH2019" s="249"/>
      <c r="AI2019" s="330"/>
      <c r="AJ2019" s="343"/>
      <c r="AK2019" s="249"/>
      <c r="AL2019" s="330"/>
      <c r="AM2019" s="343"/>
      <c r="AN2019" s="249"/>
      <c r="AO2019" s="330"/>
      <c r="AP2019" s="343"/>
      <c r="AQ2019" s="249"/>
      <c r="AR2019" s="330"/>
      <c r="AS2019" s="343"/>
      <c r="AT2019" s="249"/>
      <c r="AU2019" s="330"/>
    </row>
    <row r="2020" spans="2:47">
      <c r="B2020" s="247">
        <f>'Table S2 Compound Identifiers'!C2022</f>
        <v>0</v>
      </c>
      <c r="C2020" s="247">
        <f>COUNTIF($D$6:D2020,"&lt;&gt;"&amp;"")</f>
        <v>2015</v>
      </c>
      <c r="D2020" s="247">
        <f>'Table S2 Compound Identifiers'!B2022</f>
        <v>0</v>
      </c>
      <c r="E2020" s="247"/>
      <c r="F2020" s="248"/>
      <c r="G2020" s="249"/>
      <c r="H2020" s="330"/>
      <c r="I2020" s="328"/>
      <c r="J2020" s="249"/>
      <c r="K2020" s="330"/>
      <c r="L2020" s="250"/>
      <c r="M2020" s="249"/>
      <c r="N2020" s="330"/>
      <c r="O2020" s="250"/>
      <c r="P2020" s="249"/>
      <c r="Q2020" s="330"/>
      <c r="R2020" s="250"/>
      <c r="S2020" s="249"/>
      <c r="T2020" s="330"/>
      <c r="U2020" s="250"/>
      <c r="V2020" s="249"/>
      <c r="W2020" s="330"/>
      <c r="X2020" s="343"/>
      <c r="Y2020" s="249"/>
      <c r="Z2020" s="330"/>
      <c r="AA2020" s="343"/>
      <c r="AB2020" s="249"/>
      <c r="AC2020" s="330"/>
      <c r="AD2020" s="343"/>
      <c r="AE2020" s="249"/>
      <c r="AF2020" s="330"/>
      <c r="AG2020" s="343"/>
      <c r="AH2020" s="249"/>
      <c r="AI2020" s="330"/>
      <c r="AJ2020" s="343"/>
      <c r="AK2020" s="249"/>
      <c r="AL2020" s="330"/>
      <c r="AM2020" s="343"/>
      <c r="AN2020" s="249"/>
      <c r="AO2020" s="330"/>
      <c r="AP2020" s="343"/>
      <c r="AQ2020" s="249"/>
      <c r="AR2020" s="330"/>
      <c r="AS2020" s="343"/>
      <c r="AT2020" s="249"/>
      <c r="AU2020" s="330"/>
    </row>
    <row r="2021" spans="2:47">
      <c r="B2021" s="247">
        <f>'Table S2 Compound Identifiers'!C2023</f>
        <v>0</v>
      </c>
      <c r="C2021" s="247">
        <f>COUNTIF($D$6:D2021,"&lt;&gt;"&amp;"")</f>
        <v>2016</v>
      </c>
      <c r="D2021" s="247">
        <f>'Table S2 Compound Identifiers'!B2023</f>
        <v>0</v>
      </c>
      <c r="E2021" s="247"/>
      <c r="F2021" s="248"/>
      <c r="G2021" s="249"/>
      <c r="H2021" s="330"/>
      <c r="I2021" s="328"/>
      <c r="J2021" s="249"/>
      <c r="K2021" s="330"/>
      <c r="L2021" s="250"/>
      <c r="M2021" s="249"/>
      <c r="N2021" s="330"/>
      <c r="O2021" s="250"/>
      <c r="P2021" s="249"/>
      <c r="Q2021" s="330"/>
      <c r="R2021" s="250"/>
      <c r="S2021" s="249"/>
      <c r="T2021" s="330"/>
      <c r="U2021" s="250"/>
      <c r="V2021" s="249"/>
      <c r="W2021" s="330"/>
      <c r="X2021" s="343"/>
      <c r="Y2021" s="249"/>
      <c r="Z2021" s="330"/>
      <c r="AA2021" s="343"/>
      <c r="AB2021" s="249"/>
      <c r="AC2021" s="330"/>
      <c r="AD2021" s="343"/>
      <c r="AE2021" s="249"/>
      <c r="AF2021" s="330"/>
      <c r="AG2021" s="343"/>
      <c r="AH2021" s="249"/>
      <c r="AI2021" s="330"/>
      <c r="AJ2021" s="343"/>
      <c r="AK2021" s="249"/>
      <c r="AL2021" s="330"/>
      <c r="AM2021" s="343"/>
      <c r="AN2021" s="249"/>
      <c r="AO2021" s="330"/>
      <c r="AP2021" s="343"/>
      <c r="AQ2021" s="249"/>
      <c r="AR2021" s="330"/>
      <c r="AS2021" s="343"/>
      <c r="AT2021" s="249"/>
      <c r="AU2021" s="330"/>
    </row>
    <row r="2022" spans="2:47">
      <c r="B2022" s="247">
        <f>'Table S2 Compound Identifiers'!C2024</f>
        <v>0</v>
      </c>
      <c r="C2022" s="247">
        <f>COUNTIF($D$6:D2022,"&lt;&gt;"&amp;"")</f>
        <v>2017</v>
      </c>
      <c r="D2022" s="247">
        <f>'Table S2 Compound Identifiers'!B2024</f>
        <v>0</v>
      </c>
      <c r="E2022" s="247"/>
      <c r="F2022" s="248"/>
      <c r="G2022" s="249"/>
      <c r="H2022" s="330"/>
      <c r="I2022" s="328"/>
      <c r="J2022" s="249"/>
      <c r="K2022" s="330"/>
      <c r="L2022" s="250"/>
      <c r="M2022" s="249"/>
      <c r="N2022" s="330"/>
      <c r="O2022" s="250"/>
      <c r="P2022" s="249"/>
      <c r="Q2022" s="330"/>
      <c r="R2022" s="250"/>
      <c r="S2022" s="249"/>
      <c r="T2022" s="330"/>
      <c r="U2022" s="250"/>
      <c r="V2022" s="249"/>
      <c r="W2022" s="330"/>
      <c r="X2022" s="343"/>
      <c r="Y2022" s="249"/>
      <c r="Z2022" s="330"/>
      <c r="AA2022" s="343"/>
      <c r="AB2022" s="249"/>
      <c r="AC2022" s="330"/>
      <c r="AD2022" s="343"/>
      <c r="AE2022" s="249"/>
      <c r="AF2022" s="330"/>
      <c r="AG2022" s="343"/>
      <c r="AH2022" s="249"/>
      <c r="AI2022" s="330"/>
      <c r="AJ2022" s="343"/>
      <c r="AK2022" s="249"/>
      <c r="AL2022" s="330"/>
      <c r="AM2022" s="343"/>
      <c r="AN2022" s="249"/>
      <c r="AO2022" s="330"/>
      <c r="AP2022" s="343"/>
      <c r="AQ2022" s="249"/>
      <c r="AR2022" s="330"/>
      <c r="AS2022" s="343"/>
      <c r="AT2022" s="249"/>
      <c r="AU2022" s="330"/>
    </row>
    <row r="2023" spans="2:47">
      <c r="B2023" s="247">
        <f>'Table S2 Compound Identifiers'!C2025</f>
        <v>0</v>
      </c>
      <c r="C2023" s="247">
        <f>COUNTIF($D$6:D2023,"&lt;&gt;"&amp;"")</f>
        <v>2018</v>
      </c>
      <c r="D2023" s="247">
        <f>'Table S2 Compound Identifiers'!B2025</f>
        <v>0</v>
      </c>
      <c r="E2023" s="247"/>
      <c r="F2023" s="248"/>
      <c r="G2023" s="249"/>
      <c r="H2023" s="330"/>
      <c r="I2023" s="328"/>
      <c r="J2023" s="249"/>
      <c r="K2023" s="330"/>
      <c r="L2023" s="250"/>
      <c r="M2023" s="249"/>
      <c r="N2023" s="330"/>
      <c r="O2023" s="250"/>
      <c r="P2023" s="249"/>
      <c r="Q2023" s="330"/>
      <c r="R2023" s="250"/>
      <c r="S2023" s="249"/>
      <c r="T2023" s="330"/>
      <c r="U2023" s="250"/>
      <c r="V2023" s="249"/>
      <c r="W2023" s="330"/>
      <c r="X2023" s="343"/>
      <c r="Y2023" s="249"/>
      <c r="Z2023" s="330"/>
      <c r="AA2023" s="343"/>
      <c r="AB2023" s="249"/>
      <c r="AC2023" s="330"/>
      <c r="AD2023" s="343"/>
      <c r="AE2023" s="249"/>
      <c r="AF2023" s="330"/>
      <c r="AG2023" s="343"/>
      <c r="AH2023" s="249"/>
      <c r="AI2023" s="330"/>
      <c r="AJ2023" s="343"/>
      <c r="AK2023" s="249"/>
      <c r="AL2023" s="330"/>
      <c r="AM2023" s="343"/>
      <c r="AN2023" s="249"/>
      <c r="AO2023" s="330"/>
      <c r="AP2023" s="343"/>
      <c r="AQ2023" s="249"/>
      <c r="AR2023" s="330"/>
      <c r="AS2023" s="343"/>
      <c r="AT2023" s="249"/>
      <c r="AU2023" s="330"/>
    </row>
    <row r="2024" spans="2:47">
      <c r="B2024" s="247">
        <f>'Table S2 Compound Identifiers'!C2026</f>
        <v>0</v>
      </c>
      <c r="C2024" s="247">
        <f>COUNTIF($D$6:D2024,"&lt;&gt;"&amp;"")</f>
        <v>2019</v>
      </c>
      <c r="D2024" s="247">
        <f>'Table S2 Compound Identifiers'!B2026</f>
        <v>0</v>
      </c>
      <c r="E2024" s="247"/>
      <c r="F2024" s="248"/>
      <c r="G2024" s="249"/>
      <c r="H2024" s="330"/>
      <c r="I2024" s="328"/>
      <c r="J2024" s="249"/>
      <c r="K2024" s="330"/>
      <c r="L2024" s="250"/>
      <c r="M2024" s="249"/>
      <c r="N2024" s="330"/>
      <c r="O2024" s="250"/>
      <c r="P2024" s="249"/>
      <c r="Q2024" s="330"/>
      <c r="R2024" s="250"/>
      <c r="S2024" s="249"/>
      <c r="T2024" s="330"/>
      <c r="U2024" s="250"/>
      <c r="V2024" s="249"/>
      <c r="W2024" s="330"/>
      <c r="X2024" s="343"/>
      <c r="Y2024" s="249"/>
      <c r="Z2024" s="330"/>
      <c r="AA2024" s="343"/>
      <c r="AB2024" s="249"/>
      <c r="AC2024" s="330"/>
      <c r="AD2024" s="343"/>
      <c r="AE2024" s="249"/>
      <c r="AF2024" s="330"/>
      <c r="AG2024" s="343"/>
      <c r="AH2024" s="249"/>
      <c r="AI2024" s="330"/>
      <c r="AJ2024" s="343"/>
      <c r="AK2024" s="249"/>
      <c r="AL2024" s="330"/>
      <c r="AM2024" s="343"/>
      <c r="AN2024" s="249"/>
      <c r="AO2024" s="330"/>
      <c r="AP2024" s="343"/>
      <c r="AQ2024" s="249"/>
      <c r="AR2024" s="330"/>
      <c r="AS2024" s="343"/>
      <c r="AT2024" s="249"/>
      <c r="AU2024" s="330"/>
    </row>
    <row r="2025" spans="2:47">
      <c r="B2025" s="247">
        <f>'Table S2 Compound Identifiers'!C2027</f>
        <v>0</v>
      </c>
      <c r="C2025" s="247">
        <f>COUNTIF($D$6:D2025,"&lt;&gt;"&amp;"")</f>
        <v>2020</v>
      </c>
      <c r="D2025" s="247">
        <f>'Table S2 Compound Identifiers'!B2027</f>
        <v>0</v>
      </c>
      <c r="E2025" s="247"/>
      <c r="F2025" s="248"/>
      <c r="G2025" s="249"/>
      <c r="H2025" s="330"/>
      <c r="I2025" s="328"/>
      <c r="J2025" s="249"/>
      <c r="K2025" s="330"/>
      <c r="L2025" s="250"/>
      <c r="M2025" s="249"/>
      <c r="N2025" s="330"/>
      <c r="O2025" s="250"/>
      <c r="P2025" s="249"/>
      <c r="Q2025" s="330"/>
      <c r="R2025" s="250"/>
      <c r="S2025" s="249"/>
      <c r="T2025" s="330"/>
      <c r="U2025" s="250"/>
      <c r="V2025" s="249"/>
      <c r="W2025" s="330"/>
      <c r="X2025" s="343"/>
      <c r="Y2025" s="249"/>
      <c r="Z2025" s="330"/>
      <c r="AA2025" s="343"/>
      <c r="AB2025" s="249"/>
      <c r="AC2025" s="330"/>
      <c r="AD2025" s="343"/>
      <c r="AE2025" s="249"/>
      <c r="AF2025" s="330"/>
      <c r="AG2025" s="343"/>
      <c r="AH2025" s="249"/>
      <c r="AI2025" s="330"/>
      <c r="AJ2025" s="343"/>
      <c r="AK2025" s="249"/>
      <c r="AL2025" s="330"/>
      <c r="AM2025" s="343"/>
      <c r="AN2025" s="249"/>
      <c r="AO2025" s="330"/>
      <c r="AP2025" s="343"/>
      <c r="AQ2025" s="249"/>
      <c r="AR2025" s="330"/>
      <c r="AS2025" s="343"/>
      <c r="AT2025" s="249"/>
      <c r="AU2025" s="330"/>
    </row>
    <row r="2026" spans="2:47">
      <c r="B2026" s="247">
        <f>'Table S2 Compound Identifiers'!C2028</f>
        <v>0</v>
      </c>
      <c r="C2026" s="247">
        <f>COUNTIF($D$6:D2026,"&lt;&gt;"&amp;"")</f>
        <v>2021</v>
      </c>
      <c r="D2026" s="247">
        <f>'Table S2 Compound Identifiers'!B2028</f>
        <v>0</v>
      </c>
      <c r="E2026" s="247"/>
      <c r="F2026" s="248"/>
      <c r="G2026" s="249"/>
      <c r="H2026" s="330"/>
      <c r="I2026" s="328"/>
      <c r="J2026" s="249"/>
      <c r="K2026" s="330"/>
      <c r="L2026" s="250"/>
      <c r="M2026" s="249"/>
      <c r="N2026" s="330"/>
      <c r="O2026" s="250"/>
      <c r="P2026" s="249"/>
      <c r="Q2026" s="330"/>
      <c r="R2026" s="250"/>
      <c r="S2026" s="249"/>
      <c r="T2026" s="330"/>
      <c r="U2026" s="250"/>
      <c r="V2026" s="249"/>
      <c r="W2026" s="330"/>
      <c r="X2026" s="343"/>
      <c r="Y2026" s="249"/>
      <c r="Z2026" s="330"/>
      <c r="AA2026" s="343"/>
      <c r="AB2026" s="249"/>
      <c r="AC2026" s="330"/>
      <c r="AD2026" s="343"/>
      <c r="AE2026" s="249"/>
      <c r="AF2026" s="330"/>
      <c r="AG2026" s="343"/>
      <c r="AH2026" s="249"/>
      <c r="AI2026" s="330"/>
      <c r="AJ2026" s="343"/>
      <c r="AK2026" s="249"/>
      <c r="AL2026" s="330"/>
      <c r="AM2026" s="343"/>
      <c r="AN2026" s="249"/>
      <c r="AO2026" s="330"/>
      <c r="AP2026" s="343"/>
      <c r="AQ2026" s="249"/>
      <c r="AR2026" s="330"/>
      <c r="AS2026" s="343"/>
      <c r="AT2026" s="249"/>
      <c r="AU2026" s="330"/>
    </row>
    <row r="2027" spans="2:47">
      <c r="B2027" s="247">
        <f>'Table S2 Compound Identifiers'!C2029</f>
        <v>0</v>
      </c>
      <c r="C2027" s="247">
        <f>COUNTIF($D$6:D2027,"&lt;&gt;"&amp;"")</f>
        <v>2022</v>
      </c>
      <c r="D2027" s="247">
        <f>'Table S2 Compound Identifiers'!B2029</f>
        <v>0</v>
      </c>
      <c r="E2027" s="247"/>
      <c r="F2027" s="248"/>
      <c r="G2027" s="249"/>
      <c r="H2027" s="330"/>
      <c r="I2027" s="328"/>
      <c r="J2027" s="249"/>
      <c r="K2027" s="330"/>
      <c r="L2027" s="250"/>
      <c r="M2027" s="249"/>
      <c r="N2027" s="330"/>
      <c r="O2027" s="250"/>
      <c r="P2027" s="249"/>
      <c r="Q2027" s="330"/>
      <c r="R2027" s="250"/>
      <c r="S2027" s="249"/>
      <c r="T2027" s="330"/>
      <c r="U2027" s="250"/>
      <c r="V2027" s="249"/>
      <c r="W2027" s="330"/>
      <c r="X2027" s="343"/>
      <c r="Y2027" s="249"/>
      <c r="Z2027" s="330"/>
      <c r="AA2027" s="343"/>
      <c r="AB2027" s="249"/>
      <c r="AC2027" s="330"/>
      <c r="AD2027" s="343"/>
      <c r="AE2027" s="249"/>
      <c r="AF2027" s="330"/>
      <c r="AG2027" s="343"/>
      <c r="AH2027" s="249"/>
      <c r="AI2027" s="330"/>
      <c r="AJ2027" s="343"/>
      <c r="AK2027" s="249"/>
      <c r="AL2027" s="330"/>
      <c r="AM2027" s="343"/>
      <c r="AN2027" s="249"/>
      <c r="AO2027" s="330"/>
      <c r="AP2027" s="343"/>
      <c r="AQ2027" s="249"/>
      <c r="AR2027" s="330"/>
      <c r="AS2027" s="343"/>
      <c r="AT2027" s="249"/>
      <c r="AU2027" s="330"/>
    </row>
    <row r="2028" spans="2:47">
      <c r="B2028" s="247">
        <f>'Table S2 Compound Identifiers'!C2030</f>
        <v>0</v>
      </c>
      <c r="C2028" s="247">
        <f>COUNTIF($D$6:D2028,"&lt;&gt;"&amp;"")</f>
        <v>2023</v>
      </c>
      <c r="D2028" s="247">
        <f>'Table S2 Compound Identifiers'!B2030</f>
        <v>0</v>
      </c>
      <c r="E2028" s="247"/>
      <c r="F2028" s="248"/>
      <c r="G2028" s="249"/>
      <c r="H2028" s="330"/>
      <c r="I2028" s="328"/>
      <c r="J2028" s="249"/>
      <c r="K2028" s="330"/>
      <c r="L2028" s="250"/>
      <c r="M2028" s="249"/>
      <c r="N2028" s="330"/>
      <c r="O2028" s="250"/>
      <c r="P2028" s="249"/>
      <c r="Q2028" s="330"/>
      <c r="R2028" s="250"/>
      <c r="S2028" s="249"/>
      <c r="T2028" s="330"/>
      <c r="U2028" s="250"/>
      <c r="V2028" s="249"/>
      <c r="W2028" s="330"/>
      <c r="X2028" s="343"/>
      <c r="Y2028" s="249"/>
      <c r="Z2028" s="330"/>
      <c r="AA2028" s="343"/>
      <c r="AB2028" s="249"/>
      <c r="AC2028" s="330"/>
      <c r="AD2028" s="343"/>
      <c r="AE2028" s="249"/>
      <c r="AF2028" s="330"/>
      <c r="AG2028" s="343"/>
      <c r="AH2028" s="249"/>
      <c r="AI2028" s="330"/>
      <c r="AJ2028" s="343"/>
      <c r="AK2028" s="249"/>
      <c r="AL2028" s="330"/>
      <c r="AM2028" s="343"/>
      <c r="AN2028" s="249"/>
      <c r="AO2028" s="330"/>
      <c r="AP2028" s="343"/>
      <c r="AQ2028" s="249"/>
      <c r="AR2028" s="330"/>
      <c r="AS2028" s="343"/>
      <c r="AT2028" s="249"/>
      <c r="AU2028" s="330"/>
    </row>
    <row r="2029" spans="2:47">
      <c r="B2029" s="247">
        <f>'Table S2 Compound Identifiers'!C2031</f>
        <v>0</v>
      </c>
      <c r="C2029" s="247">
        <f>COUNTIF($D$6:D2029,"&lt;&gt;"&amp;"")</f>
        <v>2024</v>
      </c>
      <c r="D2029" s="247">
        <f>'Table S2 Compound Identifiers'!B2031</f>
        <v>0</v>
      </c>
      <c r="E2029" s="247"/>
      <c r="F2029" s="248"/>
      <c r="G2029" s="249"/>
      <c r="H2029" s="330"/>
      <c r="I2029" s="328"/>
      <c r="J2029" s="249"/>
      <c r="K2029" s="330"/>
      <c r="L2029" s="250"/>
      <c r="M2029" s="249"/>
      <c r="N2029" s="330"/>
      <c r="O2029" s="250"/>
      <c r="P2029" s="249"/>
      <c r="Q2029" s="330"/>
      <c r="R2029" s="250"/>
      <c r="S2029" s="249"/>
      <c r="T2029" s="330"/>
      <c r="U2029" s="250"/>
      <c r="V2029" s="249"/>
      <c r="W2029" s="330"/>
      <c r="X2029" s="343"/>
      <c r="Y2029" s="249"/>
      <c r="Z2029" s="330"/>
      <c r="AA2029" s="343"/>
      <c r="AB2029" s="249"/>
      <c r="AC2029" s="330"/>
      <c r="AD2029" s="343"/>
      <c r="AE2029" s="249"/>
      <c r="AF2029" s="330"/>
      <c r="AG2029" s="343"/>
      <c r="AH2029" s="249"/>
      <c r="AI2029" s="330"/>
      <c r="AJ2029" s="343"/>
      <c r="AK2029" s="249"/>
      <c r="AL2029" s="330"/>
      <c r="AM2029" s="343"/>
      <c r="AN2029" s="249"/>
      <c r="AO2029" s="330"/>
      <c r="AP2029" s="343"/>
      <c r="AQ2029" s="249"/>
      <c r="AR2029" s="330"/>
      <c r="AS2029" s="343"/>
      <c r="AT2029" s="249"/>
      <c r="AU2029" s="330"/>
    </row>
    <row r="2030" spans="2:47">
      <c r="B2030" s="247">
        <f>'Table S2 Compound Identifiers'!C2032</f>
        <v>0</v>
      </c>
      <c r="C2030" s="247">
        <f>COUNTIF($D$6:D2030,"&lt;&gt;"&amp;"")</f>
        <v>2025</v>
      </c>
      <c r="D2030" s="247">
        <f>'Table S2 Compound Identifiers'!B2032</f>
        <v>0</v>
      </c>
      <c r="E2030" s="247"/>
      <c r="F2030" s="248"/>
      <c r="G2030" s="249"/>
      <c r="H2030" s="330"/>
      <c r="I2030" s="328"/>
      <c r="J2030" s="249"/>
      <c r="K2030" s="330"/>
      <c r="L2030" s="250"/>
      <c r="M2030" s="249"/>
      <c r="N2030" s="330"/>
      <c r="O2030" s="250"/>
      <c r="P2030" s="249"/>
      <c r="Q2030" s="330"/>
      <c r="R2030" s="250"/>
      <c r="S2030" s="249"/>
      <c r="T2030" s="330"/>
      <c r="U2030" s="250"/>
      <c r="V2030" s="249"/>
      <c r="W2030" s="330"/>
      <c r="X2030" s="343"/>
      <c r="Y2030" s="249"/>
      <c r="Z2030" s="330"/>
      <c r="AA2030" s="343"/>
      <c r="AB2030" s="249"/>
      <c r="AC2030" s="330"/>
      <c r="AD2030" s="343"/>
      <c r="AE2030" s="249"/>
      <c r="AF2030" s="330"/>
      <c r="AG2030" s="343"/>
      <c r="AH2030" s="249"/>
      <c r="AI2030" s="330"/>
      <c r="AJ2030" s="343"/>
      <c r="AK2030" s="249"/>
      <c r="AL2030" s="330"/>
      <c r="AM2030" s="343"/>
      <c r="AN2030" s="249"/>
      <c r="AO2030" s="330"/>
      <c r="AP2030" s="343"/>
      <c r="AQ2030" s="249"/>
      <c r="AR2030" s="330"/>
      <c r="AS2030" s="343"/>
      <c r="AT2030" s="249"/>
      <c r="AU2030" s="330"/>
    </row>
    <row r="2031" spans="2:47">
      <c r="B2031" s="247">
        <f>'Table S2 Compound Identifiers'!C2033</f>
        <v>0</v>
      </c>
      <c r="C2031" s="247">
        <f>COUNTIF($D$6:D2031,"&lt;&gt;"&amp;"")</f>
        <v>2026</v>
      </c>
      <c r="D2031" s="247">
        <f>'Table S2 Compound Identifiers'!B2033</f>
        <v>0</v>
      </c>
      <c r="E2031" s="247"/>
      <c r="F2031" s="248"/>
      <c r="G2031" s="249"/>
      <c r="H2031" s="330"/>
      <c r="I2031" s="328"/>
      <c r="J2031" s="249"/>
      <c r="K2031" s="330"/>
      <c r="L2031" s="250"/>
      <c r="M2031" s="249"/>
      <c r="N2031" s="330"/>
      <c r="O2031" s="250"/>
      <c r="P2031" s="249"/>
      <c r="Q2031" s="330"/>
      <c r="R2031" s="250"/>
      <c r="S2031" s="249"/>
      <c r="T2031" s="330"/>
      <c r="U2031" s="250"/>
      <c r="V2031" s="249"/>
      <c r="W2031" s="330"/>
      <c r="X2031" s="343"/>
      <c r="Y2031" s="249"/>
      <c r="Z2031" s="330"/>
      <c r="AA2031" s="343"/>
      <c r="AB2031" s="249"/>
      <c r="AC2031" s="330"/>
      <c r="AD2031" s="343"/>
      <c r="AE2031" s="249"/>
      <c r="AF2031" s="330"/>
      <c r="AG2031" s="343"/>
      <c r="AH2031" s="249"/>
      <c r="AI2031" s="330"/>
      <c r="AJ2031" s="343"/>
      <c r="AK2031" s="249"/>
      <c r="AL2031" s="330"/>
      <c r="AM2031" s="343"/>
      <c r="AN2031" s="249"/>
      <c r="AO2031" s="330"/>
      <c r="AP2031" s="343"/>
      <c r="AQ2031" s="249"/>
      <c r="AR2031" s="330"/>
      <c r="AS2031" s="343"/>
      <c r="AT2031" s="249"/>
      <c r="AU2031" s="330"/>
    </row>
    <row r="2032" spans="2:47">
      <c r="B2032" s="247">
        <f>'Table S2 Compound Identifiers'!C2034</f>
        <v>0</v>
      </c>
      <c r="C2032" s="247">
        <f>COUNTIF($D$6:D2032,"&lt;&gt;"&amp;"")</f>
        <v>2027</v>
      </c>
      <c r="D2032" s="247">
        <f>'Table S2 Compound Identifiers'!B2034</f>
        <v>0</v>
      </c>
      <c r="E2032" s="247"/>
      <c r="F2032" s="248"/>
      <c r="G2032" s="249"/>
      <c r="H2032" s="330"/>
      <c r="I2032" s="328"/>
      <c r="J2032" s="249"/>
      <c r="K2032" s="330"/>
      <c r="L2032" s="250"/>
      <c r="M2032" s="249"/>
      <c r="N2032" s="330"/>
      <c r="O2032" s="250"/>
      <c r="P2032" s="249"/>
      <c r="Q2032" s="330"/>
      <c r="R2032" s="250"/>
      <c r="S2032" s="249"/>
      <c r="T2032" s="330"/>
      <c r="U2032" s="250"/>
      <c r="V2032" s="249"/>
      <c r="W2032" s="330"/>
      <c r="X2032" s="343"/>
      <c r="Y2032" s="249"/>
      <c r="Z2032" s="330"/>
      <c r="AA2032" s="343"/>
      <c r="AB2032" s="249"/>
      <c r="AC2032" s="330"/>
      <c r="AD2032" s="343"/>
      <c r="AE2032" s="249"/>
      <c r="AF2032" s="330"/>
      <c r="AG2032" s="343"/>
      <c r="AH2032" s="249"/>
      <c r="AI2032" s="330"/>
      <c r="AJ2032" s="343"/>
      <c r="AK2032" s="249"/>
      <c r="AL2032" s="330"/>
      <c r="AM2032" s="343"/>
      <c r="AN2032" s="249"/>
      <c r="AO2032" s="330"/>
      <c r="AP2032" s="343"/>
      <c r="AQ2032" s="249"/>
      <c r="AR2032" s="330"/>
      <c r="AS2032" s="343"/>
      <c r="AT2032" s="249"/>
      <c r="AU2032" s="330"/>
    </row>
    <row r="2033" spans="2:47">
      <c r="B2033" s="247">
        <f>'Table S2 Compound Identifiers'!C2035</f>
        <v>0</v>
      </c>
      <c r="C2033" s="247">
        <f>COUNTIF($D$6:D2033,"&lt;&gt;"&amp;"")</f>
        <v>2028</v>
      </c>
      <c r="D2033" s="247">
        <f>'Table S2 Compound Identifiers'!B2035</f>
        <v>0</v>
      </c>
      <c r="E2033" s="247"/>
      <c r="F2033" s="248"/>
      <c r="G2033" s="249"/>
      <c r="H2033" s="330"/>
      <c r="I2033" s="328"/>
      <c r="J2033" s="249"/>
      <c r="K2033" s="330"/>
      <c r="L2033" s="250"/>
      <c r="M2033" s="249"/>
      <c r="N2033" s="330"/>
      <c r="O2033" s="250"/>
      <c r="P2033" s="249"/>
      <c r="Q2033" s="330"/>
      <c r="R2033" s="250"/>
      <c r="S2033" s="249"/>
      <c r="T2033" s="330"/>
      <c r="U2033" s="250"/>
      <c r="V2033" s="249"/>
      <c r="W2033" s="330"/>
      <c r="X2033" s="343"/>
      <c r="Y2033" s="249"/>
      <c r="Z2033" s="330"/>
      <c r="AA2033" s="343"/>
      <c r="AB2033" s="249"/>
      <c r="AC2033" s="330"/>
      <c r="AD2033" s="343"/>
      <c r="AE2033" s="249"/>
      <c r="AF2033" s="330"/>
      <c r="AG2033" s="343"/>
      <c r="AH2033" s="249"/>
      <c r="AI2033" s="330"/>
      <c r="AJ2033" s="343"/>
      <c r="AK2033" s="249"/>
      <c r="AL2033" s="330"/>
      <c r="AM2033" s="343"/>
      <c r="AN2033" s="249"/>
      <c r="AO2033" s="330"/>
      <c r="AP2033" s="343"/>
      <c r="AQ2033" s="249"/>
      <c r="AR2033" s="330"/>
      <c r="AS2033" s="343"/>
      <c r="AT2033" s="249"/>
      <c r="AU2033" s="330"/>
    </row>
    <row r="2034" spans="2:47">
      <c r="B2034" s="247">
        <f>'Table S2 Compound Identifiers'!C2036</f>
        <v>0</v>
      </c>
      <c r="C2034" s="247">
        <f>COUNTIF($D$6:D2034,"&lt;&gt;"&amp;"")</f>
        <v>2029</v>
      </c>
      <c r="D2034" s="247">
        <f>'Table S2 Compound Identifiers'!B2036</f>
        <v>0</v>
      </c>
      <c r="E2034" s="247"/>
      <c r="F2034" s="248"/>
      <c r="G2034" s="249"/>
      <c r="H2034" s="330"/>
      <c r="I2034" s="328"/>
      <c r="J2034" s="249"/>
      <c r="K2034" s="330"/>
      <c r="L2034" s="250"/>
      <c r="M2034" s="249"/>
      <c r="N2034" s="330"/>
      <c r="O2034" s="250"/>
      <c r="P2034" s="249"/>
      <c r="Q2034" s="330"/>
      <c r="R2034" s="250"/>
      <c r="S2034" s="249"/>
      <c r="T2034" s="330"/>
      <c r="U2034" s="250"/>
      <c r="V2034" s="249"/>
      <c r="W2034" s="330"/>
      <c r="X2034" s="343"/>
      <c r="Y2034" s="249"/>
      <c r="Z2034" s="330"/>
      <c r="AA2034" s="343"/>
      <c r="AB2034" s="249"/>
      <c r="AC2034" s="330"/>
      <c r="AD2034" s="343"/>
      <c r="AE2034" s="249"/>
      <c r="AF2034" s="330"/>
      <c r="AG2034" s="343"/>
      <c r="AH2034" s="249"/>
      <c r="AI2034" s="330"/>
      <c r="AJ2034" s="343"/>
      <c r="AK2034" s="249"/>
      <c r="AL2034" s="330"/>
      <c r="AM2034" s="343"/>
      <c r="AN2034" s="249"/>
      <c r="AO2034" s="330"/>
      <c r="AP2034" s="343"/>
      <c r="AQ2034" s="249"/>
      <c r="AR2034" s="330"/>
      <c r="AS2034" s="343"/>
      <c r="AT2034" s="249"/>
      <c r="AU2034" s="330"/>
    </row>
    <row r="2035" spans="2:47">
      <c r="B2035" s="247">
        <f>'Table S2 Compound Identifiers'!C2037</f>
        <v>0</v>
      </c>
      <c r="C2035" s="247">
        <f>COUNTIF($D$6:D2035,"&lt;&gt;"&amp;"")</f>
        <v>2030</v>
      </c>
      <c r="D2035" s="247">
        <f>'Table S2 Compound Identifiers'!B2037</f>
        <v>0</v>
      </c>
      <c r="E2035" s="247"/>
      <c r="F2035" s="248"/>
      <c r="G2035" s="249"/>
      <c r="H2035" s="330"/>
      <c r="I2035" s="328"/>
      <c r="J2035" s="249"/>
      <c r="K2035" s="330"/>
      <c r="L2035" s="250"/>
      <c r="M2035" s="249"/>
      <c r="N2035" s="330"/>
      <c r="O2035" s="250"/>
      <c r="P2035" s="249"/>
      <c r="Q2035" s="330"/>
      <c r="R2035" s="250"/>
      <c r="S2035" s="249"/>
      <c r="T2035" s="330"/>
      <c r="U2035" s="250"/>
      <c r="V2035" s="249"/>
      <c r="W2035" s="330"/>
      <c r="X2035" s="343"/>
      <c r="Y2035" s="249"/>
      <c r="Z2035" s="330"/>
      <c r="AA2035" s="343"/>
      <c r="AB2035" s="249"/>
      <c r="AC2035" s="330"/>
      <c r="AD2035" s="343"/>
      <c r="AE2035" s="249"/>
      <c r="AF2035" s="330"/>
      <c r="AG2035" s="343"/>
      <c r="AH2035" s="249"/>
      <c r="AI2035" s="330"/>
      <c r="AJ2035" s="343"/>
      <c r="AK2035" s="249"/>
      <c r="AL2035" s="330"/>
      <c r="AM2035" s="343"/>
      <c r="AN2035" s="249"/>
      <c r="AO2035" s="330"/>
      <c r="AP2035" s="343"/>
      <c r="AQ2035" s="249"/>
      <c r="AR2035" s="330"/>
      <c r="AS2035" s="343"/>
      <c r="AT2035" s="249"/>
      <c r="AU2035" s="330"/>
    </row>
    <row r="2036" spans="2:47">
      <c r="B2036" s="247">
        <f>'Table S2 Compound Identifiers'!C2038</f>
        <v>0</v>
      </c>
      <c r="C2036" s="247">
        <f>COUNTIF($D$6:D2036,"&lt;&gt;"&amp;"")</f>
        <v>2031</v>
      </c>
      <c r="D2036" s="247">
        <f>'Table S2 Compound Identifiers'!B2038</f>
        <v>0</v>
      </c>
      <c r="E2036" s="247"/>
      <c r="F2036" s="248"/>
      <c r="G2036" s="249"/>
      <c r="H2036" s="330"/>
      <c r="I2036" s="328"/>
      <c r="J2036" s="249"/>
      <c r="K2036" s="330"/>
      <c r="L2036" s="250"/>
      <c r="M2036" s="249"/>
      <c r="N2036" s="330"/>
      <c r="O2036" s="250"/>
      <c r="P2036" s="249"/>
      <c r="Q2036" s="330"/>
      <c r="R2036" s="250"/>
      <c r="S2036" s="249"/>
      <c r="T2036" s="330"/>
      <c r="U2036" s="250"/>
      <c r="V2036" s="249"/>
      <c r="W2036" s="330"/>
      <c r="X2036" s="343"/>
      <c r="Y2036" s="249"/>
      <c r="Z2036" s="330"/>
      <c r="AA2036" s="343"/>
      <c r="AB2036" s="249"/>
      <c r="AC2036" s="330"/>
      <c r="AD2036" s="343"/>
      <c r="AE2036" s="249"/>
      <c r="AF2036" s="330"/>
      <c r="AG2036" s="343"/>
      <c r="AH2036" s="249"/>
      <c r="AI2036" s="330"/>
      <c r="AJ2036" s="343"/>
      <c r="AK2036" s="249"/>
      <c r="AL2036" s="330"/>
      <c r="AM2036" s="343"/>
      <c r="AN2036" s="249"/>
      <c r="AO2036" s="330"/>
      <c r="AP2036" s="343"/>
      <c r="AQ2036" s="249"/>
      <c r="AR2036" s="330"/>
      <c r="AS2036" s="343"/>
      <c r="AT2036" s="249"/>
      <c r="AU2036" s="330"/>
    </row>
    <row r="2037" spans="2:47">
      <c r="B2037" s="247">
        <f>'Table S2 Compound Identifiers'!C2039</f>
        <v>0</v>
      </c>
      <c r="C2037" s="247">
        <f>COUNTIF($D$6:D2037,"&lt;&gt;"&amp;"")</f>
        <v>2032</v>
      </c>
      <c r="D2037" s="247">
        <f>'Table S2 Compound Identifiers'!B2039</f>
        <v>0</v>
      </c>
      <c r="E2037" s="247"/>
      <c r="F2037" s="248"/>
      <c r="G2037" s="249"/>
      <c r="H2037" s="330"/>
      <c r="I2037" s="328"/>
      <c r="J2037" s="249"/>
      <c r="K2037" s="330"/>
      <c r="L2037" s="250"/>
      <c r="M2037" s="249"/>
      <c r="N2037" s="330"/>
      <c r="O2037" s="250"/>
      <c r="P2037" s="249"/>
      <c r="Q2037" s="330"/>
      <c r="R2037" s="250"/>
      <c r="S2037" s="249"/>
      <c r="T2037" s="330"/>
      <c r="U2037" s="250"/>
      <c r="V2037" s="249"/>
      <c r="W2037" s="330"/>
      <c r="X2037" s="343"/>
      <c r="Y2037" s="249"/>
      <c r="Z2037" s="330"/>
      <c r="AA2037" s="343"/>
      <c r="AB2037" s="249"/>
      <c r="AC2037" s="330"/>
      <c r="AD2037" s="343"/>
      <c r="AE2037" s="249"/>
      <c r="AF2037" s="330"/>
      <c r="AG2037" s="343"/>
      <c r="AH2037" s="249"/>
      <c r="AI2037" s="330"/>
      <c r="AJ2037" s="343"/>
      <c r="AK2037" s="249"/>
      <c r="AL2037" s="330"/>
      <c r="AM2037" s="343"/>
      <c r="AN2037" s="249"/>
      <c r="AO2037" s="330"/>
      <c r="AP2037" s="343"/>
      <c r="AQ2037" s="249"/>
      <c r="AR2037" s="330"/>
      <c r="AS2037" s="343"/>
      <c r="AT2037" s="249"/>
      <c r="AU2037" s="330"/>
    </row>
    <row r="2038" spans="2:47">
      <c r="B2038" s="247">
        <f>'Table S2 Compound Identifiers'!C2040</f>
        <v>0</v>
      </c>
      <c r="C2038" s="247">
        <f>COUNTIF($D$6:D2038,"&lt;&gt;"&amp;"")</f>
        <v>2033</v>
      </c>
      <c r="D2038" s="247">
        <f>'Table S2 Compound Identifiers'!B2040</f>
        <v>0</v>
      </c>
      <c r="E2038" s="247"/>
      <c r="F2038" s="248"/>
      <c r="G2038" s="249"/>
      <c r="H2038" s="330"/>
      <c r="I2038" s="328"/>
      <c r="J2038" s="249"/>
      <c r="K2038" s="330"/>
      <c r="L2038" s="250"/>
      <c r="M2038" s="249"/>
      <c r="N2038" s="330"/>
      <c r="O2038" s="250"/>
      <c r="P2038" s="249"/>
      <c r="Q2038" s="330"/>
      <c r="R2038" s="250"/>
      <c r="S2038" s="249"/>
      <c r="T2038" s="330"/>
      <c r="U2038" s="250"/>
      <c r="V2038" s="249"/>
      <c r="W2038" s="330"/>
      <c r="X2038" s="343"/>
      <c r="Y2038" s="249"/>
      <c r="Z2038" s="330"/>
      <c r="AA2038" s="343"/>
      <c r="AB2038" s="249"/>
      <c r="AC2038" s="330"/>
      <c r="AD2038" s="343"/>
      <c r="AE2038" s="249"/>
      <c r="AF2038" s="330"/>
      <c r="AG2038" s="343"/>
      <c r="AH2038" s="249"/>
      <c r="AI2038" s="330"/>
      <c r="AJ2038" s="343"/>
      <c r="AK2038" s="249"/>
      <c r="AL2038" s="330"/>
      <c r="AM2038" s="343"/>
      <c r="AN2038" s="249"/>
      <c r="AO2038" s="330"/>
      <c r="AP2038" s="343"/>
      <c r="AQ2038" s="249"/>
      <c r="AR2038" s="330"/>
      <c r="AS2038" s="343"/>
      <c r="AT2038" s="249"/>
      <c r="AU2038" s="330"/>
    </row>
    <row r="2039" spans="2:47">
      <c r="B2039" s="247">
        <f>'Table S2 Compound Identifiers'!C2041</f>
        <v>0</v>
      </c>
      <c r="C2039" s="247">
        <f>COUNTIF($D$6:D2039,"&lt;&gt;"&amp;"")</f>
        <v>2034</v>
      </c>
      <c r="D2039" s="247">
        <f>'Table S2 Compound Identifiers'!B2041</f>
        <v>0</v>
      </c>
      <c r="E2039" s="247"/>
      <c r="F2039" s="248"/>
      <c r="G2039" s="249"/>
      <c r="H2039" s="330"/>
      <c r="I2039" s="328"/>
      <c r="J2039" s="249"/>
      <c r="K2039" s="330"/>
      <c r="L2039" s="250"/>
      <c r="M2039" s="249"/>
      <c r="N2039" s="330"/>
      <c r="O2039" s="250"/>
      <c r="P2039" s="249"/>
      <c r="Q2039" s="330"/>
      <c r="R2039" s="250"/>
      <c r="S2039" s="249"/>
      <c r="T2039" s="330"/>
      <c r="U2039" s="250"/>
      <c r="V2039" s="249"/>
      <c r="W2039" s="330"/>
      <c r="X2039" s="343"/>
      <c r="Y2039" s="249"/>
      <c r="Z2039" s="330"/>
      <c r="AA2039" s="343"/>
      <c r="AB2039" s="249"/>
      <c r="AC2039" s="330"/>
      <c r="AD2039" s="343"/>
      <c r="AE2039" s="249"/>
      <c r="AF2039" s="330"/>
      <c r="AG2039" s="343"/>
      <c r="AH2039" s="249"/>
      <c r="AI2039" s="330"/>
      <c r="AJ2039" s="343"/>
      <c r="AK2039" s="249"/>
      <c r="AL2039" s="330"/>
      <c r="AM2039" s="343"/>
      <c r="AN2039" s="249"/>
      <c r="AO2039" s="330"/>
      <c r="AP2039" s="343"/>
      <c r="AQ2039" s="249"/>
      <c r="AR2039" s="330"/>
      <c r="AS2039" s="343"/>
      <c r="AT2039" s="249"/>
      <c r="AU2039" s="330"/>
    </row>
    <row r="2040" spans="2:47">
      <c r="B2040" s="247">
        <f>'Table S2 Compound Identifiers'!C2042</f>
        <v>0</v>
      </c>
      <c r="C2040" s="247">
        <f>COUNTIF($D$6:D2040,"&lt;&gt;"&amp;"")</f>
        <v>2035</v>
      </c>
      <c r="D2040" s="247">
        <f>'Table S2 Compound Identifiers'!B2042</f>
        <v>0</v>
      </c>
      <c r="E2040" s="247"/>
      <c r="F2040" s="248"/>
      <c r="G2040" s="249"/>
      <c r="H2040" s="330"/>
      <c r="I2040" s="328"/>
      <c r="J2040" s="249"/>
      <c r="K2040" s="330"/>
      <c r="L2040" s="250"/>
      <c r="M2040" s="249"/>
      <c r="N2040" s="330"/>
      <c r="O2040" s="250"/>
      <c r="P2040" s="249"/>
      <c r="Q2040" s="330"/>
      <c r="R2040" s="250"/>
      <c r="S2040" s="249"/>
      <c r="T2040" s="330"/>
      <c r="U2040" s="250"/>
      <c r="V2040" s="249"/>
      <c r="W2040" s="330"/>
      <c r="X2040" s="343"/>
      <c r="Y2040" s="249"/>
      <c r="Z2040" s="330"/>
      <c r="AA2040" s="343"/>
      <c r="AB2040" s="249"/>
      <c r="AC2040" s="330"/>
      <c r="AD2040" s="343"/>
      <c r="AE2040" s="249"/>
      <c r="AF2040" s="330"/>
      <c r="AG2040" s="343"/>
      <c r="AH2040" s="249"/>
      <c r="AI2040" s="330"/>
      <c r="AJ2040" s="343"/>
      <c r="AK2040" s="249"/>
      <c r="AL2040" s="330"/>
      <c r="AM2040" s="343"/>
      <c r="AN2040" s="249"/>
      <c r="AO2040" s="330"/>
      <c r="AP2040" s="343"/>
      <c r="AQ2040" s="249"/>
      <c r="AR2040" s="330"/>
      <c r="AS2040" s="343"/>
      <c r="AT2040" s="249"/>
      <c r="AU2040" s="330"/>
    </row>
    <row r="2041" spans="2:47">
      <c r="B2041" s="247">
        <f>'Table S2 Compound Identifiers'!C2043</f>
        <v>0</v>
      </c>
      <c r="C2041" s="247">
        <f>COUNTIF($D$6:D2041,"&lt;&gt;"&amp;"")</f>
        <v>2036</v>
      </c>
      <c r="D2041" s="247">
        <f>'Table S2 Compound Identifiers'!B2043</f>
        <v>0</v>
      </c>
      <c r="E2041" s="247"/>
      <c r="F2041" s="248"/>
      <c r="G2041" s="249"/>
      <c r="H2041" s="330"/>
      <c r="I2041" s="328"/>
      <c r="J2041" s="249"/>
      <c r="K2041" s="330"/>
      <c r="L2041" s="250"/>
      <c r="M2041" s="249"/>
      <c r="N2041" s="330"/>
      <c r="O2041" s="250"/>
      <c r="P2041" s="249"/>
      <c r="Q2041" s="330"/>
      <c r="R2041" s="250"/>
      <c r="S2041" s="249"/>
      <c r="T2041" s="330"/>
      <c r="U2041" s="250"/>
      <c r="V2041" s="249"/>
      <c r="W2041" s="330"/>
      <c r="X2041" s="343"/>
      <c r="Y2041" s="249"/>
      <c r="Z2041" s="330"/>
      <c r="AA2041" s="343"/>
      <c r="AB2041" s="249"/>
      <c r="AC2041" s="330"/>
      <c r="AD2041" s="343"/>
      <c r="AE2041" s="249"/>
      <c r="AF2041" s="330"/>
      <c r="AG2041" s="343"/>
      <c r="AH2041" s="249"/>
      <c r="AI2041" s="330"/>
      <c r="AJ2041" s="343"/>
      <c r="AK2041" s="249"/>
      <c r="AL2041" s="330"/>
      <c r="AM2041" s="343"/>
      <c r="AN2041" s="249"/>
      <c r="AO2041" s="330"/>
      <c r="AP2041" s="343"/>
      <c r="AQ2041" s="249"/>
      <c r="AR2041" s="330"/>
      <c r="AS2041" s="343"/>
      <c r="AT2041" s="249"/>
      <c r="AU2041" s="330"/>
    </row>
    <row r="2042" spans="2:47">
      <c r="B2042" s="247">
        <f>'Table S2 Compound Identifiers'!C2044</f>
        <v>0</v>
      </c>
      <c r="C2042" s="247">
        <f>COUNTIF($D$6:D2042,"&lt;&gt;"&amp;"")</f>
        <v>2037</v>
      </c>
      <c r="D2042" s="247">
        <f>'Table S2 Compound Identifiers'!B2044</f>
        <v>0</v>
      </c>
      <c r="E2042" s="247"/>
      <c r="F2042" s="248"/>
      <c r="G2042" s="249"/>
      <c r="H2042" s="330"/>
      <c r="I2042" s="328"/>
      <c r="J2042" s="249"/>
      <c r="K2042" s="330"/>
      <c r="L2042" s="250"/>
      <c r="M2042" s="249"/>
      <c r="N2042" s="330"/>
      <c r="O2042" s="250"/>
      <c r="P2042" s="249"/>
      <c r="Q2042" s="330"/>
      <c r="R2042" s="250"/>
      <c r="S2042" s="249"/>
      <c r="T2042" s="330"/>
      <c r="U2042" s="250"/>
      <c r="V2042" s="249"/>
      <c r="W2042" s="330"/>
      <c r="X2042" s="343"/>
      <c r="Y2042" s="249"/>
      <c r="Z2042" s="330"/>
      <c r="AA2042" s="343"/>
      <c r="AB2042" s="249"/>
      <c r="AC2042" s="330"/>
      <c r="AD2042" s="343"/>
      <c r="AE2042" s="249"/>
      <c r="AF2042" s="330"/>
      <c r="AG2042" s="343"/>
      <c r="AH2042" s="249"/>
      <c r="AI2042" s="330"/>
      <c r="AJ2042" s="343"/>
      <c r="AK2042" s="249"/>
      <c r="AL2042" s="330"/>
      <c r="AM2042" s="343"/>
      <c r="AN2042" s="249"/>
      <c r="AO2042" s="330"/>
      <c r="AP2042" s="343"/>
      <c r="AQ2042" s="249"/>
      <c r="AR2042" s="330"/>
      <c r="AS2042" s="343"/>
      <c r="AT2042" s="249"/>
      <c r="AU2042" s="330"/>
    </row>
    <row r="2043" spans="2:47">
      <c r="B2043" s="247">
        <f>'Table S2 Compound Identifiers'!C2045</f>
        <v>0</v>
      </c>
      <c r="C2043" s="247">
        <f>COUNTIF($D$6:D2043,"&lt;&gt;"&amp;"")</f>
        <v>2038</v>
      </c>
      <c r="D2043" s="247">
        <f>'Table S2 Compound Identifiers'!B2045</f>
        <v>0</v>
      </c>
      <c r="E2043" s="247"/>
      <c r="F2043" s="248"/>
      <c r="G2043" s="249"/>
      <c r="H2043" s="330"/>
      <c r="I2043" s="328"/>
      <c r="J2043" s="249"/>
      <c r="K2043" s="330"/>
      <c r="L2043" s="250"/>
      <c r="M2043" s="249"/>
      <c r="N2043" s="330"/>
      <c r="O2043" s="250"/>
      <c r="P2043" s="249"/>
      <c r="Q2043" s="330"/>
      <c r="R2043" s="250"/>
      <c r="S2043" s="249"/>
      <c r="T2043" s="330"/>
      <c r="U2043" s="250"/>
      <c r="V2043" s="249"/>
      <c r="W2043" s="330"/>
      <c r="X2043" s="343"/>
      <c r="Y2043" s="249"/>
      <c r="Z2043" s="330"/>
      <c r="AA2043" s="343"/>
      <c r="AB2043" s="249"/>
      <c r="AC2043" s="330"/>
      <c r="AD2043" s="343"/>
      <c r="AE2043" s="249"/>
      <c r="AF2043" s="330"/>
      <c r="AG2043" s="343"/>
      <c r="AH2043" s="249"/>
      <c r="AI2043" s="330"/>
      <c r="AJ2043" s="343"/>
      <c r="AK2043" s="249"/>
      <c r="AL2043" s="330"/>
      <c r="AM2043" s="343"/>
      <c r="AN2043" s="249"/>
      <c r="AO2043" s="330"/>
      <c r="AP2043" s="343"/>
      <c r="AQ2043" s="249"/>
      <c r="AR2043" s="330"/>
      <c r="AS2043" s="343"/>
      <c r="AT2043" s="249"/>
      <c r="AU2043" s="330"/>
    </row>
    <row r="2044" spans="2:47">
      <c r="B2044" s="247">
        <f>'Table S2 Compound Identifiers'!C2046</f>
        <v>0</v>
      </c>
      <c r="C2044" s="247">
        <f>COUNTIF($D$6:D2044,"&lt;&gt;"&amp;"")</f>
        <v>2039</v>
      </c>
      <c r="D2044" s="247">
        <f>'Table S2 Compound Identifiers'!B2046</f>
        <v>0</v>
      </c>
      <c r="E2044" s="247"/>
      <c r="F2044" s="248"/>
      <c r="G2044" s="249"/>
      <c r="H2044" s="330"/>
      <c r="I2044" s="328"/>
      <c r="J2044" s="249"/>
      <c r="K2044" s="330"/>
      <c r="L2044" s="250"/>
      <c r="M2044" s="249"/>
      <c r="N2044" s="330"/>
      <c r="O2044" s="250"/>
      <c r="P2044" s="249"/>
      <c r="Q2044" s="330"/>
      <c r="R2044" s="250"/>
      <c r="S2044" s="249"/>
      <c r="T2044" s="330"/>
      <c r="U2044" s="250"/>
      <c r="V2044" s="249"/>
      <c r="W2044" s="330"/>
      <c r="X2044" s="343"/>
      <c r="Y2044" s="249"/>
      <c r="Z2044" s="330"/>
      <c r="AA2044" s="343"/>
      <c r="AB2044" s="249"/>
      <c r="AC2044" s="330"/>
      <c r="AD2044" s="343"/>
      <c r="AE2044" s="249"/>
      <c r="AF2044" s="330"/>
      <c r="AG2044" s="343"/>
      <c r="AH2044" s="249"/>
      <c r="AI2044" s="330"/>
      <c r="AJ2044" s="343"/>
      <c r="AK2044" s="249"/>
      <c r="AL2044" s="330"/>
      <c r="AM2044" s="343"/>
      <c r="AN2044" s="249"/>
      <c r="AO2044" s="330"/>
      <c r="AP2044" s="343"/>
      <c r="AQ2044" s="249"/>
      <c r="AR2044" s="330"/>
      <c r="AS2044" s="343"/>
      <c r="AT2044" s="249"/>
      <c r="AU2044" s="330"/>
    </row>
    <row r="2045" spans="2:47">
      <c r="B2045" s="247">
        <f>'Table S2 Compound Identifiers'!C2047</f>
        <v>0</v>
      </c>
      <c r="C2045" s="247">
        <f>COUNTIF($D$6:D2045,"&lt;&gt;"&amp;"")</f>
        <v>2040</v>
      </c>
      <c r="D2045" s="247">
        <f>'Table S2 Compound Identifiers'!B2047</f>
        <v>0</v>
      </c>
      <c r="E2045" s="247"/>
      <c r="F2045" s="248"/>
      <c r="G2045" s="249"/>
      <c r="H2045" s="330"/>
      <c r="I2045" s="328"/>
      <c r="J2045" s="249"/>
      <c r="K2045" s="330"/>
      <c r="L2045" s="250"/>
      <c r="M2045" s="249"/>
      <c r="N2045" s="330"/>
      <c r="O2045" s="250"/>
      <c r="P2045" s="249"/>
      <c r="Q2045" s="330"/>
      <c r="R2045" s="250"/>
      <c r="S2045" s="249"/>
      <c r="T2045" s="330"/>
      <c r="U2045" s="250"/>
      <c r="V2045" s="249"/>
      <c r="W2045" s="330"/>
      <c r="X2045" s="343"/>
      <c r="Y2045" s="249"/>
      <c r="Z2045" s="330"/>
      <c r="AA2045" s="343"/>
      <c r="AB2045" s="249"/>
      <c r="AC2045" s="330"/>
      <c r="AD2045" s="343"/>
      <c r="AE2045" s="249"/>
      <c r="AF2045" s="330"/>
      <c r="AG2045" s="343"/>
      <c r="AH2045" s="249"/>
      <c r="AI2045" s="330"/>
      <c r="AJ2045" s="343"/>
      <c r="AK2045" s="249"/>
      <c r="AL2045" s="330"/>
      <c r="AM2045" s="343"/>
      <c r="AN2045" s="249"/>
      <c r="AO2045" s="330"/>
      <c r="AP2045" s="343"/>
      <c r="AQ2045" s="249"/>
      <c r="AR2045" s="330"/>
      <c r="AS2045" s="343"/>
      <c r="AT2045" s="249"/>
      <c r="AU2045" s="330"/>
    </row>
    <row r="2046" spans="2:47">
      <c r="B2046" s="247">
        <f>'Table S2 Compound Identifiers'!C2048</f>
        <v>0</v>
      </c>
      <c r="C2046" s="247">
        <f>COUNTIF($D$6:D2046,"&lt;&gt;"&amp;"")</f>
        <v>2041</v>
      </c>
      <c r="D2046" s="247">
        <f>'Table S2 Compound Identifiers'!B2048</f>
        <v>0</v>
      </c>
      <c r="E2046" s="247"/>
      <c r="F2046" s="248"/>
      <c r="G2046" s="249"/>
      <c r="H2046" s="330"/>
      <c r="I2046" s="328"/>
      <c r="J2046" s="249"/>
      <c r="K2046" s="330"/>
      <c r="L2046" s="250"/>
      <c r="M2046" s="249"/>
      <c r="N2046" s="330"/>
      <c r="O2046" s="250"/>
      <c r="P2046" s="249"/>
      <c r="Q2046" s="330"/>
      <c r="R2046" s="250"/>
      <c r="S2046" s="249"/>
      <c r="T2046" s="330"/>
      <c r="U2046" s="250"/>
      <c r="V2046" s="249"/>
      <c r="W2046" s="330"/>
      <c r="X2046" s="343"/>
      <c r="Y2046" s="249"/>
      <c r="Z2046" s="330"/>
      <c r="AA2046" s="343"/>
      <c r="AB2046" s="249"/>
      <c r="AC2046" s="330"/>
      <c r="AD2046" s="343"/>
      <c r="AE2046" s="249"/>
      <c r="AF2046" s="330"/>
      <c r="AG2046" s="343"/>
      <c r="AH2046" s="249"/>
      <c r="AI2046" s="330"/>
      <c r="AJ2046" s="343"/>
      <c r="AK2046" s="249"/>
      <c r="AL2046" s="330"/>
      <c r="AM2046" s="343"/>
      <c r="AN2046" s="249"/>
      <c r="AO2046" s="330"/>
      <c r="AP2046" s="343"/>
      <c r="AQ2046" s="249"/>
      <c r="AR2046" s="330"/>
      <c r="AS2046" s="343"/>
      <c r="AT2046" s="249"/>
      <c r="AU2046" s="330"/>
    </row>
    <row r="2047" spans="2:47">
      <c r="B2047" s="247">
        <f>'Table S2 Compound Identifiers'!C2049</f>
        <v>0</v>
      </c>
      <c r="C2047" s="247">
        <f>COUNTIF($D$6:D2047,"&lt;&gt;"&amp;"")</f>
        <v>2042</v>
      </c>
      <c r="D2047" s="247">
        <f>'Table S2 Compound Identifiers'!B2049</f>
        <v>0</v>
      </c>
      <c r="E2047" s="247"/>
      <c r="F2047" s="248"/>
      <c r="G2047" s="249"/>
      <c r="H2047" s="330"/>
      <c r="I2047" s="328"/>
      <c r="J2047" s="249"/>
      <c r="K2047" s="330"/>
      <c r="L2047" s="250"/>
      <c r="M2047" s="249"/>
      <c r="N2047" s="330"/>
      <c r="O2047" s="250"/>
      <c r="P2047" s="249"/>
      <c r="Q2047" s="330"/>
      <c r="R2047" s="250"/>
      <c r="S2047" s="249"/>
      <c r="T2047" s="330"/>
      <c r="U2047" s="250"/>
      <c r="V2047" s="249"/>
      <c r="W2047" s="330"/>
      <c r="X2047" s="343"/>
      <c r="Y2047" s="249"/>
      <c r="Z2047" s="330"/>
      <c r="AA2047" s="343"/>
      <c r="AB2047" s="249"/>
      <c r="AC2047" s="330"/>
      <c r="AD2047" s="343"/>
      <c r="AE2047" s="249"/>
      <c r="AF2047" s="330"/>
      <c r="AG2047" s="343"/>
      <c r="AH2047" s="249"/>
      <c r="AI2047" s="330"/>
      <c r="AJ2047" s="343"/>
      <c r="AK2047" s="249"/>
      <c r="AL2047" s="330"/>
      <c r="AM2047" s="343"/>
      <c r="AN2047" s="249"/>
      <c r="AO2047" s="330"/>
      <c r="AP2047" s="343"/>
      <c r="AQ2047" s="249"/>
      <c r="AR2047" s="330"/>
      <c r="AS2047" s="343"/>
      <c r="AT2047" s="249"/>
      <c r="AU2047" s="330"/>
    </row>
    <row r="2048" spans="2:47">
      <c r="B2048" s="247">
        <f>'Table S2 Compound Identifiers'!C2050</f>
        <v>0</v>
      </c>
      <c r="C2048" s="247">
        <f>COUNTIF($D$6:D2048,"&lt;&gt;"&amp;"")</f>
        <v>2043</v>
      </c>
      <c r="D2048" s="247">
        <f>'Table S2 Compound Identifiers'!B2050</f>
        <v>0</v>
      </c>
      <c r="E2048" s="247"/>
      <c r="F2048" s="248"/>
      <c r="G2048" s="249"/>
      <c r="H2048" s="330"/>
      <c r="I2048" s="328"/>
      <c r="J2048" s="249"/>
      <c r="K2048" s="330"/>
      <c r="L2048" s="250"/>
      <c r="M2048" s="249"/>
      <c r="N2048" s="330"/>
      <c r="O2048" s="250"/>
      <c r="P2048" s="249"/>
      <c r="Q2048" s="330"/>
      <c r="R2048" s="250"/>
      <c r="S2048" s="249"/>
      <c r="T2048" s="330"/>
      <c r="U2048" s="250"/>
      <c r="V2048" s="249"/>
      <c r="W2048" s="330"/>
      <c r="X2048" s="343"/>
      <c r="Y2048" s="249"/>
      <c r="Z2048" s="330"/>
      <c r="AA2048" s="343"/>
      <c r="AB2048" s="249"/>
      <c r="AC2048" s="330"/>
      <c r="AD2048" s="343"/>
      <c r="AE2048" s="249"/>
      <c r="AF2048" s="330"/>
      <c r="AG2048" s="343"/>
      <c r="AH2048" s="249"/>
      <c r="AI2048" s="330"/>
      <c r="AJ2048" s="343"/>
      <c r="AK2048" s="249"/>
      <c r="AL2048" s="330"/>
      <c r="AM2048" s="343"/>
      <c r="AN2048" s="249"/>
      <c r="AO2048" s="330"/>
      <c r="AP2048" s="343"/>
      <c r="AQ2048" s="249"/>
      <c r="AR2048" s="330"/>
      <c r="AS2048" s="343"/>
      <c r="AT2048" s="249"/>
      <c r="AU2048" s="330"/>
    </row>
    <row r="2049" spans="2:47">
      <c r="B2049" s="247">
        <f>'Table S2 Compound Identifiers'!C2051</f>
        <v>0</v>
      </c>
      <c r="C2049" s="247">
        <f>COUNTIF($D$6:D2049,"&lt;&gt;"&amp;"")</f>
        <v>2044</v>
      </c>
      <c r="D2049" s="247">
        <f>'Table S2 Compound Identifiers'!B2051</f>
        <v>0</v>
      </c>
      <c r="E2049" s="247"/>
      <c r="F2049" s="248"/>
      <c r="G2049" s="249"/>
      <c r="H2049" s="330"/>
      <c r="I2049" s="328"/>
      <c r="J2049" s="249"/>
      <c r="K2049" s="330"/>
      <c r="L2049" s="250"/>
      <c r="M2049" s="249"/>
      <c r="N2049" s="330"/>
      <c r="O2049" s="250"/>
      <c r="P2049" s="249"/>
      <c r="Q2049" s="330"/>
      <c r="R2049" s="250"/>
      <c r="S2049" s="249"/>
      <c r="T2049" s="330"/>
      <c r="U2049" s="250"/>
      <c r="V2049" s="249"/>
      <c r="W2049" s="330"/>
      <c r="X2049" s="343"/>
      <c r="Y2049" s="249"/>
      <c r="Z2049" s="330"/>
      <c r="AA2049" s="343"/>
      <c r="AB2049" s="249"/>
      <c r="AC2049" s="330"/>
      <c r="AD2049" s="343"/>
      <c r="AE2049" s="249"/>
      <c r="AF2049" s="330"/>
      <c r="AG2049" s="343"/>
      <c r="AH2049" s="249"/>
      <c r="AI2049" s="330"/>
      <c r="AJ2049" s="343"/>
      <c r="AK2049" s="249"/>
      <c r="AL2049" s="330"/>
      <c r="AM2049" s="343"/>
      <c r="AN2049" s="249"/>
      <c r="AO2049" s="330"/>
      <c r="AP2049" s="343"/>
      <c r="AQ2049" s="249"/>
      <c r="AR2049" s="330"/>
      <c r="AS2049" s="343"/>
      <c r="AT2049" s="249"/>
      <c r="AU2049" s="330"/>
    </row>
    <row r="2050" spans="2:47">
      <c r="B2050" s="247">
        <f>'Table S2 Compound Identifiers'!C2052</f>
        <v>0</v>
      </c>
      <c r="C2050" s="247">
        <f>COUNTIF($D$6:D2050,"&lt;&gt;"&amp;"")</f>
        <v>2045</v>
      </c>
      <c r="D2050" s="247">
        <f>'Table S2 Compound Identifiers'!B2052</f>
        <v>0</v>
      </c>
      <c r="E2050" s="247"/>
      <c r="F2050" s="248"/>
      <c r="G2050" s="249"/>
      <c r="H2050" s="330"/>
      <c r="I2050" s="328"/>
      <c r="J2050" s="249"/>
      <c r="K2050" s="330"/>
      <c r="L2050" s="250"/>
      <c r="M2050" s="249"/>
      <c r="N2050" s="330"/>
      <c r="O2050" s="250"/>
      <c r="P2050" s="249"/>
      <c r="Q2050" s="330"/>
      <c r="R2050" s="250"/>
      <c r="S2050" s="249"/>
      <c r="T2050" s="330"/>
      <c r="U2050" s="250"/>
      <c r="V2050" s="249"/>
      <c r="W2050" s="330"/>
      <c r="X2050" s="343"/>
      <c r="Y2050" s="249"/>
      <c r="Z2050" s="330"/>
      <c r="AA2050" s="343"/>
      <c r="AB2050" s="249"/>
      <c r="AC2050" s="330"/>
      <c r="AD2050" s="343"/>
      <c r="AE2050" s="249"/>
      <c r="AF2050" s="330"/>
      <c r="AG2050" s="343"/>
      <c r="AH2050" s="249"/>
      <c r="AI2050" s="330"/>
      <c r="AJ2050" s="343"/>
      <c r="AK2050" s="249"/>
      <c r="AL2050" s="330"/>
      <c r="AM2050" s="343"/>
      <c r="AN2050" s="249"/>
      <c r="AO2050" s="330"/>
      <c r="AP2050" s="343"/>
      <c r="AQ2050" s="249"/>
      <c r="AR2050" s="330"/>
      <c r="AS2050" s="343"/>
      <c r="AT2050" s="249"/>
      <c r="AU2050" s="330"/>
    </row>
    <row r="2051" spans="2:47">
      <c r="B2051" s="247">
        <f>'Table S2 Compound Identifiers'!C2053</f>
        <v>0</v>
      </c>
      <c r="C2051" s="247">
        <f>COUNTIF($D$6:D2051,"&lt;&gt;"&amp;"")</f>
        <v>2046</v>
      </c>
      <c r="D2051" s="247">
        <f>'Table S2 Compound Identifiers'!B2053</f>
        <v>0</v>
      </c>
      <c r="E2051" s="247"/>
      <c r="F2051" s="248"/>
      <c r="G2051" s="249"/>
      <c r="H2051" s="330"/>
      <c r="I2051" s="328"/>
      <c r="J2051" s="249"/>
      <c r="K2051" s="330"/>
      <c r="L2051" s="250"/>
      <c r="M2051" s="249"/>
      <c r="N2051" s="330"/>
      <c r="O2051" s="250"/>
      <c r="P2051" s="249"/>
      <c r="Q2051" s="330"/>
      <c r="R2051" s="250"/>
      <c r="S2051" s="249"/>
      <c r="T2051" s="330"/>
      <c r="U2051" s="250"/>
      <c r="V2051" s="249"/>
      <c r="W2051" s="330"/>
      <c r="X2051" s="343"/>
      <c r="Y2051" s="249"/>
      <c r="Z2051" s="330"/>
      <c r="AA2051" s="343"/>
      <c r="AB2051" s="249"/>
      <c r="AC2051" s="330"/>
      <c r="AD2051" s="343"/>
      <c r="AE2051" s="249"/>
      <c r="AF2051" s="330"/>
      <c r="AG2051" s="343"/>
      <c r="AH2051" s="249"/>
      <c r="AI2051" s="330"/>
      <c r="AJ2051" s="343"/>
      <c r="AK2051" s="249"/>
      <c r="AL2051" s="330"/>
      <c r="AM2051" s="343"/>
      <c r="AN2051" s="249"/>
      <c r="AO2051" s="330"/>
      <c r="AP2051" s="343"/>
      <c r="AQ2051" s="249"/>
      <c r="AR2051" s="330"/>
      <c r="AS2051" s="343"/>
      <c r="AT2051" s="249"/>
      <c r="AU2051" s="330"/>
    </row>
    <row r="2052" spans="2:47">
      <c r="B2052" s="247">
        <f>'Table S2 Compound Identifiers'!C2054</f>
        <v>0</v>
      </c>
      <c r="C2052" s="247">
        <f>COUNTIF($D$6:D2052,"&lt;&gt;"&amp;"")</f>
        <v>2047</v>
      </c>
      <c r="D2052" s="247">
        <f>'Table S2 Compound Identifiers'!B2054</f>
        <v>0</v>
      </c>
      <c r="E2052" s="247"/>
      <c r="F2052" s="248"/>
      <c r="G2052" s="249"/>
      <c r="H2052" s="330"/>
      <c r="I2052" s="328"/>
      <c r="J2052" s="249"/>
      <c r="K2052" s="330"/>
      <c r="L2052" s="250"/>
      <c r="M2052" s="249"/>
      <c r="N2052" s="330"/>
      <c r="O2052" s="250"/>
      <c r="P2052" s="249"/>
      <c r="Q2052" s="330"/>
      <c r="R2052" s="250"/>
      <c r="S2052" s="249"/>
      <c r="T2052" s="330"/>
      <c r="U2052" s="250"/>
      <c r="V2052" s="249"/>
      <c r="W2052" s="330"/>
      <c r="X2052" s="343"/>
      <c r="Y2052" s="249"/>
      <c r="Z2052" s="330"/>
      <c r="AA2052" s="343"/>
      <c r="AB2052" s="249"/>
      <c r="AC2052" s="330"/>
      <c r="AD2052" s="343"/>
      <c r="AE2052" s="249"/>
      <c r="AF2052" s="330"/>
      <c r="AG2052" s="343"/>
      <c r="AH2052" s="249"/>
      <c r="AI2052" s="330"/>
      <c r="AJ2052" s="343"/>
      <c r="AK2052" s="249"/>
      <c r="AL2052" s="330"/>
      <c r="AM2052" s="343"/>
      <c r="AN2052" s="249"/>
      <c r="AO2052" s="330"/>
      <c r="AP2052" s="343"/>
      <c r="AQ2052" s="249"/>
      <c r="AR2052" s="330"/>
      <c r="AS2052" s="343"/>
      <c r="AT2052" s="249"/>
      <c r="AU2052" s="330"/>
    </row>
    <row r="2053" spans="2:47">
      <c r="B2053" s="247">
        <f>'Table S2 Compound Identifiers'!C2055</f>
        <v>0</v>
      </c>
      <c r="C2053" s="247">
        <f>COUNTIF($D$6:D2053,"&lt;&gt;"&amp;"")</f>
        <v>2048</v>
      </c>
      <c r="D2053" s="247">
        <f>'Table S2 Compound Identifiers'!B2055</f>
        <v>0</v>
      </c>
      <c r="E2053" s="247"/>
      <c r="F2053" s="248"/>
      <c r="G2053" s="249"/>
      <c r="H2053" s="330"/>
      <c r="I2053" s="328"/>
      <c r="J2053" s="249"/>
      <c r="K2053" s="330"/>
      <c r="L2053" s="250"/>
      <c r="M2053" s="249"/>
      <c r="N2053" s="330"/>
      <c r="O2053" s="250"/>
      <c r="P2053" s="249"/>
      <c r="Q2053" s="330"/>
      <c r="R2053" s="250"/>
      <c r="S2053" s="249"/>
      <c r="T2053" s="330"/>
      <c r="U2053" s="250"/>
      <c r="V2053" s="249"/>
      <c r="W2053" s="330"/>
      <c r="X2053" s="343"/>
      <c r="Y2053" s="249"/>
      <c r="Z2053" s="330"/>
      <c r="AA2053" s="343"/>
      <c r="AB2053" s="249"/>
      <c r="AC2053" s="330"/>
      <c r="AD2053" s="343"/>
      <c r="AE2053" s="249"/>
      <c r="AF2053" s="330"/>
      <c r="AG2053" s="343"/>
      <c r="AH2053" s="249"/>
      <c r="AI2053" s="330"/>
      <c r="AJ2053" s="343"/>
      <c r="AK2053" s="249"/>
      <c r="AL2053" s="330"/>
      <c r="AM2053" s="343"/>
      <c r="AN2053" s="249"/>
      <c r="AO2053" s="330"/>
      <c r="AP2053" s="343"/>
      <c r="AQ2053" s="249"/>
      <c r="AR2053" s="330"/>
      <c r="AS2053" s="343"/>
      <c r="AT2053" s="249"/>
      <c r="AU2053" s="330"/>
    </row>
    <row r="2054" spans="2:47">
      <c r="B2054" s="247">
        <f>'Table S2 Compound Identifiers'!C2056</f>
        <v>0</v>
      </c>
      <c r="C2054" s="247">
        <f>COUNTIF($D$6:D2054,"&lt;&gt;"&amp;"")</f>
        <v>2049</v>
      </c>
      <c r="D2054" s="247">
        <f>'Table S2 Compound Identifiers'!B2056</f>
        <v>0</v>
      </c>
      <c r="E2054" s="247"/>
      <c r="F2054" s="248"/>
      <c r="G2054" s="249"/>
      <c r="H2054" s="330"/>
      <c r="I2054" s="328"/>
      <c r="J2054" s="249"/>
      <c r="K2054" s="330"/>
      <c r="L2054" s="250"/>
      <c r="M2054" s="249"/>
      <c r="N2054" s="330"/>
      <c r="O2054" s="250"/>
      <c r="P2054" s="249"/>
      <c r="Q2054" s="330"/>
      <c r="R2054" s="250"/>
      <c r="S2054" s="249"/>
      <c r="T2054" s="330"/>
      <c r="U2054" s="250"/>
      <c r="V2054" s="249"/>
      <c r="W2054" s="330"/>
      <c r="X2054" s="343"/>
      <c r="Y2054" s="249"/>
      <c r="Z2054" s="330"/>
      <c r="AA2054" s="343"/>
      <c r="AB2054" s="249"/>
      <c r="AC2054" s="330"/>
      <c r="AD2054" s="343"/>
      <c r="AE2054" s="249"/>
      <c r="AF2054" s="330"/>
      <c r="AG2054" s="343"/>
      <c r="AH2054" s="249"/>
      <c r="AI2054" s="330"/>
      <c r="AJ2054" s="343"/>
      <c r="AK2054" s="249"/>
      <c r="AL2054" s="330"/>
      <c r="AM2054" s="343"/>
      <c r="AN2054" s="249"/>
      <c r="AO2054" s="330"/>
      <c r="AP2054" s="343"/>
      <c r="AQ2054" s="249"/>
      <c r="AR2054" s="330"/>
      <c r="AS2054" s="343"/>
      <c r="AT2054" s="249"/>
      <c r="AU2054" s="330"/>
    </row>
    <row r="2055" spans="2:47">
      <c r="B2055" s="247">
        <f>'Table S2 Compound Identifiers'!C2057</f>
        <v>0</v>
      </c>
      <c r="C2055" s="247">
        <f>COUNTIF($D$6:D2055,"&lt;&gt;"&amp;"")</f>
        <v>2050</v>
      </c>
      <c r="D2055" s="247">
        <f>'Table S2 Compound Identifiers'!B2057</f>
        <v>0</v>
      </c>
      <c r="E2055" s="247"/>
      <c r="F2055" s="248"/>
      <c r="G2055" s="249"/>
      <c r="H2055" s="330"/>
      <c r="I2055" s="328"/>
      <c r="J2055" s="249"/>
      <c r="K2055" s="330"/>
      <c r="L2055" s="250"/>
      <c r="M2055" s="249"/>
      <c r="N2055" s="330"/>
      <c r="O2055" s="250"/>
      <c r="P2055" s="249"/>
      <c r="Q2055" s="330"/>
      <c r="R2055" s="250"/>
      <c r="S2055" s="249"/>
      <c r="T2055" s="330"/>
      <c r="U2055" s="250"/>
      <c r="V2055" s="249"/>
      <c r="W2055" s="330"/>
      <c r="X2055" s="343"/>
      <c r="Y2055" s="249"/>
      <c r="Z2055" s="330"/>
      <c r="AA2055" s="343"/>
      <c r="AB2055" s="249"/>
      <c r="AC2055" s="330"/>
      <c r="AD2055" s="343"/>
      <c r="AE2055" s="249"/>
      <c r="AF2055" s="330"/>
      <c r="AG2055" s="343"/>
      <c r="AH2055" s="249"/>
      <c r="AI2055" s="330"/>
      <c r="AJ2055" s="343"/>
      <c r="AK2055" s="249"/>
      <c r="AL2055" s="330"/>
      <c r="AM2055" s="343"/>
      <c r="AN2055" s="249"/>
      <c r="AO2055" s="330"/>
      <c r="AP2055" s="343"/>
      <c r="AQ2055" s="249"/>
      <c r="AR2055" s="330"/>
      <c r="AS2055" s="343"/>
      <c r="AT2055" s="249"/>
      <c r="AU2055" s="330"/>
    </row>
    <row r="2056" spans="2:47">
      <c r="B2056" s="247">
        <f>'Table S2 Compound Identifiers'!C2058</f>
        <v>0</v>
      </c>
      <c r="C2056" s="247">
        <f>COUNTIF($D$6:D2056,"&lt;&gt;"&amp;"")</f>
        <v>2051</v>
      </c>
      <c r="D2056" s="247">
        <f>'Table S2 Compound Identifiers'!B2058</f>
        <v>0</v>
      </c>
      <c r="E2056" s="247"/>
      <c r="F2056" s="248"/>
      <c r="G2056" s="249"/>
      <c r="H2056" s="330"/>
      <c r="I2056" s="328"/>
      <c r="J2056" s="249"/>
      <c r="K2056" s="330"/>
      <c r="L2056" s="250"/>
      <c r="M2056" s="249"/>
      <c r="N2056" s="330"/>
      <c r="O2056" s="250"/>
      <c r="P2056" s="249"/>
      <c r="Q2056" s="330"/>
      <c r="R2056" s="250"/>
      <c r="S2056" s="249"/>
      <c r="T2056" s="330"/>
      <c r="U2056" s="250"/>
      <c r="V2056" s="249"/>
      <c r="W2056" s="330"/>
      <c r="X2056" s="343"/>
      <c r="Y2056" s="249"/>
      <c r="Z2056" s="330"/>
      <c r="AA2056" s="343"/>
      <c r="AB2056" s="249"/>
      <c r="AC2056" s="330"/>
      <c r="AD2056" s="343"/>
      <c r="AE2056" s="249"/>
      <c r="AF2056" s="330"/>
      <c r="AG2056" s="343"/>
      <c r="AH2056" s="249"/>
      <c r="AI2056" s="330"/>
      <c r="AJ2056" s="343"/>
      <c r="AK2056" s="249"/>
      <c r="AL2056" s="330"/>
      <c r="AM2056" s="343"/>
      <c r="AN2056" s="249"/>
      <c r="AO2056" s="330"/>
      <c r="AP2056" s="343"/>
      <c r="AQ2056" s="249"/>
      <c r="AR2056" s="330"/>
      <c r="AS2056" s="343"/>
      <c r="AT2056" s="249"/>
      <c r="AU2056" s="330"/>
    </row>
    <row r="2057" spans="2:47">
      <c r="B2057" s="247">
        <f>'Table S2 Compound Identifiers'!C2059</f>
        <v>0</v>
      </c>
      <c r="C2057" s="247">
        <f>COUNTIF($D$6:D2057,"&lt;&gt;"&amp;"")</f>
        <v>2052</v>
      </c>
      <c r="D2057" s="247">
        <f>'Table S2 Compound Identifiers'!B2059</f>
        <v>0</v>
      </c>
      <c r="E2057" s="247"/>
      <c r="F2057" s="248"/>
      <c r="G2057" s="249"/>
      <c r="H2057" s="330"/>
      <c r="I2057" s="328"/>
      <c r="J2057" s="249"/>
      <c r="K2057" s="330"/>
      <c r="L2057" s="250"/>
      <c r="M2057" s="249"/>
      <c r="N2057" s="330"/>
      <c r="O2057" s="250"/>
      <c r="P2057" s="249"/>
      <c r="Q2057" s="330"/>
      <c r="R2057" s="250"/>
      <c r="S2057" s="249"/>
      <c r="T2057" s="330"/>
      <c r="U2057" s="250"/>
      <c r="V2057" s="249"/>
      <c r="W2057" s="330"/>
      <c r="X2057" s="343"/>
      <c r="Y2057" s="249"/>
      <c r="Z2057" s="330"/>
      <c r="AA2057" s="343"/>
      <c r="AB2057" s="249"/>
      <c r="AC2057" s="330"/>
      <c r="AD2057" s="343"/>
      <c r="AE2057" s="249"/>
      <c r="AF2057" s="330"/>
      <c r="AG2057" s="343"/>
      <c r="AH2057" s="249"/>
      <c r="AI2057" s="330"/>
      <c r="AJ2057" s="343"/>
      <c r="AK2057" s="249"/>
      <c r="AL2057" s="330"/>
      <c r="AM2057" s="343"/>
      <c r="AN2057" s="249"/>
      <c r="AO2057" s="330"/>
      <c r="AP2057" s="343"/>
      <c r="AQ2057" s="249"/>
      <c r="AR2057" s="330"/>
      <c r="AS2057" s="343"/>
      <c r="AT2057" s="249"/>
      <c r="AU2057" s="330"/>
    </row>
    <row r="2058" spans="2:47">
      <c r="B2058" s="247">
        <f>'Table S2 Compound Identifiers'!C2060</f>
        <v>0</v>
      </c>
      <c r="C2058" s="247">
        <f>COUNTIF($D$6:D2058,"&lt;&gt;"&amp;"")</f>
        <v>2053</v>
      </c>
      <c r="D2058" s="247">
        <f>'Table S2 Compound Identifiers'!B2060</f>
        <v>0</v>
      </c>
      <c r="E2058" s="247"/>
      <c r="F2058" s="248"/>
      <c r="G2058" s="249"/>
      <c r="H2058" s="330"/>
      <c r="I2058" s="328"/>
      <c r="J2058" s="249"/>
      <c r="K2058" s="330"/>
      <c r="L2058" s="250"/>
      <c r="M2058" s="249"/>
      <c r="N2058" s="330"/>
      <c r="O2058" s="250"/>
      <c r="P2058" s="249"/>
      <c r="Q2058" s="330"/>
      <c r="R2058" s="250"/>
      <c r="S2058" s="249"/>
      <c r="T2058" s="330"/>
      <c r="U2058" s="250"/>
      <c r="V2058" s="249"/>
      <c r="W2058" s="330"/>
      <c r="X2058" s="343"/>
      <c r="Y2058" s="249"/>
      <c r="Z2058" s="330"/>
      <c r="AA2058" s="343"/>
      <c r="AB2058" s="249"/>
      <c r="AC2058" s="330"/>
      <c r="AD2058" s="343"/>
      <c r="AE2058" s="249"/>
      <c r="AF2058" s="330"/>
      <c r="AG2058" s="343"/>
      <c r="AH2058" s="249"/>
      <c r="AI2058" s="330"/>
      <c r="AJ2058" s="343"/>
      <c r="AK2058" s="249"/>
      <c r="AL2058" s="330"/>
      <c r="AM2058" s="343"/>
      <c r="AN2058" s="249"/>
      <c r="AO2058" s="330"/>
      <c r="AP2058" s="343"/>
      <c r="AQ2058" s="249"/>
      <c r="AR2058" s="330"/>
      <c r="AS2058" s="343"/>
      <c r="AT2058" s="249"/>
      <c r="AU2058" s="330"/>
    </row>
    <row r="2059" spans="2:47">
      <c r="B2059" s="247">
        <f>'Table S2 Compound Identifiers'!C2061</f>
        <v>0</v>
      </c>
      <c r="C2059" s="247">
        <f>COUNTIF($D$6:D2059,"&lt;&gt;"&amp;"")</f>
        <v>2054</v>
      </c>
      <c r="D2059" s="247">
        <f>'Table S2 Compound Identifiers'!B2061</f>
        <v>0</v>
      </c>
      <c r="E2059" s="247"/>
      <c r="F2059" s="248"/>
      <c r="G2059" s="249"/>
      <c r="H2059" s="330"/>
      <c r="I2059" s="328"/>
      <c r="J2059" s="249"/>
      <c r="K2059" s="330"/>
      <c r="L2059" s="250"/>
      <c r="M2059" s="249"/>
      <c r="N2059" s="330"/>
      <c r="O2059" s="250"/>
      <c r="P2059" s="249"/>
      <c r="Q2059" s="330"/>
      <c r="R2059" s="250"/>
      <c r="S2059" s="249"/>
      <c r="T2059" s="330"/>
      <c r="U2059" s="250"/>
      <c r="V2059" s="249"/>
      <c r="W2059" s="330"/>
      <c r="X2059" s="343"/>
      <c r="Y2059" s="249"/>
      <c r="Z2059" s="330"/>
      <c r="AA2059" s="343"/>
      <c r="AB2059" s="249"/>
      <c r="AC2059" s="330"/>
      <c r="AD2059" s="343"/>
      <c r="AE2059" s="249"/>
      <c r="AF2059" s="330"/>
      <c r="AG2059" s="343"/>
      <c r="AH2059" s="249"/>
      <c r="AI2059" s="330"/>
      <c r="AJ2059" s="343"/>
      <c r="AK2059" s="249"/>
      <c r="AL2059" s="330"/>
      <c r="AM2059" s="343"/>
      <c r="AN2059" s="249"/>
      <c r="AO2059" s="330"/>
      <c r="AP2059" s="343"/>
      <c r="AQ2059" s="249"/>
      <c r="AR2059" s="330"/>
      <c r="AS2059" s="343"/>
      <c r="AT2059" s="249"/>
      <c r="AU2059" s="330"/>
    </row>
    <row r="2060" spans="2:47">
      <c r="B2060" s="247">
        <f>'Table S2 Compound Identifiers'!C2062</f>
        <v>0</v>
      </c>
      <c r="C2060" s="247">
        <f>COUNTIF($D$6:D2060,"&lt;&gt;"&amp;"")</f>
        <v>2055</v>
      </c>
      <c r="D2060" s="432">
        <f>'Table S2 Compound Identifiers'!B2062</f>
        <v>0</v>
      </c>
      <c r="E2060" s="247"/>
      <c r="F2060" s="248"/>
      <c r="G2060" s="249"/>
      <c r="H2060" s="330"/>
      <c r="I2060" s="328"/>
      <c r="J2060" s="249"/>
      <c r="K2060" s="330"/>
      <c r="L2060" s="250"/>
      <c r="M2060" s="249"/>
      <c r="N2060" s="330"/>
      <c r="O2060" s="250"/>
      <c r="P2060" s="249"/>
      <c r="Q2060" s="330"/>
      <c r="R2060" s="250"/>
      <c r="S2060" s="249"/>
      <c r="T2060" s="330"/>
      <c r="U2060" s="250"/>
      <c r="V2060" s="249"/>
      <c r="W2060" s="330"/>
      <c r="X2060" s="343"/>
      <c r="Y2060" s="249"/>
      <c r="Z2060" s="330"/>
      <c r="AA2060" s="343"/>
      <c r="AB2060" s="249"/>
      <c r="AC2060" s="330"/>
      <c r="AD2060" s="343"/>
      <c r="AE2060" s="249"/>
      <c r="AF2060" s="330"/>
      <c r="AG2060" s="343"/>
      <c r="AH2060" s="249"/>
      <c r="AI2060" s="330"/>
      <c r="AJ2060" s="343"/>
      <c r="AK2060" s="249"/>
      <c r="AL2060" s="330"/>
      <c r="AM2060" s="343"/>
      <c r="AN2060" s="249"/>
      <c r="AO2060" s="330"/>
      <c r="AP2060" s="343"/>
      <c r="AQ2060" s="249"/>
      <c r="AR2060" s="330"/>
      <c r="AS2060" s="343"/>
      <c r="AT2060" s="249"/>
      <c r="AU2060" s="330"/>
    </row>
    <row r="2061" spans="2:47">
      <c r="B2061" s="247">
        <f>'Table S2 Compound Identifiers'!C2063</f>
        <v>0</v>
      </c>
      <c r="C2061" s="247">
        <f>COUNTIF($D$6:D2061,"&lt;&gt;"&amp;"")</f>
        <v>2056</v>
      </c>
      <c r="D2061" s="432">
        <f>'Table S2 Compound Identifiers'!B2063</f>
        <v>0</v>
      </c>
      <c r="E2061" s="247"/>
      <c r="F2061" s="248"/>
      <c r="G2061" s="249"/>
      <c r="H2061" s="330"/>
      <c r="I2061" s="328"/>
      <c r="J2061" s="249"/>
      <c r="K2061" s="330"/>
      <c r="L2061" s="250"/>
      <c r="M2061" s="249"/>
      <c r="N2061" s="330"/>
      <c r="O2061" s="250"/>
      <c r="P2061" s="249"/>
      <c r="Q2061" s="330"/>
      <c r="R2061" s="250"/>
      <c r="S2061" s="249"/>
      <c r="T2061" s="330"/>
      <c r="U2061" s="250"/>
      <c r="V2061" s="249"/>
      <c r="W2061" s="330"/>
      <c r="X2061" s="343"/>
      <c r="Y2061" s="249"/>
      <c r="Z2061" s="330"/>
      <c r="AA2061" s="343"/>
      <c r="AB2061" s="249"/>
      <c r="AC2061" s="330"/>
      <c r="AD2061" s="343"/>
      <c r="AE2061" s="249"/>
      <c r="AF2061" s="330"/>
      <c r="AG2061" s="343"/>
      <c r="AH2061" s="249"/>
      <c r="AI2061" s="330"/>
      <c r="AJ2061" s="343"/>
      <c r="AK2061" s="249"/>
      <c r="AL2061" s="330"/>
      <c r="AM2061" s="343"/>
      <c r="AN2061" s="249"/>
      <c r="AO2061" s="330"/>
      <c r="AP2061" s="343"/>
      <c r="AQ2061" s="249"/>
      <c r="AR2061" s="330"/>
      <c r="AS2061" s="343"/>
      <c r="AT2061" s="249"/>
      <c r="AU2061" s="330"/>
    </row>
    <row r="2062" spans="2:47">
      <c r="B2062" s="247">
        <f>'Table S2 Compound Identifiers'!C2064</f>
        <v>0</v>
      </c>
      <c r="C2062" s="247">
        <f>COUNTIF($D$6:D2062,"&lt;&gt;"&amp;"")</f>
        <v>2057</v>
      </c>
      <c r="D2062" s="432">
        <f>'Table S2 Compound Identifiers'!B2064</f>
        <v>0</v>
      </c>
      <c r="E2062" s="247"/>
      <c r="F2062" s="248"/>
      <c r="G2062" s="249"/>
      <c r="H2062" s="330"/>
      <c r="I2062" s="328"/>
      <c r="J2062" s="249"/>
      <c r="K2062" s="330"/>
      <c r="L2062" s="250"/>
      <c r="M2062" s="249"/>
      <c r="N2062" s="330"/>
      <c r="O2062" s="250"/>
      <c r="P2062" s="249"/>
      <c r="Q2062" s="330"/>
      <c r="R2062" s="250"/>
      <c r="S2062" s="249"/>
      <c r="T2062" s="330"/>
      <c r="U2062" s="250"/>
      <c r="V2062" s="249"/>
      <c r="W2062" s="330"/>
      <c r="X2062" s="343"/>
      <c r="Y2062" s="249"/>
      <c r="Z2062" s="330"/>
      <c r="AA2062" s="343"/>
      <c r="AB2062" s="249"/>
      <c r="AC2062" s="330"/>
      <c r="AD2062" s="343"/>
      <c r="AE2062" s="249"/>
      <c r="AF2062" s="330"/>
      <c r="AG2062" s="343"/>
      <c r="AH2062" s="249"/>
      <c r="AI2062" s="330"/>
      <c r="AJ2062" s="343"/>
      <c r="AK2062" s="249"/>
      <c r="AL2062" s="330"/>
      <c r="AM2062" s="343"/>
      <c r="AN2062" s="249"/>
      <c r="AO2062" s="330"/>
      <c r="AP2062" s="343"/>
      <c r="AQ2062" s="249"/>
      <c r="AR2062" s="330"/>
      <c r="AS2062" s="343"/>
      <c r="AT2062" s="249"/>
      <c r="AU2062" s="330"/>
    </row>
    <row r="2063" spans="2:47">
      <c r="B2063" s="247">
        <f>'Table S2 Compound Identifiers'!C2065</f>
        <v>0</v>
      </c>
      <c r="C2063" s="247">
        <f>COUNTIF($D$6:D2063,"&lt;&gt;"&amp;"")</f>
        <v>2058</v>
      </c>
      <c r="D2063" s="432">
        <f>'Table S2 Compound Identifiers'!B2065</f>
        <v>0</v>
      </c>
      <c r="E2063" s="247"/>
      <c r="F2063" s="248"/>
      <c r="G2063" s="249"/>
      <c r="H2063" s="330"/>
      <c r="I2063" s="328"/>
      <c r="J2063" s="249"/>
      <c r="K2063" s="330"/>
      <c r="L2063" s="250"/>
      <c r="M2063" s="249"/>
      <c r="N2063" s="330"/>
      <c r="O2063" s="250"/>
      <c r="P2063" s="249"/>
      <c r="Q2063" s="330"/>
      <c r="R2063" s="250"/>
      <c r="S2063" s="249"/>
      <c r="T2063" s="330"/>
      <c r="U2063" s="250"/>
      <c r="V2063" s="249"/>
      <c r="W2063" s="330"/>
      <c r="X2063" s="343"/>
      <c r="Y2063" s="249"/>
      <c r="Z2063" s="330"/>
      <c r="AA2063" s="343"/>
      <c r="AB2063" s="249"/>
      <c r="AC2063" s="330"/>
      <c r="AD2063" s="343"/>
      <c r="AE2063" s="249"/>
      <c r="AF2063" s="330"/>
      <c r="AG2063" s="343"/>
      <c r="AH2063" s="249"/>
      <c r="AI2063" s="330"/>
      <c r="AJ2063" s="343"/>
      <c r="AK2063" s="249"/>
      <c r="AL2063" s="330"/>
      <c r="AM2063" s="343"/>
      <c r="AN2063" s="249"/>
      <c r="AO2063" s="330"/>
      <c r="AP2063" s="343"/>
      <c r="AQ2063" s="249"/>
      <c r="AR2063" s="330"/>
      <c r="AS2063" s="343"/>
      <c r="AT2063" s="249"/>
      <c r="AU2063" s="330"/>
    </row>
    <row r="2064" spans="2:47">
      <c r="B2064" s="247">
        <f>'Table S2 Compound Identifiers'!C2066</f>
        <v>0</v>
      </c>
      <c r="C2064" s="247">
        <f>COUNTIF($D$6:D2064,"&lt;&gt;"&amp;"")</f>
        <v>2059</v>
      </c>
      <c r="D2064" s="432">
        <f>'Table S2 Compound Identifiers'!B2066</f>
        <v>0</v>
      </c>
      <c r="E2064" s="247"/>
      <c r="F2064" s="248"/>
      <c r="G2064" s="249"/>
      <c r="H2064" s="330"/>
      <c r="I2064" s="328"/>
      <c r="J2064" s="249"/>
      <c r="K2064" s="330"/>
      <c r="L2064" s="250"/>
      <c r="M2064" s="249"/>
      <c r="N2064" s="330"/>
      <c r="O2064" s="250"/>
      <c r="P2064" s="249"/>
      <c r="Q2064" s="330"/>
      <c r="R2064" s="250"/>
      <c r="S2064" s="249"/>
      <c r="T2064" s="330"/>
      <c r="U2064" s="250"/>
      <c r="V2064" s="249"/>
      <c r="W2064" s="330"/>
      <c r="X2064" s="343"/>
      <c r="Y2064" s="249"/>
      <c r="Z2064" s="330"/>
      <c r="AA2064" s="343"/>
      <c r="AB2064" s="249"/>
      <c r="AC2064" s="330"/>
      <c r="AD2064" s="343"/>
      <c r="AE2064" s="249"/>
      <c r="AF2064" s="330"/>
      <c r="AG2064" s="343"/>
      <c r="AH2064" s="249"/>
      <c r="AI2064" s="330"/>
      <c r="AJ2064" s="343"/>
      <c r="AK2064" s="249"/>
      <c r="AL2064" s="330"/>
      <c r="AM2064" s="343"/>
      <c r="AN2064" s="249"/>
      <c r="AO2064" s="330"/>
      <c r="AP2064" s="343"/>
      <c r="AQ2064" s="249"/>
      <c r="AR2064" s="330"/>
      <c r="AS2064" s="343"/>
      <c r="AT2064" s="249"/>
      <c r="AU2064" s="330"/>
    </row>
    <row r="2065" spans="2:47">
      <c r="B2065" s="247">
        <f>'Table S2 Compound Identifiers'!C2067</f>
        <v>0</v>
      </c>
      <c r="C2065" s="247">
        <f>COUNTIF($D$6:D2065,"&lt;&gt;"&amp;"")</f>
        <v>2060</v>
      </c>
      <c r="D2065" s="432">
        <f>'Table S2 Compound Identifiers'!B2067</f>
        <v>0</v>
      </c>
      <c r="E2065" s="247"/>
      <c r="F2065" s="248"/>
      <c r="G2065" s="249"/>
      <c r="H2065" s="330"/>
      <c r="I2065" s="328"/>
      <c r="J2065" s="249"/>
      <c r="K2065" s="330"/>
      <c r="L2065" s="250"/>
      <c r="M2065" s="249"/>
      <c r="N2065" s="330"/>
      <c r="O2065" s="250"/>
      <c r="P2065" s="249"/>
      <c r="Q2065" s="330"/>
      <c r="R2065" s="250"/>
      <c r="S2065" s="249"/>
      <c r="T2065" s="330"/>
      <c r="U2065" s="250"/>
      <c r="V2065" s="249"/>
      <c r="W2065" s="330"/>
      <c r="X2065" s="343"/>
      <c r="Y2065" s="249"/>
      <c r="Z2065" s="330"/>
      <c r="AA2065" s="343"/>
      <c r="AB2065" s="249"/>
      <c r="AC2065" s="330"/>
      <c r="AD2065" s="343"/>
      <c r="AE2065" s="249"/>
      <c r="AF2065" s="330"/>
      <c r="AG2065" s="343"/>
      <c r="AH2065" s="249"/>
      <c r="AI2065" s="330"/>
      <c r="AJ2065" s="343"/>
      <c r="AK2065" s="249"/>
      <c r="AL2065" s="330"/>
      <c r="AM2065" s="343"/>
      <c r="AN2065" s="249"/>
      <c r="AO2065" s="330"/>
      <c r="AP2065" s="343"/>
      <c r="AQ2065" s="249"/>
      <c r="AR2065" s="330"/>
      <c r="AS2065" s="343"/>
      <c r="AT2065" s="249"/>
      <c r="AU2065" s="330"/>
    </row>
    <row r="2066" spans="2:47">
      <c r="B2066" s="247">
        <f>'Table S2 Compound Identifiers'!C2068</f>
        <v>0</v>
      </c>
      <c r="C2066" s="247">
        <f>COUNTIF($D$6:D2066,"&lt;&gt;"&amp;"")</f>
        <v>2061</v>
      </c>
      <c r="D2066" s="432">
        <f>'Table S2 Compound Identifiers'!B2068</f>
        <v>0</v>
      </c>
      <c r="E2066" s="247"/>
      <c r="F2066" s="248"/>
      <c r="G2066" s="249"/>
      <c r="H2066" s="330"/>
      <c r="I2066" s="328"/>
      <c r="J2066" s="249"/>
      <c r="K2066" s="330"/>
      <c r="L2066" s="250"/>
      <c r="M2066" s="249"/>
      <c r="N2066" s="330"/>
      <c r="O2066" s="250"/>
      <c r="P2066" s="249"/>
      <c r="Q2066" s="330"/>
      <c r="R2066" s="250"/>
      <c r="S2066" s="249"/>
      <c r="T2066" s="330"/>
      <c r="U2066" s="250"/>
      <c r="V2066" s="249"/>
      <c r="W2066" s="330"/>
      <c r="X2066" s="343"/>
      <c r="Y2066" s="249"/>
      <c r="Z2066" s="330"/>
      <c r="AA2066" s="343"/>
      <c r="AB2066" s="249"/>
      <c r="AC2066" s="330"/>
      <c r="AD2066" s="343"/>
      <c r="AE2066" s="249"/>
      <c r="AF2066" s="330"/>
      <c r="AG2066" s="343"/>
      <c r="AH2066" s="249"/>
      <c r="AI2066" s="330"/>
      <c r="AJ2066" s="343"/>
      <c r="AK2066" s="249"/>
      <c r="AL2066" s="330"/>
      <c r="AM2066" s="343"/>
      <c r="AN2066" s="249"/>
      <c r="AO2066" s="330"/>
      <c r="AP2066" s="343"/>
      <c r="AQ2066" s="249"/>
      <c r="AR2066" s="330"/>
      <c r="AS2066" s="343"/>
      <c r="AT2066" s="249"/>
      <c r="AU2066" s="330"/>
    </row>
    <row r="2067" spans="2:47">
      <c r="B2067" s="247">
        <f>'Table S2 Compound Identifiers'!C2069</f>
        <v>0</v>
      </c>
      <c r="C2067" s="247">
        <f>COUNTIF($D$6:D2067,"&lt;&gt;"&amp;"")</f>
        <v>2062</v>
      </c>
      <c r="D2067" s="432">
        <f>'Table S2 Compound Identifiers'!B2069</f>
        <v>0</v>
      </c>
      <c r="E2067" s="247"/>
      <c r="F2067" s="248"/>
      <c r="G2067" s="249"/>
      <c r="H2067" s="330"/>
      <c r="I2067" s="328"/>
      <c r="J2067" s="249"/>
      <c r="K2067" s="330"/>
      <c r="L2067" s="250"/>
      <c r="M2067" s="249"/>
      <c r="N2067" s="330"/>
      <c r="O2067" s="250"/>
      <c r="P2067" s="249"/>
      <c r="Q2067" s="330"/>
      <c r="R2067" s="250"/>
      <c r="S2067" s="249"/>
      <c r="T2067" s="330"/>
      <c r="U2067" s="250"/>
      <c r="V2067" s="249"/>
      <c r="W2067" s="330"/>
      <c r="X2067" s="343"/>
      <c r="Y2067" s="249"/>
      <c r="Z2067" s="330"/>
      <c r="AA2067" s="343"/>
      <c r="AB2067" s="249"/>
      <c r="AC2067" s="330"/>
      <c r="AD2067" s="343"/>
      <c r="AE2067" s="249"/>
      <c r="AF2067" s="330"/>
      <c r="AG2067" s="343"/>
      <c r="AH2067" s="249"/>
      <c r="AI2067" s="330"/>
      <c r="AJ2067" s="343"/>
      <c r="AK2067" s="249"/>
      <c r="AL2067" s="330"/>
      <c r="AM2067" s="343"/>
      <c r="AN2067" s="249"/>
      <c r="AO2067" s="330"/>
      <c r="AP2067" s="343"/>
      <c r="AQ2067" s="249"/>
      <c r="AR2067" s="330"/>
      <c r="AS2067" s="343"/>
      <c r="AT2067" s="249"/>
      <c r="AU2067" s="330"/>
    </row>
    <row r="2068" spans="2:47">
      <c r="B2068" s="247">
        <f>'Table S2 Compound Identifiers'!C2070</f>
        <v>0</v>
      </c>
      <c r="C2068" s="247">
        <f>COUNTIF($D$6:D2068,"&lt;&gt;"&amp;"")</f>
        <v>2063</v>
      </c>
      <c r="D2068" s="432">
        <f>'Table S2 Compound Identifiers'!B2070</f>
        <v>0</v>
      </c>
      <c r="E2068" s="247"/>
      <c r="F2068" s="248"/>
      <c r="G2068" s="249"/>
      <c r="H2068" s="330"/>
      <c r="I2068" s="328"/>
      <c r="J2068" s="249"/>
      <c r="K2068" s="330"/>
      <c r="L2068" s="250"/>
      <c r="M2068" s="249"/>
      <c r="N2068" s="330"/>
      <c r="O2068" s="250"/>
      <c r="P2068" s="249"/>
      <c r="Q2068" s="330"/>
      <c r="R2068" s="250"/>
      <c r="S2068" s="249"/>
      <c r="T2068" s="330"/>
      <c r="U2068" s="250"/>
      <c r="V2068" s="249"/>
      <c r="W2068" s="330"/>
      <c r="X2068" s="343"/>
      <c r="Y2068" s="249"/>
      <c r="Z2068" s="330"/>
      <c r="AA2068" s="343"/>
      <c r="AB2068" s="249"/>
      <c r="AC2068" s="330"/>
      <c r="AD2068" s="343"/>
      <c r="AE2068" s="249"/>
      <c r="AF2068" s="330"/>
      <c r="AG2068" s="343"/>
      <c r="AH2068" s="249"/>
      <c r="AI2068" s="330"/>
      <c r="AJ2068" s="343"/>
      <c r="AK2068" s="249"/>
      <c r="AL2068" s="330"/>
      <c r="AM2068" s="343"/>
      <c r="AN2068" s="249"/>
      <c r="AO2068" s="330"/>
      <c r="AP2068" s="343"/>
      <c r="AQ2068" s="249"/>
      <c r="AR2068" s="330"/>
      <c r="AS2068" s="343"/>
      <c r="AT2068" s="249"/>
      <c r="AU2068" s="330"/>
    </row>
    <row r="2069" spans="2:47">
      <c r="B2069" s="247">
        <f>'Table S2 Compound Identifiers'!C2071</f>
        <v>0</v>
      </c>
      <c r="C2069" s="247">
        <f>COUNTIF($D$6:D2069,"&lt;&gt;"&amp;"")</f>
        <v>2064</v>
      </c>
      <c r="D2069" s="432">
        <f>'Table S2 Compound Identifiers'!B2071</f>
        <v>0</v>
      </c>
      <c r="E2069" s="247"/>
      <c r="F2069" s="248"/>
      <c r="G2069" s="249"/>
      <c r="H2069" s="330"/>
      <c r="I2069" s="328"/>
      <c r="J2069" s="249"/>
      <c r="K2069" s="330"/>
      <c r="L2069" s="250"/>
      <c r="M2069" s="249"/>
      <c r="N2069" s="330"/>
      <c r="O2069" s="250"/>
      <c r="P2069" s="249"/>
      <c r="Q2069" s="330"/>
      <c r="R2069" s="250"/>
      <c r="S2069" s="249"/>
      <c r="T2069" s="330"/>
      <c r="U2069" s="250"/>
      <c r="V2069" s="249"/>
      <c r="W2069" s="330"/>
      <c r="X2069" s="343"/>
      <c r="Y2069" s="249"/>
      <c r="Z2069" s="330"/>
      <c r="AA2069" s="343"/>
      <c r="AB2069" s="249"/>
      <c r="AC2069" s="330"/>
      <c r="AD2069" s="343"/>
      <c r="AE2069" s="249"/>
      <c r="AF2069" s="330"/>
      <c r="AG2069" s="343"/>
      <c r="AH2069" s="249"/>
      <c r="AI2069" s="330"/>
      <c r="AJ2069" s="343"/>
      <c r="AK2069" s="249"/>
      <c r="AL2069" s="330"/>
      <c r="AM2069" s="343"/>
      <c r="AN2069" s="249"/>
      <c r="AO2069" s="330"/>
      <c r="AP2069" s="343"/>
      <c r="AQ2069" s="249"/>
      <c r="AR2069" s="330"/>
      <c r="AS2069" s="343"/>
      <c r="AT2069" s="249"/>
      <c r="AU2069" s="330"/>
    </row>
    <row r="2070" spans="2:47">
      <c r="B2070" s="247">
        <f>'Table S2 Compound Identifiers'!C2072</f>
        <v>0</v>
      </c>
      <c r="C2070" s="247">
        <f>COUNTIF($D$6:D2070,"&lt;&gt;"&amp;"")</f>
        <v>2065</v>
      </c>
      <c r="D2070" s="247">
        <f>'Table S2 Compound Identifiers'!B2072</f>
        <v>0</v>
      </c>
      <c r="E2070" s="247"/>
      <c r="F2070" s="248"/>
      <c r="G2070" s="249"/>
      <c r="H2070" s="330"/>
      <c r="I2070" s="328"/>
      <c r="J2070" s="249"/>
      <c r="K2070" s="330"/>
      <c r="L2070" s="250"/>
      <c r="M2070" s="249"/>
      <c r="N2070" s="330"/>
      <c r="O2070" s="250"/>
      <c r="P2070" s="249"/>
      <c r="Q2070" s="330"/>
      <c r="R2070" s="250"/>
      <c r="S2070" s="249"/>
      <c r="T2070" s="330"/>
      <c r="U2070" s="250"/>
      <c r="V2070" s="249"/>
      <c r="W2070" s="330"/>
      <c r="X2070" s="343"/>
      <c r="Y2070" s="249"/>
      <c r="Z2070" s="330"/>
      <c r="AA2070" s="343"/>
      <c r="AB2070" s="249"/>
      <c r="AC2070" s="330"/>
      <c r="AD2070" s="343"/>
      <c r="AE2070" s="249"/>
      <c r="AF2070" s="330"/>
      <c r="AG2070" s="343"/>
      <c r="AH2070" s="249"/>
      <c r="AI2070" s="330"/>
      <c r="AJ2070" s="343"/>
      <c r="AK2070" s="249"/>
      <c r="AL2070" s="330"/>
      <c r="AM2070" s="343"/>
      <c r="AN2070" s="249"/>
      <c r="AO2070" s="330"/>
      <c r="AP2070" s="343"/>
      <c r="AQ2070" s="249"/>
      <c r="AR2070" s="330"/>
      <c r="AS2070" s="343"/>
      <c r="AT2070" s="249"/>
      <c r="AU2070" s="330"/>
    </row>
    <row r="2071" spans="2:47">
      <c r="B2071" s="247">
        <f>'Table S2 Compound Identifiers'!C2073</f>
        <v>0</v>
      </c>
      <c r="C2071" s="247">
        <f>COUNTIF($D$6:D2071,"&lt;&gt;"&amp;"")</f>
        <v>2066</v>
      </c>
      <c r="D2071" s="247">
        <f>'Table S2 Compound Identifiers'!B2073</f>
        <v>0</v>
      </c>
      <c r="E2071" s="247"/>
      <c r="F2071" s="248"/>
      <c r="G2071" s="249"/>
      <c r="H2071" s="330"/>
      <c r="I2071" s="328"/>
      <c r="J2071" s="249"/>
      <c r="K2071" s="330"/>
      <c r="L2071" s="250"/>
      <c r="M2071" s="249"/>
      <c r="N2071" s="330"/>
      <c r="O2071" s="250"/>
      <c r="P2071" s="249"/>
      <c r="Q2071" s="330"/>
      <c r="R2071" s="250"/>
      <c r="S2071" s="249"/>
      <c r="T2071" s="330"/>
      <c r="U2071" s="250"/>
      <c r="V2071" s="249"/>
      <c r="W2071" s="330"/>
      <c r="X2071" s="343"/>
      <c r="Y2071" s="249"/>
      <c r="Z2071" s="330"/>
      <c r="AA2071" s="343"/>
      <c r="AB2071" s="249"/>
      <c r="AC2071" s="330"/>
      <c r="AD2071" s="343"/>
      <c r="AE2071" s="249"/>
      <c r="AF2071" s="330"/>
      <c r="AG2071" s="343"/>
      <c r="AH2071" s="249"/>
      <c r="AI2071" s="330"/>
      <c r="AJ2071" s="343"/>
      <c r="AK2071" s="249"/>
      <c r="AL2071" s="330"/>
      <c r="AM2071" s="343"/>
      <c r="AN2071" s="249"/>
      <c r="AO2071" s="330"/>
      <c r="AP2071" s="343"/>
      <c r="AQ2071" s="249"/>
      <c r="AR2071" s="330"/>
      <c r="AS2071" s="343"/>
      <c r="AT2071" s="249"/>
      <c r="AU2071" s="330"/>
    </row>
    <row r="2072" spans="2:47">
      <c r="B2072" s="247">
        <f>'Table S2 Compound Identifiers'!C2074</f>
        <v>0</v>
      </c>
      <c r="C2072" s="247">
        <f>COUNTIF($D$6:D2072,"&lt;&gt;"&amp;"")</f>
        <v>2067</v>
      </c>
      <c r="D2072" s="247">
        <f>'Table S2 Compound Identifiers'!B2074</f>
        <v>0</v>
      </c>
      <c r="E2072" s="247"/>
      <c r="F2072" s="248"/>
      <c r="G2072" s="249"/>
      <c r="H2072" s="330"/>
      <c r="I2072" s="328"/>
      <c r="J2072" s="249"/>
      <c r="K2072" s="330"/>
      <c r="L2072" s="250"/>
      <c r="M2072" s="249"/>
      <c r="N2072" s="330"/>
      <c r="O2072" s="250"/>
      <c r="P2072" s="249"/>
      <c r="Q2072" s="330"/>
      <c r="R2072" s="250"/>
      <c r="S2072" s="249"/>
      <c r="T2072" s="330"/>
      <c r="U2072" s="250"/>
      <c r="V2072" s="249"/>
      <c r="W2072" s="330"/>
      <c r="X2072" s="343"/>
      <c r="Y2072" s="249"/>
      <c r="Z2072" s="330"/>
      <c r="AA2072" s="343"/>
      <c r="AB2072" s="249"/>
      <c r="AC2072" s="330"/>
      <c r="AD2072" s="343"/>
      <c r="AE2072" s="249"/>
      <c r="AF2072" s="330"/>
      <c r="AG2072" s="343"/>
      <c r="AH2072" s="249"/>
      <c r="AI2072" s="330"/>
      <c r="AJ2072" s="343"/>
      <c r="AK2072" s="249"/>
      <c r="AL2072" s="330"/>
      <c r="AM2072" s="343"/>
      <c r="AN2072" s="249"/>
      <c r="AO2072" s="330"/>
      <c r="AP2072" s="343"/>
      <c r="AQ2072" s="249"/>
      <c r="AR2072" s="330"/>
      <c r="AS2072" s="343"/>
      <c r="AT2072" s="249"/>
      <c r="AU2072" s="330"/>
    </row>
    <row r="2073" spans="2:47">
      <c r="B2073" s="247">
        <f>'Table S2 Compound Identifiers'!C2075</f>
        <v>0</v>
      </c>
      <c r="C2073" s="247">
        <f>COUNTIF($D$6:D2073,"&lt;&gt;"&amp;"")</f>
        <v>2068</v>
      </c>
      <c r="D2073" s="247">
        <f>'Table S2 Compound Identifiers'!B2075</f>
        <v>0</v>
      </c>
      <c r="E2073" s="247"/>
      <c r="F2073" s="248"/>
      <c r="G2073" s="249"/>
      <c r="H2073" s="330"/>
      <c r="I2073" s="328"/>
      <c r="J2073" s="249"/>
      <c r="K2073" s="330"/>
      <c r="L2073" s="250"/>
      <c r="M2073" s="249"/>
      <c r="N2073" s="330"/>
      <c r="O2073" s="250"/>
      <c r="P2073" s="249"/>
      <c r="Q2073" s="330"/>
      <c r="R2073" s="250"/>
      <c r="S2073" s="249"/>
      <c r="T2073" s="330"/>
      <c r="U2073" s="250"/>
      <c r="V2073" s="249"/>
      <c r="W2073" s="330"/>
      <c r="X2073" s="343"/>
      <c r="Y2073" s="249"/>
      <c r="Z2073" s="330"/>
      <c r="AA2073" s="343"/>
      <c r="AB2073" s="249"/>
      <c r="AC2073" s="330"/>
      <c r="AD2073" s="343"/>
      <c r="AE2073" s="249"/>
      <c r="AF2073" s="330"/>
      <c r="AG2073" s="343"/>
      <c r="AH2073" s="249"/>
      <c r="AI2073" s="330"/>
      <c r="AJ2073" s="343"/>
      <c r="AK2073" s="249"/>
      <c r="AL2073" s="330"/>
      <c r="AM2073" s="343"/>
      <c r="AN2073" s="249"/>
      <c r="AO2073" s="330"/>
      <c r="AP2073" s="343"/>
      <c r="AQ2073" s="249"/>
      <c r="AR2073" s="330"/>
      <c r="AS2073" s="343"/>
      <c r="AT2073" s="249"/>
      <c r="AU2073" s="330"/>
    </row>
    <row r="2074" spans="2:47">
      <c r="B2074" s="247">
        <f>'Table S2 Compound Identifiers'!C2076</f>
        <v>0</v>
      </c>
      <c r="C2074" s="247">
        <f>COUNTIF($D$6:D2074,"&lt;&gt;"&amp;"")</f>
        <v>2069</v>
      </c>
      <c r="D2074" s="247">
        <f>'Table S2 Compound Identifiers'!B2076</f>
        <v>0</v>
      </c>
      <c r="E2074" s="247"/>
      <c r="F2074" s="248"/>
      <c r="G2074" s="249"/>
      <c r="H2074" s="330"/>
      <c r="I2074" s="328"/>
      <c r="J2074" s="249"/>
      <c r="K2074" s="330"/>
      <c r="L2074" s="250"/>
      <c r="M2074" s="249"/>
      <c r="N2074" s="330"/>
      <c r="O2074" s="250"/>
      <c r="P2074" s="249"/>
      <c r="Q2074" s="330"/>
      <c r="R2074" s="250"/>
      <c r="S2074" s="249"/>
      <c r="T2074" s="330"/>
      <c r="U2074" s="250"/>
      <c r="V2074" s="249"/>
      <c r="W2074" s="330"/>
      <c r="X2074" s="343"/>
      <c r="Y2074" s="249"/>
      <c r="Z2074" s="330"/>
      <c r="AA2074" s="343"/>
      <c r="AB2074" s="249"/>
      <c r="AC2074" s="330"/>
      <c r="AD2074" s="343"/>
      <c r="AE2074" s="249"/>
      <c r="AF2074" s="330"/>
      <c r="AG2074" s="343"/>
      <c r="AH2074" s="249"/>
      <c r="AI2074" s="330"/>
      <c r="AJ2074" s="343"/>
      <c r="AK2074" s="249"/>
      <c r="AL2074" s="330"/>
      <c r="AM2074" s="343"/>
      <c r="AN2074" s="249"/>
      <c r="AO2074" s="330"/>
      <c r="AP2074" s="343"/>
      <c r="AQ2074" s="249"/>
      <c r="AR2074" s="330"/>
      <c r="AS2074" s="343"/>
      <c r="AT2074" s="249"/>
      <c r="AU2074" s="330"/>
    </row>
    <row r="2075" spans="2:47">
      <c r="B2075" s="247">
        <f>'Table S2 Compound Identifiers'!C2077</f>
        <v>0</v>
      </c>
      <c r="C2075" s="247">
        <f>COUNTIF($D$6:D2075,"&lt;&gt;"&amp;"")</f>
        <v>2070</v>
      </c>
      <c r="D2075" s="247">
        <f>'Table S2 Compound Identifiers'!B2077</f>
        <v>0</v>
      </c>
      <c r="E2075" s="247"/>
      <c r="F2075" s="248"/>
      <c r="G2075" s="249"/>
      <c r="H2075" s="330"/>
      <c r="I2075" s="328"/>
      <c r="J2075" s="249"/>
      <c r="K2075" s="330"/>
      <c r="L2075" s="250"/>
      <c r="M2075" s="249"/>
      <c r="N2075" s="330"/>
      <c r="O2075" s="250"/>
      <c r="P2075" s="249"/>
      <c r="Q2075" s="330"/>
      <c r="R2075" s="250"/>
      <c r="S2075" s="249"/>
      <c r="T2075" s="330"/>
      <c r="U2075" s="250"/>
      <c r="V2075" s="249"/>
      <c r="W2075" s="330"/>
      <c r="X2075" s="343"/>
      <c r="Y2075" s="249"/>
      <c r="Z2075" s="330"/>
      <c r="AA2075" s="343"/>
      <c r="AB2075" s="249"/>
      <c r="AC2075" s="330"/>
      <c r="AD2075" s="343"/>
      <c r="AE2075" s="249"/>
      <c r="AF2075" s="330"/>
      <c r="AG2075" s="343"/>
      <c r="AH2075" s="249"/>
      <c r="AI2075" s="330"/>
      <c r="AJ2075" s="343"/>
      <c r="AK2075" s="249"/>
      <c r="AL2075" s="330"/>
      <c r="AM2075" s="343"/>
      <c r="AN2075" s="249"/>
      <c r="AO2075" s="330"/>
      <c r="AP2075" s="343"/>
      <c r="AQ2075" s="249"/>
      <c r="AR2075" s="330"/>
      <c r="AS2075" s="343"/>
      <c r="AT2075" s="249"/>
      <c r="AU2075" s="330"/>
    </row>
    <row r="2076" spans="2:47">
      <c r="B2076" s="247">
        <f>'Table S2 Compound Identifiers'!C2078</f>
        <v>0</v>
      </c>
      <c r="C2076" s="247">
        <f>COUNTIF($D$6:D2076,"&lt;&gt;"&amp;"")</f>
        <v>2071</v>
      </c>
      <c r="D2076" s="247">
        <f>'Table S2 Compound Identifiers'!B2078</f>
        <v>0</v>
      </c>
      <c r="E2076" s="247"/>
      <c r="F2076" s="248"/>
      <c r="G2076" s="249"/>
      <c r="H2076" s="330"/>
      <c r="I2076" s="328"/>
      <c r="J2076" s="249"/>
      <c r="K2076" s="330"/>
      <c r="L2076" s="250"/>
      <c r="M2076" s="249"/>
      <c r="N2076" s="330"/>
      <c r="O2076" s="251"/>
      <c r="P2076" s="252"/>
      <c r="Q2076" s="330"/>
      <c r="R2076" s="251"/>
      <c r="S2076" s="252"/>
      <c r="T2076" s="330"/>
      <c r="U2076" s="251"/>
      <c r="V2076" s="252"/>
      <c r="W2076" s="330"/>
      <c r="X2076" s="343"/>
      <c r="Y2076" s="249"/>
      <c r="Z2076" s="330"/>
      <c r="AA2076" s="343"/>
      <c r="AB2076" s="249"/>
      <c r="AC2076" s="330"/>
      <c r="AD2076" s="343"/>
      <c r="AE2076" s="249"/>
      <c r="AF2076" s="330"/>
      <c r="AG2076" s="343"/>
      <c r="AH2076" s="249"/>
      <c r="AI2076" s="330"/>
      <c r="AJ2076" s="343"/>
      <c r="AK2076" s="249"/>
      <c r="AL2076" s="330"/>
      <c r="AM2076" s="343"/>
      <c r="AN2076" s="249"/>
      <c r="AO2076" s="330"/>
      <c r="AP2076" s="343"/>
      <c r="AQ2076" s="249"/>
      <c r="AR2076" s="330"/>
      <c r="AS2076" s="343"/>
      <c r="AT2076" s="249"/>
      <c r="AU2076" s="330"/>
    </row>
    <row r="2077" spans="2:47">
      <c r="B2077" s="247">
        <f>'Table S2 Compound Identifiers'!C2079</f>
        <v>0</v>
      </c>
      <c r="C2077" s="253">
        <f>COUNTIF($D$6:D2077,"&lt;&gt;"&amp;"")</f>
        <v>2072</v>
      </c>
      <c r="D2077" s="253">
        <f>'Table S2 Compound Identifiers'!B2079</f>
        <v>0</v>
      </c>
      <c r="E2077" s="253"/>
      <c r="F2077" s="254"/>
      <c r="G2077" s="252"/>
      <c r="H2077" s="330"/>
      <c r="I2077" s="333"/>
      <c r="J2077" s="252"/>
      <c r="K2077" s="330"/>
      <c r="L2077" s="251"/>
      <c r="M2077" s="252"/>
      <c r="N2077" s="330"/>
      <c r="O2077" s="251"/>
      <c r="P2077" s="252"/>
      <c r="Q2077" s="330"/>
      <c r="R2077" s="251"/>
      <c r="S2077" s="252"/>
      <c r="T2077" s="330"/>
      <c r="U2077" s="251"/>
      <c r="V2077" s="252"/>
      <c r="W2077" s="330"/>
      <c r="X2077" s="343"/>
      <c r="Y2077" s="249"/>
      <c r="Z2077" s="330"/>
      <c r="AA2077" s="343"/>
      <c r="AB2077" s="249"/>
      <c r="AC2077" s="330"/>
      <c r="AD2077" s="343"/>
      <c r="AE2077" s="249"/>
      <c r="AF2077" s="330"/>
      <c r="AG2077" s="343"/>
      <c r="AH2077" s="249"/>
      <c r="AI2077" s="330"/>
      <c r="AJ2077" s="343"/>
      <c r="AK2077" s="249"/>
      <c r="AL2077" s="330"/>
      <c r="AM2077" s="343"/>
      <c r="AN2077" s="249"/>
      <c r="AO2077" s="330"/>
      <c r="AP2077" s="343"/>
      <c r="AQ2077" s="249"/>
      <c r="AR2077" s="330"/>
      <c r="AS2077" s="343"/>
      <c r="AT2077" s="249"/>
      <c r="AU2077" s="330"/>
    </row>
    <row r="2078" spans="2:47">
      <c r="B2078" s="247">
        <f>'Table S2 Compound Identifiers'!C2080</f>
        <v>0</v>
      </c>
      <c r="C2078" s="247">
        <f>COUNTIF($D$6:D2078,"&lt;&gt;"&amp;"")</f>
        <v>2073</v>
      </c>
      <c r="D2078" s="247">
        <f>'Table S2 Compound Identifiers'!B2080</f>
        <v>0</v>
      </c>
      <c r="E2078" s="247"/>
      <c r="F2078" s="248"/>
      <c r="G2078" s="250"/>
      <c r="H2078" s="330"/>
      <c r="I2078" s="343"/>
      <c r="J2078" s="249"/>
      <c r="K2078" s="327"/>
      <c r="L2078" s="343"/>
      <c r="M2078" s="249"/>
      <c r="N2078" s="327"/>
      <c r="O2078" s="343"/>
      <c r="P2078" s="249"/>
      <c r="Q2078" s="327"/>
      <c r="R2078" s="343"/>
      <c r="S2078" s="249"/>
      <c r="T2078" s="327"/>
      <c r="U2078" s="343"/>
      <c r="V2078" s="249"/>
      <c r="W2078" s="327"/>
      <c r="X2078" s="343"/>
      <c r="Y2078" s="249"/>
      <c r="Z2078" s="327"/>
      <c r="AA2078" s="343"/>
      <c r="AB2078" s="249"/>
      <c r="AC2078" s="343"/>
      <c r="AD2078" s="343"/>
      <c r="AE2078" s="249"/>
      <c r="AF2078" s="249"/>
      <c r="AG2078" s="343"/>
      <c r="AH2078" s="249"/>
      <c r="AI2078" s="343"/>
      <c r="AJ2078" s="343"/>
      <c r="AK2078" s="249"/>
      <c r="AL2078" s="249"/>
      <c r="AM2078" s="343"/>
      <c r="AN2078" s="249"/>
      <c r="AO2078" s="343"/>
      <c r="AP2078" s="343"/>
      <c r="AQ2078" s="249"/>
      <c r="AR2078" s="249"/>
      <c r="AS2078" s="343"/>
      <c r="AT2078" s="249"/>
      <c r="AU2078" s="343"/>
    </row>
    <row r="2079" spans="2:47">
      <c r="B2079" s="247">
        <f>'Table S2 Compound Identifiers'!C2081</f>
        <v>0</v>
      </c>
      <c r="C2079" s="247">
        <f>COUNTIF($D$6:D2079,"&lt;&gt;"&amp;"")</f>
        <v>2074</v>
      </c>
      <c r="D2079" s="247">
        <f>'Table S2 Compound Identifiers'!B2081</f>
        <v>0</v>
      </c>
      <c r="E2079" s="247"/>
      <c r="F2079" s="248"/>
      <c r="G2079" s="249"/>
      <c r="H2079" s="330"/>
      <c r="I2079" s="332"/>
      <c r="J2079" s="330"/>
      <c r="K2079" s="330"/>
      <c r="L2079" s="330"/>
      <c r="M2079" s="330"/>
      <c r="N2079" s="330"/>
      <c r="O2079" s="330"/>
      <c r="P2079" s="330"/>
      <c r="Q2079" s="330"/>
      <c r="R2079" s="330"/>
      <c r="S2079" s="330"/>
      <c r="T2079" s="330"/>
      <c r="U2079" s="330"/>
      <c r="V2079" s="330"/>
      <c r="W2079" s="330"/>
      <c r="X2079" s="343"/>
      <c r="Y2079" s="249"/>
      <c r="Z2079" s="330"/>
      <c r="AA2079" s="343"/>
      <c r="AB2079" s="249"/>
      <c r="AC2079" s="330"/>
      <c r="AD2079" s="343"/>
      <c r="AE2079" s="249"/>
      <c r="AF2079" s="330"/>
      <c r="AG2079" s="343"/>
      <c r="AH2079" s="249"/>
      <c r="AI2079" s="330"/>
      <c r="AJ2079" s="343"/>
      <c r="AK2079" s="249"/>
      <c r="AL2079" s="330"/>
      <c r="AM2079" s="343"/>
      <c r="AN2079" s="249"/>
      <c r="AO2079" s="330"/>
      <c r="AP2079" s="343"/>
      <c r="AQ2079" s="249"/>
      <c r="AR2079" s="330"/>
      <c r="AS2079" s="343"/>
      <c r="AT2079" s="249"/>
      <c r="AU2079" s="330"/>
    </row>
    <row r="2080" spans="2:47">
      <c r="B2080" s="247">
        <f>'Table S2 Compound Identifiers'!C2082</f>
        <v>0</v>
      </c>
      <c r="C2080" s="247">
        <f>COUNTIF($D$6:D2080,"&lt;&gt;"&amp;"")</f>
        <v>2075</v>
      </c>
      <c r="D2080" s="247">
        <f>'Table S2 Compound Identifiers'!B2082</f>
        <v>0</v>
      </c>
      <c r="E2080" s="247"/>
      <c r="F2080" s="248"/>
      <c r="G2080" s="249"/>
      <c r="H2080" s="330"/>
      <c r="I2080" s="332"/>
      <c r="J2080" s="330"/>
      <c r="K2080" s="330"/>
      <c r="L2080" s="330"/>
      <c r="M2080" s="330"/>
      <c r="N2080" s="330"/>
      <c r="O2080" s="330"/>
      <c r="P2080" s="330"/>
      <c r="Q2080" s="330"/>
      <c r="R2080" s="330"/>
      <c r="S2080" s="330"/>
      <c r="T2080" s="330"/>
      <c r="U2080" s="330"/>
      <c r="V2080" s="330"/>
      <c r="W2080" s="330"/>
      <c r="X2080" s="343"/>
      <c r="Y2080" s="249"/>
      <c r="Z2080" s="330"/>
      <c r="AA2080" s="343"/>
      <c r="AB2080" s="249"/>
      <c r="AC2080" s="330"/>
      <c r="AD2080" s="343"/>
      <c r="AE2080" s="249"/>
      <c r="AF2080" s="330"/>
      <c r="AG2080" s="343"/>
      <c r="AH2080" s="249"/>
      <c r="AI2080" s="330"/>
      <c r="AJ2080" s="343"/>
      <c r="AK2080" s="249"/>
      <c r="AL2080" s="330"/>
      <c r="AM2080" s="343"/>
      <c r="AN2080" s="249"/>
      <c r="AO2080" s="330"/>
      <c r="AP2080" s="343"/>
      <c r="AQ2080" s="249"/>
      <c r="AR2080" s="330"/>
      <c r="AS2080" s="343"/>
      <c r="AT2080" s="249"/>
      <c r="AU2080" s="330"/>
    </row>
    <row r="2081" spans="2:47">
      <c r="B2081" s="247">
        <f>'Table S2 Compound Identifiers'!C2083</f>
        <v>0</v>
      </c>
      <c r="C2081" s="247">
        <f>COUNTIF($D$6:D2081,"&lt;&gt;"&amp;"")</f>
        <v>2076</v>
      </c>
      <c r="D2081" s="247">
        <f>'Table S2 Compound Identifiers'!B2083</f>
        <v>0</v>
      </c>
      <c r="E2081" s="247"/>
      <c r="F2081" s="248"/>
      <c r="G2081" s="249"/>
      <c r="H2081" s="330"/>
      <c r="I2081" s="332"/>
      <c r="J2081" s="330"/>
      <c r="K2081" s="330"/>
      <c r="L2081" s="330"/>
      <c r="M2081" s="330"/>
      <c r="N2081" s="330"/>
      <c r="O2081" s="330"/>
      <c r="P2081" s="330"/>
      <c r="Q2081" s="330"/>
      <c r="R2081" s="330"/>
      <c r="S2081" s="330"/>
      <c r="T2081" s="330"/>
      <c r="U2081" s="330"/>
      <c r="V2081" s="330"/>
      <c r="W2081" s="330"/>
      <c r="X2081" s="343"/>
      <c r="Y2081" s="249"/>
      <c r="Z2081" s="330"/>
      <c r="AA2081" s="343"/>
      <c r="AB2081" s="249"/>
      <c r="AC2081" s="330"/>
      <c r="AD2081" s="343"/>
      <c r="AE2081" s="249"/>
      <c r="AF2081" s="330"/>
      <c r="AG2081" s="343"/>
      <c r="AH2081" s="249"/>
      <c r="AI2081" s="330"/>
      <c r="AJ2081" s="343"/>
      <c r="AK2081" s="249"/>
      <c r="AL2081" s="330"/>
      <c r="AM2081" s="343"/>
      <c r="AN2081" s="249"/>
      <c r="AO2081" s="330"/>
      <c r="AP2081" s="343"/>
      <c r="AQ2081" s="249"/>
      <c r="AR2081" s="330"/>
      <c r="AS2081" s="343"/>
      <c r="AT2081" s="249"/>
      <c r="AU2081" s="330"/>
    </row>
    <row r="2082" spans="2:47">
      <c r="B2082" s="247">
        <f>'Table S2 Compound Identifiers'!C2084</f>
        <v>0</v>
      </c>
      <c r="C2082" s="247">
        <f>COUNTIF($D$6:D2082,"&lt;&gt;"&amp;"")</f>
        <v>2077</v>
      </c>
      <c r="D2082" s="247">
        <f>'Table S2 Compound Identifiers'!B2084</f>
        <v>0</v>
      </c>
      <c r="E2082" s="247"/>
      <c r="F2082" s="248"/>
      <c r="G2082" s="249"/>
      <c r="H2082" s="330"/>
      <c r="I2082" s="328"/>
      <c r="J2082" s="249"/>
      <c r="K2082" s="330"/>
      <c r="L2082" s="250"/>
      <c r="M2082" s="249"/>
      <c r="N2082" s="330"/>
      <c r="O2082" s="250"/>
      <c r="P2082" s="249"/>
      <c r="Q2082" s="330"/>
      <c r="R2082" s="250"/>
      <c r="S2082" s="249"/>
      <c r="T2082" s="330"/>
      <c r="U2082" s="250"/>
      <c r="V2082" s="249"/>
      <c r="W2082" s="330"/>
      <c r="X2082" s="343"/>
      <c r="Y2082" s="249"/>
      <c r="Z2082" s="330"/>
      <c r="AA2082" s="343"/>
      <c r="AB2082" s="249"/>
      <c r="AC2082" s="330"/>
      <c r="AD2082" s="343"/>
      <c r="AE2082" s="249"/>
      <c r="AF2082" s="330"/>
      <c r="AG2082" s="343"/>
      <c r="AH2082" s="249"/>
      <c r="AI2082" s="330"/>
      <c r="AJ2082" s="343"/>
      <c r="AK2082" s="249"/>
      <c r="AL2082" s="330"/>
      <c r="AM2082" s="343"/>
      <c r="AN2082" s="249"/>
      <c r="AO2082" s="330"/>
      <c r="AP2082" s="343"/>
      <c r="AQ2082" s="249"/>
      <c r="AR2082" s="330"/>
      <c r="AS2082" s="343"/>
      <c r="AT2082" s="249"/>
      <c r="AU2082" s="330"/>
    </row>
    <row r="2083" spans="2:47">
      <c r="B2083" s="247">
        <f>'Table S2 Compound Identifiers'!C2085</f>
        <v>0</v>
      </c>
      <c r="C2083" s="247">
        <f>COUNTIF($D$6:D2083,"&lt;&gt;"&amp;"")</f>
        <v>2078</v>
      </c>
      <c r="D2083" s="247">
        <f>'Table S2 Compound Identifiers'!B2085</f>
        <v>0</v>
      </c>
      <c r="E2083" s="247"/>
      <c r="F2083" s="248"/>
      <c r="G2083" s="249"/>
      <c r="H2083" s="330"/>
      <c r="I2083" s="328"/>
      <c r="J2083" s="249"/>
      <c r="K2083" s="330"/>
      <c r="L2083" s="250"/>
      <c r="M2083" s="249"/>
      <c r="N2083" s="330"/>
      <c r="O2083" s="250"/>
      <c r="P2083" s="249"/>
      <c r="Q2083" s="330"/>
      <c r="R2083" s="250"/>
      <c r="S2083" s="249"/>
      <c r="T2083" s="330"/>
      <c r="U2083" s="250"/>
      <c r="V2083" s="249"/>
      <c r="W2083" s="330"/>
      <c r="X2083" s="343"/>
      <c r="Y2083" s="249"/>
      <c r="Z2083" s="330"/>
      <c r="AA2083" s="343"/>
      <c r="AB2083" s="249"/>
      <c r="AC2083" s="330"/>
      <c r="AD2083" s="343"/>
      <c r="AE2083" s="249"/>
      <c r="AF2083" s="330"/>
      <c r="AG2083" s="343"/>
      <c r="AH2083" s="249"/>
      <c r="AI2083" s="330"/>
      <c r="AJ2083" s="343"/>
      <c r="AK2083" s="249"/>
      <c r="AL2083" s="330"/>
      <c r="AM2083" s="343"/>
      <c r="AN2083" s="249"/>
      <c r="AO2083" s="330"/>
      <c r="AP2083" s="343"/>
      <c r="AQ2083" s="249"/>
      <c r="AR2083" s="330"/>
      <c r="AS2083" s="343"/>
      <c r="AT2083" s="249"/>
      <c r="AU2083" s="330"/>
    </row>
    <row r="2084" spans="2:47">
      <c r="B2084" s="247">
        <f>'Table S2 Compound Identifiers'!C2086</f>
        <v>0</v>
      </c>
      <c r="C2084" s="247">
        <f>COUNTIF($D$6:D2084,"&lt;&gt;"&amp;"")</f>
        <v>2079</v>
      </c>
      <c r="D2084" s="247">
        <f>'Table S2 Compound Identifiers'!B2086</f>
        <v>0</v>
      </c>
      <c r="E2084" s="247"/>
      <c r="F2084" s="248"/>
      <c r="G2084" s="249"/>
      <c r="H2084" s="330"/>
      <c r="I2084" s="328"/>
      <c r="J2084" s="249"/>
      <c r="K2084" s="330"/>
      <c r="L2084" s="250"/>
      <c r="M2084" s="249"/>
      <c r="N2084" s="330"/>
      <c r="O2084" s="250"/>
      <c r="P2084" s="249"/>
      <c r="Q2084" s="330"/>
      <c r="R2084" s="250"/>
      <c r="S2084" s="249"/>
      <c r="T2084" s="330"/>
      <c r="U2084" s="250"/>
      <c r="V2084" s="249"/>
      <c r="W2084" s="330"/>
      <c r="X2084" s="343"/>
      <c r="Y2084" s="249"/>
      <c r="Z2084" s="330"/>
      <c r="AA2084" s="343"/>
      <c r="AB2084" s="249"/>
      <c r="AC2084" s="330"/>
      <c r="AD2084" s="343"/>
      <c r="AE2084" s="249"/>
      <c r="AF2084" s="330"/>
      <c r="AG2084" s="343"/>
      <c r="AH2084" s="249"/>
      <c r="AI2084" s="330"/>
      <c r="AJ2084" s="343"/>
      <c r="AK2084" s="249"/>
      <c r="AL2084" s="330"/>
      <c r="AM2084" s="343"/>
      <c r="AN2084" s="249"/>
      <c r="AO2084" s="330"/>
      <c r="AP2084" s="343"/>
      <c r="AQ2084" s="249"/>
      <c r="AR2084" s="330"/>
      <c r="AS2084" s="343"/>
      <c r="AT2084" s="249"/>
      <c r="AU2084" s="330"/>
    </row>
    <row r="2085" spans="2:47">
      <c r="B2085" s="247">
        <f>'Table S2 Compound Identifiers'!C2087</f>
        <v>0</v>
      </c>
      <c r="C2085" s="247">
        <f>COUNTIF($D$6:D2085,"&lt;&gt;"&amp;"")</f>
        <v>2080</v>
      </c>
      <c r="D2085" s="247">
        <f>'Table S2 Compound Identifiers'!B2087</f>
        <v>0</v>
      </c>
      <c r="E2085" s="247"/>
      <c r="F2085" s="248"/>
      <c r="G2085" s="249"/>
      <c r="H2085" s="330"/>
      <c r="I2085" s="328"/>
      <c r="J2085" s="249"/>
      <c r="K2085" s="330"/>
      <c r="L2085" s="250"/>
      <c r="M2085" s="249"/>
      <c r="N2085" s="330"/>
      <c r="O2085" s="250"/>
      <c r="P2085" s="249"/>
      <c r="Q2085" s="330"/>
      <c r="R2085" s="250"/>
      <c r="S2085" s="249"/>
      <c r="T2085" s="330"/>
      <c r="U2085" s="250"/>
      <c r="V2085" s="249"/>
      <c r="W2085" s="330"/>
      <c r="X2085" s="343"/>
      <c r="Y2085" s="249"/>
      <c r="Z2085" s="330"/>
      <c r="AA2085" s="343"/>
      <c r="AB2085" s="249"/>
      <c r="AC2085" s="330"/>
      <c r="AD2085" s="343"/>
      <c r="AE2085" s="249"/>
      <c r="AF2085" s="330"/>
      <c r="AG2085" s="343"/>
      <c r="AH2085" s="249"/>
      <c r="AI2085" s="330"/>
      <c r="AJ2085" s="343"/>
      <c r="AK2085" s="249"/>
      <c r="AL2085" s="330"/>
      <c r="AM2085" s="343"/>
      <c r="AN2085" s="249"/>
      <c r="AO2085" s="330"/>
      <c r="AP2085" s="343"/>
      <c r="AQ2085" s="249"/>
      <c r="AR2085" s="330"/>
      <c r="AS2085" s="343"/>
      <c r="AT2085" s="249"/>
      <c r="AU2085" s="330"/>
    </row>
    <row r="2086" spans="2:47">
      <c r="B2086" s="247">
        <f>'Table S2 Compound Identifiers'!C2088</f>
        <v>0</v>
      </c>
      <c r="C2086" s="247">
        <f>COUNTIF($D$6:D2086,"&lt;&gt;"&amp;"")</f>
        <v>2081</v>
      </c>
      <c r="D2086" s="247">
        <f>'Table S2 Compound Identifiers'!B2088</f>
        <v>0</v>
      </c>
      <c r="E2086" s="247"/>
      <c r="F2086" s="248"/>
      <c r="G2086" s="249"/>
      <c r="H2086" s="330"/>
      <c r="I2086" s="328"/>
      <c r="J2086" s="249"/>
      <c r="K2086" s="330"/>
      <c r="L2086" s="250"/>
      <c r="M2086" s="249"/>
      <c r="N2086" s="330"/>
      <c r="O2086" s="250"/>
      <c r="P2086" s="249"/>
      <c r="Q2086" s="330"/>
      <c r="R2086" s="250"/>
      <c r="S2086" s="249"/>
      <c r="T2086" s="330"/>
      <c r="U2086" s="250"/>
      <c r="V2086" s="249"/>
      <c r="W2086" s="330"/>
      <c r="X2086" s="343"/>
      <c r="Y2086" s="249"/>
      <c r="Z2086" s="330"/>
      <c r="AA2086" s="343"/>
      <c r="AB2086" s="249"/>
      <c r="AC2086" s="330"/>
      <c r="AD2086" s="343"/>
      <c r="AE2086" s="249"/>
      <c r="AF2086" s="330"/>
      <c r="AG2086" s="343"/>
      <c r="AH2086" s="249"/>
      <c r="AI2086" s="330"/>
      <c r="AJ2086" s="343"/>
      <c r="AK2086" s="249"/>
      <c r="AL2086" s="330"/>
      <c r="AM2086" s="343"/>
      <c r="AN2086" s="249"/>
      <c r="AO2086" s="330"/>
      <c r="AP2086" s="343"/>
      <c r="AQ2086" s="249"/>
      <c r="AR2086" s="330"/>
      <c r="AS2086" s="343"/>
      <c r="AT2086" s="249"/>
      <c r="AU2086" s="330"/>
    </row>
    <row r="2087" spans="2:47">
      <c r="B2087" s="247">
        <f>'Table S2 Compound Identifiers'!C2089</f>
        <v>0</v>
      </c>
      <c r="C2087" s="247">
        <f>COUNTIF($D$6:D2087,"&lt;&gt;"&amp;"")</f>
        <v>2082</v>
      </c>
      <c r="D2087" s="247">
        <f>'Table S2 Compound Identifiers'!B2089</f>
        <v>0</v>
      </c>
      <c r="E2087" s="247"/>
      <c r="F2087" s="248"/>
      <c r="G2087" s="249"/>
      <c r="H2087" s="330"/>
      <c r="I2087" s="328"/>
      <c r="J2087" s="249"/>
      <c r="K2087" s="330"/>
      <c r="L2087" s="250"/>
      <c r="M2087" s="249"/>
      <c r="N2087" s="330"/>
      <c r="O2087" s="250"/>
      <c r="P2087" s="249"/>
      <c r="Q2087" s="330"/>
      <c r="R2087" s="250"/>
      <c r="S2087" s="249"/>
      <c r="T2087" s="330"/>
      <c r="U2087" s="250"/>
      <c r="V2087" s="249"/>
      <c r="W2087" s="330"/>
      <c r="X2087" s="343"/>
      <c r="Y2087" s="249"/>
      <c r="Z2087" s="330"/>
      <c r="AA2087" s="343"/>
      <c r="AB2087" s="249"/>
      <c r="AC2087" s="330"/>
      <c r="AD2087" s="343"/>
      <c r="AE2087" s="249"/>
      <c r="AF2087" s="330"/>
      <c r="AG2087" s="343"/>
      <c r="AH2087" s="249"/>
      <c r="AI2087" s="330"/>
      <c r="AJ2087" s="343"/>
      <c r="AK2087" s="249"/>
      <c r="AL2087" s="330"/>
      <c r="AM2087" s="343"/>
      <c r="AN2087" s="249"/>
      <c r="AO2087" s="330"/>
      <c r="AP2087" s="343"/>
      <c r="AQ2087" s="249"/>
      <c r="AR2087" s="330"/>
      <c r="AS2087" s="343"/>
      <c r="AT2087" s="249"/>
      <c r="AU2087" s="330"/>
    </row>
    <row r="2088" spans="2:47">
      <c r="B2088" s="247">
        <f>'Table S2 Compound Identifiers'!C2090</f>
        <v>0</v>
      </c>
      <c r="C2088" s="247">
        <f>COUNTIF($D$6:D2088,"&lt;&gt;"&amp;"")</f>
        <v>2083</v>
      </c>
      <c r="D2088" s="247">
        <f>'Table S2 Compound Identifiers'!B2090</f>
        <v>0</v>
      </c>
      <c r="E2088" s="247"/>
      <c r="F2088" s="248"/>
      <c r="G2088" s="249"/>
      <c r="H2088" s="330"/>
      <c r="I2088" s="328"/>
      <c r="J2088" s="249"/>
      <c r="K2088" s="330"/>
      <c r="L2088" s="250"/>
      <c r="M2088" s="249"/>
      <c r="N2088" s="330"/>
      <c r="O2088" s="250"/>
      <c r="P2088" s="249"/>
      <c r="Q2088" s="330"/>
      <c r="R2088" s="250"/>
      <c r="S2088" s="249"/>
      <c r="T2088" s="330"/>
      <c r="U2088" s="250"/>
      <c r="V2088" s="249"/>
      <c r="W2088" s="330"/>
      <c r="X2088" s="343"/>
      <c r="Y2088" s="249"/>
      <c r="Z2088" s="330"/>
      <c r="AA2088" s="343"/>
      <c r="AB2088" s="249"/>
      <c r="AC2088" s="330"/>
      <c r="AD2088" s="343"/>
      <c r="AE2088" s="249"/>
      <c r="AF2088" s="330"/>
      <c r="AG2088" s="343"/>
      <c r="AH2088" s="249"/>
      <c r="AI2088" s="330"/>
      <c r="AJ2088" s="343"/>
      <c r="AK2088" s="249"/>
      <c r="AL2088" s="330"/>
      <c r="AM2088" s="343"/>
      <c r="AN2088" s="249"/>
      <c r="AO2088" s="330"/>
      <c r="AP2088" s="343"/>
      <c r="AQ2088" s="249"/>
      <c r="AR2088" s="330"/>
      <c r="AS2088" s="343"/>
      <c r="AT2088" s="249"/>
      <c r="AU2088" s="330"/>
    </row>
    <row r="2089" spans="2:47">
      <c r="B2089" s="247">
        <f>'Table S2 Compound Identifiers'!C2091</f>
        <v>0</v>
      </c>
      <c r="C2089" s="247">
        <f>COUNTIF($D$6:D2089,"&lt;&gt;"&amp;"")</f>
        <v>2084</v>
      </c>
      <c r="D2089" s="247">
        <f>'Table S2 Compound Identifiers'!B2091</f>
        <v>0</v>
      </c>
      <c r="E2089" s="247"/>
      <c r="F2089" s="248"/>
      <c r="G2089" s="249"/>
      <c r="H2089" s="330"/>
      <c r="I2089" s="328"/>
      <c r="J2089" s="249"/>
      <c r="K2089" s="330"/>
      <c r="L2089" s="250"/>
      <c r="M2089" s="249"/>
      <c r="N2089" s="330"/>
      <c r="O2089" s="250"/>
      <c r="P2089" s="249"/>
      <c r="Q2089" s="330"/>
      <c r="R2089" s="250"/>
      <c r="S2089" s="249"/>
      <c r="T2089" s="330"/>
      <c r="U2089" s="250"/>
      <c r="V2089" s="249"/>
      <c r="W2089" s="330"/>
      <c r="X2089" s="343"/>
      <c r="Y2089" s="249"/>
      <c r="Z2089" s="330"/>
      <c r="AA2089" s="343"/>
      <c r="AB2089" s="249"/>
      <c r="AC2089" s="330"/>
      <c r="AD2089" s="343"/>
      <c r="AE2089" s="249"/>
      <c r="AF2089" s="330"/>
      <c r="AG2089" s="343"/>
      <c r="AH2089" s="249"/>
      <c r="AI2089" s="330"/>
      <c r="AJ2089" s="343"/>
      <c r="AK2089" s="249"/>
      <c r="AL2089" s="330"/>
      <c r="AM2089" s="343"/>
      <c r="AN2089" s="249"/>
      <c r="AO2089" s="330"/>
      <c r="AP2089" s="343"/>
      <c r="AQ2089" s="249"/>
      <c r="AR2089" s="330"/>
      <c r="AS2089" s="343"/>
      <c r="AT2089" s="249"/>
      <c r="AU2089" s="330"/>
    </row>
    <row r="2090" spans="2:47">
      <c r="B2090" s="247">
        <f>'Table S2 Compound Identifiers'!C2092</f>
        <v>0</v>
      </c>
      <c r="C2090" s="247">
        <f>COUNTIF($D$6:D2090,"&lt;&gt;"&amp;"")</f>
        <v>2085</v>
      </c>
      <c r="D2090" s="247">
        <f>'Table S2 Compound Identifiers'!B2092</f>
        <v>0</v>
      </c>
      <c r="E2090" s="247"/>
      <c r="F2090" s="248"/>
      <c r="G2090" s="249"/>
      <c r="H2090" s="330"/>
      <c r="I2090" s="328"/>
      <c r="J2090" s="249"/>
      <c r="K2090" s="330"/>
      <c r="L2090" s="250"/>
      <c r="M2090" s="249"/>
      <c r="N2090" s="330"/>
      <c r="O2090" s="250"/>
      <c r="P2090" s="249"/>
      <c r="Q2090" s="330"/>
      <c r="R2090" s="250"/>
      <c r="S2090" s="249"/>
      <c r="T2090" s="330"/>
      <c r="U2090" s="250"/>
      <c r="V2090" s="249"/>
      <c r="W2090" s="330"/>
      <c r="X2090" s="343"/>
      <c r="Y2090" s="249"/>
      <c r="Z2090" s="330"/>
      <c r="AA2090" s="343"/>
      <c r="AB2090" s="249"/>
      <c r="AC2090" s="330"/>
      <c r="AD2090" s="343"/>
      <c r="AE2090" s="249"/>
      <c r="AF2090" s="330"/>
      <c r="AG2090" s="343"/>
      <c r="AH2090" s="249"/>
      <c r="AI2090" s="330"/>
      <c r="AJ2090" s="343"/>
      <c r="AK2090" s="249"/>
      <c r="AL2090" s="330"/>
      <c r="AM2090" s="343"/>
      <c r="AN2090" s="249"/>
      <c r="AO2090" s="330"/>
      <c r="AP2090" s="343"/>
      <c r="AQ2090" s="249"/>
      <c r="AR2090" s="330"/>
      <c r="AS2090" s="343"/>
      <c r="AT2090" s="249"/>
      <c r="AU2090" s="330"/>
    </row>
    <row r="2091" spans="2:47">
      <c r="B2091" s="247">
        <f>'Table S2 Compound Identifiers'!C2093</f>
        <v>0</v>
      </c>
      <c r="C2091" s="247">
        <f>COUNTIF($D$6:D2091,"&lt;&gt;"&amp;"")</f>
        <v>2086</v>
      </c>
      <c r="D2091" s="247">
        <f>'Table S2 Compound Identifiers'!B2093</f>
        <v>0</v>
      </c>
      <c r="E2091" s="247"/>
      <c r="F2091" s="248"/>
      <c r="G2091" s="249"/>
      <c r="H2091" s="330"/>
      <c r="I2091" s="328"/>
      <c r="J2091" s="249"/>
      <c r="K2091" s="330"/>
      <c r="L2091" s="250"/>
      <c r="M2091" s="249"/>
      <c r="N2091" s="330"/>
      <c r="O2091" s="250"/>
      <c r="P2091" s="249"/>
      <c r="Q2091" s="330"/>
      <c r="R2091" s="250"/>
      <c r="S2091" s="249"/>
      <c r="T2091" s="330"/>
      <c r="U2091" s="250"/>
      <c r="V2091" s="249"/>
      <c r="W2091" s="330"/>
      <c r="X2091" s="343"/>
      <c r="Y2091" s="249"/>
      <c r="Z2091" s="330"/>
      <c r="AA2091" s="343"/>
      <c r="AB2091" s="249"/>
      <c r="AC2091" s="330"/>
      <c r="AD2091" s="343"/>
      <c r="AE2091" s="249"/>
      <c r="AF2091" s="330"/>
      <c r="AG2091" s="343"/>
      <c r="AH2091" s="249"/>
      <c r="AI2091" s="330"/>
      <c r="AJ2091" s="343"/>
      <c r="AK2091" s="249"/>
      <c r="AL2091" s="330"/>
      <c r="AM2091" s="343"/>
      <c r="AN2091" s="249"/>
      <c r="AO2091" s="330"/>
      <c r="AP2091" s="343"/>
      <c r="AQ2091" s="249"/>
      <c r="AR2091" s="330"/>
      <c r="AS2091" s="343"/>
      <c r="AT2091" s="249"/>
      <c r="AU2091" s="330"/>
    </row>
    <row r="2092" spans="2:47">
      <c r="B2092" s="247">
        <f>'Table S2 Compound Identifiers'!C2094</f>
        <v>0</v>
      </c>
      <c r="C2092" s="247">
        <f>COUNTIF($D$6:D2092,"&lt;&gt;"&amp;"")</f>
        <v>2087</v>
      </c>
      <c r="D2092" s="247">
        <f>'Table S2 Compound Identifiers'!B2094</f>
        <v>0</v>
      </c>
      <c r="E2092" s="247"/>
      <c r="F2092" s="248"/>
      <c r="G2092" s="249"/>
      <c r="H2092" s="330"/>
      <c r="I2092" s="328"/>
      <c r="J2092" s="249"/>
      <c r="K2092" s="330"/>
      <c r="L2092" s="250"/>
      <c r="M2092" s="249"/>
      <c r="N2092" s="330"/>
      <c r="O2092" s="250"/>
      <c r="P2092" s="249"/>
      <c r="Q2092" s="330"/>
      <c r="R2092" s="250"/>
      <c r="S2092" s="249"/>
      <c r="T2092" s="330"/>
      <c r="U2092" s="250"/>
      <c r="V2092" s="249"/>
      <c r="W2092" s="330"/>
      <c r="X2092" s="343"/>
      <c r="Y2092" s="249"/>
      <c r="Z2092" s="330"/>
      <c r="AA2092" s="343"/>
      <c r="AB2092" s="249"/>
      <c r="AC2092" s="330"/>
      <c r="AD2092" s="343"/>
      <c r="AE2092" s="249"/>
      <c r="AF2092" s="330"/>
      <c r="AG2092" s="343"/>
      <c r="AH2092" s="249"/>
      <c r="AI2092" s="330"/>
      <c r="AJ2092" s="343"/>
      <c r="AK2092" s="249"/>
      <c r="AL2092" s="330"/>
      <c r="AM2092" s="343"/>
      <c r="AN2092" s="249"/>
      <c r="AO2092" s="330"/>
      <c r="AP2092" s="343"/>
      <c r="AQ2092" s="249"/>
      <c r="AR2092" s="330"/>
      <c r="AS2092" s="343"/>
      <c r="AT2092" s="249"/>
      <c r="AU2092" s="330"/>
    </row>
    <row r="2093" spans="2:47">
      <c r="B2093" s="247">
        <f>'Table S2 Compound Identifiers'!C2095</f>
        <v>0</v>
      </c>
      <c r="C2093" s="247">
        <f>COUNTIF($D$6:D2093,"&lt;&gt;"&amp;"")</f>
        <v>2088</v>
      </c>
      <c r="D2093" s="247">
        <f>'Table S2 Compound Identifiers'!B2095</f>
        <v>0</v>
      </c>
      <c r="E2093" s="247"/>
      <c r="F2093" s="248"/>
      <c r="G2093" s="249"/>
      <c r="H2093" s="330"/>
      <c r="I2093" s="328"/>
      <c r="J2093" s="249"/>
      <c r="K2093" s="330"/>
      <c r="L2093" s="250"/>
      <c r="M2093" s="249"/>
      <c r="N2093" s="330"/>
      <c r="O2093" s="250"/>
      <c r="P2093" s="249"/>
      <c r="Q2093" s="330"/>
      <c r="R2093" s="250"/>
      <c r="S2093" s="249"/>
      <c r="T2093" s="330"/>
      <c r="U2093" s="250"/>
      <c r="V2093" s="249"/>
      <c r="W2093" s="330"/>
      <c r="X2093" s="343"/>
      <c r="Y2093" s="249"/>
      <c r="Z2093" s="330"/>
      <c r="AA2093" s="343"/>
      <c r="AB2093" s="249"/>
      <c r="AC2093" s="330"/>
      <c r="AD2093" s="343"/>
      <c r="AE2093" s="249"/>
      <c r="AF2093" s="330"/>
      <c r="AG2093" s="343"/>
      <c r="AH2093" s="249"/>
      <c r="AI2093" s="330"/>
      <c r="AJ2093" s="343"/>
      <c r="AK2093" s="249"/>
      <c r="AL2093" s="330"/>
      <c r="AM2093" s="343"/>
      <c r="AN2093" s="249"/>
      <c r="AO2093" s="330"/>
      <c r="AP2093" s="343"/>
      <c r="AQ2093" s="249"/>
      <c r="AR2093" s="330"/>
      <c r="AS2093" s="343"/>
      <c r="AT2093" s="249"/>
      <c r="AU2093" s="330"/>
    </row>
    <row r="2094" spans="2:47">
      <c r="B2094" s="247">
        <f>'Table S2 Compound Identifiers'!C2096</f>
        <v>0</v>
      </c>
      <c r="C2094" s="247">
        <f>COUNTIF($D$6:D2094,"&lt;&gt;"&amp;"")</f>
        <v>2089</v>
      </c>
      <c r="D2094" s="247">
        <f>'Table S2 Compound Identifiers'!B2096</f>
        <v>0</v>
      </c>
      <c r="E2094" s="247"/>
      <c r="F2094" s="248"/>
      <c r="G2094" s="249"/>
      <c r="H2094" s="330"/>
      <c r="I2094" s="328"/>
      <c r="J2094" s="249"/>
      <c r="K2094" s="330"/>
      <c r="L2094" s="250"/>
      <c r="M2094" s="249"/>
      <c r="N2094" s="330"/>
      <c r="O2094" s="250"/>
      <c r="P2094" s="249"/>
      <c r="Q2094" s="330"/>
      <c r="R2094" s="250"/>
      <c r="S2094" s="249"/>
      <c r="T2094" s="330"/>
      <c r="U2094" s="250"/>
      <c r="V2094" s="249"/>
      <c r="W2094" s="330"/>
      <c r="X2094" s="343"/>
      <c r="Y2094" s="249"/>
      <c r="Z2094" s="330"/>
      <c r="AA2094" s="343"/>
      <c r="AB2094" s="249"/>
      <c r="AC2094" s="330"/>
      <c r="AD2094" s="343"/>
      <c r="AE2094" s="249"/>
      <c r="AF2094" s="330"/>
      <c r="AG2094" s="343"/>
      <c r="AH2094" s="249"/>
      <c r="AI2094" s="330"/>
      <c r="AJ2094" s="343"/>
      <c r="AK2094" s="249"/>
      <c r="AL2094" s="330"/>
      <c r="AM2094" s="343"/>
      <c r="AN2094" s="249"/>
      <c r="AO2094" s="330"/>
      <c r="AP2094" s="343"/>
      <c r="AQ2094" s="249"/>
      <c r="AR2094" s="330"/>
      <c r="AS2094" s="343"/>
      <c r="AT2094" s="249"/>
      <c r="AU2094" s="330"/>
    </row>
    <row r="2095" spans="2:47">
      <c r="B2095" s="247">
        <f>'Table S2 Compound Identifiers'!C2097</f>
        <v>0</v>
      </c>
      <c r="C2095" s="247">
        <f>COUNTIF($D$6:D2095,"&lt;&gt;"&amp;"")</f>
        <v>2090</v>
      </c>
      <c r="D2095" s="247">
        <f>'Table S2 Compound Identifiers'!B2097</f>
        <v>0</v>
      </c>
      <c r="E2095" s="247"/>
      <c r="F2095" s="248"/>
      <c r="G2095" s="249"/>
      <c r="H2095" s="330"/>
      <c r="I2095" s="328"/>
      <c r="J2095" s="249"/>
      <c r="K2095" s="330"/>
      <c r="L2095" s="250"/>
      <c r="M2095" s="249"/>
      <c r="N2095" s="330"/>
      <c r="O2095" s="250"/>
      <c r="P2095" s="249"/>
      <c r="Q2095" s="330"/>
      <c r="R2095" s="250"/>
      <c r="S2095" s="249"/>
      <c r="T2095" s="330"/>
      <c r="U2095" s="250"/>
      <c r="V2095" s="249"/>
      <c r="W2095" s="330"/>
      <c r="X2095" s="343"/>
      <c r="Y2095" s="249"/>
      <c r="Z2095" s="330"/>
      <c r="AA2095" s="343"/>
      <c r="AB2095" s="249"/>
      <c r="AC2095" s="330"/>
      <c r="AD2095" s="343"/>
      <c r="AE2095" s="249"/>
      <c r="AF2095" s="330"/>
      <c r="AG2095" s="343"/>
      <c r="AH2095" s="249"/>
      <c r="AI2095" s="330"/>
      <c r="AJ2095" s="343"/>
      <c r="AK2095" s="249"/>
      <c r="AL2095" s="330"/>
      <c r="AM2095" s="343"/>
      <c r="AN2095" s="249"/>
      <c r="AO2095" s="330"/>
      <c r="AP2095" s="343"/>
      <c r="AQ2095" s="249"/>
      <c r="AR2095" s="330"/>
      <c r="AS2095" s="343"/>
      <c r="AT2095" s="249"/>
      <c r="AU2095" s="330"/>
    </row>
    <row r="2096" spans="2:47">
      <c r="B2096" s="247">
        <f>'Table S2 Compound Identifiers'!C2098</f>
        <v>0</v>
      </c>
      <c r="C2096" s="247">
        <f>COUNTIF($D$6:D2096,"&lt;&gt;"&amp;"")</f>
        <v>2091</v>
      </c>
      <c r="D2096" s="247">
        <f>'Table S2 Compound Identifiers'!B2098</f>
        <v>0</v>
      </c>
      <c r="E2096" s="247"/>
      <c r="F2096" s="248"/>
      <c r="G2096" s="249"/>
      <c r="H2096" s="330"/>
      <c r="I2096" s="328"/>
      <c r="J2096" s="249"/>
      <c r="K2096" s="330"/>
      <c r="L2096" s="250"/>
      <c r="M2096" s="249"/>
      <c r="N2096" s="330"/>
      <c r="O2096" s="250"/>
      <c r="P2096" s="249"/>
      <c r="Q2096" s="330"/>
      <c r="R2096" s="250"/>
      <c r="S2096" s="249"/>
      <c r="T2096" s="330"/>
      <c r="U2096" s="250"/>
      <c r="V2096" s="249"/>
      <c r="W2096" s="330"/>
      <c r="X2096" s="343"/>
      <c r="Y2096" s="249"/>
      <c r="Z2096" s="330"/>
      <c r="AA2096" s="343"/>
      <c r="AB2096" s="249"/>
      <c r="AC2096" s="330"/>
      <c r="AD2096" s="343"/>
      <c r="AE2096" s="249"/>
      <c r="AF2096" s="330"/>
      <c r="AG2096" s="343"/>
      <c r="AH2096" s="249"/>
      <c r="AI2096" s="330"/>
      <c r="AJ2096" s="343"/>
      <c r="AK2096" s="249"/>
      <c r="AL2096" s="330"/>
      <c r="AM2096" s="343"/>
      <c r="AN2096" s="249"/>
      <c r="AO2096" s="330"/>
      <c r="AP2096" s="343"/>
      <c r="AQ2096" s="249"/>
      <c r="AR2096" s="330"/>
      <c r="AS2096" s="343"/>
      <c r="AT2096" s="249"/>
      <c r="AU2096" s="330"/>
    </row>
    <row r="2097" spans="2:47">
      <c r="B2097" s="247">
        <f>'Table S2 Compound Identifiers'!C2099</f>
        <v>0</v>
      </c>
      <c r="C2097" s="247">
        <f>COUNTIF($D$6:D2097,"&lt;&gt;"&amp;"")</f>
        <v>2092</v>
      </c>
      <c r="D2097" s="247">
        <f>'Table S2 Compound Identifiers'!B2099</f>
        <v>0</v>
      </c>
      <c r="E2097" s="247"/>
      <c r="F2097" s="248"/>
      <c r="G2097" s="249"/>
      <c r="H2097" s="330"/>
      <c r="I2097" s="328"/>
      <c r="J2097" s="249"/>
      <c r="K2097" s="330"/>
      <c r="L2097" s="250"/>
      <c r="M2097" s="249"/>
      <c r="N2097" s="330"/>
      <c r="O2097" s="250"/>
      <c r="P2097" s="249"/>
      <c r="Q2097" s="330"/>
      <c r="R2097" s="250"/>
      <c r="S2097" s="249"/>
      <c r="T2097" s="330"/>
      <c r="U2097" s="250"/>
      <c r="V2097" s="249"/>
      <c r="W2097" s="330"/>
      <c r="X2097" s="343"/>
      <c r="Y2097" s="249"/>
      <c r="Z2097" s="330"/>
      <c r="AA2097" s="343"/>
      <c r="AB2097" s="249"/>
      <c r="AC2097" s="330"/>
      <c r="AD2097" s="343"/>
      <c r="AE2097" s="249"/>
      <c r="AF2097" s="330"/>
      <c r="AG2097" s="343"/>
      <c r="AH2097" s="249"/>
      <c r="AI2097" s="330"/>
      <c r="AJ2097" s="343"/>
      <c r="AK2097" s="249"/>
      <c r="AL2097" s="330"/>
      <c r="AM2097" s="343"/>
      <c r="AN2097" s="249"/>
      <c r="AO2097" s="330"/>
      <c r="AP2097" s="343"/>
      <c r="AQ2097" s="249"/>
      <c r="AR2097" s="330"/>
      <c r="AS2097" s="343"/>
      <c r="AT2097" s="249"/>
      <c r="AU2097" s="330"/>
    </row>
    <row r="2098" spans="2:47">
      <c r="B2098" s="247">
        <f>'Table S2 Compound Identifiers'!C2100</f>
        <v>0</v>
      </c>
      <c r="C2098" s="247">
        <f>COUNTIF($D$6:D2098,"&lt;&gt;"&amp;"")</f>
        <v>2093</v>
      </c>
      <c r="D2098" s="247">
        <f>'Table S2 Compound Identifiers'!B2100</f>
        <v>0</v>
      </c>
      <c r="E2098" s="247"/>
      <c r="F2098" s="248"/>
      <c r="G2098" s="249"/>
      <c r="H2098" s="330"/>
      <c r="I2098" s="328"/>
      <c r="J2098" s="249"/>
      <c r="K2098" s="330"/>
      <c r="L2098" s="250"/>
      <c r="M2098" s="249"/>
      <c r="N2098" s="330"/>
      <c r="O2098" s="250"/>
      <c r="P2098" s="249"/>
      <c r="Q2098" s="330"/>
      <c r="R2098" s="250"/>
      <c r="S2098" s="249"/>
      <c r="T2098" s="330"/>
      <c r="U2098" s="250"/>
      <c r="V2098" s="249"/>
      <c r="W2098" s="330"/>
      <c r="X2098" s="343"/>
      <c r="Y2098" s="249"/>
      <c r="Z2098" s="330"/>
      <c r="AA2098" s="343"/>
      <c r="AB2098" s="249"/>
      <c r="AC2098" s="330"/>
      <c r="AD2098" s="343"/>
      <c r="AE2098" s="249"/>
      <c r="AF2098" s="330"/>
      <c r="AG2098" s="343"/>
      <c r="AH2098" s="249"/>
      <c r="AI2098" s="330"/>
      <c r="AJ2098" s="343"/>
      <c r="AK2098" s="249"/>
      <c r="AL2098" s="330"/>
      <c r="AM2098" s="343"/>
      <c r="AN2098" s="249"/>
      <c r="AO2098" s="330"/>
      <c r="AP2098" s="343"/>
      <c r="AQ2098" s="249"/>
      <c r="AR2098" s="330"/>
      <c r="AS2098" s="343"/>
      <c r="AT2098" s="249"/>
      <c r="AU2098" s="330"/>
    </row>
    <row r="2099" spans="2:47">
      <c r="B2099" s="247">
        <f>'Table S2 Compound Identifiers'!C2101</f>
        <v>0</v>
      </c>
      <c r="C2099" s="247">
        <f>COUNTIF($D$6:D2099,"&lt;&gt;"&amp;"")</f>
        <v>2094</v>
      </c>
      <c r="D2099" s="247">
        <f>'Table S2 Compound Identifiers'!B2101</f>
        <v>0</v>
      </c>
      <c r="E2099" s="247"/>
      <c r="F2099" s="248"/>
      <c r="G2099" s="249"/>
      <c r="H2099" s="330"/>
      <c r="I2099" s="328"/>
      <c r="J2099" s="249"/>
      <c r="K2099" s="330"/>
      <c r="L2099" s="250"/>
      <c r="M2099" s="249"/>
      <c r="N2099" s="330"/>
      <c r="O2099" s="250"/>
      <c r="P2099" s="249"/>
      <c r="Q2099" s="330"/>
      <c r="R2099" s="250"/>
      <c r="S2099" s="249"/>
      <c r="T2099" s="330"/>
      <c r="U2099" s="250"/>
      <c r="V2099" s="249"/>
      <c r="W2099" s="330"/>
      <c r="X2099" s="343"/>
      <c r="Y2099" s="249"/>
      <c r="Z2099" s="330"/>
      <c r="AA2099" s="343"/>
      <c r="AB2099" s="249"/>
      <c r="AC2099" s="330"/>
      <c r="AD2099" s="343"/>
      <c r="AE2099" s="249"/>
      <c r="AF2099" s="330"/>
      <c r="AG2099" s="343"/>
      <c r="AH2099" s="249"/>
      <c r="AI2099" s="330"/>
      <c r="AJ2099" s="343"/>
      <c r="AK2099" s="249"/>
      <c r="AL2099" s="330"/>
      <c r="AM2099" s="343"/>
      <c r="AN2099" s="249"/>
      <c r="AO2099" s="330"/>
      <c r="AP2099" s="343"/>
      <c r="AQ2099" s="249"/>
      <c r="AR2099" s="330"/>
      <c r="AS2099" s="343"/>
      <c r="AT2099" s="249"/>
      <c r="AU2099" s="330"/>
    </row>
    <row r="2100" spans="2:47">
      <c r="B2100" s="247">
        <f>'Table S2 Compound Identifiers'!C2102</f>
        <v>0</v>
      </c>
      <c r="C2100" s="247">
        <f>COUNTIF($D$6:D2100,"&lt;&gt;"&amp;"")</f>
        <v>2095</v>
      </c>
      <c r="D2100" s="247">
        <f>'Table S2 Compound Identifiers'!B2102</f>
        <v>0</v>
      </c>
      <c r="E2100" s="247"/>
      <c r="F2100" s="248"/>
      <c r="G2100" s="249"/>
      <c r="H2100" s="330"/>
      <c r="I2100" s="328"/>
      <c r="J2100" s="249"/>
      <c r="K2100" s="330"/>
      <c r="L2100" s="250"/>
      <c r="M2100" s="249"/>
      <c r="N2100" s="330"/>
      <c r="O2100" s="250"/>
      <c r="P2100" s="249"/>
      <c r="Q2100" s="330"/>
      <c r="R2100" s="250"/>
      <c r="S2100" s="249"/>
      <c r="T2100" s="330"/>
      <c r="U2100" s="250"/>
      <c r="V2100" s="249"/>
      <c r="W2100" s="330"/>
      <c r="X2100" s="343"/>
      <c r="Y2100" s="249"/>
      <c r="Z2100" s="330"/>
      <c r="AA2100" s="343"/>
      <c r="AB2100" s="249"/>
      <c r="AC2100" s="330"/>
      <c r="AD2100" s="343"/>
      <c r="AE2100" s="249"/>
      <c r="AF2100" s="330"/>
      <c r="AG2100" s="343"/>
      <c r="AH2100" s="249"/>
      <c r="AI2100" s="330"/>
      <c r="AJ2100" s="343"/>
      <c r="AK2100" s="249"/>
      <c r="AL2100" s="330"/>
      <c r="AM2100" s="343"/>
      <c r="AN2100" s="249"/>
      <c r="AO2100" s="330"/>
      <c r="AP2100" s="343"/>
      <c r="AQ2100" s="249"/>
      <c r="AR2100" s="330"/>
      <c r="AS2100" s="343"/>
      <c r="AT2100" s="249"/>
      <c r="AU2100" s="330"/>
    </row>
    <row r="2101" spans="2:47">
      <c r="B2101" s="247">
        <f>'Table S2 Compound Identifiers'!C2103</f>
        <v>0</v>
      </c>
      <c r="C2101" s="247">
        <f>COUNTIF($D$6:D2101,"&lt;&gt;"&amp;"")</f>
        <v>2096</v>
      </c>
      <c r="D2101" s="247">
        <f>'Table S2 Compound Identifiers'!B2103</f>
        <v>0</v>
      </c>
      <c r="E2101" s="247"/>
      <c r="F2101" s="248"/>
      <c r="G2101" s="249"/>
      <c r="H2101" s="330"/>
      <c r="I2101" s="328"/>
      <c r="J2101" s="249"/>
      <c r="K2101" s="330"/>
      <c r="L2101" s="250"/>
      <c r="M2101" s="249"/>
      <c r="N2101" s="330"/>
      <c r="O2101" s="250"/>
      <c r="P2101" s="249"/>
      <c r="Q2101" s="330"/>
      <c r="R2101" s="250"/>
      <c r="S2101" s="249"/>
      <c r="T2101" s="330"/>
      <c r="U2101" s="250"/>
      <c r="V2101" s="249"/>
      <c r="W2101" s="330"/>
      <c r="X2101" s="343"/>
      <c r="Y2101" s="249"/>
      <c r="Z2101" s="330"/>
      <c r="AA2101" s="343"/>
      <c r="AB2101" s="249"/>
      <c r="AC2101" s="330"/>
      <c r="AD2101" s="343"/>
      <c r="AE2101" s="249"/>
      <c r="AF2101" s="330"/>
      <c r="AG2101" s="343"/>
      <c r="AH2101" s="249"/>
      <c r="AI2101" s="330"/>
      <c r="AJ2101" s="343"/>
      <c r="AK2101" s="249"/>
      <c r="AL2101" s="330"/>
      <c r="AM2101" s="343"/>
      <c r="AN2101" s="249"/>
      <c r="AO2101" s="330"/>
      <c r="AP2101" s="343"/>
      <c r="AQ2101" s="249"/>
      <c r="AR2101" s="330"/>
      <c r="AS2101" s="343"/>
      <c r="AT2101" s="249"/>
      <c r="AU2101" s="330"/>
    </row>
    <row r="2102" spans="2:47">
      <c r="B2102" s="247">
        <f>'Table S2 Compound Identifiers'!C2104</f>
        <v>0</v>
      </c>
      <c r="C2102" s="247">
        <f>COUNTIF($D$6:D2102,"&lt;&gt;"&amp;"")</f>
        <v>2097</v>
      </c>
      <c r="D2102" s="247">
        <f>'Table S2 Compound Identifiers'!B2104</f>
        <v>0</v>
      </c>
      <c r="E2102" s="247"/>
      <c r="F2102" s="248"/>
      <c r="G2102" s="249"/>
      <c r="H2102" s="330"/>
      <c r="I2102" s="328"/>
      <c r="J2102" s="249"/>
      <c r="K2102" s="330"/>
      <c r="L2102" s="250"/>
      <c r="M2102" s="249"/>
      <c r="N2102" s="330"/>
      <c r="O2102" s="250"/>
      <c r="P2102" s="249"/>
      <c r="Q2102" s="330"/>
      <c r="R2102" s="250"/>
      <c r="S2102" s="249"/>
      <c r="T2102" s="330"/>
      <c r="U2102" s="250"/>
      <c r="V2102" s="249"/>
      <c r="W2102" s="330"/>
      <c r="X2102" s="343"/>
      <c r="Y2102" s="249"/>
      <c r="Z2102" s="330"/>
      <c r="AA2102" s="343"/>
      <c r="AB2102" s="249"/>
      <c r="AC2102" s="330"/>
      <c r="AD2102" s="343"/>
      <c r="AE2102" s="249"/>
      <c r="AF2102" s="330"/>
      <c r="AG2102" s="343"/>
      <c r="AH2102" s="249"/>
      <c r="AI2102" s="330"/>
      <c r="AJ2102" s="343"/>
      <c r="AK2102" s="249"/>
      <c r="AL2102" s="330"/>
      <c r="AM2102" s="343"/>
      <c r="AN2102" s="249"/>
      <c r="AO2102" s="330"/>
      <c r="AP2102" s="343"/>
      <c r="AQ2102" s="249"/>
      <c r="AR2102" s="330"/>
      <c r="AS2102" s="343"/>
      <c r="AT2102" s="249"/>
      <c r="AU2102" s="330"/>
    </row>
    <row r="2103" spans="2:47">
      <c r="B2103" s="247">
        <f>'Table S2 Compound Identifiers'!C2105</f>
        <v>0</v>
      </c>
      <c r="C2103" s="247">
        <f>COUNTIF($D$6:D2103,"&lt;&gt;"&amp;"")</f>
        <v>2098</v>
      </c>
      <c r="D2103" s="247">
        <f>'Table S2 Compound Identifiers'!B2105</f>
        <v>0</v>
      </c>
      <c r="E2103" s="247"/>
      <c r="F2103" s="248"/>
      <c r="G2103" s="249"/>
      <c r="H2103" s="330"/>
      <c r="I2103" s="328"/>
      <c r="J2103" s="249"/>
      <c r="K2103" s="330"/>
      <c r="L2103" s="250"/>
      <c r="M2103" s="249"/>
      <c r="N2103" s="330"/>
      <c r="O2103" s="250"/>
      <c r="P2103" s="249"/>
      <c r="Q2103" s="330"/>
      <c r="R2103" s="250"/>
      <c r="S2103" s="249"/>
      <c r="T2103" s="330"/>
      <c r="U2103" s="250"/>
      <c r="V2103" s="249"/>
      <c r="W2103" s="330"/>
      <c r="X2103" s="343"/>
      <c r="Y2103" s="249"/>
      <c r="Z2103" s="330"/>
      <c r="AA2103" s="343"/>
      <c r="AB2103" s="249"/>
      <c r="AC2103" s="330"/>
      <c r="AD2103" s="343"/>
      <c r="AE2103" s="249"/>
      <c r="AF2103" s="330"/>
      <c r="AG2103" s="343"/>
      <c r="AH2103" s="249"/>
      <c r="AI2103" s="330"/>
      <c r="AJ2103" s="343"/>
      <c r="AK2103" s="249"/>
      <c r="AL2103" s="330"/>
      <c r="AM2103" s="343"/>
      <c r="AN2103" s="249"/>
      <c r="AO2103" s="330"/>
      <c r="AP2103" s="343"/>
      <c r="AQ2103" s="249"/>
      <c r="AR2103" s="330"/>
      <c r="AS2103" s="343"/>
      <c r="AT2103" s="249"/>
      <c r="AU2103" s="330"/>
    </row>
    <row r="2104" spans="2:47">
      <c r="B2104" s="247">
        <f>'Table S2 Compound Identifiers'!C2106</f>
        <v>0</v>
      </c>
      <c r="C2104" s="247">
        <f>COUNTIF($D$6:D2104,"&lt;&gt;"&amp;"")</f>
        <v>2099</v>
      </c>
      <c r="D2104" s="247">
        <f>'Table S2 Compound Identifiers'!B2106</f>
        <v>0</v>
      </c>
      <c r="E2104" s="247"/>
      <c r="F2104" s="248"/>
      <c r="G2104" s="249"/>
      <c r="H2104" s="330"/>
      <c r="I2104" s="328"/>
      <c r="J2104" s="249"/>
      <c r="K2104" s="330"/>
      <c r="L2104" s="250"/>
      <c r="M2104" s="249"/>
      <c r="N2104" s="330"/>
      <c r="O2104" s="250"/>
      <c r="P2104" s="249"/>
      <c r="Q2104" s="330"/>
      <c r="R2104" s="250"/>
      <c r="S2104" s="249"/>
      <c r="T2104" s="330"/>
      <c r="U2104" s="250"/>
      <c r="V2104" s="249"/>
      <c r="W2104" s="330"/>
      <c r="X2104" s="343"/>
      <c r="Y2104" s="249"/>
      <c r="Z2104" s="330"/>
      <c r="AA2104" s="343"/>
      <c r="AB2104" s="249"/>
      <c r="AC2104" s="330"/>
      <c r="AD2104" s="343"/>
      <c r="AE2104" s="249"/>
      <c r="AF2104" s="330"/>
      <c r="AG2104" s="343"/>
      <c r="AH2104" s="249"/>
      <c r="AI2104" s="330"/>
      <c r="AJ2104" s="343"/>
      <c r="AK2104" s="249"/>
      <c r="AL2104" s="330"/>
      <c r="AM2104" s="343"/>
      <c r="AN2104" s="249"/>
      <c r="AO2104" s="330"/>
      <c r="AP2104" s="343"/>
      <c r="AQ2104" s="249"/>
      <c r="AR2104" s="330"/>
      <c r="AS2104" s="343"/>
      <c r="AT2104" s="249"/>
      <c r="AU2104" s="330"/>
    </row>
    <row r="2105" spans="2:47">
      <c r="B2105" s="247">
        <f>'Table S2 Compound Identifiers'!C2107</f>
        <v>0</v>
      </c>
      <c r="C2105" s="247">
        <f>COUNTIF($D$6:D2105,"&lt;&gt;"&amp;"")</f>
        <v>2100</v>
      </c>
      <c r="D2105" s="247">
        <f>'Table S2 Compound Identifiers'!B2107</f>
        <v>0</v>
      </c>
      <c r="E2105" s="247"/>
      <c r="F2105" s="248"/>
      <c r="G2105" s="249"/>
      <c r="H2105" s="330"/>
      <c r="I2105" s="328"/>
      <c r="J2105" s="249"/>
      <c r="K2105" s="330"/>
      <c r="L2105" s="250"/>
      <c r="M2105" s="249"/>
      <c r="N2105" s="330"/>
      <c r="O2105" s="250"/>
      <c r="P2105" s="249"/>
      <c r="Q2105" s="330"/>
      <c r="R2105" s="250"/>
      <c r="S2105" s="249"/>
      <c r="T2105" s="330"/>
      <c r="U2105" s="250"/>
      <c r="V2105" s="249"/>
      <c r="W2105" s="330"/>
      <c r="X2105" s="343"/>
      <c r="Y2105" s="249"/>
      <c r="Z2105" s="330"/>
      <c r="AA2105" s="343"/>
      <c r="AB2105" s="249"/>
      <c r="AC2105" s="330"/>
      <c r="AD2105" s="343"/>
      <c r="AE2105" s="249"/>
      <c r="AF2105" s="330"/>
      <c r="AG2105" s="343"/>
      <c r="AH2105" s="249"/>
      <c r="AI2105" s="330"/>
      <c r="AJ2105" s="343"/>
      <c r="AK2105" s="249"/>
      <c r="AL2105" s="330"/>
      <c r="AM2105" s="343"/>
      <c r="AN2105" s="249"/>
      <c r="AO2105" s="330"/>
      <c r="AP2105" s="343"/>
      <c r="AQ2105" s="249"/>
      <c r="AR2105" s="330"/>
      <c r="AS2105" s="343"/>
      <c r="AT2105" s="249"/>
      <c r="AU2105" s="330"/>
    </row>
    <row r="2106" spans="2:47">
      <c r="B2106" s="247">
        <f>'Table S2 Compound Identifiers'!C2108</f>
        <v>0</v>
      </c>
      <c r="C2106" s="247">
        <f>COUNTIF($D$6:D2106,"&lt;&gt;"&amp;"")</f>
        <v>2101</v>
      </c>
      <c r="D2106" s="247">
        <f>'Table S2 Compound Identifiers'!B2108</f>
        <v>0</v>
      </c>
      <c r="E2106" s="247"/>
      <c r="F2106" s="248"/>
      <c r="G2106" s="249"/>
      <c r="H2106" s="330"/>
      <c r="I2106" s="328"/>
      <c r="J2106" s="249"/>
      <c r="K2106" s="330"/>
      <c r="L2106" s="250"/>
      <c r="M2106" s="249"/>
      <c r="N2106" s="330"/>
      <c r="O2106" s="250"/>
      <c r="P2106" s="249"/>
      <c r="Q2106" s="330"/>
      <c r="R2106" s="250"/>
      <c r="S2106" s="249"/>
      <c r="T2106" s="330"/>
      <c r="U2106" s="250"/>
      <c r="V2106" s="249"/>
      <c r="W2106" s="330"/>
      <c r="X2106" s="343"/>
      <c r="Y2106" s="249"/>
      <c r="Z2106" s="330"/>
      <c r="AA2106" s="343"/>
      <c r="AB2106" s="249"/>
      <c r="AC2106" s="330"/>
      <c r="AD2106" s="343"/>
      <c r="AE2106" s="249"/>
      <c r="AF2106" s="330"/>
      <c r="AG2106" s="343"/>
      <c r="AH2106" s="249"/>
      <c r="AI2106" s="330"/>
      <c r="AJ2106" s="343"/>
      <c r="AK2106" s="249"/>
      <c r="AL2106" s="330"/>
      <c r="AM2106" s="343"/>
      <c r="AN2106" s="249"/>
      <c r="AO2106" s="330"/>
      <c r="AP2106" s="343"/>
      <c r="AQ2106" s="249"/>
      <c r="AR2106" s="330"/>
      <c r="AS2106" s="343"/>
      <c r="AT2106" s="249"/>
      <c r="AU2106" s="330"/>
    </row>
    <row r="2107" spans="2:47">
      <c r="B2107" s="247">
        <f>'Table S2 Compound Identifiers'!C2109</f>
        <v>0</v>
      </c>
      <c r="C2107" s="247">
        <f>COUNTIF($D$6:D2107,"&lt;&gt;"&amp;"")</f>
        <v>2102</v>
      </c>
      <c r="D2107" s="247">
        <f>'Table S2 Compound Identifiers'!B2109</f>
        <v>0</v>
      </c>
      <c r="E2107" s="247"/>
      <c r="F2107" s="248"/>
      <c r="G2107" s="249"/>
      <c r="H2107" s="330"/>
      <c r="I2107" s="328"/>
      <c r="J2107" s="249"/>
      <c r="K2107" s="330"/>
      <c r="L2107" s="250"/>
      <c r="M2107" s="249"/>
      <c r="N2107" s="330"/>
      <c r="O2107" s="250"/>
      <c r="P2107" s="249"/>
      <c r="Q2107" s="330"/>
      <c r="R2107" s="250"/>
      <c r="S2107" s="249"/>
      <c r="T2107" s="330"/>
      <c r="U2107" s="250"/>
      <c r="V2107" s="249"/>
      <c r="W2107" s="330"/>
      <c r="X2107" s="343"/>
      <c r="Y2107" s="249"/>
      <c r="Z2107" s="330"/>
      <c r="AA2107" s="343"/>
      <c r="AB2107" s="249"/>
      <c r="AC2107" s="330"/>
      <c r="AD2107" s="343"/>
      <c r="AE2107" s="249"/>
      <c r="AF2107" s="330"/>
      <c r="AG2107" s="343"/>
      <c r="AH2107" s="249"/>
      <c r="AI2107" s="330"/>
      <c r="AJ2107" s="343"/>
      <c r="AK2107" s="249"/>
      <c r="AL2107" s="330"/>
      <c r="AM2107" s="343"/>
      <c r="AN2107" s="249"/>
      <c r="AO2107" s="330"/>
      <c r="AP2107" s="343"/>
      <c r="AQ2107" s="249"/>
      <c r="AR2107" s="330"/>
      <c r="AS2107" s="343"/>
      <c r="AT2107" s="249"/>
      <c r="AU2107" s="330"/>
    </row>
    <row r="2108" spans="2:47">
      <c r="B2108" s="247">
        <f>'Table S2 Compound Identifiers'!C2110</f>
        <v>0</v>
      </c>
      <c r="C2108" s="247">
        <f>COUNTIF($D$6:D2108,"&lt;&gt;"&amp;"")</f>
        <v>2103</v>
      </c>
      <c r="D2108" s="247">
        <f>'Table S2 Compound Identifiers'!B2110</f>
        <v>0</v>
      </c>
      <c r="E2108" s="247"/>
      <c r="F2108" s="248"/>
      <c r="G2108" s="249"/>
      <c r="H2108" s="330"/>
      <c r="I2108" s="328"/>
      <c r="J2108" s="249"/>
      <c r="K2108" s="330"/>
      <c r="L2108" s="250"/>
      <c r="M2108" s="249"/>
      <c r="N2108" s="330"/>
      <c r="O2108" s="250"/>
      <c r="P2108" s="249"/>
      <c r="Q2108" s="330"/>
      <c r="R2108" s="250"/>
      <c r="S2108" s="249"/>
      <c r="T2108" s="330"/>
      <c r="U2108" s="250"/>
      <c r="V2108" s="249"/>
      <c r="W2108" s="330"/>
      <c r="X2108" s="343"/>
      <c r="Y2108" s="249"/>
      <c r="Z2108" s="330"/>
      <c r="AA2108" s="343"/>
      <c r="AB2108" s="249"/>
      <c r="AC2108" s="330"/>
      <c r="AD2108" s="343"/>
      <c r="AE2108" s="249"/>
      <c r="AF2108" s="330"/>
      <c r="AG2108" s="343"/>
      <c r="AH2108" s="249"/>
      <c r="AI2108" s="330"/>
      <c r="AJ2108" s="343"/>
      <c r="AK2108" s="249"/>
      <c r="AL2108" s="330"/>
      <c r="AM2108" s="343"/>
      <c r="AN2108" s="249"/>
      <c r="AO2108" s="330"/>
      <c r="AP2108" s="343"/>
      <c r="AQ2108" s="249"/>
      <c r="AR2108" s="330"/>
      <c r="AS2108" s="343"/>
      <c r="AT2108" s="249"/>
      <c r="AU2108" s="330"/>
    </row>
    <row r="2109" spans="2:47">
      <c r="B2109" s="247">
        <f>'Table S2 Compound Identifiers'!C2111</f>
        <v>0</v>
      </c>
      <c r="C2109" s="247">
        <f>COUNTIF($D$6:D2109,"&lt;&gt;"&amp;"")</f>
        <v>2104</v>
      </c>
      <c r="D2109" s="247">
        <f>'Table S2 Compound Identifiers'!B2111</f>
        <v>0</v>
      </c>
      <c r="E2109" s="247"/>
      <c r="F2109" s="248"/>
      <c r="G2109" s="249"/>
      <c r="H2109" s="330"/>
      <c r="I2109" s="328"/>
      <c r="J2109" s="249"/>
      <c r="K2109" s="330"/>
      <c r="L2109" s="250"/>
      <c r="M2109" s="249"/>
      <c r="N2109" s="330"/>
      <c r="O2109" s="250"/>
      <c r="P2109" s="249"/>
      <c r="Q2109" s="330"/>
      <c r="R2109" s="250"/>
      <c r="S2109" s="249"/>
      <c r="T2109" s="330"/>
      <c r="U2109" s="250"/>
      <c r="V2109" s="249"/>
      <c r="W2109" s="330"/>
      <c r="X2109" s="343"/>
      <c r="Y2109" s="249"/>
      <c r="Z2109" s="330"/>
      <c r="AA2109" s="343"/>
      <c r="AB2109" s="249"/>
      <c r="AC2109" s="330"/>
      <c r="AD2109" s="343"/>
      <c r="AE2109" s="249"/>
      <c r="AF2109" s="330"/>
      <c r="AG2109" s="343"/>
      <c r="AH2109" s="249"/>
      <c r="AI2109" s="330"/>
      <c r="AJ2109" s="343"/>
      <c r="AK2109" s="249"/>
      <c r="AL2109" s="330"/>
      <c r="AM2109" s="343"/>
      <c r="AN2109" s="249"/>
      <c r="AO2109" s="330"/>
      <c r="AP2109" s="343"/>
      <c r="AQ2109" s="249"/>
      <c r="AR2109" s="330"/>
      <c r="AS2109" s="343"/>
      <c r="AT2109" s="249"/>
      <c r="AU2109" s="330"/>
    </row>
    <row r="2110" spans="2:47">
      <c r="B2110" s="247">
        <f>'Table S2 Compound Identifiers'!C2112</f>
        <v>0</v>
      </c>
      <c r="C2110" s="247">
        <f>COUNTIF($D$6:D2110,"&lt;&gt;"&amp;"")</f>
        <v>2105</v>
      </c>
      <c r="D2110" s="247">
        <f>'Table S2 Compound Identifiers'!B2112</f>
        <v>0</v>
      </c>
      <c r="E2110" s="247"/>
      <c r="F2110" s="248"/>
      <c r="G2110" s="249"/>
      <c r="H2110" s="330"/>
      <c r="I2110" s="328"/>
      <c r="J2110" s="249"/>
      <c r="K2110" s="330"/>
      <c r="L2110" s="250"/>
      <c r="M2110" s="249"/>
      <c r="N2110" s="330"/>
      <c r="O2110" s="250"/>
      <c r="P2110" s="249"/>
      <c r="Q2110" s="330"/>
      <c r="R2110" s="250"/>
      <c r="S2110" s="249"/>
      <c r="T2110" s="330"/>
      <c r="U2110" s="250"/>
      <c r="V2110" s="249"/>
      <c r="W2110" s="330"/>
      <c r="X2110" s="343"/>
      <c r="Y2110" s="249"/>
      <c r="Z2110" s="330"/>
      <c r="AA2110" s="343"/>
      <c r="AB2110" s="249"/>
      <c r="AC2110" s="330"/>
      <c r="AD2110" s="343"/>
      <c r="AE2110" s="249"/>
      <c r="AF2110" s="330"/>
      <c r="AG2110" s="343"/>
      <c r="AH2110" s="249"/>
      <c r="AI2110" s="330"/>
      <c r="AJ2110" s="343"/>
      <c r="AK2110" s="249"/>
      <c r="AL2110" s="330"/>
      <c r="AM2110" s="343"/>
      <c r="AN2110" s="249"/>
      <c r="AO2110" s="330"/>
      <c r="AP2110" s="343"/>
      <c r="AQ2110" s="249"/>
      <c r="AR2110" s="330"/>
      <c r="AS2110" s="343"/>
      <c r="AT2110" s="249"/>
      <c r="AU2110" s="330"/>
    </row>
    <row r="2111" spans="2:47">
      <c r="B2111" s="247">
        <f>'Table S2 Compound Identifiers'!C2113</f>
        <v>0</v>
      </c>
      <c r="C2111" s="247">
        <f>COUNTIF($D$6:D2111,"&lt;&gt;"&amp;"")</f>
        <v>2106</v>
      </c>
      <c r="D2111" s="247">
        <f>'Table S2 Compound Identifiers'!B2113</f>
        <v>0</v>
      </c>
      <c r="E2111" s="247"/>
      <c r="F2111" s="248"/>
      <c r="G2111" s="249"/>
      <c r="H2111" s="330"/>
      <c r="I2111" s="328"/>
      <c r="J2111" s="249"/>
      <c r="K2111" s="330"/>
      <c r="L2111" s="250"/>
      <c r="M2111" s="249"/>
      <c r="N2111" s="330"/>
      <c r="O2111" s="250"/>
      <c r="P2111" s="249"/>
      <c r="Q2111" s="330"/>
      <c r="R2111" s="250"/>
      <c r="S2111" s="249"/>
      <c r="T2111" s="330"/>
      <c r="U2111" s="250"/>
      <c r="V2111" s="249"/>
      <c r="W2111" s="330"/>
      <c r="X2111" s="343"/>
      <c r="Y2111" s="249"/>
      <c r="Z2111" s="330"/>
      <c r="AA2111" s="343"/>
      <c r="AB2111" s="249"/>
      <c r="AC2111" s="330"/>
      <c r="AD2111" s="343"/>
      <c r="AE2111" s="249"/>
      <c r="AF2111" s="330"/>
      <c r="AG2111" s="343"/>
      <c r="AH2111" s="249"/>
      <c r="AI2111" s="330"/>
      <c r="AJ2111" s="343"/>
      <c r="AK2111" s="249"/>
      <c r="AL2111" s="330"/>
      <c r="AM2111" s="343"/>
      <c r="AN2111" s="249"/>
      <c r="AO2111" s="330"/>
      <c r="AP2111" s="343"/>
      <c r="AQ2111" s="249"/>
      <c r="AR2111" s="330"/>
      <c r="AS2111" s="343"/>
      <c r="AT2111" s="249"/>
      <c r="AU2111" s="330"/>
    </row>
    <row r="2112" spans="2:47">
      <c r="B2112" s="247">
        <f>'Table S2 Compound Identifiers'!C2114</f>
        <v>0</v>
      </c>
      <c r="C2112" s="247">
        <f>COUNTIF($D$6:D2112,"&lt;&gt;"&amp;"")</f>
        <v>2107</v>
      </c>
      <c r="D2112" s="247">
        <f>'Table S2 Compound Identifiers'!B2114</f>
        <v>0</v>
      </c>
      <c r="E2112" s="247"/>
      <c r="F2112" s="248"/>
      <c r="G2112" s="249"/>
      <c r="H2112" s="330"/>
      <c r="I2112" s="328"/>
      <c r="J2112" s="249"/>
      <c r="K2112" s="330"/>
      <c r="L2112" s="250"/>
      <c r="M2112" s="249"/>
      <c r="N2112" s="330"/>
      <c r="O2112" s="250"/>
      <c r="P2112" s="249"/>
      <c r="Q2112" s="330"/>
      <c r="R2112" s="250"/>
      <c r="S2112" s="249"/>
      <c r="T2112" s="330"/>
      <c r="U2112" s="250"/>
      <c r="V2112" s="249"/>
      <c r="W2112" s="330"/>
      <c r="X2112" s="343"/>
      <c r="Y2112" s="249"/>
      <c r="Z2112" s="330"/>
      <c r="AA2112" s="343"/>
      <c r="AB2112" s="249"/>
      <c r="AC2112" s="330"/>
      <c r="AD2112" s="343"/>
      <c r="AE2112" s="249"/>
      <c r="AF2112" s="330"/>
      <c r="AG2112" s="343"/>
      <c r="AH2112" s="249"/>
      <c r="AI2112" s="330"/>
      <c r="AJ2112" s="343"/>
      <c r="AK2112" s="249"/>
      <c r="AL2112" s="330"/>
      <c r="AM2112" s="343"/>
      <c r="AN2112" s="249"/>
      <c r="AO2112" s="330"/>
      <c r="AP2112" s="343"/>
      <c r="AQ2112" s="249"/>
      <c r="AR2112" s="330"/>
      <c r="AS2112" s="343"/>
      <c r="AT2112" s="249"/>
      <c r="AU2112" s="330"/>
    </row>
    <row r="2113" spans="2:47">
      <c r="B2113" s="247">
        <f>'Table S2 Compound Identifiers'!C2115</f>
        <v>0</v>
      </c>
      <c r="C2113" s="247">
        <f>COUNTIF($D$6:D2113,"&lt;&gt;"&amp;"")</f>
        <v>2108</v>
      </c>
      <c r="D2113" s="247">
        <f>'Table S2 Compound Identifiers'!B2115</f>
        <v>0</v>
      </c>
      <c r="E2113" s="247"/>
      <c r="F2113" s="248"/>
      <c r="G2113" s="249"/>
      <c r="H2113" s="330"/>
      <c r="I2113" s="328"/>
      <c r="J2113" s="249"/>
      <c r="K2113" s="330"/>
      <c r="L2113" s="250"/>
      <c r="M2113" s="249"/>
      <c r="N2113" s="330"/>
      <c r="O2113" s="250"/>
      <c r="P2113" s="249"/>
      <c r="Q2113" s="330"/>
      <c r="R2113" s="250"/>
      <c r="S2113" s="249"/>
      <c r="T2113" s="330"/>
      <c r="U2113" s="250"/>
      <c r="V2113" s="249"/>
      <c r="W2113" s="330"/>
      <c r="X2113" s="343"/>
      <c r="Y2113" s="249"/>
      <c r="Z2113" s="330"/>
      <c r="AA2113" s="343"/>
      <c r="AB2113" s="249"/>
      <c r="AC2113" s="330"/>
      <c r="AD2113" s="343"/>
      <c r="AE2113" s="249"/>
      <c r="AF2113" s="330"/>
      <c r="AG2113" s="343"/>
      <c r="AH2113" s="249"/>
      <c r="AI2113" s="330"/>
      <c r="AJ2113" s="343"/>
      <c r="AK2113" s="249"/>
      <c r="AL2113" s="330"/>
      <c r="AM2113" s="343"/>
      <c r="AN2113" s="249"/>
      <c r="AO2113" s="330"/>
      <c r="AP2113" s="343"/>
      <c r="AQ2113" s="249"/>
      <c r="AR2113" s="330"/>
      <c r="AS2113" s="343"/>
      <c r="AT2113" s="249"/>
      <c r="AU2113" s="330"/>
    </row>
    <row r="2114" spans="2:47">
      <c r="B2114" s="247">
        <f>'Table S2 Compound Identifiers'!C2116</f>
        <v>0</v>
      </c>
      <c r="C2114" s="247">
        <f>COUNTIF($D$6:D2114,"&lt;&gt;"&amp;"")</f>
        <v>2109</v>
      </c>
      <c r="D2114" s="247">
        <f>'Table S2 Compound Identifiers'!B2116</f>
        <v>0</v>
      </c>
      <c r="E2114" s="247"/>
      <c r="F2114" s="248"/>
      <c r="G2114" s="249"/>
      <c r="H2114" s="330"/>
      <c r="I2114" s="328"/>
      <c r="J2114" s="249"/>
      <c r="K2114" s="330"/>
      <c r="L2114" s="250"/>
      <c r="M2114" s="249"/>
      <c r="N2114" s="330"/>
      <c r="O2114" s="250"/>
      <c r="P2114" s="249"/>
      <c r="Q2114" s="330"/>
      <c r="R2114" s="250"/>
      <c r="S2114" s="249"/>
      <c r="T2114" s="330"/>
      <c r="U2114" s="250"/>
      <c r="V2114" s="249"/>
      <c r="W2114" s="330"/>
      <c r="X2114" s="343"/>
      <c r="Y2114" s="249"/>
      <c r="Z2114" s="330"/>
      <c r="AA2114" s="343"/>
      <c r="AB2114" s="249"/>
      <c r="AC2114" s="330"/>
      <c r="AD2114" s="343"/>
      <c r="AE2114" s="249"/>
      <c r="AF2114" s="330"/>
      <c r="AG2114" s="343"/>
      <c r="AH2114" s="249"/>
      <c r="AI2114" s="330"/>
      <c r="AJ2114" s="343"/>
      <c r="AK2114" s="249"/>
      <c r="AL2114" s="330"/>
      <c r="AM2114" s="343"/>
      <c r="AN2114" s="249"/>
      <c r="AO2114" s="330"/>
      <c r="AP2114" s="343"/>
      <c r="AQ2114" s="249"/>
      <c r="AR2114" s="330"/>
      <c r="AS2114" s="343"/>
      <c r="AT2114" s="249"/>
      <c r="AU2114" s="330"/>
    </row>
    <row r="2115" spans="2:47">
      <c r="B2115" s="247">
        <f>'Table S2 Compound Identifiers'!C2117</f>
        <v>0</v>
      </c>
      <c r="C2115" s="247">
        <f>COUNTIF($D$6:D2115,"&lt;&gt;"&amp;"")</f>
        <v>2110</v>
      </c>
      <c r="D2115" s="247">
        <f>'Table S2 Compound Identifiers'!B2117</f>
        <v>0</v>
      </c>
      <c r="E2115" s="247"/>
      <c r="F2115" s="248"/>
      <c r="G2115" s="249"/>
      <c r="H2115" s="330"/>
      <c r="I2115" s="328"/>
      <c r="J2115" s="249"/>
      <c r="K2115" s="330"/>
      <c r="L2115" s="250"/>
      <c r="M2115" s="249"/>
      <c r="N2115" s="330"/>
      <c r="O2115" s="250"/>
      <c r="P2115" s="249"/>
      <c r="Q2115" s="330"/>
      <c r="R2115" s="250"/>
      <c r="S2115" s="249"/>
      <c r="T2115" s="330"/>
      <c r="U2115" s="250"/>
      <c r="V2115" s="249"/>
      <c r="W2115" s="330"/>
      <c r="X2115" s="343"/>
      <c r="Y2115" s="249"/>
      <c r="Z2115" s="330"/>
      <c r="AA2115" s="343"/>
      <c r="AB2115" s="249"/>
      <c r="AC2115" s="330"/>
      <c r="AD2115" s="343"/>
      <c r="AE2115" s="249"/>
      <c r="AF2115" s="330"/>
      <c r="AG2115" s="343"/>
      <c r="AH2115" s="249"/>
      <c r="AI2115" s="330"/>
      <c r="AJ2115" s="343"/>
      <c r="AK2115" s="249"/>
      <c r="AL2115" s="330"/>
      <c r="AM2115" s="343"/>
      <c r="AN2115" s="249"/>
      <c r="AO2115" s="330"/>
      <c r="AP2115" s="343"/>
      <c r="AQ2115" s="249"/>
      <c r="AR2115" s="330"/>
      <c r="AS2115" s="343"/>
      <c r="AT2115" s="249"/>
      <c r="AU2115" s="330"/>
    </row>
    <row r="2116" spans="2:47">
      <c r="B2116" s="247">
        <f>'Table S2 Compound Identifiers'!C2118</f>
        <v>0</v>
      </c>
      <c r="C2116" s="247">
        <f>COUNTIF($D$6:D2116,"&lt;&gt;"&amp;"")</f>
        <v>2111</v>
      </c>
      <c r="D2116" s="247">
        <f>'Table S2 Compound Identifiers'!B2118</f>
        <v>0</v>
      </c>
      <c r="E2116" s="247"/>
      <c r="F2116" s="248"/>
      <c r="G2116" s="249"/>
      <c r="H2116" s="330"/>
      <c r="I2116" s="328"/>
      <c r="J2116" s="249"/>
      <c r="K2116" s="330"/>
      <c r="L2116" s="250"/>
      <c r="M2116" s="249"/>
      <c r="N2116" s="330"/>
      <c r="O2116" s="250"/>
      <c r="P2116" s="249"/>
      <c r="Q2116" s="330"/>
      <c r="R2116" s="250"/>
      <c r="S2116" s="249"/>
      <c r="T2116" s="330"/>
      <c r="U2116" s="250"/>
      <c r="V2116" s="249"/>
      <c r="W2116" s="330"/>
      <c r="X2116" s="343"/>
      <c r="Y2116" s="249"/>
      <c r="Z2116" s="330"/>
      <c r="AA2116" s="343"/>
      <c r="AB2116" s="249"/>
      <c r="AC2116" s="330"/>
      <c r="AD2116" s="343"/>
      <c r="AE2116" s="249"/>
      <c r="AF2116" s="330"/>
      <c r="AG2116" s="343"/>
      <c r="AH2116" s="249"/>
      <c r="AI2116" s="330"/>
      <c r="AJ2116" s="343"/>
      <c r="AK2116" s="249"/>
      <c r="AL2116" s="330"/>
      <c r="AM2116" s="343"/>
      <c r="AN2116" s="249"/>
      <c r="AO2116" s="330"/>
      <c r="AP2116" s="343"/>
      <c r="AQ2116" s="249"/>
      <c r="AR2116" s="330"/>
      <c r="AS2116" s="343"/>
      <c r="AT2116" s="249"/>
      <c r="AU2116" s="330"/>
    </row>
    <row r="2117" spans="2:47">
      <c r="B2117" s="247">
        <f>'Table S2 Compound Identifiers'!C2119</f>
        <v>0</v>
      </c>
      <c r="C2117" s="247">
        <f>COUNTIF($D$6:D2117,"&lt;&gt;"&amp;"")</f>
        <v>2112</v>
      </c>
      <c r="D2117" s="247">
        <f>'Table S2 Compound Identifiers'!B2119</f>
        <v>0</v>
      </c>
      <c r="E2117" s="247"/>
      <c r="F2117" s="248"/>
      <c r="G2117" s="249"/>
      <c r="H2117" s="330"/>
      <c r="I2117" s="328"/>
      <c r="J2117" s="249"/>
      <c r="K2117" s="330"/>
      <c r="L2117" s="250"/>
      <c r="M2117" s="249"/>
      <c r="N2117" s="330"/>
      <c r="O2117" s="250"/>
      <c r="P2117" s="249"/>
      <c r="Q2117" s="330"/>
      <c r="R2117" s="250"/>
      <c r="S2117" s="249"/>
      <c r="T2117" s="330"/>
      <c r="U2117" s="250"/>
      <c r="V2117" s="249"/>
      <c r="W2117" s="330"/>
      <c r="X2117" s="343"/>
      <c r="Y2117" s="249"/>
      <c r="Z2117" s="330"/>
      <c r="AA2117" s="343"/>
      <c r="AB2117" s="249"/>
      <c r="AC2117" s="330"/>
      <c r="AD2117" s="343"/>
      <c r="AE2117" s="249"/>
      <c r="AF2117" s="330"/>
      <c r="AG2117" s="343"/>
      <c r="AH2117" s="249"/>
      <c r="AI2117" s="330"/>
      <c r="AJ2117" s="343"/>
      <c r="AK2117" s="249"/>
      <c r="AL2117" s="330"/>
      <c r="AM2117" s="343"/>
      <c r="AN2117" s="249"/>
      <c r="AO2117" s="330"/>
      <c r="AP2117" s="343"/>
      <c r="AQ2117" s="249"/>
      <c r="AR2117" s="330"/>
      <c r="AS2117" s="343"/>
      <c r="AT2117" s="249"/>
      <c r="AU2117" s="330"/>
    </row>
    <row r="2118" spans="2:47">
      <c r="B2118" s="247">
        <f>'Table S2 Compound Identifiers'!C2120</f>
        <v>0</v>
      </c>
      <c r="C2118" s="247">
        <f>COUNTIF($D$6:D2118,"&lt;&gt;"&amp;"")</f>
        <v>2113</v>
      </c>
      <c r="D2118" s="247">
        <f>'Table S2 Compound Identifiers'!B2120</f>
        <v>0</v>
      </c>
      <c r="E2118" s="247"/>
      <c r="F2118" s="248"/>
      <c r="G2118" s="249"/>
      <c r="H2118" s="330"/>
      <c r="I2118" s="328"/>
      <c r="J2118" s="249"/>
      <c r="K2118" s="330"/>
      <c r="L2118" s="250"/>
      <c r="M2118" s="249"/>
      <c r="N2118" s="330"/>
      <c r="O2118" s="250"/>
      <c r="P2118" s="249"/>
      <c r="Q2118" s="330"/>
      <c r="R2118" s="250"/>
      <c r="S2118" s="249"/>
      <c r="T2118" s="330"/>
      <c r="U2118" s="250"/>
      <c r="V2118" s="249"/>
      <c r="W2118" s="330"/>
      <c r="X2118" s="343"/>
      <c r="Y2118" s="249"/>
      <c r="Z2118" s="330"/>
      <c r="AA2118" s="343"/>
      <c r="AB2118" s="249"/>
      <c r="AC2118" s="330"/>
      <c r="AD2118" s="343"/>
      <c r="AE2118" s="249"/>
      <c r="AF2118" s="330"/>
      <c r="AG2118" s="343"/>
      <c r="AH2118" s="249"/>
      <c r="AI2118" s="330"/>
      <c r="AJ2118" s="343"/>
      <c r="AK2118" s="249"/>
      <c r="AL2118" s="330"/>
      <c r="AM2118" s="343"/>
      <c r="AN2118" s="249"/>
      <c r="AO2118" s="330"/>
      <c r="AP2118" s="343"/>
      <c r="AQ2118" s="249"/>
      <c r="AR2118" s="330"/>
      <c r="AS2118" s="343"/>
      <c r="AT2118" s="249"/>
      <c r="AU2118" s="330"/>
    </row>
    <row r="2119" spans="2:47">
      <c r="B2119" s="247">
        <f>'Table S2 Compound Identifiers'!C2121</f>
        <v>0</v>
      </c>
      <c r="C2119" s="247">
        <f>COUNTIF($D$6:D2119,"&lt;&gt;"&amp;"")</f>
        <v>2114</v>
      </c>
      <c r="D2119" s="247">
        <f>'Table S2 Compound Identifiers'!B2121</f>
        <v>0</v>
      </c>
      <c r="E2119" s="247"/>
      <c r="F2119" s="248"/>
      <c r="G2119" s="249"/>
      <c r="H2119" s="330"/>
      <c r="I2119" s="328"/>
      <c r="J2119" s="249"/>
      <c r="K2119" s="330"/>
      <c r="L2119" s="250"/>
      <c r="M2119" s="249"/>
      <c r="N2119" s="330"/>
      <c r="O2119" s="250"/>
      <c r="P2119" s="249"/>
      <c r="Q2119" s="330"/>
      <c r="R2119" s="250"/>
      <c r="S2119" s="249"/>
      <c r="T2119" s="330"/>
      <c r="U2119" s="250"/>
      <c r="V2119" s="249"/>
      <c r="W2119" s="330"/>
      <c r="X2119" s="343"/>
      <c r="Y2119" s="249"/>
      <c r="Z2119" s="330"/>
      <c r="AA2119" s="343"/>
      <c r="AB2119" s="249"/>
      <c r="AC2119" s="330"/>
      <c r="AD2119" s="343"/>
      <c r="AE2119" s="249"/>
      <c r="AF2119" s="330"/>
      <c r="AG2119" s="343"/>
      <c r="AH2119" s="249"/>
      <c r="AI2119" s="330"/>
      <c r="AJ2119" s="343"/>
      <c r="AK2119" s="249"/>
      <c r="AL2119" s="330"/>
      <c r="AM2119" s="343"/>
      <c r="AN2119" s="249"/>
      <c r="AO2119" s="330"/>
      <c r="AP2119" s="343"/>
      <c r="AQ2119" s="249"/>
      <c r="AR2119" s="330"/>
      <c r="AS2119" s="343"/>
      <c r="AT2119" s="249"/>
      <c r="AU2119" s="330"/>
    </row>
    <row r="2120" spans="2:47">
      <c r="B2120" s="247">
        <f>'Table S2 Compound Identifiers'!C2122</f>
        <v>0</v>
      </c>
      <c r="C2120" s="247">
        <f>COUNTIF($D$6:D2120,"&lt;&gt;"&amp;"")</f>
        <v>2115</v>
      </c>
      <c r="D2120" s="247">
        <f>'Table S2 Compound Identifiers'!B2122</f>
        <v>0</v>
      </c>
      <c r="E2120" s="247"/>
      <c r="F2120" s="248"/>
      <c r="G2120" s="249"/>
      <c r="H2120" s="330"/>
      <c r="I2120" s="328"/>
      <c r="J2120" s="249"/>
      <c r="K2120" s="330"/>
      <c r="L2120" s="250"/>
      <c r="M2120" s="249"/>
      <c r="N2120" s="330"/>
      <c r="O2120" s="250"/>
      <c r="P2120" s="249"/>
      <c r="Q2120" s="330"/>
      <c r="R2120" s="250"/>
      <c r="S2120" s="249"/>
      <c r="T2120" s="330"/>
      <c r="U2120" s="250"/>
      <c r="V2120" s="249"/>
      <c r="W2120" s="330"/>
      <c r="X2120" s="343"/>
      <c r="Y2120" s="249"/>
      <c r="Z2120" s="330"/>
      <c r="AA2120" s="343"/>
      <c r="AB2120" s="249"/>
      <c r="AC2120" s="330"/>
      <c r="AD2120" s="343"/>
      <c r="AE2120" s="249"/>
      <c r="AF2120" s="330"/>
      <c r="AG2120" s="343"/>
      <c r="AH2120" s="249"/>
      <c r="AI2120" s="330"/>
      <c r="AJ2120" s="343"/>
      <c r="AK2120" s="249"/>
      <c r="AL2120" s="330"/>
      <c r="AM2120" s="343"/>
      <c r="AN2120" s="249"/>
      <c r="AO2120" s="330"/>
      <c r="AP2120" s="343"/>
      <c r="AQ2120" s="249"/>
      <c r="AR2120" s="330"/>
      <c r="AS2120" s="343"/>
      <c r="AT2120" s="249"/>
      <c r="AU2120" s="330"/>
    </row>
    <row r="2121" spans="2:47">
      <c r="B2121" s="247">
        <f>'Table S2 Compound Identifiers'!C2123</f>
        <v>0</v>
      </c>
      <c r="C2121" s="247">
        <f>COUNTIF($D$6:D2121,"&lt;&gt;"&amp;"")</f>
        <v>2116</v>
      </c>
      <c r="D2121" s="247">
        <f>'Table S2 Compound Identifiers'!B2123</f>
        <v>0</v>
      </c>
      <c r="E2121" s="247"/>
      <c r="F2121" s="248"/>
      <c r="G2121" s="249"/>
      <c r="H2121" s="330"/>
      <c r="I2121" s="328"/>
      <c r="J2121" s="249"/>
      <c r="K2121" s="330"/>
      <c r="L2121" s="250"/>
      <c r="M2121" s="249"/>
      <c r="N2121" s="330"/>
      <c r="O2121" s="250"/>
      <c r="P2121" s="249"/>
      <c r="Q2121" s="330"/>
      <c r="R2121" s="250"/>
      <c r="S2121" s="249"/>
      <c r="T2121" s="330"/>
      <c r="U2121" s="250"/>
      <c r="V2121" s="249"/>
      <c r="W2121" s="330"/>
      <c r="X2121" s="343"/>
      <c r="Y2121" s="249"/>
      <c r="Z2121" s="330"/>
      <c r="AA2121" s="343"/>
      <c r="AB2121" s="249"/>
      <c r="AC2121" s="330"/>
      <c r="AD2121" s="343"/>
      <c r="AE2121" s="249"/>
      <c r="AF2121" s="330"/>
      <c r="AG2121" s="343"/>
      <c r="AH2121" s="249"/>
      <c r="AI2121" s="330"/>
      <c r="AJ2121" s="343"/>
      <c r="AK2121" s="249"/>
      <c r="AL2121" s="330"/>
      <c r="AM2121" s="343"/>
      <c r="AN2121" s="249"/>
      <c r="AO2121" s="330"/>
      <c r="AP2121" s="343"/>
      <c r="AQ2121" s="249"/>
      <c r="AR2121" s="330"/>
      <c r="AS2121" s="343"/>
      <c r="AT2121" s="249"/>
      <c r="AU2121" s="330"/>
    </row>
    <row r="2122" spans="2:47">
      <c r="B2122" s="247">
        <f>'Table S2 Compound Identifiers'!C2124</f>
        <v>0</v>
      </c>
      <c r="C2122" s="247">
        <f>COUNTIF($D$6:D2122,"&lt;&gt;"&amp;"")</f>
        <v>2117</v>
      </c>
      <c r="D2122" s="247">
        <f>'Table S2 Compound Identifiers'!B2124</f>
        <v>0</v>
      </c>
      <c r="E2122" s="247"/>
      <c r="F2122" s="248"/>
      <c r="G2122" s="249"/>
      <c r="H2122" s="330"/>
      <c r="I2122" s="328"/>
      <c r="J2122" s="249"/>
      <c r="K2122" s="330"/>
      <c r="L2122" s="250"/>
      <c r="M2122" s="249"/>
      <c r="N2122" s="330"/>
      <c r="O2122" s="250"/>
      <c r="P2122" s="249"/>
      <c r="Q2122" s="330"/>
      <c r="R2122" s="250"/>
      <c r="S2122" s="249"/>
      <c r="T2122" s="330"/>
      <c r="U2122" s="250"/>
      <c r="V2122" s="249"/>
      <c r="W2122" s="330"/>
      <c r="X2122" s="343"/>
      <c r="Y2122" s="249"/>
      <c r="Z2122" s="330"/>
      <c r="AA2122" s="343"/>
      <c r="AB2122" s="249"/>
      <c r="AC2122" s="330"/>
      <c r="AD2122" s="343"/>
      <c r="AE2122" s="249"/>
      <c r="AF2122" s="330"/>
      <c r="AG2122" s="343"/>
      <c r="AH2122" s="249"/>
      <c r="AI2122" s="330"/>
      <c r="AJ2122" s="343"/>
      <c r="AK2122" s="249"/>
      <c r="AL2122" s="330"/>
      <c r="AM2122" s="343"/>
      <c r="AN2122" s="249"/>
      <c r="AO2122" s="330"/>
      <c r="AP2122" s="343"/>
      <c r="AQ2122" s="249"/>
      <c r="AR2122" s="330"/>
      <c r="AS2122" s="343"/>
      <c r="AT2122" s="249"/>
      <c r="AU2122" s="330"/>
    </row>
    <row r="2123" spans="2:47">
      <c r="B2123" s="247">
        <f>'Table S2 Compound Identifiers'!C2125</f>
        <v>0</v>
      </c>
      <c r="C2123" s="247">
        <f>COUNTIF($D$6:D2123,"&lt;&gt;"&amp;"")</f>
        <v>2118</v>
      </c>
      <c r="D2123" s="247">
        <f>'Table S2 Compound Identifiers'!B2125</f>
        <v>0</v>
      </c>
      <c r="E2123" s="247"/>
      <c r="F2123" s="248"/>
      <c r="G2123" s="249"/>
      <c r="H2123" s="330"/>
      <c r="I2123" s="328"/>
      <c r="J2123" s="249"/>
      <c r="K2123" s="330"/>
      <c r="L2123" s="250"/>
      <c r="M2123" s="249"/>
      <c r="N2123" s="330"/>
      <c r="O2123" s="250"/>
      <c r="P2123" s="249"/>
      <c r="Q2123" s="330"/>
      <c r="R2123" s="250"/>
      <c r="S2123" s="249"/>
      <c r="T2123" s="330"/>
      <c r="U2123" s="250"/>
      <c r="V2123" s="249"/>
      <c r="W2123" s="330"/>
      <c r="X2123" s="343"/>
      <c r="Y2123" s="249"/>
      <c r="Z2123" s="330"/>
      <c r="AA2123" s="343"/>
      <c r="AB2123" s="249"/>
      <c r="AC2123" s="330"/>
      <c r="AD2123" s="343"/>
      <c r="AE2123" s="249"/>
      <c r="AF2123" s="330"/>
      <c r="AG2123" s="343"/>
      <c r="AH2123" s="249"/>
      <c r="AI2123" s="330"/>
      <c r="AJ2123" s="343"/>
      <c r="AK2123" s="249"/>
      <c r="AL2123" s="330"/>
      <c r="AM2123" s="343"/>
      <c r="AN2123" s="249"/>
      <c r="AO2123" s="330"/>
      <c r="AP2123" s="343"/>
      <c r="AQ2123" s="249"/>
      <c r="AR2123" s="330"/>
      <c r="AS2123" s="343"/>
      <c r="AT2123" s="249"/>
      <c r="AU2123" s="330"/>
    </row>
    <row r="2124" spans="2:47">
      <c r="B2124" s="247">
        <f>'Table S2 Compound Identifiers'!C2126</f>
        <v>0</v>
      </c>
      <c r="C2124" s="247">
        <f>COUNTIF($D$6:D2124,"&lt;&gt;"&amp;"")</f>
        <v>2119</v>
      </c>
      <c r="D2124" s="247">
        <f>'Table S2 Compound Identifiers'!B2126</f>
        <v>0</v>
      </c>
      <c r="E2124" s="247"/>
      <c r="F2124" s="248"/>
      <c r="G2124" s="249"/>
      <c r="H2124" s="330"/>
      <c r="I2124" s="328"/>
      <c r="J2124" s="249"/>
      <c r="K2124" s="330"/>
      <c r="L2124" s="250"/>
      <c r="M2124" s="249"/>
      <c r="N2124" s="330"/>
      <c r="O2124" s="250"/>
      <c r="P2124" s="249"/>
      <c r="Q2124" s="330"/>
      <c r="R2124" s="250"/>
      <c r="S2124" s="249"/>
      <c r="T2124" s="330"/>
      <c r="U2124" s="250"/>
      <c r="V2124" s="249"/>
      <c r="W2124" s="330"/>
      <c r="X2124" s="343"/>
      <c r="Y2124" s="249"/>
      <c r="Z2124" s="330"/>
      <c r="AA2124" s="343"/>
      <c r="AB2124" s="249"/>
      <c r="AC2124" s="330"/>
      <c r="AD2124" s="343"/>
      <c r="AE2124" s="249"/>
      <c r="AF2124" s="330"/>
      <c r="AG2124" s="343"/>
      <c r="AH2124" s="249"/>
      <c r="AI2124" s="330"/>
      <c r="AJ2124" s="343"/>
      <c r="AK2124" s="249"/>
      <c r="AL2124" s="330"/>
      <c r="AM2124" s="343"/>
      <c r="AN2124" s="249"/>
      <c r="AO2124" s="330"/>
      <c r="AP2124" s="343"/>
      <c r="AQ2124" s="249"/>
      <c r="AR2124" s="330"/>
      <c r="AS2124" s="343"/>
      <c r="AT2124" s="249"/>
      <c r="AU2124" s="330"/>
    </row>
    <row r="2125" spans="2:47">
      <c r="B2125" s="247">
        <f>'Table S2 Compound Identifiers'!C2127</f>
        <v>0</v>
      </c>
      <c r="C2125" s="247">
        <f>COUNTIF($D$6:D2125,"&lt;&gt;"&amp;"")</f>
        <v>2120</v>
      </c>
      <c r="D2125" s="247">
        <f>'Table S2 Compound Identifiers'!B2127</f>
        <v>0</v>
      </c>
      <c r="E2125" s="247"/>
      <c r="F2125" s="248"/>
      <c r="G2125" s="249"/>
      <c r="H2125" s="330"/>
      <c r="I2125" s="328"/>
      <c r="J2125" s="249"/>
      <c r="K2125" s="330"/>
      <c r="L2125" s="250"/>
      <c r="M2125" s="249"/>
      <c r="N2125" s="330"/>
      <c r="O2125" s="250"/>
      <c r="P2125" s="249"/>
      <c r="Q2125" s="330"/>
      <c r="R2125" s="250"/>
      <c r="S2125" s="249"/>
      <c r="T2125" s="330"/>
      <c r="U2125" s="250"/>
      <c r="V2125" s="249"/>
      <c r="W2125" s="330"/>
      <c r="X2125" s="343"/>
      <c r="Y2125" s="249"/>
      <c r="Z2125" s="330"/>
      <c r="AA2125" s="343"/>
      <c r="AB2125" s="249"/>
      <c r="AC2125" s="330"/>
      <c r="AD2125" s="343"/>
      <c r="AE2125" s="249"/>
      <c r="AF2125" s="330"/>
      <c r="AG2125" s="343"/>
      <c r="AH2125" s="249"/>
      <c r="AI2125" s="330"/>
      <c r="AJ2125" s="343"/>
      <c r="AK2125" s="249"/>
      <c r="AL2125" s="330"/>
      <c r="AM2125" s="343"/>
      <c r="AN2125" s="249"/>
      <c r="AO2125" s="330"/>
      <c r="AP2125" s="343"/>
      <c r="AQ2125" s="249"/>
      <c r="AR2125" s="330"/>
      <c r="AS2125" s="343"/>
      <c r="AT2125" s="249"/>
      <c r="AU2125" s="330"/>
    </row>
    <row r="2126" spans="2:47">
      <c r="B2126" s="247">
        <f>'Table S2 Compound Identifiers'!C2128</f>
        <v>0</v>
      </c>
      <c r="C2126" s="247">
        <f>COUNTIF($D$6:D2126,"&lt;&gt;"&amp;"")</f>
        <v>2121</v>
      </c>
      <c r="D2126" s="247">
        <f>'Table S2 Compound Identifiers'!B2128</f>
        <v>0</v>
      </c>
      <c r="E2126" s="247"/>
      <c r="F2126" s="248"/>
      <c r="G2126" s="249"/>
      <c r="H2126" s="330"/>
      <c r="I2126" s="328"/>
      <c r="J2126" s="249"/>
      <c r="K2126" s="330"/>
      <c r="L2126" s="250"/>
      <c r="M2126" s="249"/>
      <c r="N2126" s="330"/>
      <c r="O2126" s="250"/>
      <c r="P2126" s="249"/>
      <c r="Q2126" s="330"/>
      <c r="R2126" s="250"/>
      <c r="S2126" s="249"/>
      <c r="T2126" s="330"/>
      <c r="U2126" s="250"/>
      <c r="V2126" s="249"/>
      <c r="W2126" s="330"/>
      <c r="X2126" s="343"/>
      <c r="Y2126" s="249"/>
      <c r="Z2126" s="330"/>
      <c r="AA2126" s="343"/>
      <c r="AB2126" s="249"/>
      <c r="AC2126" s="330"/>
      <c r="AD2126" s="343"/>
      <c r="AE2126" s="249"/>
      <c r="AF2126" s="330"/>
      <c r="AG2126" s="343"/>
      <c r="AH2126" s="249"/>
      <c r="AI2126" s="330"/>
      <c r="AJ2126" s="343"/>
      <c r="AK2126" s="249"/>
      <c r="AL2126" s="330"/>
      <c r="AM2126" s="343"/>
      <c r="AN2126" s="249"/>
      <c r="AO2126" s="330"/>
      <c r="AP2126" s="343"/>
      <c r="AQ2126" s="249"/>
      <c r="AR2126" s="330"/>
      <c r="AS2126" s="343"/>
      <c r="AT2126" s="249"/>
      <c r="AU2126" s="330"/>
    </row>
    <row r="2127" spans="2:47">
      <c r="B2127" s="247">
        <f>'Table S2 Compound Identifiers'!C2129</f>
        <v>0</v>
      </c>
      <c r="C2127" s="247">
        <f>COUNTIF($D$6:D2127,"&lt;&gt;"&amp;"")</f>
        <v>2122</v>
      </c>
      <c r="D2127" s="247">
        <f>'Table S2 Compound Identifiers'!B2129</f>
        <v>0</v>
      </c>
      <c r="E2127" s="247"/>
      <c r="F2127" s="248"/>
      <c r="G2127" s="249"/>
      <c r="H2127" s="330"/>
      <c r="I2127" s="328"/>
      <c r="J2127" s="249"/>
      <c r="K2127" s="330"/>
      <c r="L2127" s="250"/>
      <c r="M2127" s="249"/>
      <c r="N2127" s="330"/>
      <c r="O2127" s="250"/>
      <c r="P2127" s="249"/>
      <c r="Q2127" s="330"/>
      <c r="R2127" s="250"/>
      <c r="S2127" s="249"/>
      <c r="T2127" s="330"/>
      <c r="U2127" s="250"/>
      <c r="V2127" s="249"/>
      <c r="W2127" s="330"/>
      <c r="X2127" s="343"/>
      <c r="Y2127" s="249"/>
      <c r="Z2127" s="330"/>
      <c r="AA2127" s="343"/>
      <c r="AB2127" s="249"/>
      <c r="AC2127" s="330"/>
      <c r="AD2127" s="343"/>
      <c r="AE2127" s="249"/>
      <c r="AF2127" s="330"/>
      <c r="AG2127" s="343"/>
      <c r="AH2127" s="249"/>
      <c r="AI2127" s="330"/>
      <c r="AJ2127" s="343"/>
      <c r="AK2127" s="249"/>
      <c r="AL2127" s="330"/>
      <c r="AM2127" s="343"/>
      <c r="AN2127" s="249"/>
      <c r="AO2127" s="330"/>
      <c r="AP2127" s="343"/>
      <c r="AQ2127" s="249"/>
      <c r="AR2127" s="330"/>
      <c r="AS2127" s="343"/>
      <c r="AT2127" s="249"/>
      <c r="AU2127" s="330"/>
    </row>
    <row r="2128" spans="2:47">
      <c r="B2128" s="247">
        <f>'Table S2 Compound Identifiers'!C2130</f>
        <v>0</v>
      </c>
      <c r="C2128" s="247">
        <f>COUNTIF($D$6:D2128,"&lt;&gt;"&amp;"")</f>
        <v>2123</v>
      </c>
      <c r="D2128" s="247">
        <f>'Table S2 Compound Identifiers'!B2130</f>
        <v>0</v>
      </c>
      <c r="E2128" s="247"/>
      <c r="F2128" s="248"/>
      <c r="G2128" s="249"/>
      <c r="H2128" s="330"/>
      <c r="I2128" s="328"/>
      <c r="J2128" s="249"/>
      <c r="K2128" s="330"/>
      <c r="L2128" s="250"/>
      <c r="M2128" s="249"/>
      <c r="N2128" s="330"/>
      <c r="O2128" s="250"/>
      <c r="P2128" s="249"/>
      <c r="Q2128" s="330"/>
      <c r="R2128" s="250"/>
      <c r="S2128" s="249"/>
      <c r="T2128" s="330"/>
      <c r="U2128" s="250"/>
      <c r="V2128" s="249"/>
      <c r="W2128" s="330"/>
      <c r="X2128" s="343"/>
      <c r="Y2128" s="249"/>
      <c r="Z2128" s="330"/>
      <c r="AA2128" s="343"/>
      <c r="AB2128" s="249"/>
      <c r="AC2128" s="330"/>
      <c r="AD2128" s="343"/>
      <c r="AE2128" s="249"/>
      <c r="AF2128" s="330"/>
      <c r="AG2128" s="343"/>
      <c r="AH2128" s="249"/>
      <c r="AI2128" s="330"/>
      <c r="AJ2128" s="343"/>
      <c r="AK2128" s="249"/>
      <c r="AL2128" s="330"/>
      <c r="AM2128" s="343"/>
      <c r="AN2128" s="249"/>
      <c r="AO2128" s="330"/>
      <c r="AP2128" s="343"/>
      <c r="AQ2128" s="249"/>
      <c r="AR2128" s="330"/>
      <c r="AS2128" s="343"/>
      <c r="AT2128" s="249"/>
      <c r="AU2128" s="330"/>
    </row>
    <row r="2129" spans="2:47">
      <c r="B2129" s="247">
        <f>'Table S2 Compound Identifiers'!C2131</f>
        <v>0</v>
      </c>
      <c r="C2129" s="247">
        <f>COUNTIF($D$6:D2129,"&lt;&gt;"&amp;"")</f>
        <v>2124</v>
      </c>
      <c r="D2129" s="247">
        <f>'Table S2 Compound Identifiers'!B2131</f>
        <v>0</v>
      </c>
      <c r="E2129" s="247"/>
      <c r="F2129" s="248"/>
      <c r="G2129" s="249"/>
      <c r="H2129" s="330"/>
      <c r="I2129" s="328"/>
      <c r="J2129" s="249"/>
      <c r="K2129" s="330"/>
      <c r="L2129" s="250"/>
      <c r="M2129" s="249"/>
      <c r="N2129" s="330"/>
      <c r="O2129" s="250"/>
      <c r="P2129" s="249"/>
      <c r="Q2129" s="330"/>
      <c r="R2129" s="250"/>
      <c r="S2129" s="249"/>
      <c r="T2129" s="330"/>
      <c r="U2129" s="250"/>
      <c r="V2129" s="249"/>
      <c r="W2129" s="330"/>
      <c r="X2129" s="343"/>
      <c r="Y2129" s="249"/>
      <c r="Z2129" s="330"/>
      <c r="AA2129" s="343"/>
      <c r="AB2129" s="249"/>
      <c r="AC2129" s="330"/>
      <c r="AD2129" s="343"/>
      <c r="AE2129" s="249"/>
      <c r="AF2129" s="330"/>
      <c r="AG2129" s="343"/>
      <c r="AH2129" s="249"/>
      <c r="AI2129" s="330"/>
      <c r="AJ2129" s="343"/>
      <c r="AK2129" s="249"/>
      <c r="AL2129" s="330"/>
      <c r="AM2129" s="343"/>
      <c r="AN2129" s="249"/>
      <c r="AO2129" s="330"/>
      <c r="AP2129" s="343"/>
      <c r="AQ2129" s="249"/>
      <c r="AR2129" s="330"/>
      <c r="AS2129" s="343"/>
      <c r="AT2129" s="249"/>
      <c r="AU2129" s="330"/>
    </row>
    <row r="2130" spans="2:47">
      <c r="B2130" s="247">
        <f>'Table S2 Compound Identifiers'!C2132</f>
        <v>0</v>
      </c>
      <c r="C2130" s="247">
        <f>COUNTIF($D$6:D2130,"&lt;&gt;"&amp;"")</f>
        <v>2125</v>
      </c>
      <c r="D2130" s="247">
        <f>'Table S2 Compound Identifiers'!B2132</f>
        <v>0</v>
      </c>
      <c r="E2130" s="247"/>
      <c r="F2130" s="248"/>
      <c r="G2130" s="249"/>
      <c r="H2130" s="330"/>
      <c r="I2130" s="328"/>
      <c r="J2130" s="249"/>
      <c r="K2130" s="330"/>
      <c r="L2130" s="250"/>
      <c r="M2130" s="249"/>
      <c r="N2130" s="330"/>
      <c r="O2130" s="250"/>
      <c r="P2130" s="249"/>
      <c r="Q2130" s="330"/>
      <c r="R2130" s="250"/>
      <c r="S2130" s="249"/>
      <c r="T2130" s="330"/>
      <c r="U2130" s="250"/>
      <c r="V2130" s="249"/>
      <c r="W2130" s="330"/>
      <c r="X2130" s="343"/>
      <c r="Y2130" s="249"/>
      <c r="Z2130" s="330"/>
      <c r="AA2130" s="343"/>
      <c r="AB2130" s="249"/>
      <c r="AC2130" s="330"/>
      <c r="AD2130" s="343"/>
      <c r="AE2130" s="249"/>
      <c r="AF2130" s="330"/>
      <c r="AG2130" s="343"/>
      <c r="AH2130" s="249"/>
      <c r="AI2130" s="330"/>
      <c r="AJ2130" s="343"/>
      <c r="AK2130" s="249"/>
      <c r="AL2130" s="330"/>
      <c r="AM2130" s="343"/>
      <c r="AN2130" s="249"/>
      <c r="AO2130" s="330"/>
      <c r="AP2130" s="343"/>
      <c r="AQ2130" s="249"/>
      <c r="AR2130" s="330"/>
      <c r="AS2130" s="343"/>
      <c r="AT2130" s="249"/>
      <c r="AU2130" s="330"/>
    </row>
    <row r="2131" spans="2:47">
      <c r="B2131" s="247">
        <f>'Table S2 Compound Identifiers'!C2133</f>
        <v>0</v>
      </c>
      <c r="C2131" s="247">
        <f>COUNTIF($D$6:D2131,"&lt;&gt;"&amp;"")</f>
        <v>2126</v>
      </c>
      <c r="D2131" s="247">
        <f>'Table S2 Compound Identifiers'!B2133</f>
        <v>0</v>
      </c>
      <c r="E2131" s="247"/>
      <c r="F2131" s="248"/>
      <c r="G2131" s="249"/>
      <c r="H2131" s="330"/>
      <c r="I2131" s="328"/>
      <c r="J2131" s="249"/>
      <c r="K2131" s="330"/>
      <c r="L2131" s="250"/>
      <c r="M2131" s="249"/>
      <c r="N2131" s="330"/>
      <c r="O2131" s="250"/>
      <c r="P2131" s="249"/>
      <c r="Q2131" s="330"/>
      <c r="R2131" s="250"/>
      <c r="S2131" s="249"/>
      <c r="T2131" s="330"/>
      <c r="U2131" s="250"/>
      <c r="V2131" s="249"/>
      <c r="W2131" s="330"/>
      <c r="X2131" s="343"/>
      <c r="Y2131" s="249"/>
      <c r="Z2131" s="330"/>
      <c r="AA2131" s="343"/>
      <c r="AB2131" s="249"/>
      <c r="AC2131" s="330"/>
      <c r="AD2131" s="343"/>
      <c r="AE2131" s="249"/>
      <c r="AF2131" s="330"/>
      <c r="AG2131" s="343"/>
      <c r="AH2131" s="249"/>
      <c r="AI2131" s="330"/>
      <c r="AJ2131" s="343"/>
      <c r="AK2131" s="249"/>
      <c r="AL2131" s="330"/>
      <c r="AM2131" s="343"/>
      <c r="AN2131" s="249"/>
      <c r="AO2131" s="330"/>
      <c r="AP2131" s="343"/>
      <c r="AQ2131" s="249"/>
      <c r="AR2131" s="330"/>
      <c r="AS2131" s="343"/>
      <c r="AT2131" s="249"/>
      <c r="AU2131" s="330"/>
    </row>
    <row r="2132" spans="2:47">
      <c r="B2132" s="247">
        <f>'Table S2 Compound Identifiers'!C2134</f>
        <v>0</v>
      </c>
      <c r="C2132" s="247">
        <f>COUNTIF($D$6:D2132,"&lt;&gt;"&amp;"")</f>
        <v>2127</v>
      </c>
      <c r="D2132" s="247">
        <f>'Table S2 Compound Identifiers'!B2134</f>
        <v>0</v>
      </c>
      <c r="E2132" s="247"/>
      <c r="F2132" s="248"/>
      <c r="G2132" s="249"/>
      <c r="H2132" s="330"/>
      <c r="I2132" s="328"/>
      <c r="J2132" s="249"/>
      <c r="K2132" s="330"/>
      <c r="L2132" s="250"/>
      <c r="M2132" s="249"/>
      <c r="N2132" s="330"/>
      <c r="O2132" s="250"/>
      <c r="P2132" s="249"/>
      <c r="Q2132" s="330"/>
      <c r="R2132" s="250"/>
      <c r="S2132" s="249"/>
      <c r="T2132" s="330"/>
      <c r="U2132" s="250"/>
      <c r="V2132" s="249"/>
      <c r="W2132" s="330"/>
      <c r="X2132" s="343"/>
      <c r="Y2132" s="249"/>
      <c r="Z2132" s="330"/>
      <c r="AA2132" s="343"/>
      <c r="AB2132" s="249"/>
      <c r="AC2132" s="330"/>
      <c r="AD2132" s="343"/>
      <c r="AE2132" s="249"/>
      <c r="AF2132" s="330"/>
      <c r="AG2132" s="343"/>
      <c r="AH2132" s="249"/>
      <c r="AI2132" s="330"/>
      <c r="AJ2132" s="343"/>
      <c r="AK2132" s="249"/>
      <c r="AL2132" s="330"/>
      <c r="AM2132" s="343"/>
      <c r="AN2132" s="249"/>
      <c r="AO2132" s="330"/>
      <c r="AP2132" s="343"/>
      <c r="AQ2132" s="249"/>
      <c r="AR2132" s="330"/>
      <c r="AS2132" s="343"/>
      <c r="AT2132" s="249"/>
      <c r="AU2132" s="330"/>
    </row>
    <row r="2133" spans="2:47">
      <c r="B2133" s="247">
        <f>'Table S2 Compound Identifiers'!C2135</f>
        <v>0</v>
      </c>
      <c r="C2133" s="247">
        <f>COUNTIF($D$6:D2133,"&lt;&gt;"&amp;"")</f>
        <v>2128</v>
      </c>
      <c r="D2133" s="247">
        <f>'Table S2 Compound Identifiers'!B2135</f>
        <v>0</v>
      </c>
      <c r="E2133" s="247"/>
      <c r="F2133" s="248"/>
      <c r="G2133" s="249"/>
      <c r="H2133" s="330"/>
      <c r="I2133" s="328"/>
      <c r="J2133" s="249"/>
      <c r="K2133" s="330"/>
      <c r="L2133" s="250"/>
      <c r="M2133" s="249"/>
      <c r="N2133" s="330"/>
      <c r="O2133" s="250"/>
      <c r="P2133" s="249"/>
      <c r="Q2133" s="330"/>
      <c r="R2133" s="250"/>
      <c r="S2133" s="249"/>
      <c r="T2133" s="330"/>
      <c r="U2133" s="250"/>
      <c r="V2133" s="249"/>
      <c r="W2133" s="330"/>
      <c r="X2133" s="343"/>
      <c r="Y2133" s="249"/>
      <c r="Z2133" s="330"/>
      <c r="AA2133" s="343"/>
      <c r="AB2133" s="249"/>
      <c r="AC2133" s="330"/>
      <c r="AD2133" s="343"/>
      <c r="AE2133" s="249"/>
      <c r="AF2133" s="330"/>
      <c r="AG2133" s="343"/>
      <c r="AH2133" s="249"/>
      <c r="AI2133" s="330"/>
      <c r="AJ2133" s="343"/>
      <c r="AK2133" s="249"/>
      <c r="AL2133" s="330"/>
      <c r="AM2133" s="343"/>
      <c r="AN2133" s="249"/>
      <c r="AO2133" s="330"/>
      <c r="AP2133" s="343"/>
      <c r="AQ2133" s="249"/>
      <c r="AR2133" s="330"/>
      <c r="AS2133" s="343"/>
      <c r="AT2133" s="249"/>
      <c r="AU2133" s="330"/>
    </row>
    <row r="2134" spans="2:47">
      <c r="B2134" s="247">
        <f>'Table S2 Compound Identifiers'!C2136</f>
        <v>0</v>
      </c>
      <c r="C2134" s="247">
        <f>COUNTIF($D$6:D2134,"&lt;&gt;"&amp;"")</f>
        <v>2129</v>
      </c>
      <c r="D2134" s="432">
        <f>'Table S2 Compound Identifiers'!B2136</f>
        <v>0</v>
      </c>
      <c r="E2134" s="247"/>
      <c r="F2134" s="248"/>
      <c r="G2134" s="249"/>
      <c r="H2134" s="330"/>
      <c r="I2134" s="328"/>
      <c r="J2134" s="249"/>
      <c r="K2134" s="330"/>
      <c r="L2134" s="250"/>
      <c r="M2134" s="249"/>
      <c r="N2134" s="330"/>
      <c r="O2134" s="250"/>
      <c r="P2134" s="249"/>
      <c r="Q2134" s="330"/>
      <c r="R2134" s="250"/>
      <c r="S2134" s="249"/>
      <c r="T2134" s="330"/>
      <c r="U2134" s="250"/>
      <c r="V2134" s="249"/>
      <c r="W2134" s="330"/>
      <c r="X2134" s="343"/>
      <c r="Y2134" s="249"/>
      <c r="Z2134" s="330"/>
      <c r="AA2134" s="343"/>
      <c r="AB2134" s="249"/>
      <c r="AC2134" s="330"/>
      <c r="AD2134" s="343"/>
      <c r="AE2134" s="249"/>
      <c r="AF2134" s="330"/>
      <c r="AG2134" s="343"/>
      <c r="AH2134" s="249"/>
      <c r="AI2134" s="330"/>
      <c r="AJ2134" s="343"/>
      <c r="AK2134" s="249"/>
      <c r="AL2134" s="330"/>
      <c r="AM2134" s="343"/>
      <c r="AN2134" s="249"/>
      <c r="AO2134" s="330"/>
      <c r="AP2134" s="343"/>
      <c r="AQ2134" s="249"/>
      <c r="AR2134" s="330"/>
      <c r="AS2134" s="343"/>
      <c r="AT2134" s="249"/>
      <c r="AU2134" s="330"/>
    </row>
    <row r="2135" spans="2:47">
      <c r="B2135" s="247">
        <f>'Table S2 Compound Identifiers'!C2137</f>
        <v>0</v>
      </c>
      <c r="C2135" s="247">
        <f>COUNTIF($D$6:D2135,"&lt;&gt;"&amp;"")</f>
        <v>2130</v>
      </c>
      <c r="D2135" s="432">
        <f>'Table S2 Compound Identifiers'!B2137</f>
        <v>0</v>
      </c>
      <c r="E2135" s="247"/>
      <c r="F2135" s="248"/>
      <c r="G2135" s="249"/>
      <c r="H2135" s="330"/>
      <c r="I2135" s="328"/>
      <c r="J2135" s="249"/>
      <c r="K2135" s="330"/>
      <c r="L2135" s="250"/>
      <c r="M2135" s="249"/>
      <c r="N2135" s="330"/>
      <c r="O2135" s="250"/>
      <c r="P2135" s="249"/>
      <c r="Q2135" s="330"/>
      <c r="R2135" s="250"/>
      <c r="S2135" s="249"/>
      <c r="T2135" s="330"/>
      <c r="U2135" s="250"/>
      <c r="V2135" s="249"/>
      <c r="W2135" s="330"/>
      <c r="X2135" s="343"/>
      <c r="Y2135" s="249"/>
      <c r="Z2135" s="330"/>
      <c r="AA2135" s="343"/>
      <c r="AB2135" s="249"/>
      <c r="AC2135" s="330"/>
      <c r="AD2135" s="343"/>
      <c r="AE2135" s="249"/>
      <c r="AF2135" s="330"/>
      <c r="AG2135" s="343"/>
      <c r="AH2135" s="249"/>
      <c r="AI2135" s="330"/>
      <c r="AJ2135" s="343"/>
      <c r="AK2135" s="249"/>
      <c r="AL2135" s="330"/>
      <c r="AM2135" s="343"/>
      <c r="AN2135" s="249"/>
      <c r="AO2135" s="330"/>
      <c r="AP2135" s="343"/>
      <c r="AQ2135" s="249"/>
      <c r="AR2135" s="330"/>
      <c r="AS2135" s="343"/>
      <c r="AT2135" s="249"/>
      <c r="AU2135" s="330"/>
    </row>
    <row r="2136" spans="2:47">
      <c r="B2136" s="247">
        <f>'Table S2 Compound Identifiers'!C2138</f>
        <v>0</v>
      </c>
      <c r="C2136" s="247">
        <f>COUNTIF($D$6:D2136,"&lt;&gt;"&amp;"")</f>
        <v>2131</v>
      </c>
      <c r="D2136" s="432">
        <f>'Table S2 Compound Identifiers'!B2138</f>
        <v>0</v>
      </c>
      <c r="E2136" s="247"/>
      <c r="F2136" s="248"/>
      <c r="G2136" s="249"/>
      <c r="H2136" s="330"/>
      <c r="I2136" s="328"/>
      <c r="J2136" s="249"/>
      <c r="K2136" s="330"/>
      <c r="L2136" s="250"/>
      <c r="M2136" s="249"/>
      <c r="N2136" s="330"/>
      <c r="O2136" s="250"/>
      <c r="P2136" s="249"/>
      <c r="Q2136" s="330"/>
      <c r="R2136" s="250"/>
      <c r="S2136" s="249"/>
      <c r="T2136" s="330"/>
      <c r="U2136" s="250"/>
      <c r="V2136" s="249"/>
      <c r="W2136" s="330"/>
      <c r="X2136" s="343"/>
      <c r="Y2136" s="249"/>
      <c r="Z2136" s="330"/>
      <c r="AA2136" s="343"/>
      <c r="AB2136" s="249"/>
      <c r="AC2136" s="330"/>
      <c r="AD2136" s="343"/>
      <c r="AE2136" s="249"/>
      <c r="AF2136" s="330"/>
      <c r="AG2136" s="343"/>
      <c r="AH2136" s="249"/>
      <c r="AI2136" s="330"/>
      <c r="AJ2136" s="343"/>
      <c r="AK2136" s="249"/>
      <c r="AL2136" s="330"/>
      <c r="AM2136" s="343"/>
      <c r="AN2136" s="249"/>
      <c r="AO2136" s="330"/>
      <c r="AP2136" s="343"/>
      <c r="AQ2136" s="249"/>
      <c r="AR2136" s="330"/>
      <c r="AS2136" s="343"/>
      <c r="AT2136" s="249"/>
      <c r="AU2136" s="330"/>
    </row>
    <row r="2137" spans="2:47">
      <c r="B2137" s="247">
        <f>'Table S2 Compound Identifiers'!C2139</f>
        <v>0</v>
      </c>
      <c r="C2137" s="247">
        <f>COUNTIF($D$6:D2137,"&lt;&gt;"&amp;"")</f>
        <v>2132</v>
      </c>
      <c r="D2137" s="432">
        <f>'Table S2 Compound Identifiers'!B2139</f>
        <v>0</v>
      </c>
      <c r="E2137" s="247"/>
      <c r="F2137" s="248"/>
      <c r="G2137" s="249"/>
      <c r="H2137" s="330"/>
      <c r="I2137" s="328"/>
      <c r="J2137" s="249"/>
      <c r="K2137" s="330"/>
      <c r="L2137" s="250"/>
      <c r="M2137" s="249"/>
      <c r="N2137" s="330"/>
      <c r="O2137" s="250"/>
      <c r="P2137" s="249"/>
      <c r="Q2137" s="330"/>
      <c r="R2137" s="250"/>
      <c r="S2137" s="249"/>
      <c r="T2137" s="330"/>
      <c r="U2137" s="250"/>
      <c r="V2137" s="249"/>
      <c r="W2137" s="330"/>
      <c r="X2137" s="343"/>
      <c r="Y2137" s="249"/>
      <c r="Z2137" s="330"/>
      <c r="AA2137" s="343"/>
      <c r="AB2137" s="249"/>
      <c r="AC2137" s="330"/>
      <c r="AD2137" s="343"/>
      <c r="AE2137" s="249"/>
      <c r="AF2137" s="330"/>
      <c r="AG2137" s="343"/>
      <c r="AH2137" s="249"/>
      <c r="AI2137" s="330"/>
      <c r="AJ2137" s="343"/>
      <c r="AK2137" s="249"/>
      <c r="AL2137" s="330"/>
      <c r="AM2137" s="343"/>
      <c r="AN2137" s="249"/>
      <c r="AO2137" s="330"/>
      <c r="AP2137" s="343"/>
      <c r="AQ2137" s="249"/>
      <c r="AR2137" s="330"/>
      <c r="AS2137" s="343"/>
      <c r="AT2137" s="249"/>
      <c r="AU2137" s="330"/>
    </row>
    <row r="2138" spans="2:47">
      <c r="B2138" s="247">
        <f>'Table S2 Compound Identifiers'!C2140</f>
        <v>0</v>
      </c>
      <c r="C2138" s="247">
        <f>COUNTIF($D$6:D2138,"&lt;&gt;"&amp;"")</f>
        <v>2133</v>
      </c>
      <c r="D2138" s="432">
        <f>'Table S2 Compound Identifiers'!B2140</f>
        <v>0</v>
      </c>
      <c r="E2138" s="247"/>
      <c r="F2138" s="248"/>
      <c r="G2138" s="249"/>
      <c r="H2138" s="330"/>
      <c r="I2138" s="328"/>
      <c r="J2138" s="249"/>
      <c r="K2138" s="330"/>
      <c r="L2138" s="250"/>
      <c r="M2138" s="249"/>
      <c r="N2138" s="330"/>
      <c r="O2138" s="250"/>
      <c r="P2138" s="249"/>
      <c r="Q2138" s="330"/>
      <c r="R2138" s="250"/>
      <c r="S2138" s="249"/>
      <c r="T2138" s="330"/>
      <c r="U2138" s="250"/>
      <c r="V2138" s="249"/>
      <c r="W2138" s="330"/>
      <c r="X2138" s="343"/>
      <c r="Y2138" s="249"/>
      <c r="Z2138" s="330"/>
      <c r="AA2138" s="343"/>
      <c r="AB2138" s="249"/>
      <c r="AC2138" s="330"/>
      <c r="AD2138" s="343"/>
      <c r="AE2138" s="249"/>
      <c r="AF2138" s="330"/>
      <c r="AG2138" s="343"/>
      <c r="AH2138" s="249"/>
      <c r="AI2138" s="330"/>
      <c r="AJ2138" s="343"/>
      <c r="AK2138" s="249"/>
      <c r="AL2138" s="330"/>
      <c r="AM2138" s="343"/>
      <c r="AN2138" s="249"/>
      <c r="AO2138" s="330"/>
      <c r="AP2138" s="343"/>
      <c r="AQ2138" s="249"/>
      <c r="AR2138" s="330"/>
      <c r="AS2138" s="343"/>
      <c r="AT2138" s="249"/>
      <c r="AU2138" s="330"/>
    </row>
    <row r="2139" spans="2:47">
      <c r="B2139" s="247">
        <f>'Table S2 Compound Identifiers'!C2141</f>
        <v>0</v>
      </c>
      <c r="C2139" s="247">
        <f>COUNTIF($D$6:D2139,"&lt;&gt;"&amp;"")</f>
        <v>2134</v>
      </c>
      <c r="D2139" s="432">
        <f>'Table S2 Compound Identifiers'!B2141</f>
        <v>0</v>
      </c>
      <c r="E2139" s="247"/>
      <c r="F2139" s="248"/>
      <c r="G2139" s="249"/>
      <c r="H2139" s="330"/>
      <c r="I2139" s="328"/>
      <c r="J2139" s="249"/>
      <c r="K2139" s="330"/>
      <c r="L2139" s="250"/>
      <c r="M2139" s="249"/>
      <c r="N2139" s="330"/>
      <c r="O2139" s="250"/>
      <c r="P2139" s="249"/>
      <c r="Q2139" s="330"/>
      <c r="R2139" s="250"/>
      <c r="S2139" s="249"/>
      <c r="T2139" s="330"/>
      <c r="U2139" s="250"/>
      <c r="V2139" s="249"/>
      <c r="W2139" s="330"/>
      <c r="X2139" s="343"/>
      <c r="Y2139" s="249"/>
      <c r="Z2139" s="330"/>
      <c r="AA2139" s="343"/>
      <c r="AB2139" s="249"/>
      <c r="AC2139" s="330"/>
      <c r="AD2139" s="343"/>
      <c r="AE2139" s="249"/>
      <c r="AF2139" s="330"/>
      <c r="AG2139" s="343"/>
      <c r="AH2139" s="249"/>
      <c r="AI2139" s="330"/>
      <c r="AJ2139" s="343"/>
      <c r="AK2139" s="249"/>
      <c r="AL2139" s="330"/>
      <c r="AM2139" s="343"/>
      <c r="AN2139" s="249"/>
      <c r="AO2139" s="330"/>
      <c r="AP2139" s="343"/>
      <c r="AQ2139" s="249"/>
      <c r="AR2139" s="330"/>
      <c r="AS2139" s="343"/>
      <c r="AT2139" s="249"/>
      <c r="AU2139" s="330"/>
    </row>
    <row r="2140" spans="2:47">
      <c r="B2140" s="247">
        <f>'Table S2 Compound Identifiers'!C2142</f>
        <v>0</v>
      </c>
      <c r="C2140" s="247">
        <f>COUNTIF($D$6:D2140,"&lt;&gt;"&amp;"")</f>
        <v>2135</v>
      </c>
      <c r="D2140" s="432">
        <f>'Table S2 Compound Identifiers'!B2142</f>
        <v>0</v>
      </c>
      <c r="E2140" s="247"/>
      <c r="F2140" s="248"/>
      <c r="G2140" s="249"/>
      <c r="H2140" s="330"/>
      <c r="I2140" s="328"/>
      <c r="J2140" s="249"/>
      <c r="K2140" s="330"/>
      <c r="L2140" s="250"/>
      <c r="M2140" s="249"/>
      <c r="N2140" s="330"/>
      <c r="O2140" s="250"/>
      <c r="P2140" s="249"/>
      <c r="Q2140" s="330"/>
      <c r="R2140" s="250"/>
      <c r="S2140" s="249"/>
      <c r="T2140" s="330"/>
      <c r="U2140" s="250"/>
      <c r="V2140" s="249"/>
      <c r="W2140" s="330"/>
      <c r="X2140" s="343"/>
      <c r="Y2140" s="249"/>
      <c r="Z2140" s="330"/>
      <c r="AA2140" s="343"/>
      <c r="AB2140" s="249"/>
      <c r="AC2140" s="330"/>
      <c r="AD2140" s="343"/>
      <c r="AE2140" s="249"/>
      <c r="AF2140" s="330"/>
      <c r="AG2140" s="343"/>
      <c r="AH2140" s="249"/>
      <c r="AI2140" s="330"/>
      <c r="AJ2140" s="343"/>
      <c r="AK2140" s="249"/>
      <c r="AL2140" s="330"/>
      <c r="AM2140" s="343"/>
      <c r="AN2140" s="249"/>
      <c r="AO2140" s="330"/>
      <c r="AP2140" s="343"/>
      <c r="AQ2140" s="249"/>
      <c r="AR2140" s="330"/>
      <c r="AS2140" s="343"/>
      <c r="AT2140" s="249"/>
      <c r="AU2140" s="330"/>
    </row>
    <row r="2141" spans="2:47">
      <c r="B2141" s="247">
        <f>'Table S2 Compound Identifiers'!C2143</f>
        <v>0</v>
      </c>
      <c r="C2141" s="247">
        <f>COUNTIF($D$6:D2141,"&lt;&gt;"&amp;"")</f>
        <v>2136</v>
      </c>
      <c r="D2141" s="432">
        <f>'Table S2 Compound Identifiers'!B2143</f>
        <v>0</v>
      </c>
      <c r="E2141" s="247"/>
      <c r="F2141" s="248"/>
      <c r="G2141" s="249"/>
      <c r="H2141" s="330"/>
      <c r="I2141" s="328"/>
      <c r="J2141" s="249"/>
      <c r="K2141" s="330"/>
      <c r="L2141" s="250"/>
      <c r="M2141" s="249"/>
      <c r="N2141" s="330"/>
      <c r="O2141" s="250"/>
      <c r="P2141" s="249"/>
      <c r="Q2141" s="330"/>
      <c r="R2141" s="250"/>
      <c r="S2141" s="249"/>
      <c r="T2141" s="330"/>
      <c r="U2141" s="250"/>
      <c r="V2141" s="249"/>
      <c r="W2141" s="330"/>
      <c r="X2141" s="343"/>
      <c r="Y2141" s="249"/>
      <c r="Z2141" s="330"/>
      <c r="AA2141" s="343"/>
      <c r="AB2141" s="249"/>
      <c r="AC2141" s="330"/>
      <c r="AD2141" s="343"/>
      <c r="AE2141" s="249"/>
      <c r="AF2141" s="330"/>
      <c r="AG2141" s="343"/>
      <c r="AH2141" s="249"/>
      <c r="AI2141" s="330"/>
      <c r="AJ2141" s="343"/>
      <c r="AK2141" s="249"/>
      <c r="AL2141" s="330"/>
      <c r="AM2141" s="343"/>
      <c r="AN2141" s="249"/>
      <c r="AO2141" s="330"/>
      <c r="AP2141" s="343"/>
      <c r="AQ2141" s="249"/>
      <c r="AR2141" s="330"/>
      <c r="AS2141" s="343"/>
      <c r="AT2141" s="249"/>
      <c r="AU2141" s="330"/>
    </row>
    <row r="2142" spans="2:47">
      <c r="B2142" s="247">
        <f>'Table S2 Compound Identifiers'!C2144</f>
        <v>0</v>
      </c>
      <c r="C2142" s="247">
        <f>COUNTIF($D$6:D2142,"&lt;&gt;"&amp;"")</f>
        <v>2137</v>
      </c>
      <c r="D2142" s="432">
        <f>'Table S2 Compound Identifiers'!B2144</f>
        <v>0</v>
      </c>
      <c r="E2142" s="247"/>
      <c r="F2142" s="248"/>
      <c r="G2142" s="249"/>
      <c r="H2142" s="330"/>
      <c r="I2142" s="328"/>
      <c r="J2142" s="249"/>
      <c r="K2142" s="330"/>
      <c r="L2142" s="250"/>
      <c r="M2142" s="249"/>
      <c r="N2142" s="330"/>
      <c r="O2142" s="250"/>
      <c r="P2142" s="249"/>
      <c r="Q2142" s="330"/>
      <c r="R2142" s="250"/>
      <c r="S2142" s="249"/>
      <c r="T2142" s="330"/>
      <c r="U2142" s="250"/>
      <c r="V2142" s="249"/>
      <c r="W2142" s="330"/>
      <c r="X2142" s="343"/>
      <c r="Y2142" s="249"/>
      <c r="Z2142" s="330"/>
      <c r="AA2142" s="343"/>
      <c r="AB2142" s="249"/>
      <c r="AC2142" s="330"/>
      <c r="AD2142" s="343"/>
      <c r="AE2142" s="249"/>
      <c r="AF2142" s="330"/>
      <c r="AG2142" s="343"/>
      <c r="AH2142" s="249"/>
      <c r="AI2142" s="330"/>
      <c r="AJ2142" s="343"/>
      <c r="AK2142" s="249"/>
      <c r="AL2142" s="330"/>
      <c r="AM2142" s="343"/>
      <c r="AN2142" s="249"/>
      <c r="AO2142" s="330"/>
      <c r="AP2142" s="343"/>
      <c r="AQ2142" s="249"/>
      <c r="AR2142" s="330"/>
      <c r="AS2142" s="343"/>
      <c r="AT2142" s="249"/>
      <c r="AU2142" s="330"/>
    </row>
    <row r="2143" spans="2:47">
      <c r="B2143" s="247">
        <f>'Table S2 Compound Identifiers'!C2145</f>
        <v>0</v>
      </c>
      <c r="C2143" s="247">
        <f>COUNTIF($D$6:D2143,"&lt;&gt;"&amp;"")</f>
        <v>2138</v>
      </c>
      <c r="D2143" s="432">
        <f>'Table S2 Compound Identifiers'!B2145</f>
        <v>0</v>
      </c>
      <c r="E2143" s="247"/>
      <c r="F2143" s="248"/>
      <c r="G2143" s="249"/>
      <c r="H2143" s="330"/>
      <c r="I2143" s="328"/>
      <c r="J2143" s="249"/>
      <c r="K2143" s="330"/>
      <c r="L2143" s="250"/>
      <c r="M2143" s="249"/>
      <c r="N2143" s="330"/>
      <c r="O2143" s="250"/>
      <c r="P2143" s="249"/>
      <c r="Q2143" s="330"/>
      <c r="R2143" s="250"/>
      <c r="S2143" s="249"/>
      <c r="T2143" s="330"/>
      <c r="U2143" s="250"/>
      <c r="V2143" s="249"/>
      <c r="W2143" s="330"/>
      <c r="X2143" s="343"/>
      <c r="Y2143" s="249"/>
      <c r="Z2143" s="330"/>
      <c r="AA2143" s="343"/>
      <c r="AB2143" s="249"/>
      <c r="AC2143" s="330"/>
      <c r="AD2143" s="343"/>
      <c r="AE2143" s="249"/>
      <c r="AF2143" s="330"/>
      <c r="AG2143" s="343"/>
      <c r="AH2143" s="249"/>
      <c r="AI2143" s="330"/>
      <c r="AJ2143" s="343"/>
      <c r="AK2143" s="249"/>
      <c r="AL2143" s="330"/>
      <c r="AM2143" s="343"/>
      <c r="AN2143" s="249"/>
      <c r="AO2143" s="330"/>
      <c r="AP2143" s="343"/>
      <c r="AQ2143" s="249"/>
      <c r="AR2143" s="330"/>
      <c r="AS2143" s="343"/>
      <c r="AT2143" s="249"/>
      <c r="AU2143" s="330"/>
    </row>
    <row r="2144" spans="2:47">
      <c r="B2144" s="247">
        <f>'Table S2 Compound Identifiers'!C2146</f>
        <v>0</v>
      </c>
      <c r="C2144" s="247">
        <f>COUNTIF($D$6:D2144,"&lt;&gt;"&amp;"")</f>
        <v>2139</v>
      </c>
      <c r="D2144" s="247">
        <f>'Table S2 Compound Identifiers'!B2146</f>
        <v>0</v>
      </c>
      <c r="E2144" s="247"/>
      <c r="F2144" s="248"/>
      <c r="G2144" s="249"/>
      <c r="H2144" s="330"/>
      <c r="I2144" s="328"/>
      <c r="J2144" s="249"/>
      <c r="K2144" s="330"/>
      <c r="L2144" s="250"/>
      <c r="M2144" s="249"/>
      <c r="N2144" s="330"/>
      <c r="O2144" s="250"/>
      <c r="P2144" s="249"/>
      <c r="Q2144" s="330"/>
      <c r="R2144" s="250"/>
      <c r="S2144" s="249"/>
      <c r="T2144" s="330"/>
      <c r="U2144" s="250"/>
      <c r="V2144" s="249"/>
      <c r="W2144" s="330"/>
      <c r="X2144" s="343"/>
      <c r="Y2144" s="249"/>
      <c r="Z2144" s="330"/>
      <c r="AA2144" s="343"/>
      <c r="AB2144" s="249"/>
      <c r="AC2144" s="330"/>
      <c r="AD2144" s="343"/>
      <c r="AE2144" s="249"/>
      <c r="AF2144" s="330"/>
      <c r="AG2144" s="343"/>
      <c r="AH2144" s="249"/>
      <c r="AI2144" s="330"/>
      <c r="AJ2144" s="343"/>
      <c r="AK2144" s="249"/>
      <c r="AL2144" s="330"/>
      <c r="AM2144" s="343"/>
      <c r="AN2144" s="249"/>
      <c r="AO2144" s="330"/>
      <c r="AP2144" s="343"/>
      <c r="AQ2144" s="249"/>
      <c r="AR2144" s="330"/>
      <c r="AS2144" s="343"/>
      <c r="AT2144" s="249"/>
      <c r="AU2144" s="330"/>
    </row>
    <row r="2145" spans="2:47">
      <c r="B2145" s="247">
        <f>'Table S2 Compound Identifiers'!C2147</f>
        <v>0</v>
      </c>
      <c r="C2145" s="247">
        <f>COUNTIF($D$6:D2145,"&lt;&gt;"&amp;"")</f>
        <v>2140</v>
      </c>
      <c r="D2145" s="247">
        <f>'Table S2 Compound Identifiers'!B2147</f>
        <v>0</v>
      </c>
      <c r="E2145" s="247"/>
      <c r="F2145" s="248"/>
      <c r="G2145" s="249"/>
      <c r="H2145" s="330"/>
      <c r="I2145" s="328"/>
      <c r="J2145" s="249"/>
      <c r="K2145" s="330"/>
      <c r="L2145" s="250"/>
      <c r="M2145" s="249"/>
      <c r="N2145" s="330"/>
      <c r="O2145" s="250"/>
      <c r="P2145" s="249"/>
      <c r="Q2145" s="330"/>
      <c r="R2145" s="250"/>
      <c r="S2145" s="249"/>
      <c r="T2145" s="330"/>
      <c r="U2145" s="250"/>
      <c r="V2145" s="249"/>
      <c r="W2145" s="330"/>
      <c r="X2145" s="343"/>
      <c r="Y2145" s="249"/>
      <c r="Z2145" s="330"/>
      <c r="AA2145" s="343"/>
      <c r="AB2145" s="249"/>
      <c r="AC2145" s="330"/>
      <c r="AD2145" s="343"/>
      <c r="AE2145" s="249"/>
      <c r="AF2145" s="330"/>
      <c r="AG2145" s="343"/>
      <c r="AH2145" s="249"/>
      <c r="AI2145" s="330"/>
      <c r="AJ2145" s="343"/>
      <c r="AK2145" s="249"/>
      <c r="AL2145" s="330"/>
      <c r="AM2145" s="343"/>
      <c r="AN2145" s="249"/>
      <c r="AO2145" s="330"/>
      <c r="AP2145" s="343"/>
      <c r="AQ2145" s="249"/>
      <c r="AR2145" s="330"/>
      <c r="AS2145" s="343"/>
      <c r="AT2145" s="249"/>
      <c r="AU2145" s="330"/>
    </row>
    <row r="2146" spans="2:47">
      <c r="B2146" s="247">
        <f>'Table S2 Compound Identifiers'!C2148</f>
        <v>0</v>
      </c>
      <c r="C2146" s="247">
        <f>COUNTIF($D$6:D2146,"&lt;&gt;"&amp;"")</f>
        <v>2141</v>
      </c>
      <c r="D2146" s="247">
        <f>'Table S2 Compound Identifiers'!B2148</f>
        <v>0</v>
      </c>
      <c r="E2146" s="247"/>
      <c r="F2146" s="248"/>
      <c r="G2146" s="249"/>
      <c r="H2146" s="330"/>
      <c r="I2146" s="328"/>
      <c r="J2146" s="249"/>
      <c r="K2146" s="330"/>
      <c r="L2146" s="250"/>
      <c r="M2146" s="249"/>
      <c r="N2146" s="330"/>
      <c r="O2146" s="250"/>
      <c r="P2146" s="249"/>
      <c r="Q2146" s="330"/>
      <c r="R2146" s="250"/>
      <c r="S2146" s="249"/>
      <c r="T2146" s="330"/>
      <c r="U2146" s="250"/>
      <c r="V2146" s="249"/>
      <c r="W2146" s="330"/>
      <c r="X2146" s="343"/>
      <c r="Y2146" s="249"/>
      <c r="Z2146" s="330"/>
      <c r="AA2146" s="343"/>
      <c r="AB2146" s="249"/>
      <c r="AC2146" s="330"/>
      <c r="AD2146" s="343"/>
      <c r="AE2146" s="249"/>
      <c r="AF2146" s="330"/>
      <c r="AG2146" s="343"/>
      <c r="AH2146" s="249"/>
      <c r="AI2146" s="330"/>
      <c r="AJ2146" s="343"/>
      <c r="AK2146" s="249"/>
      <c r="AL2146" s="330"/>
      <c r="AM2146" s="343"/>
      <c r="AN2146" s="249"/>
      <c r="AO2146" s="330"/>
      <c r="AP2146" s="343"/>
      <c r="AQ2146" s="249"/>
      <c r="AR2146" s="330"/>
      <c r="AS2146" s="343"/>
      <c r="AT2146" s="249"/>
      <c r="AU2146" s="330"/>
    </row>
    <row r="2147" spans="2:47">
      <c r="B2147" s="247">
        <f>'Table S2 Compound Identifiers'!C2149</f>
        <v>0</v>
      </c>
      <c r="C2147" s="247">
        <f>COUNTIF($D$6:D2147,"&lt;&gt;"&amp;"")</f>
        <v>2142</v>
      </c>
      <c r="D2147" s="247">
        <f>'Table S2 Compound Identifiers'!B2149</f>
        <v>0</v>
      </c>
      <c r="E2147" s="247"/>
      <c r="F2147" s="248"/>
      <c r="G2147" s="249"/>
      <c r="H2147" s="330"/>
      <c r="I2147" s="328"/>
      <c r="J2147" s="249"/>
      <c r="K2147" s="330"/>
      <c r="L2147" s="250"/>
      <c r="M2147" s="249"/>
      <c r="N2147" s="330"/>
      <c r="O2147" s="250"/>
      <c r="P2147" s="249"/>
      <c r="Q2147" s="330"/>
      <c r="R2147" s="250"/>
      <c r="S2147" s="249"/>
      <c r="T2147" s="330"/>
      <c r="U2147" s="250"/>
      <c r="V2147" s="249"/>
      <c r="W2147" s="330"/>
      <c r="X2147" s="343"/>
      <c r="Y2147" s="249"/>
      <c r="Z2147" s="330"/>
      <c r="AA2147" s="343"/>
      <c r="AB2147" s="249"/>
      <c r="AC2147" s="330"/>
      <c r="AD2147" s="343"/>
      <c r="AE2147" s="249"/>
      <c r="AF2147" s="330"/>
      <c r="AG2147" s="343"/>
      <c r="AH2147" s="249"/>
      <c r="AI2147" s="330"/>
      <c r="AJ2147" s="343"/>
      <c r="AK2147" s="249"/>
      <c r="AL2147" s="330"/>
      <c r="AM2147" s="343"/>
      <c r="AN2147" s="249"/>
      <c r="AO2147" s="330"/>
      <c r="AP2147" s="343"/>
      <c r="AQ2147" s="249"/>
      <c r="AR2147" s="330"/>
      <c r="AS2147" s="343"/>
      <c r="AT2147" s="249"/>
      <c r="AU2147" s="330"/>
    </row>
    <row r="2148" spans="2:47">
      <c r="B2148" s="247">
        <f>'Table S2 Compound Identifiers'!C2150</f>
        <v>0</v>
      </c>
      <c r="C2148" s="247">
        <f>COUNTIF($D$6:D2148,"&lt;&gt;"&amp;"")</f>
        <v>2143</v>
      </c>
      <c r="D2148" s="247">
        <f>'Table S2 Compound Identifiers'!B2150</f>
        <v>0</v>
      </c>
      <c r="E2148" s="247"/>
      <c r="F2148" s="248"/>
      <c r="G2148" s="249"/>
      <c r="H2148" s="330"/>
      <c r="I2148" s="328"/>
      <c r="J2148" s="249"/>
      <c r="K2148" s="330"/>
      <c r="L2148" s="250"/>
      <c r="M2148" s="249"/>
      <c r="N2148" s="330"/>
      <c r="O2148" s="250"/>
      <c r="P2148" s="249"/>
      <c r="Q2148" s="330"/>
      <c r="R2148" s="250"/>
      <c r="S2148" s="249"/>
      <c r="T2148" s="330"/>
      <c r="U2148" s="250"/>
      <c r="V2148" s="249"/>
      <c r="W2148" s="330"/>
      <c r="X2148" s="343"/>
      <c r="Y2148" s="249"/>
      <c r="Z2148" s="330"/>
      <c r="AA2148" s="343"/>
      <c r="AB2148" s="249"/>
      <c r="AC2148" s="330"/>
      <c r="AD2148" s="343"/>
      <c r="AE2148" s="249"/>
      <c r="AF2148" s="330"/>
      <c r="AG2148" s="343"/>
      <c r="AH2148" s="249"/>
      <c r="AI2148" s="330"/>
      <c r="AJ2148" s="343"/>
      <c r="AK2148" s="249"/>
      <c r="AL2148" s="330"/>
      <c r="AM2148" s="343"/>
      <c r="AN2148" s="249"/>
      <c r="AO2148" s="330"/>
      <c r="AP2148" s="343"/>
      <c r="AQ2148" s="249"/>
      <c r="AR2148" s="330"/>
      <c r="AS2148" s="343"/>
      <c r="AT2148" s="249"/>
      <c r="AU2148" s="330"/>
    </row>
    <row r="2149" spans="2:47">
      <c r="B2149" s="247">
        <f>'Table S2 Compound Identifiers'!C2151</f>
        <v>0</v>
      </c>
      <c r="C2149" s="247">
        <f>COUNTIF($D$6:D2149,"&lt;&gt;"&amp;"")</f>
        <v>2144</v>
      </c>
      <c r="D2149" s="247">
        <f>'Table S2 Compound Identifiers'!B2151</f>
        <v>0</v>
      </c>
      <c r="E2149" s="247"/>
      <c r="F2149" s="248"/>
      <c r="G2149" s="249"/>
      <c r="H2149" s="330"/>
      <c r="I2149" s="328"/>
      <c r="J2149" s="249"/>
      <c r="K2149" s="330"/>
      <c r="L2149" s="250"/>
      <c r="M2149" s="249"/>
      <c r="N2149" s="330"/>
      <c r="O2149" s="250"/>
      <c r="P2149" s="249"/>
      <c r="Q2149" s="330"/>
      <c r="R2149" s="250"/>
      <c r="S2149" s="249"/>
      <c r="T2149" s="330"/>
      <c r="U2149" s="250"/>
      <c r="V2149" s="249"/>
      <c r="W2149" s="330"/>
      <c r="X2149" s="343"/>
      <c r="Y2149" s="249"/>
      <c r="Z2149" s="330"/>
      <c r="AA2149" s="343"/>
      <c r="AB2149" s="249"/>
      <c r="AC2149" s="330"/>
      <c r="AD2149" s="343"/>
      <c r="AE2149" s="249"/>
      <c r="AF2149" s="330"/>
      <c r="AG2149" s="343"/>
      <c r="AH2149" s="249"/>
      <c r="AI2149" s="330"/>
      <c r="AJ2149" s="343"/>
      <c r="AK2149" s="249"/>
      <c r="AL2149" s="330"/>
      <c r="AM2149" s="343"/>
      <c r="AN2149" s="249"/>
      <c r="AO2149" s="330"/>
      <c r="AP2149" s="343"/>
      <c r="AQ2149" s="249"/>
      <c r="AR2149" s="330"/>
      <c r="AS2149" s="343"/>
      <c r="AT2149" s="249"/>
      <c r="AU2149" s="330"/>
    </row>
    <row r="2150" spans="2:47">
      <c r="B2150" s="247">
        <f>'Table S2 Compound Identifiers'!C2152</f>
        <v>0</v>
      </c>
      <c r="C2150" s="247">
        <f>COUNTIF($D$6:D2150,"&lt;&gt;"&amp;"")</f>
        <v>2145</v>
      </c>
      <c r="D2150" s="247">
        <f>'Table S2 Compound Identifiers'!B2152</f>
        <v>0</v>
      </c>
      <c r="E2150" s="247"/>
      <c r="F2150" s="248"/>
      <c r="G2150" s="249"/>
      <c r="H2150" s="330"/>
      <c r="I2150" s="328"/>
      <c r="J2150" s="249"/>
      <c r="K2150" s="330"/>
      <c r="L2150" s="250"/>
      <c r="M2150" s="249"/>
      <c r="N2150" s="330"/>
      <c r="O2150" s="251"/>
      <c r="P2150" s="252"/>
      <c r="Q2150" s="330"/>
      <c r="R2150" s="251"/>
      <c r="S2150" s="252"/>
      <c r="T2150" s="330"/>
      <c r="U2150" s="251"/>
      <c r="V2150" s="252"/>
      <c r="W2150" s="330"/>
      <c r="X2150" s="343"/>
      <c r="Y2150" s="249"/>
      <c r="Z2150" s="330"/>
      <c r="AA2150" s="343"/>
      <c r="AB2150" s="249"/>
      <c r="AC2150" s="330"/>
      <c r="AD2150" s="343"/>
      <c r="AE2150" s="249"/>
      <c r="AF2150" s="330"/>
      <c r="AG2150" s="343"/>
      <c r="AH2150" s="249"/>
      <c r="AI2150" s="330"/>
      <c r="AJ2150" s="343"/>
      <c r="AK2150" s="249"/>
      <c r="AL2150" s="330"/>
      <c r="AM2150" s="343"/>
      <c r="AN2150" s="249"/>
      <c r="AO2150" s="330"/>
      <c r="AP2150" s="343"/>
      <c r="AQ2150" s="249"/>
      <c r="AR2150" s="330"/>
      <c r="AS2150" s="343"/>
      <c r="AT2150" s="249"/>
      <c r="AU2150" s="330"/>
    </row>
    <row r="2151" spans="2:47">
      <c r="B2151" s="247">
        <f>'Table S2 Compound Identifiers'!C2153</f>
        <v>0</v>
      </c>
      <c r="C2151" s="253">
        <f>COUNTIF($D$6:D2151,"&lt;&gt;"&amp;"")</f>
        <v>2146</v>
      </c>
      <c r="D2151" s="253">
        <f>'Table S2 Compound Identifiers'!B2153</f>
        <v>0</v>
      </c>
      <c r="E2151" s="253"/>
      <c r="F2151" s="254"/>
      <c r="G2151" s="252"/>
      <c r="H2151" s="330"/>
      <c r="I2151" s="333"/>
      <c r="J2151" s="252"/>
      <c r="K2151" s="330"/>
      <c r="L2151" s="251"/>
      <c r="M2151" s="252"/>
      <c r="N2151" s="330"/>
      <c r="O2151" s="251"/>
      <c r="P2151" s="252"/>
      <c r="Q2151" s="330"/>
      <c r="R2151" s="251"/>
      <c r="S2151" s="252"/>
      <c r="T2151" s="330"/>
      <c r="U2151" s="251"/>
      <c r="V2151" s="252"/>
      <c r="W2151" s="330"/>
      <c r="X2151" s="343"/>
      <c r="Y2151" s="249"/>
      <c r="Z2151" s="330"/>
      <c r="AA2151" s="343"/>
      <c r="AB2151" s="249"/>
      <c r="AC2151" s="330"/>
      <c r="AD2151" s="343"/>
      <c r="AE2151" s="249"/>
      <c r="AF2151" s="330"/>
      <c r="AG2151" s="343"/>
      <c r="AH2151" s="249"/>
      <c r="AI2151" s="330"/>
      <c r="AJ2151" s="343"/>
      <c r="AK2151" s="249"/>
      <c r="AL2151" s="330"/>
      <c r="AM2151" s="343"/>
      <c r="AN2151" s="249"/>
      <c r="AO2151" s="330"/>
      <c r="AP2151" s="343"/>
      <c r="AQ2151" s="249"/>
      <c r="AR2151" s="330"/>
      <c r="AS2151" s="343"/>
      <c r="AT2151" s="249"/>
      <c r="AU2151" s="330"/>
    </row>
    <row r="2152" spans="2:47">
      <c r="B2152" s="247">
        <f>'Table S2 Compound Identifiers'!C2154</f>
        <v>0</v>
      </c>
      <c r="C2152" s="247">
        <f>COUNTIF($D$6:D2152,"&lt;&gt;"&amp;"")</f>
        <v>2147</v>
      </c>
      <c r="D2152" s="247">
        <f>'Table S2 Compound Identifiers'!B2154</f>
        <v>0</v>
      </c>
      <c r="E2152" s="247"/>
      <c r="F2152" s="248"/>
      <c r="G2152" s="250"/>
      <c r="H2152" s="330"/>
      <c r="I2152" s="343"/>
      <c r="J2152" s="249"/>
      <c r="K2152" s="327"/>
      <c r="L2152" s="343"/>
      <c r="M2152" s="249"/>
      <c r="N2152" s="327"/>
      <c r="O2152" s="343"/>
      <c r="P2152" s="249"/>
      <c r="Q2152" s="327"/>
      <c r="R2152" s="343"/>
      <c r="S2152" s="249"/>
      <c r="T2152" s="327"/>
      <c r="U2152" s="343"/>
      <c r="V2152" s="249"/>
      <c r="W2152" s="327"/>
      <c r="X2152" s="343"/>
      <c r="Y2152" s="249"/>
      <c r="Z2152" s="327"/>
      <c r="AA2152" s="343"/>
      <c r="AB2152" s="249"/>
      <c r="AC2152" s="343"/>
      <c r="AD2152" s="343"/>
      <c r="AE2152" s="249"/>
      <c r="AF2152" s="249"/>
      <c r="AG2152" s="343"/>
      <c r="AH2152" s="249"/>
      <c r="AI2152" s="343"/>
      <c r="AJ2152" s="343"/>
      <c r="AK2152" s="249"/>
      <c r="AL2152" s="249"/>
      <c r="AM2152" s="343"/>
      <c r="AN2152" s="249"/>
      <c r="AO2152" s="343"/>
      <c r="AP2152" s="343"/>
      <c r="AQ2152" s="249"/>
      <c r="AR2152" s="249"/>
      <c r="AS2152" s="343"/>
      <c r="AT2152" s="249"/>
      <c r="AU2152" s="343"/>
    </row>
    <row r="2153" spans="2:47">
      <c r="B2153" s="247">
        <f>'Table S2 Compound Identifiers'!C2155</f>
        <v>0</v>
      </c>
      <c r="C2153" s="247">
        <f>COUNTIF($D$6:D2153,"&lt;&gt;"&amp;"")</f>
        <v>2148</v>
      </c>
      <c r="D2153" s="247">
        <f>'Table S2 Compound Identifiers'!B2155</f>
        <v>0</v>
      </c>
      <c r="E2153" s="247"/>
      <c r="F2153" s="248"/>
      <c r="G2153" s="249"/>
      <c r="H2153" s="330"/>
      <c r="I2153" s="332"/>
      <c r="J2153" s="330"/>
      <c r="K2153" s="330"/>
      <c r="L2153" s="330"/>
      <c r="M2153" s="330"/>
      <c r="N2153" s="330"/>
      <c r="O2153" s="330"/>
      <c r="P2153" s="330"/>
      <c r="Q2153" s="330"/>
      <c r="R2153" s="330"/>
      <c r="S2153" s="330"/>
      <c r="T2153" s="330"/>
      <c r="U2153" s="330"/>
      <c r="V2153" s="330"/>
      <c r="W2153" s="330"/>
      <c r="X2153" s="343"/>
      <c r="Y2153" s="249"/>
      <c r="Z2153" s="330"/>
      <c r="AA2153" s="343"/>
      <c r="AB2153" s="249"/>
      <c r="AC2153" s="330"/>
      <c r="AD2153" s="343"/>
      <c r="AE2153" s="249"/>
      <c r="AF2153" s="330"/>
      <c r="AG2153" s="343"/>
      <c r="AH2153" s="249"/>
      <c r="AI2153" s="330"/>
      <c r="AJ2153" s="343"/>
      <c r="AK2153" s="249"/>
      <c r="AL2153" s="330"/>
      <c r="AM2153" s="343"/>
      <c r="AN2153" s="249"/>
      <c r="AO2153" s="330"/>
      <c r="AP2153" s="343"/>
      <c r="AQ2153" s="249"/>
      <c r="AR2153" s="330"/>
      <c r="AS2153" s="343"/>
      <c r="AT2153" s="249"/>
      <c r="AU2153" s="330"/>
    </row>
    <row r="2154" spans="2:47">
      <c r="B2154" s="247">
        <f>'Table S2 Compound Identifiers'!C2156</f>
        <v>0</v>
      </c>
      <c r="C2154" s="247">
        <f>COUNTIF($D$6:D2154,"&lt;&gt;"&amp;"")</f>
        <v>2149</v>
      </c>
      <c r="D2154" s="247">
        <f>'Table S2 Compound Identifiers'!B2156</f>
        <v>0</v>
      </c>
      <c r="E2154" s="247"/>
      <c r="F2154" s="248"/>
      <c r="G2154" s="249"/>
      <c r="H2154" s="330"/>
      <c r="I2154" s="332"/>
      <c r="J2154" s="330"/>
      <c r="K2154" s="330"/>
      <c r="L2154" s="330"/>
      <c r="M2154" s="330"/>
      <c r="N2154" s="330"/>
      <c r="O2154" s="330"/>
      <c r="P2154" s="330"/>
      <c r="Q2154" s="330"/>
      <c r="R2154" s="330"/>
      <c r="S2154" s="330"/>
      <c r="T2154" s="330"/>
      <c r="U2154" s="330"/>
      <c r="V2154" s="330"/>
      <c r="W2154" s="330"/>
      <c r="X2154" s="343"/>
      <c r="Y2154" s="249"/>
      <c r="Z2154" s="330"/>
      <c r="AA2154" s="343"/>
      <c r="AB2154" s="249"/>
      <c r="AC2154" s="330"/>
      <c r="AD2154" s="343"/>
      <c r="AE2154" s="249"/>
      <c r="AF2154" s="330"/>
      <c r="AG2154" s="343"/>
      <c r="AH2154" s="249"/>
      <c r="AI2154" s="330"/>
      <c r="AJ2154" s="343"/>
      <c r="AK2154" s="249"/>
      <c r="AL2154" s="330"/>
      <c r="AM2154" s="343"/>
      <c r="AN2154" s="249"/>
      <c r="AO2154" s="330"/>
      <c r="AP2154" s="343"/>
      <c r="AQ2154" s="249"/>
      <c r="AR2154" s="330"/>
      <c r="AS2154" s="343"/>
      <c r="AT2154" s="249"/>
      <c r="AU2154" s="330"/>
    </row>
    <row r="2155" spans="2:47">
      <c r="B2155" s="247">
        <f>'Table S2 Compound Identifiers'!C2157</f>
        <v>0</v>
      </c>
      <c r="C2155" s="247">
        <f>COUNTIF($D$6:D2155,"&lt;&gt;"&amp;"")</f>
        <v>2150</v>
      </c>
      <c r="D2155" s="247">
        <f>'Table S2 Compound Identifiers'!B2157</f>
        <v>0</v>
      </c>
      <c r="E2155" s="247"/>
      <c r="F2155" s="248"/>
      <c r="G2155" s="249"/>
      <c r="H2155" s="330"/>
      <c r="I2155" s="332"/>
      <c r="J2155" s="330"/>
      <c r="K2155" s="330"/>
      <c r="L2155" s="330"/>
      <c r="M2155" s="330"/>
      <c r="N2155" s="330"/>
      <c r="O2155" s="330"/>
      <c r="P2155" s="330"/>
      <c r="Q2155" s="330"/>
      <c r="R2155" s="330"/>
      <c r="S2155" s="330"/>
      <c r="T2155" s="330"/>
      <c r="U2155" s="330"/>
      <c r="V2155" s="330"/>
      <c r="W2155" s="330"/>
      <c r="X2155" s="343"/>
      <c r="Y2155" s="249"/>
      <c r="Z2155" s="330"/>
      <c r="AA2155" s="343"/>
      <c r="AB2155" s="249"/>
      <c r="AC2155" s="330"/>
      <c r="AD2155" s="343"/>
      <c r="AE2155" s="249"/>
      <c r="AF2155" s="330"/>
      <c r="AG2155" s="343"/>
      <c r="AH2155" s="249"/>
      <c r="AI2155" s="330"/>
      <c r="AJ2155" s="343"/>
      <c r="AK2155" s="249"/>
      <c r="AL2155" s="330"/>
      <c r="AM2155" s="343"/>
      <c r="AN2155" s="249"/>
      <c r="AO2155" s="330"/>
      <c r="AP2155" s="343"/>
      <c r="AQ2155" s="249"/>
      <c r="AR2155" s="330"/>
      <c r="AS2155" s="343"/>
      <c r="AT2155" s="249"/>
      <c r="AU2155" s="330"/>
    </row>
    <row r="2156" spans="2:47">
      <c r="B2156" s="247">
        <f>'Table S2 Compound Identifiers'!C2158</f>
        <v>0</v>
      </c>
      <c r="C2156" s="247">
        <f>COUNTIF($D$6:D2156,"&lt;&gt;"&amp;"")</f>
        <v>2151</v>
      </c>
      <c r="D2156" s="247">
        <f>'Table S2 Compound Identifiers'!B2158</f>
        <v>0</v>
      </c>
      <c r="E2156" s="247"/>
      <c r="F2156" s="248"/>
      <c r="G2156" s="249"/>
      <c r="H2156" s="330"/>
      <c r="I2156" s="328"/>
      <c r="J2156" s="249"/>
      <c r="K2156" s="330"/>
      <c r="L2156" s="250"/>
      <c r="M2156" s="249"/>
      <c r="N2156" s="330"/>
      <c r="O2156" s="250"/>
      <c r="P2156" s="249"/>
      <c r="Q2156" s="330"/>
      <c r="R2156" s="250"/>
      <c r="S2156" s="249"/>
      <c r="T2156" s="330"/>
      <c r="U2156" s="250"/>
      <c r="V2156" s="249"/>
      <c r="W2156" s="330"/>
      <c r="X2156" s="343"/>
      <c r="Y2156" s="249"/>
      <c r="Z2156" s="330"/>
      <c r="AA2156" s="343"/>
      <c r="AB2156" s="249"/>
      <c r="AC2156" s="330"/>
      <c r="AD2156" s="343"/>
      <c r="AE2156" s="249"/>
      <c r="AF2156" s="330"/>
      <c r="AG2156" s="343"/>
      <c r="AH2156" s="249"/>
      <c r="AI2156" s="330"/>
      <c r="AJ2156" s="343"/>
      <c r="AK2156" s="249"/>
      <c r="AL2156" s="330"/>
      <c r="AM2156" s="343"/>
      <c r="AN2156" s="249"/>
      <c r="AO2156" s="330"/>
      <c r="AP2156" s="343"/>
      <c r="AQ2156" s="249"/>
      <c r="AR2156" s="330"/>
      <c r="AS2156" s="343"/>
      <c r="AT2156" s="249"/>
      <c r="AU2156" s="330"/>
    </row>
    <row r="2157" spans="2:47">
      <c r="B2157" s="247">
        <f>'Table S2 Compound Identifiers'!C2159</f>
        <v>0</v>
      </c>
      <c r="C2157" s="247">
        <f>COUNTIF($D$6:D2157,"&lt;&gt;"&amp;"")</f>
        <v>2152</v>
      </c>
      <c r="D2157" s="247">
        <f>'Table S2 Compound Identifiers'!B2159</f>
        <v>0</v>
      </c>
      <c r="E2157" s="247"/>
      <c r="F2157" s="248"/>
      <c r="G2157" s="249"/>
      <c r="H2157" s="330"/>
      <c r="I2157" s="328"/>
      <c r="J2157" s="249"/>
      <c r="K2157" s="330"/>
      <c r="L2157" s="250"/>
      <c r="M2157" s="249"/>
      <c r="N2157" s="330"/>
      <c r="O2157" s="250"/>
      <c r="P2157" s="249"/>
      <c r="Q2157" s="330"/>
      <c r="R2157" s="250"/>
      <c r="S2157" s="249"/>
      <c r="T2157" s="330"/>
      <c r="U2157" s="250"/>
      <c r="V2157" s="249"/>
      <c r="W2157" s="330"/>
      <c r="X2157" s="343"/>
      <c r="Y2157" s="249"/>
      <c r="Z2157" s="330"/>
      <c r="AA2157" s="343"/>
      <c r="AB2157" s="249"/>
      <c r="AC2157" s="330"/>
      <c r="AD2157" s="343"/>
      <c r="AE2157" s="249"/>
      <c r="AF2157" s="330"/>
      <c r="AG2157" s="343"/>
      <c r="AH2157" s="249"/>
      <c r="AI2157" s="330"/>
      <c r="AJ2157" s="343"/>
      <c r="AK2157" s="249"/>
      <c r="AL2157" s="330"/>
      <c r="AM2157" s="343"/>
      <c r="AN2157" s="249"/>
      <c r="AO2157" s="330"/>
      <c r="AP2157" s="343"/>
      <c r="AQ2157" s="249"/>
      <c r="AR2157" s="330"/>
      <c r="AS2157" s="343"/>
      <c r="AT2157" s="249"/>
      <c r="AU2157" s="330"/>
    </row>
    <row r="2158" spans="2:47">
      <c r="B2158" s="247">
        <f>'Table S2 Compound Identifiers'!C2160</f>
        <v>0</v>
      </c>
      <c r="C2158" s="247">
        <f>COUNTIF($D$6:D2158,"&lt;&gt;"&amp;"")</f>
        <v>2153</v>
      </c>
      <c r="D2158" s="247">
        <f>'Table S2 Compound Identifiers'!B2160</f>
        <v>0</v>
      </c>
      <c r="E2158" s="247"/>
      <c r="F2158" s="248"/>
      <c r="G2158" s="249"/>
      <c r="H2158" s="330"/>
      <c r="I2158" s="328"/>
      <c r="J2158" s="249"/>
      <c r="K2158" s="330"/>
      <c r="L2158" s="250"/>
      <c r="M2158" s="249"/>
      <c r="N2158" s="330"/>
      <c r="O2158" s="250"/>
      <c r="P2158" s="249"/>
      <c r="Q2158" s="330"/>
      <c r="R2158" s="250"/>
      <c r="S2158" s="249"/>
      <c r="T2158" s="330"/>
      <c r="U2158" s="250"/>
      <c r="V2158" s="249"/>
      <c r="W2158" s="330"/>
      <c r="X2158" s="343"/>
      <c r="Y2158" s="249"/>
      <c r="Z2158" s="330"/>
      <c r="AA2158" s="343"/>
      <c r="AB2158" s="249"/>
      <c r="AC2158" s="330"/>
      <c r="AD2158" s="343"/>
      <c r="AE2158" s="249"/>
      <c r="AF2158" s="330"/>
      <c r="AG2158" s="343"/>
      <c r="AH2158" s="249"/>
      <c r="AI2158" s="330"/>
      <c r="AJ2158" s="343"/>
      <c r="AK2158" s="249"/>
      <c r="AL2158" s="330"/>
      <c r="AM2158" s="343"/>
      <c r="AN2158" s="249"/>
      <c r="AO2158" s="330"/>
      <c r="AP2158" s="343"/>
      <c r="AQ2158" s="249"/>
      <c r="AR2158" s="330"/>
      <c r="AS2158" s="343"/>
      <c r="AT2158" s="249"/>
      <c r="AU2158" s="330"/>
    </row>
    <row r="2159" spans="2:47">
      <c r="B2159" s="247">
        <f>'Table S2 Compound Identifiers'!C2161</f>
        <v>0</v>
      </c>
      <c r="C2159" s="247">
        <f>COUNTIF($D$6:D2159,"&lt;&gt;"&amp;"")</f>
        <v>2154</v>
      </c>
      <c r="D2159" s="247">
        <f>'Table S2 Compound Identifiers'!B2161</f>
        <v>0</v>
      </c>
      <c r="E2159" s="247"/>
      <c r="F2159" s="248"/>
      <c r="G2159" s="249"/>
      <c r="H2159" s="330"/>
      <c r="I2159" s="328"/>
      <c r="J2159" s="249"/>
      <c r="K2159" s="330"/>
      <c r="L2159" s="250"/>
      <c r="M2159" s="249"/>
      <c r="N2159" s="330"/>
      <c r="O2159" s="250"/>
      <c r="P2159" s="249"/>
      <c r="Q2159" s="330"/>
      <c r="R2159" s="250"/>
      <c r="S2159" s="249"/>
      <c r="T2159" s="330"/>
      <c r="U2159" s="250"/>
      <c r="V2159" s="249"/>
      <c r="W2159" s="330"/>
      <c r="X2159" s="343"/>
      <c r="Y2159" s="249"/>
      <c r="Z2159" s="330"/>
      <c r="AA2159" s="343"/>
      <c r="AB2159" s="249"/>
      <c r="AC2159" s="330"/>
      <c r="AD2159" s="343"/>
      <c r="AE2159" s="249"/>
      <c r="AF2159" s="330"/>
      <c r="AG2159" s="343"/>
      <c r="AH2159" s="249"/>
      <c r="AI2159" s="330"/>
      <c r="AJ2159" s="343"/>
      <c r="AK2159" s="249"/>
      <c r="AL2159" s="330"/>
      <c r="AM2159" s="343"/>
      <c r="AN2159" s="249"/>
      <c r="AO2159" s="330"/>
      <c r="AP2159" s="343"/>
      <c r="AQ2159" s="249"/>
      <c r="AR2159" s="330"/>
      <c r="AS2159" s="343"/>
      <c r="AT2159" s="249"/>
      <c r="AU2159" s="330"/>
    </row>
    <row r="2160" spans="2:47">
      <c r="B2160" s="247">
        <f>'Table S2 Compound Identifiers'!C2162</f>
        <v>0</v>
      </c>
      <c r="C2160" s="247">
        <f>COUNTIF($D$6:D2160,"&lt;&gt;"&amp;"")</f>
        <v>2155</v>
      </c>
      <c r="D2160" s="247">
        <f>'Table S2 Compound Identifiers'!B2162</f>
        <v>0</v>
      </c>
      <c r="E2160" s="247"/>
      <c r="F2160" s="248"/>
      <c r="G2160" s="249"/>
      <c r="H2160" s="330"/>
      <c r="I2160" s="328"/>
      <c r="J2160" s="249"/>
      <c r="K2160" s="330"/>
      <c r="L2160" s="250"/>
      <c r="M2160" s="249"/>
      <c r="N2160" s="330"/>
      <c r="O2160" s="250"/>
      <c r="P2160" s="249"/>
      <c r="Q2160" s="330"/>
      <c r="R2160" s="250"/>
      <c r="S2160" s="249"/>
      <c r="T2160" s="330"/>
      <c r="U2160" s="250"/>
      <c r="V2160" s="249"/>
      <c r="W2160" s="330"/>
      <c r="X2160" s="343"/>
      <c r="Y2160" s="249"/>
      <c r="Z2160" s="330"/>
      <c r="AA2160" s="343"/>
      <c r="AB2160" s="249"/>
      <c r="AC2160" s="330"/>
      <c r="AD2160" s="343"/>
      <c r="AE2160" s="249"/>
      <c r="AF2160" s="330"/>
      <c r="AG2160" s="343"/>
      <c r="AH2160" s="249"/>
      <c r="AI2160" s="330"/>
      <c r="AJ2160" s="343"/>
      <c r="AK2160" s="249"/>
      <c r="AL2160" s="330"/>
      <c r="AM2160" s="343"/>
      <c r="AN2160" s="249"/>
      <c r="AO2160" s="330"/>
      <c r="AP2160" s="343"/>
      <c r="AQ2160" s="249"/>
      <c r="AR2160" s="330"/>
      <c r="AS2160" s="343"/>
      <c r="AT2160" s="249"/>
      <c r="AU2160" s="330"/>
    </row>
    <row r="2161" spans="2:47">
      <c r="B2161" s="247">
        <f>'Table S2 Compound Identifiers'!C2163</f>
        <v>0</v>
      </c>
      <c r="C2161" s="247">
        <f>COUNTIF($D$6:D2161,"&lt;&gt;"&amp;"")</f>
        <v>2156</v>
      </c>
      <c r="D2161" s="247">
        <f>'Table S2 Compound Identifiers'!B2163</f>
        <v>0</v>
      </c>
      <c r="E2161" s="247"/>
      <c r="F2161" s="248"/>
      <c r="G2161" s="249"/>
      <c r="H2161" s="330"/>
      <c r="I2161" s="328"/>
      <c r="J2161" s="249"/>
      <c r="K2161" s="330"/>
      <c r="L2161" s="250"/>
      <c r="M2161" s="249"/>
      <c r="N2161" s="330"/>
      <c r="O2161" s="250"/>
      <c r="P2161" s="249"/>
      <c r="Q2161" s="330"/>
      <c r="R2161" s="250"/>
      <c r="S2161" s="249"/>
      <c r="T2161" s="330"/>
      <c r="U2161" s="250"/>
      <c r="V2161" s="249"/>
      <c r="W2161" s="330"/>
      <c r="X2161" s="343"/>
      <c r="Y2161" s="249"/>
      <c r="Z2161" s="330"/>
      <c r="AA2161" s="343"/>
      <c r="AB2161" s="249"/>
      <c r="AC2161" s="330"/>
      <c r="AD2161" s="343"/>
      <c r="AE2161" s="249"/>
      <c r="AF2161" s="330"/>
      <c r="AG2161" s="343"/>
      <c r="AH2161" s="249"/>
      <c r="AI2161" s="330"/>
      <c r="AJ2161" s="343"/>
      <c r="AK2161" s="249"/>
      <c r="AL2161" s="330"/>
      <c r="AM2161" s="343"/>
      <c r="AN2161" s="249"/>
      <c r="AO2161" s="330"/>
      <c r="AP2161" s="343"/>
      <c r="AQ2161" s="249"/>
      <c r="AR2161" s="330"/>
      <c r="AS2161" s="343"/>
      <c r="AT2161" s="249"/>
      <c r="AU2161" s="330"/>
    </row>
    <row r="2162" spans="2:47">
      <c r="B2162" s="247">
        <f>'Table S2 Compound Identifiers'!C2164</f>
        <v>0</v>
      </c>
      <c r="C2162" s="247">
        <f>COUNTIF($D$6:D2162,"&lt;&gt;"&amp;"")</f>
        <v>2157</v>
      </c>
      <c r="D2162" s="247">
        <f>'Table S2 Compound Identifiers'!B2164</f>
        <v>0</v>
      </c>
      <c r="E2162" s="247"/>
      <c r="F2162" s="248"/>
      <c r="G2162" s="249"/>
      <c r="H2162" s="330"/>
      <c r="I2162" s="328"/>
      <c r="J2162" s="249"/>
      <c r="K2162" s="330"/>
      <c r="L2162" s="250"/>
      <c r="M2162" s="249"/>
      <c r="N2162" s="330"/>
      <c r="O2162" s="250"/>
      <c r="P2162" s="249"/>
      <c r="Q2162" s="330"/>
      <c r="R2162" s="250"/>
      <c r="S2162" s="249"/>
      <c r="T2162" s="330"/>
      <c r="U2162" s="250"/>
      <c r="V2162" s="249"/>
      <c r="W2162" s="330"/>
      <c r="X2162" s="343"/>
      <c r="Y2162" s="249"/>
      <c r="Z2162" s="330"/>
      <c r="AA2162" s="343"/>
      <c r="AB2162" s="249"/>
      <c r="AC2162" s="330"/>
      <c r="AD2162" s="343"/>
      <c r="AE2162" s="249"/>
      <c r="AF2162" s="330"/>
      <c r="AG2162" s="343"/>
      <c r="AH2162" s="249"/>
      <c r="AI2162" s="330"/>
      <c r="AJ2162" s="343"/>
      <c r="AK2162" s="249"/>
      <c r="AL2162" s="330"/>
      <c r="AM2162" s="343"/>
      <c r="AN2162" s="249"/>
      <c r="AO2162" s="330"/>
      <c r="AP2162" s="343"/>
      <c r="AQ2162" s="249"/>
      <c r="AR2162" s="330"/>
      <c r="AS2162" s="343"/>
      <c r="AT2162" s="249"/>
      <c r="AU2162" s="330"/>
    </row>
    <row r="2163" spans="2:47">
      <c r="B2163" s="247">
        <f>'Table S2 Compound Identifiers'!C2165</f>
        <v>0</v>
      </c>
      <c r="C2163" s="247">
        <f>COUNTIF($D$6:D2163,"&lt;&gt;"&amp;"")</f>
        <v>2158</v>
      </c>
      <c r="D2163" s="247">
        <f>'Table S2 Compound Identifiers'!B2165</f>
        <v>0</v>
      </c>
      <c r="E2163" s="247"/>
      <c r="F2163" s="248"/>
      <c r="G2163" s="249"/>
      <c r="H2163" s="330"/>
      <c r="I2163" s="328"/>
      <c r="J2163" s="249"/>
      <c r="K2163" s="330"/>
      <c r="L2163" s="250"/>
      <c r="M2163" s="249"/>
      <c r="N2163" s="330"/>
      <c r="O2163" s="250"/>
      <c r="P2163" s="249"/>
      <c r="Q2163" s="330"/>
      <c r="R2163" s="250"/>
      <c r="S2163" s="249"/>
      <c r="T2163" s="330"/>
      <c r="U2163" s="250"/>
      <c r="V2163" s="249"/>
      <c r="W2163" s="330"/>
      <c r="X2163" s="343"/>
      <c r="Y2163" s="249"/>
      <c r="Z2163" s="330"/>
      <c r="AA2163" s="343"/>
      <c r="AB2163" s="249"/>
      <c r="AC2163" s="330"/>
      <c r="AD2163" s="343"/>
      <c r="AE2163" s="249"/>
      <c r="AF2163" s="330"/>
      <c r="AG2163" s="343"/>
      <c r="AH2163" s="249"/>
      <c r="AI2163" s="330"/>
      <c r="AJ2163" s="343"/>
      <c r="AK2163" s="249"/>
      <c r="AL2163" s="330"/>
      <c r="AM2163" s="343"/>
      <c r="AN2163" s="249"/>
      <c r="AO2163" s="330"/>
      <c r="AP2163" s="343"/>
      <c r="AQ2163" s="249"/>
      <c r="AR2163" s="330"/>
      <c r="AS2163" s="343"/>
      <c r="AT2163" s="249"/>
      <c r="AU2163" s="330"/>
    </row>
    <row r="2164" spans="2:47">
      <c r="B2164" s="247">
        <f>'Table S2 Compound Identifiers'!C2166</f>
        <v>0</v>
      </c>
      <c r="C2164" s="247">
        <f>COUNTIF($D$6:D2164,"&lt;&gt;"&amp;"")</f>
        <v>2159</v>
      </c>
      <c r="D2164" s="247">
        <f>'Table S2 Compound Identifiers'!B2166</f>
        <v>0</v>
      </c>
      <c r="E2164" s="247"/>
      <c r="F2164" s="248"/>
      <c r="G2164" s="249"/>
      <c r="H2164" s="330"/>
      <c r="I2164" s="328"/>
      <c r="J2164" s="249"/>
      <c r="K2164" s="330"/>
      <c r="L2164" s="250"/>
      <c r="M2164" s="249"/>
      <c r="N2164" s="330"/>
      <c r="O2164" s="250"/>
      <c r="P2164" s="249"/>
      <c r="Q2164" s="330"/>
      <c r="R2164" s="250"/>
      <c r="S2164" s="249"/>
      <c r="T2164" s="330"/>
      <c r="U2164" s="250"/>
      <c r="V2164" s="249"/>
      <c r="W2164" s="330"/>
      <c r="X2164" s="343"/>
      <c r="Y2164" s="249"/>
      <c r="Z2164" s="330"/>
      <c r="AA2164" s="343"/>
      <c r="AB2164" s="249"/>
      <c r="AC2164" s="330"/>
      <c r="AD2164" s="343"/>
      <c r="AE2164" s="249"/>
      <c r="AF2164" s="330"/>
      <c r="AG2164" s="343"/>
      <c r="AH2164" s="249"/>
      <c r="AI2164" s="330"/>
      <c r="AJ2164" s="343"/>
      <c r="AK2164" s="249"/>
      <c r="AL2164" s="330"/>
      <c r="AM2164" s="343"/>
      <c r="AN2164" s="249"/>
      <c r="AO2164" s="330"/>
      <c r="AP2164" s="343"/>
      <c r="AQ2164" s="249"/>
      <c r="AR2164" s="330"/>
      <c r="AS2164" s="343"/>
      <c r="AT2164" s="249"/>
      <c r="AU2164" s="330"/>
    </row>
    <row r="2165" spans="2:47">
      <c r="B2165" s="247">
        <f>'Table S2 Compound Identifiers'!C2167</f>
        <v>0</v>
      </c>
      <c r="C2165" s="247">
        <f>COUNTIF($D$6:D2165,"&lt;&gt;"&amp;"")</f>
        <v>2160</v>
      </c>
      <c r="D2165" s="247">
        <f>'Table S2 Compound Identifiers'!B2167</f>
        <v>0</v>
      </c>
      <c r="E2165" s="247"/>
      <c r="F2165" s="248"/>
      <c r="G2165" s="249"/>
      <c r="H2165" s="330"/>
      <c r="I2165" s="328"/>
      <c r="J2165" s="249"/>
      <c r="K2165" s="330"/>
      <c r="L2165" s="250"/>
      <c r="M2165" s="249"/>
      <c r="N2165" s="330"/>
      <c r="O2165" s="250"/>
      <c r="P2165" s="249"/>
      <c r="Q2165" s="330"/>
      <c r="R2165" s="250"/>
      <c r="S2165" s="249"/>
      <c r="T2165" s="330"/>
      <c r="U2165" s="250"/>
      <c r="V2165" s="249"/>
      <c r="W2165" s="330"/>
      <c r="X2165" s="343"/>
      <c r="Y2165" s="249"/>
      <c r="Z2165" s="330"/>
      <c r="AA2165" s="343"/>
      <c r="AB2165" s="249"/>
      <c r="AC2165" s="330"/>
      <c r="AD2165" s="343"/>
      <c r="AE2165" s="249"/>
      <c r="AF2165" s="330"/>
      <c r="AG2165" s="343"/>
      <c r="AH2165" s="249"/>
      <c r="AI2165" s="330"/>
      <c r="AJ2165" s="343"/>
      <c r="AK2165" s="249"/>
      <c r="AL2165" s="330"/>
      <c r="AM2165" s="343"/>
      <c r="AN2165" s="249"/>
      <c r="AO2165" s="330"/>
      <c r="AP2165" s="343"/>
      <c r="AQ2165" s="249"/>
      <c r="AR2165" s="330"/>
      <c r="AS2165" s="343"/>
      <c r="AT2165" s="249"/>
      <c r="AU2165" s="330"/>
    </row>
    <row r="2166" spans="2:47">
      <c r="B2166" s="247">
        <f>'Table S2 Compound Identifiers'!C2168</f>
        <v>0</v>
      </c>
      <c r="C2166" s="247">
        <f>COUNTIF($D$6:D2166,"&lt;&gt;"&amp;"")</f>
        <v>2161</v>
      </c>
      <c r="D2166" s="247">
        <f>'Table S2 Compound Identifiers'!B2168</f>
        <v>0</v>
      </c>
      <c r="E2166" s="247"/>
      <c r="F2166" s="248"/>
      <c r="G2166" s="249"/>
      <c r="H2166" s="330"/>
      <c r="I2166" s="328"/>
      <c r="J2166" s="249"/>
      <c r="K2166" s="330"/>
      <c r="L2166" s="250"/>
      <c r="M2166" s="249"/>
      <c r="N2166" s="330"/>
      <c r="O2166" s="250"/>
      <c r="P2166" s="249"/>
      <c r="Q2166" s="330"/>
      <c r="R2166" s="250"/>
      <c r="S2166" s="249"/>
      <c r="T2166" s="330"/>
      <c r="U2166" s="250"/>
      <c r="V2166" s="249"/>
      <c r="W2166" s="330"/>
      <c r="X2166" s="343"/>
      <c r="Y2166" s="249"/>
      <c r="Z2166" s="330"/>
      <c r="AA2166" s="343"/>
      <c r="AB2166" s="249"/>
      <c r="AC2166" s="330"/>
      <c r="AD2166" s="343"/>
      <c r="AE2166" s="249"/>
      <c r="AF2166" s="330"/>
      <c r="AG2166" s="343"/>
      <c r="AH2166" s="249"/>
      <c r="AI2166" s="330"/>
      <c r="AJ2166" s="343"/>
      <c r="AK2166" s="249"/>
      <c r="AL2166" s="330"/>
      <c r="AM2166" s="343"/>
      <c r="AN2166" s="249"/>
      <c r="AO2166" s="330"/>
      <c r="AP2166" s="343"/>
      <c r="AQ2166" s="249"/>
      <c r="AR2166" s="330"/>
      <c r="AS2166" s="343"/>
      <c r="AT2166" s="249"/>
      <c r="AU2166" s="330"/>
    </row>
    <row r="2167" spans="2:47">
      <c r="B2167" s="247">
        <f>'Table S2 Compound Identifiers'!C2169</f>
        <v>0</v>
      </c>
      <c r="C2167" s="247">
        <f>COUNTIF($D$6:D2167,"&lt;&gt;"&amp;"")</f>
        <v>2162</v>
      </c>
      <c r="D2167" s="247">
        <f>'Table S2 Compound Identifiers'!B2169</f>
        <v>0</v>
      </c>
      <c r="E2167" s="247"/>
      <c r="F2167" s="248"/>
      <c r="G2167" s="249"/>
      <c r="H2167" s="330"/>
      <c r="I2167" s="328"/>
      <c r="J2167" s="249"/>
      <c r="K2167" s="330"/>
      <c r="L2167" s="250"/>
      <c r="M2167" s="249"/>
      <c r="N2167" s="330"/>
      <c r="O2167" s="250"/>
      <c r="P2167" s="249"/>
      <c r="Q2167" s="330"/>
      <c r="R2167" s="250"/>
      <c r="S2167" s="249"/>
      <c r="T2167" s="330"/>
      <c r="U2167" s="250"/>
      <c r="V2167" s="249"/>
      <c r="W2167" s="330"/>
      <c r="X2167" s="343"/>
      <c r="Y2167" s="249"/>
      <c r="Z2167" s="330"/>
      <c r="AA2167" s="343"/>
      <c r="AB2167" s="249"/>
      <c r="AC2167" s="330"/>
      <c r="AD2167" s="343"/>
      <c r="AE2167" s="249"/>
      <c r="AF2167" s="330"/>
      <c r="AG2167" s="343"/>
      <c r="AH2167" s="249"/>
      <c r="AI2167" s="330"/>
      <c r="AJ2167" s="343"/>
      <c r="AK2167" s="249"/>
      <c r="AL2167" s="330"/>
      <c r="AM2167" s="343"/>
      <c r="AN2167" s="249"/>
      <c r="AO2167" s="330"/>
      <c r="AP2167" s="343"/>
      <c r="AQ2167" s="249"/>
      <c r="AR2167" s="330"/>
      <c r="AS2167" s="343"/>
      <c r="AT2167" s="249"/>
      <c r="AU2167" s="330"/>
    </row>
    <row r="2168" spans="2:47">
      <c r="B2168" s="247">
        <f>'Table S2 Compound Identifiers'!C2170</f>
        <v>0</v>
      </c>
      <c r="C2168" s="247">
        <f>COUNTIF($D$6:D2168,"&lt;&gt;"&amp;"")</f>
        <v>2163</v>
      </c>
      <c r="D2168" s="247">
        <f>'Table S2 Compound Identifiers'!B2170</f>
        <v>0</v>
      </c>
      <c r="E2168" s="247"/>
      <c r="F2168" s="248"/>
      <c r="G2168" s="249"/>
      <c r="H2168" s="330"/>
      <c r="I2168" s="328"/>
      <c r="J2168" s="249"/>
      <c r="K2168" s="330"/>
      <c r="L2168" s="250"/>
      <c r="M2168" s="249"/>
      <c r="N2168" s="330"/>
      <c r="O2168" s="250"/>
      <c r="P2168" s="249"/>
      <c r="Q2168" s="330"/>
      <c r="R2168" s="250"/>
      <c r="S2168" s="249"/>
      <c r="T2168" s="330"/>
      <c r="U2168" s="250"/>
      <c r="V2168" s="249"/>
      <c r="W2168" s="330"/>
      <c r="X2168" s="343"/>
      <c r="Y2168" s="249"/>
      <c r="Z2168" s="330"/>
      <c r="AA2168" s="343"/>
      <c r="AB2168" s="249"/>
      <c r="AC2168" s="330"/>
      <c r="AD2168" s="343"/>
      <c r="AE2168" s="249"/>
      <c r="AF2168" s="330"/>
      <c r="AG2168" s="343"/>
      <c r="AH2168" s="249"/>
      <c r="AI2168" s="330"/>
      <c r="AJ2168" s="343"/>
      <c r="AK2168" s="249"/>
      <c r="AL2168" s="330"/>
      <c r="AM2168" s="343"/>
      <c r="AN2168" s="249"/>
      <c r="AO2168" s="330"/>
      <c r="AP2168" s="343"/>
      <c r="AQ2168" s="249"/>
      <c r="AR2168" s="330"/>
      <c r="AS2168" s="343"/>
      <c r="AT2168" s="249"/>
      <c r="AU2168" s="330"/>
    </row>
    <row r="2169" spans="2:47">
      <c r="B2169" s="247">
        <f>'Table S2 Compound Identifiers'!C2171</f>
        <v>0</v>
      </c>
      <c r="C2169" s="247">
        <f>COUNTIF($D$6:D2169,"&lt;&gt;"&amp;"")</f>
        <v>2164</v>
      </c>
      <c r="D2169" s="247">
        <f>'Table S2 Compound Identifiers'!B2171</f>
        <v>0</v>
      </c>
      <c r="E2169" s="247"/>
      <c r="F2169" s="248"/>
      <c r="G2169" s="249"/>
      <c r="H2169" s="330"/>
      <c r="I2169" s="328"/>
      <c r="J2169" s="249"/>
      <c r="K2169" s="330"/>
      <c r="L2169" s="250"/>
      <c r="M2169" s="249"/>
      <c r="N2169" s="330"/>
      <c r="O2169" s="250"/>
      <c r="P2169" s="249"/>
      <c r="Q2169" s="330"/>
      <c r="R2169" s="250"/>
      <c r="S2169" s="249"/>
      <c r="T2169" s="330"/>
      <c r="U2169" s="250"/>
      <c r="V2169" s="249"/>
      <c r="W2169" s="330"/>
      <c r="X2169" s="343"/>
      <c r="Y2169" s="249"/>
      <c r="Z2169" s="330"/>
      <c r="AA2169" s="343"/>
      <c r="AB2169" s="249"/>
      <c r="AC2169" s="330"/>
      <c r="AD2169" s="343"/>
      <c r="AE2169" s="249"/>
      <c r="AF2169" s="330"/>
      <c r="AG2169" s="343"/>
      <c r="AH2169" s="249"/>
      <c r="AI2169" s="330"/>
      <c r="AJ2169" s="343"/>
      <c r="AK2169" s="249"/>
      <c r="AL2169" s="330"/>
      <c r="AM2169" s="343"/>
      <c r="AN2169" s="249"/>
      <c r="AO2169" s="330"/>
      <c r="AP2169" s="343"/>
      <c r="AQ2169" s="249"/>
      <c r="AR2169" s="330"/>
      <c r="AS2169" s="343"/>
      <c r="AT2169" s="249"/>
      <c r="AU2169" s="330"/>
    </row>
    <row r="2170" spans="2:47">
      <c r="B2170" s="247">
        <f>'Table S2 Compound Identifiers'!C2172</f>
        <v>0</v>
      </c>
      <c r="C2170" s="247">
        <f>COUNTIF($D$6:D2170,"&lt;&gt;"&amp;"")</f>
        <v>2165</v>
      </c>
      <c r="D2170" s="247">
        <f>'Table S2 Compound Identifiers'!B2172</f>
        <v>0</v>
      </c>
      <c r="E2170" s="247"/>
      <c r="F2170" s="248"/>
      <c r="G2170" s="249"/>
      <c r="H2170" s="330"/>
      <c r="I2170" s="328"/>
      <c r="J2170" s="249"/>
      <c r="K2170" s="330"/>
      <c r="L2170" s="250"/>
      <c r="M2170" s="249"/>
      <c r="N2170" s="330"/>
      <c r="O2170" s="250"/>
      <c r="P2170" s="249"/>
      <c r="Q2170" s="330"/>
      <c r="R2170" s="250"/>
      <c r="S2170" s="249"/>
      <c r="T2170" s="330"/>
      <c r="U2170" s="250"/>
      <c r="V2170" s="249"/>
      <c r="W2170" s="330"/>
      <c r="X2170" s="343"/>
      <c r="Y2170" s="249"/>
      <c r="Z2170" s="330"/>
      <c r="AA2170" s="343"/>
      <c r="AB2170" s="249"/>
      <c r="AC2170" s="330"/>
      <c r="AD2170" s="343"/>
      <c r="AE2170" s="249"/>
      <c r="AF2170" s="330"/>
      <c r="AG2170" s="343"/>
      <c r="AH2170" s="249"/>
      <c r="AI2170" s="330"/>
      <c r="AJ2170" s="343"/>
      <c r="AK2170" s="249"/>
      <c r="AL2170" s="330"/>
      <c r="AM2170" s="343"/>
      <c r="AN2170" s="249"/>
      <c r="AO2170" s="330"/>
      <c r="AP2170" s="343"/>
      <c r="AQ2170" s="249"/>
      <c r="AR2170" s="330"/>
      <c r="AS2170" s="343"/>
      <c r="AT2170" s="249"/>
      <c r="AU2170" s="330"/>
    </row>
    <row r="2171" spans="2:47">
      <c r="B2171" s="247">
        <f>'Table S2 Compound Identifiers'!C2173</f>
        <v>0</v>
      </c>
      <c r="C2171" s="247">
        <f>COUNTIF($D$6:D2171,"&lt;&gt;"&amp;"")</f>
        <v>2166</v>
      </c>
      <c r="D2171" s="247">
        <f>'Table S2 Compound Identifiers'!B2173</f>
        <v>0</v>
      </c>
      <c r="E2171" s="247"/>
      <c r="F2171" s="248"/>
      <c r="G2171" s="249"/>
      <c r="H2171" s="330"/>
      <c r="I2171" s="328"/>
      <c r="J2171" s="249"/>
      <c r="K2171" s="330"/>
      <c r="L2171" s="250"/>
      <c r="M2171" s="249"/>
      <c r="N2171" s="330"/>
      <c r="O2171" s="250"/>
      <c r="P2171" s="249"/>
      <c r="Q2171" s="330"/>
      <c r="R2171" s="250"/>
      <c r="S2171" s="249"/>
      <c r="T2171" s="330"/>
      <c r="U2171" s="250"/>
      <c r="V2171" s="249"/>
      <c r="W2171" s="330"/>
      <c r="X2171" s="343"/>
      <c r="Y2171" s="249"/>
      <c r="Z2171" s="330"/>
      <c r="AA2171" s="343"/>
      <c r="AB2171" s="249"/>
      <c r="AC2171" s="330"/>
      <c r="AD2171" s="343"/>
      <c r="AE2171" s="249"/>
      <c r="AF2171" s="330"/>
      <c r="AG2171" s="343"/>
      <c r="AH2171" s="249"/>
      <c r="AI2171" s="330"/>
      <c r="AJ2171" s="343"/>
      <c r="AK2171" s="249"/>
      <c r="AL2171" s="330"/>
      <c r="AM2171" s="343"/>
      <c r="AN2171" s="249"/>
      <c r="AO2171" s="330"/>
      <c r="AP2171" s="343"/>
      <c r="AQ2171" s="249"/>
      <c r="AR2171" s="330"/>
      <c r="AS2171" s="343"/>
      <c r="AT2171" s="249"/>
      <c r="AU2171" s="330"/>
    </row>
    <row r="2172" spans="2:47">
      <c r="B2172" s="247">
        <f>'Table S2 Compound Identifiers'!C2174</f>
        <v>0</v>
      </c>
      <c r="C2172" s="247">
        <f>COUNTIF($D$6:D2172,"&lt;&gt;"&amp;"")</f>
        <v>2167</v>
      </c>
      <c r="D2172" s="247">
        <f>'Table S2 Compound Identifiers'!B2174</f>
        <v>0</v>
      </c>
      <c r="E2172" s="247"/>
      <c r="F2172" s="248"/>
      <c r="G2172" s="249"/>
      <c r="H2172" s="330"/>
      <c r="I2172" s="328"/>
      <c r="J2172" s="249"/>
      <c r="K2172" s="330"/>
      <c r="L2172" s="250"/>
      <c r="M2172" s="249"/>
      <c r="N2172" s="330"/>
      <c r="O2172" s="250"/>
      <c r="P2172" s="249"/>
      <c r="Q2172" s="330"/>
      <c r="R2172" s="250"/>
      <c r="S2172" s="249"/>
      <c r="T2172" s="330"/>
      <c r="U2172" s="250"/>
      <c r="V2172" s="249"/>
      <c r="W2172" s="330"/>
      <c r="X2172" s="343"/>
      <c r="Y2172" s="249"/>
      <c r="Z2172" s="330"/>
      <c r="AA2172" s="343"/>
      <c r="AB2172" s="249"/>
      <c r="AC2172" s="330"/>
      <c r="AD2172" s="343"/>
      <c r="AE2172" s="249"/>
      <c r="AF2172" s="330"/>
      <c r="AG2172" s="343"/>
      <c r="AH2172" s="249"/>
      <c r="AI2172" s="330"/>
      <c r="AJ2172" s="343"/>
      <c r="AK2172" s="249"/>
      <c r="AL2172" s="330"/>
      <c r="AM2172" s="343"/>
      <c r="AN2172" s="249"/>
      <c r="AO2172" s="330"/>
      <c r="AP2172" s="343"/>
      <c r="AQ2172" s="249"/>
      <c r="AR2172" s="330"/>
      <c r="AS2172" s="343"/>
      <c r="AT2172" s="249"/>
      <c r="AU2172" s="330"/>
    </row>
    <row r="2173" spans="2:47">
      <c r="B2173" s="247">
        <f>'Table S2 Compound Identifiers'!C2175</f>
        <v>0</v>
      </c>
      <c r="C2173" s="247">
        <f>COUNTIF($D$6:D2173,"&lt;&gt;"&amp;"")</f>
        <v>2168</v>
      </c>
      <c r="D2173" s="247">
        <f>'Table S2 Compound Identifiers'!B2175</f>
        <v>0</v>
      </c>
      <c r="E2173" s="247"/>
      <c r="F2173" s="248"/>
      <c r="G2173" s="249"/>
      <c r="H2173" s="330"/>
      <c r="I2173" s="328"/>
      <c r="J2173" s="249"/>
      <c r="K2173" s="330"/>
      <c r="L2173" s="250"/>
      <c r="M2173" s="249"/>
      <c r="N2173" s="330"/>
      <c r="O2173" s="250"/>
      <c r="P2173" s="249"/>
      <c r="Q2173" s="330"/>
      <c r="R2173" s="250"/>
      <c r="S2173" s="249"/>
      <c r="T2173" s="330"/>
      <c r="U2173" s="250"/>
      <c r="V2173" s="249"/>
      <c r="W2173" s="330"/>
      <c r="X2173" s="343"/>
      <c r="Y2173" s="249"/>
      <c r="Z2173" s="330"/>
      <c r="AA2173" s="343"/>
      <c r="AB2173" s="249"/>
      <c r="AC2173" s="330"/>
      <c r="AD2173" s="343"/>
      <c r="AE2173" s="249"/>
      <c r="AF2173" s="330"/>
      <c r="AG2173" s="343"/>
      <c r="AH2173" s="249"/>
      <c r="AI2173" s="330"/>
      <c r="AJ2173" s="343"/>
      <c r="AK2173" s="249"/>
      <c r="AL2173" s="330"/>
      <c r="AM2173" s="343"/>
      <c r="AN2173" s="249"/>
      <c r="AO2173" s="330"/>
      <c r="AP2173" s="343"/>
      <c r="AQ2173" s="249"/>
      <c r="AR2173" s="330"/>
      <c r="AS2173" s="343"/>
      <c r="AT2173" s="249"/>
      <c r="AU2173" s="330"/>
    </row>
    <row r="2174" spans="2:47">
      <c r="B2174" s="247">
        <f>'Table S2 Compound Identifiers'!C2176</f>
        <v>0</v>
      </c>
      <c r="C2174" s="247">
        <f>COUNTIF($D$6:D2174,"&lt;&gt;"&amp;"")</f>
        <v>2169</v>
      </c>
      <c r="D2174" s="247">
        <f>'Table S2 Compound Identifiers'!B2176</f>
        <v>0</v>
      </c>
      <c r="E2174" s="247"/>
      <c r="F2174" s="248"/>
      <c r="G2174" s="249"/>
      <c r="H2174" s="330"/>
      <c r="I2174" s="328"/>
      <c r="J2174" s="249"/>
      <c r="K2174" s="330"/>
      <c r="L2174" s="250"/>
      <c r="M2174" s="249"/>
      <c r="N2174" s="330"/>
      <c r="O2174" s="250"/>
      <c r="P2174" s="249"/>
      <c r="Q2174" s="330"/>
      <c r="R2174" s="250"/>
      <c r="S2174" s="249"/>
      <c r="T2174" s="330"/>
      <c r="U2174" s="250"/>
      <c r="V2174" s="249"/>
      <c r="W2174" s="330"/>
      <c r="X2174" s="343"/>
      <c r="Y2174" s="249"/>
      <c r="Z2174" s="330"/>
      <c r="AA2174" s="343"/>
      <c r="AB2174" s="249"/>
      <c r="AC2174" s="330"/>
      <c r="AD2174" s="343"/>
      <c r="AE2174" s="249"/>
      <c r="AF2174" s="330"/>
      <c r="AG2174" s="343"/>
      <c r="AH2174" s="249"/>
      <c r="AI2174" s="330"/>
      <c r="AJ2174" s="343"/>
      <c r="AK2174" s="249"/>
      <c r="AL2174" s="330"/>
      <c r="AM2174" s="343"/>
      <c r="AN2174" s="249"/>
      <c r="AO2174" s="330"/>
      <c r="AP2174" s="343"/>
      <c r="AQ2174" s="249"/>
      <c r="AR2174" s="330"/>
      <c r="AS2174" s="343"/>
      <c r="AT2174" s="249"/>
      <c r="AU2174" s="330"/>
    </row>
    <row r="2175" spans="2:47">
      <c r="B2175" s="247">
        <f>'Table S2 Compound Identifiers'!C2177</f>
        <v>0</v>
      </c>
      <c r="C2175" s="247">
        <f>COUNTIF($D$6:D2175,"&lt;&gt;"&amp;"")</f>
        <v>2170</v>
      </c>
      <c r="D2175" s="247">
        <f>'Table S2 Compound Identifiers'!B2177</f>
        <v>0</v>
      </c>
      <c r="E2175" s="247"/>
      <c r="F2175" s="248"/>
      <c r="G2175" s="249"/>
      <c r="H2175" s="330"/>
      <c r="I2175" s="328"/>
      <c r="J2175" s="249"/>
      <c r="K2175" s="330"/>
      <c r="L2175" s="250"/>
      <c r="M2175" s="249"/>
      <c r="N2175" s="330"/>
      <c r="O2175" s="250"/>
      <c r="P2175" s="249"/>
      <c r="Q2175" s="330"/>
      <c r="R2175" s="250"/>
      <c r="S2175" s="249"/>
      <c r="T2175" s="330"/>
      <c r="U2175" s="250"/>
      <c r="V2175" s="249"/>
      <c r="W2175" s="330"/>
      <c r="X2175" s="343"/>
      <c r="Y2175" s="249"/>
      <c r="Z2175" s="330"/>
      <c r="AA2175" s="343"/>
      <c r="AB2175" s="249"/>
      <c r="AC2175" s="330"/>
      <c r="AD2175" s="343"/>
      <c r="AE2175" s="249"/>
      <c r="AF2175" s="330"/>
      <c r="AG2175" s="343"/>
      <c r="AH2175" s="249"/>
      <c r="AI2175" s="330"/>
      <c r="AJ2175" s="343"/>
      <c r="AK2175" s="249"/>
      <c r="AL2175" s="330"/>
      <c r="AM2175" s="343"/>
      <c r="AN2175" s="249"/>
      <c r="AO2175" s="330"/>
      <c r="AP2175" s="343"/>
      <c r="AQ2175" s="249"/>
      <c r="AR2175" s="330"/>
      <c r="AS2175" s="343"/>
      <c r="AT2175" s="249"/>
      <c r="AU2175" s="330"/>
    </row>
    <row r="2176" spans="2:47">
      <c r="B2176" s="247">
        <f>'Table S2 Compound Identifiers'!C2178</f>
        <v>0</v>
      </c>
      <c r="C2176" s="247">
        <f>COUNTIF($D$6:D2176,"&lt;&gt;"&amp;"")</f>
        <v>2171</v>
      </c>
      <c r="D2176" s="247">
        <f>'Table S2 Compound Identifiers'!B2178</f>
        <v>0</v>
      </c>
      <c r="E2176" s="247"/>
      <c r="F2176" s="248"/>
      <c r="G2176" s="249"/>
      <c r="H2176" s="330"/>
      <c r="I2176" s="328"/>
      <c r="J2176" s="249"/>
      <c r="K2176" s="330"/>
      <c r="L2176" s="250"/>
      <c r="M2176" s="249"/>
      <c r="N2176" s="330"/>
      <c r="O2176" s="250"/>
      <c r="P2176" s="249"/>
      <c r="Q2176" s="330"/>
      <c r="R2176" s="250"/>
      <c r="S2176" s="249"/>
      <c r="T2176" s="330"/>
      <c r="U2176" s="250"/>
      <c r="V2176" s="249"/>
      <c r="W2176" s="330"/>
      <c r="X2176" s="343"/>
      <c r="Y2176" s="249"/>
      <c r="Z2176" s="330"/>
      <c r="AA2176" s="343"/>
      <c r="AB2176" s="249"/>
      <c r="AC2176" s="330"/>
      <c r="AD2176" s="343"/>
      <c r="AE2176" s="249"/>
      <c r="AF2176" s="330"/>
      <c r="AG2176" s="343"/>
      <c r="AH2176" s="249"/>
      <c r="AI2176" s="330"/>
      <c r="AJ2176" s="343"/>
      <c r="AK2176" s="249"/>
      <c r="AL2176" s="330"/>
      <c r="AM2176" s="343"/>
      <c r="AN2176" s="249"/>
      <c r="AO2176" s="330"/>
      <c r="AP2176" s="343"/>
      <c r="AQ2176" s="249"/>
      <c r="AR2176" s="330"/>
      <c r="AS2176" s="343"/>
      <c r="AT2176" s="249"/>
      <c r="AU2176" s="330"/>
    </row>
    <row r="2177" spans="2:47">
      <c r="B2177" s="247">
        <f>'Table S2 Compound Identifiers'!C2179</f>
        <v>0</v>
      </c>
      <c r="C2177" s="247">
        <f>COUNTIF($D$6:D2177,"&lt;&gt;"&amp;"")</f>
        <v>2172</v>
      </c>
      <c r="D2177" s="247">
        <f>'Table S2 Compound Identifiers'!B2179</f>
        <v>0</v>
      </c>
      <c r="E2177" s="247"/>
      <c r="F2177" s="248"/>
      <c r="G2177" s="249"/>
      <c r="H2177" s="330"/>
      <c r="I2177" s="328"/>
      <c r="J2177" s="249"/>
      <c r="K2177" s="330"/>
      <c r="L2177" s="250"/>
      <c r="M2177" s="249"/>
      <c r="N2177" s="330"/>
      <c r="O2177" s="250"/>
      <c r="P2177" s="249"/>
      <c r="Q2177" s="330"/>
      <c r="R2177" s="250"/>
      <c r="S2177" s="249"/>
      <c r="T2177" s="330"/>
      <c r="U2177" s="250"/>
      <c r="V2177" s="249"/>
      <c r="W2177" s="330"/>
      <c r="X2177" s="343"/>
      <c r="Y2177" s="249"/>
      <c r="Z2177" s="330"/>
      <c r="AA2177" s="343"/>
      <c r="AB2177" s="249"/>
      <c r="AC2177" s="330"/>
      <c r="AD2177" s="343"/>
      <c r="AE2177" s="249"/>
      <c r="AF2177" s="330"/>
      <c r="AG2177" s="343"/>
      <c r="AH2177" s="249"/>
      <c r="AI2177" s="330"/>
      <c r="AJ2177" s="343"/>
      <c r="AK2177" s="249"/>
      <c r="AL2177" s="330"/>
      <c r="AM2177" s="343"/>
      <c r="AN2177" s="249"/>
      <c r="AO2177" s="330"/>
      <c r="AP2177" s="343"/>
      <c r="AQ2177" s="249"/>
      <c r="AR2177" s="330"/>
      <c r="AS2177" s="343"/>
      <c r="AT2177" s="249"/>
      <c r="AU2177" s="330"/>
    </row>
    <row r="2178" spans="2:47">
      <c r="B2178" s="247">
        <f>'Table S2 Compound Identifiers'!C2180</f>
        <v>0</v>
      </c>
      <c r="C2178" s="247">
        <f>COUNTIF($D$6:D2178,"&lt;&gt;"&amp;"")</f>
        <v>2173</v>
      </c>
      <c r="D2178" s="247">
        <f>'Table S2 Compound Identifiers'!B2180</f>
        <v>0</v>
      </c>
      <c r="E2178" s="247"/>
      <c r="F2178" s="248"/>
      <c r="G2178" s="249"/>
      <c r="H2178" s="330"/>
      <c r="I2178" s="328"/>
      <c r="J2178" s="249"/>
      <c r="K2178" s="330"/>
      <c r="L2178" s="250"/>
      <c r="M2178" s="249"/>
      <c r="N2178" s="330"/>
      <c r="O2178" s="250"/>
      <c r="P2178" s="249"/>
      <c r="Q2178" s="330"/>
      <c r="R2178" s="250"/>
      <c r="S2178" s="249"/>
      <c r="T2178" s="330"/>
      <c r="U2178" s="250"/>
      <c r="V2178" s="249"/>
      <c r="W2178" s="330"/>
      <c r="X2178" s="343"/>
      <c r="Y2178" s="249"/>
      <c r="Z2178" s="330"/>
      <c r="AA2178" s="343"/>
      <c r="AB2178" s="249"/>
      <c r="AC2178" s="330"/>
      <c r="AD2178" s="343"/>
      <c r="AE2178" s="249"/>
      <c r="AF2178" s="330"/>
      <c r="AG2178" s="343"/>
      <c r="AH2178" s="249"/>
      <c r="AI2178" s="330"/>
      <c r="AJ2178" s="343"/>
      <c r="AK2178" s="249"/>
      <c r="AL2178" s="330"/>
      <c r="AM2178" s="343"/>
      <c r="AN2178" s="249"/>
      <c r="AO2178" s="330"/>
      <c r="AP2178" s="343"/>
      <c r="AQ2178" s="249"/>
      <c r="AR2178" s="330"/>
      <c r="AS2178" s="343"/>
      <c r="AT2178" s="249"/>
      <c r="AU2178" s="330"/>
    </row>
    <row r="2179" spans="2:47">
      <c r="B2179" s="247">
        <f>'Table S2 Compound Identifiers'!C2181</f>
        <v>0</v>
      </c>
      <c r="C2179" s="247">
        <f>COUNTIF($D$6:D2179,"&lt;&gt;"&amp;"")</f>
        <v>2174</v>
      </c>
      <c r="D2179" s="247">
        <f>'Table S2 Compound Identifiers'!B2181</f>
        <v>0</v>
      </c>
      <c r="E2179" s="247"/>
      <c r="F2179" s="248"/>
      <c r="G2179" s="249"/>
      <c r="H2179" s="330"/>
      <c r="I2179" s="328"/>
      <c r="J2179" s="249"/>
      <c r="K2179" s="330"/>
      <c r="L2179" s="250"/>
      <c r="M2179" s="249"/>
      <c r="N2179" s="330"/>
      <c r="O2179" s="250"/>
      <c r="P2179" s="249"/>
      <c r="Q2179" s="330"/>
      <c r="R2179" s="250"/>
      <c r="S2179" s="249"/>
      <c r="T2179" s="330"/>
      <c r="U2179" s="250"/>
      <c r="V2179" s="249"/>
      <c r="W2179" s="330"/>
      <c r="X2179" s="343"/>
      <c r="Y2179" s="249"/>
      <c r="Z2179" s="330"/>
      <c r="AA2179" s="343"/>
      <c r="AB2179" s="249"/>
      <c r="AC2179" s="330"/>
      <c r="AD2179" s="343"/>
      <c r="AE2179" s="249"/>
      <c r="AF2179" s="330"/>
      <c r="AG2179" s="343"/>
      <c r="AH2179" s="249"/>
      <c r="AI2179" s="330"/>
      <c r="AJ2179" s="343"/>
      <c r="AK2179" s="249"/>
      <c r="AL2179" s="330"/>
      <c r="AM2179" s="343"/>
      <c r="AN2179" s="249"/>
      <c r="AO2179" s="330"/>
      <c r="AP2179" s="343"/>
      <c r="AQ2179" s="249"/>
      <c r="AR2179" s="330"/>
      <c r="AS2179" s="343"/>
      <c r="AT2179" s="249"/>
      <c r="AU2179" s="330"/>
    </row>
    <row r="2180" spans="2:47">
      <c r="B2180" s="247">
        <f>'Table S2 Compound Identifiers'!C2182</f>
        <v>0</v>
      </c>
      <c r="C2180" s="247">
        <f>COUNTIF($D$6:D2180,"&lt;&gt;"&amp;"")</f>
        <v>2175</v>
      </c>
      <c r="D2180" s="247">
        <f>'Table S2 Compound Identifiers'!B2182</f>
        <v>0</v>
      </c>
      <c r="E2180" s="247"/>
      <c r="F2180" s="248"/>
      <c r="G2180" s="249"/>
      <c r="H2180" s="330"/>
      <c r="I2180" s="328"/>
      <c r="J2180" s="249"/>
      <c r="K2180" s="330"/>
      <c r="L2180" s="250"/>
      <c r="M2180" s="249"/>
      <c r="N2180" s="330"/>
      <c r="O2180" s="250"/>
      <c r="P2180" s="249"/>
      <c r="Q2180" s="330"/>
      <c r="R2180" s="250"/>
      <c r="S2180" s="249"/>
      <c r="T2180" s="330"/>
      <c r="U2180" s="250"/>
      <c r="V2180" s="249"/>
      <c r="W2180" s="330"/>
      <c r="X2180" s="343"/>
      <c r="Y2180" s="249"/>
      <c r="Z2180" s="330"/>
      <c r="AA2180" s="343"/>
      <c r="AB2180" s="249"/>
      <c r="AC2180" s="330"/>
      <c r="AD2180" s="343"/>
      <c r="AE2180" s="249"/>
      <c r="AF2180" s="330"/>
      <c r="AG2180" s="343"/>
      <c r="AH2180" s="249"/>
      <c r="AI2180" s="330"/>
      <c r="AJ2180" s="343"/>
      <c r="AK2180" s="249"/>
      <c r="AL2180" s="330"/>
      <c r="AM2180" s="343"/>
      <c r="AN2180" s="249"/>
      <c r="AO2180" s="330"/>
      <c r="AP2180" s="343"/>
      <c r="AQ2180" s="249"/>
      <c r="AR2180" s="330"/>
      <c r="AS2180" s="343"/>
      <c r="AT2180" s="249"/>
      <c r="AU2180" s="330"/>
    </row>
    <row r="2181" spans="2:47">
      <c r="B2181" s="247">
        <f>'Table S2 Compound Identifiers'!C2183</f>
        <v>0</v>
      </c>
      <c r="C2181" s="247">
        <f>COUNTIF($D$6:D2181,"&lt;&gt;"&amp;"")</f>
        <v>2176</v>
      </c>
      <c r="D2181" s="247">
        <f>'Table S2 Compound Identifiers'!B2183</f>
        <v>0</v>
      </c>
      <c r="E2181" s="247"/>
      <c r="F2181" s="248"/>
      <c r="G2181" s="249"/>
      <c r="H2181" s="330"/>
      <c r="I2181" s="328"/>
      <c r="J2181" s="249"/>
      <c r="K2181" s="330"/>
      <c r="L2181" s="250"/>
      <c r="M2181" s="249"/>
      <c r="N2181" s="330"/>
      <c r="O2181" s="250"/>
      <c r="P2181" s="249"/>
      <c r="Q2181" s="330"/>
      <c r="R2181" s="250"/>
      <c r="S2181" s="249"/>
      <c r="T2181" s="330"/>
      <c r="U2181" s="250"/>
      <c r="V2181" s="249"/>
      <c r="W2181" s="330"/>
      <c r="X2181" s="343"/>
      <c r="Y2181" s="249"/>
      <c r="Z2181" s="330"/>
      <c r="AA2181" s="343"/>
      <c r="AB2181" s="249"/>
      <c r="AC2181" s="330"/>
      <c r="AD2181" s="343"/>
      <c r="AE2181" s="249"/>
      <c r="AF2181" s="330"/>
      <c r="AG2181" s="343"/>
      <c r="AH2181" s="249"/>
      <c r="AI2181" s="330"/>
      <c r="AJ2181" s="343"/>
      <c r="AK2181" s="249"/>
      <c r="AL2181" s="330"/>
      <c r="AM2181" s="343"/>
      <c r="AN2181" s="249"/>
      <c r="AO2181" s="330"/>
      <c r="AP2181" s="343"/>
      <c r="AQ2181" s="249"/>
      <c r="AR2181" s="330"/>
      <c r="AS2181" s="343"/>
      <c r="AT2181" s="249"/>
      <c r="AU2181" s="330"/>
    </row>
    <row r="2182" spans="2:47">
      <c r="B2182" s="247">
        <f>'Table S2 Compound Identifiers'!C2184</f>
        <v>0</v>
      </c>
      <c r="C2182" s="247">
        <f>COUNTIF($D$6:D2182,"&lt;&gt;"&amp;"")</f>
        <v>2177</v>
      </c>
      <c r="D2182" s="247">
        <f>'Table S2 Compound Identifiers'!B2184</f>
        <v>0</v>
      </c>
      <c r="E2182" s="247"/>
      <c r="F2182" s="248"/>
      <c r="G2182" s="249"/>
      <c r="H2182" s="330"/>
      <c r="I2182" s="328"/>
      <c r="J2182" s="249"/>
      <c r="K2182" s="330"/>
      <c r="L2182" s="250"/>
      <c r="M2182" s="249"/>
      <c r="N2182" s="330"/>
      <c r="O2182" s="250"/>
      <c r="P2182" s="249"/>
      <c r="Q2182" s="330"/>
      <c r="R2182" s="250"/>
      <c r="S2182" s="249"/>
      <c r="T2182" s="330"/>
      <c r="U2182" s="250"/>
      <c r="V2182" s="249"/>
      <c r="W2182" s="330"/>
      <c r="X2182" s="343"/>
      <c r="Y2182" s="249"/>
      <c r="Z2182" s="330"/>
      <c r="AA2182" s="343"/>
      <c r="AB2182" s="249"/>
      <c r="AC2182" s="330"/>
      <c r="AD2182" s="343"/>
      <c r="AE2182" s="249"/>
      <c r="AF2182" s="330"/>
      <c r="AG2182" s="343"/>
      <c r="AH2182" s="249"/>
      <c r="AI2182" s="330"/>
      <c r="AJ2182" s="343"/>
      <c r="AK2182" s="249"/>
      <c r="AL2182" s="330"/>
      <c r="AM2182" s="343"/>
      <c r="AN2182" s="249"/>
      <c r="AO2182" s="330"/>
      <c r="AP2182" s="343"/>
      <c r="AQ2182" s="249"/>
      <c r="AR2182" s="330"/>
      <c r="AS2182" s="343"/>
      <c r="AT2182" s="249"/>
      <c r="AU2182" s="330"/>
    </row>
    <row r="2183" spans="2:47">
      <c r="B2183" s="247">
        <f>'Table S2 Compound Identifiers'!C2185</f>
        <v>0</v>
      </c>
      <c r="C2183" s="247">
        <f>COUNTIF($D$6:D2183,"&lt;&gt;"&amp;"")</f>
        <v>2178</v>
      </c>
      <c r="D2183" s="247">
        <f>'Table S2 Compound Identifiers'!B2185</f>
        <v>0</v>
      </c>
      <c r="E2183" s="247"/>
      <c r="F2183" s="248"/>
      <c r="G2183" s="249"/>
      <c r="H2183" s="330"/>
      <c r="I2183" s="328"/>
      <c r="J2183" s="249"/>
      <c r="K2183" s="330"/>
      <c r="L2183" s="250"/>
      <c r="M2183" s="249"/>
      <c r="N2183" s="330"/>
      <c r="O2183" s="250"/>
      <c r="P2183" s="249"/>
      <c r="Q2183" s="330"/>
      <c r="R2183" s="250"/>
      <c r="S2183" s="249"/>
      <c r="T2183" s="330"/>
      <c r="U2183" s="250"/>
      <c r="V2183" s="249"/>
      <c r="W2183" s="330"/>
      <c r="X2183" s="343"/>
      <c r="Y2183" s="249"/>
      <c r="Z2183" s="330"/>
      <c r="AA2183" s="343"/>
      <c r="AB2183" s="249"/>
      <c r="AC2183" s="330"/>
      <c r="AD2183" s="343"/>
      <c r="AE2183" s="249"/>
      <c r="AF2183" s="330"/>
      <c r="AG2183" s="343"/>
      <c r="AH2183" s="249"/>
      <c r="AI2183" s="330"/>
      <c r="AJ2183" s="343"/>
      <c r="AK2183" s="249"/>
      <c r="AL2183" s="330"/>
      <c r="AM2183" s="343"/>
      <c r="AN2183" s="249"/>
      <c r="AO2183" s="330"/>
      <c r="AP2183" s="343"/>
      <c r="AQ2183" s="249"/>
      <c r="AR2183" s="330"/>
      <c r="AS2183" s="343"/>
      <c r="AT2183" s="249"/>
      <c r="AU2183" s="330"/>
    </row>
    <row r="2184" spans="2:47">
      <c r="B2184" s="247">
        <f>'Table S2 Compound Identifiers'!C2186</f>
        <v>0</v>
      </c>
      <c r="C2184" s="247">
        <f>COUNTIF($D$6:D2184,"&lt;&gt;"&amp;"")</f>
        <v>2179</v>
      </c>
      <c r="D2184" s="247">
        <f>'Table S2 Compound Identifiers'!B2186</f>
        <v>0</v>
      </c>
      <c r="E2184" s="247"/>
      <c r="F2184" s="248"/>
      <c r="G2184" s="249"/>
      <c r="H2184" s="330"/>
      <c r="I2184" s="328"/>
      <c r="J2184" s="249"/>
      <c r="K2184" s="330"/>
      <c r="L2184" s="250"/>
      <c r="M2184" s="249"/>
      <c r="N2184" s="330"/>
      <c r="O2184" s="250"/>
      <c r="P2184" s="249"/>
      <c r="Q2184" s="330"/>
      <c r="R2184" s="250"/>
      <c r="S2184" s="249"/>
      <c r="T2184" s="330"/>
      <c r="U2184" s="250"/>
      <c r="V2184" s="249"/>
      <c r="W2184" s="330"/>
      <c r="X2184" s="343"/>
      <c r="Y2184" s="249"/>
      <c r="Z2184" s="330"/>
      <c r="AA2184" s="343"/>
      <c r="AB2184" s="249"/>
      <c r="AC2184" s="330"/>
      <c r="AD2184" s="343"/>
      <c r="AE2184" s="249"/>
      <c r="AF2184" s="330"/>
      <c r="AG2184" s="343"/>
      <c r="AH2184" s="249"/>
      <c r="AI2184" s="330"/>
      <c r="AJ2184" s="343"/>
      <c r="AK2184" s="249"/>
      <c r="AL2184" s="330"/>
      <c r="AM2184" s="343"/>
      <c r="AN2184" s="249"/>
      <c r="AO2184" s="330"/>
      <c r="AP2184" s="343"/>
      <c r="AQ2184" s="249"/>
      <c r="AR2184" s="330"/>
      <c r="AS2184" s="343"/>
      <c r="AT2184" s="249"/>
      <c r="AU2184" s="330"/>
    </row>
    <row r="2185" spans="2:47">
      <c r="B2185" s="247">
        <f>'Table S2 Compound Identifiers'!C2187</f>
        <v>0</v>
      </c>
      <c r="C2185" s="247">
        <f>COUNTIF($D$6:D2185,"&lt;&gt;"&amp;"")</f>
        <v>2180</v>
      </c>
      <c r="D2185" s="247">
        <f>'Table S2 Compound Identifiers'!B2187</f>
        <v>0</v>
      </c>
      <c r="E2185" s="247"/>
      <c r="F2185" s="248"/>
      <c r="G2185" s="249"/>
      <c r="H2185" s="330"/>
      <c r="I2185" s="328"/>
      <c r="J2185" s="249"/>
      <c r="K2185" s="330"/>
      <c r="L2185" s="250"/>
      <c r="M2185" s="249"/>
      <c r="N2185" s="330"/>
      <c r="O2185" s="250"/>
      <c r="P2185" s="249"/>
      <c r="Q2185" s="330"/>
      <c r="R2185" s="250"/>
      <c r="S2185" s="249"/>
      <c r="T2185" s="330"/>
      <c r="U2185" s="250"/>
      <c r="V2185" s="249"/>
      <c r="W2185" s="330"/>
      <c r="X2185" s="343"/>
      <c r="Y2185" s="249"/>
      <c r="Z2185" s="330"/>
      <c r="AA2185" s="343"/>
      <c r="AB2185" s="249"/>
      <c r="AC2185" s="330"/>
      <c r="AD2185" s="343"/>
      <c r="AE2185" s="249"/>
      <c r="AF2185" s="330"/>
      <c r="AG2185" s="343"/>
      <c r="AH2185" s="249"/>
      <c r="AI2185" s="330"/>
      <c r="AJ2185" s="343"/>
      <c r="AK2185" s="249"/>
      <c r="AL2185" s="330"/>
      <c r="AM2185" s="343"/>
      <c r="AN2185" s="249"/>
      <c r="AO2185" s="330"/>
      <c r="AP2185" s="343"/>
      <c r="AQ2185" s="249"/>
      <c r="AR2185" s="330"/>
      <c r="AS2185" s="343"/>
      <c r="AT2185" s="249"/>
      <c r="AU2185" s="330"/>
    </row>
    <row r="2186" spans="2:47">
      <c r="B2186" s="247">
        <f>'Table S2 Compound Identifiers'!C2188</f>
        <v>0</v>
      </c>
      <c r="C2186" s="247">
        <f>COUNTIF($D$6:D2186,"&lt;&gt;"&amp;"")</f>
        <v>2181</v>
      </c>
      <c r="D2186" s="247">
        <f>'Table S2 Compound Identifiers'!B2188</f>
        <v>0</v>
      </c>
      <c r="E2186" s="247"/>
      <c r="F2186" s="248"/>
      <c r="G2186" s="249"/>
      <c r="H2186" s="330"/>
      <c r="I2186" s="328"/>
      <c r="J2186" s="249"/>
      <c r="K2186" s="330"/>
      <c r="L2186" s="250"/>
      <c r="M2186" s="249"/>
      <c r="N2186" s="330"/>
      <c r="O2186" s="250"/>
      <c r="P2186" s="249"/>
      <c r="Q2186" s="330"/>
      <c r="R2186" s="250"/>
      <c r="S2186" s="249"/>
      <c r="T2186" s="330"/>
      <c r="U2186" s="250"/>
      <c r="V2186" s="249"/>
      <c r="W2186" s="330"/>
      <c r="X2186" s="343"/>
      <c r="Y2186" s="249"/>
      <c r="Z2186" s="330"/>
      <c r="AA2186" s="343"/>
      <c r="AB2186" s="249"/>
      <c r="AC2186" s="330"/>
      <c r="AD2186" s="343"/>
      <c r="AE2186" s="249"/>
      <c r="AF2186" s="330"/>
      <c r="AG2186" s="343"/>
      <c r="AH2186" s="249"/>
      <c r="AI2186" s="330"/>
      <c r="AJ2186" s="343"/>
      <c r="AK2186" s="249"/>
      <c r="AL2186" s="330"/>
      <c r="AM2186" s="343"/>
      <c r="AN2186" s="249"/>
      <c r="AO2186" s="330"/>
      <c r="AP2186" s="343"/>
      <c r="AQ2186" s="249"/>
      <c r="AR2186" s="330"/>
      <c r="AS2186" s="343"/>
      <c r="AT2186" s="249"/>
      <c r="AU2186" s="330"/>
    </row>
    <row r="2187" spans="2:47">
      <c r="B2187" s="247">
        <f>'Table S2 Compound Identifiers'!C2189</f>
        <v>0</v>
      </c>
      <c r="C2187" s="247">
        <f>COUNTIF($D$6:D2187,"&lt;&gt;"&amp;"")</f>
        <v>2182</v>
      </c>
      <c r="D2187" s="247">
        <f>'Table S2 Compound Identifiers'!B2189</f>
        <v>0</v>
      </c>
      <c r="E2187" s="247"/>
      <c r="F2187" s="248"/>
      <c r="G2187" s="249"/>
      <c r="H2187" s="330"/>
      <c r="I2187" s="328"/>
      <c r="J2187" s="249"/>
      <c r="K2187" s="330"/>
      <c r="L2187" s="250"/>
      <c r="M2187" s="249"/>
      <c r="N2187" s="330"/>
      <c r="O2187" s="250"/>
      <c r="P2187" s="249"/>
      <c r="Q2187" s="330"/>
      <c r="R2187" s="250"/>
      <c r="S2187" s="249"/>
      <c r="T2187" s="330"/>
      <c r="U2187" s="250"/>
      <c r="V2187" s="249"/>
      <c r="W2187" s="330"/>
      <c r="X2187" s="343"/>
      <c r="Y2187" s="249"/>
      <c r="Z2187" s="330"/>
      <c r="AA2187" s="343"/>
      <c r="AB2187" s="249"/>
      <c r="AC2187" s="330"/>
      <c r="AD2187" s="343"/>
      <c r="AE2187" s="249"/>
      <c r="AF2187" s="330"/>
      <c r="AG2187" s="343"/>
      <c r="AH2187" s="249"/>
      <c r="AI2187" s="330"/>
      <c r="AJ2187" s="343"/>
      <c r="AK2187" s="249"/>
      <c r="AL2187" s="330"/>
      <c r="AM2187" s="343"/>
      <c r="AN2187" s="249"/>
      <c r="AO2187" s="330"/>
      <c r="AP2187" s="343"/>
      <c r="AQ2187" s="249"/>
      <c r="AR2187" s="330"/>
      <c r="AS2187" s="343"/>
      <c r="AT2187" s="249"/>
      <c r="AU2187" s="330"/>
    </row>
    <row r="2188" spans="2:47">
      <c r="B2188" s="247">
        <f>'Table S2 Compound Identifiers'!C2190</f>
        <v>0</v>
      </c>
      <c r="C2188" s="247">
        <f>COUNTIF($D$6:D2188,"&lt;&gt;"&amp;"")</f>
        <v>2183</v>
      </c>
      <c r="D2188" s="247">
        <f>'Table S2 Compound Identifiers'!B2190</f>
        <v>0</v>
      </c>
      <c r="E2188" s="247"/>
      <c r="F2188" s="248"/>
      <c r="G2188" s="249"/>
      <c r="H2188" s="330"/>
      <c r="I2188" s="328"/>
      <c r="J2188" s="249"/>
      <c r="K2188" s="330"/>
      <c r="L2188" s="250"/>
      <c r="M2188" s="249"/>
      <c r="N2188" s="330"/>
      <c r="O2188" s="250"/>
      <c r="P2188" s="249"/>
      <c r="Q2188" s="330"/>
      <c r="R2188" s="250"/>
      <c r="S2188" s="249"/>
      <c r="T2188" s="330"/>
      <c r="U2188" s="250"/>
      <c r="V2188" s="249"/>
      <c r="W2188" s="330"/>
      <c r="X2188" s="343"/>
      <c r="Y2188" s="249"/>
      <c r="Z2188" s="330"/>
      <c r="AA2188" s="343"/>
      <c r="AB2188" s="249"/>
      <c r="AC2188" s="330"/>
      <c r="AD2188" s="343"/>
      <c r="AE2188" s="249"/>
      <c r="AF2188" s="330"/>
      <c r="AG2188" s="343"/>
      <c r="AH2188" s="249"/>
      <c r="AI2188" s="330"/>
      <c r="AJ2188" s="343"/>
      <c r="AK2188" s="249"/>
      <c r="AL2188" s="330"/>
      <c r="AM2188" s="343"/>
      <c r="AN2188" s="249"/>
      <c r="AO2188" s="330"/>
      <c r="AP2188" s="343"/>
      <c r="AQ2188" s="249"/>
      <c r="AR2188" s="330"/>
      <c r="AS2188" s="343"/>
      <c r="AT2188" s="249"/>
      <c r="AU2188" s="330"/>
    </row>
    <row r="2189" spans="2:47">
      <c r="B2189" s="247">
        <f>'Table S2 Compound Identifiers'!C2191</f>
        <v>0</v>
      </c>
      <c r="C2189" s="247">
        <f>COUNTIF($D$6:D2189,"&lt;&gt;"&amp;"")</f>
        <v>2184</v>
      </c>
      <c r="D2189" s="247">
        <f>'Table S2 Compound Identifiers'!B2191</f>
        <v>0</v>
      </c>
      <c r="E2189" s="247"/>
      <c r="F2189" s="248"/>
      <c r="G2189" s="249"/>
      <c r="H2189" s="330"/>
      <c r="I2189" s="328"/>
      <c r="J2189" s="249"/>
      <c r="K2189" s="330"/>
      <c r="L2189" s="250"/>
      <c r="M2189" s="249"/>
      <c r="N2189" s="330"/>
      <c r="O2189" s="250"/>
      <c r="P2189" s="249"/>
      <c r="Q2189" s="330"/>
      <c r="R2189" s="250"/>
      <c r="S2189" s="249"/>
      <c r="T2189" s="330"/>
      <c r="U2189" s="250"/>
      <c r="V2189" s="249"/>
      <c r="W2189" s="330"/>
      <c r="X2189" s="343"/>
      <c r="Y2189" s="249"/>
      <c r="Z2189" s="330"/>
      <c r="AA2189" s="343"/>
      <c r="AB2189" s="249"/>
      <c r="AC2189" s="330"/>
      <c r="AD2189" s="343"/>
      <c r="AE2189" s="249"/>
      <c r="AF2189" s="330"/>
      <c r="AG2189" s="343"/>
      <c r="AH2189" s="249"/>
      <c r="AI2189" s="330"/>
      <c r="AJ2189" s="343"/>
      <c r="AK2189" s="249"/>
      <c r="AL2189" s="330"/>
      <c r="AM2189" s="343"/>
      <c r="AN2189" s="249"/>
      <c r="AO2189" s="330"/>
      <c r="AP2189" s="343"/>
      <c r="AQ2189" s="249"/>
      <c r="AR2189" s="330"/>
      <c r="AS2189" s="343"/>
      <c r="AT2189" s="249"/>
      <c r="AU2189" s="330"/>
    </row>
    <row r="2190" spans="2:47">
      <c r="B2190" s="247">
        <f>'Table S2 Compound Identifiers'!C2192</f>
        <v>0</v>
      </c>
      <c r="C2190" s="247">
        <f>COUNTIF($D$6:D2190,"&lt;&gt;"&amp;"")</f>
        <v>2185</v>
      </c>
      <c r="D2190" s="247">
        <f>'Table S2 Compound Identifiers'!B2192</f>
        <v>0</v>
      </c>
      <c r="E2190" s="247"/>
      <c r="F2190" s="248"/>
      <c r="G2190" s="249"/>
      <c r="H2190" s="330"/>
      <c r="I2190" s="328"/>
      <c r="J2190" s="249"/>
      <c r="K2190" s="330"/>
      <c r="L2190" s="250"/>
      <c r="M2190" s="249"/>
      <c r="N2190" s="330"/>
      <c r="O2190" s="250"/>
      <c r="P2190" s="249"/>
      <c r="Q2190" s="330"/>
      <c r="R2190" s="250"/>
      <c r="S2190" s="249"/>
      <c r="T2190" s="330"/>
      <c r="U2190" s="250"/>
      <c r="V2190" s="249"/>
      <c r="W2190" s="330"/>
      <c r="X2190" s="343"/>
      <c r="Y2190" s="249"/>
      <c r="Z2190" s="330"/>
      <c r="AA2190" s="343"/>
      <c r="AB2190" s="249"/>
      <c r="AC2190" s="330"/>
      <c r="AD2190" s="343"/>
      <c r="AE2190" s="249"/>
      <c r="AF2190" s="330"/>
      <c r="AG2190" s="343"/>
      <c r="AH2190" s="249"/>
      <c r="AI2190" s="330"/>
      <c r="AJ2190" s="343"/>
      <c r="AK2190" s="249"/>
      <c r="AL2190" s="330"/>
      <c r="AM2190" s="343"/>
      <c r="AN2190" s="249"/>
      <c r="AO2190" s="330"/>
      <c r="AP2190" s="343"/>
      <c r="AQ2190" s="249"/>
      <c r="AR2190" s="330"/>
      <c r="AS2190" s="343"/>
      <c r="AT2190" s="249"/>
      <c r="AU2190" s="330"/>
    </row>
    <row r="2191" spans="2:47">
      <c r="B2191" s="247">
        <f>'Table S2 Compound Identifiers'!C2193</f>
        <v>0</v>
      </c>
      <c r="C2191" s="247">
        <f>COUNTIF($D$6:D2191,"&lt;&gt;"&amp;"")</f>
        <v>2186</v>
      </c>
      <c r="D2191" s="247">
        <f>'Table S2 Compound Identifiers'!B2193</f>
        <v>0</v>
      </c>
      <c r="E2191" s="247"/>
      <c r="F2191" s="248"/>
      <c r="G2191" s="249"/>
      <c r="H2191" s="330"/>
      <c r="I2191" s="328"/>
      <c r="J2191" s="249"/>
      <c r="K2191" s="330"/>
      <c r="L2191" s="250"/>
      <c r="M2191" s="249"/>
      <c r="N2191" s="330"/>
      <c r="O2191" s="250"/>
      <c r="P2191" s="249"/>
      <c r="Q2191" s="330"/>
      <c r="R2191" s="250"/>
      <c r="S2191" s="249"/>
      <c r="T2191" s="330"/>
      <c r="U2191" s="250"/>
      <c r="V2191" s="249"/>
      <c r="W2191" s="330"/>
      <c r="X2191" s="343"/>
      <c r="Y2191" s="249"/>
      <c r="Z2191" s="330"/>
      <c r="AA2191" s="343"/>
      <c r="AB2191" s="249"/>
      <c r="AC2191" s="330"/>
      <c r="AD2191" s="343"/>
      <c r="AE2191" s="249"/>
      <c r="AF2191" s="330"/>
      <c r="AG2191" s="343"/>
      <c r="AH2191" s="249"/>
      <c r="AI2191" s="330"/>
      <c r="AJ2191" s="343"/>
      <c r="AK2191" s="249"/>
      <c r="AL2191" s="330"/>
      <c r="AM2191" s="343"/>
      <c r="AN2191" s="249"/>
      <c r="AO2191" s="330"/>
      <c r="AP2191" s="343"/>
      <c r="AQ2191" s="249"/>
      <c r="AR2191" s="330"/>
      <c r="AS2191" s="343"/>
      <c r="AT2191" s="249"/>
      <c r="AU2191" s="330"/>
    </row>
    <row r="2192" spans="2:47">
      <c r="B2192" s="247">
        <f>'Table S2 Compound Identifiers'!C2194</f>
        <v>0</v>
      </c>
      <c r="C2192" s="247">
        <f>COUNTIF($D$6:D2192,"&lt;&gt;"&amp;"")</f>
        <v>2187</v>
      </c>
      <c r="D2192" s="247">
        <f>'Table S2 Compound Identifiers'!B2194</f>
        <v>0</v>
      </c>
      <c r="E2192" s="247"/>
      <c r="F2192" s="248"/>
      <c r="G2192" s="249"/>
      <c r="H2192" s="330"/>
      <c r="I2192" s="328"/>
      <c r="J2192" s="249"/>
      <c r="K2192" s="330"/>
      <c r="L2192" s="250"/>
      <c r="M2192" s="249"/>
      <c r="N2192" s="330"/>
      <c r="O2192" s="250"/>
      <c r="P2192" s="249"/>
      <c r="Q2192" s="330"/>
      <c r="R2192" s="250"/>
      <c r="S2192" s="249"/>
      <c r="T2192" s="330"/>
      <c r="U2192" s="250"/>
      <c r="V2192" s="249"/>
      <c r="W2192" s="330"/>
      <c r="X2192" s="343"/>
      <c r="Y2192" s="249"/>
      <c r="Z2192" s="330"/>
      <c r="AA2192" s="343"/>
      <c r="AB2192" s="249"/>
      <c r="AC2192" s="330"/>
      <c r="AD2192" s="343"/>
      <c r="AE2192" s="249"/>
      <c r="AF2192" s="330"/>
      <c r="AG2192" s="343"/>
      <c r="AH2192" s="249"/>
      <c r="AI2192" s="330"/>
      <c r="AJ2192" s="343"/>
      <c r="AK2192" s="249"/>
      <c r="AL2192" s="330"/>
      <c r="AM2192" s="343"/>
      <c r="AN2192" s="249"/>
      <c r="AO2192" s="330"/>
      <c r="AP2192" s="343"/>
      <c r="AQ2192" s="249"/>
      <c r="AR2192" s="330"/>
      <c r="AS2192" s="343"/>
      <c r="AT2192" s="249"/>
      <c r="AU2192" s="330"/>
    </row>
    <row r="2193" spans="2:47">
      <c r="B2193" s="247">
        <f>'Table S2 Compound Identifiers'!C2195</f>
        <v>0</v>
      </c>
      <c r="C2193" s="247">
        <f>COUNTIF($D$6:D2193,"&lt;&gt;"&amp;"")</f>
        <v>2188</v>
      </c>
      <c r="D2193" s="247">
        <f>'Table S2 Compound Identifiers'!B2195</f>
        <v>0</v>
      </c>
      <c r="E2193" s="247"/>
      <c r="F2193" s="248"/>
      <c r="G2193" s="249"/>
      <c r="H2193" s="330"/>
      <c r="I2193" s="328"/>
      <c r="J2193" s="249"/>
      <c r="K2193" s="330"/>
      <c r="L2193" s="250"/>
      <c r="M2193" s="249"/>
      <c r="N2193" s="330"/>
      <c r="O2193" s="250"/>
      <c r="P2193" s="249"/>
      <c r="Q2193" s="330"/>
      <c r="R2193" s="250"/>
      <c r="S2193" s="249"/>
      <c r="T2193" s="330"/>
      <c r="U2193" s="250"/>
      <c r="V2193" s="249"/>
      <c r="W2193" s="330"/>
      <c r="X2193" s="343"/>
      <c r="Y2193" s="249"/>
      <c r="Z2193" s="330"/>
      <c r="AA2193" s="343"/>
      <c r="AB2193" s="249"/>
      <c r="AC2193" s="330"/>
      <c r="AD2193" s="343"/>
      <c r="AE2193" s="249"/>
      <c r="AF2193" s="330"/>
      <c r="AG2193" s="343"/>
      <c r="AH2193" s="249"/>
      <c r="AI2193" s="330"/>
      <c r="AJ2193" s="343"/>
      <c r="AK2193" s="249"/>
      <c r="AL2193" s="330"/>
      <c r="AM2193" s="343"/>
      <c r="AN2193" s="249"/>
      <c r="AO2193" s="330"/>
      <c r="AP2193" s="343"/>
      <c r="AQ2193" s="249"/>
      <c r="AR2193" s="330"/>
      <c r="AS2193" s="343"/>
      <c r="AT2193" s="249"/>
      <c r="AU2193" s="330"/>
    </row>
    <row r="2194" spans="2:47">
      <c r="B2194" s="247">
        <f>'Table S2 Compound Identifiers'!C2196</f>
        <v>0</v>
      </c>
      <c r="C2194" s="247">
        <f>COUNTIF($D$6:D2194,"&lt;&gt;"&amp;"")</f>
        <v>2189</v>
      </c>
      <c r="D2194" s="247">
        <f>'Table S2 Compound Identifiers'!B2196</f>
        <v>0</v>
      </c>
      <c r="E2194" s="247"/>
      <c r="F2194" s="248"/>
      <c r="G2194" s="249"/>
      <c r="H2194" s="330"/>
      <c r="I2194" s="328"/>
      <c r="J2194" s="249"/>
      <c r="K2194" s="330"/>
      <c r="L2194" s="250"/>
      <c r="M2194" s="249"/>
      <c r="N2194" s="330"/>
      <c r="O2194" s="250"/>
      <c r="P2194" s="249"/>
      <c r="Q2194" s="330"/>
      <c r="R2194" s="250"/>
      <c r="S2194" s="249"/>
      <c r="T2194" s="330"/>
      <c r="U2194" s="250"/>
      <c r="V2194" s="249"/>
      <c r="W2194" s="330"/>
      <c r="X2194" s="343"/>
      <c r="Y2194" s="249"/>
      <c r="Z2194" s="330"/>
      <c r="AA2194" s="343"/>
      <c r="AB2194" s="249"/>
      <c r="AC2194" s="330"/>
      <c r="AD2194" s="343"/>
      <c r="AE2194" s="249"/>
      <c r="AF2194" s="330"/>
      <c r="AG2194" s="343"/>
      <c r="AH2194" s="249"/>
      <c r="AI2194" s="330"/>
      <c r="AJ2194" s="343"/>
      <c r="AK2194" s="249"/>
      <c r="AL2194" s="330"/>
      <c r="AM2194" s="343"/>
      <c r="AN2194" s="249"/>
      <c r="AO2194" s="330"/>
      <c r="AP2194" s="343"/>
      <c r="AQ2194" s="249"/>
      <c r="AR2194" s="330"/>
      <c r="AS2194" s="343"/>
      <c r="AT2194" s="249"/>
      <c r="AU2194" s="330"/>
    </row>
    <row r="2195" spans="2:47">
      <c r="B2195" s="247">
        <f>'Table S2 Compound Identifiers'!C2197</f>
        <v>0</v>
      </c>
      <c r="C2195" s="247">
        <f>COUNTIF($D$6:D2195,"&lt;&gt;"&amp;"")</f>
        <v>2190</v>
      </c>
      <c r="D2195" s="247">
        <f>'Table S2 Compound Identifiers'!B2197</f>
        <v>0</v>
      </c>
      <c r="E2195" s="247"/>
      <c r="F2195" s="248"/>
      <c r="G2195" s="249"/>
      <c r="H2195" s="330"/>
      <c r="I2195" s="328"/>
      <c r="J2195" s="249"/>
      <c r="K2195" s="330"/>
      <c r="L2195" s="250"/>
      <c r="M2195" s="249"/>
      <c r="N2195" s="330"/>
      <c r="O2195" s="250"/>
      <c r="P2195" s="249"/>
      <c r="Q2195" s="330"/>
      <c r="R2195" s="250"/>
      <c r="S2195" s="249"/>
      <c r="T2195" s="330"/>
      <c r="U2195" s="250"/>
      <c r="V2195" s="249"/>
      <c r="W2195" s="330"/>
      <c r="X2195" s="343"/>
      <c r="Y2195" s="249"/>
      <c r="Z2195" s="330"/>
      <c r="AA2195" s="343"/>
      <c r="AB2195" s="249"/>
      <c r="AC2195" s="330"/>
      <c r="AD2195" s="343"/>
      <c r="AE2195" s="249"/>
      <c r="AF2195" s="330"/>
      <c r="AG2195" s="343"/>
      <c r="AH2195" s="249"/>
      <c r="AI2195" s="330"/>
      <c r="AJ2195" s="343"/>
      <c r="AK2195" s="249"/>
      <c r="AL2195" s="330"/>
      <c r="AM2195" s="343"/>
      <c r="AN2195" s="249"/>
      <c r="AO2195" s="330"/>
      <c r="AP2195" s="343"/>
      <c r="AQ2195" s="249"/>
      <c r="AR2195" s="330"/>
      <c r="AS2195" s="343"/>
      <c r="AT2195" s="249"/>
      <c r="AU2195" s="330"/>
    </row>
    <row r="2196" spans="2:47">
      <c r="B2196" s="247">
        <f>'Table S2 Compound Identifiers'!C2198</f>
        <v>0</v>
      </c>
      <c r="C2196" s="247">
        <f>COUNTIF($D$6:D2196,"&lt;&gt;"&amp;"")</f>
        <v>2191</v>
      </c>
      <c r="D2196" s="247">
        <f>'Table S2 Compound Identifiers'!B2198</f>
        <v>0</v>
      </c>
      <c r="E2196" s="247"/>
      <c r="F2196" s="248"/>
      <c r="G2196" s="249"/>
      <c r="H2196" s="330"/>
      <c r="I2196" s="328"/>
      <c r="J2196" s="249"/>
      <c r="K2196" s="330"/>
      <c r="L2196" s="250"/>
      <c r="M2196" s="249"/>
      <c r="N2196" s="330"/>
      <c r="O2196" s="250"/>
      <c r="P2196" s="249"/>
      <c r="Q2196" s="330"/>
      <c r="R2196" s="250"/>
      <c r="S2196" s="249"/>
      <c r="T2196" s="330"/>
      <c r="U2196" s="250"/>
      <c r="V2196" s="249"/>
      <c r="W2196" s="330"/>
      <c r="X2196" s="343"/>
      <c r="Y2196" s="249"/>
      <c r="Z2196" s="330"/>
      <c r="AA2196" s="343"/>
      <c r="AB2196" s="249"/>
      <c r="AC2196" s="330"/>
      <c r="AD2196" s="343"/>
      <c r="AE2196" s="249"/>
      <c r="AF2196" s="330"/>
      <c r="AG2196" s="343"/>
      <c r="AH2196" s="249"/>
      <c r="AI2196" s="330"/>
      <c r="AJ2196" s="343"/>
      <c r="AK2196" s="249"/>
      <c r="AL2196" s="330"/>
      <c r="AM2196" s="343"/>
      <c r="AN2196" s="249"/>
      <c r="AO2196" s="330"/>
      <c r="AP2196" s="343"/>
      <c r="AQ2196" s="249"/>
      <c r="AR2196" s="330"/>
      <c r="AS2196" s="343"/>
      <c r="AT2196" s="249"/>
      <c r="AU2196" s="330"/>
    </row>
    <row r="2197" spans="2:47">
      <c r="B2197" s="247">
        <f>'Table S2 Compound Identifiers'!C2199</f>
        <v>0</v>
      </c>
      <c r="C2197" s="247">
        <f>COUNTIF($D$6:D2197,"&lt;&gt;"&amp;"")</f>
        <v>2192</v>
      </c>
      <c r="D2197" s="247">
        <f>'Table S2 Compound Identifiers'!B2199</f>
        <v>0</v>
      </c>
      <c r="E2197" s="247"/>
      <c r="F2197" s="248"/>
      <c r="G2197" s="249"/>
      <c r="H2197" s="330"/>
      <c r="I2197" s="328"/>
      <c r="J2197" s="249"/>
      <c r="K2197" s="330"/>
      <c r="L2197" s="250"/>
      <c r="M2197" s="249"/>
      <c r="N2197" s="330"/>
      <c r="O2197" s="250"/>
      <c r="P2197" s="249"/>
      <c r="Q2197" s="330"/>
      <c r="R2197" s="250"/>
      <c r="S2197" s="249"/>
      <c r="T2197" s="330"/>
      <c r="U2197" s="250"/>
      <c r="V2197" s="249"/>
      <c r="W2197" s="330"/>
      <c r="X2197" s="343"/>
      <c r="Y2197" s="249"/>
      <c r="Z2197" s="330"/>
      <c r="AA2197" s="343"/>
      <c r="AB2197" s="249"/>
      <c r="AC2197" s="330"/>
      <c r="AD2197" s="343"/>
      <c r="AE2197" s="249"/>
      <c r="AF2197" s="330"/>
      <c r="AG2197" s="343"/>
      <c r="AH2197" s="249"/>
      <c r="AI2197" s="330"/>
      <c r="AJ2197" s="343"/>
      <c r="AK2197" s="249"/>
      <c r="AL2197" s="330"/>
      <c r="AM2197" s="343"/>
      <c r="AN2197" s="249"/>
      <c r="AO2197" s="330"/>
      <c r="AP2197" s="343"/>
      <c r="AQ2197" s="249"/>
      <c r="AR2197" s="330"/>
      <c r="AS2197" s="343"/>
      <c r="AT2197" s="249"/>
      <c r="AU2197" s="330"/>
    </row>
    <row r="2198" spans="2:47">
      <c r="B2198" s="247">
        <f>'Table S2 Compound Identifiers'!C2200</f>
        <v>0</v>
      </c>
      <c r="C2198" s="247">
        <f>COUNTIF($D$6:D2198,"&lt;&gt;"&amp;"")</f>
        <v>2193</v>
      </c>
      <c r="D2198" s="247">
        <f>'Table S2 Compound Identifiers'!B2200</f>
        <v>0</v>
      </c>
      <c r="E2198" s="247"/>
      <c r="F2198" s="248"/>
      <c r="G2198" s="249"/>
      <c r="H2198" s="330"/>
      <c r="I2198" s="328"/>
      <c r="J2198" s="249"/>
      <c r="K2198" s="330"/>
      <c r="L2198" s="250"/>
      <c r="M2198" s="249"/>
      <c r="N2198" s="330"/>
      <c r="O2198" s="250"/>
      <c r="P2198" s="249"/>
      <c r="Q2198" s="330"/>
      <c r="R2198" s="250"/>
      <c r="S2198" s="249"/>
      <c r="T2198" s="330"/>
      <c r="U2198" s="250"/>
      <c r="V2198" s="249"/>
      <c r="W2198" s="330"/>
      <c r="X2198" s="343"/>
      <c r="Y2198" s="249"/>
      <c r="Z2198" s="330"/>
      <c r="AA2198" s="343"/>
      <c r="AB2198" s="249"/>
      <c r="AC2198" s="330"/>
      <c r="AD2198" s="343"/>
      <c r="AE2198" s="249"/>
      <c r="AF2198" s="330"/>
      <c r="AG2198" s="343"/>
      <c r="AH2198" s="249"/>
      <c r="AI2198" s="330"/>
      <c r="AJ2198" s="343"/>
      <c r="AK2198" s="249"/>
      <c r="AL2198" s="330"/>
      <c r="AM2198" s="343"/>
      <c r="AN2198" s="249"/>
      <c r="AO2198" s="330"/>
      <c r="AP2198" s="343"/>
      <c r="AQ2198" s="249"/>
      <c r="AR2198" s="330"/>
      <c r="AS2198" s="343"/>
      <c r="AT2198" s="249"/>
      <c r="AU2198" s="330"/>
    </row>
    <row r="2199" spans="2:47">
      <c r="B2199" s="247">
        <f>'Table S2 Compound Identifiers'!C2201</f>
        <v>0</v>
      </c>
      <c r="C2199" s="247">
        <f>COUNTIF($D$6:D2199,"&lt;&gt;"&amp;"")</f>
        <v>2194</v>
      </c>
      <c r="D2199" s="247">
        <f>'Table S2 Compound Identifiers'!B2201</f>
        <v>0</v>
      </c>
      <c r="E2199" s="247"/>
      <c r="F2199" s="248"/>
      <c r="G2199" s="249"/>
      <c r="H2199" s="330"/>
      <c r="I2199" s="328"/>
      <c r="J2199" s="249"/>
      <c r="K2199" s="330"/>
      <c r="L2199" s="250"/>
      <c r="M2199" s="249"/>
      <c r="N2199" s="330"/>
      <c r="O2199" s="250"/>
      <c r="P2199" s="249"/>
      <c r="Q2199" s="330"/>
      <c r="R2199" s="250"/>
      <c r="S2199" s="249"/>
      <c r="T2199" s="330"/>
      <c r="U2199" s="250"/>
      <c r="V2199" s="249"/>
      <c r="W2199" s="330"/>
      <c r="X2199" s="343"/>
      <c r="Y2199" s="249"/>
      <c r="Z2199" s="330"/>
      <c r="AA2199" s="343"/>
      <c r="AB2199" s="249"/>
      <c r="AC2199" s="330"/>
      <c r="AD2199" s="343"/>
      <c r="AE2199" s="249"/>
      <c r="AF2199" s="330"/>
      <c r="AG2199" s="343"/>
      <c r="AH2199" s="249"/>
      <c r="AI2199" s="330"/>
      <c r="AJ2199" s="343"/>
      <c r="AK2199" s="249"/>
      <c r="AL2199" s="330"/>
      <c r="AM2199" s="343"/>
      <c r="AN2199" s="249"/>
      <c r="AO2199" s="330"/>
      <c r="AP2199" s="343"/>
      <c r="AQ2199" s="249"/>
      <c r="AR2199" s="330"/>
      <c r="AS2199" s="343"/>
      <c r="AT2199" s="249"/>
      <c r="AU2199" s="330"/>
    </row>
    <row r="2200" spans="2:47">
      <c r="B2200" s="247">
        <f>'Table S2 Compound Identifiers'!C2202</f>
        <v>0</v>
      </c>
      <c r="C2200" s="247">
        <f>COUNTIF($D$6:D2200,"&lt;&gt;"&amp;"")</f>
        <v>2195</v>
      </c>
      <c r="D2200" s="247">
        <f>'Table S2 Compound Identifiers'!B2202</f>
        <v>0</v>
      </c>
      <c r="E2200" s="247"/>
      <c r="F2200" s="248"/>
      <c r="G2200" s="249"/>
      <c r="H2200" s="330"/>
      <c r="I2200" s="328"/>
      <c r="J2200" s="249"/>
      <c r="K2200" s="330"/>
      <c r="L2200" s="250"/>
      <c r="M2200" s="249"/>
      <c r="N2200" s="330"/>
      <c r="O2200" s="250"/>
      <c r="P2200" s="249"/>
      <c r="Q2200" s="330"/>
      <c r="R2200" s="250"/>
      <c r="S2200" s="249"/>
      <c r="T2200" s="330"/>
      <c r="U2200" s="250"/>
      <c r="V2200" s="249"/>
      <c r="W2200" s="330"/>
      <c r="X2200" s="343"/>
      <c r="Y2200" s="249"/>
      <c r="Z2200" s="330"/>
      <c r="AA2200" s="343"/>
      <c r="AB2200" s="249"/>
      <c r="AC2200" s="330"/>
      <c r="AD2200" s="343"/>
      <c r="AE2200" s="249"/>
      <c r="AF2200" s="330"/>
      <c r="AG2200" s="343"/>
      <c r="AH2200" s="249"/>
      <c r="AI2200" s="330"/>
      <c r="AJ2200" s="343"/>
      <c r="AK2200" s="249"/>
      <c r="AL2200" s="330"/>
      <c r="AM2200" s="343"/>
      <c r="AN2200" s="249"/>
      <c r="AO2200" s="330"/>
      <c r="AP2200" s="343"/>
      <c r="AQ2200" s="249"/>
      <c r="AR2200" s="330"/>
      <c r="AS2200" s="343"/>
      <c r="AT2200" s="249"/>
      <c r="AU2200" s="330"/>
    </row>
    <row r="2201" spans="2:47">
      <c r="B2201" s="247">
        <f>'Table S2 Compound Identifiers'!C2203</f>
        <v>0</v>
      </c>
      <c r="C2201" s="247">
        <f>COUNTIF($D$6:D2201,"&lt;&gt;"&amp;"")</f>
        <v>2196</v>
      </c>
      <c r="D2201" s="247">
        <f>'Table S2 Compound Identifiers'!B2203</f>
        <v>0</v>
      </c>
      <c r="E2201" s="247"/>
      <c r="F2201" s="248"/>
      <c r="G2201" s="249"/>
      <c r="H2201" s="330"/>
      <c r="I2201" s="328"/>
      <c r="J2201" s="249"/>
      <c r="K2201" s="330"/>
      <c r="L2201" s="250"/>
      <c r="M2201" s="249"/>
      <c r="N2201" s="330"/>
      <c r="O2201" s="250"/>
      <c r="P2201" s="249"/>
      <c r="Q2201" s="330"/>
      <c r="R2201" s="250"/>
      <c r="S2201" s="249"/>
      <c r="T2201" s="330"/>
      <c r="U2201" s="250"/>
      <c r="V2201" s="249"/>
      <c r="W2201" s="330"/>
      <c r="X2201" s="343"/>
      <c r="Y2201" s="249"/>
      <c r="Z2201" s="330"/>
      <c r="AA2201" s="343"/>
      <c r="AB2201" s="249"/>
      <c r="AC2201" s="330"/>
      <c r="AD2201" s="343"/>
      <c r="AE2201" s="249"/>
      <c r="AF2201" s="330"/>
      <c r="AG2201" s="343"/>
      <c r="AH2201" s="249"/>
      <c r="AI2201" s="330"/>
      <c r="AJ2201" s="343"/>
      <c r="AK2201" s="249"/>
      <c r="AL2201" s="330"/>
      <c r="AM2201" s="343"/>
      <c r="AN2201" s="249"/>
      <c r="AO2201" s="330"/>
      <c r="AP2201" s="343"/>
      <c r="AQ2201" s="249"/>
      <c r="AR2201" s="330"/>
      <c r="AS2201" s="343"/>
      <c r="AT2201" s="249"/>
      <c r="AU2201" s="330"/>
    </row>
    <row r="2202" spans="2:47">
      <c r="B2202" s="247">
        <f>'Table S2 Compound Identifiers'!C2204</f>
        <v>0</v>
      </c>
      <c r="C2202" s="247">
        <f>COUNTIF($D$6:D2202,"&lt;&gt;"&amp;"")</f>
        <v>2197</v>
      </c>
      <c r="D2202" s="247">
        <f>'Table S2 Compound Identifiers'!B2204</f>
        <v>0</v>
      </c>
      <c r="E2202" s="247"/>
      <c r="F2202" s="248"/>
      <c r="G2202" s="249"/>
      <c r="H2202" s="330"/>
      <c r="I2202" s="328"/>
      <c r="J2202" s="249"/>
      <c r="K2202" s="330"/>
      <c r="L2202" s="250"/>
      <c r="M2202" s="249"/>
      <c r="N2202" s="330"/>
      <c r="O2202" s="250"/>
      <c r="P2202" s="249"/>
      <c r="Q2202" s="330"/>
      <c r="R2202" s="250"/>
      <c r="S2202" s="249"/>
      <c r="T2202" s="330"/>
      <c r="U2202" s="250"/>
      <c r="V2202" s="249"/>
      <c r="W2202" s="330"/>
      <c r="X2202" s="343"/>
      <c r="Y2202" s="249"/>
      <c r="Z2202" s="330"/>
      <c r="AA2202" s="343"/>
      <c r="AB2202" s="249"/>
      <c r="AC2202" s="330"/>
      <c r="AD2202" s="343"/>
      <c r="AE2202" s="249"/>
      <c r="AF2202" s="330"/>
      <c r="AG2202" s="343"/>
      <c r="AH2202" s="249"/>
      <c r="AI2202" s="330"/>
      <c r="AJ2202" s="343"/>
      <c r="AK2202" s="249"/>
      <c r="AL2202" s="330"/>
      <c r="AM2202" s="343"/>
      <c r="AN2202" s="249"/>
      <c r="AO2202" s="330"/>
      <c r="AP2202" s="343"/>
      <c r="AQ2202" s="249"/>
      <c r="AR2202" s="330"/>
      <c r="AS2202" s="343"/>
      <c r="AT2202" s="249"/>
      <c r="AU2202" s="330"/>
    </row>
    <row r="2203" spans="2:47">
      <c r="B2203" s="247">
        <f>'Table S2 Compound Identifiers'!C2205</f>
        <v>0</v>
      </c>
      <c r="C2203" s="247">
        <f>COUNTIF($D$6:D2203,"&lt;&gt;"&amp;"")</f>
        <v>2198</v>
      </c>
      <c r="D2203" s="247">
        <f>'Table S2 Compound Identifiers'!B2205</f>
        <v>0</v>
      </c>
      <c r="E2203" s="247"/>
      <c r="F2203" s="248"/>
      <c r="G2203" s="249"/>
      <c r="H2203" s="330"/>
      <c r="I2203" s="328"/>
      <c r="J2203" s="249"/>
      <c r="K2203" s="330"/>
      <c r="L2203" s="250"/>
      <c r="M2203" s="249"/>
      <c r="N2203" s="330"/>
      <c r="O2203" s="250"/>
      <c r="P2203" s="249"/>
      <c r="Q2203" s="330"/>
      <c r="R2203" s="250"/>
      <c r="S2203" s="249"/>
      <c r="T2203" s="330"/>
      <c r="U2203" s="250"/>
      <c r="V2203" s="249"/>
      <c r="W2203" s="330"/>
      <c r="X2203" s="343"/>
      <c r="Y2203" s="249"/>
      <c r="Z2203" s="330"/>
      <c r="AA2203" s="343"/>
      <c r="AB2203" s="249"/>
      <c r="AC2203" s="330"/>
      <c r="AD2203" s="343"/>
      <c r="AE2203" s="249"/>
      <c r="AF2203" s="330"/>
      <c r="AG2203" s="343"/>
      <c r="AH2203" s="249"/>
      <c r="AI2203" s="330"/>
      <c r="AJ2203" s="343"/>
      <c r="AK2203" s="249"/>
      <c r="AL2203" s="330"/>
      <c r="AM2203" s="343"/>
      <c r="AN2203" s="249"/>
      <c r="AO2203" s="330"/>
      <c r="AP2203" s="343"/>
      <c r="AQ2203" s="249"/>
      <c r="AR2203" s="330"/>
      <c r="AS2203" s="343"/>
      <c r="AT2203" s="249"/>
      <c r="AU2203" s="330"/>
    </row>
    <row r="2204" spans="2:47">
      <c r="B2204" s="247">
        <f>'Table S2 Compound Identifiers'!C2206</f>
        <v>0</v>
      </c>
      <c r="C2204" s="247">
        <f>COUNTIF($D$6:D2204,"&lt;&gt;"&amp;"")</f>
        <v>2199</v>
      </c>
      <c r="D2204" s="247">
        <f>'Table S2 Compound Identifiers'!B2206</f>
        <v>0</v>
      </c>
      <c r="E2204" s="247"/>
      <c r="F2204" s="248"/>
      <c r="G2204" s="249"/>
      <c r="H2204" s="330"/>
      <c r="I2204" s="328"/>
      <c r="J2204" s="249"/>
      <c r="K2204" s="330"/>
      <c r="L2204" s="250"/>
      <c r="M2204" s="249"/>
      <c r="N2204" s="330"/>
      <c r="O2204" s="250"/>
      <c r="P2204" s="249"/>
      <c r="Q2204" s="330"/>
      <c r="R2204" s="250"/>
      <c r="S2204" s="249"/>
      <c r="T2204" s="330"/>
      <c r="U2204" s="250"/>
      <c r="V2204" s="249"/>
      <c r="W2204" s="330"/>
      <c r="X2204" s="343"/>
      <c r="Y2204" s="249"/>
      <c r="Z2204" s="330"/>
      <c r="AA2204" s="343"/>
      <c r="AB2204" s="249"/>
      <c r="AC2204" s="330"/>
      <c r="AD2204" s="343"/>
      <c r="AE2204" s="249"/>
      <c r="AF2204" s="330"/>
      <c r="AG2204" s="343"/>
      <c r="AH2204" s="249"/>
      <c r="AI2204" s="330"/>
      <c r="AJ2204" s="343"/>
      <c r="AK2204" s="249"/>
      <c r="AL2204" s="330"/>
      <c r="AM2204" s="343"/>
      <c r="AN2204" s="249"/>
      <c r="AO2204" s="330"/>
      <c r="AP2204" s="343"/>
      <c r="AQ2204" s="249"/>
      <c r="AR2204" s="330"/>
      <c r="AS2204" s="343"/>
      <c r="AT2204" s="249"/>
      <c r="AU2204" s="330"/>
    </row>
    <row r="2205" spans="2:47">
      <c r="B2205" s="247">
        <f>'Table S2 Compound Identifiers'!C2207</f>
        <v>0</v>
      </c>
      <c r="C2205" s="247">
        <f>COUNTIF($D$6:D2205,"&lt;&gt;"&amp;"")</f>
        <v>2200</v>
      </c>
      <c r="D2205" s="247">
        <f>'Table S2 Compound Identifiers'!B2207</f>
        <v>0</v>
      </c>
      <c r="E2205" s="247"/>
      <c r="F2205" s="248"/>
      <c r="G2205" s="249"/>
      <c r="H2205" s="330"/>
      <c r="I2205" s="328"/>
      <c r="J2205" s="249"/>
      <c r="K2205" s="330"/>
      <c r="L2205" s="250"/>
      <c r="M2205" s="249"/>
      <c r="N2205" s="330"/>
      <c r="O2205" s="250"/>
      <c r="P2205" s="249"/>
      <c r="Q2205" s="330"/>
      <c r="R2205" s="250"/>
      <c r="S2205" s="249"/>
      <c r="T2205" s="330"/>
      <c r="U2205" s="250"/>
      <c r="V2205" s="249"/>
      <c r="W2205" s="330"/>
      <c r="X2205" s="343"/>
      <c r="Y2205" s="249"/>
      <c r="Z2205" s="330"/>
      <c r="AA2205" s="343"/>
      <c r="AB2205" s="249"/>
      <c r="AC2205" s="330"/>
      <c r="AD2205" s="343"/>
      <c r="AE2205" s="249"/>
      <c r="AF2205" s="330"/>
      <c r="AG2205" s="343"/>
      <c r="AH2205" s="249"/>
      <c r="AI2205" s="330"/>
      <c r="AJ2205" s="343"/>
      <c r="AK2205" s="249"/>
      <c r="AL2205" s="330"/>
      <c r="AM2205" s="343"/>
      <c r="AN2205" s="249"/>
      <c r="AO2205" s="330"/>
      <c r="AP2205" s="343"/>
      <c r="AQ2205" s="249"/>
      <c r="AR2205" s="330"/>
      <c r="AS2205" s="343"/>
      <c r="AT2205" s="249"/>
      <c r="AU2205" s="330"/>
    </row>
    <row r="2206" spans="2:47">
      <c r="B2206" s="247">
        <f>'Table S2 Compound Identifiers'!C2208</f>
        <v>0</v>
      </c>
      <c r="C2206" s="247">
        <f>COUNTIF($D$6:D2206,"&lt;&gt;"&amp;"")</f>
        <v>2201</v>
      </c>
      <c r="D2206" s="247">
        <f>'Table S2 Compound Identifiers'!B2208</f>
        <v>0</v>
      </c>
      <c r="E2206" s="247"/>
      <c r="F2206" s="248"/>
      <c r="G2206" s="249"/>
      <c r="H2206" s="330"/>
      <c r="I2206" s="328"/>
      <c r="J2206" s="249"/>
      <c r="K2206" s="330"/>
      <c r="L2206" s="250"/>
      <c r="M2206" s="249"/>
      <c r="N2206" s="330"/>
      <c r="O2206" s="250"/>
      <c r="P2206" s="249"/>
      <c r="Q2206" s="330"/>
      <c r="R2206" s="250"/>
      <c r="S2206" s="249"/>
      <c r="T2206" s="330"/>
      <c r="U2206" s="250"/>
      <c r="V2206" s="249"/>
      <c r="W2206" s="330"/>
      <c r="X2206" s="343"/>
      <c r="Y2206" s="249"/>
      <c r="Z2206" s="330"/>
      <c r="AA2206" s="343"/>
      <c r="AB2206" s="249"/>
      <c r="AC2206" s="330"/>
      <c r="AD2206" s="343"/>
      <c r="AE2206" s="249"/>
      <c r="AF2206" s="330"/>
      <c r="AG2206" s="343"/>
      <c r="AH2206" s="249"/>
      <c r="AI2206" s="330"/>
      <c r="AJ2206" s="343"/>
      <c r="AK2206" s="249"/>
      <c r="AL2206" s="330"/>
      <c r="AM2206" s="343"/>
      <c r="AN2206" s="249"/>
      <c r="AO2206" s="330"/>
      <c r="AP2206" s="343"/>
      <c r="AQ2206" s="249"/>
      <c r="AR2206" s="330"/>
      <c r="AS2206" s="343"/>
      <c r="AT2206" s="249"/>
      <c r="AU2206" s="330"/>
    </row>
    <row r="2207" spans="2:47">
      <c r="B2207" s="247">
        <f>'Table S2 Compound Identifiers'!C2209</f>
        <v>0</v>
      </c>
      <c r="C2207" s="247">
        <f>COUNTIF($D$6:D2207,"&lt;&gt;"&amp;"")</f>
        <v>2202</v>
      </c>
      <c r="D2207" s="247">
        <f>'Table S2 Compound Identifiers'!B2209</f>
        <v>0</v>
      </c>
      <c r="E2207" s="247"/>
      <c r="F2207" s="248"/>
      <c r="G2207" s="249"/>
      <c r="H2207" s="330"/>
      <c r="I2207" s="328"/>
      <c r="J2207" s="249"/>
      <c r="K2207" s="330"/>
      <c r="L2207" s="250"/>
      <c r="M2207" s="249"/>
      <c r="N2207" s="330"/>
      <c r="O2207" s="250"/>
      <c r="P2207" s="249"/>
      <c r="Q2207" s="330"/>
      <c r="R2207" s="250"/>
      <c r="S2207" s="249"/>
      <c r="T2207" s="330"/>
      <c r="U2207" s="250"/>
      <c r="V2207" s="249"/>
      <c r="W2207" s="330"/>
      <c r="X2207" s="343"/>
      <c r="Y2207" s="249"/>
      <c r="Z2207" s="330"/>
      <c r="AA2207" s="343"/>
      <c r="AB2207" s="249"/>
      <c r="AC2207" s="330"/>
      <c r="AD2207" s="343"/>
      <c r="AE2207" s="249"/>
      <c r="AF2207" s="330"/>
      <c r="AG2207" s="343"/>
      <c r="AH2207" s="249"/>
      <c r="AI2207" s="330"/>
      <c r="AJ2207" s="343"/>
      <c r="AK2207" s="249"/>
      <c r="AL2207" s="330"/>
      <c r="AM2207" s="343"/>
      <c r="AN2207" s="249"/>
      <c r="AO2207" s="330"/>
      <c r="AP2207" s="343"/>
      <c r="AQ2207" s="249"/>
      <c r="AR2207" s="330"/>
      <c r="AS2207" s="343"/>
      <c r="AT2207" s="249"/>
      <c r="AU2207" s="330"/>
    </row>
    <row r="2208" spans="2:47">
      <c r="B2208" s="247">
        <f>'Table S2 Compound Identifiers'!C2210</f>
        <v>0</v>
      </c>
      <c r="C2208" s="247">
        <f>COUNTIF($D$6:D2208,"&lt;&gt;"&amp;"")</f>
        <v>2203</v>
      </c>
      <c r="D2208" s="432">
        <f>'Table S2 Compound Identifiers'!B2210</f>
        <v>0</v>
      </c>
      <c r="E2208" s="247"/>
      <c r="F2208" s="248"/>
      <c r="G2208" s="249"/>
      <c r="H2208" s="330"/>
      <c r="I2208" s="328"/>
      <c r="J2208" s="249"/>
      <c r="K2208" s="330"/>
      <c r="L2208" s="250"/>
      <c r="M2208" s="249"/>
      <c r="N2208" s="330"/>
      <c r="O2208" s="250"/>
      <c r="P2208" s="249"/>
      <c r="Q2208" s="330"/>
      <c r="R2208" s="250"/>
      <c r="S2208" s="249"/>
      <c r="T2208" s="330"/>
      <c r="U2208" s="250"/>
      <c r="V2208" s="249"/>
      <c r="W2208" s="330"/>
      <c r="X2208" s="343"/>
      <c r="Y2208" s="249"/>
      <c r="Z2208" s="330"/>
      <c r="AA2208" s="343"/>
      <c r="AB2208" s="249"/>
      <c r="AC2208" s="330"/>
      <c r="AD2208" s="343"/>
      <c r="AE2208" s="249"/>
      <c r="AF2208" s="330"/>
      <c r="AG2208" s="343"/>
      <c r="AH2208" s="249"/>
      <c r="AI2208" s="330"/>
      <c r="AJ2208" s="343"/>
      <c r="AK2208" s="249"/>
      <c r="AL2208" s="330"/>
      <c r="AM2208" s="343"/>
      <c r="AN2208" s="249"/>
      <c r="AO2208" s="330"/>
      <c r="AP2208" s="343"/>
      <c r="AQ2208" s="249"/>
      <c r="AR2208" s="330"/>
      <c r="AS2208" s="343"/>
      <c r="AT2208" s="249"/>
      <c r="AU2208" s="330"/>
    </row>
    <row r="2209" spans="2:47">
      <c r="B2209" s="247">
        <f>'Table S2 Compound Identifiers'!C2211</f>
        <v>0</v>
      </c>
      <c r="C2209" s="247">
        <f>COUNTIF($D$6:D2209,"&lt;&gt;"&amp;"")</f>
        <v>2204</v>
      </c>
      <c r="D2209" s="432">
        <f>'Table S2 Compound Identifiers'!B2211</f>
        <v>0</v>
      </c>
      <c r="E2209" s="247"/>
      <c r="F2209" s="248"/>
      <c r="G2209" s="249"/>
      <c r="H2209" s="330"/>
      <c r="I2209" s="328"/>
      <c r="J2209" s="249"/>
      <c r="K2209" s="330"/>
      <c r="L2209" s="250"/>
      <c r="M2209" s="249"/>
      <c r="N2209" s="330"/>
      <c r="O2209" s="250"/>
      <c r="P2209" s="249"/>
      <c r="Q2209" s="330"/>
      <c r="R2209" s="250"/>
      <c r="S2209" s="249"/>
      <c r="T2209" s="330"/>
      <c r="U2209" s="250"/>
      <c r="V2209" s="249"/>
      <c r="W2209" s="330"/>
      <c r="X2209" s="343"/>
      <c r="Y2209" s="249"/>
      <c r="Z2209" s="330"/>
      <c r="AA2209" s="343"/>
      <c r="AB2209" s="249"/>
      <c r="AC2209" s="330"/>
      <c r="AD2209" s="343"/>
      <c r="AE2209" s="249"/>
      <c r="AF2209" s="330"/>
      <c r="AG2209" s="343"/>
      <c r="AH2209" s="249"/>
      <c r="AI2209" s="330"/>
      <c r="AJ2209" s="343"/>
      <c r="AK2209" s="249"/>
      <c r="AL2209" s="330"/>
      <c r="AM2209" s="343"/>
      <c r="AN2209" s="249"/>
      <c r="AO2209" s="330"/>
      <c r="AP2209" s="343"/>
      <c r="AQ2209" s="249"/>
      <c r="AR2209" s="330"/>
      <c r="AS2209" s="343"/>
      <c r="AT2209" s="249"/>
      <c r="AU2209" s="330"/>
    </row>
    <row r="2210" spans="2:47">
      <c r="B2210" s="247">
        <f>'Table S2 Compound Identifiers'!C2212</f>
        <v>0</v>
      </c>
      <c r="C2210" s="247">
        <f>COUNTIF($D$6:D2210,"&lt;&gt;"&amp;"")</f>
        <v>2205</v>
      </c>
      <c r="D2210" s="432">
        <f>'Table S2 Compound Identifiers'!B2212</f>
        <v>0</v>
      </c>
      <c r="E2210" s="247"/>
      <c r="F2210" s="248"/>
      <c r="G2210" s="249"/>
      <c r="H2210" s="330"/>
      <c r="I2210" s="328"/>
      <c r="J2210" s="249"/>
      <c r="K2210" s="330"/>
      <c r="L2210" s="250"/>
      <c r="M2210" s="249"/>
      <c r="N2210" s="330"/>
      <c r="O2210" s="250"/>
      <c r="P2210" s="249"/>
      <c r="Q2210" s="330"/>
      <c r="R2210" s="250"/>
      <c r="S2210" s="249"/>
      <c r="T2210" s="330"/>
      <c r="U2210" s="250"/>
      <c r="V2210" s="249"/>
      <c r="W2210" s="330"/>
      <c r="X2210" s="343"/>
      <c r="Y2210" s="249"/>
      <c r="Z2210" s="330"/>
      <c r="AA2210" s="343"/>
      <c r="AB2210" s="249"/>
      <c r="AC2210" s="330"/>
      <c r="AD2210" s="343"/>
      <c r="AE2210" s="249"/>
      <c r="AF2210" s="330"/>
      <c r="AG2210" s="343"/>
      <c r="AH2210" s="249"/>
      <c r="AI2210" s="330"/>
      <c r="AJ2210" s="343"/>
      <c r="AK2210" s="249"/>
      <c r="AL2210" s="330"/>
      <c r="AM2210" s="343"/>
      <c r="AN2210" s="249"/>
      <c r="AO2210" s="330"/>
      <c r="AP2210" s="343"/>
      <c r="AQ2210" s="249"/>
      <c r="AR2210" s="330"/>
      <c r="AS2210" s="343"/>
      <c r="AT2210" s="249"/>
      <c r="AU2210" s="330"/>
    </row>
    <row r="2211" spans="2:47">
      <c r="B2211" s="247">
        <f>'Table S2 Compound Identifiers'!C2213</f>
        <v>0</v>
      </c>
      <c r="C2211" s="247">
        <f>COUNTIF($D$6:D2211,"&lt;&gt;"&amp;"")</f>
        <v>2206</v>
      </c>
      <c r="D2211" s="432">
        <f>'Table S2 Compound Identifiers'!B2213</f>
        <v>0</v>
      </c>
      <c r="E2211" s="247"/>
      <c r="F2211" s="248"/>
      <c r="G2211" s="249"/>
      <c r="H2211" s="330"/>
      <c r="I2211" s="328"/>
      <c r="J2211" s="249"/>
      <c r="K2211" s="330"/>
      <c r="L2211" s="250"/>
      <c r="M2211" s="249"/>
      <c r="N2211" s="330"/>
      <c r="O2211" s="250"/>
      <c r="P2211" s="249"/>
      <c r="Q2211" s="330"/>
      <c r="R2211" s="250"/>
      <c r="S2211" s="249"/>
      <c r="T2211" s="330"/>
      <c r="U2211" s="250"/>
      <c r="V2211" s="249"/>
      <c r="W2211" s="330"/>
      <c r="X2211" s="343"/>
      <c r="Y2211" s="249"/>
      <c r="Z2211" s="330"/>
      <c r="AA2211" s="343"/>
      <c r="AB2211" s="249"/>
      <c r="AC2211" s="330"/>
      <c r="AD2211" s="343"/>
      <c r="AE2211" s="249"/>
      <c r="AF2211" s="330"/>
      <c r="AG2211" s="343"/>
      <c r="AH2211" s="249"/>
      <c r="AI2211" s="330"/>
      <c r="AJ2211" s="343"/>
      <c r="AK2211" s="249"/>
      <c r="AL2211" s="330"/>
      <c r="AM2211" s="343"/>
      <c r="AN2211" s="249"/>
      <c r="AO2211" s="330"/>
      <c r="AP2211" s="343"/>
      <c r="AQ2211" s="249"/>
      <c r="AR2211" s="330"/>
      <c r="AS2211" s="343"/>
      <c r="AT2211" s="249"/>
      <c r="AU2211" s="330"/>
    </row>
    <row r="2212" spans="2:47">
      <c r="B2212" s="247">
        <f>'Table S2 Compound Identifiers'!C2214</f>
        <v>0</v>
      </c>
      <c r="C2212" s="247">
        <f>COUNTIF($D$6:D2212,"&lt;&gt;"&amp;"")</f>
        <v>2207</v>
      </c>
      <c r="D2212" s="432">
        <f>'Table S2 Compound Identifiers'!B2214</f>
        <v>0</v>
      </c>
      <c r="E2212" s="247"/>
      <c r="F2212" s="248"/>
      <c r="G2212" s="249"/>
      <c r="H2212" s="330"/>
      <c r="I2212" s="328"/>
      <c r="J2212" s="249"/>
      <c r="K2212" s="330"/>
      <c r="L2212" s="250"/>
      <c r="M2212" s="249"/>
      <c r="N2212" s="330"/>
      <c r="O2212" s="250"/>
      <c r="P2212" s="249"/>
      <c r="Q2212" s="330"/>
      <c r="R2212" s="250"/>
      <c r="S2212" s="249"/>
      <c r="T2212" s="330"/>
      <c r="U2212" s="250"/>
      <c r="V2212" s="249"/>
      <c r="W2212" s="330"/>
      <c r="X2212" s="343"/>
      <c r="Y2212" s="249"/>
      <c r="Z2212" s="330"/>
      <c r="AA2212" s="343"/>
      <c r="AB2212" s="249"/>
      <c r="AC2212" s="330"/>
      <c r="AD2212" s="343"/>
      <c r="AE2212" s="249"/>
      <c r="AF2212" s="330"/>
      <c r="AG2212" s="343"/>
      <c r="AH2212" s="249"/>
      <c r="AI2212" s="330"/>
      <c r="AJ2212" s="343"/>
      <c r="AK2212" s="249"/>
      <c r="AL2212" s="330"/>
      <c r="AM2212" s="343"/>
      <c r="AN2212" s="249"/>
      <c r="AO2212" s="330"/>
      <c r="AP2212" s="343"/>
      <c r="AQ2212" s="249"/>
      <c r="AR2212" s="330"/>
      <c r="AS2212" s="343"/>
      <c r="AT2212" s="249"/>
      <c r="AU2212" s="330"/>
    </row>
    <row r="2213" spans="2:47">
      <c r="B2213" s="247">
        <f>'Table S2 Compound Identifiers'!C2215</f>
        <v>0</v>
      </c>
      <c r="C2213" s="247">
        <f>COUNTIF($D$6:D2213,"&lt;&gt;"&amp;"")</f>
        <v>2208</v>
      </c>
      <c r="D2213" s="432">
        <f>'Table S2 Compound Identifiers'!B2215</f>
        <v>0</v>
      </c>
      <c r="E2213" s="247"/>
      <c r="F2213" s="248"/>
      <c r="G2213" s="249"/>
      <c r="H2213" s="330"/>
      <c r="I2213" s="328"/>
      <c r="J2213" s="249"/>
      <c r="K2213" s="330"/>
      <c r="L2213" s="250"/>
      <c r="M2213" s="249"/>
      <c r="N2213" s="330"/>
      <c r="O2213" s="250"/>
      <c r="P2213" s="249"/>
      <c r="Q2213" s="330"/>
      <c r="R2213" s="250"/>
      <c r="S2213" s="249"/>
      <c r="T2213" s="330"/>
      <c r="U2213" s="250"/>
      <c r="V2213" s="249"/>
      <c r="W2213" s="330"/>
      <c r="X2213" s="343"/>
      <c r="Y2213" s="249"/>
      <c r="Z2213" s="330"/>
      <c r="AA2213" s="343"/>
      <c r="AB2213" s="249"/>
      <c r="AC2213" s="330"/>
      <c r="AD2213" s="343"/>
      <c r="AE2213" s="249"/>
      <c r="AF2213" s="330"/>
      <c r="AG2213" s="343"/>
      <c r="AH2213" s="249"/>
      <c r="AI2213" s="330"/>
      <c r="AJ2213" s="343"/>
      <c r="AK2213" s="249"/>
      <c r="AL2213" s="330"/>
      <c r="AM2213" s="343"/>
      <c r="AN2213" s="249"/>
      <c r="AO2213" s="330"/>
      <c r="AP2213" s="343"/>
      <c r="AQ2213" s="249"/>
      <c r="AR2213" s="330"/>
      <c r="AS2213" s="343"/>
      <c r="AT2213" s="249"/>
      <c r="AU2213" s="330"/>
    </row>
    <row r="2214" spans="2:47">
      <c r="B2214" s="247">
        <f>'Table S2 Compound Identifiers'!C2216</f>
        <v>0</v>
      </c>
      <c r="C2214" s="247">
        <f>COUNTIF($D$6:D2214,"&lt;&gt;"&amp;"")</f>
        <v>2209</v>
      </c>
      <c r="D2214" s="432">
        <f>'Table S2 Compound Identifiers'!B2216</f>
        <v>0</v>
      </c>
      <c r="E2214" s="247"/>
      <c r="F2214" s="248"/>
      <c r="G2214" s="249"/>
      <c r="H2214" s="330"/>
      <c r="I2214" s="328"/>
      <c r="J2214" s="249"/>
      <c r="K2214" s="330"/>
      <c r="L2214" s="250"/>
      <c r="M2214" s="249"/>
      <c r="N2214" s="330"/>
      <c r="O2214" s="250"/>
      <c r="P2214" s="249"/>
      <c r="Q2214" s="330"/>
      <c r="R2214" s="250"/>
      <c r="S2214" s="249"/>
      <c r="T2214" s="330"/>
      <c r="U2214" s="250"/>
      <c r="V2214" s="249"/>
      <c r="W2214" s="330"/>
      <c r="X2214" s="343"/>
      <c r="Y2214" s="249"/>
      <c r="Z2214" s="330"/>
      <c r="AA2214" s="343"/>
      <c r="AB2214" s="249"/>
      <c r="AC2214" s="330"/>
      <c r="AD2214" s="343"/>
      <c r="AE2214" s="249"/>
      <c r="AF2214" s="330"/>
      <c r="AG2214" s="343"/>
      <c r="AH2214" s="249"/>
      <c r="AI2214" s="330"/>
      <c r="AJ2214" s="343"/>
      <c r="AK2214" s="249"/>
      <c r="AL2214" s="330"/>
      <c r="AM2214" s="343"/>
      <c r="AN2214" s="249"/>
      <c r="AO2214" s="330"/>
      <c r="AP2214" s="343"/>
      <c r="AQ2214" s="249"/>
      <c r="AR2214" s="330"/>
      <c r="AS2214" s="343"/>
      <c r="AT2214" s="249"/>
      <c r="AU2214" s="330"/>
    </row>
    <row r="2215" spans="2:47">
      <c r="B2215" s="247">
        <f>'Table S2 Compound Identifiers'!C2217</f>
        <v>0</v>
      </c>
      <c r="C2215" s="247">
        <f>COUNTIF($D$6:D2215,"&lt;&gt;"&amp;"")</f>
        <v>2210</v>
      </c>
      <c r="D2215" s="432">
        <f>'Table S2 Compound Identifiers'!B2217</f>
        <v>0</v>
      </c>
      <c r="E2215" s="247"/>
      <c r="F2215" s="248"/>
      <c r="G2215" s="249"/>
      <c r="H2215" s="330"/>
      <c r="I2215" s="328"/>
      <c r="J2215" s="249"/>
      <c r="K2215" s="330"/>
      <c r="L2215" s="250"/>
      <c r="M2215" s="249"/>
      <c r="N2215" s="330"/>
      <c r="O2215" s="250"/>
      <c r="P2215" s="249"/>
      <c r="Q2215" s="330"/>
      <c r="R2215" s="250"/>
      <c r="S2215" s="249"/>
      <c r="T2215" s="330"/>
      <c r="U2215" s="250"/>
      <c r="V2215" s="249"/>
      <c r="W2215" s="330"/>
      <c r="X2215" s="343"/>
      <c r="Y2215" s="249"/>
      <c r="Z2215" s="330"/>
      <c r="AA2215" s="343"/>
      <c r="AB2215" s="249"/>
      <c r="AC2215" s="330"/>
      <c r="AD2215" s="343"/>
      <c r="AE2215" s="249"/>
      <c r="AF2215" s="330"/>
      <c r="AG2215" s="343"/>
      <c r="AH2215" s="249"/>
      <c r="AI2215" s="330"/>
      <c r="AJ2215" s="343"/>
      <c r="AK2215" s="249"/>
      <c r="AL2215" s="330"/>
      <c r="AM2215" s="343"/>
      <c r="AN2215" s="249"/>
      <c r="AO2215" s="330"/>
      <c r="AP2215" s="343"/>
      <c r="AQ2215" s="249"/>
      <c r="AR2215" s="330"/>
      <c r="AS2215" s="343"/>
      <c r="AT2215" s="249"/>
      <c r="AU2215" s="330"/>
    </row>
    <row r="2216" spans="2:47">
      <c r="B2216" s="247">
        <f>'Table S2 Compound Identifiers'!C2218</f>
        <v>0</v>
      </c>
      <c r="C2216" s="247">
        <f>COUNTIF($D$6:D2216,"&lt;&gt;"&amp;"")</f>
        <v>2211</v>
      </c>
      <c r="D2216" s="432">
        <f>'Table S2 Compound Identifiers'!B2218</f>
        <v>0</v>
      </c>
      <c r="E2216" s="247"/>
      <c r="F2216" s="248"/>
      <c r="G2216" s="249"/>
      <c r="H2216" s="330"/>
      <c r="I2216" s="328"/>
      <c r="J2216" s="249"/>
      <c r="K2216" s="330"/>
      <c r="L2216" s="250"/>
      <c r="M2216" s="249"/>
      <c r="N2216" s="330"/>
      <c r="O2216" s="250"/>
      <c r="P2216" s="249"/>
      <c r="Q2216" s="330"/>
      <c r="R2216" s="250"/>
      <c r="S2216" s="249"/>
      <c r="T2216" s="330"/>
      <c r="U2216" s="250"/>
      <c r="V2216" s="249"/>
      <c r="W2216" s="330"/>
      <c r="X2216" s="343"/>
      <c r="Y2216" s="249"/>
      <c r="Z2216" s="330"/>
      <c r="AA2216" s="343"/>
      <c r="AB2216" s="249"/>
      <c r="AC2216" s="330"/>
      <c r="AD2216" s="343"/>
      <c r="AE2216" s="249"/>
      <c r="AF2216" s="330"/>
      <c r="AG2216" s="343"/>
      <c r="AH2216" s="249"/>
      <c r="AI2216" s="330"/>
      <c r="AJ2216" s="343"/>
      <c r="AK2216" s="249"/>
      <c r="AL2216" s="330"/>
      <c r="AM2216" s="343"/>
      <c r="AN2216" s="249"/>
      <c r="AO2216" s="330"/>
      <c r="AP2216" s="343"/>
      <c r="AQ2216" s="249"/>
      <c r="AR2216" s="330"/>
      <c r="AS2216" s="343"/>
      <c r="AT2216" s="249"/>
      <c r="AU2216" s="330"/>
    </row>
    <row r="2217" spans="2:47">
      <c r="B2217" s="247">
        <f>'Table S2 Compound Identifiers'!C2219</f>
        <v>0</v>
      </c>
      <c r="C2217" s="247">
        <f>COUNTIF($D$6:D2217,"&lt;&gt;"&amp;"")</f>
        <v>2212</v>
      </c>
      <c r="D2217" s="432">
        <f>'Table S2 Compound Identifiers'!B2219</f>
        <v>0</v>
      </c>
      <c r="E2217" s="247"/>
      <c r="F2217" s="248"/>
      <c r="G2217" s="249"/>
      <c r="H2217" s="330"/>
      <c r="I2217" s="328"/>
      <c r="J2217" s="249"/>
      <c r="K2217" s="330"/>
      <c r="L2217" s="250"/>
      <c r="M2217" s="249"/>
      <c r="N2217" s="330"/>
      <c r="O2217" s="250"/>
      <c r="P2217" s="249"/>
      <c r="Q2217" s="330"/>
      <c r="R2217" s="250"/>
      <c r="S2217" s="249"/>
      <c r="T2217" s="330"/>
      <c r="U2217" s="250"/>
      <c r="V2217" s="249"/>
      <c r="W2217" s="330"/>
      <c r="X2217" s="343"/>
      <c r="Y2217" s="249"/>
      <c r="Z2217" s="330"/>
      <c r="AA2217" s="343"/>
      <c r="AB2217" s="249"/>
      <c r="AC2217" s="330"/>
      <c r="AD2217" s="343"/>
      <c r="AE2217" s="249"/>
      <c r="AF2217" s="330"/>
      <c r="AG2217" s="343"/>
      <c r="AH2217" s="249"/>
      <c r="AI2217" s="330"/>
      <c r="AJ2217" s="343"/>
      <c r="AK2217" s="249"/>
      <c r="AL2217" s="330"/>
      <c r="AM2217" s="343"/>
      <c r="AN2217" s="249"/>
      <c r="AO2217" s="330"/>
      <c r="AP2217" s="343"/>
      <c r="AQ2217" s="249"/>
      <c r="AR2217" s="330"/>
      <c r="AS2217" s="343"/>
      <c r="AT2217" s="249"/>
      <c r="AU2217" s="330"/>
    </row>
    <row r="2218" spans="2:47">
      <c r="B2218" s="247">
        <f>'Table S2 Compound Identifiers'!C2220</f>
        <v>0</v>
      </c>
      <c r="C2218" s="247">
        <f>COUNTIF($D$6:D2218,"&lt;&gt;"&amp;"")</f>
        <v>2213</v>
      </c>
      <c r="D2218" s="247">
        <f>'Table S2 Compound Identifiers'!B2220</f>
        <v>0</v>
      </c>
      <c r="E2218" s="247"/>
      <c r="F2218" s="248"/>
      <c r="G2218" s="249"/>
      <c r="H2218" s="330"/>
      <c r="I2218" s="328"/>
      <c r="J2218" s="249"/>
      <c r="K2218" s="330"/>
      <c r="L2218" s="250"/>
      <c r="M2218" s="249"/>
      <c r="N2218" s="330"/>
      <c r="O2218" s="250"/>
      <c r="P2218" s="249"/>
      <c r="Q2218" s="330"/>
      <c r="R2218" s="250"/>
      <c r="S2218" s="249"/>
      <c r="T2218" s="330"/>
      <c r="U2218" s="250"/>
      <c r="V2218" s="249"/>
      <c r="W2218" s="330"/>
      <c r="X2218" s="343"/>
      <c r="Y2218" s="249"/>
      <c r="Z2218" s="330"/>
      <c r="AA2218" s="343"/>
      <c r="AB2218" s="249"/>
      <c r="AC2218" s="330"/>
      <c r="AD2218" s="343"/>
      <c r="AE2218" s="249"/>
      <c r="AF2218" s="330"/>
      <c r="AG2218" s="343"/>
      <c r="AH2218" s="249"/>
      <c r="AI2218" s="330"/>
      <c r="AJ2218" s="343"/>
      <c r="AK2218" s="249"/>
      <c r="AL2218" s="330"/>
      <c r="AM2218" s="343"/>
      <c r="AN2218" s="249"/>
      <c r="AO2218" s="330"/>
      <c r="AP2218" s="343"/>
      <c r="AQ2218" s="249"/>
      <c r="AR2218" s="330"/>
      <c r="AS2218" s="343"/>
      <c r="AT2218" s="249"/>
      <c r="AU2218" s="330"/>
    </row>
    <row r="2219" spans="2:47">
      <c r="B2219" s="247">
        <f>'Table S2 Compound Identifiers'!C2221</f>
        <v>0</v>
      </c>
      <c r="C2219" s="247">
        <f>COUNTIF($D$6:D2219,"&lt;&gt;"&amp;"")</f>
        <v>2214</v>
      </c>
      <c r="D2219" s="247">
        <f>'Table S2 Compound Identifiers'!B2221</f>
        <v>0</v>
      </c>
      <c r="E2219" s="247"/>
      <c r="F2219" s="248"/>
      <c r="G2219" s="249"/>
      <c r="H2219" s="330"/>
      <c r="I2219" s="328"/>
      <c r="J2219" s="249"/>
      <c r="K2219" s="330"/>
      <c r="L2219" s="250"/>
      <c r="M2219" s="249"/>
      <c r="N2219" s="330"/>
      <c r="O2219" s="250"/>
      <c r="P2219" s="249"/>
      <c r="Q2219" s="330"/>
      <c r="R2219" s="250"/>
      <c r="S2219" s="249"/>
      <c r="T2219" s="330"/>
      <c r="U2219" s="250"/>
      <c r="V2219" s="249"/>
      <c r="W2219" s="330"/>
      <c r="X2219" s="343"/>
      <c r="Y2219" s="249"/>
      <c r="Z2219" s="330"/>
      <c r="AA2219" s="343"/>
      <c r="AB2219" s="249"/>
      <c r="AC2219" s="330"/>
      <c r="AD2219" s="343"/>
      <c r="AE2219" s="249"/>
      <c r="AF2219" s="330"/>
      <c r="AG2219" s="343"/>
      <c r="AH2219" s="249"/>
      <c r="AI2219" s="330"/>
      <c r="AJ2219" s="343"/>
      <c r="AK2219" s="249"/>
      <c r="AL2219" s="330"/>
      <c r="AM2219" s="343"/>
      <c r="AN2219" s="249"/>
      <c r="AO2219" s="330"/>
      <c r="AP2219" s="343"/>
      <c r="AQ2219" s="249"/>
      <c r="AR2219" s="330"/>
      <c r="AS2219" s="343"/>
      <c r="AT2219" s="249"/>
      <c r="AU2219" s="330"/>
    </row>
    <row r="2220" spans="2:47">
      <c r="B2220" s="247">
        <f>'Table S2 Compound Identifiers'!C2222</f>
        <v>0</v>
      </c>
      <c r="C2220" s="247">
        <f>COUNTIF($D$6:D2220,"&lt;&gt;"&amp;"")</f>
        <v>2215</v>
      </c>
      <c r="D2220" s="247">
        <f>'Table S2 Compound Identifiers'!B2222</f>
        <v>0</v>
      </c>
      <c r="E2220" s="247"/>
      <c r="F2220" s="248"/>
      <c r="G2220" s="249"/>
      <c r="H2220" s="330"/>
      <c r="I2220" s="328"/>
      <c r="J2220" s="249"/>
      <c r="K2220" s="330"/>
      <c r="L2220" s="250"/>
      <c r="M2220" s="249"/>
      <c r="N2220" s="330"/>
      <c r="O2220" s="250"/>
      <c r="P2220" s="249"/>
      <c r="Q2220" s="330"/>
      <c r="R2220" s="250"/>
      <c r="S2220" s="249"/>
      <c r="T2220" s="330"/>
      <c r="U2220" s="250"/>
      <c r="V2220" s="249"/>
      <c r="W2220" s="330"/>
      <c r="X2220" s="343"/>
      <c r="Y2220" s="249"/>
      <c r="Z2220" s="330"/>
      <c r="AA2220" s="343"/>
      <c r="AB2220" s="249"/>
      <c r="AC2220" s="330"/>
      <c r="AD2220" s="343"/>
      <c r="AE2220" s="249"/>
      <c r="AF2220" s="330"/>
      <c r="AG2220" s="343"/>
      <c r="AH2220" s="249"/>
      <c r="AI2220" s="330"/>
      <c r="AJ2220" s="343"/>
      <c r="AK2220" s="249"/>
      <c r="AL2220" s="330"/>
      <c r="AM2220" s="343"/>
      <c r="AN2220" s="249"/>
      <c r="AO2220" s="330"/>
      <c r="AP2220" s="343"/>
      <c r="AQ2220" s="249"/>
      <c r="AR2220" s="330"/>
      <c r="AS2220" s="343"/>
      <c r="AT2220" s="249"/>
      <c r="AU2220" s="330"/>
    </row>
    <row r="2221" spans="2:47">
      <c r="B2221" s="247">
        <f>'Table S2 Compound Identifiers'!C2223</f>
        <v>0</v>
      </c>
      <c r="C2221" s="247">
        <f>COUNTIF($D$6:D2221,"&lt;&gt;"&amp;"")</f>
        <v>2216</v>
      </c>
      <c r="D2221" s="247">
        <f>'Table S2 Compound Identifiers'!B2223</f>
        <v>0</v>
      </c>
      <c r="E2221" s="247"/>
      <c r="F2221" s="248"/>
      <c r="G2221" s="249"/>
      <c r="H2221" s="330"/>
      <c r="I2221" s="328"/>
      <c r="J2221" s="249"/>
      <c r="K2221" s="330"/>
      <c r="L2221" s="250"/>
      <c r="M2221" s="249"/>
      <c r="N2221" s="330"/>
      <c r="O2221" s="250"/>
      <c r="P2221" s="249"/>
      <c r="Q2221" s="330"/>
      <c r="R2221" s="250"/>
      <c r="S2221" s="249"/>
      <c r="T2221" s="330"/>
      <c r="U2221" s="250"/>
      <c r="V2221" s="249"/>
      <c r="W2221" s="330"/>
      <c r="X2221" s="343"/>
      <c r="Y2221" s="249"/>
      <c r="Z2221" s="330"/>
      <c r="AA2221" s="343"/>
      <c r="AB2221" s="249"/>
      <c r="AC2221" s="330"/>
      <c r="AD2221" s="343"/>
      <c r="AE2221" s="249"/>
      <c r="AF2221" s="330"/>
      <c r="AG2221" s="343"/>
      <c r="AH2221" s="249"/>
      <c r="AI2221" s="330"/>
      <c r="AJ2221" s="343"/>
      <c r="AK2221" s="249"/>
      <c r="AL2221" s="330"/>
      <c r="AM2221" s="343"/>
      <c r="AN2221" s="249"/>
      <c r="AO2221" s="330"/>
      <c r="AP2221" s="343"/>
      <c r="AQ2221" s="249"/>
      <c r="AR2221" s="330"/>
      <c r="AS2221" s="343"/>
      <c r="AT2221" s="249"/>
      <c r="AU2221" s="330"/>
    </row>
    <row r="2222" spans="2:47">
      <c r="B2222" s="247">
        <f>'Table S2 Compound Identifiers'!C2224</f>
        <v>0</v>
      </c>
      <c r="C2222" s="247">
        <f>COUNTIF($D$6:D2222,"&lt;&gt;"&amp;"")</f>
        <v>2217</v>
      </c>
      <c r="D2222" s="247">
        <f>'Table S2 Compound Identifiers'!B2224</f>
        <v>0</v>
      </c>
      <c r="E2222" s="247"/>
      <c r="F2222" s="248"/>
      <c r="G2222" s="249"/>
      <c r="H2222" s="330"/>
      <c r="I2222" s="328"/>
      <c r="J2222" s="249"/>
      <c r="K2222" s="330"/>
      <c r="L2222" s="250"/>
      <c r="M2222" s="249"/>
      <c r="N2222" s="330"/>
      <c r="O2222" s="250"/>
      <c r="P2222" s="249"/>
      <c r="Q2222" s="330"/>
      <c r="R2222" s="250"/>
      <c r="S2222" s="249"/>
      <c r="T2222" s="330"/>
      <c r="U2222" s="250"/>
      <c r="V2222" s="249"/>
      <c r="W2222" s="330"/>
      <c r="X2222" s="343"/>
      <c r="Y2222" s="249"/>
      <c r="Z2222" s="330"/>
      <c r="AA2222" s="343"/>
      <c r="AB2222" s="249"/>
      <c r="AC2222" s="330"/>
      <c r="AD2222" s="343"/>
      <c r="AE2222" s="249"/>
      <c r="AF2222" s="330"/>
      <c r="AG2222" s="343"/>
      <c r="AH2222" s="249"/>
      <c r="AI2222" s="330"/>
      <c r="AJ2222" s="343"/>
      <c r="AK2222" s="249"/>
      <c r="AL2222" s="330"/>
      <c r="AM2222" s="343"/>
      <c r="AN2222" s="249"/>
      <c r="AO2222" s="330"/>
      <c r="AP2222" s="343"/>
      <c r="AQ2222" s="249"/>
      <c r="AR2222" s="330"/>
      <c r="AS2222" s="343"/>
      <c r="AT2222" s="249"/>
      <c r="AU2222" s="330"/>
    </row>
    <row r="2223" spans="2:47">
      <c r="B2223" s="247">
        <f>'Table S2 Compound Identifiers'!C2225</f>
        <v>0</v>
      </c>
      <c r="C2223" s="247">
        <f>COUNTIF($D$6:D2223,"&lt;&gt;"&amp;"")</f>
        <v>2218</v>
      </c>
      <c r="D2223" s="247">
        <f>'Table S2 Compound Identifiers'!B2225</f>
        <v>0</v>
      </c>
      <c r="E2223" s="247"/>
      <c r="F2223" s="248"/>
      <c r="G2223" s="249"/>
      <c r="H2223" s="330"/>
      <c r="I2223" s="328"/>
      <c r="J2223" s="249"/>
      <c r="K2223" s="330"/>
      <c r="L2223" s="250"/>
      <c r="M2223" s="249"/>
      <c r="N2223" s="330"/>
      <c r="O2223" s="250"/>
      <c r="P2223" s="249"/>
      <c r="Q2223" s="330"/>
      <c r="R2223" s="250"/>
      <c r="S2223" s="249"/>
      <c r="T2223" s="330"/>
      <c r="U2223" s="250"/>
      <c r="V2223" s="249"/>
      <c r="W2223" s="330"/>
      <c r="X2223" s="343"/>
      <c r="Y2223" s="249"/>
      <c r="Z2223" s="330"/>
      <c r="AA2223" s="343"/>
      <c r="AB2223" s="249"/>
      <c r="AC2223" s="330"/>
      <c r="AD2223" s="343"/>
      <c r="AE2223" s="249"/>
      <c r="AF2223" s="330"/>
      <c r="AG2223" s="343"/>
      <c r="AH2223" s="249"/>
      <c r="AI2223" s="330"/>
      <c r="AJ2223" s="343"/>
      <c r="AK2223" s="249"/>
      <c r="AL2223" s="330"/>
      <c r="AM2223" s="343"/>
      <c r="AN2223" s="249"/>
      <c r="AO2223" s="330"/>
      <c r="AP2223" s="343"/>
      <c r="AQ2223" s="249"/>
      <c r="AR2223" s="330"/>
      <c r="AS2223" s="343"/>
      <c r="AT2223" s="249"/>
      <c r="AU2223" s="330"/>
    </row>
    <row r="2224" spans="2:47">
      <c r="B2224" s="247">
        <f>'Table S2 Compound Identifiers'!C2226</f>
        <v>0</v>
      </c>
      <c r="C2224" s="247">
        <f>COUNTIF($D$6:D2224,"&lt;&gt;"&amp;"")</f>
        <v>2219</v>
      </c>
      <c r="D2224" s="247">
        <f>'Table S2 Compound Identifiers'!B2226</f>
        <v>0</v>
      </c>
      <c r="E2224" s="247"/>
      <c r="F2224" s="248"/>
      <c r="G2224" s="249"/>
      <c r="H2224" s="330"/>
      <c r="I2224" s="328"/>
      <c r="J2224" s="249"/>
      <c r="K2224" s="330"/>
      <c r="L2224" s="250"/>
      <c r="M2224" s="249"/>
      <c r="N2224" s="330"/>
      <c r="O2224" s="251"/>
      <c r="P2224" s="252"/>
      <c r="Q2224" s="330"/>
      <c r="R2224" s="251"/>
      <c r="S2224" s="252"/>
      <c r="T2224" s="330"/>
      <c r="U2224" s="251"/>
      <c r="V2224" s="252"/>
      <c r="W2224" s="330"/>
      <c r="X2224" s="343"/>
      <c r="Y2224" s="249"/>
      <c r="Z2224" s="330"/>
      <c r="AA2224" s="343"/>
      <c r="AB2224" s="249"/>
      <c r="AC2224" s="330"/>
      <c r="AD2224" s="343"/>
      <c r="AE2224" s="249"/>
      <c r="AF2224" s="330"/>
      <c r="AG2224" s="343"/>
      <c r="AH2224" s="249"/>
      <c r="AI2224" s="330"/>
      <c r="AJ2224" s="343"/>
      <c r="AK2224" s="249"/>
      <c r="AL2224" s="330"/>
      <c r="AM2224" s="343"/>
      <c r="AN2224" s="249"/>
      <c r="AO2224" s="330"/>
      <c r="AP2224" s="343"/>
      <c r="AQ2224" s="249"/>
      <c r="AR2224" s="330"/>
      <c r="AS2224" s="343"/>
      <c r="AT2224" s="249"/>
      <c r="AU2224" s="330"/>
    </row>
    <row r="2225" spans="2:47">
      <c r="B2225" s="247">
        <f>'Table S2 Compound Identifiers'!C2227</f>
        <v>0</v>
      </c>
      <c r="C2225" s="253">
        <f>COUNTIF($D$6:D2225,"&lt;&gt;"&amp;"")</f>
        <v>2220</v>
      </c>
      <c r="D2225" s="253">
        <f>'Table S2 Compound Identifiers'!B2227</f>
        <v>0</v>
      </c>
      <c r="E2225" s="253"/>
      <c r="F2225" s="254"/>
      <c r="G2225" s="252"/>
      <c r="H2225" s="330"/>
      <c r="I2225" s="333"/>
      <c r="J2225" s="252"/>
      <c r="K2225" s="330"/>
      <c r="L2225" s="251"/>
      <c r="M2225" s="252"/>
      <c r="N2225" s="330"/>
      <c r="O2225" s="251"/>
      <c r="P2225" s="252"/>
      <c r="Q2225" s="330"/>
      <c r="R2225" s="251"/>
      <c r="S2225" s="252"/>
      <c r="T2225" s="330"/>
      <c r="U2225" s="251"/>
      <c r="V2225" s="252"/>
      <c r="W2225" s="330"/>
      <c r="X2225" s="343"/>
      <c r="Y2225" s="249"/>
      <c r="Z2225" s="330"/>
      <c r="AA2225" s="343"/>
      <c r="AB2225" s="249"/>
      <c r="AC2225" s="330"/>
      <c r="AD2225" s="343"/>
      <c r="AE2225" s="249"/>
      <c r="AF2225" s="330"/>
      <c r="AG2225" s="343"/>
      <c r="AH2225" s="249"/>
      <c r="AI2225" s="330"/>
      <c r="AJ2225" s="343"/>
      <c r="AK2225" s="249"/>
      <c r="AL2225" s="330"/>
      <c r="AM2225" s="343"/>
      <c r="AN2225" s="249"/>
      <c r="AO2225" s="330"/>
      <c r="AP2225" s="343"/>
      <c r="AQ2225" s="249"/>
      <c r="AR2225" s="330"/>
      <c r="AS2225" s="343"/>
      <c r="AT2225" s="249"/>
      <c r="AU2225" s="330"/>
    </row>
    <row r="2226" spans="2:47">
      <c r="B2226" s="247">
        <f>'Table S2 Compound Identifiers'!C2228</f>
        <v>0</v>
      </c>
      <c r="C2226" s="247">
        <f>COUNTIF($D$6:D2226,"&lt;&gt;"&amp;"")</f>
        <v>2221</v>
      </c>
      <c r="D2226" s="247">
        <f>'Table S2 Compound Identifiers'!B2228</f>
        <v>0</v>
      </c>
      <c r="E2226" s="247"/>
      <c r="F2226" s="248"/>
      <c r="G2226" s="250"/>
      <c r="H2226" s="330"/>
      <c r="I2226" s="343"/>
      <c r="J2226" s="249"/>
      <c r="K2226" s="327"/>
      <c r="L2226" s="343"/>
      <c r="M2226" s="249"/>
      <c r="N2226" s="327"/>
      <c r="O2226" s="343"/>
      <c r="P2226" s="249"/>
      <c r="Q2226" s="327"/>
      <c r="R2226" s="343"/>
      <c r="S2226" s="249"/>
      <c r="T2226" s="327"/>
      <c r="U2226" s="343"/>
      <c r="V2226" s="249"/>
      <c r="W2226" s="327"/>
      <c r="X2226" s="343"/>
      <c r="Y2226" s="249"/>
      <c r="Z2226" s="327"/>
      <c r="AA2226" s="343"/>
      <c r="AB2226" s="249"/>
      <c r="AC2226" s="343"/>
      <c r="AD2226" s="343"/>
      <c r="AE2226" s="249"/>
      <c r="AF2226" s="249"/>
      <c r="AG2226" s="343"/>
      <c r="AH2226" s="249"/>
      <c r="AI2226" s="343"/>
      <c r="AJ2226" s="343"/>
      <c r="AK2226" s="249"/>
      <c r="AL2226" s="249"/>
      <c r="AM2226" s="343"/>
      <c r="AN2226" s="249"/>
      <c r="AO2226" s="343"/>
      <c r="AP2226" s="343"/>
      <c r="AQ2226" s="249"/>
      <c r="AR2226" s="249"/>
      <c r="AS2226" s="343"/>
      <c r="AT2226" s="249"/>
      <c r="AU2226" s="343"/>
    </row>
    <row r="2227" spans="2:47">
      <c r="B2227" s="247">
        <f>'Table S2 Compound Identifiers'!C2229</f>
        <v>0</v>
      </c>
      <c r="C2227" s="247">
        <f>COUNTIF($D$6:D2227,"&lt;&gt;"&amp;"")</f>
        <v>2222</v>
      </c>
      <c r="D2227" s="247">
        <f>'Table S2 Compound Identifiers'!B2229</f>
        <v>0</v>
      </c>
      <c r="E2227" s="247"/>
      <c r="F2227" s="248"/>
      <c r="G2227" s="249"/>
      <c r="H2227" s="330"/>
      <c r="I2227" s="332"/>
      <c r="J2227" s="330"/>
      <c r="K2227" s="330"/>
      <c r="L2227" s="330"/>
      <c r="M2227" s="330"/>
      <c r="N2227" s="330"/>
      <c r="O2227" s="330"/>
      <c r="P2227" s="330"/>
      <c r="Q2227" s="330"/>
      <c r="R2227" s="330"/>
      <c r="S2227" s="330"/>
      <c r="T2227" s="330"/>
      <c r="U2227" s="330"/>
      <c r="V2227" s="330"/>
      <c r="W2227" s="330"/>
      <c r="X2227" s="343"/>
      <c r="Y2227" s="249"/>
      <c r="Z2227" s="330"/>
      <c r="AA2227" s="343"/>
      <c r="AB2227" s="249"/>
      <c r="AC2227" s="330"/>
      <c r="AD2227" s="343"/>
      <c r="AE2227" s="249"/>
      <c r="AF2227" s="330"/>
      <c r="AG2227" s="343"/>
      <c r="AH2227" s="249"/>
      <c r="AI2227" s="330"/>
      <c r="AJ2227" s="343"/>
      <c r="AK2227" s="249"/>
      <c r="AL2227" s="330"/>
      <c r="AM2227" s="343"/>
      <c r="AN2227" s="249"/>
      <c r="AO2227" s="330"/>
      <c r="AP2227" s="343"/>
      <c r="AQ2227" s="249"/>
      <c r="AR2227" s="330"/>
      <c r="AS2227" s="343"/>
      <c r="AT2227" s="249"/>
      <c r="AU2227" s="330"/>
    </row>
    <row r="2228" spans="2:47">
      <c r="B2228" s="247">
        <f>'Table S2 Compound Identifiers'!C2230</f>
        <v>0</v>
      </c>
      <c r="C2228" s="247">
        <f>COUNTIF($D$6:D2228,"&lt;&gt;"&amp;"")</f>
        <v>2223</v>
      </c>
      <c r="D2228" s="247">
        <f>'Table S2 Compound Identifiers'!B2230</f>
        <v>0</v>
      </c>
      <c r="E2228" s="247"/>
      <c r="F2228" s="248"/>
      <c r="G2228" s="249"/>
      <c r="H2228" s="330"/>
      <c r="I2228" s="332"/>
      <c r="J2228" s="330"/>
      <c r="K2228" s="330"/>
      <c r="L2228" s="330"/>
      <c r="M2228" s="330"/>
      <c r="N2228" s="330"/>
      <c r="O2228" s="330"/>
      <c r="P2228" s="330"/>
      <c r="Q2228" s="330"/>
      <c r="R2228" s="330"/>
      <c r="S2228" s="330"/>
      <c r="T2228" s="330"/>
      <c r="U2228" s="330"/>
      <c r="V2228" s="330"/>
      <c r="W2228" s="330"/>
      <c r="X2228" s="343"/>
      <c r="Y2228" s="249"/>
      <c r="Z2228" s="330"/>
      <c r="AA2228" s="343"/>
      <c r="AB2228" s="249"/>
      <c r="AC2228" s="330"/>
      <c r="AD2228" s="343"/>
      <c r="AE2228" s="249"/>
      <c r="AF2228" s="330"/>
      <c r="AG2228" s="343"/>
      <c r="AH2228" s="249"/>
      <c r="AI2228" s="330"/>
      <c r="AJ2228" s="343"/>
      <c r="AK2228" s="249"/>
      <c r="AL2228" s="330"/>
      <c r="AM2228" s="343"/>
      <c r="AN2228" s="249"/>
      <c r="AO2228" s="330"/>
      <c r="AP2228" s="343"/>
      <c r="AQ2228" s="249"/>
      <c r="AR2228" s="330"/>
      <c r="AS2228" s="343"/>
      <c r="AT2228" s="249"/>
      <c r="AU2228" s="330"/>
    </row>
    <row r="2229" spans="2:47">
      <c r="B2229" s="247">
        <f>'Table S2 Compound Identifiers'!C2231</f>
        <v>0</v>
      </c>
      <c r="C2229" s="247">
        <f>COUNTIF($D$6:D2229,"&lt;&gt;"&amp;"")</f>
        <v>2224</v>
      </c>
      <c r="D2229" s="247">
        <f>'Table S2 Compound Identifiers'!B2231</f>
        <v>0</v>
      </c>
      <c r="E2229" s="247"/>
      <c r="F2229" s="248"/>
      <c r="G2229" s="249"/>
      <c r="H2229" s="330"/>
      <c r="I2229" s="332"/>
      <c r="J2229" s="330"/>
      <c r="K2229" s="330"/>
      <c r="L2229" s="330"/>
      <c r="M2229" s="330"/>
      <c r="N2229" s="330"/>
      <c r="O2229" s="330"/>
      <c r="P2229" s="330"/>
      <c r="Q2229" s="330"/>
      <c r="R2229" s="330"/>
      <c r="S2229" s="330"/>
      <c r="T2229" s="330"/>
      <c r="U2229" s="330"/>
      <c r="V2229" s="330"/>
      <c r="W2229" s="330"/>
      <c r="X2229" s="343"/>
      <c r="Y2229" s="249"/>
      <c r="Z2229" s="330"/>
      <c r="AA2229" s="343"/>
      <c r="AB2229" s="249"/>
      <c r="AC2229" s="330"/>
      <c r="AD2229" s="343"/>
      <c r="AE2229" s="249"/>
      <c r="AF2229" s="330"/>
      <c r="AG2229" s="343"/>
      <c r="AH2229" s="249"/>
      <c r="AI2229" s="330"/>
      <c r="AJ2229" s="343"/>
      <c r="AK2229" s="249"/>
      <c r="AL2229" s="330"/>
      <c r="AM2229" s="343"/>
      <c r="AN2229" s="249"/>
      <c r="AO2229" s="330"/>
      <c r="AP2229" s="343"/>
      <c r="AQ2229" s="249"/>
      <c r="AR2229" s="330"/>
      <c r="AS2229" s="343"/>
      <c r="AT2229" s="249"/>
      <c r="AU2229" s="330"/>
    </row>
    <row r="2230" spans="2:47">
      <c r="B2230" s="247">
        <f>'Table S2 Compound Identifiers'!C2232</f>
        <v>0</v>
      </c>
      <c r="C2230" s="247">
        <f>COUNTIF($D$6:D2230,"&lt;&gt;"&amp;"")</f>
        <v>2225</v>
      </c>
      <c r="D2230" s="247">
        <f>'Table S2 Compound Identifiers'!B2232</f>
        <v>0</v>
      </c>
      <c r="E2230" s="247"/>
      <c r="F2230" s="248"/>
      <c r="G2230" s="249"/>
      <c r="H2230" s="330"/>
      <c r="I2230" s="328"/>
      <c r="J2230" s="249"/>
      <c r="K2230" s="330"/>
      <c r="L2230" s="250"/>
      <c r="M2230" s="249"/>
      <c r="N2230" s="330"/>
      <c r="O2230" s="250"/>
      <c r="P2230" s="249"/>
      <c r="Q2230" s="330"/>
      <c r="R2230" s="250"/>
      <c r="S2230" s="249"/>
      <c r="T2230" s="330"/>
      <c r="U2230" s="250"/>
      <c r="V2230" s="249"/>
      <c r="W2230" s="330"/>
      <c r="X2230" s="343"/>
      <c r="Y2230" s="249"/>
      <c r="Z2230" s="330"/>
      <c r="AA2230" s="343"/>
      <c r="AB2230" s="249"/>
      <c r="AC2230" s="330"/>
      <c r="AD2230" s="343"/>
      <c r="AE2230" s="249"/>
      <c r="AF2230" s="330"/>
      <c r="AG2230" s="343"/>
      <c r="AH2230" s="249"/>
      <c r="AI2230" s="330"/>
      <c r="AJ2230" s="343"/>
      <c r="AK2230" s="249"/>
      <c r="AL2230" s="330"/>
      <c r="AM2230" s="343"/>
      <c r="AN2230" s="249"/>
      <c r="AO2230" s="330"/>
      <c r="AP2230" s="343"/>
      <c r="AQ2230" s="249"/>
      <c r="AR2230" s="330"/>
      <c r="AS2230" s="343"/>
      <c r="AT2230" s="249"/>
      <c r="AU2230" s="330"/>
    </row>
    <row r="2231" spans="2:47">
      <c r="B2231" s="247">
        <f>'Table S2 Compound Identifiers'!C2233</f>
        <v>0</v>
      </c>
      <c r="C2231" s="247">
        <f>COUNTIF($D$6:D2231,"&lt;&gt;"&amp;"")</f>
        <v>2226</v>
      </c>
      <c r="D2231" s="247">
        <f>'Table S2 Compound Identifiers'!B2233</f>
        <v>0</v>
      </c>
      <c r="E2231" s="247"/>
      <c r="F2231" s="248"/>
      <c r="G2231" s="249"/>
      <c r="H2231" s="330"/>
      <c r="I2231" s="328"/>
      <c r="J2231" s="249"/>
      <c r="K2231" s="330"/>
      <c r="L2231" s="250"/>
      <c r="M2231" s="249"/>
      <c r="N2231" s="330"/>
      <c r="O2231" s="250"/>
      <c r="P2231" s="249"/>
      <c r="Q2231" s="330"/>
      <c r="R2231" s="250"/>
      <c r="S2231" s="249"/>
      <c r="T2231" s="330"/>
      <c r="U2231" s="250"/>
      <c r="V2231" s="249"/>
      <c r="W2231" s="330"/>
      <c r="X2231" s="343"/>
      <c r="Y2231" s="249"/>
      <c r="Z2231" s="330"/>
      <c r="AA2231" s="343"/>
      <c r="AB2231" s="249"/>
      <c r="AC2231" s="330"/>
      <c r="AD2231" s="343"/>
      <c r="AE2231" s="249"/>
      <c r="AF2231" s="330"/>
      <c r="AG2231" s="343"/>
      <c r="AH2231" s="249"/>
      <c r="AI2231" s="330"/>
      <c r="AJ2231" s="343"/>
      <c r="AK2231" s="249"/>
      <c r="AL2231" s="330"/>
      <c r="AM2231" s="343"/>
      <c r="AN2231" s="249"/>
      <c r="AO2231" s="330"/>
      <c r="AP2231" s="343"/>
      <c r="AQ2231" s="249"/>
      <c r="AR2231" s="330"/>
      <c r="AS2231" s="343"/>
      <c r="AT2231" s="249"/>
      <c r="AU2231" s="330"/>
    </row>
    <row r="2232" spans="2:47">
      <c r="B2232" s="247">
        <f>'Table S2 Compound Identifiers'!C2234</f>
        <v>0</v>
      </c>
      <c r="C2232" s="247">
        <f>COUNTIF($D$6:D2232,"&lt;&gt;"&amp;"")</f>
        <v>2227</v>
      </c>
      <c r="D2232" s="247">
        <f>'Table S2 Compound Identifiers'!B2234</f>
        <v>0</v>
      </c>
      <c r="E2232" s="247"/>
      <c r="F2232" s="248"/>
      <c r="G2232" s="249"/>
      <c r="H2232" s="330"/>
      <c r="I2232" s="328"/>
      <c r="J2232" s="249"/>
      <c r="K2232" s="330"/>
      <c r="L2232" s="250"/>
      <c r="M2232" s="249"/>
      <c r="N2232" s="330"/>
      <c r="O2232" s="250"/>
      <c r="P2232" s="249"/>
      <c r="Q2232" s="330"/>
      <c r="R2232" s="250"/>
      <c r="S2232" s="249"/>
      <c r="T2232" s="330"/>
      <c r="U2232" s="250"/>
      <c r="V2232" s="249"/>
      <c r="W2232" s="330"/>
      <c r="X2232" s="343"/>
      <c r="Y2232" s="249"/>
      <c r="Z2232" s="330"/>
      <c r="AA2232" s="343"/>
      <c r="AB2232" s="249"/>
      <c r="AC2232" s="330"/>
      <c r="AD2232" s="343"/>
      <c r="AE2232" s="249"/>
      <c r="AF2232" s="330"/>
      <c r="AG2232" s="343"/>
      <c r="AH2232" s="249"/>
      <c r="AI2232" s="330"/>
      <c r="AJ2232" s="343"/>
      <c r="AK2232" s="249"/>
      <c r="AL2232" s="330"/>
      <c r="AM2232" s="343"/>
      <c r="AN2232" s="249"/>
      <c r="AO2232" s="330"/>
      <c r="AP2232" s="343"/>
      <c r="AQ2232" s="249"/>
      <c r="AR2232" s="330"/>
      <c r="AS2232" s="343"/>
      <c r="AT2232" s="249"/>
      <c r="AU2232" s="330"/>
    </row>
    <row r="2233" spans="2:47">
      <c r="B2233" s="247">
        <f>'Table S2 Compound Identifiers'!C2235</f>
        <v>0</v>
      </c>
      <c r="C2233" s="247">
        <f>COUNTIF($D$6:D2233,"&lt;&gt;"&amp;"")</f>
        <v>2228</v>
      </c>
      <c r="D2233" s="247">
        <f>'Table S2 Compound Identifiers'!B2235</f>
        <v>0</v>
      </c>
      <c r="E2233" s="247"/>
      <c r="F2233" s="248"/>
      <c r="G2233" s="249"/>
      <c r="H2233" s="330"/>
      <c r="I2233" s="328"/>
      <c r="J2233" s="249"/>
      <c r="K2233" s="330"/>
      <c r="L2233" s="250"/>
      <c r="M2233" s="249"/>
      <c r="N2233" s="330"/>
      <c r="O2233" s="250"/>
      <c r="P2233" s="249"/>
      <c r="Q2233" s="330"/>
      <c r="R2233" s="250"/>
      <c r="S2233" s="249"/>
      <c r="T2233" s="330"/>
      <c r="U2233" s="250"/>
      <c r="V2233" s="249"/>
      <c r="W2233" s="330"/>
      <c r="X2233" s="343"/>
      <c r="Y2233" s="249"/>
      <c r="Z2233" s="330"/>
      <c r="AA2233" s="343"/>
      <c r="AB2233" s="249"/>
      <c r="AC2233" s="330"/>
      <c r="AD2233" s="343"/>
      <c r="AE2233" s="249"/>
      <c r="AF2233" s="330"/>
      <c r="AG2233" s="343"/>
      <c r="AH2233" s="249"/>
      <c r="AI2233" s="330"/>
      <c r="AJ2233" s="343"/>
      <c r="AK2233" s="249"/>
      <c r="AL2233" s="330"/>
      <c r="AM2233" s="343"/>
      <c r="AN2233" s="249"/>
      <c r="AO2233" s="330"/>
      <c r="AP2233" s="343"/>
      <c r="AQ2233" s="249"/>
      <c r="AR2233" s="330"/>
      <c r="AS2233" s="343"/>
      <c r="AT2233" s="249"/>
      <c r="AU2233" s="330"/>
    </row>
    <row r="2234" spans="2:47">
      <c r="B2234" s="247">
        <f>'Table S2 Compound Identifiers'!C2236</f>
        <v>0</v>
      </c>
      <c r="C2234" s="247">
        <f>COUNTIF($D$6:D2234,"&lt;&gt;"&amp;"")</f>
        <v>2229</v>
      </c>
      <c r="D2234" s="247">
        <f>'Table S2 Compound Identifiers'!B2236</f>
        <v>0</v>
      </c>
      <c r="E2234" s="247"/>
      <c r="F2234" s="248"/>
      <c r="G2234" s="249"/>
      <c r="H2234" s="330"/>
      <c r="I2234" s="328"/>
      <c r="J2234" s="249"/>
      <c r="K2234" s="330"/>
      <c r="L2234" s="250"/>
      <c r="M2234" s="249"/>
      <c r="N2234" s="330"/>
      <c r="O2234" s="250"/>
      <c r="P2234" s="249"/>
      <c r="Q2234" s="330"/>
      <c r="R2234" s="250"/>
      <c r="S2234" s="249"/>
      <c r="T2234" s="330"/>
      <c r="U2234" s="250"/>
      <c r="V2234" s="249"/>
      <c r="W2234" s="330"/>
      <c r="X2234" s="343"/>
      <c r="Y2234" s="249"/>
      <c r="Z2234" s="330"/>
      <c r="AA2234" s="343"/>
      <c r="AB2234" s="249"/>
      <c r="AC2234" s="330"/>
      <c r="AD2234" s="343"/>
      <c r="AE2234" s="249"/>
      <c r="AF2234" s="330"/>
      <c r="AG2234" s="343"/>
      <c r="AH2234" s="249"/>
      <c r="AI2234" s="330"/>
      <c r="AJ2234" s="343"/>
      <c r="AK2234" s="249"/>
      <c r="AL2234" s="330"/>
      <c r="AM2234" s="343"/>
      <c r="AN2234" s="249"/>
      <c r="AO2234" s="330"/>
      <c r="AP2234" s="343"/>
      <c r="AQ2234" s="249"/>
      <c r="AR2234" s="330"/>
      <c r="AS2234" s="343"/>
      <c r="AT2234" s="249"/>
      <c r="AU2234" s="330"/>
    </row>
    <row r="2235" spans="2:47">
      <c r="B2235" s="247">
        <f>'Table S2 Compound Identifiers'!C2237</f>
        <v>0</v>
      </c>
      <c r="C2235" s="247">
        <f>COUNTIF($D$6:D2235,"&lt;&gt;"&amp;"")</f>
        <v>2230</v>
      </c>
      <c r="D2235" s="247">
        <f>'Table S2 Compound Identifiers'!B2237</f>
        <v>0</v>
      </c>
      <c r="E2235" s="247"/>
      <c r="F2235" s="248"/>
      <c r="G2235" s="249"/>
      <c r="H2235" s="330"/>
      <c r="I2235" s="328"/>
      <c r="J2235" s="249"/>
      <c r="K2235" s="330"/>
      <c r="L2235" s="250"/>
      <c r="M2235" s="249"/>
      <c r="N2235" s="330"/>
      <c r="O2235" s="250"/>
      <c r="P2235" s="249"/>
      <c r="Q2235" s="330"/>
      <c r="R2235" s="250"/>
      <c r="S2235" s="249"/>
      <c r="T2235" s="330"/>
      <c r="U2235" s="250"/>
      <c r="V2235" s="249"/>
      <c r="W2235" s="330"/>
      <c r="X2235" s="343"/>
      <c r="Y2235" s="249"/>
      <c r="Z2235" s="330"/>
      <c r="AA2235" s="343"/>
      <c r="AB2235" s="249"/>
      <c r="AC2235" s="330"/>
      <c r="AD2235" s="343"/>
      <c r="AE2235" s="249"/>
      <c r="AF2235" s="330"/>
      <c r="AG2235" s="343"/>
      <c r="AH2235" s="249"/>
      <c r="AI2235" s="330"/>
      <c r="AJ2235" s="343"/>
      <c r="AK2235" s="249"/>
      <c r="AL2235" s="330"/>
      <c r="AM2235" s="343"/>
      <c r="AN2235" s="249"/>
      <c r="AO2235" s="330"/>
      <c r="AP2235" s="343"/>
      <c r="AQ2235" s="249"/>
      <c r="AR2235" s="330"/>
      <c r="AS2235" s="343"/>
      <c r="AT2235" s="249"/>
      <c r="AU2235" s="330"/>
    </row>
    <row r="2236" spans="2:47">
      <c r="B2236" s="247">
        <f>'Table S2 Compound Identifiers'!C2238</f>
        <v>0</v>
      </c>
      <c r="C2236" s="247">
        <f>COUNTIF($D$6:D2236,"&lt;&gt;"&amp;"")</f>
        <v>2231</v>
      </c>
      <c r="D2236" s="247">
        <f>'Table S2 Compound Identifiers'!B2238</f>
        <v>0</v>
      </c>
      <c r="E2236" s="247"/>
      <c r="F2236" s="248"/>
      <c r="G2236" s="249"/>
      <c r="H2236" s="330"/>
      <c r="I2236" s="328"/>
      <c r="J2236" s="249"/>
      <c r="K2236" s="330"/>
      <c r="L2236" s="250"/>
      <c r="M2236" s="249"/>
      <c r="N2236" s="330"/>
      <c r="O2236" s="250"/>
      <c r="P2236" s="249"/>
      <c r="Q2236" s="330"/>
      <c r="R2236" s="250"/>
      <c r="S2236" s="249"/>
      <c r="T2236" s="330"/>
      <c r="U2236" s="250"/>
      <c r="V2236" s="249"/>
      <c r="W2236" s="330"/>
      <c r="X2236" s="343"/>
      <c r="Y2236" s="249"/>
      <c r="Z2236" s="330"/>
      <c r="AA2236" s="343"/>
      <c r="AB2236" s="249"/>
      <c r="AC2236" s="330"/>
      <c r="AD2236" s="343"/>
      <c r="AE2236" s="249"/>
      <c r="AF2236" s="330"/>
      <c r="AG2236" s="343"/>
      <c r="AH2236" s="249"/>
      <c r="AI2236" s="330"/>
      <c r="AJ2236" s="343"/>
      <c r="AK2236" s="249"/>
      <c r="AL2236" s="330"/>
      <c r="AM2236" s="343"/>
      <c r="AN2236" s="249"/>
      <c r="AO2236" s="330"/>
      <c r="AP2236" s="343"/>
      <c r="AQ2236" s="249"/>
      <c r="AR2236" s="330"/>
      <c r="AS2236" s="343"/>
      <c r="AT2236" s="249"/>
      <c r="AU2236" s="330"/>
    </row>
    <row r="2237" spans="2:47">
      <c r="B2237" s="247">
        <f>'Table S2 Compound Identifiers'!C2239</f>
        <v>0</v>
      </c>
      <c r="C2237" s="247">
        <f>COUNTIF($D$6:D2237,"&lt;&gt;"&amp;"")</f>
        <v>2232</v>
      </c>
      <c r="D2237" s="247">
        <f>'Table S2 Compound Identifiers'!B2239</f>
        <v>0</v>
      </c>
      <c r="E2237" s="247"/>
      <c r="F2237" s="248"/>
      <c r="G2237" s="249"/>
      <c r="H2237" s="330"/>
      <c r="I2237" s="328"/>
      <c r="J2237" s="249"/>
      <c r="K2237" s="330"/>
      <c r="L2237" s="250"/>
      <c r="M2237" s="249"/>
      <c r="N2237" s="330"/>
      <c r="O2237" s="250"/>
      <c r="P2237" s="249"/>
      <c r="Q2237" s="330"/>
      <c r="R2237" s="250"/>
      <c r="S2237" s="249"/>
      <c r="T2237" s="330"/>
      <c r="U2237" s="250"/>
      <c r="V2237" s="249"/>
      <c r="W2237" s="330"/>
      <c r="X2237" s="343"/>
      <c r="Y2237" s="249"/>
      <c r="Z2237" s="330"/>
      <c r="AA2237" s="343"/>
      <c r="AB2237" s="249"/>
      <c r="AC2237" s="330"/>
      <c r="AD2237" s="343"/>
      <c r="AE2237" s="249"/>
      <c r="AF2237" s="330"/>
      <c r="AG2237" s="343"/>
      <c r="AH2237" s="249"/>
      <c r="AI2237" s="330"/>
      <c r="AJ2237" s="343"/>
      <c r="AK2237" s="249"/>
      <c r="AL2237" s="330"/>
      <c r="AM2237" s="343"/>
      <c r="AN2237" s="249"/>
      <c r="AO2237" s="330"/>
      <c r="AP2237" s="343"/>
      <c r="AQ2237" s="249"/>
      <c r="AR2237" s="330"/>
      <c r="AS2237" s="343"/>
      <c r="AT2237" s="249"/>
      <c r="AU2237" s="330"/>
    </row>
    <row r="2238" spans="2:47">
      <c r="B2238" s="247">
        <f>'Table S2 Compound Identifiers'!C2240</f>
        <v>0</v>
      </c>
      <c r="C2238" s="247">
        <f>COUNTIF($D$6:D2238,"&lt;&gt;"&amp;"")</f>
        <v>2233</v>
      </c>
      <c r="D2238" s="247">
        <f>'Table S2 Compound Identifiers'!B2240</f>
        <v>0</v>
      </c>
      <c r="E2238" s="247"/>
      <c r="F2238" s="248"/>
      <c r="G2238" s="249"/>
      <c r="H2238" s="330"/>
      <c r="I2238" s="328"/>
      <c r="J2238" s="249"/>
      <c r="K2238" s="330"/>
      <c r="L2238" s="250"/>
      <c r="M2238" s="249"/>
      <c r="N2238" s="330"/>
      <c r="O2238" s="250"/>
      <c r="P2238" s="249"/>
      <c r="Q2238" s="330"/>
      <c r="R2238" s="250"/>
      <c r="S2238" s="249"/>
      <c r="T2238" s="330"/>
      <c r="U2238" s="250"/>
      <c r="V2238" s="249"/>
      <c r="W2238" s="330"/>
      <c r="X2238" s="343"/>
      <c r="Y2238" s="249"/>
      <c r="Z2238" s="330"/>
      <c r="AA2238" s="343"/>
      <c r="AB2238" s="249"/>
      <c r="AC2238" s="330"/>
      <c r="AD2238" s="343"/>
      <c r="AE2238" s="249"/>
      <c r="AF2238" s="330"/>
      <c r="AG2238" s="343"/>
      <c r="AH2238" s="249"/>
      <c r="AI2238" s="330"/>
      <c r="AJ2238" s="343"/>
      <c r="AK2238" s="249"/>
      <c r="AL2238" s="330"/>
      <c r="AM2238" s="343"/>
      <c r="AN2238" s="249"/>
      <c r="AO2238" s="330"/>
      <c r="AP2238" s="343"/>
      <c r="AQ2238" s="249"/>
      <c r="AR2238" s="330"/>
      <c r="AS2238" s="343"/>
      <c r="AT2238" s="249"/>
      <c r="AU2238" s="330"/>
    </row>
    <row r="2239" spans="2:47">
      <c r="B2239" s="247">
        <f>'Table S2 Compound Identifiers'!C2241</f>
        <v>0</v>
      </c>
      <c r="C2239" s="247">
        <f>COUNTIF($D$6:D2239,"&lt;&gt;"&amp;"")</f>
        <v>2234</v>
      </c>
      <c r="D2239" s="247">
        <f>'Table S2 Compound Identifiers'!B2241</f>
        <v>0</v>
      </c>
      <c r="E2239" s="247"/>
      <c r="F2239" s="248"/>
      <c r="G2239" s="249"/>
      <c r="H2239" s="330"/>
      <c r="I2239" s="328"/>
      <c r="J2239" s="249"/>
      <c r="K2239" s="330"/>
      <c r="L2239" s="250"/>
      <c r="M2239" s="249"/>
      <c r="N2239" s="330"/>
      <c r="O2239" s="250"/>
      <c r="P2239" s="249"/>
      <c r="Q2239" s="330"/>
      <c r="R2239" s="250"/>
      <c r="S2239" s="249"/>
      <c r="T2239" s="330"/>
      <c r="U2239" s="250"/>
      <c r="V2239" s="249"/>
      <c r="W2239" s="330"/>
      <c r="X2239" s="343"/>
      <c r="Y2239" s="249"/>
      <c r="Z2239" s="330"/>
      <c r="AA2239" s="343"/>
      <c r="AB2239" s="249"/>
      <c r="AC2239" s="330"/>
      <c r="AD2239" s="343"/>
      <c r="AE2239" s="249"/>
      <c r="AF2239" s="330"/>
      <c r="AG2239" s="343"/>
      <c r="AH2239" s="249"/>
      <c r="AI2239" s="330"/>
      <c r="AJ2239" s="343"/>
      <c r="AK2239" s="249"/>
      <c r="AL2239" s="330"/>
      <c r="AM2239" s="343"/>
      <c r="AN2239" s="249"/>
      <c r="AO2239" s="330"/>
      <c r="AP2239" s="343"/>
      <c r="AQ2239" s="249"/>
      <c r="AR2239" s="330"/>
      <c r="AS2239" s="343"/>
      <c r="AT2239" s="249"/>
      <c r="AU2239" s="330"/>
    </row>
    <row r="2240" spans="2:47">
      <c r="B2240" s="247">
        <f>'Table S2 Compound Identifiers'!C2242</f>
        <v>0</v>
      </c>
      <c r="C2240" s="247">
        <f>COUNTIF($D$6:D2240,"&lt;&gt;"&amp;"")</f>
        <v>2235</v>
      </c>
      <c r="D2240" s="247">
        <f>'Table S2 Compound Identifiers'!B2242</f>
        <v>0</v>
      </c>
      <c r="E2240" s="247"/>
      <c r="F2240" s="248"/>
      <c r="G2240" s="249"/>
      <c r="H2240" s="330"/>
      <c r="I2240" s="328"/>
      <c r="J2240" s="249"/>
      <c r="K2240" s="330"/>
      <c r="L2240" s="250"/>
      <c r="M2240" s="249"/>
      <c r="N2240" s="330"/>
      <c r="O2240" s="250"/>
      <c r="P2240" s="249"/>
      <c r="Q2240" s="330"/>
      <c r="R2240" s="250"/>
      <c r="S2240" s="249"/>
      <c r="T2240" s="330"/>
      <c r="U2240" s="250"/>
      <c r="V2240" s="249"/>
      <c r="W2240" s="330"/>
      <c r="X2240" s="343"/>
      <c r="Y2240" s="249"/>
      <c r="Z2240" s="330"/>
      <c r="AA2240" s="343"/>
      <c r="AB2240" s="249"/>
      <c r="AC2240" s="330"/>
      <c r="AD2240" s="343"/>
      <c r="AE2240" s="249"/>
      <c r="AF2240" s="330"/>
      <c r="AG2240" s="343"/>
      <c r="AH2240" s="249"/>
      <c r="AI2240" s="330"/>
      <c r="AJ2240" s="343"/>
      <c r="AK2240" s="249"/>
      <c r="AL2240" s="330"/>
      <c r="AM2240" s="343"/>
      <c r="AN2240" s="249"/>
      <c r="AO2240" s="330"/>
      <c r="AP2240" s="343"/>
      <c r="AQ2240" s="249"/>
      <c r="AR2240" s="330"/>
      <c r="AS2240" s="343"/>
      <c r="AT2240" s="249"/>
      <c r="AU2240" s="330"/>
    </row>
    <row r="2241" spans="2:47">
      <c r="B2241" s="247">
        <f>'Table S2 Compound Identifiers'!C2243</f>
        <v>0</v>
      </c>
      <c r="C2241" s="247">
        <f>COUNTIF($D$6:D2241,"&lt;&gt;"&amp;"")</f>
        <v>2236</v>
      </c>
      <c r="D2241" s="247">
        <f>'Table S2 Compound Identifiers'!B2243</f>
        <v>0</v>
      </c>
      <c r="E2241" s="247"/>
      <c r="F2241" s="248"/>
      <c r="G2241" s="249"/>
      <c r="H2241" s="330"/>
      <c r="I2241" s="328"/>
      <c r="J2241" s="249"/>
      <c r="K2241" s="330"/>
      <c r="L2241" s="250"/>
      <c r="M2241" s="249"/>
      <c r="N2241" s="330"/>
      <c r="O2241" s="250"/>
      <c r="P2241" s="249"/>
      <c r="Q2241" s="330"/>
      <c r="R2241" s="250"/>
      <c r="S2241" s="249"/>
      <c r="T2241" s="330"/>
      <c r="U2241" s="250"/>
      <c r="V2241" s="249"/>
      <c r="W2241" s="330"/>
      <c r="X2241" s="343"/>
      <c r="Y2241" s="249"/>
      <c r="Z2241" s="330"/>
      <c r="AA2241" s="343"/>
      <c r="AB2241" s="249"/>
      <c r="AC2241" s="330"/>
      <c r="AD2241" s="343"/>
      <c r="AE2241" s="249"/>
      <c r="AF2241" s="330"/>
      <c r="AG2241" s="343"/>
      <c r="AH2241" s="249"/>
      <c r="AI2241" s="330"/>
      <c r="AJ2241" s="343"/>
      <c r="AK2241" s="249"/>
      <c r="AL2241" s="330"/>
      <c r="AM2241" s="343"/>
      <c r="AN2241" s="249"/>
      <c r="AO2241" s="330"/>
      <c r="AP2241" s="343"/>
      <c r="AQ2241" s="249"/>
      <c r="AR2241" s="330"/>
      <c r="AS2241" s="343"/>
      <c r="AT2241" s="249"/>
      <c r="AU2241" s="330"/>
    </row>
    <row r="2242" spans="2:47">
      <c r="B2242" s="247">
        <f>'Table S2 Compound Identifiers'!C2244</f>
        <v>0</v>
      </c>
      <c r="C2242" s="247">
        <f>COUNTIF($D$6:D2242,"&lt;&gt;"&amp;"")</f>
        <v>2237</v>
      </c>
      <c r="D2242" s="247">
        <f>'Table S2 Compound Identifiers'!B2244</f>
        <v>0</v>
      </c>
      <c r="E2242" s="247"/>
      <c r="F2242" s="248"/>
      <c r="G2242" s="249"/>
      <c r="H2242" s="330"/>
      <c r="I2242" s="328"/>
      <c r="J2242" s="249"/>
      <c r="K2242" s="330"/>
      <c r="L2242" s="250"/>
      <c r="M2242" s="249"/>
      <c r="N2242" s="330"/>
      <c r="O2242" s="250"/>
      <c r="P2242" s="249"/>
      <c r="Q2242" s="330"/>
      <c r="R2242" s="250"/>
      <c r="S2242" s="249"/>
      <c r="T2242" s="330"/>
      <c r="U2242" s="250"/>
      <c r="V2242" s="249"/>
      <c r="W2242" s="330"/>
      <c r="X2242" s="343"/>
      <c r="Y2242" s="249"/>
      <c r="Z2242" s="330"/>
      <c r="AA2242" s="343"/>
      <c r="AB2242" s="249"/>
      <c r="AC2242" s="330"/>
      <c r="AD2242" s="343"/>
      <c r="AE2242" s="249"/>
      <c r="AF2242" s="330"/>
      <c r="AG2242" s="343"/>
      <c r="AH2242" s="249"/>
      <c r="AI2242" s="330"/>
      <c r="AJ2242" s="343"/>
      <c r="AK2242" s="249"/>
      <c r="AL2242" s="330"/>
      <c r="AM2242" s="343"/>
      <c r="AN2242" s="249"/>
      <c r="AO2242" s="330"/>
      <c r="AP2242" s="343"/>
      <c r="AQ2242" s="249"/>
      <c r="AR2242" s="330"/>
      <c r="AS2242" s="343"/>
      <c r="AT2242" s="249"/>
      <c r="AU2242" s="330"/>
    </row>
    <row r="2243" spans="2:47">
      <c r="B2243" s="247">
        <f>'Table S2 Compound Identifiers'!C2245</f>
        <v>0</v>
      </c>
      <c r="C2243" s="247">
        <f>COUNTIF($D$6:D2243,"&lt;&gt;"&amp;"")</f>
        <v>2238</v>
      </c>
      <c r="D2243" s="247">
        <f>'Table S2 Compound Identifiers'!B2245</f>
        <v>0</v>
      </c>
      <c r="E2243" s="247"/>
      <c r="F2243" s="248"/>
      <c r="G2243" s="249"/>
      <c r="H2243" s="330"/>
      <c r="I2243" s="328"/>
      <c r="J2243" s="249"/>
      <c r="K2243" s="330"/>
      <c r="L2243" s="250"/>
      <c r="M2243" s="249"/>
      <c r="N2243" s="330"/>
      <c r="O2243" s="250"/>
      <c r="P2243" s="249"/>
      <c r="Q2243" s="330"/>
      <c r="R2243" s="250"/>
      <c r="S2243" s="249"/>
      <c r="T2243" s="330"/>
      <c r="U2243" s="250"/>
      <c r="V2243" s="249"/>
      <c r="W2243" s="330"/>
      <c r="X2243" s="343"/>
      <c r="Y2243" s="249"/>
      <c r="Z2243" s="330"/>
      <c r="AA2243" s="343"/>
      <c r="AB2243" s="249"/>
      <c r="AC2243" s="330"/>
      <c r="AD2243" s="343"/>
      <c r="AE2243" s="249"/>
      <c r="AF2243" s="330"/>
      <c r="AG2243" s="343"/>
      <c r="AH2243" s="249"/>
      <c r="AI2243" s="330"/>
      <c r="AJ2243" s="343"/>
      <c r="AK2243" s="249"/>
      <c r="AL2243" s="330"/>
      <c r="AM2243" s="343"/>
      <c r="AN2243" s="249"/>
      <c r="AO2243" s="330"/>
      <c r="AP2243" s="343"/>
      <c r="AQ2243" s="249"/>
      <c r="AR2243" s="330"/>
      <c r="AS2243" s="343"/>
      <c r="AT2243" s="249"/>
      <c r="AU2243" s="330"/>
    </row>
    <row r="2244" spans="2:47">
      <c r="B2244" s="247">
        <f>'Table S2 Compound Identifiers'!C2246</f>
        <v>0</v>
      </c>
      <c r="C2244" s="247">
        <f>COUNTIF($D$6:D2244,"&lt;&gt;"&amp;"")</f>
        <v>2239</v>
      </c>
      <c r="D2244" s="247">
        <f>'Table S2 Compound Identifiers'!B2246</f>
        <v>0</v>
      </c>
      <c r="E2244" s="247"/>
      <c r="F2244" s="248"/>
      <c r="G2244" s="249"/>
      <c r="H2244" s="330"/>
      <c r="I2244" s="328"/>
      <c r="J2244" s="249"/>
      <c r="K2244" s="330"/>
      <c r="L2244" s="250"/>
      <c r="M2244" s="249"/>
      <c r="N2244" s="330"/>
      <c r="O2244" s="250"/>
      <c r="P2244" s="249"/>
      <c r="Q2244" s="330"/>
      <c r="R2244" s="250"/>
      <c r="S2244" s="249"/>
      <c r="T2244" s="330"/>
      <c r="U2244" s="250"/>
      <c r="V2244" s="249"/>
      <c r="W2244" s="330"/>
      <c r="X2244" s="343"/>
      <c r="Y2244" s="249"/>
      <c r="Z2244" s="330"/>
      <c r="AA2244" s="343"/>
      <c r="AB2244" s="249"/>
      <c r="AC2244" s="330"/>
      <c r="AD2244" s="343"/>
      <c r="AE2244" s="249"/>
      <c r="AF2244" s="330"/>
      <c r="AG2244" s="343"/>
      <c r="AH2244" s="249"/>
      <c r="AI2244" s="330"/>
      <c r="AJ2244" s="343"/>
      <c r="AK2244" s="249"/>
      <c r="AL2244" s="330"/>
      <c r="AM2244" s="343"/>
      <c r="AN2244" s="249"/>
      <c r="AO2244" s="330"/>
      <c r="AP2244" s="343"/>
      <c r="AQ2244" s="249"/>
      <c r="AR2244" s="330"/>
      <c r="AS2244" s="343"/>
      <c r="AT2244" s="249"/>
      <c r="AU2244" s="330"/>
    </row>
    <row r="2245" spans="2:47">
      <c r="B2245" s="247">
        <f>'Table S2 Compound Identifiers'!C2247</f>
        <v>0</v>
      </c>
      <c r="C2245" s="247">
        <f>COUNTIF($D$6:D2245,"&lt;&gt;"&amp;"")</f>
        <v>2240</v>
      </c>
      <c r="D2245" s="247">
        <f>'Table S2 Compound Identifiers'!B2247</f>
        <v>0</v>
      </c>
      <c r="E2245" s="247"/>
      <c r="F2245" s="248"/>
      <c r="G2245" s="249"/>
      <c r="H2245" s="330"/>
      <c r="I2245" s="328"/>
      <c r="J2245" s="249"/>
      <c r="K2245" s="330"/>
      <c r="L2245" s="250"/>
      <c r="M2245" s="249"/>
      <c r="N2245" s="330"/>
      <c r="O2245" s="250"/>
      <c r="P2245" s="249"/>
      <c r="Q2245" s="330"/>
      <c r="R2245" s="250"/>
      <c r="S2245" s="249"/>
      <c r="T2245" s="330"/>
      <c r="U2245" s="250"/>
      <c r="V2245" s="249"/>
      <c r="W2245" s="330"/>
      <c r="X2245" s="343"/>
      <c r="Y2245" s="249"/>
      <c r="Z2245" s="330"/>
      <c r="AA2245" s="343"/>
      <c r="AB2245" s="249"/>
      <c r="AC2245" s="330"/>
      <c r="AD2245" s="343"/>
      <c r="AE2245" s="249"/>
      <c r="AF2245" s="330"/>
      <c r="AG2245" s="343"/>
      <c r="AH2245" s="249"/>
      <c r="AI2245" s="330"/>
      <c r="AJ2245" s="343"/>
      <c r="AK2245" s="249"/>
      <c r="AL2245" s="330"/>
      <c r="AM2245" s="343"/>
      <c r="AN2245" s="249"/>
      <c r="AO2245" s="330"/>
      <c r="AP2245" s="343"/>
      <c r="AQ2245" s="249"/>
      <c r="AR2245" s="330"/>
      <c r="AS2245" s="343"/>
      <c r="AT2245" s="249"/>
      <c r="AU2245" s="330"/>
    </row>
    <row r="2246" spans="2:47">
      <c r="B2246" s="247">
        <f>'Table S2 Compound Identifiers'!C2248</f>
        <v>0</v>
      </c>
      <c r="C2246" s="247">
        <f>COUNTIF($D$6:D2246,"&lt;&gt;"&amp;"")</f>
        <v>2241</v>
      </c>
      <c r="D2246" s="247">
        <f>'Table S2 Compound Identifiers'!B2248</f>
        <v>0</v>
      </c>
      <c r="E2246" s="247"/>
      <c r="F2246" s="248"/>
      <c r="G2246" s="249"/>
      <c r="H2246" s="330"/>
      <c r="I2246" s="328"/>
      <c r="J2246" s="249"/>
      <c r="K2246" s="330"/>
      <c r="L2246" s="250"/>
      <c r="M2246" s="249"/>
      <c r="N2246" s="330"/>
      <c r="O2246" s="250"/>
      <c r="P2246" s="249"/>
      <c r="Q2246" s="330"/>
      <c r="R2246" s="250"/>
      <c r="S2246" s="249"/>
      <c r="T2246" s="330"/>
      <c r="U2246" s="250"/>
      <c r="V2246" s="249"/>
      <c r="W2246" s="330"/>
      <c r="X2246" s="343"/>
      <c r="Y2246" s="249"/>
      <c r="Z2246" s="330"/>
      <c r="AA2246" s="343"/>
      <c r="AB2246" s="249"/>
      <c r="AC2246" s="330"/>
      <c r="AD2246" s="343"/>
      <c r="AE2246" s="249"/>
      <c r="AF2246" s="330"/>
      <c r="AG2246" s="343"/>
      <c r="AH2246" s="249"/>
      <c r="AI2246" s="330"/>
      <c r="AJ2246" s="343"/>
      <c r="AK2246" s="249"/>
      <c r="AL2246" s="330"/>
      <c r="AM2246" s="343"/>
      <c r="AN2246" s="249"/>
      <c r="AO2246" s="330"/>
      <c r="AP2246" s="343"/>
      <c r="AQ2246" s="249"/>
      <c r="AR2246" s="330"/>
      <c r="AS2246" s="343"/>
      <c r="AT2246" s="249"/>
      <c r="AU2246" s="330"/>
    </row>
    <row r="2247" spans="2:47">
      <c r="B2247" s="247">
        <f>'Table S2 Compound Identifiers'!C2249</f>
        <v>0</v>
      </c>
      <c r="C2247" s="247">
        <f>COUNTIF($D$6:D2247,"&lt;&gt;"&amp;"")</f>
        <v>2242</v>
      </c>
      <c r="D2247" s="247">
        <f>'Table S2 Compound Identifiers'!B2249</f>
        <v>0</v>
      </c>
      <c r="E2247" s="247"/>
      <c r="F2247" s="248"/>
      <c r="G2247" s="249"/>
      <c r="H2247" s="330"/>
      <c r="I2247" s="328"/>
      <c r="J2247" s="249"/>
      <c r="K2247" s="330"/>
      <c r="L2247" s="250"/>
      <c r="M2247" s="249"/>
      <c r="N2247" s="330"/>
      <c r="O2247" s="250"/>
      <c r="P2247" s="249"/>
      <c r="Q2247" s="330"/>
      <c r="R2247" s="250"/>
      <c r="S2247" s="249"/>
      <c r="T2247" s="330"/>
      <c r="U2247" s="250"/>
      <c r="V2247" s="249"/>
      <c r="W2247" s="330"/>
      <c r="X2247" s="343"/>
      <c r="Y2247" s="249"/>
      <c r="Z2247" s="330"/>
      <c r="AA2247" s="343"/>
      <c r="AB2247" s="249"/>
      <c r="AC2247" s="330"/>
      <c r="AD2247" s="343"/>
      <c r="AE2247" s="249"/>
      <c r="AF2247" s="330"/>
      <c r="AG2247" s="343"/>
      <c r="AH2247" s="249"/>
      <c r="AI2247" s="330"/>
      <c r="AJ2247" s="343"/>
      <c r="AK2247" s="249"/>
      <c r="AL2247" s="330"/>
      <c r="AM2247" s="343"/>
      <c r="AN2247" s="249"/>
      <c r="AO2247" s="330"/>
      <c r="AP2247" s="343"/>
      <c r="AQ2247" s="249"/>
      <c r="AR2247" s="330"/>
      <c r="AS2247" s="343"/>
      <c r="AT2247" s="249"/>
      <c r="AU2247" s="330"/>
    </row>
    <row r="2248" spans="2:47">
      <c r="B2248" s="247">
        <f>'Table S2 Compound Identifiers'!C2250</f>
        <v>0</v>
      </c>
      <c r="C2248" s="247">
        <f>COUNTIF($D$6:D2248,"&lt;&gt;"&amp;"")</f>
        <v>2243</v>
      </c>
      <c r="D2248" s="247">
        <f>'Table S2 Compound Identifiers'!B2250</f>
        <v>0</v>
      </c>
      <c r="E2248" s="247"/>
      <c r="F2248" s="248"/>
      <c r="G2248" s="249"/>
      <c r="H2248" s="330"/>
      <c r="I2248" s="328"/>
      <c r="J2248" s="249"/>
      <c r="K2248" s="330"/>
      <c r="L2248" s="250"/>
      <c r="M2248" s="249"/>
      <c r="N2248" s="330"/>
      <c r="O2248" s="250"/>
      <c r="P2248" s="249"/>
      <c r="Q2248" s="330"/>
      <c r="R2248" s="250"/>
      <c r="S2248" s="249"/>
      <c r="T2248" s="330"/>
      <c r="U2248" s="250"/>
      <c r="V2248" s="249"/>
      <c r="W2248" s="330"/>
      <c r="X2248" s="343"/>
      <c r="Y2248" s="249"/>
      <c r="Z2248" s="330"/>
      <c r="AA2248" s="343"/>
      <c r="AB2248" s="249"/>
      <c r="AC2248" s="330"/>
      <c r="AD2248" s="343"/>
      <c r="AE2248" s="249"/>
      <c r="AF2248" s="330"/>
      <c r="AG2248" s="343"/>
      <c r="AH2248" s="249"/>
      <c r="AI2248" s="330"/>
      <c r="AJ2248" s="343"/>
      <c r="AK2248" s="249"/>
      <c r="AL2248" s="330"/>
      <c r="AM2248" s="343"/>
      <c r="AN2248" s="249"/>
      <c r="AO2248" s="330"/>
      <c r="AP2248" s="343"/>
      <c r="AQ2248" s="249"/>
      <c r="AR2248" s="330"/>
      <c r="AS2248" s="343"/>
      <c r="AT2248" s="249"/>
      <c r="AU2248" s="330"/>
    </row>
    <row r="2249" spans="2:47">
      <c r="B2249" s="247">
        <f>'Table S2 Compound Identifiers'!C2251</f>
        <v>0</v>
      </c>
      <c r="C2249" s="247">
        <f>COUNTIF($D$6:D2249,"&lt;&gt;"&amp;"")</f>
        <v>2244</v>
      </c>
      <c r="D2249" s="247">
        <f>'Table S2 Compound Identifiers'!B2251</f>
        <v>0</v>
      </c>
      <c r="E2249" s="247"/>
      <c r="F2249" s="248"/>
      <c r="G2249" s="249"/>
      <c r="H2249" s="330"/>
      <c r="I2249" s="328"/>
      <c r="J2249" s="249"/>
      <c r="K2249" s="330"/>
      <c r="L2249" s="250"/>
      <c r="M2249" s="249"/>
      <c r="N2249" s="330"/>
      <c r="O2249" s="250"/>
      <c r="P2249" s="249"/>
      <c r="Q2249" s="330"/>
      <c r="R2249" s="250"/>
      <c r="S2249" s="249"/>
      <c r="T2249" s="330"/>
      <c r="U2249" s="250"/>
      <c r="V2249" s="249"/>
      <c r="W2249" s="330"/>
      <c r="X2249" s="343"/>
      <c r="Y2249" s="249"/>
      <c r="Z2249" s="330"/>
      <c r="AA2249" s="343"/>
      <c r="AB2249" s="249"/>
      <c r="AC2249" s="330"/>
      <c r="AD2249" s="343"/>
      <c r="AE2249" s="249"/>
      <c r="AF2249" s="330"/>
      <c r="AG2249" s="343"/>
      <c r="AH2249" s="249"/>
      <c r="AI2249" s="330"/>
      <c r="AJ2249" s="343"/>
      <c r="AK2249" s="249"/>
      <c r="AL2249" s="330"/>
      <c r="AM2249" s="343"/>
      <c r="AN2249" s="249"/>
      <c r="AO2249" s="330"/>
      <c r="AP2249" s="343"/>
      <c r="AQ2249" s="249"/>
      <c r="AR2249" s="330"/>
      <c r="AS2249" s="343"/>
      <c r="AT2249" s="249"/>
      <c r="AU2249" s="330"/>
    </row>
    <row r="2250" spans="2:47">
      <c r="B2250" s="247">
        <f>'Table S2 Compound Identifiers'!C2252</f>
        <v>0</v>
      </c>
      <c r="C2250" s="247">
        <f>COUNTIF($D$6:D2250,"&lt;&gt;"&amp;"")</f>
        <v>2245</v>
      </c>
      <c r="D2250" s="247">
        <f>'Table S2 Compound Identifiers'!B2252</f>
        <v>0</v>
      </c>
      <c r="E2250" s="247"/>
      <c r="F2250" s="248"/>
      <c r="G2250" s="249"/>
      <c r="H2250" s="330"/>
      <c r="I2250" s="328"/>
      <c r="J2250" s="249"/>
      <c r="K2250" s="330"/>
      <c r="L2250" s="250"/>
      <c r="M2250" s="249"/>
      <c r="N2250" s="330"/>
      <c r="O2250" s="250"/>
      <c r="P2250" s="249"/>
      <c r="Q2250" s="330"/>
      <c r="R2250" s="250"/>
      <c r="S2250" s="249"/>
      <c r="T2250" s="330"/>
      <c r="U2250" s="250"/>
      <c r="V2250" s="249"/>
      <c r="W2250" s="330"/>
      <c r="X2250" s="343"/>
      <c r="Y2250" s="249"/>
      <c r="Z2250" s="330"/>
      <c r="AA2250" s="343"/>
      <c r="AB2250" s="249"/>
      <c r="AC2250" s="330"/>
      <c r="AD2250" s="343"/>
      <c r="AE2250" s="249"/>
      <c r="AF2250" s="330"/>
      <c r="AG2250" s="343"/>
      <c r="AH2250" s="249"/>
      <c r="AI2250" s="330"/>
      <c r="AJ2250" s="343"/>
      <c r="AK2250" s="249"/>
      <c r="AL2250" s="330"/>
      <c r="AM2250" s="343"/>
      <c r="AN2250" s="249"/>
      <c r="AO2250" s="330"/>
      <c r="AP2250" s="343"/>
      <c r="AQ2250" s="249"/>
      <c r="AR2250" s="330"/>
      <c r="AS2250" s="343"/>
      <c r="AT2250" s="249"/>
      <c r="AU2250" s="330"/>
    </row>
    <row r="2251" spans="2:47">
      <c r="B2251" s="247">
        <f>'Table S2 Compound Identifiers'!C2253</f>
        <v>0</v>
      </c>
      <c r="C2251" s="247">
        <f>COUNTIF($D$6:D2251,"&lt;&gt;"&amp;"")</f>
        <v>2246</v>
      </c>
      <c r="D2251" s="247">
        <f>'Table S2 Compound Identifiers'!B2253</f>
        <v>0</v>
      </c>
      <c r="E2251" s="247"/>
      <c r="F2251" s="248"/>
      <c r="G2251" s="249"/>
      <c r="H2251" s="330"/>
      <c r="I2251" s="328"/>
      <c r="J2251" s="249"/>
      <c r="K2251" s="330"/>
      <c r="L2251" s="250"/>
      <c r="M2251" s="249"/>
      <c r="N2251" s="330"/>
      <c r="O2251" s="250"/>
      <c r="P2251" s="249"/>
      <c r="Q2251" s="330"/>
      <c r="R2251" s="250"/>
      <c r="S2251" s="249"/>
      <c r="T2251" s="330"/>
      <c r="U2251" s="250"/>
      <c r="V2251" s="249"/>
      <c r="W2251" s="330"/>
      <c r="X2251" s="343"/>
      <c r="Y2251" s="249"/>
      <c r="Z2251" s="330"/>
      <c r="AA2251" s="343"/>
      <c r="AB2251" s="249"/>
      <c r="AC2251" s="330"/>
      <c r="AD2251" s="343"/>
      <c r="AE2251" s="249"/>
      <c r="AF2251" s="330"/>
      <c r="AG2251" s="343"/>
      <c r="AH2251" s="249"/>
      <c r="AI2251" s="330"/>
      <c r="AJ2251" s="343"/>
      <c r="AK2251" s="249"/>
      <c r="AL2251" s="330"/>
      <c r="AM2251" s="343"/>
      <c r="AN2251" s="249"/>
      <c r="AO2251" s="330"/>
      <c r="AP2251" s="343"/>
      <c r="AQ2251" s="249"/>
      <c r="AR2251" s="330"/>
      <c r="AS2251" s="343"/>
      <c r="AT2251" s="249"/>
      <c r="AU2251" s="330"/>
    </row>
    <row r="2252" spans="2:47">
      <c r="B2252" s="247">
        <f>'Table S2 Compound Identifiers'!C2254</f>
        <v>0</v>
      </c>
      <c r="C2252" s="247">
        <f>COUNTIF($D$6:D2252,"&lt;&gt;"&amp;"")</f>
        <v>2247</v>
      </c>
      <c r="D2252" s="247">
        <f>'Table S2 Compound Identifiers'!B2254</f>
        <v>0</v>
      </c>
      <c r="E2252" s="247"/>
      <c r="F2252" s="248"/>
      <c r="G2252" s="249"/>
      <c r="H2252" s="330"/>
      <c r="I2252" s="328"/>
      <c r="J2252" s="249"/>
      <c r="K2252" s="330"/>
      <c r="L2252" s="250"/>
      <c r="M2252" s="249"/>
      <c r="N2252" s="330"/>
      <c r="O2252" s="250"/>
      <c r="P2252" s="249"/>
      <c r="Q2252" s="330"/>
      <c r="R2252" s="250"/>
      <c r="S2252" s="249"/>
      <c r="T2252" s="330"/>
      <c r="U2252" s="250"/>
      <c r="V2252" s="249"/>
      <c r="W2252" s="330"/>
      <c r="X2252" s="343"/>
      <c r="Y2252" s="249"/>
      <c r="Z2252" s="330"/>
      <c r="AA2252" s="343"/>
      <c r="AB2252" s="249"/>
      <c r="AC2252" s="330"/>
      <c r="AD2252" s="343"/>
      <c r="AE2252" s="249"/>
      <c r="AF2252" s="330"/>
      <c r="AG2252" s="343"/>
      <c r="AH2252" s="249"/>
      <c r="AI2252" s="330"/>
      <c r="AJ2252" s="343"/>
      <c r="AK2252" s="249"/>
      <c r="AL2252" s="330"/>
      <c r="AM2252" s="343"/>
      <c r="AN2252" s="249"/>
      <c r="AO2252" s="330"/>
      <c r="AP2252" s="343"/>
      <c r="AQ2252" s="249"/>
      <c r="AR2252" s="330"/>
      <c r="AS2252" s="343"/>
      <c r="AT2252" s="249"/>
      <c r="AU2252" s="330"/>
    </row>
    <row r="2253" spans="2:47">
      <c r="B2253" s="247">
        <f>'Table S2 Compound Identifiers'!C2255</f>
        <v>0</v>
      </c>
      <c r="C2253" s="247">
        <f>COUNTIF($D$6:D2253,"&lt;&gt;"&amp;"")</f>
        <v>2248</v>
      </c>
      <c r="D2253" s="247">
        <f>'Table S2 Compound Identifiers'!B2255</f>
        <v>0</v>
      </c>
      <c r="E2253" s="247"/>
      <c r="F2253" s="248"/>
      <c r="G2253" s="249"/>
      <c r="H2253" s="330"/>
      <c r="I2253" s="328"/>
      <c r="J2253" s="249"/>
      <c r="K2253" s="330"/>
      <c r="L2253" s="250"/>
      <c r="M2253" s="249"/>
      <c r="N2253" s="330"/>
      <c r="O2253" s="250"/>
      <c r="P2253" s="249"/>
      <c r="Q2253" s="330"/>
      <c r="R2253" s="250"/>
      <c r="S2253" s="249"/>
      <c r="T2253" s="330"/>
      <c r="U2253" s="250"/>
      <c r="V2253" s="249"/>
      <c r="W2253" s="330"/>
      <c r="X2253" s="343"/>
      <c r="Y2253" s="249"/>
      <c r="Z2253" s="330"/>
      <c r="AA2253" s="343"/>
      <c r="AB2253" s="249"/>
      <c r="AC2253" s="330"/>
      <c r="AD2253" s="343"/>
      <c r="AE2253" s="249"/>
      <c r="AF2253" s="330"/>
      <c r="AG2253" s="343"/>
      <c r="AH2253" s="249"/>
      <c r="AI2253" s="330"/>
      <c r="AJ2253" s="343"/>
      <c r="AK2253" s="249"/>
      <c r="AL2253" s="330"/>
      <c r="AM2253" s="343"/>
      <c r="AN2253" s="249"/>
      <c r="AO2253" s="330"/>
      <c r="AP2253" s="343"/>
      <c r="AQ2253" s="249"/>
      <c r="AR2253" s="330"/>
      <c r="AS2253" s="343"/>
      <c r="AT2253" s="249"/>
      <c r="AU2253" s="330"/>
    </row>
    <row r="2254" spans="2:47">
      <c r="B2254" s="247">
        <f>'Table S2 Compound Identifiers'!C2256</f>
        <v>0</v>
      </c>
      <c r="C2254" s="247">
        <f>COUNTIF($D$6:D2254,"&lt;&gt;"&amp;"")</f>
        <v>2249</v>
      </c>
      <c r="D2254" s="247">
        <f>'Table S2 Compound Identifiers'!B2256</f>
        <v>0</v>
      </c>
      <c r="E2254" s="247"/>
      <c r="F2254" s="248"/>
      <c r="G2254" s="249"/>
      <c r="H2254" s="330"/>
      <c r="I2254" s="328"/>
      <c r="J2254" s="249"/>
      <c r="K2254" s="330"/>
      <c r="L2254" s="250"/>
      <c r="M2254" s="249"/>
      <c r="N2254" s="330"/>
      <c r="O2254" s="250"/>
      <c r="P2254" s="249"/>
      <c r="Q2254" s="330"/>
      <c r="R2254" s="250"/>
      <c r="S2254" s="249"/>
      <c r="T2254" s="330"/>
      <c r="U2254" s="250"/>
      <c r="V2254" s="249"/>
      <c r="W2254" s="330"/>
      <c r="X2254" s="343"/>
      <c r="Y2254" s="249"/>
      <c r="Z2254" s="330"/>
      <c r="AA2254" s="343"/>
      <c r="AB2254" s="249"/>
      <c r="AC2254" s="330"/>
      <c r="AD2254" s="343"/>
      <c r="AE2254" s="249"/>
      <c r="AF2254" s="330"/>
      <c r="AG2254" s="343"/>
      <c r="AH2254" s="249"/>
      <c r="AI2254" s="330"/>
      <c r="AJ2254" s="343"/>
      <c r="AK2254" s="249"/>
      <c r="AL2254" s="330"/>
      <c r="AM2254" s="343"/>
      <c r="AN2254" s="249"/>
      <c r="AO2254" s="330"/>
      <c r="AP2254" s="343"/>
      <c r="AQ2254" s="249"/>
      <c r="AR2254" s="330"/>
      <c r="AS2254" s="343"/>
      <c r="AT2254" s="249"/>
      <c r="AU2254" s="330"/>
    </row>
    <row r="2255" spans="2:47">
      <c r="B2255" s="247">
        <f>'Table S2 Compound Identifiers'!C2257</f>
        <v>0</v>
      </c>
      <c r="C2255" s="247">
        <f>COUNTIF($D$6:D2255,"&lt;&gt;"&amp;"")</f>
        <v>2250</v>
      </c>
      <c r="D2255" s="247">
        <f>'Table S2 Compound Identifiers'!B2257</f>
        <v>0</v>
      </c>
      <c r="E2255" s="247"/>
      <c r="F2255" s="248"/>
      <c r="G2255" s="249"/>
      <c r="H2255" s="330"/>
      <c r="I2255" s="328"/>
      <c r="J2255" s="249"/>
      <c r="K2255" s="330"/>
      <c r="L2255" s="250"/>
      <c r="M2255" s="249"/>
      <c r="N2255" s="330"/>
      <c r="O2255" s="250"/>
      <c r="P2255" s="249"/>
      <c r="Q2255" s="330"/>
      <c r="R2255" s="250"/>
      <c r="S2255" s="249"/>
      <c r="T2255" s="330"/>
      <c r="U2255" s="250"/>
      <c r="V2255" s="249"/>
      <c r="W2255" s="330"/>
      <c r="X2255" s="343"/>
      <c r="Y2255" s="249"/>
      <c r="Z2255" s="330"/>
      <c r="AA2255" s="343"/>
      <c r="AB2255" s="249"/>
      <c r="AC2255" s="330"/>
      <c r="AD2255" s="343"/>
      <c r="AE2255" s="249"/>
      <c r="AF2255" s="330"/>
      <c r="AG2255" s="343"/>
      <c r="AH2255" s="249"/>
      <c r="AI2255" s="330"/>
      <c r="AJ2255" s="343"/>
      <c r="AK2255" s="249"/>
      <c r="AL2255" s="330"/>
      <c r="AM2255" s="343"/>
      <c r="AN2255" s="249"/>
      <c r="AO2255" s="330"/>
      <c r="AP2255" s="343"/>
      <c r="AQ2255" s="249"/>
      <c r="AR2255" s="330"/>
      <c r="AS2255" s="343"/>
      <c r="AT2255" s="249"/>
      <c r="AU2255" s="330"/>
    </row>
    <row r="2256" spans="2:47">
      <c r="B2256" s="247">
        <f>'Table S2 Compound Identifiers'!C2258</f>
        <v>0</v>
      </c>
      <c r="C2256" s="247">
        <f>COUNTIF($D$6:D2256,"&lt;&gt;"&amp;"")</f>
        <v>2251</v>
      </c>
      <c r="D2256" s="247">
        <f>'Table S2 Compound Identifiers'!B2258</f>
        <v>0</v>
      </c>
      <c r="E2256" s="247"/>
      <c r="F2256" s="248"/>
      <c r="G2256" s="249"/>
      <c r="H2256" s="330"/>
      <c r="I2256" s="328"/>
      <c r="J2256" s="249"/>
      <c r="K2256" s="330"/>
      <c r="L2256" s="250"/>
      <c r="M2256" s="249"/>
      <c r="N2256" s="330"/>
      <c r="O2256" s="250"/>
      <c r="P2256" s="249"/>
      <c r="Q2256" s="330"/>
      <c r="R2256" s="250"/>
      <c r="S2256" s="249"/>
      <c r="T2256" s="330"/>
      <c r="U2256" s="250"/>
      <c r="V2256" s="249"/>
      <c r="W2256" s="330"/>
      <c r="X2256" s="343"/>
      <c r="Y2256" s="249"/>
      <c r="Z2256" s="330"/>
      <c r="AA2256" s="343"/>
      <c r="AB2256" s="249"/>
      <c r="AC2256" s="330"/>
      <c r="AD2256" s="343"/>
      <c r="AE2256" s="249"/>
      <c r="AF2256" s="330"/>
      <c r="AG2256" s="343"/>
      <c r="AH2256" s="249"/>
      <c r="AI2256" s="330"/>
      <c r="AJ2256" s="343"/>
      <c r="AK2256" s="249"/>
      <c r="AL2256" s="330"/>
      <c r="AM2256" s="343"/>
      <c r="AN2256" s="249"/>
      <c r="AO2256" s="330"/>
      <c r="AP2256" s="343"/>
      <c r="AQ2256" s="249"/>
      <c r="AR2256" s="330"/>
      <c r="AS2256" s="343"/>
      <c r="AT2256" s="249"/>
      <c r="AU2256" s="330"/>
    </row>
    <row r="2257" spans="2:47">
      <c r="B2257" s="247">
        <f>'Table S2 Compound Identifiers'!C2259</f>
        <v>0</v>
      </c>
      <c r="C2257" s="247">
        <f>COUNTIF($D$6:D2257,"&lt;&gt;"&amp;"")</f>
        <v>2252</v>
      </c>
      <c r="D2257" s="247">
        <f>'Table S2 Compound Identifiers'!B2259</f>
        <v>0</v>
      </c>
      <c r="E2257" s="247"/>
      <c r="F2257" s="248"/>
      <c r="G2257" s="249"/>
      <c r="H2257" s="330"/>
      <c r="I2257" s="328"/>
      <c r="J2257" s="249"/>
      <c r="K2257" s="330"/>
      <c r="L2257" s="250"/>
      <c r="M2257" s="249"/>
      <c r="N2257" s="330"/>
      <c r="O2257" s="250"/>
      <c r="P2257" s="249"/>
      <c r="Q2257" s="330"/>
      <c r="R2257" s="250"/>
      <c r="S2257" s="249"/>
      <c r="T2257" s="330"/>
      <c r="U2257" s="250"/>
      <c r="V2257" s="249"/>
      <c r="W2257" s="330"/>
      <c r="X2257" s="343"/>
      <c r="Y2257" s="249"/>
      <c r="Z2257" s="330"/>
      <c r="AA2257" s="343"/>
      <c r="AB2257" s="249"/>
      <c r="AC2257" s="330"/>
      <c r="AD2257" s="343"/>
      <c r="AE2257" s="249"/>
      <c r="AF2257" s="330"/>
      <c r="AG2257" s="343"/>
      <c r="AH2257" s="249"/>
      <c r="AI2257" s="330"/>
      <c r="AJ2257" s="343"/>
      <c r="AK2257" s="249"/>
      <c r="AL2257" s="330"/>
      <c r="AM2257" s="343"/>
      <c r="AN2257" s="249"/>
      <c r="AO2257" s="330"/>
      <c r="AP2257" s="343"/>
      <c r="AQ2257" s="249"/>
      <c r="AR2257" s="330"/>
      <c r="AS2257" s="343"/>
      <c r="AT2257" s="249"/>
      <c r="AU2257" s="330"/>
    </row>
    <row r="2258" spans="2:47">
      <c r="B2258" s="247">
        <f>'Table S2 Compound Identifiers'!C2260</f>
        <v>0</v>
      </c>
      <c r="C2258" s="247">
        <f>COUNTIF($D$6:D2258,"&lt;&gt;"&amp;"")</f>
        <v>2253</v>
      </c>
      <c r="D2258" s="247">
        <f>'Table S2 Compound Identifiers'!B2260</f>
        <v>0</v>
      </c>
      <c r="E2258" s="247"/>
      <c r="F2258" s="248"/>
      <c r="G2258" s="249"/>
      <c r="H2258" s="330"/>
      <c r="I2258" s="328"/>
      <c r="J2258" s="249"/>
      <c r="K2258" s="330"/>
      <c r="L2258" s="250"/>
      <c r="M2258" s="249"/>
      <c r="N2258" s="330"/>
      <c r="O2258" s="250"/>
      <c r="P2258" s="249"/>
      <c r="Q2258" s="330"/>
      <c r="R2258" s="250"/>
      <c r="S2258" s="249"/>
      <c r="T2258" s="330"/>
      <c r="U2258" s="250"/>
      <c r="V2258" s="249"/>
      <c r="W2258" s="330"/>
      <c r="X2258" s="343"/>
      <c r="Y2258" s="249"/>
      <c r="Z2258" s="330"/>
      <c r="AA2258" s="343"/>
      <c r="AB2258" s="249"/>
      <c r="AC2258" s="330"/>
      <c r="AD2258" s="343"/>
      <c r="AE2258" s="249"/>
      <c r="AF2258" s="330"/>
      <c r="AG2258" s="343"/>
      <c r="AH2258" s="249"/>
      <c r="AI2258" s="330"/>
      <c r="AJ2258" s="343"/>
      <c r="AK2258" s="249"/>
      <c r="AL2258" s="330"/>
      <c r="AM2258" s="343"/>
      <c r="AN2258" s="249"/>
      <c r="AO2258" s="330"/>
      <c r="AP2258" s="343"/>
      <c r="AQ2258" s="249"/>
      <c r="AR2258" s="330"/>
      <c r="AS2258" s="343"/>
      <c r="AT2258" s="249"/>
      <c r="AU2258" s="330"/>
    </row>
    <row r="2259" spans="2:47">
      <c r="B2259" s="247">
        <f>'Table S2 Compound Identifiers'!C2261</f>
        <v>0</v>
      </c>
      <c r="C2259" s="247">
        <f>COUNTIF($D$6:D2259,"&lt;&gt;"&amp;"")</f>
        <v>2254</v>
      </c>
      <c r="D2259" s="247">
        <f>'Table S2 Compound Identifiers'!B2261</f>
        <v>0</v>
      </c>
      <c r="E2259" s="247"/>
      <c r="F2259" s="248"/>
      <c r="G2259" s="249"/>
      <c r="H2259" s="330"/>
      <c r="I2259" s="328"/>
      <c r="J2259" s="249"/>
      <c r="K2259" s="330"/>
      <c r="L2259" s="250"/>
      <c r="M2259" s="249"/>
      <c r="N2259" s="330"/>
      <c r="O2259" s="250"/>
      <c r="P2259" s="249"/>
      <c r="Q2259" s="330"/>
      <c r="R2259" s="250"/>
      <c r="S2259" s="249"/>
      <c r="T2259" s="330"/>
      <c r="U2259" s="250"/>
      <c r="V2259" s="249"/>
      <c r="W2259" s="330"/>
      <c r="X2259" s="343"/>
      <c r="Y2259" s="249"/>
      <c r="Z2259" s="330"/>
      <c r="AA2259" s="343"/>
      <c r="AB2259" s="249"/>
      <c r="AC2259" s="330"/>
      <c r="AD2259" s="343"/>
      <c r="AE2259" s="249"/>
      <c r="AF2259" s="330"/>
      <c r="AG2259" s="343"/>
      <c r="AH2259" s="249"/>
      <c r="AI2259" s="330"/>
      <c r="AJ2259" s="343"/>
      <c r="AK2259" s="249"/>
      <c r="AL2259" s="330"/>
      <c r="AM2259" s="343"/>
      <c r="AN2259" s="249"/>
      <c r="AO2259" s="330"/>
      <c r="AP2259" s="343"/>
      <c r="AQ2259" s="249"/>
      <c r="AR2259" s="330"/>
      <c r="AS2259" s="343"/>
      <c r="AT2259" s="249"/>
      <c r="AU2259" s="330"/>
    </row>
    <row r="2260" spans="2:47">
      <c r="B2260" s="247">
        <f>'Table S2 Compound Identifiers'!C2262</f>
        <v>0</v>
      </c>
      <c r="C2260" s="247">
        <f>COUNTIF($D$6:D2260,"&lt;&gt;"&amp;"")</f>
        <v>2255</v>
      </c>
      <c r="D2260" s="247">
        <f>'Table S2 Compound Identifiers'!B2262</f>
        <v>0</v>
      </c>
      <c r="E2260" s="247"/>
      <c r="F2260" s="248"/>
      <c r="G2260" s="249"/>
      <c r="H2260" s="330"/>
      <c r="I2260" s="328"/>
      <c r="J2260" s="249"/>
      <c r="K2260" s="330"/>
      <c r="L2260" s="250"/>
      <c r="M2260" s="249"/>
      <c r="N2260" s="330"/>
      <c r="O2260" s="250"/>
      <c r="P2260" s="249"/>
      <c r="Q2260" s="330"/>
      <c r="R2260" s="250"/>
      <c r="S2260" s="249"/>
      <c r="T2260" s="330"/>
      <c r="U2260" s="250"/>
      <c r="V2260" s="249"/>
      <c r="W2260" s="330"/>
      <c r="X2260" s="343"/>
      <c r="Y2260" s="249"/>
      <c r="Z2260" s="330"/>
      <c r="AA2260" s="343"/>
      <c r="AB2260" s="249"/>
      <c r="AC2260" s="330"/>
      <c r="AD2260" s="343"/>
      <c r="AE2260" s="249"/>
      <c r="AF2260" s="330"/>
      <c r="AG2260" s="343"/>
      <c r="AH2260" s="249"/>
      <c r="AI2260" s="330"/>
      <c r="AJ2260" s="343"/>
      <c r="AK2260" s="249"/>
      <c r="AL2260" s="330"/>
      <c r="AM2260" s="343"/>
      <c r="AN2260" s="249"/>
      <c r="AO2260" s="330"/>
      <c r="AP2260" s="343"/>
      <c r="AQ2260" s="249"/>
      <c r="AR2260" s="330"/>
      <c r="AS2260" s="343"/>
      <c r="AT2260" s="249"/>
      <c r="AU2260" s="330"/>
    </row>
    <row r="2261" spans="2:47">
      <c r="B2261" s="247">
        <f>'Table S2 Compound Identifiers'!C2263</f>
        <v>0</v>
      </c>
      <c r="C2261" s="247">
        <f>COUNTIF($D$6:D2261,"&lt;&gt;"&amp;"")</f>
        <v>2256</v>
      </c>
      <c r="D2261" s="247">
        <f>'Table S2 Compound Identifiers'!B2263</f>
        <v>0</v>
      </c>
      <c r="E2261" s="247"/>
      <c r="F2261" s="248"/>
      <c r="G2261" s="249"/>
      <c r="H2261" s="330"/>
      <c r="I2261" s="328"/>
      <c r="J2261" s="249"/>
      <c r="K2261" s="330"/>
      <c r="L2261" s="250"/>
      <c r="M2261" s="249"/>
      <c r="N2261" s="330"/>
      <c r="O2261" s="250"/>
      <c r="P2261" s="249"/>
      <c r="Q2261" s="330"/>
      <c r="R2261" s="250"/>
      <c r="S2261" s="249"/>
      <c r="T2261" s="330"/>
      <c r="U2261" s="250"/>
      <c r="V2261" s="249"/>
      <c r="W2261" s="330"/>
      <c r="X2261" s="343"/>
      <c r="Y2261" s="249"/>
      <c r="Z2261" s="330"/>
      <c r="AA2261" s="343"/>
      <c r="AB2261" s="249"/>
      <c r="AC2261" s="330"/>
      <c r="AD2261" s="343"/>
      <c r="AE2261" s="249"/>
      <c r="AF2261" s="330"/>
      <c r="AG2261" s="343"/>
      <c r="AH2261" s="249"/>
      <c r="AI2261" s="330"/>
      <c r="AJ2261" s="343"/>
      <c r="AK2261" s="249"/>
      <c r="AL2261" s="330"/>
      <c r="AM2261" s="343"/>
      <c r="AN2261" s="249"/>
      <c r="AO2261" s="330"/>
      <c r="AP2261" s="343"/>
      <c r="AQ2261" s="249"/>
      <c r="AR2261" s="330"/>
      <c r="AS2261" s="343"/>
      <c r="AT2261" s="249"/>
      <c r="AU2261" s="330"/>
    </row>
    <row r="2262" spans="2:47">
      <c r="B2262" s="247">
        <f>'Table S2 Compound Identifiers'!C2264</f>
        <v>0</v>
      </c>
      <c r="C2262" s="247">
        <f>COUNTIF($D$6:D2262,"&lt;&gt;"&amp;"")</f>
        <v>2257</v>
      </c>
      <c r="D2262" s="247">
        <f>'Table S2 Compound Identifiers'!B2264</f>
        <v>0</v>
      </c>
      <c r="E2262" s="247"/>
      <c r="F2262" s="248"/>
      <c r="G2262" s="249"/>
      <c r="H2262" s="330"/>
      <c r="I2262" s="328"/>
      <c r="J2262" s="249"/>
      <c r="K2262" s="330"/>
      <c r="L2262" s="250"/>
      <c r="M2262" s="249"/>
      <c r="N2262" s="330"/>
      <c r="O2262" s="250"/>
      <c r="P2262" s="249"/>
      <c r="Q2262" s="330"/>
      <c r="R2262" s="250"/>
      <c r="S2262" s="249"/>
      <c r="T2262" s="330"/>
      <c r="U2262" s="250"/>
      <c r="V2262" s="249"/>
      <c r="W2262" s="330"/>
      <c r="X2262" s="343"/>
      <c r="Y2262" s="249"/>
      <c r="Z2262" s="330"/>
      <c r="AA2262" s="343"/>
      <c r="AB2262" s="249"/>
      <c r="AC2262" s="330"/>
      <c r="AD2262" s="343"/>
      <c r="AE2262" s="249"/>
      <c r="AF2262" s="330"/>
      <c r="AG2262" s="343"/>
      <c r="AH2262" s="249"/>
      <c r="AI2262" s="330"/>
      <c r="AJ2262" s="343"/>
      <c r="AK2262" s="249"/>
      <c r="AL2262" s="330"/>
      <c r="AM2262" s="343"/>
      <c r="AN2262" s="249"/>
      <c r="AO2262" s="330"/>
      <c r="AP2262" s="343"/>
      <c r="AQ2262" s="249"/>
      <c r="AR2262" s="330"/>
      <c r="AS2262" s="343"/>
      <c r="AT2262" s="249"/>
      <c r="AU2262" s="330"/>
    </row>
    <row r="2263" spans="2:47">
      <c r="B2263" s="247">
        <f>'Table S2 Compound Identifiers'!C2265</f>
        <v>0</v>
      </c>
      <c r="C2263" s="247">
        <f>COUNTIF($D$6:D2263,"&lt;&gt;"&amp;"")</f>
        <v>2258</v>
      </c>
      <c r="D2263" s="247">
        <f>'Table S2 Compound Identifiers'!B2265</f>
        <v>0</v>
      </c>
      <c r="E2263" s="247"/>
      <c r="F2263" s="248"/>
      <c r="G2263" s="249"/>
      <c r="H2263" s="330"/>
      <c r="I2263" s="328"/>
      <c r="J2263" s="249"/>
      <c r="K2263" s="330"/>
      <c r="L2263" s="250"/>
      <c r="M2263" s="249"/>
      <c r="N2263" s="330"/>
      <c r="O2263" s="250"/>
      <c r="P2263" s="249"/>
      <c r="Q2263" s="330"/>
      <c r="R2263" s="250"/>
      <c r="S2263" s="249"/>
      <c r="T2263" s="330"/>
      <c r="U2263" s="250"/>
      <c r="V2263" s="249"/>
      <c r="W2263" s="330"/>
      <c r="X2263" s="343"/>
      <c r="Y2263" s="249"/>
      <c r="Z2263" s="330"/>
      <c r="AA2263" s="343"/>
      <c r="AB2263" s="249"/>
      <c r="AC2263" s="330"/>
      <c r="AD2263" s="343"/>
      <c r="AE2263" s="249"/>
      <c r="AF2263" s="330"/>
      <c r="AG2263" s="343"/>
      <c r="AH2263" s="249"/>
      <c r="AI2263" s="330"/>
      <c r="AJ2263" s="343"/>
      <c r="AK2263" s="249"/>
      <c r="AL2263" s="330"/>
      <c r="AM2263" s="343"/>
      <c r="AN2263" s="249"/>
      <c r="AO2263" s="330"/>
      <c r="AP2263" s="343"/>
      <c r="AQ2263" s="249"/>
      <c r="AR2263" s="330"/>
      <c r="AS2263" s="343"/>
      <c r="AT2263" s="249"/>
      <c r="AU2263" s="330"/>
    </row>
    <row r="2264" spans="2:47">
      <c r="B2264" s="247">
        <f>'Table S2 Compound Identifiers'!C2266</f>
        <v>0</v>
      </c>
      <c r="C2264" s="247">
        <f>COUNTIF($D$6:D2264,"&lt;&gt;"&amp;"")</f>
        <v>2259</v>
      </c>
      <c r="D2264" s="247">
        <f>'Table S2 Compound Identifiers'!B2266</f>
        <v>0</v>
      </c>
      <c r="E2264" s="247"/>
      <c r="F2264" s="248"/>
      <c r="G2264" s="249"/>
      <c r="H2264" s="330"/>
      <c r="I2264" s="328"/>
      <c r="J2264" s="249"/>
      <c r="K2264" s="330"/>
      <c r="L2264" s="250"/>
      <c r="M2264" s="249"/>
      <c r="N2264" s="330"/>
      <c r="O2264" s="250"/>
      <c r="P2264" s="249"/>
      <c r="Q2264" s="330"/>
      <c r="R2264" s="250"/>
      <c r="S2264" s="249"/>
      <c r="T2264" s="330"/>
      <c r="U2264" s="250"/>
      <c r="V2264" s="249"/>
      <c r="W2264" s="330"/>
      <c r="X2264" s="343"/>
      <c r="Y2264" s="249"/>
      <c r="Z2264" s="330"/>
      <c r="AA2264" s="343"/>
      <c r="AB2264" s="249"/>
      <c r="AC2264" s="330"/>
      <c r="AD2264" s="343"/>
      <c r="AE2264" s="249"/>
      <c r="AF2264" s="330"/>
      <c r="AG2264" s="343"/>
      <c r="AH2264" s="249"/>
      <c r="AI2264" s="330"/>
      <c r="AJ2264" s="343"/>
      <c r="AK2264" s="249"/>
      <c r="AL2264" s="330"/>
      <c r="AM2264" s="343"/>
      <c r="AN2264" s="249"/>
      <c r="AO2264" s="330"/>
      <c r="AP2264" s="343"/>
      <c r="AQ2264" s="249"/>
      <c r="AR2264" s="330"/>
      <c r="AS2264" s="343"/>
      <c r="AT2264" s="249"/>
      <c r="AU2264" s="330"/>
    </row>
    <row r="2265" spans="2:47">
      <c r="B2265" s="247">
        <f>'Table S2 Compound Identifiers'!C2267</f>
        <v>0</v>
      </c>
      <c r="C2265" s="247">
        <f>COUNTIF($D$6:D2265,"&lt;&gt;"&amp;"")</f>
        <v>2260</v>
      </c>
      <c r="D2265" s="247">
        <f>'Table S2 Compound Identifiers'!B2267</f>
        <v>0</v>
      </c>
      <c r="E2265" s="247"/>
      <c r="F2265" s="248"/>
      <c r="G2265" s="249"/>
      <c r="H2265" s="330"/>
      <c r="I2265" s="328"/>
      <c r="J2265" s="249"/>
      <c r="K2265" s="330"/>
      <c r="L2265" s="250"/>
      <c r="M2265" s="249"/>
      <c r="N2265" s="330"/>
      <c r="O2265" s="250"/>
      <c r="P2265" s="249"/>
      <c r="Q2265" s="330"/>
      <c r="R2265" s="250"/>
      <c r="S2265" s="249"/>
      <c r="T2265" s="330"/>
      <c r="U2265" s="250"/>
      <c r="V2265" s="249"/>
      <c r="W2265" s="330"/>
      <c r="X2265" s="343"/>
      <c r="Y2265" s="249"/>
      <c r="Z2265" s="330"/>
      <c r="AA2265" s="343"/>
      <c r="AB2265" s="249"/>
      <c r="AC2265" s="330"/>
      <c r="AD2265" s="343"/>
      <c r="AE2265" s="249"/>
      <c r="AF2265" s="330"/>
      <c r="AG2265" s="343"/>
      <c r="AH2265" s="249"/>
      <c r="AI2265" s="330"/>
      <c r="AJ2265" s="343"/>
      <c r="AK2265" s="249"/>
      <c r="AL2265" s="330"/>
      <c r="AM2265" s="343"/>
      <c r="AN2265" s="249"/>
      <c r="AO2265" s="330"/>
      <c r="AP2265" s="343"/>
      <c r="AQ2265" s="249"/>
      <c r="AR2265" s="330"/>
      <c r="AS2265" s="343"/>
      <c r="AT2265" s="249"/>
      <c r="AU2265" s="330"/>
    </row>
    <row r="2266" spans="2:47">
      <c r="B2266" s="247">
        <f>'Table S2 Compound Identifiers'!C2268</f>
        <v>0</v>
      </c>
      <c r="C2266" s="247">
        <f>COUNTIF($D$6:D2266,"&lt;&gt;"&amp;"")</f>
        <v>2261</v>
      </c>
      <c r="D2266" s="247">
        <f>'Table S2 Compound Identifiers'!B2268</f>
        <v>0</v>
      </c>
      <c r="E2266" s="247"/>
      <c r="F2266" s="248"/>
      <c r="G2266" s="249"/>
      <c r="H2266" s="330"/>
      <c r="I2266" s="328"/>
      <c r="J2266" s="249"/>
      <c r="K2266" s="330"/>
      <c r="L2266" s="250"/>
      <c r="M2266" s="249"/>
      <c r="N2266" s="330"/>
      <c r="O2266" s="250"/>
      <c r="P2266" s="249"/>
      <c r="Q2266" s="330"/>
      <c r="R2266" s="250"/>
      <c r="S2266" s="249"/>
      <c r="T2266" s="330"/>
      <c r="U2266" s="250"/>
      <c r="V2266" s="249"/>
      <c r="W2266" s="330"/>
      <c r="X2266" s="343"/>
      <c r="Y2266" s="249"/>
      <c r="Z2266" s="330"/>
      <c r="AA2266" s="343"/>
      <c r="AB2266" s="249"/>
      <c r="AC2266" s="330"/>
      <c r="AD2266" s="343"/>
      <c r="AE2266" s="249"/>
      <c r="AF2266" s="330"/>
      <c r="AG2266" s="343"/>
      <c r="AH2266" s="249"/>
      <c r="AI2266" s="330"/>
      <c r="AJ2266" s="343"/>
      <c r="AK2266" s="249"/>
      <c r="AL2266" s="330"/>
      <c r="AM2266" s="343"/>
      <c r="AN2266" s="249"/>
      <c r="AO2266" s="330"/>
      <c r="AP2266" s="343"/>
      <c r="AQ2266" s="249"/>
      <c r="AR2266" s="330"/>
      <c r="AS2266" s="343"/>
      <c r="AT2266" s="249"/>
      <c r="AU2266" s="330"/>
    </row>
    <row r="2267" spans="2:47">
      <c r="B2267" s="247">
        <f>'Table S2 Compound Identifiers'!C2269</f>
        <v>0</v>
      </c>
      <c r="C2267" s="247">
        <f>COUNTIF($D$6:D2267,"&lt;&gt;"&amp;"")</f>
        <v>2262</v>
      </c>
      <c r="D2267" s="247">
        <f>'Table S2 Compound Identifiers'!B2269</f>
        <v>0</v>
      </c>
      <c r="E2267" s="247"/>
      <c r="F2267" s="248"/>
      <c r="G2267" s="249"/>
      <c r="H2267" s="330"/>
      <c r="I2267" s="328"/>
      <c r="J2267" s="249"/>
      <c r="K2267" s="330"/>
      <c r="L2267" s="250"/>
      <c r="M2267" s="249"/>
      <c r="N2267" s="330"/>
      <c r="O2267" s="250"/>
      <c r="P2267" s="249"/>
      <c r="Q2267" s="330"/>
      <c r="R2267" s="250"/>
      <c r="S2267" s="249"/>
      <c r="T2267" s="330"/>
      <c r="U2267" s="250"/>
      <c r="V2267" s="249"/>
      <c r="W2267" s="330"/>
      <c r="X2267" s="343"/>
      <c r="Y2267" s="249"/>
      <c r="Z2267" s="330"/>
      <c r="AA2267" s="343"/>
      <c r="AB2267" s="249"/>
      <c r="AC2267" s="330"/>
      <c r="AD2267" s="343"/>
      <c r="AE2267" s="249"/>
      <c r="AF2267" s="330"/>
      <c r="AG2267" s="343"/>
      <c r="AH2267" s="249"/>
      <c r="AI2267" s="330"/>
      <c r="AJ2267" s="343"/>
      <c r="AK2267" s="249"/>
      <c r="AL2267" s="330"/>
      <c r="AM2267" s="343"/>
      <c r="AN2267" s="249"/>
      <c r="AO2267" s="330"/>
      <c r="AP2267" s="343"/>
      <c r="AQ2267" s="249"/>
      <c r="AR2267" s="330"/>
      <c r="AS2267" s="343"/>
      <c r="AT2267" s="249"/>
      <c r="AU2267" s="330"/>
    </row>
    <row r="2268" spans="2:47">
      <c r="B2268" s="247">
        <f>'Table S2 Compound Identifiers'!C2270</f>
        <v>0</v>
      </c>
      <c r="C2268" s="247">
        <f>COUNTIF($D$6:D2268,"&lt;&gt;"&amp;"")</f>
        <v>2263</v>
      </c>
      <c r="D2268" s="247">
        <f>'Table S2 Compound Identifiers'!B2270</f>
        <v>0</v>
      </c>
      <c r="E2268" s="247"/>
      <c r="F2268" s="248"/>
      <c r="G2268" s="249"/>
      <c r="H2268" s="330"/>
      <c r="I2268" s="328"/>
      <c r="J2268" s="249"/>
      <c r="K2268" s="330"/>
      <c r="L2268" s="250"/>
      <c r="M2268" s="249"/>
      <c r="N2268" s="330"/>
      <c r="O2268" s="250"/>
      <c r="P2268" s="249"/>
      <c r="Q2268" s="330"/>
      <c r="R2268" s="250"/>
      <c r="S2268" s="249"/>
      <c r="T2268" s="330"/>
      <c r="U2268" s="250"/>
      <c r="V2268" s="249"/>
      <c r="W2268" s="330"/>
      <c r="X2268" s="343"/>
      <c r="Y2268" s="249"/>
      <c r="Z2268" s="330"/>
      <c r="AA2268" s="343"/>
      <c r="AB2268" s="249"/>
      <c r="AC2268" s="330"/>
      <c r="AD2268" s="343"/>
      <c r="AE2268" s="249"/>
      <c r="AF2268" s="330"/>
      <c r="AG2268" s="343"/>
      <c r="AH2268" s="249"/>
      <c r="AI2268" s="330"/>
      <c r="AJ2268" s="343"/>
      <c r="AK2268" s="249"/>
      <c r="AL2268" s="330"/>
      <c r="AM2268" s="343"/>
      <c r="AN2268" s="249"/>
      <c r="AO2268" s="330"/>
      <c r="AP2268" s="343"/>
      <c r="AQ2268" s="249"/>
      <c r="AR2268" s="330"/>
      <c r="AS2268" s="343"/>
      <c r="AT2268" s="249"/>
      <c r="AU2268" s="330"/>
    </row>
    <row r="2269" spans="2:47">
      <c r="B2269" s="247">
        <f>'Table S2 Compound Identifiers'!C2271</f>
        <v>0</v>
      </c>
      <c r="C2269" s="247">
        <f>COUNTIF($D$6:D2269,"&lt;&gt;"&amp;"")</f>
        <v>2264</v>
      </c>
      <c r="D2269" s="247">
        <f>'Table S2 Compound Identifiers'!B2271</f>
        <v>0</v>
      </c>
      <c r="E2269" s="247"/>
      <c r="F2269" s="248"/>
      <c r="G2269" s="249"/>
      <c r="H2269" s="330"/>
      <c r="I2269" s="328"/>
      <c r="J2269" s="249"/>
      <c r="K2269" s="330"/>
      <c r="L2269" s="250"/>
      <c r="M2269" s="249"/>
      <c r="N2269" s="330"/>
      <c r="O2269" s="250"/>
      <c r="P2269" s="249"/>
      <c r="Q2269" s="330"/>
      <c r="R2269" s="250"/>
      <c r="S2269" s="249"/>
      <c r="T2269" s="330"/>
      <c r="U2269" s="250"/>
      <c r="V2269" s="249"/>
      <c r="W2269" s="330"/>
      <c r="X2269" s="343"/>
      <c r="Y2269" s="249"/>
      <c r="Z2269" s="330"/>
      <c r="AA2269" s="343"/>
      <c r="AB2269" s="249"/>
      <c r="AC2269" s="330"/>
      <c r="AD2269" s="343"/>
      <c r="AE2269" s="249"/>
      <c r="AF2269" s="330"/>
      <c r="AG2269" s="343"/>
      <c r="AH2269" s="249"/>
      <c r="AI2269" s="330"/>
      <c r="AJ2269" s="343"/>
      <c r="AK2269" s="249"/>
      <c r="AL2269" s="330"/>
      <c r="AM2269" s="343"/>
      <c r="AN2269" s="249"/>
      <c r="AO2269" s="330"/>
      <c r="AP2269" s="343"/>
      <c r="AQ2269" s="249"/>
      <c r="AR2269" s="330"/>
      <c r="AS2269" s="343"/>
      <c r="AT2269" s="249"/>
      <c r="AU2269" s="330"/>
    </row>
    <row r="2270" spans="2:47">
      <c r="B2270" s="247">
        <f>'Table S2 Compound Identifiers'!C2272</f>
        <v>0</v>
      </c>
      <c r="C2270" s="247">
        <f>COUNTIF($D$6:D2270,"&lt;&gt;"&amp;"")</f>
        <v>2265</v>
      </c>
      <c r="D2270" s="247">
        <f>'Table S2 Compound Identifiers'!B2272</f>
        <v>0</v>
      </c>
      <c r="E2270" s="247"/>
      <c r="F2270" s="248"/>
      <c r="G2270" s="249"/>
      <c r="H2270" s="330"/>
      <c r="I2270" s="328"/>
      <c r="J2270" s="249"/>
      <c r="K2270" s="330"/>
      <c r="L2270" s="250"/>
      <c r="M2270" s="249"/>
      <c r="N2270" s="330"/>
      <c r="O2270" s="250"/>
      <c r="P2270" s="249"/>
      <c r="Q2270" s="330"/>
      <c r="R2270" s="250"/>
      <c r="S2270" s="249"/>
      <c r="T2270" s="330"/>
      <c r="U2270" s="250"/>
      <c r="V2270" s="249"/>
      <c r="W2270" s="330"/>
      <c r="X2270" s="343"/>
      <c r="Y2270" s="249"/>
      <c r="Z2270" s="330"/>
      <c r="AA2270" s="343"/>
      <c r="AB2270" s="249"/>
      <c r="AC2270" s="330"/>
      <c r="AD2270" s="343"/>
      <c r="AE2270" s="249"/>
      <c r="AF2270" s="330"/>
      <c r="AG2270" s="343"/>
      <c r="AH2270" s="249"/>
      <c r="AI2270" s="330"/>
      <c r="AJ2270" s="343"/>
      <c r="AK2270" s="249"/>
      <c r="AL2270" s="330"/>
      <c r="AM2270" s="343"/>
      <c r="AN2270" s="249"/>
      <c r="AO2270" s="330"/>
      <c r="AP2270" s="343"/>
      <c r="AQ2270" s="249"/>
      <c r="AR2270" s="330"/>
      <c r="AS2270" s="343"/>
      <c r="AT2270" s="249"/>
      <c r="AU2270" s="330"/>
    </row>
    <row r="2271" spans="2:47">
      <c r="B2271" s="247">
        <f>'Table S2 Compound Identifiers'!C2273</f>
        <v>0</v>
      </c>
      <c r="C2271" s="247">
        <f>COUNTIF($D$6:D2271,"&lt;&gt;"&amp;"")</f>
        <v>2266</v>
      </c>
      <c r="D2271" s="247">
        <f>'Table S2 Compound Identifiers'!B2273</f>
        <v>0</v>
      </c>
      <c r="E2271" s="247"/>
      <c r="F2271" s="248"/>
      <c r="G2271" s="249"/>
      <c r="H2271" s="330"/>
      <c r="I2271" s="328"/>
      <c r="J2271" s="249"/>
      <c r="K2271" s="330"/>
      <c r="L2271" s="250"/>
      <c r="M2271" s="249"/>
      <c r="N2271" s="330"/>
      <c r="O2271" s="250"/>
      <c r="P2271" s="249"/>
      <c r="Q2271" s="330"/>
      <c r="R2271" s="250"/>
      <c r="S2271" s="249"/>
      <c r="T2271" s="330"/>
      <c r="U2271" s="250"/>
      <c r="V2271" s="249"/>
      <c r="W2271" s="330"/>
      <c r="X2271" s="343"/>
      <c r="Y2271" s="249"/>
      <c r="Z2271" s="330"/>
      <c r="AA2271" s="343"/>
      <c r="AB2271" s="249"/>
      <c r="AC2271" s="330"/>
      <c r="AD2271" s="343"/>
      <c r="AE2271" s="249"/>
      <c r="AF2271" s="330"/>
      <c r="AG2271" s="343"/>
      <c r="AH2271" s="249"/>
      <c r="AI2271" s="330"/>
      <c r="AJ2271" s="343"/>
      <c r="AK2271" s="249"/>
      <c r="AL2271" s="330"/>
      <c r="AM2271" s="343"/>
      <c r="AN2271" s="249"/>
      <c r="AO2271" s="330"/>
      <c r="AP2271" s="343"/>
      <c r="AQ2271" s="249"/>
      <c r="AR2271" s="330"/>
      <c r="AS2271" s="343"/>
      <c r="AT2271" s="249"/>
      <c r="AU2271" s="330"/>
    </row>
    <row r="2272" spans="2:47">
      <c r="B2272" s="247">
        <f>'Table S2 Compound Identifiers'!C2274</f>
        <v>0</v>
      </c>
      <c r="C2272" s="247">
        <f>COUNTIF($D$6:D2272,"&lt;&gt;"&amp;"")</f>
        <v>2267</v>
      </c>
      <c r="D2272" s="247">
        <f>'Table S2 Compound Identifiers'!B2274</f>
        <v>0</v>
      </c>
      <c r="E2272" s="247"/>
      <c r="F2272" s="248"/>
      <c r="G2272" s="249"/>
      <c r="H2272" s="330"/>
      <c r="I2272" s="328"/>
      <c r="J2272" s="249"/>
      <c r="K2272" s="330"/>
      <c r="L2272" s="250"/>
      <c r="M2272" s="249"/>
      <c r="N2272" s="330"/>
      <c r="O2272" s="250"/>
      <c r="P2272" s="249"/>
      <c r="Q2272" s="330"/>
      <c r="R2272" s="250"/>
      <c r="S2272" s="249"/>
      <c r="T2272" s="330"/>
      <c r="U2272" s="250"/>
      <c r="V2272" s="249"/>
      <c r="W2272" s="330"/>
      <c r="X2272" s="343"/>
      <c r="Y2272" s="249"/>
      <c r="Z2272" s="330"/>
      <c r="AA2272" s="343"/>
      <c r="AB2272" s="249"/>
      <c r="AC2272" s="330"/>
      <c r="AD2272" s="343"/>
      <c r="AE2272" s="249"/>
      <c r="AF2272" s="330"/>
      <c r="AG2272" s="343"/>
      <c r="AH2272" s="249"/>
      <c r="AI2272" s="330"/>
      <c r="AJ2272" s="343"/>
      <c r="AK2272" s="249"/>
      <c r="AL2272" s="330"/>
      <c r="AM2272" s="343"/>
      <c r="AN2272" s="249"/>
      <c r="AO2272" s="330"/>
      <c r="AP2272" s="343"/>
      <c r="AQ2272" s="249"/>
      <c r="AR2272" s="330"/>
      <c r="AS2272" s="343"/>
      <c r="AT2272" s="249"/>
      <c r="AU2272" s="330"/>
    </row>
    <row r="2273" spans="2:47">
      <c r="B2273" s="247">
        <f>'Table S2 Compound Identifiers'!C2275</f>
        <v>0</v>
      </c>
      <c r="C2273" s="247">
        <f>COUNTIF($D$6:D2273,"&lt;&gt;"&amp;"")</f>
        <v>2268</v>
      </c>
      <c r="D2273" s="247">
        <f>'Table S2 Compound Identifiers'!B2275</f>
        <v>0</v>
      </c>
      <c r="E2273" s="247"/>
      <c r="F2273" s="248"/>
      <c r="G2273" s="249"/>
      <c r="H2273" s="330"/>
      <c r="I2273" s="328"/>
      <c r="J2273" s="249"/>
      <c r="K2273" s="330"/>
      <c r="L2273" s="250"/>
      <c r="M2273" s="249"/>
      <c r="N2273" s="330"/>
      <c r="O2273" s="250"/>
      <c r="P2273" s="249"/>
      <c r="Q2273" s="330"/>
      <c r="R2273" s="250"/>
      <c r="S2273" s="249"/>
      <c r="T2273" s="330"/>
      <c r="U2273" s="250"/>
      <c r="V2273" s="249"/>
      <c r="W2273" s="330"/>
      <c r="X2273" s="343"/>
      <c r="Y2273" s="249"/>
      <c r="Z2273" s="330"/>
      <c r="AA2273" s="343"/>
      <c r="AB2273" s="249"/>
      <c r="AC2273" s="330"/>
      <c r="AD2273" s="343"/>
      <c r="AE2273" s="249"/>
      <c r="AF2273" s="330"/>
      <c r="AG2273" s="343"/>
      <c r="AH2273" s="249"/>
      <c r="AI2273" s="330"/>
      <c r="AJ2273" s="343"/>
      <c r="AK2273" s="249"/>
      <c r="AL2273" s="330"/>
      <c r="AM2273" s="343"/>
      <c r="AN2273" s="249"/>
      <c r="AO2273" s="330"/>
      <c r="AP2273" s="343"/>
      <c r="AQ2273" s="249"/>
      <c r="AR2273" s="330"/>
      <c r="AS2273" s="343"/>
      <c r="AT2273" s="249"/>
      <c r="AU2273" s="330"/>
    </row>
    <row r="2274" spans="2:47">
      <c r="B2274" s="247">
        <f>'Table S2 Compound Identifiers'!C2276</f>
        <v>0</v>
      </c>
      <c r="C2274" s="247">
        <f>COUNTIF($D$6:D2274,"&lt;&gt;"&amp;"")</f>
        <v>2269</v>
      </c>
      <c r="D2274" s="247">
        <f>'Table S2 Compound Identifiers'!B2276</f>
        <v>0</v>
      </c>
      <c r="E2274" s="247"/>
      <c r="F2274" s="248"/>
      <c r="G2274" s="249"/>
      <c r="H2274" s="330"/>
      <c r="I2274" s="328"/>
      <c r="J2274" s="249"/>
      <c r="K2274" s="330"/>
      <c r="L2274" s="250"/>
      <c r="M2274" s="249"/>
      <c r="N2274" s="330"/>
      <c r="O2274" s="250"/>
      <c r="P2274" s="249"/>
      <c r="Q2274" s="330"/>
      <c r="R2274" s="250"/>
      <c r="S2274" s="249"/>
      <c r="T2274" s="330"/>
      <c r="U2274" s="250"/>
      <c r="V2274" s="249"/>
      <c r="W2274" s="330"/>
      <c r="X2274" s="343"/>
      <c r="Y2274" s="249"/>
      <c r="Z2274" s="330"/>
      <c r="AA2274" s="343"/>
      <c r="AB2274" s="249"/>
      <c r="AC2274" s="330"/>
      <c r="AD2274" s="343"/>
      <c r="AE2274" s="249"/>
      <c r="AF2274" s="330"/>
      <c r="AG2274" s="343"/>
      <c r="AH2274" s="249"/>
      <c r="AI2274" s="330"/>
      <c r="AJ2274" s="343"/>
      <c r="AK2274" s="249"/>
      <c r="AL2274" s="330"/>
      <c r="AM2274" s="343"/>
      <c r="AN2274" s="249"/>
      <c r="AO2274" s="330"/>
      <c r="AP2274" s="343"/>
      <c r="AQ2274" s="249"/>
      <c r="AR2274" s="330"/>
      <c r="AS2274" s="343"/>
      <c r="AT2274" s="249"/>
      <c r="AU2274" s="330"/>
    </row>
    <row r="2275" spans="2:47">
      <c r="B2275" s="247">
        <f>'Table S2 Compound Identifiers'!C2277</f>
        <v>0</v>
      </c>
      <c r="C2275" s="247">
        <f>COUNTIF($D$6:D2275,"&lt;&gt;"&amp;"")</f>
        <v>2270</v>
      </c>
      <c r="D2275" s="247">
        <f>'Table S2 Compound Identifiers'!B2277</f>
        <v>0</v>
      </c>
      <c r="E2275" s="247"/>
      <c r="F2275" s="248"/>
      <c r="G2275" s="249"/>
      <c r="H2275" s="330"/>
      <c r="I2275" s="328"/>
      <c r="J2275" s="249"/>
      <c r="K2275" s="330"/>
      <c r="L2275" s="250"/>
      <c r="M2275" s="249"/>
      <c r="N2275" s="330"/>
      <c r="O2275" s="250"/>
      <c r="P2275" s="249"/>
      <c r="Q2275" s="330"/>
      <c r="R2275" s="250"/>
      <c r="S2275" s="249"/>
      <c r="T2275" s="330"/>
      <c r="U2275" s="250"/>
      <c r="V2275" s="249"/>
      <c r="W2275" s="330"/>
      <c r="X2275" s="343"/>
      <c r="Y2275" s="249"/>
      <c r="Z2275" s="330"/>
      <c r="AA2275" s="343"/>
      <c r="AB2275" s="249"/>
      <c r="AC2275" s="330"/>
      <c r="AD2275" s="343"/>
      <c r="AE2275" s="249"/>
      <c r="AF2275" s="330"/>
      <c r="AG2275" s="343"/>
      <c r="AH2275" s="249"/>
      <c r="AI2275" s="330"/>
      <c r="AJ2275" s="343"/>
      <c r="AK2275" s="249"/>
      <c r="AL2275" s="330"/>
      <c r="AM2275" s="343"/>
      <c r="AN2275" s="249"/>
      <c r="AO2275" s="330"/>
      <c r="AP2275" s="343"/>
      <c r="AQ2275" s="249"/>
      <c r="AR2275" s="330"/>
      <c r="AS2275" s="343"/>
      <c r="AT2275" s="249"/>
      <c r="AU2275" s="330"/>
    </row>
    <row r="2276" spans="2:47">
      <c r="B2276" s="247">
        <f>'Table S2 Compound Identifiers'!C2278</f>
        <v>0</v>
      </c>
      <c r="C2276" s="247">
        <f>COUNTIF($D$6:D2276,"&lt;&gt;"&amp;"")</f>
        <v>2271</v>
      </c>
      <c r="D2276" s="247">
        <f>'Table S2 Compound Identifiers'!B2278</f>
        <v>0</v>
      </c>
      <c r="E2276" s="247"/>
      <c r="F2276" s="248"/>
      <c r="G2276" s="249"/>
      <c r="H2276" s="330"/>
      <c r="I2276" s="328"/>
      <c r="J2276" s="249"/>
      <c r="K2276" s="330"/>
      <c r="L2276" s="250"/>
      <c r="M2276" s="249"/>
      <c r="N2276" s="330"/>
      <c r="O2276" s="250"/>
      <c r="P2276" s="249"/>
      <c r="Q2276" s="330"/>
      <c r="R2276" s="250"/>
      <c r="S2276" s="249"/>
      <c r="T2276" s="330"/>
      <c r="U2276" s="250"/>
      <c r="V2276" s="249"/>
      <c r="W2276" s="330"/>
      <c r="X2276" s="343"/>
      <c r="Y2276" s="249"/>
      <c r="Z2276" s="330"/>
      <c r="AA2276" s="343"/>
      <c r="AB2276" s="249"/>
      <c r="AC2276" s="330"/>
      <c r="AD2276" s="343"/>
      <c r="AE2276" s="249"/>
      <c r="AF2276" s="330"/>
      <c r="AG2276" s="343"/>
      <c r="AH2276" s="249"/>
      <c r="AI2276" s="330"/>
      <c r="AJ2276" s="343"/>
      <c r="AK2276" s="249"/>
      <c r="AL2276" s="330"/>
      <c r="AM2276" s="343"/>
      <c r="AN2276" s="249"/>
      <c r="AO2276" s="330"/>
      <c r="AP2276" s="343"/>
      <c r="AQ2276" s="249"/>
      <c r="AR2276" s="330"/>
      <c r="AS2276" s="343"/>
      <c r="AT2276" s="249"/>
      <c r="AU2276" s="330"/>
    </row>
    <row r="2277" spans="2:47">
      <c r="B2277" s="247">
        <f>'Table S2 Compound Identifiers'!C2279</f>
        <v>0</v>
      </c>
      <c r="C2277" s="247">
        <f>COUNTIF($D$6:D2277,"&lt;&gt;"&amp;"")</f>
        <v>2272</v>
      </c>
      <c r="D2277" s="247">
        <f>'Table S2 Compound Identifiers'!B2279</f>
        <v>0</v>
      </c>
      <c r="E2277" s="247"/>
      <c r="F2277" s="248"/>
      <c r="G2277" s="249"/>
      <c r="H2277" s="330"/>
      <c r="I2277" s="328"/>
      <c r="J2277" s="249"/>
      <c r="K2277" s="330"/>
      <c r="L2277" s="250"/>
      <c r="M2277" s="249"/>
      <c r="N2277" s="330"/>
      <c r="O2277" s="250"/>
      <c r="P2277" s="249"/>
      <c r="Q2277" s="330"/>
      <c r="R2277" s="250"/>
      <c r="S2277" s="249"/>
      <c r="T2277" s="330"/>
      <c r="U2277" s="250"/>
      <c r="V2277" s="249"/>
      <c r="W2277" s="330"/>
      <c r="X2277" s="343"/>
      <c r="Y2277" s="249"/>
      <c r="Z2277" s="330"/>
      <c r="AA2277" s="343"/>
      <c r="AB2277" s="249"/>
      <c r="AC2277" s="330"/>
      <c r="AD2277" s="343"/>
      <c r="AE2277" s="249"/>
      <c r="AF2277" s="330"/>
      <c r="AG2277" s="343"/>
      <c r="AH2277" s="249"/>
      <c r="AI2277" s="330"/>
      <c r="AJ2277" s="343"/>
      <c r="AK2277" s="249"/>
      <c r="AL2277" s="330"/>
      <c r="AM2277" s="343"/>
      <c r="AN2277" s="249"/>
      <c r="AO2277" s="330"/>
      <c r="AP2277" s="343"/>
      <c r="AQ2277" s="249"/>
      <c r="AR2277" s="330"/>
      <c r="AS2277" s="343"/>
      <c r="AT2277" s="249"/>
      <c r="AU2277" s="330"/>
    </row>
    <row r="2278" spans="2:47">
      <c r="B2278" s="247">
        <f>'Table S2 Compound Identifiers'!C2280</f>
        <v>0</v>
      </c>
      <c r="C2278" s="247">
        <f>COUNTIF($D$6:D2278,"&lt;&gt;"&amp;"")</f>
        <v>2273</v>
      </c>
      <c r="D2278" s="247">
        <f>'Table S2 Compound Identifiers'!B2280</f>
        <v>0</v>
      </c>
      <c r="E2278" s="247"/>
      <c r="F2278" s="248"/>
      <c r="G2278" s="249"/>
      <c r="H2278" s="330"/>
      <c r="I2278" s="328"/>
      <c r="J2278" s="249"/>
      <c r="K2278" s="330"/>
      <c r="L2278" s="250"/>
      <c r="M2278" s="249"/>
      <c r="N2278" s="330"/>
      <c r="O2278" s="250"/>
      <c r="P2278" s="249"/>
      <c r="Q2278" s="330"/>
      <c r="R2278" s="250"/>
      <c r="S2278" s="249"/>
      <c r="T2278" s="330"/>
      <c r="U2278" s="250"/>
      <c r="V2278" s="249"/>
      <c r="W2278" s="330"/>
      <c r="X2278" s="343"/>
      <c r="Y2278" s="249"/>
      <c r="Z2278" s="330"/>
      <c r="AA2278" s="343"/>
      <c r="AB2278" s="249"/>
      <c r="AC2278" s="330"/>
      <c r="AD2278" s="343"/>
      <c r="AE2278" s="249"/>
      <c r="AF2278" s="330"/>
      <c r="AG2278" s="343"/>
      <c r="AH2278" s="249"/>
      <c r="AI2278" s="330"/>
      <c r="AJ2278" s="343"/>
      <c r="AK2278" s="249"/>
      <c r="AL2278" s="330"/>
      <c r="AM2278" s="343"/>
      <c r="AN2278" s="249"/>
      <c r="AO2278" s="330"/>
      <c r="AP2278" s="343"/>
      <c r="AQ2278" s="249"/>
      <c r="AR2278" s="330"/>
      <c r="AS2278" s="343"/>
      <c r="AT2278" s="249"/>
      <c r="AU2278" s="330"/>
    </row>
    <row r="2279" spans="2:47">
      <c r="B2279" s="247">
        <f>'Table S2 Compound Identifiers'!C2281</f>
        <v>0</v>
      </c>
      <c r="C2279" s="247">
        <f>COUNTIF($D$6:D2279,"&lt;&gt;"&amp;"")</f>
        <v>2274</v>
      </c>
      <c r="D2279" s="247">
        <f>'Table S2 Compound Identifiers'!B2281</f>
        <v>0</v>
      </c>
      <c r="E2279" s="247"/>
      <c r="F2279" s="248"/>
      <c r="G2279" s="249"/>
      <c r="H2279" s="330"/>
      <c r="I2279" s="328"/>
      <c r="J2279" s="249"/>
      <c r="K2279" s="330"/>
      <c r="L2279" s="250"/>
      <c r="M2279" s="249"/>
      <c r="N2279" s="330"/>
      <c r="O2279" s="250"/>
      <c r="P2279" s="249"/>
      <c r="Q2279" s="330"/>
      <c r="R2279" s="250"/>
      <c r="S2279" s="249"/>
      <c r="T2279" s="330"/>
      <c r="U2279" s="250"/>
      <c r="V2279" s="249"/>
      <c r="W2279" s="330"/>
      <c r="X2279" s="343"/>
      <c r="Y2279" s="249"/>
      <c r="Z2279" s="330"/>
      <c r="AA2279" s="343"/>
      <c r="AB2279" s="249"/>
      <c r="AC2279" s="330"/>
      <c r="AD2279" s="343"/>
      <c r="AE2279" s="249"/>
      <c r="AF2279" s="330"/>
      <c r="AG2279" s="343"/>
      <c r="AH2279" s="249"/>
      <c r="AI2279" s="330"/>
      <c r="AJ2279" s="343"/>
      <c r="AK2279" s="249"/>
      <c r="AL2279" s="330"/>
      <c r="AM2279" s="343"/>
      <c r="AN2279" s="249"/>
      <c r="AO2279" s="330"/>
      <c r="AP2279" s="343"/>
      <c r="AQ2279" s="249"/>
      <c r="AR2279" s="330"/>
      <c r="AS2279" s="343"/>
      <c r="AT2279" s="249"/>
      <c r="AU2279" s="330"/>
    </row>
    <row r="2280" spans="2:47">
      <c r="B2280" s="247">
        <f>'Table S2 Compound Identifiers'!C2282</f>
        <v>0</v>
      </c>
      <c r="C2280" s="247">
        <f>COUNTIF($D$6:D2280,"&lt;&gt;"&amp;"")</f>
        <v>2275</v>
      </c>
      <c r="D2280" s="247">
        <f>'Table S2 Compound Identifiers'!B2282</f>
        <v>0</v>
      </c>
      <c r="E2280" s="247"/>
      <c r="F2280" s="248"/>
      <c r="G2280" s="249"/>
      <c r="H2280" s="330"/>
      <c r="I2280" s="328"/>
      <c r="J2280" s="249"/>
      <c r="K2280" s="330"/>
      <c r="L2280" s="250"/>
      <c r="M2280" s="249"/>
      <c r="N2280" s="330"/>
      <c r="O2280" s="250"/>
      <c r="P2280" s="249"/>
      <c r="Q2280" s="330"/>
      <c r="R2280" s="250"/>
      <c r="S2280" s="249"/>
      <c r="T2280" s="330"/>
      <c r="U2280" s="250"/>
      <c r="V2280" s="249"/>
      <c r="W2280" s="330"/>
      <c r="X2280" s="343"/>
      <c r="Y2280" s="249"/>
      <c r="Z2280" s="330"/>
      <c r="AA2280" s="343"/>
      <c r="AB2280" s="249"/>
      <c r="AC2280" s="330"/>
      <c r="AD2280" s="343"/>
      <c r="AE2280" s="249"/>
      <c r="AF2280" s="330"/>
      <c r="AG2280" s="343"/>
      <c r="AH2280" s="249"/>
      <c r="AI2280" s="330"/>
      <c r="AJ2280" s="343"/>
      <c r="AK2280" s="249"/>
      <c r="AL2280" s="330"/>
      <c r="AM2280" s="343"/>
      <c r="AN2280" s="249"/>
      <c r="AO2280" s="330"/>
      <c r="AP2280" s="343"/>
      <c r="AQ2280" s="249"/>
      <c r="AR2280" s="330"/>
      <c r="AS2280" s="343"/>
      <c r="AT2280" s="249"/>
      <c r="AU2280" s="330"/>
    </row>
    <row r="2281" spans="2:47">
      <c r="B2281" s="247">
        <f>'Table S2 Compound Identifiers'!C2283</f>
        <v>0</v>
      </c>
      <c r="C2281" s="247">
        <f>COUNTIF($D$6:D2281,"&lt;&gt;"&amp;"")</f>
        <v>2276</v>
      </c>
      <c r="D2281" s="247">
        <f>'Table S2 Compound Identifiers'!B2283</f>
        <v>0</v>
      </c>
      <c r="E2281" s="247"/>
      <c r="F2281" s="248"/>
      <c r="G2281" s="249"/>
      <c r="H2281" s="330"/>
      <c r="I2281" s="328"/>
      <c r="J2281" s="249"/>
      <c r="K2281" s="330"/>
      <c r="L2281" s="250"/>
      <c r="M2281" s="249"/>
      <c r="N2281" s="330"/>
      <c r="O2281" s="250"/>
      <c r="P2281" s="249"/>
      <c r="Q2281" s="330"/>
      <c r="R2281" s="250"/>
      <c r="S2281" s="249"/>
      <c r="T2281" s="330"/>
      <c r="U2281" s="250"/>
      <c r="V2281" s="249"/>
      <c r="W2281" s="330"/>
      <c r="X2281" s="343"/>
      <c r="Y2281" s="249"/>
      <c r="Z2281" s="330"/>
      <c r="AA2281" s="343"/>
      <c r="AB2281" s="249"/>
      <c r="AC2281" s="330"/>
      <c r="AD2281" s="343"/>
      <c r="AE2281" s="249"/>
      <c r="AF2281" s="330"/>
      <c r="AG2281" s="343"/>
      <c r="AH2281" s="249"/>
      <c r="AI2281" s="330"/>
      <c r="AJ2281" s="343"/>
      <c r="AK2281" s="249"/>
      <c r="AL2281" s="330"/>
      <c r="AM2281" s="343"/>
      <c r="AN2281" s="249"/>
      <c r="AO2281" s="330"/>
      <c r="AP2281" s="343"/>
      <c r="AQ2281" s="249"/>
      <c r="AR2281" s="330"/>
      <c r="AS2281" s="343"/>
      <c r="AT2281" s="249"/>
      <c r="AU2281" s="330"/>
    </row>
    <row r="2282" spans="2:47">
      <c r="B2282" s="247">
        <f>'Table S2 Compound Identifiers'!C2284</f>
        <v>0</v>
      </c>
      <c r="C2282" s="247">
        <f>COUNTIF($D$6:D2282,"&lt;&gt;"&amp;"")</f>
        <v>2277</v>
      </c>
      <c r="D2282" s="432">
        <f>'Table S2 Compound Identifiers'!B2284</f>
        <v>0</v>
      </c>
      <c r="E2282" s="247"/>
      <c r="F2282" s="248"/>
      <c r="G2282" s="249"/>
      <c r="H2282" s="330"/>
      <c r="I2282" s="328"/>
      <c r="J2282" s="249"/>
      <c r="K2282" s="330"/>
      <c r="L2282" s="250"/>
      <c r="M2282" s="249"/>
      <c r="N2282" s="330"/>
      <c r="O2282" s="250"/>
      <c r="P2282" s="249"/>
      <c r="Q2282" s="330"/>
      <c r="R2282" s="250"/>
      <c r="S2282" s="249"/>
      <c r="T2282" s="330"/>
      <c r="U2282" s="250"/>
      <c r="V2282" s="249"/>
      <c r="W2282" s="330"/>
      <c r="X2282" s="343"/>
      <c r="Y2282" s="249"/>
      <c r="Z2282" s="330"/>
      <c r="AA2282" s="343"/>
      <c r="AB2282" s="249"/>
      <c r="AC2282" s="330"/>
      <c r="AD2282" s="343"/>
      <c r="AE2282" s="249"/>
      <c r="AF2282" s="330"/>
      <c r="AG2282" s="343"/>
      <c r="AH2282" s="249"/>
      <c r="AI2282" s="330"/>
      <c r="AJ2282" s="343"/>
      <c r="AK2282" s="249"/>
      <c r="AL2282" s="330"/>
      <c r="AM2282" s="343"/>
      <c r="AN2282" s="249"/>
      <c r="AO2282" s="330"/>
      <c r="AP2282" s="343"/>
      <c r="AQ2282" s="249"/>
      <c r="AR2282" s="330"/>
      <c r="AS2282" s="343"/>
      <c r="AT2282" s="249"/>
      <c r="AU2282" s="330"/>
    </row>
    <row r="2283" spans="2:47">
      <c r="B2283" s="247">
        <f>'Table S2 Compound Identifiers'!C2285</f>
        <v>0</v>
      </c>
      <c r="C2283" s="247">
        <f>COUNTIF($D$6:D2283,"&lt;&gt;"&amp;"")</f>
        <v>2278</v>
      </c>
      <c r="D2283" s="432">
        <f>'Table S2 Compound Identifiers'!B2285</f>
        <v>0</v>
      </c>
      <c r="E2283" s="247"/>
      <c r="F2283" s="248"/>
      <c r="G2283" s="249"/>
      <c r="H2283" s="330"/>
      <c r="I2283" s="328"/>
      <c r="J2283" s="249"/>
      <c r="K2283" s="330"/>
      <c r="L2283" s="250"/>
      <c r="M2283" s="249"/>
      <c r="N2283" s="330"/>
      <c r="O2283" s="250"/>
      <c r="P2283" s="249"/>
      <c r="Q2283" s="330"/>
      <c r="R2283" s="250"/>
      <c r="S2283" s="249"/>
      <c r="T2283" s="330"/>
      <c r="U2283" s="250"/>
      <c r="V2283" s="249"/>
      <c r="W2283" s="330"/>
      <c r="X2283" s="343"/>
      <c r="Y2283" s="249"/>
      <c r="Z2283" s="330"/>
      <c r="AA2283" s="343"/>
      <c r="AB2283" s="249"/>
      <c r="AC2283" s="330"/>
      <c r="AD2283" s="343"/>
      <c r="AE2283" s="249"/>
      <c r="AF2283" s="330"/>
      <c r="AG2283" s="343"/>
      <c r="AH2283" s="249"/>
      <c r="AI2283" s="330"/>
      <c r="AJ2283" s="343"/>
      <c r="AK2283" s="249"/>
      <c r="AL2283" s="330"/>
      <c r="AM2283" s="343"/>
      <c r="AN2283" s="249"/>
      <c r="AO2283" s="330"/>
      <c r="AP2283" s="343"/>
      <c r="AQ2283" s="249"/>
      <c r="AR2283" s="330"/>
      <c r="AS2283" s="343"/>
      <c r="AT2283" s="249"/>
      <c r="AU2283" s="330"/>
    </row>
    <row r="2284" spans="2:47">
      <c r="B2284" s="247">
        <f>'Table S2 Compound Identifiers'!C2286</f>
        <v>0</v>
      </c>
      <c r="C2284" s="247">
        <f>COUNTIF($D$6:D2284,"&lt;&gt;"&amp;"")</f>
        <v>2279</v>
      </c>
      <c r="D2284" s="432">
        <f>'Table S2 Compound Identifiers'!B2286</f>
        <v>0</v>
      </c>
      <c r="E2284" s="247"/>
      <c r="F2284" s="248"/>
      <c r="G2284" s="249"/>
      <c r="H2284" s="330"/>
      <c r="I2284" s="328"/>
      <c r="J2284" s="249"/>
      <c r="K2284" s="330"/>
      <c r="L2284" s="250"/>
      <c r="M2284" s="249"/>
      <c r="N2284" s="330"/>
      <c r="O2284" s="250"/>
      <c r="P2284" s="249"/>
      <c r="Q2284" s="330"/>
      <c r="R2284" s="250"/>
      <c r="S2284" s="249"/>
      <c r="T2284" s="330"/>
      <c r="U2284" s="250"/>
      <c r="V2284" s="249"/>
      <c r="W2284" s="330"/>
      <c r="X2284" s="343"/>
      <c r="Y2284" s="249"/>
      <c r="Z2284" s="330"/>
      <c r="AA2284" s="343"/>
      <c r="AB2284" s="249"/>
      <c r="AC2284" s="330"/>
      <c r="AD2284" s="343"/>
      <c r="AE2284" s="249"/>
      <c r="AF2284" s="330"/>
      <c r="AG2284" s="343"/>
      <c r="AH2284" s="249"/>
      <c r="AI2284" s="330"/>
      <c r="AJ2284" s="343"/>
      <c r="AK2284" s="249"/>
      <c r="AL2284" s="330"/>
      <c r="AM2284" s="343"/>
      <c r="AN2284" s="249"/>
      <c r="AO2284" s="330"/>
      <c r="AP2284" s="343"/>
      <c r="AQ2284" s="249"/>
      <c r="AR2284" s="330"/>
      <c r="AS2284" s="343"/>
      <c r="AT2284" s="249"/>
      <c r="AU2284" s="330"/>
    </row>
    <row r="2285" spans="2:47">
      <c r="B2285" s="247">
        <f>'Table S2 Compound Identifiers'!C2287</f>
        <v>0</v>
      </c>
      <c r="C2285" s="247">
        <f>COUNTIF($D$6:D2285,"&lt;&gt;"&amp;"")</f>
        <v>2280</v>
      </c>
      <c r="D2285" s="432">
        <f>'Table S2 Compound Identifiers'!B2287</f>
        <v>0</v>
      </c>
      <c r="E2285" s="247"/>
      <c r="F2285" s="248"/>
      <c r="G2285" s="249"/>
      <c r="H2285" s="330"/>
      <c r="I2285" s="328"/>
      <c r="J2285" s="249"/>
      <c r="K2285" s="330"/>
      <c r="L2285" s="250"/>
      <c r="M2285" s="249"/>
      <c r="N2285" s="330"/>
      <c r="O2285" s="250"/>
      <c r="P2285" s="249"/>
      <c r="Q2285" s="330"/>
      <c r="R2285" s="250"/>
      <c r="S2285" s="249"/>
      <c r="T2285" s="330"/>
      <c r="U2285" s="250"/>
      <c r="V2285" s="249"/>
      <c r="W2285" s="330"/>
      <c r="X2285" s="343"/>
      <c r="Y2285" s="249"/>
      <c r="Z2285" s="330"/>
      <c r="AA2285" s="343"/>
      <c r="AB2285" s="249"/>
      <c r="AC2285" s="330"/>
      <c r="AD2285" s="343"/>
      <c r="AE2285" s="249"/>
      <c r="AF2285" s="330"/>
      <c r="AG2285" s="343"/>
      <c r="AH2285" s="249"/>
      <c r="AI2285" s="330"/>
      <c r="AJ2285" s="343"/>
      <c r="AK2285" s="249"/>
      <c r="AL2285" s="330"/>
      <c r="AM2285" s="343"/>
      <c r="AN2285" s="249"/>
      <c r="AO2285" s="330"/>
      <c r="AP2285" s="343"/>
      <c r="AQ2285" s="249"/>
      <c r="AR2285" s="330"/>
      <c r="AS2285" s="343"/>
      <c r="AT2285" s="249"/>
      <c r="AU2285" s="330"/>
    </row>
    <row r="2286" spans="2:47">
      <c r="B2286" s="247">
        <f>'Table S2 Compound Identifiers'!C2288</f>
        <v>0</v>
      </c>
      <c r="C2286" s="247">
        <f>COUNTIF($D$6:D2286,"&lt;&gt;"&amp;"")</f>
        <v>2281</v>
      </c>
      <c r="D2286" s="432">
        <f>'Table S2 Compound Identifiers'!B2288</f>
        <v>0</v>
      </c>
      <c r="E2286" s="247"/>
      <c r="F2286" s="248"/>
      <c r="G2286" s="249"/>
      <c r="H2286" s="330"/>
      <c r="I2286" s="328"/>
      <c r="J2286" s="249"/>
      <c r="K2286" s="330"/>
      <c r="L2286" s="250"/>
      <c r="M2286" s="249"/>
      <c r="N2286" s="330"/>
      <c r="O2286" s="250"/>
      <c r="P2286" s="249"/>
      <c r="Q2286" s="330"/>
      <c r="R2286" s="250"/>
      <c r="S2286" s="249"/>
      <c r="T2286" s="330"/>
      <c r="U2286" s="250"/>
      <c r="V2286" s="249"/>
      <c r="W2286" s="330"/>
      <c r="X2286" s="343"/>
      <c r="Y2286" s="249"/>
      <c r="Z2286" s="330"/>
      <c r="AA2286" s="343"/>
      <c r="AB2286" s="249"/>
      <c r="AC2286" s="330"/>
      <c r="AD2286" s="343"/>
      <c r="AE2286" s="249"/>
      <c r="AF2286" s="330"/>
      <c r="AG2286" s="343"/>
      <c r="AH2286" s="249"/>
      <c r="AI2286" s="330"/>
      <c r="AJ2286" s="343"/>
      <c r="AK2286" s="249"/>
      <c r="AL2286" s="330"/>
      <c r="AM2286" s="343"/>
      <c r="AN2286" s="249"/>
      <c r="AO2286" s="330"/>
      <c r="AP2286" s="343"/>
      <c r="AQ2286" s="249"/>
      <c r="AR2286" s="330"/>
      <c r="AS2286" s="343"/>
      <c r="AT2286" s="249"/>
      <c r="AU2286" s="330"/>
    </row>
    <row r="2287" spans="2:47">
      <c r="B2287" s="247">
        <f>'Table S2 Compound Identifiers'!C2289</f>
        <v>0</v>
      </c>
      <c r="C2287" s="247">
        <f>COUNTIF($D$6:D2287,"&lt;&gt;"&amp;"")</f>
        <v>2282</v>
      </c>
      <c r="D2287" s="432">
        <f>'Table S2 Compound Identifiers'!B2289</f>
        <v>0</v>
      </c>
      <c r="E2287" s="247"/>
      <c r="F2287" s="248"/>
      <c r="G2287" s="249"/>
      <c r="H2287" s="330"/>
      <c r="I2287" s="328"/>
      <c r="J2287" s="249"/>
      <c r="K2287" s="330"/>
      <c r="L2287" s="250"/>
      <c r="M2287" s="249"/>
      <c r="N2287" s="330"/>
      <c r="O2287" s="250"/>
      <c r="P2287" s="249"/>
      <c r="Q2287" s="330"/>
      <c r="R2287" s="250"/>
      <c r="S2287" s="249"/>
      <c r="T2287" s="330"/>
      <c r="U2287" s="250"/>
      <c r="V2287" s="249"/>
      <c r="W2287" s="330"/>
      <c r="X2287" s="343"/>
      <c r="Y2287" s="249"/>
      <c r="Z2287" s="330"/>
      <c r="AA2287" s="343"/>
      <c r="AB2287" s="249"/>
      <c r="AC2287" s="330"/>
      <c r="AD2287" s="343"/>
      <c r="AE2287" s="249"/>
      <c r="AF2287" s="330"/>
      <c r="AG2287" s="343"/>
      <c r="AH2287" s="249"/>
      <c r="AI2287" s="330"/>
      <c r="AJ2287" s="343"/>
      <c r="AK2287" s="249"/>
      <c r="AL2287" s="330"/>
      <c r="AM2287" s="343"/>
      <c r="AN2287" s="249"/>
      <c r="AO2287" s="330"/>
      <c r="AP2287" s="343"/>
      <c r="AQ2287" s="249"/>
      <c r="AR2287" s="330"/>
      <c r="AS2287" s="343"/>
      <c r="AT2287" s="249"/>
      <c r="AU2287" s="330"/>
    </row>
    <row r="2288" spans="2:47">
      <c r="B2288" s="247">
        <f>'Table S2 Compound Identifiers'!C2290</f>
        <v>0</v>
      </c>
      <c r="C2288" s="247">
        <f>COUNTIF($D$6:D2288,"&lt;&gt;"&amp;"")</f>
        <v>2283</v>
      </c>
      <c r="D2288" s="432">
        <f>'Table S2 Compound Identifiers'!B2290</f>
        <v>0</v>
      </c>
      <c r="E2288" s="247"/>
      <c r="F2288" s="248"/>
      <c r="G2288" s="249"/>
      <c r="H2288" s="330"/>
      <c r="I2288" s="328"/>
      <c r="J2288" s="249"/>
      <c r="K2288" s="330"/>
      <c r="L2288" s="250"/>
      <c r="M2288" s="249"/>
      <c r="N2288" s="330"/>
      <c r="O2288" s="250"/>
      <c r="P2288" s="249"/>
      <c r="Q2288" s="330"/>
      <c r="R2288" s="250"/>
      <c r="S2288" s="249"/>
      <c r="T2288" s="330"/>
      <c r="U2288" s="250"/>
      <c r="V2288" s="249"/>
      <c r="W2288" s="330"/>
      <c r="X2288" s="343"/>
      <c r="Y2288" s="249"/>
      <c r="Z2288" s="330"/>
      <c r="AA2288" s="343"/>
      <c r="AB2288" s="249"/>
      <c r="AC2288" s="330"/>
      <c r="AD2288" s="343"/>
      <c r="AE2288" s="249"/>
      <c r="AF2288" s="330"/>
      <c r="AG2288" s="343"/>
      <c r="AH2288" s="249"/>
      <c r="AI2288" s="330"/>
      <c r="AJ2288" s="343"/>
      <c r="AK2288" s="249"/>
      <c r="AL2288" s="330"/>
      <c r="AM2288" s="343"/>
      <c r="AN2288" s="249"/>
      <c r="AO2288" s="330"/>
      <c r="AP2288" s="343"/>
      <c r="AQ2288" s="249"/>
      <c r="AR2288" s="330"/>
      <c r="AS2288" s="343"/>
      <c r="AT2288" s="249"/>
      <c r="AU2288" s="330"/>
    </row>
    <row r="2289" spans="2:47">
      <c r="B2289" s="247">
        <f>'Table S2 Compound Identifiers'!C2291</f>
        <v>0</v>
      </c>
      <c r="C2289" s="247">
        <f>COUNTIF($D$6:D2289,"&lt;&gt;"&amp;"")</f>
        <v>2284</v>
      </c>
      <c r="D2289" s="432">
        <f>'Table S2 Compound Identifiers'!B2291</f>
        <v>0</v>
      </c>
      <c r="E2289" s="247"/>
      <c r="F2289" s="248"/>
      <c r="G2289" s="249"/>
      <c r="H2289" s="330"/>
      <c r="I2289" s="328"/>
      <c r="J2289" s="249"/>
      <c r="K2289" s="330"/>
      <c r="L2289" s="250"/>
      <c r="M2289" s="249"/>
      <c r="N2289" s="330"/>
      <c r="O2289" s="250"/>
      <c r="P2289" s="249"/>
      <c r="Q2289" s="330"/>
      <c r="R2289" s="250"/>
      <c r="S2289" s="249"/>
      <c r="T2289" s="330"/>
      <c r="U2289" s="250"/>
      <c r="V2289" s="249"/>
      <c r="W2289" s="330"/>
      <c r="X2289" s="343"/>
      <c r="Y2289" s="249"/>
      <c r="Z2289" s="330"/>
      <c r="AA2289" s="343"/>
      <c r="AB2289" s="249"/>
      <c r="AC2289" s="330"/>
      <c r="AD2289" s="343"/>
      <c r="AE2289" s="249"/>
      <c r="AF2289" s="330"/>
      <c r="AG2289" s="343"/>
      <c r="AH2289" s="249"/>
      <c r="AI2289" s="330"/>
      <c r="AJ2289" s="343"/>
      <c r="AK2289" s="249"/>
      <c r="AL2289" s="330"/>
      <c r="AM2289" s="343"/>
      <c r="AN2289" s="249"/>
      <c r="AO2289" s="330"/>
      <c r="AP2289" s="343"/>
      <c r="AQ2289" s="249"/>
      <c r="AR2289" s="330"/>
      <c r="AS2289" s="343"/>
      <c r="AT2289" s="249"/>
      <c r="AU2289" s="330"/>
    </row>
    <row r="2290" spans="2:47">
      <c r="B2290" s="247">
        <f>'Table S2 Compound Identifiers'!C2292</f>
        <v>0</v>
      </c>
      <c r="C2290" s="247">
        <f>COUNTIF($D$6:D2290,"&lt;&gt;"&amp;"")</f>
        <v>2285</v>
      </c>
      <c r="D2290" s="432">
        <f>'Table S2 Compound Identifiers'!B2292</f>
        <v>0</v>
      </c>
      <c r="E2290" s="247"/>
      <c r="F2290" s="248"/>
      <c r="G2290" s="249"/>
      <c r="H2290" s="330"/>
      <c r="I2290" s="328"/>
      <c r="J2290" s="249"/>
      <c r="K2290" s="330"/>
      <c r="L2290" s="250"/>
      <c r="M2290" s="249"/>
      <c r="N2290" s="330"/>
      <c r="O2290" s="250"/>
      <c r="P2290" s="249"/>
      <c r="Q2290" s="330"/>
      <c r="R2290" s="250"/>
      <c r="S2290" s="249"/>
      <c r="T2290" s="330"/>
      <c r="U2290" s="250"/>
      <c r="V2290" s="249"/>
      <c r="W2290" s="330"/>
      <c r="X2290" s="343"/>
      <c r="Y2290" s="249"/>
      <c r="Z2290" s="330"/>
      <c r="AA2290" s="343"/>
      <c r="AB2290" s="249"/>
      <c r="AC2290" s="330"/>
      <c r="AD2290" s="343"/>
      <c r="AE2290" s="249"/>
      <c r="AF2290" s="330"/>
      <c r="AG2290" s="343"/>
      <c r="AH2290" s="249"/>
      <c r="AI2290" s="330"/>
      <c r="AJ2290" s="343"/>
      <c r="AK2290" s="249"/>
      <c r="AL2290" s="330"/>
      <c r="AM2290" s="343"/>
      <c r="AN2290" s="249"/>
      <c r="AO2290" s="330"/>
      <c r="AP2290" s="343"/>
      <c r="AQ2290" s="249"/>
      <c r="AR2290" s="330"/>
      <c r="AS2290" s="343"/>
      <c r="AT2290" s="249"/>
      <c r="AU2290" s="330"/>
    </row>
    <row r="2291" spans="2:47">
      <c r="B2291" s="247">
        <f>'Table S2 Compound Identifiers'!C2293</f>
        <v>0</v>
      </c>
      <c r="C2291" s="247">
        <f>COUNTIF($D$6:D2291,"&lt;&gt;"&amp;"")</f>
        <v>2286</v>
      </c>
      <c r="D2291" s="432">
        <f>'Table S2 Compound Identifiers'!B2293</f>
        <v>0</v>
      </c>
      <c r="E2291" s="247"/>
      <c r="F2291" s="248"/>
      <c r="G2291" s="249"/>
      <c r="H2291" s="330"/>
      <c r="I2291" s="328"/>
      <c r="J2291" s="249"/>
      <c r="K2291" s="330"/>
      <c r="L2291" s="250"/>
      <c r="M2291" s="249"/>
      <c r="N2291" s="330"/>
      <c r="O2291" s="250"/>
      <c r="P2291" s="249"/>
      <c r="Q2291" s="330"/>
      <c r="R2291" s="250"/>
      <c r="S2291" s="249"/>
      <c r="T2291" s="330"/>
      <c r="U2291" s="250"/>
      <c r="V2291" s="249"/>
      <c r="W2291" s="330"/>
      <c r="X2291" s="343"/>
      <c r="Y2291" s="249"/>
      <c r="Z2291" s="330"/>
      <c r="AA2291" s="343"/>
      <c r="AB2291" s="249"/>
      <c r="AC2291" s="330"/>
      <c r="AD2291" s="343"/>
      <c r="AE2291" s="249"/>
      <c r="AF2291" s="330"/>
      <c r="AG2291" s="343"/>
      <c r="AH2291" s="249"/>
      <c r="AI2291" s="330"/>
      <c r="AJ2291" s="343"/>
      <c r="AK2291" s="249"/>
      <c r="AL2291" s="330"/>
      <c r="AM2291" s="343"/>
      <c r="AN2291" s="249"/>
      <c r="AO2291" s="330"/>
      <c r="AP2291" s="343"/>
      <c r="AQ2291" s="249"/>
      <c r="AR2291" s="330"/>
      <c r="AS2291" s="343"/>
      <c r="AT2291" s="249"/>
      <c r="AU2291" s="330"/>
    </row>
    <row r="2292" spans="2:47">
      <c r="B2292" s="247">
        <f>'Table S2 Compound Identifiers'!C2294</f>
        <v>0</v>
      </c>
      <c r="C2292" s="247">
        <f>COUNTIF($D$6:D2292,"&lt;&gt;"&amp;"")</f>
        <v>2287</v>
      </c>
      <c r="D2292" s="247">
        <f>'Table S2 Compound Identifiers'!B2294</f>
        <v>0</v>
      </c>
      <c r="E2292" s="247"/>
      <c r="F2292" s="248"/>
      <c r="G2292" s="249"/>
      <c r="H2292" s="330"/>
      <c r="I2292" s="328"/>
      <c r="J2292" s="249"/>
      <c r="K2292" s="330"/>
      <c r="L2292" s="250"/>
      <c r="M2292" s="249"/>
      <c r="N2292" s="330"/>
      <c r="O2292" s="250"/>
      <c r="P2292" s="249"/>
      <c r="Q2292" s="330"/>
      <c r="R2292" s="250"/>
      <c r="S2292" s="249"/>
      <c r="T2292" s="330"/>
      <c r="U2292" s="250"/>
      <c r="V2292" s="249"/>
      <c r="W2292" s="330"/>
      <c r="X2292" s="343"/>
      <c r="Y2292" s="249"/>
      <c r="Z2292" s="330"/>
      <c r="AA2292" s="343"/>
      <c r="AB2292" s="249"/>
      <c r="AC2292" s="330"/>
      <c r="AD2292" s="343"/>
      <c r="AE2292" s="249"/>
      <c r="AF2292" s="330"/>
      <c r="AG2292" s="343"/>
      <c r="AH2292" s="249"/>
      <c r="AI2292" s="330"/>
      <c r="AJ2292" s="343"/>
      <c r="AK2292" s="249"/>
      <c r="AL2292" s="330"/>
      <c r="AM2292" s="343"/>
      <c r="AN2292" s="249"/>
      <c r="AO2292" s="330"/>
      <c r="AP2292" s="343"/>
      <c r="AQ2292" s="249"/>
      <c r="AR2292" s="330"/>
      <c r="AS2292" s="343"/>
      <c r="AT2292" s="249"/>
      <c r="AU2292" s="330"/>
    </row>
    <row r="2293" spans="2:47">
      <c r="B2293" s="247">
        <f>'Table S2 Compound Identifiers'!C2295</f>
        <v>0</v>
      </c>
      <c r="C2293" s="247">
        <f>COUNTIF($D$6:D2293,"&lt;&gt;"&amp;"")</f>
        <v>2288</v>
      </c>
      <c r="D2293" s="247">
        <f>'Table S2 Compound Identifiers'!B2295</f>
        <v>0</v>
      </c>
      <c r="E2293" s="247"/>
      <c r="F2293" s="248"/>
      <c r="G2293" s="249"/>
      <c r="H2293" s="330"/>
      <c r="I2293" s="328"/>
      <c r="J2293" s="249"/>
      <c r="K2293" s="330"/>
      <c r="L2293" s="250"/>
      <c r="M2293" s="249"/>
      <c r="N2293" s="330"/>
      <c r="O2293" s="250"/>
      <c r="P2293" s="249"/>
      <c r="Q2293" s="330"/>
      <c r="R2293" s="250"/>
      <c r="S2293" s="249"/>
      <c r="T2293" s="330"/>
      <c r="U2293" s="250"/>
      <c r="V2293" s="249"/>
      <c r="W2293" s="330"/>
      <c r="X2293" s="343"/>
      <c r="Y2293" s="249"/>
      <c r="Z2293" s="330"/>
      <c r="AA2293" s="343"/>
      <c r="AB2293" s="249"/>
      <c r="AC2293" s="330"/>
      <c r="AD2293" s="343"/>
      <c r="AE2293" s="249"/>
      <c r="AF2293" s="330"/>
      <c r="AG2293" s="343"/>
      <c r="AH2293" s="249"/>
      <c r="AI2293" s="330"/>
      <c r="AJ2293" s="343"/>
      <c r="AK2293" s="249"/>
      <c r="AL2293" s="330"/>
      <c r="AM2293" s="343"/>
      <c r="AN2293" s="249"/>
      <c r="AO2293" s="330"/>
      <c r="AP2293" s="343"/>
      <c r="AQ2293" s="249"/>
      <c r="AR2293" s="330"/>
      <c r="AS2293" s="343"/>
      <c r="AT2293" s="249"/>
      <c r="AU2293" s="330"/>
    </row>
    <row r="2294" spans="2:47">
      <c r="B2294" s="247">
        <f>'Table S2 Compound Identifiers'!C2296</f>
        <v>0</v>
      </c>
      <c r="C2294" s="247">
        <f>COUNTIF($D$6:D2294,"&lt;&gt;"&amp;"")</f>
        <v>2289</v>
      </c>
      <c r="D2294" s="247">
        <f>'Table S2 Compound Identifiers'!B2296</f>
        <v>0</v>
      </c>
      <c r="E2294" s="247"/>
      <c r="F2294" s="248"/>
      <c r="G2294" s="249"/>
      <c r="H2294" s="330"/>
      <c r="I2294" s="328"/>
      <c r="J2294" s="249"/>
      <c r="K2294" s="330"/>
      <c r="L2294" s="250"/>
      <c r="M2294" s="249"/>
      <c r="N2294" s="330"/>
      <c r="O2294" s="250"/>
      <c r="P2294" s="249"/>
      <c r="Q2294" s="330"/>
      <c r="R2294" s="250"/>
      <c r="S2294" s="249"/>
      <c r="T2294" s="330"/>
      <c r="U2294" s="250"/>
      <c r="V2294" s="249"/>
      <c r="W2294" s="330"/>
      <c r="X2294" s="343"/>
      <c r="Y2294" s="249"/>
      <c r="Z2294" s="330"/>
      <c r="AA2294" s="343"/>
      <c r="AB2294" s="249"/>
      <c r="AC2294" s="330"/>
      <c r="AD2294" s="343"/>
      <c r="AE2294" s="249"/>
      <c r="AF2294" s="330"/>
      <c r="AG2294" s="343"/>
      <c r="AH2294" s="249"/>
      <c r="AI2294" s="330"/>
      <c r="AJ2294" s="343"/>
      <c r="AK2294" s="249"/>
      <c r="AL2294" s="330"/>
      <c r="AM2294" s="343"/>
      <c r="AN2294" s="249"/>
      <c r="AO2294" s="330"/>
      <c r="AP2294" s="343"/>
      <c r="AQ2294" s="249"/>
      <c r="AR2294" s="330"/>
      <c r="AS2294" s="343"/>
      <c r="AT2294" s="249"/>
      <c r="AU2294" s="330"/>
    </row>
    <row r="2295" spans="2:47">
      <c r="B2295" s="247">
        <f>'Table S2 Compound Identifiers'!C2297</f>
        <v>0</v>
      </c>
      <c r="C2295" s="247">
        <f>COUNTIF($D$6:D2295,"&lt;&gt;"&amp;"")</f>
        <v>2290</v>
      </c>
      <c r="D2295" s="247">
        <f>'Table S2 Compound Identifiers'!B2297</f>
        <v>0</v>
      </c>
      <c r="E2295" s="247"/>
      <c r="F2295" s="248"/>
      <c r="G2295" s="249"/>
      <c r="H2295" s="330"/>
      <c r="I2295" s="328"/>
      <c r="J2295" s="249"/>
      <c r="K2295" s="330"/>
      <c r="L2295" s="250"/>
      <c r="M2295" s="249"/>
      <c r="N2295" s="330"/>
      <c r="O2295" s="250"/>
      <c r="P2295" s="249"/>
      <c r="Q2295" s="330"/>
      <c r="R2295" s="250"/>
      <c r="S2295" s="249"/>
      <c r="T2295" s="330"/>
      <c r="U2295" s="250"/>
      <c r="V2295" s="249"/>
      <c r="W2295" s="330"/>
      <c r="X2295" s="343"/>
      <c r="Y2295" s="249"/>
      <c r="Z2295" s="330"/>
      <c r="AA2295" s="343"/>
      <c r="AB2295" s="249"/>
      <c r="AC2295" s="330"/>
      <c r="AD2295" s="343"/>
      <c r="AE2295" s="249"/>
      <c r="AF2295" s="330"/>
      <c r="AG2295" s="343"/>
      <c r="AH2295" s="249"/>
      <c r="AI2295" s="330"/>
      <c r="AJ2295" s="343"/>
      <c r="AK2295" s="249"/>
      <c r="AL2295" s="330"/>
      <c r="AM2295" s="343"/>
      <c r="AN2295" s="249"/>
      <c r="AO2295" s="330"/>
      <c r="AP2295" s="343"/>
      <c r="AQ2295" s="249"/>
      <c r="AR2295" s="330"/>
      <c r="AS2295" s="343"/>
      <c r="AT2295" s="249"/>
      <c r="AU2295" s="330"/>
    </row>
    <row r="2296" spans="2:47">
      <c r="B2296" s="247">
        <f>'Table S2 Compound Identifiers'!C2298</f>
        <v>0</v>
      </c>
      <c r="C2296" s="247">
        <f>COUNTIF($D$6:D2296,"&lt;&gt;"&amp;"")</f>
        <v>2291</v>
      </c>
      <c r="D2296" s="247">
        <f>'Table S2 Compound Identifiers'!B2298</f>
        <v>0</v>
      </c>
      <c r="E2296" s="247"/>
      <c r="F2296" s="248"/>
      <c r="G2296" s="249"/>
      <c r="H2296" s="330"/>
      <c r="I2296" s="328"/>
      <c r="J2296" s="249"/>
      <c r="K2296" s="330"/>
      <c r="L2296" s="250"/>
      <c r="M2296" s="249"/>
      <c r="N2296" s="330"/>
      <c r="O2296" s="250"/>
      <c r="P2296" s="249"/>
      <c r="Q2296" s="330"/>
      <c r="R2296" s="250"/>
      <c r="S2296" s="249"/>
      <c r="T2296" s="330"/>
      <c r="U2296" s="250"/>
      <c r="V2296" s="249"/>
      <c r="W2296" s="330"/>
      <c r="X2296" s="343"/>
      <c r="Y2296" s="249"/>
      <c r="Z2296" s="330"/>
      <c r="AA2296" s="343"/>
      <c r="AB2296" s="249"/>
      <c r="AC2296" s="330"/>
      <c r="AD2296" s="343"/>
      <c r="AE2296" s="249"/>
      <c r="AF2296" s="330"/>
      <c r="AG2296" s="343"/>
      <c r="AH2296" s="249"/>
      <c r="AI2296" s="330"/>
      <c r="AJ2296" s="343"/>
      <c r="AK2296" s="249"/>
      <c r="AL2296" s="330"/>
      <c r="AM2296" s="343"/>
      <c r="AN2296" s="249"/>
      <c r="AO2296" s="330"/>
      <c r="AP2296" s="343"/>
      <c r="AQ2296" s="249"/>
      <c r="AR2296" s="330"/>
      <c r="AS2296" s="343"/>
      <c r="AT2296" s="249"/>
      <c r="AU2296" s="330"/>
    </row>
    <row r="2297" spans="2:47">
      <c r="B2297" s="247">
        <f>'Table S2 Compound Identifiers'!C2299</f>
        <v>0</v>
      </c>
      <c r="C2297" s="247">
        <f>COUNTIF($D$6:D2297,"&lt;&gt;"&amp;"")</f>
        <v>2292</v>
      </c>
      <c r="D2297" s="247">
        <f>'Table S2 Compound Identifiers'!B2299</f>
        <v>0</v>
      </c>
      <c r="E2297" s="247"/>
      <c r="F2297" s="248"/>
      <c r="G2297" s="249"/>
      <c r="H2297" s="330"/>
      <c r="I2297" s="328"/>
      <c r="J2297" s="249"/>
      <c r="K2297" s="330"/>
      <c r="L2297" s="250"/>
      <c r="M2297" s="249"/>
      <c r="N2297" s="330"/>
      <c r="O2297" s="250"/>
      <c r="P2297" s="249"/>
      <c r="Q2297" s="330"/>
      <c r="R2297" s="250"/>
      <c r="S2297" s="249"/>
      <c r="T2297" s="330"/>
      <c r="U2297" s="250"/>
      <c r="V2297" s="249"/>
      <c r="W2297" s="330"/>
      <c r="X2297" s="343"/>
      <c r="Y2297" s="249"/>
      <c r="Z2297" s="330"/>
      <c r="AA2297" s="343"/>
      <c r="AB2297" s="249"/>
      <c r="AC2297" s="330"/>
      <c r="AD2297" s="343"/>
      <c r="AE2297" s="249"/>
      <c r="AF2297" s="330"/>
      <c r="AG2297" s="343"/>
      <c r="AH2297" s="249"/>
      <c r="AI2297" s="330"/>
      <c r="AJ2297" s="343"/>
      <c r="AK2297" s="249"/>
      <c r="AL2297" s="330"/>
      <c r="AM2297" s="343"/>
      <c r="AN2297" s="249"/>
      <c r="AO2297" s="330"/>
      <c r="AP2297" s="343"/>
      <c r="AQ2297" s="249"/>
      <c r="AR2297" s="330"/>
      <c r="AS2297" s="343"/>
      <c r="AT2297" s="249"/>
      <c r="AU2297" s="330"/>
    </row>
    <row r="2298" spans="2:47">
      <c r="B2298" s="247">
        <f>'Table S2 Compound Identifiers'!C2300</f>
        <v>0</v>
      </c>
      <c r="C2298" s="247">
        <f>COUNTIF($D$6:D2298,"&lt;&gt;"&amp;"")</f>
        <v>2293</v>
      </c>
      <c r="D2298" s="247">
        <f>'Table S2 Compound Identifiers'!B2300</f>
        <v>0</v>
      </c>
      <c r="E2298" s="247"/>
      <c r="F2298" s="248"/>
      <c r="G2298" s="249"/>
      <c r="H2298" s="330"/>
      <c r="I2298" s="328"/>
      <c r="J2298" s="249"/>
      <c r="K2298" s="330"/>
      <c r="L2298" s="250"/>
      <c r="M2298" s="249"/>
      <c r="N2298" s="330"/>
      <c r="O2298" s="251"/>
      <c r="P2298" s="252"/>
      <c r="Q2298" s="330"/>
      <c r="R2298" s="251"/>
      <c r="S2298" s="252"/>
      <c r="T2298" s="330"/>
      <c r="U2298" s="251"/>
      <c r="V2298" s="252"/>
      <c r="W2298" s="330"/>
      <c r="X2298" s="343"/>
      <c r="Y2298" s="249"/>
      <c r="Z2298" s="330"/>
      <c r="AA2298" s="343"/>
      <c r="AB2298" s="249"/>
      <c r="AC2298" s="330"/>
      <c r="AD2298" s="343"/>
      <c r="AE2298" s="249"/>
      <c r="AF2298" s="330"/>
      <c r="AG2298" s="343"/>
      <c r="AH2298" s="249"/>
      <c r="AI2298" s="330"/>
      <c r="AJ2298" s="343"/>
      <c r="AK2298" s="249"/>
      <c r="AL2298" s="330"/>
      <c r="AM2298" s="343"/>
      <c r="AN2298" s="249"/>
      <c r="AO2298" s="330"/>
      <c r="AP2298" s="343"/>
      <c r="AQ2298" s="249"/>
      <c r="AR2298" s="330"/>
      <c r="AS2298" s="343"/>
      <c r="AT2298" s="249"/>
      <c r="AU2298" s="330"/>
    </row>
    <row r="2299" spans="2:47">
      <c r="B2299" s="247">
        <f>'Table S2 Compound Identifiers'!C2301</f>
        <v>0</v>
      </c>
      <c r="C2299" s="253">
        <f>COUNTIF($D$6:D2299,"&lt;&gt;"&amp;"")</f>
        <v>2294</v>
      </c>
      <c r="D2299" s="253">
        <f>'Table S2 Compound Identifiers'!B2301</f>
        <v>0</v>
      </c>
      <c r="E2299" s="253"/>
      <c r="F2299" s="254"/>
      <c r="G2299" s="252"/>
      <c r="H2299" s="330"/>
      <c r="I2299" s="333"/>
      <c r="J2299" s="252"/>
      <c r="K2299" s="330"/>
      <c r="L2299" s="251"/>
      <c r="M2299" s="252"/>
      <c r="N2299" s="330"/>
      <c r="O2299" s="251"/>
      <c r="P2299" s="252"/>
      <c r="Q2299" s="330"/>
      <c r="R2299" s="251"/>
      <c r="S2299" s="252"/>
      <c r="T2299" s="330"/>
      <c r="U2299" s="251"/>
      <c r="V2299" s="252"/>
      <c r="W2299" s="330"/>
      <c r="X2299" s="343"/>
      <c r="Y2299" s="249"/>
      <c r="Z2299" s="330"/>
      <c r="AA2299" s="343"/>
      <c r="AB2299" s="249"/>
      <c r="AC2299" s="330"/>
      <c r="AD2299" s="343"/>
      <c r="AE2299" s="249"/>
      <c r="AF2299" s="330"/>
      <c r="AG2299" s="343"/>
      <c r="AH2299" s="249"/>
      <c r="AI2299" s="330"/>
      <c r="AJ2299" s="343"/>
      <c r="AK2299" s="249"/>
      <c r="AL2299" s="330"/>
      <c r="AM2299" s="343"/>
      <c r="AN2299" s="249"/>
      <c r="AO2299" s="330"/>
      <c r="AP2299" s="343"/>
      <c r="AQ2299" s="249"/>
      <c r="AR2299" s="330"/>
      <c r="AS2299" s="343"/>
      <c r="AT2299" s="249"/>
      <c r="AU2299" s="330"/>
    </row>
    <row r="2300" spans="2:47">
      <c r="B2300" s="247">
        <f>'Table S2 Compound Identifiers'!C2302</f>
        <v>0</v>
      </c>
      <c r="C2300" s="247">
        <f>COUNTIF($D$6:D2300,"&lt;&gt;"&amp;"")</f>
        <v>2295</v>
      </c>
      <c r="D2300" s="247">
        <f>'Table S2 Compound Identifiers'!B2302</f>
        <v>0</v>
      </c>
      <c r="E2300" s="247"/>
      <c r="F2300" s="248"/>
      <c r="G2300" s="250"/>
      <c r="H2300" s="330"/>
      <c r="I2300" s="343"/>
      <c r="J2300" s="249"/>
      <c r="K2300" s="327"/>
      <c r="L2300" s="343"/>
      <c r="M2300" s="249"/>
      <c r="N2300" s="327"/>
      <c r="O2300" s="343"/>
      <c r="P2300" s="249"/>
      <c r="Q2300" s="327"/>
      <c r="R2300" s="343"/>
      <c r="S2300" s="249"/>
      <c r="T2300" s="327"/>
      <c r="U2300" s="343"/>
      <c r="V2300" s="249"/>
      <c r="W2300" s="327"/>
      <c r="X2300" s="343"/>
      <c r="Y2300" s="249"/>
      <c r="Z2300" s="327"/>
      <c r="AA2300" s="343"/>
      <c r="AB2300" s="249"/>
      <c r="AC2300" s="343"/>
      <c r="AD2300" s="343"/>
      <c r="AE2300" s="249"/>
      <c r="AF2300" s="249"/>
      <c r="AG2300" s="343"/>
      <c r="AH2300" s="249"/>
      <c r="AI2300" s="343"/>
      <c r="AJ2300" s="343"/>
      <c r="AK2300" s="249"/>
      <c r="AL2300" s="249"/>
      <c r="AM2300" s="343"/>
      <c r="AN2300" s="249"/>
      <c r="AO2300" s="343"/>
      <c r="AP2300" s="343"/>
      <c r="AQ2300" s="249"/>
      <c r="AR2300" s="249"/>
      <c r="AS2300" s="343"/>
      <c r="AT2300" s="249"/>
      <c r="AU2300" s="343"/>
    </row>
    <row r="2301" spans="2:47">
      <c r="B2301" s="247">
        <f>'Table S2 Compound Identifiers'!C2303</f>
        <v>0</v>
      </c>
      <c r="C2301" s="247">
        <f>COUNTIF($D$6:D2301,"&lt;&gt;"&amp;"")</f>
        <v>2296</v>
      </c>
      <c r="D2301" s="247">
        <f>'Table S2 Compound Identifiers'!B2303</f>
        <v>0</v>
      </c>
      <c r="E2301" s="247"/>
      <c r="F2301" s="248"/>
      <c r="G2301" s="249"/>
      <c r="H2301" s="330"/>
      <c r="I2301" s="332"/>
      <c r="J2301" s="330"/>
      <c r="K2301" s="330"/>
      <c r="L2301" s="330"/>
      <c r="M2301" s="330"/>
      <c r="N2301" s="330"/>
      <c r="O2301" s="330"/>
      <c r="P2301" s="330"/>
      <c r="Q2301" s="330"/>
      <c r="R2301" s="330"/>
      <c r="S2301" s="330"/>
      <c r="T2301" s="330"/>
      <c r="U2301" s="330"/>
      <c r="V2301" s="330"/>
      <c r="W2301" s="330"/>
      <c r="X2301" s="343"/>
      <c r="Y2301" s="249"/>
      <c r="Z2301" s="330"/>
      <c r="AA2301" s="343"/>
      <c r="AB2301" s="249"/>
      <c r="AC2301" s="330"/>
      <c r="AD2301" s="343"/>
      <c r="AE2301" s="249"/>
      <c r="AF2301" s="330"/>
      <c r="AG2301" s="343"/>
      <c r="AH2301" s="249"/>
      <c r="AI2301" s="330"/>
      <c r="AJ2301" s="343"/>
      <c r="AK2301" s="249"/>
      <c r="AL2301" s="330"/>
      <c r="AM2301" s="343"/>
      <c r="AN2301" s="249"/>
      <c r="AO2301" s="330"/>
      <c r="AP2301" s="343"/>
      <c r="AQ2301" s="249"/>
      <c r="AR2301" s="330"/>
      <c r="AS2301" s="343"/>
      <c r="AT2301" s="249"/>
      <c r="AU2301" s="330"/>
    </row>
    <row r="2302" spans="2:47">
      <c r="B2302" s="247">
        <f>'Table S2 Compound Identifiers'!C2304</f>
        <v>0</v>
      </c>
      <c r="C2302" s="247">
        <f>COUNTIF($D$6:D2302,"&lt;&gt;"&amp;"")</f>
        <v>2297</v>
      </c>
      <c r="D2302" s="247">
        <f>'Table S2 Compound Identifiers'!B2304</f>
        <v>0</v>
      </c>
      <c r="E2302" s="247"/>
      <c r="F2302" s="248"/>
      <c r="G2302" s="249"/>
      <c r="H2302" s="330"/>
      <c r="I2302" s="332"/>
      <c r="J2302" s="330"/>
      <c r="K2302" s="330"/>
      <c r="L2302" s="330"/>
      <c r="M2302" s="330"/>
      <c r="N2302" s="330"/>
      <c r="O2302" s="330"/>
      <c r="P2302" s="330"/>
      <c r="Q2302" s="330"/>
      <c r="R2302" s="330"/>
      <c r="S2302" s="330"/>
      <c r="T2302" s="330"/>
      <c r="U2302" s="330"/>
      <c r="V2302" s="330"/>
      <c r="W2302" s="330"/>
      <c r="X2302" s="343"/>
      <c r="Y2302" s="249"/>
      <c r="Z2302" s="330"/>
      <c r="AA2302" s="343"/>
      <c r="AB2302" s="249"/>
      <c r="AC2302" s="330"/>
      <c r="AD2302" s="343"/>
      <c r="AE2302" s="249"/>
      <c r="AF2302" s="330"/>
      <c r="AG2302" s="343"/>
      <c r="AH2302" s="249"/>
      <c r="AI2302" s="330"/>
      <c r="AJ2302" s="343"/>
      <c r="AK2302" s="249"/>
      <c r="AL2302" s="330"/>
      <c r="AM2302" s="343"/>
      <c r="AN2302" s="249"/>
      <c r="AO2302" s="330"/>
      <c r="AP2302" s="343"/>
      <c r="AQ2302" s="249"/>
      <c r="AR2302" s="330"/>
      <c r="AS2302" s="343"/>
      <c r="AT2302" s="249"/>
      <c r="AU2302" s="330"/>
    </row>
    <row r="2303" spans="2:47">
      <c r="B2303" s="247">
        <f>'Table S2 Compound Identifiers'!C2305</f>
        <v>0</v>
      </c>
      <c r="C2303" s="247">
        <f>COUNTIF($D$6:D2303,"&lt;&gt;"&amp;"")</f>
        <v>2298</v>
      </c>
      <c r="D2303" s="247">
        <f>'Table S2 Compound Identifiers'!B2305</f>
        <v>0</v>
      </c>
      <c r="E2303" s="247"/>
      <c r="F2303" s="248"/>
      <c r="G2303" s="249"/>
      <c r="H2303" s="330"/>
      <c r="I2303" s="332"/>
      <c r="J2303" s="330"/>
      <c r="K2303" s="330"/>
      <c r="L2303" s="330"/>
      <c r="M2303" s="330"/>
      <c r="N2303" s="330"/>
      <c r="O2303" s="330"/>
      <c r="P2303" s="330"/>
      <c r="Q2303" s="330"/>
      <c r="R2303" s="330"/>
      <c r="S2303" s="330"/>
      <c r="T2303" s="330"/>
      <c r="U2303" s="330"/>
      <c r="V2303" s="330"/>
      <c r="W2303" s="330"/>
      <c r="X2303" s="343"/>
      <c r="Y2303" s="249"/>
      <c r="Z2303" s="330"/>
      <c r="AA2303" s="343"/>
      <c r="AB2303" s="249"/>
      <c r="AC2303" s="330"/>
      <c r="AD2303" s="343"/>
      <c r="AE2303" s="249"/>
      <c r="AF2303" s="330"/>
      <c r="AG2303" s="343"/>
      <c r="AH2303" s="249"/>
      <c r="AI2303" s="330"/>
      <c r="AJ2303" s="343"/>
      <c r="AK2303" s="249"/>
      <c r="AL2303" s="330"/>
      <c r="AM2303" s="343"/>
      <c r="AN2303" s="249"/>
      <c r="AO2303" s="330"/>
      <c r="AP2303" s="343"/>
      <c r="AQ2303" s="249"/>
      <c r="AR2303" s="330"/>
      <c r="AS2303" s="343"/>
      <c r="AT2303" s="249"/>
      <c r="AU2303" s="330"/>
    </row>
    <row r="2304" spans="2:47">
      <c r="B2304" s="247">
        <f>'Table S2 Compound Identifiers'!C2306</f>
        <v>0</v>
      </c>
      <c r="C2304" s="247">
        <f>COUNTIF($D$6:D2304,"&lt;&gt;"&amp;"")</f>
        <v>2299</v>
      </c>
      <c r="D2304" s="247">
        <f>'Table S2 Compound Identifiers'!B2306</f>
        <v>0</v>
      </c>
      <c r="E2304" s="247"/>
      <c r="F2304" s="248"/>
      <c r="G2304" s="249"/>
      <c r="H2304" s="330"/>
      <c r="I2304" s="328"/>
      <c r="J2304" s="249"/>
      <c r="K2304" s="330"/>
      <c r="L2304" s="250"/>
      <c r="M2304" s="249"/>
      <c r="N2304" s="330"/>
      <c r="O2304" s="250"/>
      <c r="P2304" s="249"/>
      <c r="Q2304" s="330"/>
      <c r="R2304" s="250"/>
      <c r="S2304" s="249"/>
      <c r="T2304" s="330"/>
      <c r="U2304" s="250"/>
      <c r="V2304" s="249"/>
      <c r="W2304" s="330"/>
      <c r="X2304" s="343"/>
      <c r="Y2304" s="249"/>
      <c r="Z2304" s="330"/>
      <c r="AA2304" s="343"/>
      <c r="AB2304" s="249"/>
      <c r="AC2304" s="330"/>
      <c r="AD2304" s="343"/>
      <c r="AE2304" s="249"/>
      <c r="AF2304" s="330"/>
      <c r="AG2304" s="343"/>
      <c r="AH2304" s="249"/>
      <c r="AI2304" s="330"/>
      <c r="AJ2304" s="343"/>
      <c r="AK2304" s="249"/>
      <c r="AL2304" s="330"/>
      <c r="AM2304" s="343"/>
      <c r="AN2304" s="249"/>
      <c r="AO2304" s="330"/>
      <c r="AP2304" s="343"/>
      <c r="AQ2304" s="249"/>
      <c r="AR2304" s="330"/>
      <c r="AS2304" s="343"/>
      <c r="AT2304" s="249"/>
      <c r="AU2304" s="330"/>
    </row>
    <row r="2305" spans="2:47">
      <c r="B2305" s="247">
        <f>'Table S2 Compound Identifiers'!C2307</f>
        <v>0</v>
      </c>
      <c r="C2305" s="247">
        <f>COUNTIF($D$6:D2305,"&lt;&gt;"&amp;"")</f>
        <v>2300</v>
      </c>
      <c r="D2305" s="247">
        <f>'Table S2 Compound Identifiers'!B2307</f>
        <v>0</v>
      </c>
      <c r="E2305" s="247"/>
      <c r="F2305" s="248"/>
      <c r="G2305" s="249"/>
      <c r="H2305" s="330"/>
      <c r="I2305" s="328"/>
      <c r="J2305" s="249"/>
      <c r="K2305" s="330"/>
      <c r="L2305" s="250"/>
      <c r="M2305" s="249"/>
      <c r="N2305" s="330"/>
      <c r="O2305" s="250"/>
      <c r="P2305" s="249"/>
      <c r="Q2305" s="330"/>
      <c r="R2305" s="250"/>
      <c r="S2305" s="249"/>
      <c r="T2305" s="330"/>
      <c r="U2305" s="250"/>
      <c r="V2305" s="249"/>
      <c r="W2305" s="330"/>
      <c r="X2305" s="343"/>
      <c r="Y2305" s="249"/>
      <c r="Z2305" s="330"/>
      <c r="AA2305" s="343"/>
      <c r="AB2305" s="249"/>
      <c r="AC2305" s="330"/>
      <c r="AD2305" s="343"/>
      <c r="AE2305" s="249"/>
      <c r="AF2305" s="330"/>
      <c r="AG2305" s="343"/>
      <c r="AH2305" s="249"/>
      <c r="AI2305" s="330"/>
      <c r="AJ2305" s="343"/>
      <c r="AK2305" s="249"/>
      <c r="AL2305" s="330"/>
      <c r="AM2305" s="343"/>
      <c r="AN2305" s="249"/>
      <c r="AO2305" s="330"/>
      <c r="AP2305" s="343"/>
      <c r="AQ2305" s="249"/>
      <c r="AR2305" s="330"/>
      <c r="AS2305" s="343"/>
      <c r="AT2305" s="249"/>
      <c r="AU2305" s="330"/>
    </row>
    <row r="2306" spans="2:47">
      <c r="B2306" s="247">
        <f>'Table S2 Compound Identifiers'!C2308</f>
        <v>0</v>
      </c>
      <c r="C2306" s="247">
        <f>COUNTIF($D$6:D2306,"&lt;&gt;"&amp;"")</f>
        <v>2301</v>
      </c>
      <c r="D2306" s="247">
        <f>'Table S2 Compound Identifiers'!B2308</f>
        <v>0</v>
      </c>
      <c r="E2306" s="247"/>
      <c r="F2306" s="248"/>
      <c r="G2306" s="249"/>
      <c r="H2306" s="330"/>
      <c r="I2306" s="328"/>
      <c r="J2306" s="249"/>
      <c r="K2306" s="330"/>
      <c r="L2306" s="250"/>
      <c r="M2306" s="249"/>
      <c r="N2306" s="330"/>
      <c r="O2306" s="250"/>
      <c r="P2306" s="249"/>
      <c r="Q2306" s="330"/>
      <c r="R2306" s="250"/>
      <c r="S2306" s="249"/>
      <c r="T2306" s="330"/>
      <c r="U2306" s="250"/>
      <c r="V2306" s="249"/>
      <c r="W2306" s="330"/>
      <c r="X2306" s="343"/>
      <c r="Y2306" s="249"/>
      <c r="Z2306" s="330"/>
      <c r="AA2306" s="343"/>
      <c r="AB2306" s="249"/>
      <c r="AC2306" s="330"/>
      <c r="AD2306" s="343"/>
      <c r="AE2306" s="249"/>
      <c r="AF2306" s="330"/>
      <c r="AG2306" s="343"/>
      <c r="AH2306" s="249"/>
      <c r="AI2306" s="330"/>
      <c r="AJ2306" s="343"/>
      <c r="AK2306" s="249"/>
      <c r="AL2306" s="330"/>
      <c r="AM2306" s="343"/>
      <c r="AN2306" s="249"/>
      <c r="AO2306" s="330"/>
      <c r="AP2306" s="343"/>
      <c r="AQ2306" s="249"/>
      <c r="AR2306" s="330"/>
      <c r="AS2306" s="343"/>
      <c r="AT2306" s="249"/>
      <c r="AU2306" s="330"/>
    </row>
    <row r="2307" spans="2:47">
      <c r="B2307" s="247">
        <f>'Table S2 Compound Identifiers'!C2309</f>
        <v>0</v>
      </c>
      <c r="C2307" s="247">
        <f>COUNTIF($D$6:D2307,"&lt;&gt;"&amp;"")</f>
        <v>2302</v>
      </c>
      <c r="D2307" s="247">
        <f>'Table S2 Compound Identifiers'!B2309</f>
        <v>0</v>
      </c>
      <c r="E2307" s="247"/>
      <c r="F2307" s="248"/>
      <c r="G2307" s="249"/>
      <c r="H2307" s="330"/>
      <c r="I2307" s="328"/>
      <c r="J2307" s="249"/>
      <c r="K2307" s="330"/>
      <c r="L2307" s="250"/>
      <c r="M2307" s="249"/>
      <c r="N2307" s="330"/>
      <c r="O2307" s="250"/>
      <c r="P2307" s="249"/>
      <c r="Q2307" s="330"/>
      <c r="R2307" s="250"/>
      <c r="S2307" s="249"/>
      <c r="T2307" s="330"/>
      <c r="U2307" s="250"/>
      <c r="V2307" s="249"/>
      <c r="W2307" s="330"/>
      <c r="X2307" s="343"/>
      <c r="Y2307" s="249"/>
      <c r="Z2307" s="330"/>
      <c r="AA2307" s="343"/>
      <c r="AB2307" s="249"/>
      <c r="AC2307" s="330"/>
      <c r="AD2307" s="343"/>
      <c r="AE2307" s="249"/>
      <c r="AF2307" s="330"/>
      <c r="AG2307" s="343"/>
      <c r="AH2307" s="249"/>
      <c r="AI2307" s="330"/>
      <c r="AJ2307" s="343"/>
      <c r="AK2307" s="249"/>
      <c r="AL2307" s="330"/>
      <c r="AM2307" s="343"/>
      <c r="AN2307" s="249"/>
      <c r="AO2307" s="330"/>
      <c r="AP2307" s="343"/>
      <c r="AQ2307" s="249"/>
      <c r="AR2307" s="330"/>
      <c r="AS2307" s="343"/>
      <c r="AT2307" s="249"/>
      <c r="AU2307" s="330"/>
    </row>
    <row r="2308" spans="2:47">
      <c r="B2308" s="247">
        <f>'Table S2 Compound Identifiers'!C2310</f>
        <v>0</v>
      </c>
      <c r="C2308" s="247">
        <f>COUNTIF($D$6:D2308,"&lt;&gt;"&amp;"")</f>
        <v>2303</v>
      </c>
      <c r="D2308" s="247">
        <f>'Table S2 Compound Identifiers'!B2310</f>
        <v>0</v>
      </c>
      <c r="E2308" s="247"/>
      <c r="F2308" s="248"/>
      <c r="G2308" s="249"/>
      <c r="H2308" s="330"/>
      <c r="I2308" s="328"/>
      <c r="J2308" s="249"/>
      <c r="K2308" s="330"/>
      <c r="L2308" s="250"/>
      <c r="M2308" s="249"/>
      <c r="N2308" s="330"/>
      <c r="O2308" s="250"/>
      <c r="P2308" s="249"/>
      <c r="Q2308" s="330"/>
      <c r="R2308" s="250"/>
      <c r="S2308" s="249"/>
      <c r="T2308" s="330"/>
      <c r="U2308" s="250"/>
      <c r="V2308" s="249"/>
      <c r="W2308" s="330"/>
      <c r="X2308" s="343"/>
      <c r="Y2308" s="249"/>
      <c r="Z2308" s="330"/>
      <c r="AA2308" s="343"/>
      <c r="AB2308" s="249"/>
      <c r="AC2308" s="330"/>
      <c r="AD2308" s="343"/>
      <c r="AE2308" s="249"/>
      <c r="AF2308" s="330"/>
      <c r="AG2308" s="343"/>
      <c r="AH2308" s="249"/>
      <c r="AI2308" s="330"/>
      <c r="AJ2308" s="343"/>
      <c r="AK2308" s="249"/>
      <c r="AL2308" s="330"/>
      <c r="AM2308" s="343"/>
      <c r="AN2308" s="249"/>
      <c r="AO2308" s="330"/>
      <c r="AP2308" s="343"/>
      <c r="AQ2308" s="249"/>
      <c r="AR2308" s="330"/>
      <c r="AS2308" s="343"/>
      <c r="AT2308" s="249"/>
      <c r="AU2308" s="330"/>
    </row>
    <row r="2309" spans="2:47">
      <c r="B2309" s="247">
        <f>'Table S2 Compound Identifiers'!C2311</f>
        <v>0</v>
      </c>
      <c r="C2309" s="247">
        <f>COUNTIF($D$6:D2309,"&lt;&gt;"&amp;"")</f>
        <v>2304</v>
      </c>
      <c r="D2309" s="247">
        <f>'Table S2 Compound Identifiers'!B2311</f>
        <v>0</v>
      </c>
      <c r="E2309" s="247"/>
      <c r="F2309" s="248"/>
      <c r="G2309" s="249"/>
      <c r="H2309" s="330"/>
      <c r="I2309" s="328"/>
      <c r="J2309" s="249"/>
      <c r="K2309" s="330"/>
      <c r="L2309" s="250"/>
      <c r="M2309" s="249"/>
      <c r="N2309" s="330"/>
      <c r="O2309" s="250"/>
      <c r="P2309" s="249"/>
      <c r="Q2309" s="330"/>
      <c r="R2309" s="250"/>
      <c r="S2309" s="249"/>
      <c r="T2309" s="330"/>
      <c r="U2309" s="250"/>
      <c r="V2309" s="249"/>
      <c r="W2309" s="330"/>
      <c r="X2309" s="343"/>
      <c r="Y2309" s="249"/>
      <c r="Z2309" s="330"/>
      <c r="AA2309" s="343"/>
      <c r="AB2309" s="249"/>
      <c r="AC2309" s="330"/>
      <c r="AD2309" s="343"/>
      <c r="AE2309" s="249"/>
      <c r="AF2309" s="330"/>
      <c r="AG2309" s="343"/>
      <c r="AH2309" s="249"/>
      <c r="AI2309" s="330"/>
      <c r="AJ2309" s="343"/>
      <c r="AK2309" s="249"/>
      <c r="AL2309" s="330"/>
      <c r="AM2309" s="343"/>
      <c r="AN2309" s="249"/>
      <c r="AO2309" s="330"/>
      <c r="AP2309" s="343"/>
      <c r="AQ2309" s="249"/>
      <c r="AR2309" s="330"/>
      <c r="AS2309" s="343"/>
      <c r="AT2309" s="249"/>
      <c r="AU2309" s="330"/>
    </row>
    <row r="2310" spans="2:47">
      <c r="B2310" s="247">
        <f>'Table S2 Compound Identifiers'!C2312</f>
        <v>0</v>
      </c>
      <c r="C2310" s="247">
        <f>COUNTIF($D$6:D2310,"&lt;&gt;"&amp;"")</f>
        <v>2305</v>
      </c>
      <c r="D2310" s="247">
        <f>'Table S2 Compound Identifiers'!B2312</f>
        <v>0</v>
      </c>
      <c r="E2310" s="247"/>
      <c r="F2310" s="248"/>
      <c r="G2310" s="249"/>
      <c r="H2310" s="330"/>
      <c r="I2310" s="328"/>
      <c r="J2310" s="249"/>
      <c r="K2310" s="330"/>
      <c r="L2310" s="250"/>
      <c r="M2310" s="249"/>
      <c r="N2310" s="330"/>
      <c r="O2310" s="250"/>
      <c r="P2310" s="249"/>
      <c r="Q2310" s="330"/>
      <c r="R2310" s="250"/>
      <c r="S2310" s="249"/>
      <c r="T2310" s="330"/>
      <c r="U2310" s="250"/>
      <c r="V2310" s="249"/>
      <c r="W2310" s="330"/>
      <c r="X2310" s="343"/>
      <c r="Y2310" s="249"/>
      <c r="Z2310" s="330"/>
      <c r="AA2310" s="343"/>
      <c r="AB2310" s="249"/>
      <c r="AC2310" s="330"/>
      <c r="AD2310" s="343"/>
      <c r="AE2310" s="249"/>
      <c r="AF2310" s="330"/>
      <c r="AG2310" s="343"/>
      <c r="AH2310" s="249"/>
      <c r="AI2310" s="330"/>
      <c r="AJ2310" s="343"/>
      <c r="AK2310" s="249"/>
      <c r="AL2310" s="330"/>
      <c r="AM2310" s="343"/>
      <c r="AN2310" s="249"/>
      <c r="AO2310" s="330"/>
      <c r="AP2310" s="343"/>
      <c r="AQ2310" s="249"/>
      <c r="AR2310" s="330"/>
      <c r="AS2310" s="343"/>
      <c r="AT2310" s="249"/>
      <c r="AU2310" s="330"/>
    </row>
    <row r="2311" spans="2:47">
      <c r="B2311" s="247">
        <f>'Table S2 Compound Identifiers'!C2313</f>
        <v>0</v>
      </c>
      <c r="C2311" s="247">
        <f>COUNTIF($D$6:D2311,"&lt;&gt;"&amp;"")</f>
        <v>2306</v>
      </c>
      <c r="D2311" s="247">
        <f>'Table S2 Compound Identifiers'!B2313</f>
        <v>0</v>
      </c>
      <c r="E2311" s="247"/>
      <c r="F2311" s="248"/>
      <c r="G2311" s="249"/>
      <c r="H2311" s="330"/>
      <c r="I2311" s="328"/>
      <c r="J2311" s="249"/>
      <c r="K2311" s="330"/>
      <c r="L2311" s="250"/>
      <c r="M2311" s="249"/>
      <c r="N2311" s="330"/>
      <c r="O2311" s="250"/>
      <c r="P2311" s="249"/>
      <c r="Q2311" s="330"/>
      <c r="R2311" s="250"/>
      <c r="S2311" s="249"/>
      <c r="T2311" s="330"/>
      <c r="U2311" s="250"/>
      <c r="V2311" s="249"/>
      <c r="W2311" s="330"/>
      <c r="X2311" s="343"/>
      <c r="Y2311" s="249"/>
      <c r="Z2311" s="330"/>
      <c r="AA2311" s="343"/>
      <c r="AB2311" s="249"/>
      <c r="AC2311" s="330"/>
      <c r="AD2311" s="343"/>
      <c r="AE2311" s="249"/>
      <c r="AF2311" s="330"/>
      <c r="AG2311" s="343"/>
      <c r="AH2311" s="249"/>
      <c r="AI2311" s="330"/>
      <c r="AJ2311" s="343"/>
      <c r="AK2311" s="249"/>
      <c r="AL2311" s="330"/>
      <c r="AM2311" s="343"/>
      <c r="AN2311" s="249"/>
      <c r="AO2311" s="330"/>
      <c r="AP2311" s="343"/>
      <c r="AQ2311" s="249"/>
      <c r="AR2311" s="330"/>
      <c r="AS2311" s="343"/>
      <c r="AT2311" s="249"/>
      <c r="AU2311" s="330"/>
    </row>
    <row r="2312" spans="2:47">
      <c r="B2312" s="247">
        <f>'Table S2 Compound Identifiers'!C2314</f>
        <v>0</v>
      </c>
      <c r="C2312" s="247">
        <f>COUNTIF($D$6:D2312,"&lt;&gt;"&amp;"")</f>
        <v>2307</v>
      </c>
      <c r="D2312" s="247">
        <f>'Table S2 Compound Identifiers'!B2314</f>
        <v>0</v>
      </c>
      <c r="E2312" s="247"/>
      <c r="F2312" s="248"/>
      <c r="G2312" s="249"/>
      <c r="H2312" s="330"/>
      <c r="I2312" s="328"/>
      <c r="J2312" s="249"/>
      <c r="K2312" s="330"/>
      <c r="L2312" s="250"/>
      <c r="M2312" s="249"/>
      <c r="N2312" s="330"/>
      <c r="O2312" s="250"/>
      <c r="P2312" s="249"/>
      <c r="Q2312" s="330"/>
      <c r="R2312" s="250"/>
      <c r="S2312" s="249"/>
      <c r="T2312" s="330"/>
      <c r="U2312" s="250"/>
      <c r="V2312" s="249"/>
      <c r="W2312" s="330"/>
      <c r="X2312" s="343"/>
      <c r="Y2312" s="249"/>
      <c r="Z2312" s="330"/>
      <c r="AA2312" s="343"/>
      <c r="AB2312" s="249"/>
      <c r="AC2312" s="330"/>
      <c r="AD2312" s="343"/>
      <c r="AE2312" s="249"/>
      <c r="AF2312" s="330"/>
      <c r="AG2312" s="343"/>
      <c r="AH2312" s="249"/>
      <c r="AI2312" s="330"/>
      <c r="AJ2312" s="343"/>
      <c r="AK2312" s="249"/>
      <c r="AL2312" s="330"/>
      <c r="AM2312" s="343"/>
      <c r="AN2312" s="249"/>
      <c r="AO2312" s="330"/>
      <c r="AP2312" s="343"/>
      <c r="AQ2312" s="249"/>
      <c r="AR2312" s="330"/>
      <c r="AS2312" s="343"/>
      <c r="AT2312" s="249"/>
      <c r="AU2312" s="330"/>
    </row>
    <row r="2313" spans="2:47">
      <c r="B2313" s="247">
        <f>'Table S2 Compound Identifiers'!C2315</f>
        <v>0</v>
      </c>
      <c r="C2313" s="247">
        <f>COUNTIF($D$6:D2313,"&lt;&gt;"&amp;"")</f>
        <v>2308</v>
      </c>
      <c r="D2313" s="247">
        <f>'Table S2 Compound Identifiers'!B2315</f>
        <v>0</v>
      </c>
      <c r="E2313" s="247"/>
      <c r="F2313" s="248"/>
      <c r="G2313" s="249"/>
      <c r="H2313" s="330"/>
      <c r="I2313" s="328"/>
      <c r="J2313" s="249"/>
      <c r="K2313" s="330"/>
      <c r="L2313" s="250"/>
      <c r="M2313" s="249"/>
      <c r="N2313" s="330"/>
      <c r="O2313" s="250"/>
      <c r="P2313" s="249"/>
      <c r="Q2313" s="330"/>
      <c r="R2313" s="250"/>
      <c r="S2313" s="249"/>
      <c r="T2313" s="330"/>
      <c r="U2313" s="250"/>
      <c r="V2313" s="249"/>
      <c r="W2313" s="330"/>
      <c r="X2313" s="343"/>
      <c r="Y2313" s="249"/>
      <c r="Z2313" s="330"/>
      <c r="AA2313" s="343"/>
      <c r="AB2313" s="249"/>
      <c r="AC2313" s="330"/>
      <c r="AD2313" s="343"/>
      <c r="AE2313" s="249"/>
      <c r="AF2313" s="330"/>
      <c r="AG2313" s="343"/>
      <c r="AH2313" s="249"/>
      <c r="AI2313" s="330"/>
      <c r="AJ2313" s="343"/>
      <c r="AK2313" s="249"/>
      <c r="AL2313" s="330"/>
      <c r="AM2313" s="343"/>
      <c r="AN2313" s="249"/>
      <c r="AO2313" s="330"/>
      <c r="AP2313" s="343"/>
      <c r="AQ2313" s="249"/>
      <c r="AR2313" s="330"/>
      <c r="AS2313" s="343"/>
      <c r="AT2313" s="249"/>
      <c r="AU2313" s="330"/>
    </row>
    <row r="2314" spans="2:47">
      <c r="B2314" s="247">
        <f>'Table S2 Compound Identifiers'!C2316</f>
        <v>0</v>
      </c>
      <c r="C2314" s="247">
        <f>COUNTIF($D$6:D2314,"&lt;&gt;"&amp;"")</f>
        <v>2309</v>
      </c>
      <c r="D2314" s="247">
        <f>'Table S2 Compound Identifiers'!B2316</f>
        <v>0</v>
      </c>
      <c r="E2314" s="247"/>
      <c r="F2314" s="248"/>
      <c r="G2314" s="249"/>
      <c r="H2314" s="330"/>
      <c r="I2314" s="328"/>
      <c r="J2314" s="249"/>
      <c r="K2314" s="330"/>
      <c r="L2314" s="250"/>
      <c r="M2314" s="249"/>
      <c r="N2314" s="330"/>
      <c r="O2314" s="250"/>
      <c r="P2314" s="249"/>
      <c r="Q2314" s="330"/>
      <c r="R2314" s="250"/>
      <c r="S2314" s="249"/>
      <c r="T2314" s="330"/>
      <c r="U2314" s="250"/>
      <c r="V2314" s="249"/>
      <c r="W2314" s="330"/>
      <c r="X2314" s="343"/>
      <c r="Y2314" s="249"/>
      <c r="Z2314" s="330"/>
      <c r="AA2314" s="343"/>
      <c r="AB2314" s="249"/>
      <c r="AC2314" s="330"/>
      <c r="AD2314" s="343"/>
      <c r="AE2314" s="249"/>
      <c r="AF2314" s="330"/>
      <c r="AG2314" s="343"/>
      <c r="AH2314" s="249"/>
      <c r="AI2314" s="330"/>
      <c r="AJ2314" s="343"/>
      <c r="AK2314" s="249"/>
      <c r="AL2314" s="330"/>
      <c r="AM2314" s="343"/>
      <c r="AN2314" s="249"/>
      <c r="AO2314" s="330"/>
      <c r="AP2314" s="343"/>
      <c r="AQ2314" s="249"/>
      <c r="AR2314" s="330"/>
      <c r="AS2314" s="343"/>
      <c r="AT2314" s="249"/>
      <c r="AU2314" s="330"/>
    </row>
    <row r="2315" spans="2:47">
      <c r="B2315" s="247">
        <f>'Table S2 Compound Identifiers'!C2317</f>
        <v>0</v>
      </c>
      <c r="C2315" s="247">
        <f>COUNTIF($D$6:D2315,"&lt;&gt;"&amp;"")</f>
        <v>2310</v>
      </c>
      <c r="D2315" s="247">
        <f>'Table S2 Compound Identifiers'!B2317</f>
        <v>0</v>
      </c>
      <c r="E2315" s="247"/>
      <c r="F2315" s="248"/>
      <c r="G2315" s="249"/>
      <c r="H2315" s="330"/>
      <c r="I2315" s="328"/>
      <c r="J2315" s="249"/>
      <c r="K2315" s="330"/>
      <c r="L2315" s="250"/>
      <c r="M2315" s="249"/>
      <c r="N2315" s="330"/>
      <c r="O2315" s="250"/>
      <c r="P2315" s="249"/>
      <c r="Q2315" s="330"/>
      <c r="R2315" s="250"/>
      <c r="S2315" s="249"/>
      <c r="T2315" s="330"/>
      <c r="U2315" s="250"/>
      <c r="V2315" s="249"/>
      <c r="W2315" s="330"/>
      <c r="X2315" s="343"/>
      <c r="Y2315" s="249"/>
      <c r="Z2315" s="330"/>
      <c r="AA2315" s="343"/>
      <c r="AB2315" s="249"/>
      <c r="AC2315" s="330"/>
      <c r="AD2315" s="343"/>
      <c r="AE2315" s="249"/>
      <c r="AF2315" s="330"/>
      <c r="AG2315" s="343"/>
      <c r="AH2315" s="249"/>
      <c r="AI2315" s="330"/>
      <c r="AJ2315" s="343"/>
      <c r="AK2315" s="249"/>
      <c r="AL2315" s="330"/>
      <c r="AM2315" s="343"/>
      <c r="AN2315" s="249"/>
      <c r="AO2315" s="330"/>
      <c r="AP2315" s="343"/>
      <c r="AQ2315" s="249"/>
      <c r="AR2315" s="330"/>
      <c r="AS2315" s="343"/>
      <c r="AT2315" s="249"/>
      <c r="AU2315" s="330"/>
    </row>
    <row r="2316" spans="2:47">
      <c r="B2316" s="247">
        <f>'Table S2 Compound Identifiers'!C2318</f>
        <v>0</v>
      </c>
      <c r="C2316" s="247">
        <f>COUNTIF($D$6:D2316,"&lt;&gt;"&amp;"")</f>
        <v>2311</v>
      </c>
      <c r="D2316" s="247">
        <f>'Table S2 Compound Identifiers'!B2318</f>
        <v>0</v>
      </c>
      <c r="E2316" s="247"/>
      <c r="F2316" s="248"/>
      <c r="G2316" s="249"/>
      <c r="H2316" s="330"/>
      <c r="I2316" s="328"/>
      <c r="J2316" s="249"/>
      <c r="K2316" s="330"/>
      <c r="L2316" s="250"/>
      <c r="M2316" s="249"/>
      <c r="N2316" s="330"/>
      <c r="O2316" s="250"/>
      <c r="P2316" s="249"/>
      <c r="Q2316" s="330"/>
      <c r="R2316" s="250"/>
      <c r="S2316" s="249"/>
      <c r="T2316" s="330"/>
      <c r="U2316" s="250"/>
      <c r="V2316" s="249"/>
      <c r="W2316" s="330"/>
      <c r="X2316" s="343"/>
      <c r="Y2316" s="249"/>
      <c r="Z2316" s="330"/>
      <c r="AA2316" s="343"/>
      <c r="AB2316" s="249"/>
      <c r="AC2316" s="330"/>
      <c r="AD2316" s="343"/>
      <c r="AE2316" s="249"/>
      <c r="AF2316" s="330"/>
      <c r="AG2316" s="343"/>
      <c r="AH2316" s="249"/>
      <c r="AI2316" s="330"/>
      <c r="AJ2316" s="343"/>
      <c r="AK2316" s="249"/>
      <c r="AL2316" s="330"/>
      <c r="AM2316" s="343"/>
      <c r="AN2316" s="249"/>
      <c r="AO2316" s="330"/>
      <c r="AP2316" s="343"/>
      <c r="AQ2316" s="249"/>
      <c r="AR2316" s="330"/>
      <c r="AS2316" s="343"/>
      <c r="AT2316" s="249"/>
      <c r="AU2316" s="330"/>
    </row>
    <row r="2317" spans="2:47">
      <c r="B2317" s="247">
        <f>'Table S2 Compound Identifiers'!C2319</f>
        <v>0</v>
      </c>
      <c r="C2317" s="247">
        <f>COUNTIF($D$6:D2317,"&lt;&gt;"&amp;"")</f>
        <v>2312</v>
      </c>
      <c r="D2317" s="247">
        <f>'Table S2 Compound Identifiers'!B2319</f>
        <v>0</v>
      </c>
      <c r="E2317" s="247"/>
      <c r="F2317" s="248"/>
      <c r="G2317" s="249"/>
      <c r="H2317" s="330"/>
      <c r="I2317" s="328"/>
      <c r="J2317" s="249"/>
      <c r="K2317" s="330"/>
      <c r="L2317" s="250"/>
      <c r="M2317" s="249"/>
      <c r="N2317" s="330"/>
      <c r="O2317" s="250"/>
      <c r="P2317" s="249"/>
      <c r="Q2317" s="330"/>
      <c r="R2317" s="250"/>
      <c r="S2317" s="249"/>
      <c r="T2317" s="330"/>
      <c r="U2317" s="250"/>
      <c r="V2317" s="249"/>
      <c r="W2317" s="330"/>
      <c r="X2317" s="343"/>
      <c r="Y2317" s="249"/>
      <c r="Z2317" s="330"/>
      <c r="AA2317" s="343"/>
      <c r="AB2317" s="249"/>
      <c r="AC2317" s="330"/>
      <c r="AD2317" s="343"/>
      <c r="AE2317" s="249"/>
      <c r="AF2317" s="330"/>
      <c r="AG2317" s="343"/>
      <c r="AH2317" s="249"/>
      <c r="AI2317" s="330"/>
      <c r="AJ2317" s="343"/>
      <c r="AK2317" s="249"/>
      <c r="AL2317" s="330"/>
      <c r="AM2317" s="343"/>
      <c r="AN2317" s="249"/>
      <c r="AO2317" s="330"/>
      <c r="AP2317" s="343"/>
      <c r="AQ2317" s="249"/>
      <c r="AR2317" s="330"/>
      <c r="AS2317" s="343"/>
      <c r="AT2317" s="249"/>
      <c r="AU2317" s="330"/>
    </row>
    <row r="2318" spans="2:47">
      <c r="B2318" s="247">
        <f>'Table S2 Compound Identifiers'!C2320</f>
        <v>0</v>
      </c>
      <c r="C2318" s="247">
        <f>COUNTIF($D$6:D2318,"&lt;&gt;"&amp;"")</f>
        <v>2313</v>
      </c>
      <c r="D2318" s="247">
        <f>'Table S2 Compound Identifiers'!B2320</f>
        <v>0</v>
      </c>
      <c r="E2318" s="247"/>
      <c r="F2318" s="248"/>
      <c r="G2318" s="249"/>
      <c r="H2318" s="330"/>
      <c r="I2318" s="328"/>
      <c r="J2318" s="249"/>
      <c r="K2318" s="330"/>
      <c r="L2318" s="250"/>
      <c r="M2318" s="249"/>
      <c r="N2318" s="330"/>
      <c r="O2318" s="250"/>
      <c r="P2318" s="249"/>
      <c r="Q2318" s="330"/>
      <c r="R2318" s="250"/>
      <c r="S2318" s="249"/>
      <c r="T2318" s="330"/>
      <c r="U2318" s="250"/>
      <c r="V2318" s="249"/>
      <c r="W2318" s="330"/>
      <c r="X2318" s="343"/>
      <c r="Y2318" s="249"/>
      <c r="Z2318" s="330"/>
      <c r="AA2318" s="343"/>
      <c r="AB2318" s="249"/>
      <c r="AC2318" s="330"/>
      <c r="AD2318" s="343"/>
      <c r="AE2318" s="249"/>
      <c r="AF2318" s="330"/>
      <c r="AG2318" s="343"/>
      <c r="AH2318" s="249"/>
      <c r="AI2318" s="330"/>
      <c r="AJ2318" s="343"/>
      <c r="AK2318" s="249"/>
      <c r="AL2318" s="330"/>
      <c r="AM2318" s="343"/>
      <c r="AN2318" s="249"/>
      <c r="AO2318" s="330"/>
      <c r="AP2318" s="343"/>
      <c r="AQ2318" s="249"/>
      <c r="AR2318" s="330"/>
      <c r="AS2318" s="343"/>
      <c r="AT2318" s="249"/>
      <c r="AU2318" s="330"/>
    </row>
    <row r="2319" spans="2:47">
      <c r="B2319" s="247">
        <f>'Table S2 Compound Identifiers'!C2321</f>
        <v>0</v>
      </c>
      <c r="C2319" s="247">
        <f>COUNTIF($D$6:D2319,"&lt;&gt;"&amp;"")</f>
        <v>2314</v>
      </c>
      <c r="D2319" s="247">
        <f>'Table S2 Compound Identifiers'!B2321</f>
        <v>0</v>
      </c>
      <c r="E2319" s="247"/>
      <c r="F2319" s="248"/>
      <c r="G2319" s="249"/>
      <c r="H2319" s="330"/>
      <c r="I2319" s="328"/>
      <c r="J2319" s="249"/>
      <c r="K2319" s="330"/>
      <c r="L2319" s="250"/>
      <c r="M2319" s="249"/>
      <c r="N2319" s="330"/>
      <c r="O2319" s="250"/>
      <c r="P2319" s="249"/>
      <c r="Q2319" s="330"/>
      <c r="R2319" s="250"/>
      <c r="S2319" s="249"/>
      <c r="T2319" s="330"/>
      <c r="U2319" s="250"/>
      <c r="V2319" s="249"/>
      <c r="W2319" s="330"/>
      <c r="X2319" s="343"/>
      <c r="Y2319" s="249"/>
      <c r="Z2319" s="330"/>
      <c r="AA2319" s="343"/>
      <c r="AB2319" s="249"/>
      <c r="AC2319" s="330"/>
      <c r="AD2319" s="343"/>
      <c r="AE2319" s="249"/>
      <c r="AF2319" s="330"/>
      <c r="AG2319" s="343"/>
      <c r="AH2319" s="249"/>
      <c r="AI2319" s="330"/>
      <c r="AJ2319" s="343"/>
      <c r="AK2319" s="249"/>
      <c r="AL2319" s="330"/>
      <c r="AM2319" s="343"/>
      <c r="AN2319" s="249"/>
      <c r="AO2319" s="330"/>
      <c r="AP2319" s="343"/>
      <c r="AQ2319" s="249"/>
      <c r="AR2319" s="330"/>
      <c r="AS2319" s="343"/>
      <c r="AT2319" s="249"/>
      <c r="AU2319" s="330"/>
    </row>
    <row r="2320" spans="2:47">
      <c r="B2320" s="247">
        <f>'Table S2 Compound Identifiers'!C2322</f>
        <v>0</v>
      </c>
      <c r="C2320" s="247">
        <f>COUNTIF($D$6:D2320,"&lt;&gt;"&amp;"")</f>
        <v>2315</v>
      </c>
      <c r="D2320" s="247">
        <f>'Table S2 Compound Identifiers'!B2322</f>
        <v>0</v>
      </c>
      <c r="E2320" s="247"/>
      <c r="F2320" s="248"/>
      <c r="G2320" s="249"/>
      <c r="H2320" s="330"/>
      <c r="I2320" s="328"/>
      <c r="J2320" s="249"/>
      <c r="K2320" s="330"/>
      <c r="L2320" s="250"/>
      <c r="M2320" s="249"/>
      <c r="N2320" s="330"/>
      <c r="O2320" s="250"/>
      <c r="P2320" s="249"/>
      <c r="Q2320" s="330"/>
      <c r="R2320" s="250"/>
      <c r="S2320" s="249"/>
      <c r="T2320" s="330"/>
      <c r="U2320" s="250"/>
      <c r="V2320" s="249"/>
      <c r="W2320" s="330"/>
      <c r="X2320" s="343"/>
      <c r="Y2320" s="249"/>
      <c r="Z2320" s="330"/>
      <c r="AA2320" s="343"/>
      <c r="AB2320" s="249"/>
      <c r="AC2320" s="330"/>
      <c r="AD2320" s="343"/>
      <c r="AE2320" s="249"/>
      <c r="AF2320" s="330"/>
      <c r="AG2320" s="343"/>
      <c r="AH2320" s="249"/>
      <c r="AI2320" s="330"/>
      <c r="AJ2320" s="343"/>
      <c r="AK2320" s="249"/>
      <c r="AL2320" s="330"/>
      <c r="AM2320" s="343"/>
      <c r="AN2320" s="249"/>
      <c r="AO2320" s="330"/>
      <c r="AP2320" s="343"/>
      <c r="AQ2320" s="249"/>
      <c r="AR2320" s="330"/>
      <c r="AS2320" s="343"/>
      <c r="AT2320" s="249"/>
      <c r="AU2320" s="330"/>
    </row>
    <row r="2321" spans="2:47">
      <c r="B2321" s="247">
        <f>'Table S2 Compound Identifiers'!C2323</f>
        <v>0</v>
      </c>
      <c r="C2321" s="247">
        <f>COUNTIF($D$6:D2321,"&lt;&gt;"&amp;"")</f>
        <v>2316</v>
      </c>
      <c r="D2321" s="247">
        <f>'Table S2 Compound Identifiers'!B2323</f>
        <v>0</v>
      </c>
      <c r="E2321" s="247"/>
      <c r="F2321" s="248"/>
      <c r="G2321" s="249"/>
      <c r="H2321" s="330"/>
      <c r="I2321" s="328"/>
      <c r="J2321" s="249"/>
      <c r="K2321" s="330"/>
      <c r="L2321" s="250"/>
      <c r="M2321" s="249"/>
      <c r="N2321" s="330"/>
      <c r="O2321" s="250"/>
      <c r="P2321" s="249"/>
      <c r="Q2321" s="330"/>
      <c r="R2321" s="250"/>
      <c r="S2321" s="249"/>
      <c r="T2321" s="330"/>
      <c r="U2321" s="250"/>
      <c r="V2321" s="249"/>
      <c r="W2321" s="330"/>
      <c r="X2321" s="343"/>
      <c r="Y2321" s="249"/>
      <c r="Z2321" s="330"/>
      <c r="AA2321" s="343"/>
      <c r="AB2321" s="249"/>
      <c r="AC2321" s="330"/>
      <c r="AD2321" s="343"/>
      <c r="AE2321" s="249"/>
      <c r="AF2321" s="330"/>
      <c r="AG2321" s="343"/>
      <c r="AH2321" s="249"/>
      <c r="AI2321" s="330"/>
      <c r="AJ2321" s="343"/>
      <c r="AK2321" s="249"/>
      <c r="AL2321" s="330"/>
      <c r="AM2321" s="343"/>
      <c r="AN2321" s="249"/>
      <c r="AO2321" s="330"/>
      <c r="AP2321" s="343"/>
      <c r="AQ2321" s="249"/>
      <c r="AR2321" s="330"/>
      <c r="AS2321" s="343"/>
      <c r="AT2321" s="249"/>
      <c r="AU2321" s="330"/>
    </row>
    <row r="2322" spans="2:47">
      <c r="B2322" s="247">
        <f>'Table S2 Compound Identifiers'!C2324</f>
        <v>0</v>
      </c>
      <c r="C2322" s="247">
        <f>COUNTIF($D$6:D2322,"&lt;&gt;"&amp;"")</f>
        <v>2317</v>
      </c>
      <c r="D2322" s="247">
        <f>'Table S2 Compound Identifiers'!B2324</f>
        <v>0</v>
      </c>
      <c r="E2322" s="247"/>
      <c r="F2322" s="248"/>
      <c r="G2322" s="249"/>
      <c r="H2322" s="330"/>
      <c r="I2322" s="328"/>
      <c r="J2322" s="249"/>
      <c r="K2322" s="330"/>
      <c r="L2322" s="250"/>
      <c r="M2322" s="249"/>
      <c r="N2322" s="330"/>
      <c r="O2322" s="250"/>
      <c r="P2322" s="249"/>
      <c r="Q2322" s="330"/>
      <c r="R2322" s="250"/>
      <c r="S2322" s="249"/>
      <c r="T2322" s="330"/>
      <c r="U2322" s="250"/>
      <c r="V2322" s="249"/>
      <c r="W2322" s="330"/>
      <c r="X2322" s="343"/>
      <c r="Y2322" s="249"/>
      <c r="Z2322" s="330"/>
      <c r="AA2322" s="343"/>
      <c r="AB2322" s="249"/>
      <c r="AC2322" s="330"/>
      <c r="AD2322" s="343"/>
      <c r="AE2322" s="249"/>
      <c r="AF2322" s="330"/>
      <c r="AG2322" s="343"/>
      <c r="AH2322" s="249"/>
      <c r="AI2322" s="330"/>
      <c r="AJ2322" s="343"/>
      <c r="AK2322" s="249"/>
      <c r="AL2322" s="330"/>
      <c r="AM2322" s="343"/>
      <c r="AN2322" s="249"/>
      <c r="AO2322" s="330"/>
      <c r="AP2322" s="343"/>
      <c r="AQ2322" s="249"/>
      <c r="AR2322" s="330"/>
      <c r="AS2322" s="343"/>
      <c r="AT2322" s="249"/>
      <c r="AU2322" s="330"/>
    </row>
    <row r="2323" spans="2:47">
      <c r="B2323" s="247">
        <f>'Table S2 Compound Identifiers'!C2325</f>
        <v>0</v>
      </c>
      <c r="C2323" s="247">
        <f>COUNTIF($D$6:D2323,"&lt;&gt;"&amp;"")</f>
        <v>2318</v>
      </c>
      <c r="D2323" s="247">
        <f>'Table S2 Compound Identifiers'!B2325</f>
        <v>0</v>
      </c>
      <c r="E2323" s="247"/>
      <c r="F2323" s="248"/>
      <c r="G2323" s="249"/>
      <c r="H2323" s="330"/>
      <c r="I2323" s="328"/>
      <c r="J2323" s="249"/>
      <c r="K2323" s="330"/>
      <c r="L2323" s="250"/>
      <c r="M2323" s="249"/>
      <c r="N2323" s="330"/>
      <c r="O2323" s="250"/>
      <c r="P2323" s="249"/>
      <c r="Q2323" s="330"/>
      <c r="R2323" s="250"/>
      <c r="S2323" s="249"/>
      <c r="T2323" s="330"/>
      <c r="U2323" s="250"/>
      <c r="V2323" s="249"/>
      <c r="W2323" s="330"/>
      <c r="X2323" s="343"/>
      <c r="Y2323" s="249"/>
      <c r="Z2323" s="330"/>
      <c r="AA2323" s="343"/>
      <c r="AB2323" s="249"/>
      <c r="AC2323" s="330"/>
      <c r="AD2323" s="343"/>
      <c r="AE2323" s="249"/>
      <c r="AF2323" s="330"/>
      <c r="AG2323" s="343"/>
      <c r="AH2323" s="249"/>
      <c r="AI2323" s="330"/>
      <c r="AJ2323" s="343"/>
      <c r="AK2323" s="249"/>
      <c r="AL2323" s="330"/>
      <c r="AM2323" s="343"/>
      <c r="AN2323" s="249"/>
      <c r="AO2323" s="330"/>
      <c r="AP2323" s="343"/>
      <c r="AQ2323" s="249"/>
      <c r="AR2323" s="330"/>
      <c r="AS2323" s="343"/>
      <c r="AT2323" s="249"/>
      <c r="AU2323" s="330"/>
    </row>
    <row r="2324" spans="2:47">
      <c r="B2324" s="247">
        <f>'Table S2 Compound Identifiers'!C2326</f>
        <v>0</v>
      </c>
      <c r="C2324" s="247">
        <f>COUNTIF($D$6:D2324,"&lt;&gt;"&amp;"")</f>
        <v>2319</v>
      </c>
      <c r="D2324" s="247">
        <f>'Table S2 Compound Identifiers'!B2326</f>
        <v>0</v>
      </c>
      <c r="E2324" s="247"/>
      <c r="F2324" s="248"/>
      <c r="G2324" s="249"/>
      <c r="H2324" s="330"/>
      <c r="I2324" s="328"/>
      <c r="J2324" s="249"/>
      <c r="K2324" s="330"/>
      <c r="L2324" s="250"/>
      <c r="M2324" s="249"/>
      <c r="N2324" s="330"/>
      <c r="O2324" s="250"/>
      <c r="P2324" s="249"/>
      <c r="Q2324" s="330"/>
      <c r="R2324" s="250"/>
      <c r="S2324" s="249"/>
      <c r="T2324" s="330"/>
      <c r="U2324" s="250"/>
      <c r="V2324" s="249"/>
      <c r="W2324" s="330"/>
      <c r="X2324" s="343"/>
      <c r="Y2324" s="249"/>
      <c r="Z2324" s="330"/>
      <c r="AA2324" s="343"/>
      <c r="AB2324" s="249"/>
      <c r="AC2324" s="330"/>
      <c r="AD2324" s="343"/>
      <c r="AE2324" s="249"/>
      <c r="AF2324" s="330"/>
      <c r="AG2324" s="343"/>
      <c r="AH2324" s="249"/>
      <c r="AI2324" s="330"/>
      <c r="AJ2324" s="343"/>
      <c r="AK2324" s="249"/>
      <c r="AL2324" s="330"/>
      <c r="AM2324" s="343"/>
      <c r="AN2324" s="249"/>
      <c r="AO2324" s="330"/>
      <c r="AP2324" s="343"/>
      <c r="AQ2324" s="249"/>
      <c r="AR2324" s="330"/>
      <c r="AS2324" s="343"/>
      <c r="AT2324" s="249"/>
      <c r="AU2324" s="330"/>
    </row>
    <row r="2325" spans="2:47">
      <c r="B2325" s="247">
        <f>'Table S2 Compound Identifiers'!C2327</f>
        <v>0</v>
      </c>
      <c r="C2325" s="247">
        <f>COUNTIF($D$6:D2325,"&lt;&gt;"&amp;"")</f>
        <v>2320</v>
      </c>
      <c r="D2325" s="247">
        <f>'Table S2 Compound Identifiers'!B2327</f>
        <v>0</v>
      </c>
      <c r="E2325" s="247"/>
      <c r="F2325" s="248"/>
      <c r="G2325" s="249"/>
      <c r="H2325" s="330"/>
      <c r="I2325" s="328"/>
      <c r="J2325" s="249"/>
      <c r="K2325" s="330"/>
      <c r="L2325" s="250"/>
      <c r="M2325" s="249"/>
      <c r="N2325" s="330"/>
      <c r="O2325" s="250"/>
      <c r="P2325" s="249"/>
      <c r="Q2325" s="330"/>
      <c r="R2325" s="250"/>
      <c r="S2325" s="249"/>
      <c r="T2325" s="330"/>
      <c r="U2325" s="250"/>
      <c r="V2325" s="249"/>
      <c r="W2325" s="330"/>
      <c r="X2325" s="343"/>
      <c r="Y2325" s="249"/>
      <c r="Z2325" s="330"/>
      <c r="AA2325" s="343"/>
      <c r="AB2325" s="249"/>
      <c r="AC2325" s="330"/>
      <c r="AD2325" s="343"/>
      <c r="AE2325" s="249"/>
      <c r="AF2325" s="330"/>
      <c r="AG2325" s="343"/>
      <c r="AH2325" s="249"/>
      <c r="AI2325" s="330"/>
      <c r="AJ2325" s="343"/>
      <c r="AK2325" s="249"/>
      <c r="AL2325" s="330"/>
      <c r="AM2325" s="343"/>
      <c r="AN2325" s="249"/>
      <c r="AO2325" s="330"/>
      <c r="AP2325" s="343"/>
      <c r="AQ2325" s="249"/>
      <c r="AR2325" s="330"/>
      <c r="AS2325" s="343"/>
      <c r="AT2325" s="249"/>
      <c r="AU2325" s="330"/>
    </row>
    <row r="2326" spans="2:47">
      <c r="B2326" s="247">
        <f>'Table S2 Compound Identifiers'!C2328</f>
        <v>0</v>
      </c>
      <c r="C2326" s="247">
        <f>COUNTIF($D$6:D2326,"&lt;&gt;"&amp;"")</f>
        <v>2321</v>
      </c>
      <c r="D2326" s="247">
        <f>'Table S2 Compound Identifiers'!B2328</f>
        <v>0</v>
      </c>
      <c r="E2326" s="247"/>
      <c r="F2326" s="248"/>
      <c r="G2326" s="249"/>
      <c r="H2326" s="330"/>
      <c r="I2326" s="328"/>
      <c r="J2326" s="249"/>
      <c r="K2326" s="330"/>
      <c r="L2326" s="250"/>
      <c r="M2326" s="249"/>
      <c r="N2326" s="330"/>
      <c r="O2326" s="250"/>
      <c r="P2326" s="249"/>
      <c r="Q2326" s="330"/>
      <c r="R2326" s="250"/>
      <c r="S2326" s="249"/>
      <c r="T2326" s="330"/>
      <c r="U2326" s="250"/>
      <c r="V2326" s="249"/>
      <c r="W2326" s="330"/>
      <c r="X2326" s="343"/>
      <c r="Y2326" s="249"/>
      <c r="Z2326" s="330"/>
      <c r="AA2326" s="343"/>
      <c r="AB2326" s="249"/>
      <c r="AC2326" s="330"/>
      <c r="AD2326" s="343"/>
      <c r="AE2326" s="249"/>
      <c r="AF2326" s="330"/>
      <c r="AG2326" s="343"/>
      <c r="AH2326" s="249"/>
      <c r="AI2326" s="330"/>
      <c r="AJ2326" s="343"/>
      <c r="AK2326" s="249"/>
      <c r="AL2326" s="330"/>
      <c r="AM2326" s="343"/>
      <c r="AN2326" s="249"/>
      <c r="AO2326" s="330"/>
      <c r="AP2326" s="343"/>
      <c r="AQ2326" s="249"/>
      <c r="AR2326" s="330"/>
      <c r="AS2326" s="343"/>
      <c r="AT2326" s="249"/>
      <c r="AU2326" s="330"/>
    </row>
    <row r="2327" spans="2:47">
      <c r="B2327" s="247">
        <f>'Table S2 Compound Identifiers'!C2329</f>
        <v>0</v>
      </c>
      <c r="C2327" s="247">
        <f>COUNTIF($D$6:D2327,"&lt;&gt;"&amp;"")</f>
        <v>2322</v>
      </c>
      <c r="D2327" s="247">
        <f>'Table S2 Compound Identifiers'!B2329</f>
        <v>0</v>
      </c>
      <c r="E2327" s="247"/>
      <c r="F2327" s="248"/>
      <c r="G2327" s="249"/>
      <c r="H2327" s="330"/>
      <c r="I2327" s="328"/>
      <c r="J2327" s="249"/>
      <c r="K2327" s="330"/>
      <c r="L2327" s="250"/>
      <c r="M2327" s="249"/>
      <c r="N2327" s="330"/>
      <c r="O2327" s="250"/>
      <c r="P2327" s="249"/>
      <c r="Q2327" s="330"/>
      <c r="R2327" s="250"/>
      <c r="S2327" s="249"/>
      <c r="T2327" s="330"/>
      <c r="U2327" s="250"/>
      <c r="V2327" s="249"/>
      <c r="W2327" s="330"/>
      <c r="X2327" s="343"/>
      <c r="Y2327" s="249"/>
      <c r="Z2327" s="330"/>
      <c r="AA2327" s="343"/>
      <c r="AB2327" s="249"/>
      <c r="AC2327" s="330"/>
      <c r="AD2327" s="343"/>
      <c r="AE2327" s="249"/>
      <c r="AF2327" s="330"/>
      <c r="AG2327" s="343"/>
      <c r="AH2327" s="249"/>
      <c r="AI2327" s="330"/>
      <c r="AJ2327" s="343"/>
      <c r="AK2327" s="249"/>
      <c r="AL2327" s="330"/>
      <c r="AM2327" s="343"/>
      <c r="AN2327" s="249"/>
      <c r="AO2327" s="330"/>
      <c r="AP2327" s="343"/>
      <c r="AQ2327" s="249"/>
      <c r="AR2327" s="330"/>
      <c r="AS2327" s="343"/>
      <c r="AT2327" s="249"/>
      <c r="AU2327" s="330"/>
    </row>
    <row r="2328" spans="2:47">
      <c r="B2328" s="247">
        <f>'Table S2 Compound Identifiers'!C2330</f>
        <v>0</v>
      </c>
      <c r="C2328" s="247">
        <f>COUNTIF($D$6:D2328,"&lt;&gt;"&amp;"")</f>
        <v>2323</v>
      </c>
      <c r="D2328" s="247">
        <f>'Table S2 Compound Identifiers'!B2330</f>
        <v>0</v>
      </c>
      <c r="E2328" s="247"/>
      <c r="F2328" s="248"/>
      <c r="G2328" s="249"/>
      <c r="H2328" s="330"/>
      <c r="I2328" s="328"/>
      <c r="J2328" s="249"/>
      <c r="K2328" s="330"/>
      <c r="L2328" s="250"/>
      <c r="M2328" s="249"/>
      <c r="N2328" s="330"/>
      <c r="O2328" s="250"/>
      <c r="P2328" s="249"/>
      <c r="Q2328" s="330"/>
      <c r="R2328" s="250"/>
      <c r="S2328" s="249"/>
      <c r="T2328" s="330"/>
      <c r="U2328" s="250"/>
      <c r="V2328" s="249"/>
      <c r="W2328" s="330"/>
      <c r="X2328" s="343"/>
      <c r="Y2328" s="249"/>
      <c r="Z2328" s="330"/>
      <c r="AA2328" s="343"/>
      <c r="AB2328" s="249"/>
      <c r="AC2328" s="330"/>
      <c r="AD2328" s="343"/>
      <c r="AE2328" s="249"/>
      <c r="AF2328" s="330"/>
      <c r="AG2328" s="343"/>
      <c r="AH2328" s="249"/>
      <c r="AI2328" s="330"/>
      <c r="AJ2328" s="343"/>
      <c r="AK2328" s="249"/>
      <c r="AL2328" s="330"/>
      <c r="AM2328" s="343"/>
      <c r="AN2328" s="249"/>
      <c r="AO2328" s="330"/>
      <c r="AP2328" s="343"/>
      <c r="AQ2328" s="249"/>
      <c r="AR2328" s="330"/>
      <c r="AS2328" s="343"/>
      <c r="AT2328" s="249"/>
      <c r="AU2328" s="330"/>
    </row>
    <row r="2329" spans="2:47">
      <c r="B2329" s="247">
        <f>'Table S2 Compound Identifiers'!C2331</f>
        <v>0</v>
      </c>
      <c r="C2329" s="247">
        <f>COUNTIF($D$6:D2329,"&lt;&gt;"&amp;"")</f>
        <v>2324</v>
      </c>
      <c r="D2329" s="247">
        <f>'Table S2 Compound Identifiers'!B2331</f>
        <v>0</v>
      </c>
      <c r="E2329" s="247"/>
      <c r="F2329" s="248"/>
      <c r="G2329" s="249"/>
      <c r="H2329" s="330"/>
      <c r="I2329" s="328"/>
      <c r="J2329" s="249"/>
      <c r="K2329" s="330"/>
      <c r="L2329" s="250"/>
      <c r="M2329" s="249"/>
      <c r="N2329" s="330"/>
      <c r="O2329" s="250"/>
      <c r="P2329" s="249"/>
      <c r="Q2329" s="330"/>
      <c r="R2329" s="250"/>
      <c r="S2329" s="249"/>
      <c r="T2329" s="330"/>
      <c r="U2329" s="250"/>
      <c r="V2329" s="249"/>
      <c r="W2329" s="330"/>
      <c r="X2329" s="343"/>
      <c r="Y2329" s="249"/>
      <c r="Z2329" s="330"/>
      <c r="AA2329" s="343"/>
      <c r="AB2329" s="249"/>
      <c r="AC2329" s="330"/>
      <c r="AD2329" s="343"/>
      <c r="AE2329" s="249"/>
      <c r="AF2329" s="330"/>
      <c r="AG2329" s="343"/>
      <c r="AH2329" s="249"/>
      <c r="AI2329" s="330"/>
      <c r="AJ2329" s="343"/>
      <c r="AK2329" s="249"/>
      <c r="AL2329" s="330"/>
      <c r="AM2329" s="343"/>
      <c r="AN2329" s="249"/>
      <c r="AO2329" s="330"/>
      <c r="AP2329" s="343"/>
      <c r="AQ2329" s="249"/>
      <c r="AR2329" s="330"/>
      <c r="AS2329" s="343"/>
      <c r="AT2329" s="249"/>
      <c r="AU2329" s="330"/>
    </row>
    <row r="2330" spans="2:47">
      <c r="B2330" s="247">
        <f>'Table S2 Compound Identifiers'!C2332</f>
        <v>0</v>
      </c>
      <c r="C2330" s="247">
        <f>COUNTIF($D$6:D2330,"&lt;&gt;"&amp;"")</f>
        <v>2325</v>
      </c>
      <c r="D2330" s="247">
        <f>'Table S2 Compound Identifiers'!B2332</f>
        <v>0</v>
      </c>
      <c r="E2330" s="247"/>
      <c r="F2330" s="248"/>
      <c r="G2330" s="249"/>
      <c r="H2330" s="330"/>
      <c r="I2330" s="328"/>
      <c r="J2330" s="249"/>
      <c r="K2330" s="330"/>
      <c r="L2330" s="250"/>
      <c r="M2330" s="249"/>
      <c r="N2330" s="330"/>
      <c r="O2330" s="250"/>
      <c r="P2330" s="249"/>
      <c r="Q2330" s="330"/>
      <c r="R2330" s="250"/>
      <c r="S2330" s="249"/>
      <c r="T2330" s="330"/>
      <c r="U2330" s="250"/>
      <c r="V2330" s="249"/>
      <c r="W2330" s="330"/>
      <c r="X2330" s="343"/>
      <c r="Y2330" s="249"/>
      <c r="Z2330" s="330"/>
      <c r="AA2330" s="343"/>
      <c r="AB2330" s="249"/>
      <c r="AC2330" s="330"/>
      <c r="AD2330" s="343"/>
      <c r="AE2330" s="249"/>
      <c r="AF2330" s="330"/>
      <c r="AG2330" s="343"/>
      <c r="AH2330" s="249"/>
      <c r="AI2330" s="330"/>
      <c r="AJ2330" s="343"/>
      <c r="AK2330" s="249"/>
      <c r="AL2330" s="330"/>
      <c r="AM2330" s="343"/>
      <c r="AN2330" s="249"/>
      <c r="AO2330" s="330"/>
      <c r="AP2330" s="343"/>
      <c r="AQ2330" s="249"/>
      <c r="AR2330" s="330"/>
      <c r="AS2330" s="343"/>
      <c r="AT2330" s="249"/>
      <c r="AU2330" s="330"/>
    </row>
    <row r="2331" spans="2:47">
      <c r="B2331" s="247">
        <f>'Table S2 Compound Identifiers'!C2333</f>
        <v>0</v>
      </c>
      <c r="C2331" s="247">
        <f>COUNTIF($D$6:D2331,"&lt;&gt;"&amp;"")</f>
        <v>2326</v>
      </c>
      <c r="D2331" s="247">
        <f>'Table S2 Compound Identifiers'!B2333</f>
        <v>0</v>
      </c>
      <c r="E2331" s="247"/>
      <c r="F2331" s="248"/>
      <c r="G2331" s="249"/>
      <c r="H2331" s="330"/>
      <c r="I2331" s="328"/>
      <c r="J2331" s="249"/>
      <c r="K2331" s="330"/>
      <c r="L2331" s="250"/>
      <c r="M2331" s="249"/>
      <c r="N2331" s="330"/>
      <c r="O2331" s="250"/>
      <c r="P2331" s="249"/>
      <c r="Q2331" s="330"/>
      <c r="R2331" s="250"/>
      <c r="S2331" s="249"/>
      <c r="T2331" s="330"/>
      <c r="U2331" s="250"/>
      <c r="V2331" s="249"/>
      <c r="W2331" s="330"/>
      <c r="X2331" s="343"/>
      <c r="Y2331" s="249"/>
      <c r="Z2331" s="330"/>
      <c r="AA2331" s="343"/>
      <c r="AB2331" s="249"/>
      <c r="AC2331" s="330"/>
      <c r="AD2331" s="343"/>
      <c r="AE2331" s="249"/>
      <c r="AF2331" s="330"/>
      <c r="AG2331" s="343"/>
      <c r="AH2331" s="249"/>
      <c r="AI2331" s="330"/>
      <c r="AJ2331" s="343"/>
      <c r="AK2331" s="249"/>
      <c r="AL2331" s="330"/>
      <c r="AM2331" s="343"/>
      <c r="AN2331" s="249"/>
      <c r="AO2331" s="330"/>
      <c r="AP2331" s="343"/>
      <c r="AQ2331" s="249"/>
      <c r="AR2331" s="330"/>
      <c r="AS2331" s="343"/>
      <c r="AT2331" s="249"/>
      <c r="AU2331" s="330"/>
    </row>
    <row r="2332" spans="2:47">
      <c r="B2332" s="247">
        <f>'Table S2 Compound Identifiers'!C2334</f>
        <v>0</v>
      </c>
      <c r="C2332" s="247">
        <f>COUNTIF($D$6:D2332,"&lt;&gt;"&amp;"")</f>
        <v>2327</v>
      </c>
      <c r="D2332" s="247">
        <f>'Table S2 Compound Identifiers'!B2334</f>
        <v>0</v>
      </c>
      <c r="E2332" s="247"/>
      <c r="F2332" s="248"/>
      <c r="G2332" s="249"/>
      <c r="H2332" s="330"/>
      <c r="I2332" s="328"/>
      <c r="J2332" s="249"/>
      <c r="K2332" s="330"/>
      <c r="L2332" s="250"/>
      <c r="M2332" s="249"/>
      <c r="N2332" s="330"/>
      <c r="O2332" s="250"/>
      <c r="P2332" s="249"/>
      <c r="Q2332" s="330"/>
      <c r="R2332" s="250"/>
      <c r="S2332" s="249"/>
      <c r="T2332" s="330"/>
      <c r="U2332" s="250"/>
      <c r="V2332" s="249"/>
      <c r="W2332" s="330"/>
      <c r="X2332" s="343"/>
      <c r="Y2332" s="249"/>
      <c r="Z2332" s="330"/>
      <c r="AA2332" s="343"/>
      <c r="AB2332" s="249"/>
      <c r="AC2332" s="330"/>
      <c r="AD2332" s="343"/>
      <c r="AE2332" s="249"/>
      <c r="AF2332" s="330"/>
      <c r="AG2332" s="343"/>
      <c r="AH2332" s="249"/>
      <c r="AI2332" s="330"/>
      <c r="AJ2332" s="343"/>
      <c r="AK2332" s="249"/>
      <c r="AL2332" s="330"/>
      <c r="AM2332" s="343"/>
      <c r="AN2332" s="249"/>
      <c r="AO2332" s="330"/>
      <c r="AP2332" s="343"/>
      <c r="AQ2332" s="249"/>
      <c r="AR2332" s="330"/>
      <c r="AS2332" s="343"/>
      <c r="AT2332" s="249"/>
      <c r="AU2332" s="330"/>
    </row>
    <row r="2333" spans="2:47">
      <c r="B2333" s="247">
        <f>'Table S2 Compound Identifiers'!C2335</f>
        <v>0</v>
      </c>
      <c r="C2333" s="247">
        <f>COUNTIF($D$6:D2333,"&lt;&gt;"&amp;"")</f>
        <v>2328</v>
      </c>
      <c r="D2333" s="247">
        <f>'Table S2 Compound Identifiers'!B2335</f>
        <v>0</v>
      </c>
      <c r="E2333" s="247"/>
      <c r="F2333" s="248"/>
      <c r="G2333" s="249"/>
      <c r="H2333" s="330"/>
      <c r="I2333" s="328"/>
      <c r="J2333" s="249"/>
      <c r="K2333" s="330"/>
      <c r="L2333" s="250"/>
      <c r="M2333" s="249"/>
      <c r="N2333" s="330"/>
      <c r="O2333" s="250"/>
      <c r="P2333" s="249"/>
      <c r="Q2333" s="330"/>
      <c r="R2333" s="250"/>
      <c r="S2333" s="249"/>
      <c r="T2333" s="330"/>
      <c r="U2333" s="250"/>
      <c r="V2333" s="249"/>
      <c r="W2333" s="330"/>
      <c r="X2333" s="343"/>
      <c r="Y2333" s="249"/>
      <c r="Z2333" s="330"/>
      <c r="AA2333" s="343"/>
      <c r="AB2333" s="249"/>
      <c r="AC2333" s="330"/>
      <c r="AD2333" s="343"/>
      <c r="AE2333" s="249"/>
      <c r="AF2333" s="330"/>
      <c r="AG2333" s="343"/>
      <c r="AH2333" s="249"/>
      <c r="AI2333" s="330"/>
      <c r="AJ2333" s="343"/>
      <c r="AK2333" s="249"/>
      <c r="AL2333" s="330"/>
      <c r="AM2333" s="343"/>
      <c r="AN2333" s="249"/>
      <c r="AO2333" s="330"/>
      <c r="AP2333" s="343"/>
      <c r="AQ2333" s="249"/>
      <c r="AR2333" s="330"/>
      <c r="AS2333" s="343"/>
      <c r="AT2333" s="249"/>
      <c r="AU2333" s="330"/>
    </row>
    <row r="2334" spans="2:47">
      <c r="B2334" s="247">
        <f>'Table S2 Compound Identifiers'!C2336</f>
        <v>0</v>
      </c>
      <c r="C2334" s="247">
        <f>COUNTIF($D$6:D2334,"&lt;&gt;"&amp;"")</f>
        <v>2329</v>
      </c>
      <c r="D2334" s="247">
        <f>'Table S2 Compound Identifiers'!B2336</f>
        <v>0</v>
      </c>
      <c r="E2334" s="247"/>
      <c r="F2334" s="248"/>
      <c r="G2334" s="249"/>
      <c r="H2334" s="330"/>
      <c r="I2334" s="328"/>
      <c r="J2334" s="249"/>
      <c r="K2334" s="330"/>
      <c r="L2334" s="250"/>
      <c r="M2334" s="249"/>
      <c r="N2334" s="330"/>
      <c r="O2334" s="250"/>
      <c r="P2334" s="249"/>
      <c r="Q2334" s="330"/>
      <c r="R2334" s="250"/>
      <c r="S2334" s="249"/>
      <c r="T2334" s="330"/>
      <c r="U2334" s="250"/>
      <c r="V2334" s="249"/>
      <c r="W2334" s="330"/>
      <c r="X2334" s="343"/>
      <c r="Y2334" s="249"/>
      <c r="Z2334" s="330"/>
      <c r="AA2334" s="343"/>
      <c r="AB2334" s="249"/>
      <c r="AC2334" s="330"/>
      <c r="AD2334" s="343"/>
      <c r="AE2334" s="249"/>
      <c r="AF2334" s="330"/>
      <c r="AG2334" s="343"/>
      <c r="AH2334" s="249"/>
      <c r="AI2334" s="330"/>
      <c r="AJ2334" s="343"/>
      <c r="AK2334" s="249"/>
      <c r="AL2334" s="330"/>
      <c r="AM2334" s="343"/>
      <c r="AN2334" s="249"/>
      <c r="AO2334" s="330"/>
      <c r="AP2334" s="343"/>
      <c r="AQ2334" s="249"/>
      <c r="AR2334" s="330"/>
      <c r="AS2334" s="343"/>
      <c r="AT2334" s="249"/>
      <c r="AU2334" s="330"/>
    </row>
    <row r="2335" spans="2:47">
      <c r="B2335" s="247">
        <f>'Table S2 Compound Identifiers'!C2337</f>
        <v>0</v>
      </c>
      <c r="C2335" s="247">
        <f>COUNTIF($D$6:D2335,"&lt;&gt;"&amp;"")</f>
        <v>2330</v>
      </c>
      <c r="D2335" s="247">
        <f>'Table S2 Compound Identifiers'!B2337</f>
        <v>0</v>
      </c>
      <c r="E2335" s="247"/>
      <c r="F2335" s="248"/>
      <c r="G2335" s="249"/>
      <c r="H2335" s="330"/>
      <c r="I2335" s="328"/>
      <c r="J2335" s="249"/>
      <c r="K2335" s="330"/>
      <c r="L2335" s="250"/>
      <c r="M2335" s="249"/>
      <c r="N2335" s="330"/>
      <c r="O2335" s="250"/>
      <c r="P2335" s="249"/>
      <c r="Q2335" s="330"/>
      <c r="R2335" s="250"/>
      <c r="S2335" s="249"/>
      <c r="T2335" s="330"/>
      <c r="U2335" s="250"/>
      <c r="V2335" s="249"/>
      <c r="W2335" s="330"/>
      <c r="X2335" s="343"/>
      <c r="Y2335" s="249"/>
      <c r="Z2335" s="330"/>
      <c r="AA2335" s="343"/>
      <c r="AB2335" s="249"/>
      <c r="AC2335" s="330"/>
      <c r="AD2335" s="343"/>
      <c r="AE2335" s="249"/>
      <c r="AF2335" s="330"/>
      <c r="AG2335" s="343"/>
      <c r="AH2335" s="249"/>
      <c r="AI2335" s="330"/>
      <c r="AJ2335" s="343"/>
      <c r="AK2335" s="249"/>
      <c r="AL2335" s="330"/>
      <c r="AM2335" s="343"/>
      <c r="AN2335" s="249"/>
      <c r="AO2335" s="330"/>
      <c r="AP2335" s="343"/>
      <c r="AQ2335" s="249"/>
      <c r="AR2335" s="330"/>
      <c r="AS2335" s="343"/>
      <c r="AT2335" s="249"/>
      <c r="AU2335" s="330"/>
    </row>
    <row r="2336" spans="2:47">
      <c r="B2336" s="247">
        <f>'Table S2 Compound Identifiers'!C2338</f>
        <v>0</v>
      </c>
      <c r="C2336" s="247">
        <f>COUNTIF($D$6:D2336,"&lt;&gt;"&amp;"")</f>
        <v>2331</v>
      </c>
      <c r="D2336" s="247">
        <f>'Table S2 Compound Identifiers'!B2338</f>
        <v>0</v>
      </c>
      <c r="E2336" s="247"/>
      <c r="F2336" s="248"/>
      <c r="G2336" s="249"/>
      <c r="H2336" s="330"/>
      <c r="I2336" s="328"/>
      <c r="J2336" s="249"/>
      <c r="K2336" s="330"/>
      <c r="L2336" s="250"/>
      <c r="M2336" s="249"/>
      <c r="N2336" s="330"/>
      <c r="O2336" s="250"/>
      <c r="P2336" s="249"/>
      <c r="Q2336" s="330"/>
      <c r="R2336" s="250"/>
      <c r="S2336" s="249"/>
      <c r="T2336" s="330"/>
      <c r="U2336" s="250"/>
      <c r="V2336" s="249"/>
      <c r="W2336" s="330"/>
      <c r="X2336" s="343"/>
      <c r="Y2336" s="249"/>
      <c r="Z2336" s="330"/>
      <c r="AA2336" s="343"/>
      <c r="AB2336" s="249"/>
      <c r="AC2336" s="330"/>
      <c r="AD2336" s="343"/>
      <c r="AE2336" s="249"/>
      <c r="AF2336" s="330"/>
      <c r="AG2336" s="343"/>
      <c r="AH2336" s="249"/>
      <c r="AI2336" s="330"/>
      <c r="AJ2336" s="343"/>
      <c r="AK2336" s="249"/>
      <c r="AL2336" s="330"/>
      <c r="AM2336" s="343"/>
      <c r="AN2336" s="249"/>
      <c r="AO2336" s="330"/>
      <c r="AP2336" s="343"/>
      <c r="AQ2336" s="249"/>
      <c r="AR2336" s="330"/>
      <c r="AS2336" s="343"/>
      <c r="AT2336" s="249"/>
      <c r="AU2336" s="330"/>
    </row>
    <row r="2337" spans="2:47">
      <c r="B2337" s="247">
        <f>'Table S2 Compound Identifiers'!C2339</f>
        <v>0</v>
      </c>
      <c r="C2337" s="247">
        <f>COUNTIF($D$6:D2337,"&lt;&gt;"&amp;"")</f>
        <v>2332</v>
      </c>
      <c r="D2337" s="247">
        <f>'Table S2 Compound Identifiers'!B2339</f>
        <v>0</v>
      </c>
      <c r="E2337" s="247"/>
      <c r="F2337" s="248"/>
      <c r="G2337" s="249"/>
      <c r="H2337" s="330"/>
      <c r="I2337" s="328"/>
      <c r="J2337" s="249"/>
      <c r="K2337" s="330"/>
      <c r="L2337" s="250"/>
      <c r="M2337" s="249"/>
      <c r="N2337" s="330"/>
      <c r="O2337" s="250"/>
      <c r="P2337" s="249"/>
      <c r="Q2337" s="330"/>
      <c r="R2337" s="250"/>
      <c r="S2337" s="249"/>
      <c r="T2337" s="330"/>
      <c r="U2337" s="250"/>
      <c r="V2337" s="249"/>
      <c r="W2337" s="330"/>
      <c r="X2337" s="343"/>
      <c r="Y2337" s="249"/>
      <c r="Z2337" s="330"/>
      <c r="AA2337" s="343"/>
      <c r="AB2337" s="249"/>
      <c r="AC2337" s="330"/>
      <c r="AD2337" s="343"/>
      <c r="AE2337" s="249"/>
      <c r="AF2337" s="330"/>
      <c r="AG2337" s="343"/>
      <c r="AH2337" s="249"/>
      <c r="AI2337" s="330"/>
      <c r="AJ2337" s="343"/>
      <c r="AK2337" s="249"/>
      <c r="AL2337" s="330"/>
      <c r="AM2337" s="343"/>
      <c r="AN2337" s="249"/>
      <c r="AO2337" s="330"/>
      <c r="AP2337" s="343"/>
      <c r="AQ2337" s="249"/>
      <c r="AR2337" s="330"/>
      <c r="AS2337" s="343"/>
      <c r="AT2337" s="249"/>
      <c r="AU2337" s="330"/>
    </row>
    <row r="2338" spans="2:47">
      <c r="B2338" s="247">
        <f>'Table S2 Compound Identifiers'!C2340</f>
        <v>0</v>
      </c>
      <c r="C2338" s="247">
        <f>COUNTIF($D$6:D2338,"&lt;&gt;"&amp;"")</f>
        <v>2333</v>
      </c>
      <c r="D2338" s="247">
        <f>'Table S2 Compound Identifiers'!B2340</f>
        <v>0</v>
      </c>
      <c r="E2338" s="247"/>
      <c r="F2338" s="248"/>
      <c r="G2338" s="249"/>
      <c r="H2338" s="330"/>
      <c r="I2338" s="328"/>
      <c r="J2338" s="249"/>
      <c r="K2338" s="330"/>
      <c r="L2338" s="250"/>
      <c r="M2338" s="249"/>
      <c r="N2338" s="330"/>
      <c r="O2338" s="250"/>
      <c r="P2338" s="249"/>
      <c r="Q2338" s="330"/>
      <c r="R2338" s="250"/>
      <c r="S2338" s="249"/>
      <c r="T2338" s="330"/>
      <c r="U2338" s="250"/>
      <c r="V2338" s="249"/>
      <c r="W2338" s="330"/>
      <c r="X2338" s="343"/>
      <c r="Y2338" s="249"/>
      <c r="Z2338" s="330"/>
      <c r="AA2338" s="343"/>
      <c r="AB2338" s="249"/>
      <c r="AC2338" s="330"/>
      <c r="AD2338" s="343"/>
      <c r="AE2338" s="249"/>
      <c r="AF2338" s="330"/>
      <c r="AG2338" s="343"/>
      <c r="AH2338" s="249"/>
      <c r="AI2338" s="330"/>
      <c r="AJ2338" s="343"/>
      <c r="AK2338" s="249"/>
      <c r="AL2338" s="330"/>
      <c r="AM2338" s="343"/>
      <c r="AN2338" s="249"/>
      <c r="AO2338" s="330"/>
      <c r="AP2338" s="343"/>
      <c r="AQ2338" s="249"/>
      <c r="AR2338" s="330"/>
      <c r="AS2338" s="343"/>
      <c r="AT2338" s="249"/>
      <c r="AU2338" s="330"/>
    </row>
    <row r="2339" spans="2:47">
      <c r="B2339" s="247">
        <f>'Table S2 Compound Identifiers'!C2341</f>
        <v>0</v>
      </c>
      <c r="C2339" s="247">
        <f>COUNTIF($D$6:D2339,"&lt;&gt;"&amp;"")</f>
        <v>2334</v>
      </c>
      <c r="D2339" s="247">
        <f>'Table S2 Compound Identifiers'!B2341</f>
        <v>0</v>
      </c>
      <c r="E2339" s="247"/>
      <c r="F2339" s="248"/>
      <c r="G2339" s="249"/>
      <c r="H2339" s="330"/>
      <c r="I2339" s="328"/>
      <c r="J2339" s="249"/>
      <c r="K2339" s="330"/>
      <c r="L2339" s="250"/>
      <c r="M2339" s="249"/>
      <c r="N2339" s="330"/>
      <c r="O2339" s="250"/>
      <c r="P2339" s="249"/>
      <c r="Q2339" s="330"/>
      <c r="R2339" s="250"/>
      <c r="S2339" s="249"/>
      <c r="T2339" s="330"/>
      <c r="U2339" s="250"/>
      <c r="V2339" s="249"/>
      <c r="W2339" s="330"/>
      <c r="X2339" s="343"/>
      <c r="Y2339" s="249"/>
      <c r="Z2339" s="330"/>
      <c r="AA2339" s="343"/>
      <c r="AB2339" s="249"/>
      <c r="AC2339" s="330"/>
      <c r="AD2339" s="343"/>
      <c r="AE2339" s="249"/>
      <c r="AF2339" s="330"/>
      <c r="AG2339" s="343"/>
      <c r="AH2339" s="249"/>
      <c r="AI2339" s="330"/>
      <c r="AJ2339" s="343"/>
      <c r="AK2339" s="249"/>
      <c r="AL2339" s="330"/>
      <c r="AM2339" s="343"/>
      <c r="AN2339" s="249"/>
      <c r="AO2339" s="330"/>
      <c r="AP2339" s="343"/>
      <c r="AQ2339" s="249"/>
      <c r="AR2339" s="330"/>
      <c r="AS2339" s="343"/>
      <c r="AT2339" s="249"/>
      <c r="AU2339" s="330"/>
    </row>
    <row r="2340" spans="2:47">
      <c r="B2340" s="247">
        <f>'Table S2 Compound Identifiers'!C2342</f>
        <v>0</v>
      </c>
      <c r="C2340" s="247">
        <f>COUNTIF($D$6:D2340,"&lt;&gt;"&amp;"")</f>
        <v>2335</v>
      </c>
      <c r="D2340" s="247">
        <f>'Table S2 Compound Identifiers'!B2342</f>
        <v>0</v>
      </c>
      <c r="E2340" s="247"/>
      <c r="F2340" s="248"/>
      <c r="G2340" s="249"/>
      <c r="H2340" s="330"/>
      <c r="I2340" s="328"/>
      <c r="J2340" s="249"/>
      <c r="K2340" s="330"/>
      <c r="L2340" s="250"/>
      <c r="M2340" s="249"/>
      <c r="N2340" s="330"/>
      <c r="O2340" s="250"/>
      <c r="P2340" s="249"/>
      <c r="Q2340" s="330"/>
      <c r="R2340" s="250"/>
      <c r="S2340" s="249"/>
      <c r="T2340" s="330"/>
      <c r="U2340" s="250"/>
      <c r="V2340" s="249"/>
      <c r="W2340" s="330"/>
      <c r="X2340" s="343"/>
      <c r="Y2340" s="249"/>
      <c r="Z2340" s="330"/>
      <c r="AA2340" s="343"/>
      <c r="AB2340" s="249"/>
      <c r="AC2340" s="330"/>
      <c r="AD2340" s="343"/>
      <c r="AE2340" s="249"/>
      <c r="AF2340" s="330"/>
      <c r="AG2340" s="343"/>
      <c r="AH2340" s="249"/>
      <c r="AI2340" s="330"/>
      <c r="AJ2340" s="343"/>
      <c r="AK2340" s="249"/>
      <c r="AL2340" s="330"/>
      <c r="AM2340" s="343"/>
      <c r="AN2340" s="249"/>
      <c r="AO2340" s="330"/>
      <c r="AP2340" s="343"/>
      <c r="AQ2340" s="249"/>
      <c r="AR2340" s="330"/>
      <c r="AS2340" s="343"/>
      <c r="AT2340" s="249"/>
      <c r="AU2340" s="330"/>
    </row>
    <row r="2341" spans="2:47">
      <c r="B2341" s="247">
        <f>'Table S2 Compound Identifiers'!C2343</f>
        <v>0</v>
      </c>
      <c r="C2341" s="247">
        <f>COUNTIF($D$6:D2341,"&lt;&gt;"&amp;"")</f>
        <v>2336</v>
      </c>
      <c r="D2341" s="247">
        <f>'Table S2 Compound Identifiers'!B2343</f>
        <v>0</v>
      </c>
      <c r="E2341" s="247"/>
      <c r="F2341" s="248"/>
      <c r="G2341" s="249"/>
      <c r="H2341" s="330"/>
      <c r="I2341" s="328"/>
      <c r="J2341" s="249"/>
      <c r="K2341" s="330"/>
      <c r="L2341" s="250"/>
      <c r="M2341" s="249"/>
      <c r="N2341" s="330"/>
      <c r="O2341" s="250"/>
      <c r="P2341" s="249"/>
      <c r="Q2341" s="330"/>
      <c r="R2341" s="250"/>
      <c r="S2341" s="249"/>
      <c r="T2341" s="330"/>
      <c r="U2341" s="250"/>
      <c r="V2341" s="249"/>
      <c r="W2341" s="330"/>
      <c r="X2341" s="343"/>
      <c r="Y2341" s="249"/>
      <c r="Z2341" s="330"/>
      <c r="AA2341" s="343"/>
      <c r="AB2341" s="249"/>
      <c r="AC2341" s="330"/>
      <c r="AD2341" s="343"/>
      <c r="AE2341" s="249"/>
      <c r="AF2341" s="330"/>
      <c r="AG2341" s="343"/>
      <c r="AH2341" s="249"/>
      <c r="AI2341" s="330"/>
      <c r="AJ2341" s="343"/>
      <c r="AK2341" s="249"/>
      <c r="AL2341" s="330"/>
      <c r="AM2341" s="343"/>
      <c r="AN2341" s="249"/>
      <c r="AO2341" s="330"/>
      <c r="AP2341" s="343"/>
      <c r="AQ2341" s="249"/>
      <c r="AR2341" s="330"/>
      <c r="AS2341" s="343"/>
      <c r="AT2341" s="249"/>
      <c r="AU2341" s="330"/>
    </row>
    <row r="2342" spans="2:47">
      <c r="B2342" s="247">
        <f>'Table S2 Compound Identifiers'!C2344</f>
        <v>0</v>
      </c>
      <c r="C2342" s="247">
        <f>COUNTIF($D$6:D2342,"&lt;&gt;"&amp;"")</f>
        <v>2337</v>
      </c>
      <c r="D2342" s="247">
        <f>'Table S2 Compound Identifiers'!B2344</f>
        <v>0</v>
      </c>
      <c r="E2342" s="247"/>
      <c r="F2342" s="248"/>
      <c r="G2342" s="249"/>
      <c r="H2342" s="330"/>
      <c r="I2342" s="328"/>
      <c r="J2342" s="249"/>
      <c r="K2342" s="330"/>
      <c r="L2342" s="250"/>
      <c r="M2342" s="249"/>
      <c r="N2342" s="330"/>
      <c r="O2342" s="250"/>
      <c r="P2342" s="249"/>
      <c r="Q2342" s="330"/>
      <c r="R2342" s="250"/>
      <c r="S2342" s="249"/>
      <c r="T2342" s="330"/>
      <c r="U2342" s="250"/>
      <c r="V2342" s="249"/>
      <c r="W2342" s="330"/>
      <c r="X2342" s="343"/>
      <c r="Y2342" s="249"/>
      <c r="Z2342" s="330"/>
      <c r="AA2342" s="343"/>
      <c r="AB2342" s="249"/>
      <c r="AC2342" s="330"/>
      <c r="AD2342" s="343"/>
      <c r="AE2342" s="249"/>
      <c r="AF2342" s="330"/>
      <c r="AG2342" s="343"/>
      <c r="AH2342" s="249"/>
      <c r="AI2342" s="330"/>
      <c r="AJ2342" s="343"/>
      <c r="AK2342" s="249"/>
      <c r="AL2342" s="330"/>
      <c r="AM2342" s="343"/>
      <c r="AN2342" s="249"/>
      <c r="AO2342" s="330"/>
      <c r="AP2342" s="343"/>
      <c r="AQ2342" s="249"/>
      <c r="AR2342" s="330"/>
      <c r="AS2342" s="343"/>
      <c r="AT2342" s="249"/>
      <c r="AU2342" s="330"/>
    </row>
    <row r="2343" spans="2:47">
      <c r="B2343" s="247">
        <f>'Table S2 Compound Identifiers'!C2345</f>
        <v>0</v>
      </c>
      <c r="C2343" s="247">
        <f>COUNTIF($D$6:D2343,"&lt;&gt;"&amp;"")</f>
        <v>2338</v>
      </c>
      <c r="D2343" s="247">
        <f>'Table S2 Compound Identifiers'!B2345</f>
        <v>0</v>
      </c>
      <c r="E2343" s="247"/>
      <c r="F2343" s="248"/>
      <c r="G2343" s="249"/>
      <c r="H2343" s="330"/>
      <c r="I2343" s="328"/>
      <c r="J2343" s="249"/>
      <c r="K2343" s="330"/>
      <c r="L2343" s="250"/>
      <c r="M2343" s="249"/>
      <c r="N2343" s="330"/>
      <c r="O2343" s="250"/>
      <c r="P2343" s="249"/>
      <c r="Q2343" s="330"/>
      <c r="R2343" s="250"/>
      <c r="S2343" s="249"/>
      <c r="T2343" s="330"/>
      <c r="U2343" s="250"/>
      <c r="V2343" s="249"/>
      <c r="W2343" s="330"/>
      <c r="X2343" s="343"/>
      <c r="Y2343" s="249"/>
      <c r="Z2343" s="330"/>
      <c r="AA2343" s="343"/>
      <c r="AB2343" s="249"/>
      <c r="AC2343" s="330"/>
      <c r="AD2343" s="343"/>
      <c r="AE2343" s="249"/>
      <c r="AF2343" s="330"/>
      <c r="AG2343" s="343"/>
      <c r="AH2343" s="249"/>
      <c r="AI2343" s="330"/>
      <c r="AJ2343" s="343"/>
      <c r="AK2343" s="249"/>
      <c r="AL2343" s="330"/>
      <c r="AM2343" s="343"/>
      <c r="AN2343" s="249"/>
      <c r="AO2343" s="330"/>
      <c r="AP2343" s="343"/>
      <c r="AQ2343" s="249"/>
      <c r="AR2343" s="330"/>
      <c r="AS2343" s="343"/>
      <c r="AT2343" s="249"/>
      <c r="AU2343" s="330"/>
    </row>
    <row r="2344" spans="2:47">
      <c r="B2344" s="247">
        <f>'Table S2 Compound Identifiers'!C2346</f>
        <v>0</v>
      </c>
      <c r="C2344" s="247">
        <f>COUNTIF($D$6:D2344,"&lt;&gt;"&amp;"")</f>
        <v>2339</v>
      </c>
      <c r="D2344" s="247">
        <f>'Table S2 Compound Identifiers'!B2346</f>
        <v>0</v>
      </c>
      <c r="E2344" s="247"/>
      <c r="F2344" s="248"/>
      <c r="G2344" s="249"/>
      <c r="H2344" s="330"/>
      <c r="I2344" s="328"/>
      <c r="J2344" s="249"/>
      <c r="K2344" s="330"/>
      <c r="L2344" s="250"/>
      <c r="M2344" s="249"/>
      <c r="N2344" s="330"/>
      <c r="O2344" s="250"/>
      <c r="P2344" s="249"/>
      <c r="Q2344" s="330"/>
      <c r="R2344" s="250"/>
      <c r="S2344" s="249"/>
      <c r="T2344" s="330"/>
      <c r="U2344" s="250"/>
      <c r="V2344" s="249"/>
      <c r="W2344" s="330"/>
      <c r="X2344" s="343"/>
      <c r="Y2344" s="249"/>
      <c r="Z2344" s="330"/>
      <c r="AA2344" s="343"/>
      <c r="AB2344" s="249"/>
      <c r="AC2344" s="330"/>
      <c r="AD2344" s="343"/>
      <c r="AE2344" s="249"/>
      <c r="AF2344" s="330"/>
      <c r="AG2344" s="343"/>
      <c r="AH2344" s="249"/>
      <c r="AI2344" s="330"/>
      <c r="AJ2344" s="343"/>
      <c r="AK2344" s="249"/>
      <c r="AL2344" s="330"/>
      <c r="AM2344" s="343"/>
      <c r="AN2344" s="249"/>
      <c r="AO2344" s="330"/>
      <c r="AP2344" s="343"/>
      <c r="AQ2344" s="249"/>
      <c r="AR2344" s="330"/>
      <c r="AS2344" s="343"/>
      <c r="AT2344" s="249"/>
      <c r="AU2344" s="330"/>
    </row>
    <row r="2345" spans="2:47">
      <c r="B2345" s="247">
        <f>'Table S2 Compound Identifiers'!C2347</f>
        <v>0</v>
      </c>
      <c r="C2345" s="247">
        <f>COUNTIF($D$6:D2345,"&lt;&gt;"&amp;"")</f>
        <v>2340</v>
      </c>
      <c r="D2345" s="247">
        <f>'Table S2 Compound Identifiers'!B2347</f>
        <v>0</v>
      </c>
      <c r="E2345" s="247"/>
      <c r="F2345" s="248"/>
      <c r="G2345" s="249"/>
      <c r="H2345" s="330"/>
      <c r="I2345" s="328"/>
      <c r="J2345" s="249"/>
      <c r="K2345" s="330"/>
      <c r="L2345" s="250"/>
      <c r="M2345" s="249"/>
      <c r="N2345" s="330"/>
      <c r="O2345" s="250"/>
      <c r="P2345" s="249"/>
      <c r="Q2345" s="330"/>
      <c r="R2345" s="250"/>
      <c r="S2345" s="249"/>
      <c r="T2345" s="330"/>
      <c r="U2345" s="250"/>
      <c r="V2345" s="249"/>
      <c r="W2345" s="330"/>
      <c r="X2345" s="343"/>
      <c r="Y2345" s="249"/>
      <c r="Z2345" s="330"/>
      <c r="AA2345" s="343"/>
      <c r="AB2345" s="249"/>
      <c r="AC2345" s="330"/>
      <c r="AD2345" s="343"/>
      <c r="AE2345" s="249"/>
      <c r="AF2345" s="330"/>
      <c r="AG2345" s="343"/>
      <c r="AH2345" s="249"/>
      <c r="AI2345" s="330"/>
      <c r="AJ2345" s="343"/>
      <c r="AK2345" s="249"/>
      <c r="AL2345" s="330"/>
      <c r="AM2345" s="343"/>
      <c r="AN2345" s="249"/>
      <c r="AO2345" s="330"/>
      <c r="AP2345" s="343"/>
      <c r="AQ2345" s="249"/>
      <c r="AR2345" s="330"/>
      <c r="AS2345" s="343"/>
      <c r="AT2345" s="249"/>
      <c r="AU2345" s="330"/>
    </row>
    <row r="2346" spans="2:47">
      <c r="B2346" s="247">
        <f>'Table S2 Compound Identifiers'!C2348</f>
        <v>0</v>
      </c>
      <c r="C2346" s="247">
        <f>COUNTIF($D$6:D2346,"&lt;&gt;"&amp;"")</f>
        <v>2341</v>
      </c>
      <c r="D2346" s="247">
        <f>'Table S2 Compound Identifiers'!B2348</f>
        <v>0</v>
      </c>
      <c r="E2346" s="247"/>
      <c r="F2346" s="248"/>
      <c r="G2346" s="249"/>
      <c r="H2346" s="330"/>
      <c r="I2346" s="328"/>
      <c r="J2346" s="249"/>
      <c r="K2346" s="330"/>
      <c r="L2346" s="250"/>
      <c r="M2346" s="249"/>
      <c r="N2346" s="330"/>
      <c r="O2346" s="250"/>
      <c r="P2346" s="249"/>
      <c r="Q2346" s="330"/>
      <c r="R2346" s="250"/>
      <c r="S2346" s="249"/>
      <c r="T2346" s="330"/>
      <c r="U2346" s="250"/>
      <c r="V2346" s="249"/>
      <c r="W2346" s="330"/>
      <c r="X2346" s="343"/>
      <c r="Y2346" s="249"/>
      <c r="Z2346" s="330"/>
      <c r="AA2346" s="343"/>
      <c r="AB2346" s="249"/>
      <c r="AC2346" s="330"/>
      <c r="AD2346" s="343"/>
      <c r="AE2346" s="249"/>
      <c r="AF2346" s="330"/>
      <c r="AG2346" s="343"/>
      <c r="AH2346" s="249"/>
      <c r="AI2346" s="330"/>
      <c r="AJ2346" s="343"/>
      <c r="AK2346" s="249"/>
      <c r="AL2346" s="330"/>
      <c r="AM2346" s="343"/>
      <c r="AN2346" s="249"/>
      <c r="AO2346" s="330"/>
      <c r="AP2346" s="343"/>
      <c r="AQ2346" s="249"/>
      <c r="AR2346" s="330"/>
      <c r="AS2346" s="343"/>
      <c r="AT2346" s="249"/>
      <c r="AU2346" s="330"/>
    </row>
    <row r="2347" spans="2:47">
      <c r="B2347" s="247">
        <f>'Table S2 Compound Identifiers'!C2349</f>
        <v>0</v>
      </c>
      <c r="C2347" s="247">
        <f>COUNTIF($D$6:D2347,"&lt;&gt;"&amp;"")</f>
        <v>2342</v>
      </c>
      <c r="D2347" s="247">
        <f>'Table S2 Compound Identifiers'!B2349</f>
        <v>0</v>
      </c>
      <c r="E2347" s="247"/>
      <c r="F2347" s="248"/>
      <c r="G2347" s="249"/>
      <c r="H2347" s="330"/>
      <c r="I2347" s="328"/>
      <c r="J2347" s="249"/>
      <c r="K2347" s="330"/>
      <c r="L2347" s="250"/>
      <c r="M2347" s="249"/>
      <c r="N2347" s="330"/>
      <c r="O2347" s="250"/>
      <c r="P2347" s="249"/>
      <c r="Q2347" s="330"/>
      <c r="R2347" s="250"/>
      <c r="S2347" s="249"/>
      <c r="T2347" s="330"/>
      <c r="U2347" s="250"/>
      <c r="V2347" s="249"/>
      <c r="W2347" s="330"/>
      <c r="X2347" s="343"/>
      <c r="Y2347" s="249"/>
      <c r="Z2347" s="330"/>
      <c r="AA2347" s="343"/>
      <c r="AB2347" s="249"/>
      <c r="AC2347" s="330"/>
      <c r="AD2347" s="343"/>
      <c r="AE2347" s="249"/>
      <c r="AF2347" s="330"/>
      <c r="AG2347" s="343"/>
      <c r="AH2347" s="249"/>
      <c r="AI2347" s="330"/>
      <c r="AJ2347" s="343"/>
      <c r="AK2347" s="249"/>
      <c r="AL2347" s="330"/>
      <c r="AM2347" s="343"/>
      <c r="AN2347" s="249"/>
      <c r="AO2347" s="330"/>
      <c r="AP2347" s="343"/>
      <c r="AQ2347" s="249"/>
      <c r="AR2347" s="330"/>
      <c r="AS2347" s="343"/>
      <c r="AT2347" s="249"/>
      <c r="AU2347" s="330"/>
    </row>
    <row r="2348" spans="2:47">
      <c r="B2348" s="247">
        <f>'Table S2 Compound Identifiers'!C2350</f>
        <v>0</v>
      </c>
      <c r="C2348" s="247">
        <f>COUNTIF($D$6:D2348,"&lt;&gt;"&amp;"")</f>
        <v>2343</v>
      </c>
      <c r="D2348" s="247">
        <f>'Table S2 Compound Identifiers'!B2350</f>
        <v>0</v>
      </c>
      <c r="E2348" s="247"/>
      <c r="F2348" s="248"/>
      <c r="G2348" s="249"/>
      <c r="H2348" s="330"/>
      <c r="I2348" s="328"/>
      <c r="J2348" s="249"/>
      <c r="K2348" s="330"/>
      <c r="L2348" s="250"/>
      <c r="M2348" s="249"/>
      <c r="N2348" s="330"/>
      <c r="O2348" s="250"/>
      <c r="P2348" s="249"/>
      <c r="Q2348" s="330"/>
      <c r="R2348" s="250"/>
      <c r="S2348" s="249"/>
      <c r="T2348" s="330"/>
      <c r="U2348" s="250"/>
      <c r="V2348" s="249"/>
      <c r="W2348" s="330"/>
      <c r="X2348" s="343"/>
      <c r="Y2348" s="249"/>
      <c r="Z2348" s="330"/>
      <c r="AA2348" s="343"/>
      <c r="AB2348" s="249"/>
      <c r="AC2348" s="330"/>
      <c r="AD2348" s="343"/>
      <c r="AE2348" s="249"/>
      <c r="AF2348" s="330"/>
      <c r="AG2348" s="343"/>
      <c r="AH2348" s="249"/>
      <c r="AI2348" s="330"/>
      <c r="AJ2348" s="343"/>
      <c r="AK2348" s="249"/>
      <c r="AL2348" s="330"/>
      <c r="AM2348" s="343"/>
      <c r="AN2348" s="249"/>
      <c r="AO2348" s="330"/>
      <c r="AP2348" s="343"/>
      <c r="AQ2348" s="249"/>
      <c r="AR2348" s="330"/>
      <c r="AS2348" s="343"/>
      <c r="AT2348" s="249"/>
      <c r="AU2348" s="330"/>
    </row>
    <row r="2349" spans="2:47">
      <c r="B2349" s="247">
        <f>'Table S2 Compound Identifiers'!C2351</f>
        <v>0</v>
      </c>
      <c r="C2349" s="247">
        <f>COUNTIF($D$6:D2349,"&lt;&gt;"&amp;"")</f>
        <v>2344</v>
      </c>
      <c r="D2349" s="247">
        <f>'Table S2 Compound Identifiers'!B2351</f>
        <v>0</v>
      </c>
      <c r="E2349" s="247"/>
      <c r="F2349" s="248"/>
      <c r="G2349" s="249"/>
      <c r="H2349" s="330"/>
      <c r="I2349" s="328"/>
      <c r="J2349" s="249"/>
      <c r="K2349" s="330"/>
      <c r="L2349" s="250"/>
      <c r="M2349" s="249"/>
      <c r="N2349" s="330"/>
      <c r="O2349" s="250"/>
      <c r="P2349" s="249"/>
      <c r="Q2349" s="330"/>
      <c r="R2349" s="250"/>
      <c r="S2349" s="249"/>
      <c r="T2349" s="330"/>
      <c r="U2349" s="250"/>
      <c r="V2349" s="249"/>
      <c r="W2349" s="330"/>
      <c r="X2349" s="343"/>
      <c r="Y2349" s="249"/>
      <c r="Z2349" s="330"/>
      <c r="AA2349" s="343"/>
      <c r="AB2349" s="249"/>
      <c r="AC2349" s="330"/>
      <c r="AD2349" s="343"/>
      <c r="AE2349" s="249"/>
      <c r="AF2349" s="330"/>
      <c r="AG2349" s="343"/>
      <c r="AH2349" s="249"/>
      <c r="AI2349" s="330"/>
      <c r="AJ2349" s="343"/>
      <c r="AK2349" s="249"/>
      <c r="AL2349" s="330"/>
      <c r="AM2349" s="343"/>
      <c r="AN2349" s="249"/>
      <c r="AO2349" s="330"/>
      <c r="AP2349" s="343"/>
      <c r="AQ2349" s="249"/>
      <c r="AR2349" s="330"/>
      <c r="AS2349" s="343"/>
      <c r="AT2349" s="249"/>
      <c r="AU2349" s="330"/>
    </row>
    <row r="2350" spans="2:47">
      <c r="B2350" s="247">
        <f>'Table S2 Compound Identifiers'!C2352</f>
        <v>0</v>
      </c>
      <c r="C2350" s="247">
        <f>COUNTIF($D$6:D2350,"&lt;&gt;"&amp;"")</f>
        <v>2345</v>
      </c>
      <c r="D2350" s="247">
        <f>'Table S2 Compound Identifiers'!B2352</f>
        <v>0</v>
      </c>
      <c r="E2350" s="247"/>
      <c r="F2350" s="248"/>
      <c r="G2350" s="249"/>
      <c r="H2350" s="330"/>
      <c r="I2350" s="328"/>
      <c r="J2350" s="249"/>
      <c r="K2350" s="330"/>
      <c r="L2350" s="250"/>
      <c r="M2350" s="249"/>
      <c r="N2350" s="330"/>
      <c r="O2350" s="250"/>
      <c r="P2350" s="249"/>
      <c r="Q2350" s="330"/>
      <c r="R2350" s="250"/>
      <c r="S2350" s="249"/>
      <c r="T2350" s="330"/>
      <c r="U2350" s="250"/>
      <c r="V2350" s="249"/>
      <c r="W2350" s="330"/>
      <c r="X2350" s="343"/>
      <c r="Y2350" s="249"/>
      <c r="Z2350" s="330"/>
      <c r="AA2350" s="343"/>
      <c r="AB2350" s="249"/>
      <c r="AC2350" s="330"/>
      <c r="AD2350" s="343"/>
      <c r="AE2350" s="249"/>
      <c r="AF2350" s="330"/>
      <c r="AG2350" s="343"/>
      <c r="AH2350" s="249"/>
      <c r="AI2350" s="330"/>
      <c r="AJ2350" s="343"/>
      <c r="AK2350" s="249"/>
      <c r="AL2350" s="330"/>
      <c r="AM2350" s="343"/>
      <c r="AN2350" s="249"/>
      <c r="AO2350" s="330"/>
      <c r="AP2350" s="343"/>
      <c r="AQ2350" s="249"/>
      <c r="AR2350" s="330"/>
      <c r="AS2350" s="343"/>
      <c r="AT2350" s="249"/>
      <c r="AU2350" s="330"/>
    </row>
    <row r="2351" spans="2:47">
      <c r="B2351" s="247">
        <f>'Table S2 Compound Identifiers'!C2353</f>
        <v>0</v>
      </c>
      <c r="C2351" s="247">
        <f>COUNTIF($D$6:D2351,"&lt;&gt;"&amp;"")</f>
        <v>2346</v>
      </c>
      <c r="D2351" s="247">
        <f>'Table S2 Compound Identifiers'!B2353</f>
        <v>0</v>
      </c>
      <c r="E2351" s="247"/>
      <c r="F2351" s="248"/>
      <c r="G2351" s="249"/>
      <c r="H2351" s="330"/>
      <c r="I2351" s="328"/>
      <c r="J2351" s="249"/>
      <c r="K2351" s="330"/>
      <c r="L2351" s="250"/>
      <c r="M2351" s="249"/>
      <c r="N2351" s="330"/>
      <c r="O2351" s="250"/>
      <c r="P2351" s="249"/>
      <c r="Q2351" s="330"/>
      <c r="R2351" s="250"/>
      <c r="S2351" s="249"/>
      <c r="T2351" s="330"/>
      <c r="U2351" s="250"/>
      <c r="V2351" s="249"/>
      <c r="W2351" s="330"/>
      <c r="X2351" s="343"/>
      <c r="Y2351" s="249"/>
      <c r="Z2351" s="330"/>
      <c r="AA2351" s="343"/>
      <c r="AB2351" s="249"/>
      <c r="AC2351" s="330"/>
      <c r="AD2351" s="343"/>
      <c r="AE2351" s="249"/>
      <c r="AF2351" s="330"/>
      <c r="AG2351" s="343"/>
      <c r="AH2351" s="249"/>
      <c r="AI2351" s="330"/>
      <c r="AJ2351" s="343"/>
      <c r="AK2351" s="249"/>
      <c r="AL2351" s="330"/>
      <c r="AM2351" s="343"/>
      <c r="AN2351" s="249"/>
      <c r="AO2351" s="330"/>
      <c r="AP2351" s="343"/>
      <c r="AQ2351" s="249"/>
      <c r="AR2351" s="330"/>
      <c r="AS2351" s="343"/>
      <c r="AT2351" s="249"/>
      <c r="AU2351" s="330"/>
    </row>
    <row r="2352" spans="2:47">
      <c r="B2352" s="247">
        <f>'Table S2 Compound Identifiers'!C2354</f>
        <v>0</v>
      </c>
      <c r="C2352" s="247">
        <f>COUNTIF($D$6:D2352,"&lt;&gt;"&amp;"")</f>
        <v>2347</v>
      </c>
      <c r="D2352" s="247">
        <f>'Table S2 Compound Identifiers'!B2354</f>
        <v>0</v>
      </c>
      <c r="E2352" s="247"/>
      <c r="F2352" s="248"/>
      <c r="G2352" s="249"/>
      <c r="H2352" s="330"/>
      <c r="I2352" s="328"/>
      <c r="J2352" s="249"/>
      <c r="K2352" s="330"/>
      <c r="L2352" s="250"/>
      <c r="M2352" s="249"/>
      <c r="N2352" s="330"/>
      <c r="O2352" s="250"/>
      <c r="P2352" s="249"/>
      <c r="Q2352" s="330"/>
      <c r="R2352" s="250"/>
      <c r="S2352" s="249"/>
      <c r="T2352" s="330"/>
      <c r="U2352" s="250"/>
      <c r="V2352" s="249"/>
      <c r="W2352" s="330"/>
      <c r="X2352" s="343"/>
      <c r="Y2352" s="249"/>
      <c r="Z2352" s="330"/>
      <c r="AA2352" s="343"/>
      <c r="AB2352" s="249"/>
      <c r="AC2352" s="330"/>
      <c r="AD2352" s="343"/>
      <c r="AE2352" s="249"/>
      <c r="AF2352" s="330"/>
      <c r="AG2352" s="343"/>
      <c r="AH2352" s="249"/>
      <c r="AI2352" s="330"/>
      <c r="AJ2352" s="343"/>
      <c r="AK2352" s="249"/>
      <c r="AL2352" s="330"/>
      <c r="AM2352" s="343"/>
      <c r="AN2352" s="249"/>
      <c r="AO2352" s="330"/>
      <c r="AP2352" s="343"/>
      <c r="AQ2352" s="249"/>
      <c r="AR2352" s="330"/>
      <c r="AS2352" s="343"/>
      <c r="AT2352" s="249"/>
      <c r="AU2352" s="330"/>
    </row>
    <row r="2353" spans="2:47">
      <c r="B2353" s="247">
        <f>'Table S2 Compound Identifiers'!C2355</f>
        <v>0</v>
      </c>
      <c r="C2353" s="247">
        <f>COUNTIF($D$6:D2353,"&lt;&gt;"&amp;"")</f>
        <v>2348</v>
      </c>
      <c r="D2353" s="247">
        <f>'Table S2 Compound Identifiers'!B2355</f>
        <v>0</v>
      </c>
      <c r="E2353" s="247"/>
      <c r="F2353" s="248"/>
      <c r="G2353" s="249"/>
      <c r="H2353" s="330"/>
      <c r="I2353" s="328"/>
      <c r="J2353" s="249"/>
      <c r="K2353" s="330"/>
      <c r="L2353" s="250"/>
      <c r="M2353" s="249"/>
      <c r="N2353" s="330"/>
      <c r="O2353" s="250"/>
      <c r="P2353" s="249"/>
      <c r="Q2353" s="330"/>
      <c r="R2353" s="250"/>
      <c r="S2353" s="249"/>
      <c r="T2353" s="330"/>
      <c r="U2353" s="250"/>
      <c r="V2353" s="249"/>
      <c r="W2353" s="330"/>
      <c r="X2353" s="343"/>
      <c r="Y2353" s="249"/>
      <c r="Z2353" s="330"/>
      <c r="AA2353" s="343"/>
      <c r="AB2353" s="249"/>
      <c r="AC2353" s="330"/>
      <c r="AD2353" s="343"/>
      <c r="AE2353" s="249"/>
      <c r="AF2353" s="330"/>
      <c r="AG2353" s="343"/>
      <c r="AH2353" s="249"/>
      <c r="AI2353" s="330"/>
      <c r="AJ2353" s="343"/>
      <c r="AK2353" s="249"/>
      <c r="AL2353" s="330"/>
      <c r="AM2353" s="343"/>
      <c r="AN2353" s="249"/>
      <c r="AO2353" s="330"/>
      <c r="AP2353" s="343"/>
      <c r="AQ2353" s="249"/>
      <c r="AR2353" s="330"/>
      <c r="AS2353" s="343"/>
      <c r="AT2353" s="249"/>
      <c r="AU2353" s="330"/>
    </row>
    <row r="2354" spans="2:47">
      <c r="B2354" s="247">
        <f>'Table S2 Compound Identifiers'!C2356</f>
        <v>0</v>
      </c>
      <c r="C2354" s="247">
        <f>COUNTIF($D$6:D2354,"&lt;&gt;"&amp;"")</f>
        <v>2349</v>
      </c>
      <c r="D2354" s="247">
        <f>'Table S2 Compound Identifiers'!B2356</f>
        <v>0</v>
      </c>
      <c r="E2354" s="247"/>
      <c r="F2354" s="248"/>
      <c r="G2354" s="249"/>
      <c r="H2354" s="330"/>
      <c r="I2354" s="328"/>
      <c r="J2354" s="249"/>
      <c r="K2354" s="330"/>
      <c r="L2354" s="250"/>
      <c r="M2354" s="249"/>
      <c r="N2354" s="330"/>
      <c r="O2354" s="250"/>
      <c r="P2354" s="249"/>
      <c r="Q2354" s="330"/>
      <c r="R2354" s="250"/>
      <c r="S2354" s="249"/>
      <c r="T2354" s="330"/>
      <c r="U2354" s="250"/>
      <c r="V2354" s="249"/>
      <c r="W2354" s="330"/>
      <c r="X2354" s="343"/>
      <c r="Y2354" s="249"/>
      <c r="Z2354" s="330"/>
      <c r="AA2354" s="343"/>
      <c r="AB2354" s="249"/>
      <c r="AC2354" s="330"/>
      <c r="AD2354" s="343"/>
      <c r="AE2354" s="249"/>
      <c r="AF2354" s="330"/>
      <c r="AG2354" s="343"/>
      <c r="AH2354" s="249"/>
      <c r="AI2354" s="330"/>
      <c r="AJ2354" s="343"/>
      <c r="AK2354" s="249"/>
      <c r="AL2354" s="330"/>
      <c r="AM2354" s="343"/>
      <c r="AN2354" s="249"/>
      <c r="AO2354" s="330"/>
      <c r="AP2354" s="343"/>
      <c r="AQ2354" s="249"/>
      <c r="AR2354" s="330"/>
      <c r="AS2354" s="343"/>
      <c r="AT2354" s="249"/>
      <c r="AU2354" s="330"/>
    </row>
    <row r="2355" spans="2:47">
      <c r="B2355" s="247">
        <f>'Table S2 Compound Identifiers'!C2357</f>
        <v>0</v>
      </c>
      <c r="C2355" s="247">
        <f>COUNTIF($D$6:D2355,"&lt;&gt;"&amp;"")</f>
        <v>2350</v>
      </c>
      <c r="D2355" s="247">
        <f>'Table S2 Compound Identifiers'!B2357</f>
        <v>0</v>
      </c>
      <c r="E2355" s="247"/>
      <c r="F2355" s="248"/>
      <c r="G2355" s="249"/>
      <c r="H2355" s="330"/>
      <c r="I2355" s="328"/>
      <c r="J2355" s="249"/>
      <c r="K2355" s="330"/>
      <c r="L2355" s="250"/>
      <c r="M2355" s="249"/>
      <c r="N2355" s="330"/>
      <c r="O2355" s="250"/>
      <c r="P2355" s="249"/>
      <c r="Q2355" s="330"/>
      <c r="R2355" s="250"/>
      <c r="S2355" s="249"/>
      <c r="T2355" s="330"/>
      <c r="U2355" s="250"/>
      <c r="V2355" s="249"/>
      <c r="W2355" s="330"/>
      <c r="X2355" s="343"/>
      <c r="Y2355" s="249"/>
      <c r="Z2355" s="330"/>
      <c r="AA2355" s="343"/>
      <c r="AB2355" s="249"/>
      <c r="AC2355" s="330"/>
      <c r="AD2355" s="343"/>
      <c r="AE2355" s="249"/>
      <c r="AF2355" s="330"/>
      <c r="AG2355" s="343"/>
      <c r="AH2355" s="249"/>
      <c r="AI2355" s="330"/>
      <c r="AJ2355" s="343"/>
      <c r="AK2355" s="249"/>
      <c r="AL2355" s="330"/>
      <c r="AM2355" s="343"/>
      <c r="AN2355" s="249"/>
      <c r="AO2355" s="330"/>
      <c r="AP2355" s="343"/>
      <c r="AQ2355" s="249"/>
      <c r="AR2355" s="330"/>
      <c r="AS2355" s="343"/>
      <c r="AT2355" s="249"/>
      <c r="AU2355" s="330"/>
    </row>
    <row r="2356" spans="2:47">
      <c r="B2356" s="247">
        <f>'Table S2 Compound Identifiers'!C2358</f>
        <v>0</v>
      </c>
      <c r="C2356" s="247">
        <f>COUNTIF($D$6:D2356,"&lt;&gt;"&amp;"")</f>
        <v>2351</v>
      </c>
      <c r="D2356" s="432">
        <f>'Table S2 Compound Identifiers'!B2358</f>
        <v>0</v>
      </c>
      <c r="E2356" s="247"/>
      <c r="F2356" s="248"/>
      <c r="G2356" s="249"/>
      <c r="H2356" s="330"/>
      <c r="I2356" s="328"/>
      <c r="J2356" s="249"/>
      <c r="K2356" s="330"/>
      <c r="L2356" s="250"/>
      <c r="M2356" s="249"/>
      <c r="N2356" s="330"/>
      <c r="O2356" s="250"/>
      <c r="P2356" s="249"/>
      <c r="Q2356" s="330"/>
      <c r="R2356" s="250"/>
      <c r="S2356" s="249"/>
      <c r="T2356" s="330"/>
      <c r="U2356" s="250"/>
      <c r="V2356" s="249"/>
      <c r="W2356" s="330"/>
      <c r="X2356" s="343"/>
      <c r="Y2356" s="249"/>
      <c r="Z2356" s="330"/>
      <c r="AA2356" s="343"/>
      <c r="AB2356" s="249"/>
      <c r="AC2356" s="330"/>
      <c r="AD2356" s="343"/>
      <c r="AE2356" s="249"/>
      <c r="AF2356" s="330"/>
      <c r="AG2356" s="343"/>
      <c r="AH2356" s="249"/>
      <c r="AI2356" s="330"/>
      <c r="AJ2356" s="343"/>
      <c r="AK2356" s="249"/>
      <c r="AL2356" s="330"/>
      <c r="AM2356" s="343"/>
      <c r="AN2356" s="249"/>
      <c r="AO2356" s="330"/>
      <c r="AP2356" s="343"/>
      <c r="AQ2356" s="249"/>
      <c r="AR2356" s="330"/>
      <c r="AS2356" s="343"/>
      <c r="AT2356" s="249"/>
      <c r="AU2356" s="330"/>
    </row>
    <row r="2357" spans="2:47">
      <c r="B2357" s="247">
        <f>'Table S2 Compound Identifiers'!C2359</f>
        <v>0</v>
      </c>
      <c r="C2357" s="247">
        <f>COUNTIF($D$6:D2357,"&lt;&gt;"&amp;"")</f>
        <v>2352</v>
      </c>
      <c r="D2357" s="432">
        <f>'Table S2 Compound Identifiers'!B2359</f>
        <v>0</v>
      </c>
      <c r="E2357" s="247"/>
      <c r="F2357" s="248"/>
      <c r="G2357" s="249"/>
      <c r="H2357" s="330"/>
      <c r="I2357" s="328"/>
      <c r="J2357" s="249"/>
      <c r="K2357" s="330"/>
      <c r="L2357" s="250"/>
      <c r="M2357" s="249"/>
      <c r="N2357" s="330"/>
      <c r="O2357" s="250"/>
      <c r="P2357" s="249"/>
      <c r="Q2357" s="330"/>
      <c r="R2357" s="250"/>
      <c r="S2357" s="249"/>
      <c r="T2357" s="330"/>
      <c r="U2357" s="250"/>
      <c r="V2357" s="249"/>
      <c r="W2357" s="330"/>
      <c r="X2357" s="343"/>
      <c r="Y2357" s="249"/>
      <c r="Z2357" s="330"/>
      <c r="AA2357" s="343"/>
      <c r="AB2357" s="249"/>
      <c r="AC2357" s="330"/>
      <c r="AD2357" s="343"/>
      <c r="AE2357" s="249"/>
      <c r="AF2357" s="330"/>
      <c r="AG2357" s="343"/>
      <c r="AH2357" s="249"/>
      <c r="AI2357" s="330"/>
      <c r="AJ2357" s="343"/>
      <c r="AK2357" s="249"/>
      <c r="AL2357" s="330"/>
      <c r="AM2357" s="343"/>
      <c r="AN2357" s="249"/>
      <c r="AO2357" s="330"/>
      <c r="AP2357" s="343"/>
      <c r="AQ2357" s="249"/>
      <c r="AR2357" s="330"/>
      <c r="AS2357" s="343"/>
      <c r="AT2357" s="249"/>
      <c r="AU2357" s="330"/>
    </row>
    <row r="2358" spans="2:47">
      <c r="B2358" s="247">
        <f>'Table S2 Compound Identifiers'!C2360</f>
        <v>0</v>
      </c>
      <c r="C2358" s="247">
        <f>COUNTIF($D$6:D2358,"&lt;&gt;"&amp;"")</f>
        <v>2353</v>
      </c>
      <c r="D2358" s="432">
        <f>'Table S2 Compound Identifiers'!B2360</f>
        <v>0</v>
      </c>
      <c r="E2358" s="247"/>
      <c r="F2358" s="248"/>
      <c r="G2358" s="249"/>
      <c r="H2358" s="330"/>
      <c r="I2358" s="328"/>
      <c r="J2358" s="249"/>
      <c r="K2358" s="330"/>
      <c r="L2358" s="250"/>
      <c r="M2358" s="249"/>
      <c r="N2358" s="330"/>
      <c r="O2358" s="250"/>
      <c r="P2358" s="249"/>
      <c r="Q2358" s="330"/>
      <c r="R2358" s="250"/>
      <c r="S2358" s="249"/>
      <c r="T2358" s="330"/>
      <c r="U2358" s="250"/>
      <c r="V2358" s="249"/>
      <c r="W2358" s="330"/>
      <c r="X2358" s="343"/>
      <c r="Y2358" s="249"/>
      <c r="Z2358" s="330"/>
      <c r="AA2358" s="343"/>
      <c r="AB2358" s="249"/>
      <c r="AC2358" s="330"/>
      <c r="AD2358" s="343"/>
      <c r="AE2358" s="249"/>
      <c r="AF2358" s="330"/>
      <c r="AG2358" s="343"/>
      <c r="AH2358" s="249"/>
      <c r="AI2358" s="330"/>
      <c r="AJ2358" s="343"/>
      <c r="AK2358" s="249"/>
      <c r="AL2358" s="330"/>
      <c r="AM2358" s="343"/>
      <c r="AN2358" s="249"/>
      <c r="AO2358" s="330"/>
      <c r="AP2358" s="343"/>
      <c r="AQ2358" s="249"/>
      <c r="AR2358" s="330"/>
      <c r="AS2358" s="343"/>
      <c r="AT2358" s="249"/>
      <c r="AU2358" s="330"/>
    </row>
    <row r="2359" spans="2:47">
      <c r="B2359" s="247">
        <f>'Table S2 Compound Identifiers'!C2361</f>
        <v>0</v>
      </c>
      <c r="C2359" s="247">
        <f>COUNTIF($D$6:D2359,"&lt;&gt;"&amp;"")</f>
        <v>2354</v>
      </c>
      <c r="D2359" s="432">
        <f>'Table S2 Compound Identifiers'!B2361</f>
        <v>0</v>
      </c>
      <c r="E2359" s="247"/>
      <c r="F2359" s="248"/>
      <c r="G2359" s="249"/>
      <c r="H2359" s="330"/>
      <c r="I2359" s="328"/>
      <c r="J2359" s="249"/>
      <c r="K2359" s="330"/>
      <c r="L2359" s="250"/>
      <c r="M2359" s="249"/>
      <c r="N2359" s="330"/>
      <c r="O2359" s="250"/>
      <c r="P2359" s="249"/>
      <c r="Q2359" s="330"/>
      <c r="R2359" s="250"/>
      <c r="S2359" s="249"/>
      <c r="T2359" s="330"/>
      <c r="U2359" s="250"/>
      <c r="V2359" s="249"/>
      <c r="W2359" s="330"/>
      <c r="X2359" s="343"/>
      <c r="Y2359" s="249"/>
      <c r="Z2359" s="330"/>
      <c r="AA2359" s="343"/>
      <c r="AB2359" s="249"/>
      <c r="AC2359" s="330"/>
      <c r="AD2359" s="343"/>
      <c r="AE2359" s="249"/>
      <c r="AF2359" s="330"/>
      <c r="AG2359" s="343"/>
      <c r="AH2359" s="249"/>
      <c r="AI2359" s="330"/>
      <c r="AJ2359" s="343"/>
      <c r="AK2359" s="249"/>
      <c r="AL2359" s="330"/>
      <c r="AM2359" s="343"/>
      <c r="AN2359" s="249"/>
      <c r="AO2359" s="330"/>
      <c r="AP2359" s="343"/>
      <c r="AQ2359" s="249"/>
      <c r="AR2359" s="330"/>
      <c r="AS2359" s="343"/>
      <c r="AT2359" s="249"/>
      <c r="AU2359" s="330"/>
    </row>
    <row r="2360" spans="2:47">
      <c r="B2360" s="247">
        <f>'Table S2 Compound Identifiers'!C2362</f>
        <v>0</v>
      </c>
      <c r="C2360" s="247">
        <f>COUNTIF($D$6:D2360,"&lt;&gt;"&amp;"")</f>
        <v>2355</v>
      </c>
      <c r="D2360" s="432">
        <f>'Table S2 Compound Identifiers'!B2362</f>
        <v>0</v>
      </c>
      <c r="E2360" s="247"/>
      <c r="F2360" s="248"/>
      <c r="G2360" s="249"/>
      <c r="H2360" s="330"/>
      <c r="I2360" s="328"/>
      <c r="J2360" s="249"/>
      <c r="K2360" s="330"/>
      <c r="L2360" s="250"/>
      <c r="M2360" s="249"/>
      <c r="N2360" s="330"/>
      <c r="O2360" s="250"/>
      <c r="P2360" s="249"/>
      <c r="Q2360" s="330"/>
      <c r="R2360" s="250"/>
      <c r="S2360" s="249"/>
      <c r="T2360" s="330"/>
      <c r="U2360" s="250"/>
      <c r="V2360" s="249"/>
      <c r="W2360" s="330"/>
      <c r="X2360" s="343"/>
      <c r="Y2360" s="249"/>
      <c r="Z2360" s="330"/>
      <c r="AA2360" s="343"/>
      <c r="AB2360" s="249"/>
      <c r="AC2360" s="330"/>
      <c r="AD2360" s="343"/>
      <c r="AE2360" s="249"/>
      <c r="AF2360" s="330"/>
      <c r="AG2360" s="343"/>
      <c r="AH2360" s="249"/>
      <c r="AI2360" s="330"/>
      <c r="AJ2360" s="343"/>
      <c r="AK2360" s="249"/>
      <c r="AL2360" s="330"/>
      <c r="AM2360" s="343"/>
      <c r="AN2360" s="249"/>
      <c r="AO2360" s="330"/>
      <c r="AP2360" s="343"/>
      <c r="AQ2360" s="249"/>
      <c r="AR2360" s="330"/>
      <c r="AS2360" s="343"/>
      <c r="AT2360" s="249"/>
      <c r="AU2360" s="330"/>
    </row>
    <row r="2361" spans="2:47">
      <c r="B2361" s="247">
        <f>'Table S2 Compound Identifiers'!C2363</f>
        <v>0</v>
      </c>
      <c r="C2361" s="247">
        <f>COUNTIF($D$6:D2361,"&lt;&gt;"&amp;"")</f>
        <v>2356</v>
      </c>
      <c r="D2361" s="432">
        <f>'Table S2 Compound Identifiers'!B2363</f>
        <v>0</v>
      </c>
      <c r="E2361" s="247"/>
      <c r="F2361" s="248"/>
      <c r="G2361" s="249"/>
      <c r="H2361" s="330"/>
      <c r="I2361" s="328"/>
      <c r="J2361" s="249"/>
      <c r="K2361" s="330"/>
      <c r="L2361" s="250"/>
      <c r="M2361" s="249"/>
      <c r="N2361" s="330"/>
      <c r="O2361" s="250"/>
      <c r="P2361" s="249"/>
      <c r="Q2361" s="330"/>
      <c r="R2361" s="250"/>
      <c r="S2361" s="249"/>
      <c r="T2361" s="330"/>
      <c r="U2361" s="250"/>
      <c r="V2361" s="249"/>
      <c r="W2361" s="330"/>
      <c r="X2361" s="343"/>
      <c r="Y2361" s="249"/>
      <c r="Z2361" s="330"/>
      <c r="AA2361" s="343"/>
      <c r="AB2361" s="249"/>
      <c r="AC2361" s="330"/>
      <c r="AD2361" s="343"/>
      <c r="AE2361" s="249"/>
      <c r="AF2361" s="330"/>
      <c r="AG2361" s="343"/>
      <c r="AH2361" s="249"/>
      <c r="AI2361" s="330"/>
      <c r="AJ2361" s="343"/>
      <c r="AK2361" s="249"/>
      <c r="AL2361" s="330"/>
      <c r="AM2361" s="343"/>
      <c r="AN2361" s="249"/>
      <c r="AO2361" s="330"/>
      <c r="AP2361" s="343"/>
      <c r="AQ2361" s="249"/>
      <c r="AR2361" s="330"/>
      <c r="AS2361" s="343"/>
      <c r="AT2361" s="249"/>
      <c r="AU2361" s="330"/>
    </row>
    <row r="2362" spans="2:47">
      <c r="B2362" s="247">
        <f>'Table S2 Compound Identifiers'!C2364</f>
        <v>0</v>
      </c>
      <c r="C2362" s="247">
        <f>COUNTIF($D$6:D2362,"&lt;&gt;"&amp;"")</f>
        <v>2357</v>
      </c>
      <c r="D2362" s="432">
        <f>'Table S2 Compound Identifiers'!B2364</f>
        <v>0</v>
      </c>
      <c r="E2362" s="247"/>
      <c r="F2362" s="248"/>
      <c r="G2362" s="249"/>
      <c r="H2362" s="330"/>
      <c r="I2362" s="328"/>
      <c r="J2362" s="249"/>
      <c r="K2362" s="330"/>
      <c r="L2362" s="250"/>
      <c r="M2362" s="249"/>
      <c r="N2362" s="330"/>
      <c r="O2362" s="250"/>
      <c r="P2362" s="249"/>
      <c r="Q2362" s="330"/>
      <c r="R2362" s="250"/>
      <c r="S2362" s="249"/>
      <c r="T2362" s="330"/>
      <c r="U2362" s="250"/>
      <c r="V2362" s="249"/>
      <c r="W2362" s="330"/>
      <c r="X2362" s="343"/>
      <c r="Y2362" s="249"/>
      <c r="Z2362" s="330"/>
      <c r="AA2362" s="343"/>
      <c r="AB2362" s="249"/>
      <c r="AC2362" s="330"/>
      <c r="AD2362" s="343"/>
      <c r="AE2362" s="249"/>
      <c r="AF2362" s="330"/>
      <c r="AG2362" s="343"/>
      <c r="AH2362" s="249"/>
      <c r="AI2362" s="330"/>
      <c r="AJ2362" s="343"/>
      <c r="AK2362" s="249"/>
      <c r="AL2362" s="330"/>
      <c r="AM2362" s="343"/>
      <c r="AN2362" s="249"/>
      <c r="AO2362" s="330"/>
      <c r="AP2362" s="343"/>
      <c r="AQ2362" s="249"/>
      <c r="AR2362" s="330"/>
      <c r="AS2362" s="343"/>
      <c r="AT2362" s="249"/>
      <c r="AU2362" s="330"/>
    </row>
    <row r="2363" spans="2:47">
      <c r="B2363" s="247">
        <f>'Table S2 Compound Identifiers'!C2365</f>
        <v>0</v>
      </c>
      <c r="C2363" s="247">
        <f>COUNTIF($D$6:D2363,"&lt;&gt;"&amp;"")</f>
        <v>2358</v>
      </c>
      <c r="D2363" s="432">
        <f>'Table S2 Compound Identifiers'!B2365</f>
        <v>0</v>
      </c>
      <c r="E2363" s="247"/>
      <c r="F2363" s="248"/>
      <c r="G2363" s="249"/>
      <c r="H2363" s="330"/>
      <c r="I2363" s="328"/>
      <c r="J2363" s="249"/>
      <c r="K2363" s="330"/>
      <c r="L2363" s="250"/>
      <c r="M2363" s="249"/>
      <c r="N2363" s="330"/>
      <c r="O2363" s="250"/>
      <c r="P2363" s="249"/>
      <c r="Q2363" s="330"/>
      <c r="R2363" s="250"/>
      <c r="S2363" s="249"/>
      <c r="T2363" s="330"/>
      <c r="U2363" s="250"/>
      <c r="V2363" s="249"/>
      <c r="W2363" s="330"/>
      <c r="X2363" s="343"/>
      <c r="Y2363" s="249"/>
      <c r="Z2363" s="330"/>
      <c r="AA2363" s="343"/>
      <c r="AB2363" s="249"/>
      <c r="AC2363" s="330"/>
      <c r="AD2363" s="343"/>
      <c r="AE2363" s="249"/>
      <c r="AF2363" s="330"/>
      <c r="AG2363" s="343"/>
      <c r="AH2363" s="249"/>
      <c r="AI2363" s="330"/>
      <c r="AJ2363" s="343"/>
      <c r="AK2363" s="249"/>
      <c r="AL2363" s="330"/>
      <c r="AM2363" s="343"/>
      <c r="AN2363" s="249"/>
      <c r="AO2363" s="330"/>
      <c r="AP2363" s="343"/>
      <c r="AQ2363" s="249"/>
      <c r="AR2363" s="330"/>
      <c r="AS2363" s="343"/>
      <c r="AT2363" s="249"/>
      <c r="AU2363" s="330"/>
    </row>
    <row r="2364" spans="2:47">
      <c r="B2364" s="247">
        <f>'Table S2 Compound Identifiers'!C2366</f>
        <v>0</v>
      </c>
      <c r="C2364" s="247">
        <f>COUNTIF($D$6:D2364,"&lt;&gt;"&amp;"")</f>
        <v>2359</v>
      </c>
      <c r="D2364" s="432">
        <f>'Table S2 Compound Identifiers'!B2366</f>
        <v>0</v>
      </c>
      <c r="E2364" s="247"/>
      <c r="F2364" s="248"/>
      <c r="G2364" s="249"/>
      <c r="H2364" s="330"/>
      <c r="I2364" s="328"/>
      <c r="J2364" s="249"/>
      <c r="K2364" s="330"/>
      <c r="L2364" s="250"/>
      <c r="M2364" s="249"/>
      <c r="N2364" s="330"/>
      <c r="O2364" s="250"/>
      <c r="P2364" s="249"/>
      <c r="Q2364" s="330"/>
      <c r="R2364" s="250"/>
      <c r="S2364" s="249"/>
      <c r="T2364" s="330"/>
      <c r="U2364" s="250"/>
      <c r="V2364" s="249"/>
      <c r="W2364" s="330"/>
      <c r="X2364" s="343"/>
      <c r="Y2364" s="249"/>
      <c r="Z2364" s="330"/>
      <c r="AA2364" s="343"/>
      <c r="AB2364" s="249"/>
      <c r="AC2364" s="330"/>
      <c r="AD2364" s="343"/>
      <c r="AE2364" s="249"/>
      <c r="AF2364" s="330"/>
      <c r="AG2364" s="343"/>
      <c r="AH2364" s="249"/>
      <c r="AI2364" s="330"/>
      <c r="AJ2364" s="343"/>
      <c r="AK2364" s="249"/>
      <c r="AL2364" s="330"/>
      <c r="AM2364" s="343"/>
      <c r="AN2364" s="249"/>
      <c r="AO2364" s="330"/>
      <c r="AP2364" s="343"/>
      <c r="AQ2364" s="249"/>
      <c r="AR2364" s="330"/>
      <c r="AS2364" s="343"/>
      <c r="AT2364" s="249"/>
      <c r="AU2364" s="330"/>
    </row>
    <row r="2365" spans="2:47">
      <c r="B2365" s="247">
        <f>'Table S2 Compound Identifiers'!C2367</f>
        <v>0</v>
      </c>
      <c r="C2365" s="247">
        <f>COUNTIF($D$6:D2365,"&lt;&gt;"&amp;"")</f>
        <v>2360</v>
      </c>
      <c r="D2365" s="432">
        <f>'Table S2 Compound Identifiers'!B2367</f>
        <v>0</v>
      </c>
      <c r="E2365" s="247"/>
      <c r="F2365" s="248"/>
      <c r="G2365" s="249"/>
      <c r="H2365" s="330"/>
      <c r="I2365" s="328"/>
      <c r="J2365" s="249"/>
      <c r="K2365" s="330"/>
      <c r="L2365" s="250"/>
      <c r="M2365" s="249"/>
      <c r="N2365" s="330"/>
      <c r="O2365" s="250"/>
      <c r="P2365" s="249"/>
      <c r="Q2365" s="330"/>
      <c r="R2365" s="250"/>
      <c r="S2365" s="249"/>
      <c r="T2365" s="330"/>
      <c r="U2365" s="250"/>
      <c r="V2365" s="249"/>
      <c r="W2365" s="330"/>
      <c r="X2365" s="343"/>
      <c r="Y2365" s="249"/>
      <c r="Z2365" s="330"/>
      <c r="AA2365" s="343"/>
      <c r="AB2365" s="249"/>
      <c r="AC2365" s="330"/>
      <c r="AD2365" s="343"/>
      <c r="AE2365" s="249"/>
      <c r="AF2365" s="330"/>
      <c r="AG2365" s="343"/>
      <c r="AH2365" s="249"/>
      <c r="AI2365" s="330"/>
      <c r="AJ2365" s="343"/>
      <c r="AK2365" s="249"/>
      <c r="AL2365" s="330"/>
      <c r="AM2365" s="343"/>
      <c r="AN2365" s="249"/>
      <c r="AO2365" s="330"/>
      <c r="AP2365" s="343"/>
      <c r="AQ2365" s="249"/>
      <c r="AR2365" s="330"/>
      <c r="AS2365" s="343"/>
      <c r="AT2365" s="249"/>
      <c r="AU2365" s="330"/>
    </row>
    <row r="2366" spans="2:47">
      <c r="B2366" s="247">
        <f>'Table S2 Compound Identifiers'!C2368</f>
        <v>0</v>
      </c>
      <c r="C2366" s="247">
        <f>COUNTIF($D$6:D2366,"&lt;&gt;"&amp;"")</f>
        <v>2361</v>
      </c>
      <c r="D2366" s="247">
        <f>'Table S2 Compound Identifiers'!B2368</f>
        <v>0</v>
      </c>
      <c r="E2366" s="247"/>
      <c r="F2366" s="248"/>
      <c r="G2366" s="249"/>
      <c r="H2366" s="330"/>
      <c r="I2366" s="328"/>
      <c r="J2366" s="249"/>
      <c r="K2366" s="330"/>
      <c r="L2366" s="250"/>
      <c r="M2366" s="249"/>
      <c r="N2366" s="330"/>
      <c r="O2366" s="250"/>
      <c r="P2366" s="249"/>
      <c r="Q2366" s="330"/>
      <c r="R2366" s="250"/>
      <c r="S2366" s="249"/>
      <c r="T2366" s="330"/>
      <c r="U2366" s="250"/>
      <c r="V2366" s="249"/>
      <c r="W2366" s="330"/>
      <c r="X2366" s="343"/>
      <c r="Y2366" s="249"/>
      <c r="Z2366" s="330"/>
      <c r="AA2366" s="343"/>
      <c r="AB2366" s="249"/>
      <c r="AC2366" s="330"/>
      <c r="AD2366" s="343"/>
      <c r="AE2366" s="249"/>
      <c r="AF2366" s="330"/>
      <c r="AG2366" s="343"/>
      <c r="AH2366" s="249"/>
      <c r="AI2366" s="330"/>
      <c r="AJ2366" s="343"/>
      <c r="AK2366" s="249"/>
      <c r="AL2366" s="330"/>
      <c r="AM2366" s="343"/>
      <c r="AN2366" s="249"/>
      <c r="AO2366" s="330"/>
      <c r="AP2366" s="343"/>
      <c r="AQ2366" s="249"/>
      <c r="AR2366" s="330"/>
      <c r="AS2366" s="343"/>
      <c r="AT2366" s="249"/>
      <c r="AU2366" s="330"/>
    </row>
    <row r="2367" spans="2:47">
      <c r="B2367" s="247">
        <f>'Table S2 Compound Identifiers'!C2369</f>
        <v>0</v>
      </c>
      <c r="C2367" s="247">
        <f>COUNTIF($D$6:D2367,"&lt;&gt;"&amp;"")</f>
        <v>2362</v>
      </c>
      <c r="D2367" s="247">
        <f>'Table S2 Compound Identifiers'!B2369</f>
        <v>0</v>
      </c>
      <c r="E2367" s="247"/>
      <c r="F2367" s="248"/>
      <c r="G2367" s="249"/>
      <c r="H2367" s="330"/>
      <c r="I2367" s="328"/>
      <c r="J2367" s="249"/>
      <c r="K2367" s="330"/>
      <c r="L2367" s="250"/>
      <c r="M2367" s="249"/>
      <c r="N2367" s="330"/>
      <c r="O2367" s="250"/>
      <c r="P2367" s="249"/>
      <c r="Q2367" s="330"/>
      <c r="R2367" s="250"/>
      <c r="S2367" s="249"/>
      <c r="T2367" s="330"/>
      <c r="U2367" s="250"/>
      <c r="V2367" s="249"/>
      <c r="W2367" s="330"/>
      <c r="X2367" s="343"/>
      <c r="Y2367" s="249"/>
      <c r="Z2367" s="330"/>
      <c r="AA2367" s="343"/>
      <c r="AB2367" s="249"/>
      <c r="AC2367" s="330"/>
      <c r="AD2367" s="343"/>
      <c r="AE2367" s="249"/>
      <c r="AF2367" s="330"/>
      <c r="AG2367" s="343"/>
      <c r="AH2367" s="249"/>
      <c r="AI2367" s="330"/>
      <c r="AJ2367" s="343"/>
      <c r="AK2367" s="249"/>
      <c r="AL2367" s="330"/>
      <c r="AM2367" s="343"/>
      <c r="AN2367" s="249"/>
      <c r="AO2367" s="330"/>
      <c r="AP2367" s="343"/>
      <c r="AQ2367" s="249"/>
      <c r="AR2367" s="330"/>
      <c r="AS2367" s="343"/>
      <c r="AT2367" s="249"/>
      <c r="AU2367" s="330"/>
    </row>
    <row r="2368" spans="2:47">
      <c r="B2368" s="247">
        <f>'Table S2 Compound Identifiers'!C2370</f>
        <v>0</v>
      </c>
      <c r="C2368" s="247">
        <f>COUNTIF($D$6:D2368,"&lt;&gt;"&amp;"")</f>
        <v>2363</v>
      </c>
      <c r="D2368" s="247">
        <f>'Table S2 Compound Identifiers'!B2370</f>
        <v>0</v>
      </c>
      <c r="E2368" s="247"/>
      <c r="F2368" s="248"/>
      <c r="G2368" s="249"/>
      <c r="H2368" s="330"/>
      <c r="I2368" s="328"/>
      <c r="J2368" s="249"/>
      <c r="K2368" s="330"/>
      <c r="L2368" s="250"/>
      <c r="M2368" s="249"/>
      <c r="N2368" s="330"/>
      <c r="O2368" s="250"/>
      <c r="P2368" s="249"/>
      <c r="Q2368" s="330"/>
      <c r="R2368" s="250"/>
      <c r="S2368" s="249"/>
      <c r="T2368" s="330"/>
      <c r="U2368" s="250"/>
      <c r="V2368" s="249"/>
      <c r="W2368" s="330"/>
      <c r="X2368" s="343"/>
      <c r="Y2368" s="249"/>
      <c r="Z2368" s="330"/>
      <c r="AA2368" s="343"/>
      <c r="AB2368" s="249"/>
      <c r="AC2368" s="330"/>
      <c r="AD2368" s="343"/>
      <c r="AE2368" s="249"/>
      <c r="AF2368" s="330"/>
      <c r="AG2368" s="343"/>
      <c r="AH2368" s="249"/>
      <c r="AI2368" s="330"/>
      <c r="AJ2368" s="343"/>
      <c r="AK2368" s="249"/>
      <c r="AL2368" s="330"/>
      <c r="AM2368" s="343"/>
      <c r="AN2368" s="249"/>
      <c r="AO2368" s="330"/>
      <c r="AP2368" s="343"/>
      <c r="AQ2368" s="249"/>
      <c r="AR2368" s="330"/>
      <c r="AS2368" s="343"/>
      <c r="AT2368" s="249"/>
      <c r="AU2368" s="330"/>
    </row>
    <row r="2369" spans="2:47">
      <c r="B2369" s="247">
        <f>'Table S2 Compound Identifiers'!C2371</f>
        <v>0</v>
      </c>
      <c r="C2369" s="247">
        <f>COUNTIF($D$6:D2369,"&lt;&gt;"&amp;"")</f>
        <v>2364</v>
      </c>
      <c r="D2369" s="247">
        <f>'Table S2 Compound Identifiers'!B2371</f>
        <v>0</v>
      </c>
      <c r="E2369" s="247"/>
      <c r="F2369" s="248"/>
      <c r="G2369" s="249"/>
      <c r="H2369" s="330"/>
      <c r="I2369" s="328"/>
      <c r="J2369" s="249"/>
      <c r="K2369" s="330"/>
      <c r="L2369" s="250"/>
      <c r="M2369" s="249"/>
      <c r="N2369" s="330"/>
      <c r="O2369" s="250"/>
      <c r="P2369" s="249"/>
      <c r="Q2369" s="330"/>
      <c r="R2369" s="250"/>
      <c r="S2369" s="249"/>
      <c r="T2369" s="330"/>
      <c r="U2369" s="250"/>
      <c r="V2369" s="249"/>
      <c r="W2369" s="330"/>
      <c r="X2369" s="343"/>
      <c r="Y2369" s="249"/>
      <c r="Z2369" s="330"/>
      <c r="AA2369" s="343"/>
      <c r="AB2369" s="249"/>
      <c r="AC2369" s="330"/>
      <c r="AD2369" s="343"/>
      <c r="AE2369" s="249"/>
      <c r="AF2369" s="330"/>
      <c r="AG2369" s="343"/>
      <c r="AH2369" s="249"/>
      <c r="AI2369" s="330"/>
      <c r="AJ2369" s="343"/>
      <c r="AK2369" s="249"/>
      <c r="AL2369" s="330"/>
      <c r="AM2369" s="343"/>
      <c r="AN2369" s="249"/>
      <c r="AO2369" s="330"/>
      <c r="AP2369" s="343"/>
      <c r="AQ2369" s="249"/>
      <c r="AR2369" s="330"/>
      <c r="AS2369" s="343"/>
      <c r="AT2369" s="249"/>
      <c r="AU2369" s="330"/>
    </row>
    <row r="2370" spans="2:47">
      <c r="B2370" s="247">
        <f>'Table S2 Compound Identifiers'!C2372</f>
        <v>0</v>
      </c>
      <c r="C2370" s="247">
        <f>COUNTIF($D$6:D2370,"&lt;&gt;"&amp;"")</f>
        <v>2365</v>
      </c>
      <c r="D2370" s="247">
        <f>'Table S2 Compound Identifiers'!B2372</f>
        <v>0</v>
      </c>
      <c r="E2370" s="247"/>
      <c r="F2370" s="248"/>
      <c r="G2370" s="249"/>
      <c r="H2370" s="330"/>
      <c r="I2370" s="328"/>
      <c r="J2370" s="249"/>
      <c r="K2370" s="330"/>
      <c r="L2370" s="250"/>
      <c r="M2370" s="249"/>
      <c r="N2370" s="330"/>
      <c r="O2370" s="250"/>
      <c r="P2370" s="249"/>
      <c r="Q2370" s="330"/>
      <c r="R2370" s="250"/>
      <c r="S2370" s="249"/>
      <c r="T2370" s="330"/>
      <c r="U2370" s="250"/>
      <c r="V2370" s="249"/>
      <c r="W2370" s="330"/>
      <c r="X2370" s="343"/>
      <c r="Y2370" s="249"/>
      <c r="Z2370" s="330"/>
      <c r="AA2370" s="343"/>
      <c r="AB2370" s="249"/>
      <c r="AC2370" s="330"/>
      <c r="AD2370" s="343"/>
      <c r="AE2370" s="249"/>
      <c r="AF2370" s="330"/>
      <c r="AG2370" s="343"/>
      <c r="AH2370" s="249"/>
      <c r="AI2370" s="330"/>
      <c r="AJ2370" s="343"/>
      <c r="AK2370" s="249"/>
      <c r="AL2370" s="330"/>
      <c r="AM2370" s="343"/>
      <c r="AN2370" s="249"/>
      <c r="AO2370" s="330"/>
      <c r="AP2370" s="343"/>
      <c r="AQ2370" s="249"/>
      <c r="AR2370" s="330"/>
      <c r="AS2370" s="343"/>
      <c r="AT2370" s="249"/>
      <c r="AU2370" s="330"/>
    </row>
    <row r="2371" spans="2:47">
      <c r="B2371" s="247">
        <f>'Table S2 Compound Identifiers'!C2373</f>
        <v>0</v>
      </c>
      <c r="C2371" s="247">
        <f>COUNTIF($D$6:D2371,"&lt;&gt;"&amp;"")</f>
        <v>2366</v>
      </c>
      <c r="D2371" s="247">
        <f>'Table S2 Compound Identifiers'!B2373</f>
        <v>0</v>
      </c>
      <c r="E2371" s="247"/>
      <c r="F2371" s="248"/>
      <c r="G2371" s="249"/>
      <c r="H2371" s="330"/>
      <c r="I2371" s="328"/>
      <c r="J2371" s="249"/>
      <c r="K2371" s="330"/>
      <c r="L2371" s="250"/>
      <c r="M2371" s="249"/>
      <c r="N2371" s="330"/>
      <c r="O2371" s="250"/>
      <c r="P2371" s="249"/>
      <c r="Q2371" s="330"/>
      <c r="R2371" s="250"/>
      <c r="S2371" s="249"/>
      <c r="T2371" s="330"/>
      <c r="U2371" s="250"/>
      <c r="V2371" s="249"/>
      <c r="W2371" s="330"/>
      <c r="X2371" s="343"/>
      <c r="Y2371" s="249"/>
      <c r="Z2371" s="330"/>
      <c r="AA2371" s="343"/>
      <c r="AB2371" s="249"/>
      <c r="AC2371" s="330"/>
      <c r="AD2371" s="343"/>
      <c r="AE2371" s="249"/>
      <c r="AF2371" s="330"/>
      <c r="AG2371" s="343"/>
      <c r="AH2371" s="249"/>
      <c r="AI2371" s="330"/>
      <c r="AJ2371" s="343"/>
      <c r="AK2371" s="249"/>
      <c r="AL2371" s="330"/>
      <c r="AM2371" s="343"/>
      <c r="AN2371" s="249"/>
      <c r="AO2371" s="330"/>
      <c r="AP2371" s="343"/>
      <c r="AQ2371" s="249"/>
      <c r="AR2371" s="330"/>
      <c r="AS2371" s="343"/>
      <c r="AT2371" s="249"/>
      <c r="AU2371" s="330"/>
    </row>
    <row r="2372" spans="2:47">
      <c r="B2372" s="247">
        <f>'Table S2 Compound Identifiers'!C2374</f>
        <v>0</v>
      </c>
      <c r="C2372" s="247">
        <f>COUNTIF($D$6:D2372,"&lt;&gt;"&amp;"")</f>
        <v>2367</v>
      </c>
      <c r="D2372" s="247">
        <f>'Table S2 Compound Identifiers'!B2374</f>
        <v>0</v>
      </c>
      <c r="E2372" s="247"/>
      <c r="F2372" s="248"/>
      <c r="G2372" s="249"/>
      <c r="H2372" s="330"/>
      <c r="I2372" s="328"/>
      <c r="J2372" s="249"/>
      <c r="K2372" s="330"/>
      <c r="L2372" s="250"/>
      <c r="M2372" s="249"/>
      <c r="N2372" s="330"/>
      <c r="O2372" s="251"/>
      <c r="P2372" s="252"/>
      <c r="Q2372" s="330"/>
      <c r="R2372" s="251"/>
      <c r="S2372" s="252"/>
      <c r="T2372" s="330"/>
      <c r="U2372" s="251"/>
      <c r="V2372" s="252"/>
      <c r="W2372" s="330"/>
      <c r="X2372" s="343"/>
      <c r="Y2372" s="249"/>
      <c r="Z2372" s="330"/>
      <c r="AA2372" s="343"/>
      <c r="AB2372" s="249"/>
      <c r="AC2372" s="330"/>
      <c r="AD2372" s="343"/>
      <c r="AE2372" s="249"/>
      <c r="AF2372" s="330"/>
      <c r="AG2372" s="343"/>
      <c r="AH2372" s="249"/>
      <c r="AI2372" s="330"/>
      <c r="AJ2372" s="343"/>
      <c r="AK2372" s="249"/>
      <c r="AL2372" s="330"/>
      <c r="AM2372" s="343"/>
      <c r="AN2372" s="249"/>
      <c r="AO2372" s="330"/>
      <c r="AP2372" s="343"/>
      <c r="AQ2372" s="249"/>
      <c r="AR2372" s="330"/>
      <c r="AS2372" s="343"/>
      <c r="AT2372" s="249"/>
      <c r="AU2372" s="330"/>
    </row>
    <row r="2373" spans="2:47">
      <c r="B2373" s="247">
        <f>'Table S2 Compound Identifiers'!C2375</f>
        <v>0</v>
      </c>
      <c r="C2373" s="253">
        <f>COUNTIF($D$6:D2373,"&lt;&gt;"&amp;"")</f>
        <v>2368</v>
      </c>
      <c r="D2373" s="253">
        <f>'Table S2 Compound Identifiers'!B2375</f>
        <v>0</v>
      </c>
      <c r="E2373" s="253"/>
      <c r="F2373" s="254"/>
      <c r="G2373" s="252"/>
      <c r="H2373" s="330"/>
      <c r="I2373" s="333"/>
      <c r="J2373" s="252"/>
      <c r="K2373" s="330"/>
      <c r="L2373" s="251"/>
      <c r="M2373" s="252"/>
      <c r="N2373" s="330"/>
      <c r="O2373" s="251"/>
      <c r="P2373" s="252"/>
      <c r="Q2373" s="330"/>
      <c r="R2373" s="251"/>
      <c r="S2373" s="252"/>
      <c r="T2373" s="330"/>
      <c r="U2373" s="251"/>
      <c r="V2373" s="252"/>
      <c r="W2373" s="330"/>
      <c r="X2373" s="343"/>
      <c r="Y2373" s="249"/>
      <c r="Z2373" s="330"/>
      <c r="AA2373" s="343"/>
      <c r="AB2373" s="249"/>
      <c r="AC2373" s="330"/>
      <c r="AD2373" s="343"/>
      <c r="AE2373" s="249"/>
      <c r="AF2373" s="330"/>
      <c r="AG2373" s="343"/>
      <c r="AH2373" s="249"/>
      <c r="AI2373" s="330"/>
      <c r="AJ2373" s="343"/>
      <c r="AK2373" s="249"/>
      <c r="AL2373" s="330"/>
      <c r="AM2373" s="343"/>
      <c r="AN2373" s="249"/>
      <c r="AO2373" s="330"/>
      <c r="AP2373" s="343"/>
      <c r="AQ2373" s="249"/>
      <c r="AR2373" s="330"/>
      <c r="AS2373" s="343"/>
      <c r="AT2373" s="249"/>
      <c r="AU2373" s="330"/>
    </row>
    <row r="2374" spans="2:47">
      <c r="B2374" s="247">
        <f>'Table S2 Compound Identifiers'!C2376</f>
        <v>0</v>
      </c>
      <c r="C2374" s="247">
        <f>COUNTIF($D$6:D2374,"&lt;&gt;"&amp;"")</f>
        <v>2369</v>
      </c>
      <c r="D2374" s="247">
        <f>'Table S2 Compound Identifiers'!B2376</f>
        <v>0</v>
      </c>
      <c r="E2374" s="247"/>
      <c r="F2374" s="248"/>
      <c r="G2374" s="250"/>
      <c r="H2374" s="330"/>
      <c r="I2374" s="343"/>
      <c r="J2374" s="249"/>
      <c r="K2374" s="327"/>
      <c r="L2374" s="343"/>
      <c r="M2374" s="249"/>
      <c r="N2374" s="327"/>
      <c r="O2374" s="343"/>
      <c r="P2374" s="249"/>
      <c r="Q2374" s="327"/>
      <c r="R2374" s="343"/>
      <c r="S2374" s="249"/>
      <c r="T2374" s="327"/>
      <c r="U2374" s="343"/>
      <c r="V2374" s="249"/>
      <c r="W2374" s="327"/>
      <c r="X2374" s="343"/>
      <c r="Y2374" s="249"/>
      <c r="Z2374" s="327"/>
      <c r="AA2374" s="343"/>
      <c r="AB2374" s="249"/>
      <c r="AC2374" s="343"/>
      <c r="AD2374" s="343"/>
      <c r="AE2374" s="249"/>
      <c r="AF2374" s="249"/>
      <c r="AG2374" s="343"/>
      <c r="AH2374" s="249"/>
      <c r="AI2374" s="343"/>
      <c r="AJ2374" s="343"/>
      <c r="AK2374" s="249"/>
      <c r="AL2374" s="249"/>
      <c r="AM2374" s="343"/>
      <c r="AN2374" s="249"/>
      <c r="AO2374" s="343"/>
      <c r="AP2374" s="343"/>
      <c r="AQ2374" s="249"/>
      <c r="AR2374" s="249"/>
      <c r="AS2374" s="343"/>
      <c r="AT2374" s="249"/>
      <c r="AU2374" s="343"/>
    </row>
    <row r="2375" spans="2:47">
      <c r="B2375" s="247">
        <f>'Table S2 Compound Identifiers'!C2377</f>
        <v>0</v>
      </c>
      <c r="C2375" s="247">
        <f>COUNTIF($D$6:D2375,"&lt;&gt;"&amp;"")</f>
        <v>2370</v>
      </c>
      <c r="D2375" s="247">
        <f>'Table S2 Compound Identifiers'!B2377</f>
        <v>0</v>
      </c>
      <c r="E2375" s="247"/>
      <c r="F2375" s="248"/>
      <c r="G2375" s="249"/>
      <c r="H2375" s="330"/>
      <c r="I2375" s="332"/>
      <c r="J2375" s="330"/>
      <c r="K2375" s="330"/>
      <c r="L2375" s="330"/>
      <c r="M2375" s="330"/>
      <c r="N2375" s="330"/>
      <c r="O2375" s="330"/>
      <c r="P2375" s="330"/>
      <c r="Q2375" s="330"/>
      <c r="R2375" s="330"/>
      <c r="S2375" s="330"/>
      <c r="T2375" s="330"/>
      <c r="U2375" s="330"/>
      <c r="V2375" s="330"/>
      <c r="W2375" s="330"/>
      <c r="X2375" s="343"/>
      <c r="Y2375" s="249"/>
      <c r="Z2375" s="330"/>
      <c r="AA2375" s="343"/>
      <c r="AB2375" s="249"/>
      <c r="AC2375" s="330"/>
      <c r="AD2375" s="343"/>
      <c r="AE2375" s="249"/>
      <c r="AF2375" s="330"/>
      <c r="AG2375" s="343"/>
      <c r="AH2375" s="249"/>
      <c r="AI2375" s="330"/>
      <c r="AJ2375" s="343"/>
      <c r="AK2375" s="249"/>
      <c r="AL2375" s="330"/>
      <c r="AM2375" s="343"/>
      <c r="AN2375" s="249"/>
      <c r="AO2375" s="330"/>
      <c r="AP2375" s="343"/>
      <c r="AQ2375" s="249"/>
      <c r="AR2375" s="330"/>
      <c r="AS2375" s="343"/>
      <c r="AT2375" s="249"/>
      <c r="AU2375" s="330"/>
    </row>
    <row r="2376" spans="2:47">
      <c r="B2376" s="247">
        <f>'Table S2 Compound Identifiers'!C2378</f>
        <v>0</v>
      </c>
      <c r="C2376" s="247">
        <f>COUNTIF($D$6:D2376,"&lt;&gt;"&amp;"")</f>
        <v>2371</v>
      </c>
      <c r="D2376" s="247">
        <f>'Table S2 Compound Identifiers'!B2378</f>
        <v>0</v>
      </c>
      <c r="E2376" s="247"/>
      <c r="F2376" s="248"/>
      <c r="G2376" s="249"/>
      <c r="H2376" s="330"/>
      <c r="I2376" s="332"/>
      <c r="J2376" s="330"/>
      <c r="K2376" s="330"/>
      <c r="L2376" s="330"/>
      <c r="M2376" s="330"/>
      <c r="N2376" s="330"/>
      <c r="O2376" s="330"/>
      <c r="P2376" s="330"/>
      <c r="Q2376" s="330"/>
      <c r="R2376" s="330"/>
      <c r="S2376" s="330"/>
      <c r="T2376" s="330"/>
      <c r="U2376" s="330"/>
      <c r="V2376" s="330"/>
      <c r="W2376" s="330"/>
      <c r="X2376" s="343"/>
      <c r="Y2376" s="249"/>
      <c r="Z2376" s="330"/>
      <c r="AA2376" s="343"/>
      <c r="AB2376" s="249"/>
      <c r="AC2376" s="330"/>
      <c r="AD2376" s="343"/>
      <c r="AE2376" s="249"/>
      <c r="AF2376" s="330"/>
      <c r="AG2376" s="343"/>
      <c r="AH2376" s="249"/>
      <c r="AI2376" s="330"/>
      <c r="AJ2376" s="343"/>
      <c r="AK2376" s="249"/>
      <c r="AL2376" s="330"/>
      <c r="AM2376" s="343"/>
      <c r="AN2376" s="249"/>
      <c r="AO2376" s="330"/>
      <c r="AP2376" s="343"/>
      <c r="AQ2376" s="249"/>
      <c r="AR2376" s="330"/>
      <c r="AS2376" s="343"/>
      <c r="AT2376" s="249"/>
      <c r="AU2376" s="330"/>
    </row>
    <row r="2377" spans="2:47">
      <c r="B2377" s="247">
        <f>'Table S2 Compound Identifiers'!C2379</f>
        <v>0</v>
      </c>
      <c r="C2377" s="247">
        <f>COUNTIF($D$6:D2377,"&lt;&gt;"&amp;"")</f>
        <v>2372</v>
      </c>
      <c r="D2377" s="247">
        <f>'Table S2 Compound Identifiers'!B2379</f>
        <v>0</v>
      </c>
      <c r="E2377" s="247"/>
      <c r="F2377" s="248"/>
      <c r="G2377" s="249"/>
      <c r="H2377" s="330"/>
      <c r="I2377" s="332"/>
      <c r="J2377" s="330"/>
      <c r="K2377" s="330"/>
      <c r="L2377" s="330"/>
      <c r="M2377" s="330"/>
      <c r="N2377" s="330"/>
      <c r="O2377" s="330"/>
      <c r="P2377" s="330"/>
      <c r="Q2377" s="330"/>
      <c r="R2377" s="330"/>
      <c r="S2377" s="330"/>
      <c r="T2377" s="330"/>
      <c r="U2377" s="330"/>
      <c r="V2377" s="330"/>
      <c r="W2377" s="330"/>
      <c r="X2377" s="343"/>
      <c r="Y2377" s="249"/>
      <c r="Z2377" s="330"/>
      <c r="AA2377" s="343"/>
      <c r="AB2377" s="249"/>
      <c r="AC2377" s="330"/>
      <c r="AD2377" s="343"/>
      <c r="AE2377" s="249"/>
      <c r="AF2377" s="330"/>
      <c r="AG2377" s="343"/>
      <c r="AH2377" s="249"/>
      <c r="AI2377" s="330"/>
      <c r="AJ2377" s="343"/>
      <c r="AK2377" s="249"/>
      <c r="AL2377" s="330"/>
      <c r="AM2377" s="343"/>
      <c r="AN2377" s="249"/>
      <c r="AO2377" s="330"/>
      <c r="AP2377" s="343"/>
      <c r="AQ2377" s="249"/>
      <c r="AR2377" s="330"/>
      <c r="AS2377" s="343"/>
      <c r="AT2377" s="249"/>
      <c r="AU2377" s="330"/>
    </row>
    <row r="2378" spans="2:47">
      <c r="B2378" s="247">
        <f>'Table S2 Compound Identifiers'!C2380</f>
        <v>0</v>
      </c>
      <c r="C2378" s="247">
        <f>COUNTIF($D$6:D2378,"&lt;&gt;"&amp;"")</f>
        <v>2373</v>
      </c>
      <c r="D2378" s="247">
        <f>'Table S2 Compound Identifiers'!B2380</f>
        <v>0</v>
      </c>
      <c r="E2378" s="247"/>
      <c r="F2378" s="248"/>
      <c r="G2378" s="249"/>
      <c r="H2378" s="330"/>
      <c r="I2378" s="328"/>
      <c r="J2378" s="249"/>
      <c r="K2378" s="330"/>
      <c r="L2378" s="250"/>
      <c r="M2378" s="249"/>
      <c r="N2378" s="330"/>
      <c r="O2378" s="250"/>
      <c r="P2378" s="249"/>
      <c r="Q2378" s="330"/>
      <c r="R2378" s="250"/>
      <c r="S2378" s="249"/>
      <c r="T2378" s="330"/>
      <c r="U2378" s="250"/>
      <c r="V2378" s="249"/>
      <c r="W2378" s="330"/>
      <c r="X2378" s="343"/>
      <c r="Y2378" s="249"/>
      <c r="Z2378" s="330"/>
      <c r="AA2378" s="343"/>
      <c r="AB2378" s="249"/>
      <c r="AC2378" s="330"/>
      <c r="AD2378" s="343"/>
      <c r="AE2378" s="249"/>
      <c r="AF2378" s="330"/>
      <c r="AG2378" s="343"/>
      <c r="AH2378" s="249"/>
      <c r="AI2378" s="330"/>
      <c r="AJ2378" s="343"/>
      <c r="AK2378" s="249"/>
      <c r="AL2378" s="330"/>
      <c r="AM2378" s="343"/>
      <c r="AN2378" s="249"/>
      <c r="AO2378" s="330"/>
      <c r="AP2378" s="343"/>
      <c r="AQ2378" s="249"/>
      <c r="AR2378" s="330"/>
      <c r="AS2378" s="343"/>
      <c r="AT2378" s="249"/>
      <c r="AU2378" s="330"/>
    </row>
    <row r="2379" spans="2:47">
      <c r="B2379" s="247">
        <f>'Table S2 Compound Identifiers'!C2381</f>
        <v>0</v>
      </c>
      <c r="C2379" s="247">
        <f>COUNTIF($D$6:D2379,"&lt;&gt;"&amp;"")</f>
        <v>2374</v>
      </c>
      <c r="D2379" s="247">
        <f>'Table S2 Compound Identifiers'!B2381</f>
        <v>0</v>
      </c>
      <c r="E2379" s="247"/>
      <c r="F2379" s="248"/>
      <c r="G2379" s="249"/>
      <c r="H2379" s="330"/>
      <c r="I2379" s="328"/>
      <c r="J2379" s="249"/>
      <c r="K2379" s="330"/>
      <c r="L2379" s="250"/>
      <c r="M2379" s="249"/>
      <c r="N2379" s="330"/>
      <c r="O2379" s="250"/>
      <c r="P2379" s="249"/>
      <c r="Q2379" s="330"/>
      <c r="R2379" s="250"/>
      <c r="S2379" s="249"/>
      <c r="T2379" s="330"/>
      <c r="U2379" s="250"/>
      <c r="V2379" s="249"/>
      <c r="W2379" s="330"/>
      <c r="X2379" s="343"/>
      <c r="Y2379" s="249"/>
      <c r="Z2379" s="330"/>
      <c r="AA2379" s="343"/>
      <c r="AB2379" s="249"/>
      <c r="AC2379" s="330"/>
      <c r="AD2379" s="343"/>
      <c r="AE2379" s="249"/>
      <c r="AF2379" s="330"/>
      <c r="AG2379" s="343"/>
      <c r="AH2379" s="249"/>
      <c r="AI2379" s="330"/>
      <c r="AJ2379" s="343"/>
      <c r="AK2379" s="249"/>
      <c r="AL2379" s="330"/>
      <c r="AM2379" s="343"/>
      <c r="AN2379" s="249"/>
      <c r="AO2379" s="330"/>
      <c r="AP2379" s="343"/>
      <c r="AQ2379" s="249"/>
      <c r="AR2379" s="330"/>
      <c r="AS2379" s="343"/>
      <c r="AT2379" s="249"/>
      <c r="AU2379" s="330"/>
    </row>
    <row r="2380" spans="2:47">
      <c r="B2380" s="247">
        <f>'Table S2 Compound Identifiers'!C2382</f>
        <v>0</v>
      </c>
      <c r="C2380" s="247">
        <f>COUNTIF($D$6:D2380,"&lt;&gt;"&amp;"")</f>
        <v>2375</v>
      </c>
      <c r="D2380" s="247">
        <f>'Table S2 Compound Identifiers'!B2382</f>
        <v>0</v>
      </c>
      <c r="E2380" s="247"/>
      <c r="F2380" s="248"/>
      <c r="G2380" s="249"/>
      <c r="H2380" s="330"/>
      <c r="I2380" s="328"/>
      <c r="J2380" s="249"/>
      <c r="K2380" s="330"/>
      <c r="L2380" s="250"/>
      <c r="M2380" s="249"/>
      <c r="N2380" s="330"/>
      <c r="O2380" s="250"/>
      <c r="P2380" s="249"/>
      <c r="Q2380" s="330"/>
      <c r="R2380" s="250"/>
      <c r="S2380" s="249"/>
      <c r="T2380" s="330"/>
      <c r="U2380" s="250"/>
      <c r="V2380" s="249"/>
      <c r="W2380" s="330"/>
      <c r="X2380" s="343"/>
      <c r="Y2380" s="249"/>
      <c r="Z2380" s="330"/>
      <c r="AA2380" s="343"/>
      <c r="AB2380" s="249"/>
      <c r="AC2380" s="330"/>
      <c r="AD2380" s="343"/>
      <c r="AE2380" s="249"/>
      <c r="AF2380" s="330"/>
      <c r="AG2380" s="343"/>
      <c r="AH2380" s="249"/>
      <c r="AI2380" s="330"/>
      <c r="AJ2380" s="343"/>
      <c r="AK2380" s="249"/>
      <c r="AL2380" s="330"/>
      <c r="AM2380" s="343"/>
      <c r="AN2380" s="249"/>
      <c r="AO2380" s="330"/>
      <c r="AP2380" s="343"/>
      <c r="AQ2380" s="249"/>
      <c r="AR2380" s="330"/>
      <c r="AS2380" s="343"/>
      <c r="AT2380" s="249"/>
      <c r="AU2380" s="330"/>
    </row>
    <row r="2381" spans="2:47">
      <c r="B2381" s="247">
        <f>'Table S2 Compound Identifiers'!C2383</f>
        <v>0</v>
      </c>
      <c r="C2381" s="247">
        <f>COUNTIF($D$6:D2381,"&lt;&gt;"&amp;"")</f>
        <v>2376</v>
      </c>
      <c r="D2381" s="247">
        <f>'Table S2 Compound Identifiers'!B2383</f>
        <v>0</v>
      </c>
      <c r="E2381" s="247"/>
      <c r="F2381" s="248"/>
      <c r="G2381" s="249"/>
      <c r="H2381" s="330"/>
      <c r="I2381" s="328"/>
      <c r="J2381" s="249"/>
      <c r="K2381" s="330"/>
      <c r="L2381" s="250"/>
      <c r="M2381" s="249"/>
      <c r="N2381" s="330"/>
      <c r="O2381" s="250"/>
      <c r="P2381" s="249"/>
      <c r="Q2381" s="330"/>
      <c r="R2381" s="250"/>
      <c r="S2381" s="249"/>
      <c r="T2381" s="330"/>
      <c r="U2381" s="250"/>
      <c r="V2381" s="249"/>
      <c r="W2381" s="330"/>
      <c r="X2381" s="343"/>
      <c r="Y2381" s="249"/>
      <c r="Z2381" s="330"/>
      <c r="AA2381" s="343"/>
      <c r="AB2381" s="249"/>
      <c r="AC2381" s="330"/>
      <c r="AD2381" s="343"/>
      <c r="AE2381" s="249"/>
      <c r="AF2381" s="330"/>
      <c r="AG2381" s="343"/>
      <c r="AH2381" s="249"/>
      <c r="AI2381" s="330"/>
      <c r="AJ2381" s="343"/>
      <c r="AK2381" s="249"/>
      <c r="AL2381" s="330"/>
      <c r="AM2381" s="343"/>
      <c r="AN2381" s="249"/>
      <c r="AO2381" s="330"/>
      <c r="AP2381" s="343"/>
      <c r="AQ2381" s="249"/>
      <c r="AR2381" s="330"/>
      <c r="AS2381" s="343"/>
      <c r="AT2381" s="249"/>
      <c r="AU2381" s="330"/>
    </row>
    <row r="2382" spans="2:47">
      <c r="B2382" s="247">
        <f>'Table S2 Compound Identifiers'!C2384</f>
        <v>0</v>
      </c>
      <c r="C2382" s="247">
        <f>COUNTIF($D$6:D2382,"&lt;&gt;"&amp;"")</f>
        <v>2377</v>
      </c>
      <c r="D2382" s="247">
        <f>'Table S2 Compound Identifiers'!B2384</f>
        <v>0</v>
      </c>
      <c r="E2382" s="247"/>
      <c r="F2382" s="248"/>
      <c r="G2382" s="249"/>
      <c r="H2382" s="330"/>
      <c r="I2382" s="328"/>
      <c r="J2382" s="249"/>
      <c r="K2382" s="330"/>
      <c r="L2382" s="250"/>
      <c r="M2382" s="249"/>
      <c r="N2382" s="330"/>
      <c r="O2382" s="250"/>
      <c r="P2382" s="249"/>
      <c r="Q2382" s="330"/>
      <c r="R2382" s="250"/>
      <c r="S2382" s="249"/>
      <c r="T2382" s="330"/>
      <c r="U2382" s="250"/>
      <c r="V2382" s="249"/>
      <c r="W2382" s="330"/>
      <c r="X2382" s="343"/>
      <c r="Y2382" s="249"/>
      <c r="Z2382" s="330"/>
      <c r="AA2382" s="343"/>
      <c r="AB2382" s="249"/>
      <c r="AC2382" s="330"/>
      <c r="AD2382" s="343"/>
      <c r="AE2382" s="249"/>
      <c r="AF2382" s="330"/>
      <c r="AG2382" s="343"/>
      <c r="AH2382" s="249"/>
      <c r="AI2382" s="330"/>
      <c r="AJ2382" s="343"/>
      <c r="AK2382" s="249"/>
      <c r="AL2382" s="330"/>
      <c r="AM2382" s="343"/>
      <c r="AN2382" s="249"/>
      <c r="AO2382" s="330"/>
      <c r="AP2382" s="343"/>
      <c r="AQ2382" s="249"/>
      <c r="AR2382" s="330"/>
      <c r="AS2382" s="343"/>
      <c r="AT2382" s="249"/>
      <c r="AU2382" s="330"/>
    </row>
    <row r="2383" spans="2:47">
      <c r="B2383" s="247">
        <f>'Table S2 Compound Identifiers'!C2385</f>
        <v>0</v>
      </c>
      <c r="C2383" s="247">
        <f>COUNTIF($D$6:D2383,"&lt;&gt;"&amp;"")</f>
        <v>2378</v>
      </c>
      <c r="D2383" s="247">
        <f>'Table S2 Compound Identifiers'!B2385</f>
        <v>0</v>
      </c>
      <c r="E2383" s="247"/>
      <c r="F2383" s="248"/>
      <c r="G2383" s="249"/>
      <c r="H2383" s="330"/>
      <c r="I2383" s="328"/>
      <c r="J2383" s="249"/>
      <c r="K2383" s="330"/>
      <c r="L2383" s="250"/>
      <c r="M2383" s="249"/>
      <c r="N2383" s="330"/>
      <c r="O2383" s="250"/>
      <c r="P2383" s="249"/>
      <c r="Q2383" s="330"/>
      <c r="R2383" s="250"/>
      <c r="S2383" s="249"/>
      <c r="T2383" s="330"/>
      <c r="U2383" s="250"/>
      <c r="V2383" s="249"/>
      <c r="W2383" s="330"/>
      <c r="X2383" s="343"/>
      <c r="Y2383" s="249"/>
      <c r="Z2383" s="330"/>
      <c r="AA2383" s="343"/>
      <c r="AB2383" s="249"/>
      <c r="AC2383" s="330"/>
      <c r="AD2383" s="343"/>
      <c r="AE2383" s="249"/>
      <c r="AF2383" s="330"/>
      <c r="AG2383" s="343"/>
      <c r="AH2383" s="249"/>
      <c r="AI2383" s="330"/>
      <c r="AJ2383" s="343"/>
      <c r="AK2383" s="249"/>
      <c r="AL2383" s="330"/>
      <c r="AM2383" s="343"/>
      <c r="AN2383" s="249"/>
      <c r="AO2383" s="330"/>
      <c r="AP2383" s="343"/>
      <c r="AQ2383" s="249"/>
      <c r="AR2383" s="330"/>
      <c r="AS2383" s="343"/>
      <c r="AT2383" s="249"/>
      <c r="AU2383" s="330"/>
    </row>
    <row r="2384" spans="2:47">
      <c r="B2384" s="247">
        <f>'Table S2 Compound Identifiers'!C2386</f>
        <v>0</v>
      </c>
      <c r="C2384" s="247">
        <f>COUNTIF($D$6:D2384,"&lt;&gt;"&amp;"")</f>
        <v>2379</v>
      </c>
      <c r="D2384" s="247">
        <f>'Table S2 Compound Identifiers'!B2386</f>
        <v>0</v>
      </c>
      <c r="E2384" s="247"/>
      <c r="F2384" s="248"/>
      <c r="G2384" s="249"/>
      <c r="H2384" s="330"/>
      <c r="I2384" s="328"/>
      <c r="J2384" s="249"/>
      <c r="K2384" s="330"/>
      <c r="L2384" s="250"/>
      <c r="M2384" s="249"/>
      <c r="N2384" s="330"/>
      <c r="O2384" s="250"/>
      <c r="P2384" s="249"/>
      <c r="Q2384" s="330"/>
      <c r="R2384" s="250"/>
      <c r="S2384" s="249"/>
      <c r="T2384" s="330"/>
      <c r="U2384" s="250"/>
      <c r="V2384" s="249"/>
      <c r="W2384" s="330"/>
      <c r="X2384" s="343"/>
      <c r="Y2384" s="249"/>
      <c r="Z2384" s="330"/>
      <c r="AA2384" s="343"/>
      <c r="AB2384" s="249"/>
      <c r="AC2384" s="330"/>
      <c r="AD2384" s="343"/>
      <c r="AE2384" s="249"/>
      <c r="AF2384" s="330"/>
      <c r="AG2384" s="343"/>
      <c r="AH2384" s="249"/>
      <c r="AI2384" s="330"/>
      <c r="AJ2384" s="343"/>
      <c r="AK2384" s="249"/>
      <c r="AL2384" s="330"/>
      <c r="AM2384" s="343"/>
      <c r="AN2384" s="249"/>
      <c r="AO2384" s="330"/>
      <c r="AP2384" s="343"/>
      <c r="AQ2384" s="249"/>
      <c r="AR2384" s="330"/>
      <c r="AS2384" s="343"/>
      <c r="AT2384" s="249"/>
      <c r="AU2384" s="330"/>
    </row>
    <row r="2385" spans="2:47">
      <c r="B2385" s="247">
        <f>'Table S2 Compound Identifiers'!C2387</f>
        <v>0</v>
      </c>
      <c r="C2385" s="247">
        <f>COUNTIF($D$6:D2385,"&lt;&gt;"&amp;"")</f>
        <v>2380</v>
      </c>
      <c r="D2385" s="247">
        <f>'Table S2 Compound Identifiers'!B2387</f>
        <v>0</v>
      </c>
      <c r="E2385" s="247"/>
      <c r="F2385" s="248"/>
      <c r="G2385" s="249"/>
      <c r="H2385" s="330"/>
      <c r="I2385" s="328"/>
      <c r="J2385" s="249"/>
      <c r="K2385" s="330"/>
      <c r="L2385" s="250"/>
      <c r="M2385" s="249"/>
      <c r="N2385" s="330"/>
      <c r="O2385" s="250"/>
      <c r="P2385" s="249"/>
      <c r="Q2385" s="330"/>
      <c r="R2385" s="250"/>
      <c r="S2385" s="249"/>
      <c r="T2385" s="330"/>
      <c r="U2385" s="250"/>
      <c r="V2385" s="249"/>
      <c r="W2385" s="330"/>
      <c r="X2385" s="343"/>
      <c r="Y2385" s="249"/>
      <c r="Z2385" s="330"/>
      <c r="AA2385" s="343"/>
      <c r="AB2385" s="249"/>
      <c r="AC2385" s="330"/>
      <c r="AD2385" s="343"/>
      <c r="AE2385" s="249"/>
      <c r="AF2385" s="330"/>
      <c r="AG2385" s="343"/>
      <c r="AH2385" s="249"/>
      <c r="AI2385" s="330"/>
      <c r="AJ2385" s="343"/>
      <c r="AK2385" s="249"/>
      <c r="AL2385" s="330"/>
      <c r="AM2385" s="343"/>
      <c r="AN2385" s="249"/>
      <c r="AO2385" s="330"/>
      <c r="AP2385" s="343"/>
      <c r="AQ2385" s="249"/>
      <c r="AR2385" s="330"/>
      <c r="AS2385" s="343"/>
      <c r="AT2385" s="249"/>
      <c r="AU2385" s="330"/>
    </row>
    <row r="2386" spans="2:47">
      <c r="B2386" s="247">
        <f>'Table S2 Compound Identifiers'!C2388</f>
        <v>0</v>
      </c>
      <c r="C2386" s="247">
        <f>COUNTIF($D$6:D2386,"&lt;&gt;"&amp;"")</f>
        <v>2381</v>
      </c>
      <c r="D2386" s="247">
        <f>'Table S2 Compound Identifiers'!B2388</f>
        <v>0</v>
      </c>
      <c r="E2386" s="247"/>
      <c r="F2386" s="248"/>
      <c r="G2386" s="249"/>
      <c r="H2386" s="330"/>
      <c r="I2386" s="328"/>
      <c r="J2386" s="249"/>
      <c r="K2386" s="330"/>
      <c r="L2386" s="250"/>
      <c r="M2386" s="249"/>
      <c r="N2386" s="330"/>
      <c r="O2386" s="250"/>
      <c r="P2386" s="249"/>
      <c r="Q2386" s="330"/>
      <c r="R2386" s="250"/>
      <c r="S2386" s="249"/>
      <c r="T2386" s="330"/>
      <c r="U2386" s="250"/>
      <c r="V2386" s="249"/>
      <c r="W2386" s="330"/>
      <c r="X2386" s="343"/>
      <c r="Y2386" s="249"/>
      <c r="Z2386" s="330"/>
      <c r="AA2386" s="343"/>
      <c r="AB2386" s="249"/>
      <c r="AC2386" s="330"/>
      <c r="AD2386" s="343"/>
      <c r="AE2386" s="249"/>
      <c r="AF2386" s="330"/>
      <c r="AG2386" s="343"/>
      <c r="AH2386" s="249"/>
      <c r="AI2386" s="330"/>
      <c r="AJ2386" s="343"/>
      <c r="AK2386" s="249"/>
      <c r="AL2386" s="330"/>
      <c r="AM2386" s="343"/>
      <c r="AN2386" s="249"/>
      <c r="AO2386" s="330"/>
      <c r="AP2386" s="343"/>
      <c r="AQ2386" s="249"/>
      <c r="AR2386" s="330"/>
      <c r="AS2386" s="343"/>
      <c r="AT2386" s="249"/>
      <c r="AU2386" s="330"/>
    </row>
    <row r="2387" spans="2:47">
      <c r="B2387" s="247">
        <f>'Table S2 Compound Identifiers'!C2389</f>
        <v>0</v>
      </c>
      <c r="C2387" s="247">
        <f>COUNTIF($D$6:D2387,"&lt;&gt;"&amp;"")</f>
        <v>2382</v>
      </c>
      <c r="D2387" s="247">
        <f>'Table S2 Compound Identifiers'!B2389</f>
        <v>0</v>
      </c>
      <c r="E2387" s="247"/>
      <c r="F2387" s="248"/>
      <c r="G2387" s="249"/>
      <c r="H2387" s="330"/>
      <c r="I2387" s="328"/>
      <c r="J2387" s="249"/>
      <c r="K2387" s="330"/>
      <c r="L2387" s="250"/>
      <c r="M2387" s="249"/>
      <c r="N2387" s="330"/>
      <c r="O2387" s="250"/>
      <c r="P2387" s="249"/>
      <c r="Q2387" s="330"/>
      <c r="R2387" s="250"/>
      <c r="S2387" s="249"/>
      <c r="T2387" s="330"/>
      <c r="U2387" s="250"/>
      <c r="V2387" s="249"/>
      <c r="W2387" s="330"/>
      <c r="X2387" s="343"/>
      <c r="Y2387" s="249"/>
      <c r="Z2387" s="330"/>
      <c r="AA2387" s="343"/>
      <c r="AB2387" s="249"/>
      <c r="AC2387" s="330"/>
      <c r="AD2387" s="343"/>
      <c r="AE2387" s="249"/>
      <c r="AF2387" s="330"/>
      <c r="AG2387" s="343"/>
      <c r="AH2387" s="249"/>
      <c r="AI2387" s="330"/>
      <c r="AJ2387" s="343"/>
      <c r="AK2387" s="249"/>
      <c r="AL2387" s="330"/>
      <c r="AM2387" s="343"/>
      <c r="AN2387" s="249"/>
      <c r="AO2387" s="330"/>
      <c r="AP2387" s="343"/>
      <c r="AQ2387" s="249"/>
      <c r="AR2387" s="330"/>
      <c r="AS2387" s="343"/>
      <c r="AT2387" s="249"/>
      <c r="AU2387" s="330"/>
    </row>
    <row r="2388" spans="2:47">
      <c r="B2388" s="247">
        <f>'Table S2 Compound Identifiers'!C2390</f>
        <v>0</v>
      </c>
      <c r="C2388" s="247">
        <f>COUNTIF($D$6:D2388,"&lt;&gt;"&amp;"")</f>
        <v>2383</v>
      </c>
      <c r="D2388" s="247">
        <f>'Table S2 Compound Identifiers'!B2390</f>
        <v>0</v>
      </c>
      <c r="E2388" s="247"/>
      <c r="F2388" s="248"/>
      <c r="G2388" s="249"/>
      <c r="H2388" s="330"/>
      <c r="I2388" s="328"/>
      <c r="J2388" s="249"/>
      <c r="K2388" s="330"/>
      <c r="L2388" s="250"/>
      <c r="M2388" s="249"/>
      <c r="N2388" s="330"/>
      <c r="O2388" s="250"/>
      <c r="P2388" s="249"/>
      <c r="Q2388" s="330"/>
      <c r="R2388" s="250"/>
      <c r="S2388" s="249"/>
      <c r="T2388" s="330"/>
      <c r="U2388" s="250"/>
      <c r="V2388" s="249"/>
      <c r="W2388" s="330"/>
      <c r="X2388" s="343"/>
      <c r="Y2388" s="249"/>
      <c r="Z2388" s="330"/>
      <c r="AA2388" s="343"/>
      <c r="AB2388" s="249"/>
      <c r="AC2388" s="330"/>
      <c r="AD2388" s="343"/>
      <c r="AE2388" s="249"/>
      <c r="AF2388" s="330"/>
      <c r="AG2388" s="343"/>
      <c r="AH2388" s="249"/>
      <c r="AI2388" s="330"/>
      <c r="AJ2388" s="343"/>
      <c r="AK2388" s="249"/>
      <c r="AL2388" s="330"/>
      <c r="AM2388" s="343"/>
      <c r="AN2388" s="249"/>
      <c r="AO2388" s="330"/>
      <c r="AP2388" s="343"/>
      <c r="AQ2388" s="249"/>
      <c r="AR2388" s="330"/>
      <c r="AS2388" s="343"/>
      <c r="AT2388" s="249"/>
      <c r="AU2388" s="330"/>
    </row>
    <row r="2389" spans="2:47">
      <c r="B2389" s="247">
        <f>'Table S2 Compound Identifiers'!C2391</f>
        <v>0</v>
      </c>
      <c r="C2389" s="247">
        <f>COUNTIF($D$6:D2389,"&lt;&gt;"&amp;"")</f>
        <v>2384</v>
      </c>
      <c r="D2389" s="247">
        <f>'Table S2 Compound Identifiers'!B2391</f>
        <v>0</v>
      </c>
      <c r="E2389" s="247"/>
      <c r="F2389" s="248"/>
      <c r="G2389" s="249"/>
      <c r="H2389" s="330"/>
      <c r="I2389" s="328"/>
      <c r="J2389" s="249"/>
      <c r="K2389" s="330"/>
      <c r="L2389" s="250"/>
      <c r="M2389" s="249"/>
      <c r="N2389" s="330"/>
      <c r="O2389" s="250"/>
      <c r="P2389" s="249"/>
      <c r="Q2389" s="330"/>
      <c r="R2389" s="250"/>
      <c r="S2389" s="249"/>
      <c r="T2389" s="330"/>
      <c r="U2389" s="250"/>
      <c r="V2389" s="249"/>
      <c r="W2389" s="330"/>
      <c r="X2389" s="343"/>
      <c r="Y2389" s="249"/>
      <c r="Z2389" s="330"/>
      <c r="AA2389" s="343"/>
      <c r="AB2389" s="249"/>
      <c r="AC2389" s="330"/>
      <c r="AD2389" s="343"/>
      <c r="AE2389" s="249"/>
      <c r="AF2389" s="330"/>
      <c r="AG2389" s="343"/>
      <c r="AH2389" s="249"/>
      <c r="AI2389" s="330"/>
      <c r="AJ2389" s="343"/>
      <c r="AK2389" s="249"/>
      <c r="AL2389" s="330"/>
      <c r="AM2389" s="343"/>
      <c r="AN2389" s="249"/>
      <c r="AO2389" s="330"/>
      <c r="AP2389" s="343"/>
      <c r="AQ2389" s="249"/>
      <c r="AR2389" s="330"/>
      <c r="AS2389" s="343"/>
      <c r="AT2389" s="249"/>
      <c r="AU2389" s="330"/>
    </row>
    <row r="2390" spans="2:47">
      <c r="B2390" s="247">
        <f>'Table S2 Compound Identifiers'!C2392</f>
        <v>0</v>
      </c>
      <c r="C2390" s="247">
        <f>COUNTIF($D$6:D2390,"&lt;&gt;"&amp;"")</f>
        <v>2385</v>
      </c>
      <c r="D2390" s="247">
        <f>'Table S2 Compound Identifiers'!B2392</f>
        <v>0</v>
      </c>
      <c r="E2390" s="247"/>
      <c r="F2390" s="248"/>
      <c r="G2390" s="249"/>
      <c r="H2390" s="330"/>
      <c r="I2390" s="328"/>
      <c r="J2390" s="249"/>
      <c r="K2390" s="330"/>
      <c r="L2390" s="250"/>
      <c r="M2390" s="249"/>
      <c r="N2390" s="330"/>
      <c r="O2390" s="250"/>
      <c r="P2390" s="249"/>
      <c r="Q2390" s="330"/>
      <c r="R2390" s="250"/>
      <c r="S2390" s="249"/>
      <c r="T2390" s="330"/>
      <c r="U2390" s="250"/>
      <c r="V2390" s="249"/>
      <c r="W2390" s="330"/>
      <c r="X2390" s="343"/>
      <c r="Y2390" s="249"/>
      <c r="Z2390" s="330"/>
      <c r="AA2390" s="343"/>
      <c r="AB2390" s="249"/>
      <c r="AC2390" s="330"/>
      <c r="AD2390" s="343"/>
      <c r="AE2390" s="249"/>
      <c r="AF2390" s="330"/>
      <c r="AG2390" s="343"/>
      <c r="AH2390" s="249"/>
      <c r="AI2390" s="330"/>
      <c r="AJ2390" s="343"/>
      <c r="AK2390" s="249"/>
      <c r="AL2390" s="330"/>
      <c r="AM2390" s="343"/>
      <c r="AN2390" s="249"/>
      <c r="AO2390" s="330"/>
      <c r="AP2390" s="343"/>
      <c r="AQ2390" s="249"/>
      <c r="AR2390" s="330"/>
      <c r="AS2390" s="343"/>
      <c r="AT2390" s="249"/>
      <c r="AU2390" s="330"/>
    </row>
    <row r="2391" spans="2:47">
      <c r="B2391" s="247">
        <f>'Table S2 Compound Identifiers'!C2393</f>
        <v>0</v>
      </c>
      <c r="C2391" s="247">
        <f>COUNTIF($D$6:D2391,"&lt;&gt;"&amp;"")</f>
        <v>2386</v>
      </c>
      <c r="D2391" s="247">
        <f>'Table S2 Compound Identifiers'!B2393</f>
        <v>0</v>
      </c>
      <c r="E2391" s="247"/>
      <c r="F2391" s="248"/>
      <c r="G2391" s="249"/>
      <c r="H2391" s="330"/>
      <c r="I2391" s="328"/>
      <c r="J2391" s="249"/>
      <c r="K2391" s="330"/>
      <c r="L2391" s="250"/>
      <c r="M2391" s="249"/>
      <c r="N2391" s="330"/>
      <c r="O2391" s="250"/>
      <c r="P2391" s="249"/>
      <c r="Q2391" s="330"/>
      <c r="R2391" s="250"/>
      <c r="S2391" s="249"/>
      <c r="T2391" s="330"/>
      <c r="U2391" s="250"/>
      <c r="V2391" s="249"/>
      <c r="W2391" s="330"/>
      <c r="X2391" s="343"/>
      <c r="Y2391" s="249"/>
      <c r="Z2391" s="330"/>
      <c r="AA2391" s="343"/>
      <c r="AB2391" s="249"/>
      <c r="AC2391" s="330"/>
      <c r="AD2391" s="343"/>
      <c r="AE2391" s="249"/>
      <c r="AF2391" s="330"/>
      <c r="AG2391" s="343"/>
      <c r="AH2391" s="249"/>
      <c r="AI2391" s="330"/>
      <c r="AJ2391" s="343"/>
      <c r="AK2391" s="249"/>
      <c r="AL2391" s="330"/>
      <c r="AM2391" s="343"/>
      <c r="AN2391" s="249"/>
      <c r="AO2391" s="330"/>
      <c r="AP2391" s="343"/>
      <c r="AQ2391" s="249"/>
      <c r="AR2391" s="330"/>
      <c r="AS2391" s="343"/>
      <c r="AT2391" s="249"/>
      <c r="AU2391" s="330"/>
    </row>
    <row r="2392" spans="2:47">
      <c r="B2392" s="247">
        <f>'Table S2 Compound Identifiers'!C2394</f>
        <v>0</v>
      </c>
      <c r="C2392" s="247">
        <f>COUNTIF($D$6:D2392,"&lt;&gt;"&amp;"")</f>
        <v>2387</v>
      </c>
      <c r="D2392" s="247">
        <f>'Table S2 Compound Identifiers'!B2394</f>
        <v>0</v>
      </c>
      <c r="E2392" s="247"/>
      <c r="F2392" s="248"/>
      <c r="G2392" s="249"/>
      <c r="H2392" s="330"/>
      <c r="I2392" s="328"/>
      <c r="J2392" s="249"/>
      <c r="K2392" s="330"/>
      <c r="L2392" s="250"/>
      <c r="M2392" s="249"/>
      <c r="N2392" s="330"/>
      <c r="O2392" s="250"/>
      <c r="P2392" s="249"/>
      <c r="Q2392" s="330"/>
      <c r="R2392" s="250"/>
      <c r="S2392" s="249"/>
      <c r="T2392" s="330"/>
      <c r="U2392" s="250"/>
      <c r="V2392" s="249"/>
      <c r="W2392" s="330"/>
      <c r="X2392" s="343"/>
      <c r="Y2392" s="249"/>
      <c r="Z2392" s="330"/>
      <c r="AA2392" s="343"/>
      <c r="AB2392" s="249"/>
      <c r="AC2392" s="330"/>
      <c r="AD2392" s="343"/>
      <c r="AE2392" s="249"/>
      <c r="AF2392" s="330"/>
      <c r="AG2392" s="343"/>
      <c r="AH2392" s="249"/>
      <c r="AI2392" s="330"/>
      <c r="AJ2392" s="343"/>
      <c r="AK2392" s="249"/>
      <c r="AL2392" s="330"/>
      <c r="AM2392" s="343"/>
      <c r="AN2392" s="249"/>
      <c r="AO2392" s="330"/>
      <c r="AP2392" s="343"/>
      <c r="AQ2392" s="249"/>
      <c r="AR2392" s="330"/>
      <c r="AS2392" s="343"/>
      <c r="AT2392" s="249"/>
      <c r="AU2392" s="330"/>
    </row>
    <row r="2393" spans="2:47">
      <c r="B2393" s="247">
        <f>'Table S2 Compound Identifiers'!C2395</f>
        <v>0</v>
      </c>
      <c r="C2393" s="247">
        <f>COUNTIF($D$6:D2393,"&lt;&gt;"&amp;"")</f>
        <v>2388</v>
      </c>
      <c r="D2393" s="247">
        <f>'Table S2 Compound Identifiers'!B2395</f>
        <v>0</v>
      </c>
      <c r="E2393" s="247"/>
      <c r="F2393" s="248"/>
      <c r="G2393" s="249"/>
      <c r="H2393" s="330"/>
      <c r="I2393" s="328"/>
      <c r="J2393" s="249"/>
      <c r="K2393" s="330"/>
      <c r="L2393" s="250"/>
      <c r="M2393" s="249"/>
      <c r="N2393" s="330"/>
      <c r="O2393" s="250"/>
      <c r="P2393" s="249"/>
      <c r="Q2393" s="330"/>
      <c r="R2393" s="250"/>
      <c r="S2393" s="249"/>
      <c r="T2393" s="330"/>
      <c r="U2393" s="250"/>
      <c r="V2393" s="249"/>
      <c r="W2393" s="330"/>
      <c r="X2393" s="343"/>
      <c r="Y2393" s="249"/>
      <c r="Z2393" s="330"/>
      <c r="AA2393" s="343"/>
      <c r="AB2393" s="249"/>
      <c r="AC2393" s="330"/>
      <c r="AD2393" s="343"/>
      <c r="AE2393" s="249"/>
      <c r="AF2393" s="330"/>
      <c r="AG2393" s="343"/>
      <c r="AH2393" s="249"/>
      <c r="AI2393" s="330"/>
      <c r="AJ2393" s="343"/>
      <c r="AK2393" s="249"/>
      <c r="AL2393" s="330"/>
      <c r="AM2393" s="343"/>
      <c r="AN2393" s="249"/>
      <c r="AO2393" s="330"/>
      <c r="AP2393" s="343"/>
      <c r="AQ2393" s="249"/>
      <c r="AR2393" s="330"/>
      <c r="AS2393" s="343"/>
      <c r="AT2393" s="249"/>
      <c r="AU2393" s="330"/>
    </row>
    <row r="2394" spans="2:47">
      <c r="B2394" s="247">
        <f>'Table S2 Compound Identifiers'!C2396</f>
        <v>0</v>
      </c>
      <c r="C2394" s="247">
        <f>COUNTIF($D$6:D2394,"&lt;&gt;"&amp;"")</f>
        <v>2389</v>
      </c>
      <c r="D2394" s="247">
        <f>'Table S2 Compound Identifiers'!B2396</f>
        <v>0</v>
      </c>
      <c r="E2394" s="247"/>
      <c r="F2394" s="248"/>
      <c r="G2394" s="249"/>
      <c r="H2394" s="330"/>
      <c r="I2394" s="328"/>
      <c r="J2394" s="249"/>
      <c r="K2394" s="330"/>
      <c r="L2394" s="250"/>
      <c r="M2394" s="249"/>
      <c r="N2394" s="330"/>
      <c r="O2394" s="250"/>
      <c r="P2394" s="249"/>
      <c r="Q2394" s="330"/>
      <c r="R2394" s="250"/>
      <c r="S2394" s="249"/>
      <c r="T2394" s="330"/>
      <c r="U2394" s="250"/>
      <c r="V2394" s="249"/>
      <c r="W2394" s="330"/>
      <c r="X2394" s="343"/>
      <c r="Y2394" s="249"/>
      <c r="Z2394" s="330"/>
      <c r="AA2394" s="343"/>
      <c r="AB2394" s="249"/>
      <c r="AC2394" s="330"/>
      <c r="AD2394" s="343"/>
      <c r="AE2394" s="249"/>
      <c r="AF2394" s="330"/>
      <c r="AG2394" s="343"/>
      <c r="AH2394" s="249"/>
      <c r="AI2394" s="330"/>
      <c r="AJ2394" s="343"/>
      <c r="AK2394" s="249"/>
      <c r="AL2394" s="330"/>
      <c r="AM2394" s="343"/>
      <c r="AN2394" s="249"/>
      <c r="AO2394" s="330"/>
      <c r="AP2394" s="343"/>
      <c r="AQ2394" s="249"/>
      <c r="AR2394" s="330"/>
      <c r="AS2394" s="343"/>
      <c r="AT2394" s="249"/>
      <c r="AU2394" s="330"/>
    </row>
    <row r="2395" spans="2:47">
      <c r="B2395" s="247">
        <f>'Table S2 Compound Identifiers'!C2397</f>
        <v>0</v>
      </c>
      <c r="C2395" s="247">
        <f>COUNTIF($D$6:D2395,"&lt;&gt;"&amp;"")</f>
        <v>2390</v>
      </c>
      <c r="D2395" s="247">
        <f>'Table S2 Compound Identifiers'!B2397</f>
        <v>0</v>
      </c>
      <c r="E2395" s="247"/>
      <c r="F2395" s="248"/>
      <c r="G2395" s="249"/>
      <c r="H2395" s="330"/>
      <c r="I2395" s="328"/>
      <c r="J2395" s="249"/>
      <c r="K2395" s="330"/>
      <c r="L2395" s="250"/>
      <c r="M2395" s="249"/>
      <c r="N2395" s="330"/>
      <c r="O2395" s="250"/>
      <c r="P2395" s="249"/>
      <c r="Q2395" s="330"/>
      <c r="R2395" s="250"/>
      <c r="S2395" s="249"/>
      <c r="T2395" s="330"/>
      <c r="U2395" s="250"/>
      <c r="V2395" s="249"/>
      <c r="W2395" s="330"/>
      <c r="X2395" s="343"/>
      <c r="Y2395" s="249"/>
      <c r="Z2395" s="330"/>
      <c r="AA2395" s="343"/>
      <c r="AB2395" s="249"/>
      <c r="AC2395" s="330"/>
      <c r="AD2395" s="343"/>
      <c r="AE2395" s="249"/>
      <c r="AF2395" s="330"/>
      <c r="AG2395" s="343"/>
      <c r="AH2395" s="249"/>
      <c r="AI2395" s="330"/>
      <c r="AJ2395" s="343"/>
      <c r="AK2395" s="249"/>
      <c r="AL2395" s="330"/>
      <c r="AM2395" s="343"/>
      <c r="AN2395" s="249"/>
      <c r="AO2395" s="330"/>
      <c r="AP2395" s="343"/>
      <c r="AQ2395" s="249"/>
      <c r="AR2395" s="330"/>
      <c r="AS2395" s="343"/>
      <c r="AT2395" s="249"/>
      <c r="AU2395" s="330"/>
    </row>
    <row r="2396" spans="2:47">
      <c r="B2396" s="247">
        <f>'Table S2 Compound Identifiers'!C2398</f>
        <v>0</v>
      </c>
      <c r="C2396" s="247">
        <f>COUNTIF($D$6:D2396,"&lt;&gt;"&amp;"")</f>
        <v>2391</v>
      </c>
      <c r="D2396" s="247">
        <f>'Table S2 Compound Identifiers'!B2398</f>
        <v>0</v>
      </c>
      <c r="E2396" s="247"/>
      <c r="F2396" s="248"/>
      <c r="G2396" s="249"/>
      <c r="H2396" s="330"/>
      <c r="I2396" s="328"/>
      <c r="J2396" s="249"/>
      <c r="K2396" s="330"/>
      <c r="L2396" s="250"/>
      <c r="M2396" s="249"/>
      <c r="N2396" s="330"/>
      <c r="O2396" s="250"/>
      <c r="P2396" s="249"/>
      <c r="Q2396" s="330"/>
      <c r="R2396" s="250"/>
      <c r="S2396" s="249"/>
      <c r="T2396" s="330"/>
      <c r="U2396" s="250"/>
      <c r="V2396" s="249"/>
      <c r="W2396" s="330"/>
      <c r="X2396" s="343"/>
      <c r="Y2396" s="249"/>
      <c r="Z2396" s="330"/>
      <c r="AA2396" s="343"/>
      <c r="AB2396" s="249"/>
      <c r="AC2396" s="330"/>
      <c r="AD2396" s="343"/>
      <c r="AE2396" s="249"/>
      <c r="AF2396" s="330"/>
      <c r="AG2396" s="343"/>
      <c r="AH2396" s="249"/>
      <c r="AI2396" s="330"/>
      <c r="AJ2396" s="343"/>
      <c r="AK2396" s="249"/>
      <c r="AL2396" s="330"/>
      <c r="AM2396" s="343"/>
      <c r="AN2396" s="249"/>
      <c r="AO2396" s="330"/>
      <c r="AP2396" s="343"/>
      <c r="AQ2396" s="249"/>
      <c r="AR2396" s="330"/>
      <c r="AS2396" s="343"/>
      <c r="AT2396" s="249"/>
      <c r="AU2396" s="330"/>
    </row>
    <row r="2397" spans="2:47">
      <c r="B2397" s="247">
        <f>'Table S2 Compound Identifiers'!C2399</f>
        <v>0</v>
      </c>
      <c r="C2397" s="247">
        <f>COUNTIF($D$6:D2397,"&lt;&gt;"&amp;"")</f>
        <v>2392</v>
      </c>
      <c r="D2397" s="247">
        <f>'Table S2 Compound Identifiers'!B2399</f>
        <v>0</v>
      </c>
      <c r="E2397" s="247"/>
      <c r="F2397" s="248"/>
      <c r="G2397" s="249"/>
      <c r="H2397" s="330"/>
      <c r="I2397" s="328"/>
      <c r="J2397" s="249"/>
      <c r="K2397" s="330"/>
      <c r="L2397" s="250"/>
      <c r="M2397" s="249"/>
      <c r="N2397" s="330"/>
      <c r="O2397" s="250"/>
      <c r="P2397" s="249"/>
      <c r="Q2397" s="330"/>
      <c r="R2397" s="250"/>
      <c r="S2397" s="249"/>
      <c r="T2397" s="330"/>
      <c r="U2397" s="250"/>
      <c r="V2397" s="249"/>
      <c r="W2397" s="330"/>
      <c r="X2397" s="343"/>
      <c r="Y2397" s="249"/>
      <c r="Z2397" s="330"/>
      <c r="AA2397" s="343"/>
      <c r="AB2397" s="249"/>
      <c r="AC2397" s="330"/>
      <c r="AD2397" s="343"/>
      <c r="AE2397" s="249"/>
      <c r="AF2397" s="330"/>
      <c r="AG2397" s="343"/>
      <c r="AH2397" s="249"/>
      <c r="AI2397" s="330"/>
      <c r="AJ2397" s="343"/>
      <c r="AK2397" s="249"/>
      <c r="AL2397" s="330"/>
      <c r="AM2397" s="343"/>
      <c r="AN2397" s="249"/>
      <c r="AO2397" s="330"/>
      <c r="AP2397" s="343"/>
      <c r="AQ2397" s="249"/>
      <c r="AR2397" s="330"/>
      <c r="AS2397" s="343"/>
      <c r="AT2397" s="249"/>
      <c r="AU2397" s="330"/>
    </row>
    <row r="2398" spans="2:47">
      <c r="B2398" s="247">
        <f>'Table S2 Compound Identifiers'!C2400</f>
        <v>0</v>
      </c>
      <c r="C2398" s="247">
        <f>COUNTIF($D$6:D2398,"&lt;&gt;"&amp;"")</f>
        <v>2393</v>
      </c>
      <c r="D2398" s="247">
        <f>'Table S2 Compound Identifiers'!B2400</f>
        <v>0</v>
      </c>
      <c r="E2398" s="247"/>
      <c r="F2398" s="248"/>
      <c r="G2398" s="249"/>
      <c r="H2398" s="330"/>
      <c r="I2398" s="328"/>
      <c r="J2398" s="249"/>
      <c r="K2398" s="330"/>
      <c r="L2398" s="250"/>
      <c r="M2398" s="249"/>
      <c r="N2398" s="330"/>
      <c r="O2398" s="250"/>
      <c r="P2398" s="249"/>
      <c r="Q2398" s="330"/>
      <c r="R2398" s="250"/>
      <c r="S2398" s="249"/>
      <c r="T2398" s="330"/>
      <c r="U2398" s="250"/>
      <c r="V2398" s="249"/>
      <c r="W2398" s="330"/>
      <c r="X2398" s="343"/>
      <c r="Y2398" s="249"/>
      <c r="Z2398" s="330"/>
      <c r="AA2398" s="343"/>
      <c r="AB2398" s="249"/>
      <c r="AC2398" s="330"/>
      <c r="AD2398" s="343"/>
      <c r="AE2398" s="249"/>
      <c r="AF2398" s="330"/>
      <c r="AG2398" s="343"/>
      <c r="AH2398" s="249"/>
      <c r="AI2398" s="330"/>
      <c r="AJ2398" s="343"/>
      <c r="AK2398" s="249"/>
      <c r="AL2398" s="330"/>
      <c r="AM2398" s="343"/>
      <c r="AN2398" s="249"/>
      <c r="AO2398" s="330"/>
      <c r="AP2398" s="343"/>
      <c r="AQ2398" s="249"/>
      <c r="AR2398" s="330"/>
      <c r="AS2398" s="343"/>
      <c r="AT2398" s="249"/>
      <c r="AU2398" s="330"/>
    </row>
    <row r="2399" spans="2:47">
      <c r="B2399" s="247">
        <f>'Table S2 Compound Identifiers'!C2401</f>
        <v>0</v>
      </c>
      <c r="C2399" s="247">
        <f>COUNTIF($D$6:D2399,"&lt;&gt;"&amp;"")</f>
        <v>2394</v>
      </c>
      <c r="D2399" s="247">
        <f>'Table S2 Compound Identifiers'!B2401</f>
        <v>0</v>
      </c>
      <c r="E2399" s="247"/>
      <c r="F2399" s="248"/>
      <c r="G2399" s="249"/>
      <c r="H2399" s="330"/>
      <c r="I2399" s="328"/>
      <c r="J2399" s="249"/>
      <c r="K2399" s="330"/>
      <c r="L2399" s="250"/>
      <c r="M2399" s="249"/>
      <c r="N2399" s="330"/>
      <c r="O2399" s="250"/>
      <c r="P2399" s="249"/>
      <c r="Q2399" s="330"/>
      <c r="R2399" s="250"/>
      <c r="S2399" s="249"/>
      <c r="T2399" s="330"/>
      <c r="U2399" s="250"/>
      <c r="V2399" s="249"/>
      <c r="W2399" s="330"/>
      <c r="X2399" s="343"/>
      <c r="Y2399" s="249"/>
      <c r="Z2399" s="330"/>
      <c r="AA2399" s="343"/>
      <c r="AB2399" s="249"/>
      <c r="AC2399" s="330"/>
      <c r="AD2399" s="343"/>
      <c r="AE2399" s="249"/>
      <c r="AF2399" s="330"/>
      <c r="AG2399" s="343"/>
      <c r="AH2399" s="249"/>
      <c r="AI2399" s="330"/>
      <c r="AJ2399" s="343"/>
      <c r="AK2399" s="249"/>
      <c r="AL2399" s="330"/>
      <c r="AM2399" s="343"/>
      <c r="AN2399" s="249"/>
      <c r="AO2399" s="330"/>
      <c r="AP2399" s="343"/>
      <c r="AQ2399" s="249"/>
      <c r="AR2399" s="330"/>
      <c r="AS2399" s="343"/>
      <c r="AT2399" s="249"/>
      <c r="AU2399" s="330"/>
    </row>
    <row r="2400" spans="2:47">
      <c r="B2400" s="247">
        <f>'Table S2 Compound Identifiers'!C2402</f>
        <v>0</v>
      </c>
      <c r="C2400" s="247">
        <f>COUNTIF($D$6:D2400,"&lt;&gt;"&amp;"")</f>
        <v>2395</v>
      </c>
      <c r="D2400" s="247">
        <f>'Table S2 Compound Identifiers'!B2402</f>
        <v>0</v>
      </c>
      <c r="E2400" s="247"/>
      <c r="F2400" s="248"/>
      <c r="G2400" s="249"/>
      <c r="H2400" s="330"/>
      <c r="I2400" s="328"/>
      <c r="J2400" s="249"/>
      <c r="K2400" s="330"/>
      <c r="L2400" s="250"/>
      <c r="M2400" s="249"/>
      <c r="N2400" s="330"/>
      <c r="O2400" s="250"/>
      <c r="P2400" s="249"/>
      <c r="Q2400" s="330"/>
      <c r="R2400" s="250"/>
      <c r="S2400" s="249"/>
      <c r="T2400" s="330"/>
      <c r="U2400" s="250"/>
      <c r="V2400" s="249"/>
      <c r="W2400" s="330"/>
      <c r="X2400" s="343"/>
      <c r="Y2400" s="249"/>
      <c r="Z2400" s="330"/>
      <c r="AA2400" s="343"/>
      <c r="AB2400" s="249"/>
      <c r="AC2400" s="330"/>
      <c r="AD2400" s="343"/>
      <c r="AE2400" s="249"/>
      <c r="AF2400" s="330"/>
      <c r="AG2400" s="343"/>
      <c r="AH2400" s="249"/>
      <c r="AI2400" s="330"/>
      <c r="AJ2400" s="343"/>
      <c r="AK2400" s="249"/>
      <c r="AL2400" s="330"/>
      <c r="AM2400" s="343"/>
      <c r="AN2400" s="249"/>
      <c r="AO2400" s="330"/>
      <c r="AP2400" s="343"/>
      <c r="AQ2400" s="249"/>
      <c r="AR2400" s="330"/>
      <c r="AS2400" s="343"/>
      <c r="AT2400" s="249"/>
      <c r="AU2400" s="330"/>
    </row>
    <row r="2401" spans="2:47">
      <c r="B2401" s="247">
        <f>'Table S2 Compound Identifiers'!C2403</f>
        <v>0</v>
      </c>
      <c r="C2401" s="247">
        <f>COUNTIF($D$6:D2401,"&lt;&gt;"&amp;"")</f>
        <v>2396</v>
      </c>
      <c r="D2401" s="247">
        <f>'Table S2 Compound Identifiers'!B2403</f>
        <v>0</v>
      </c>
      <c r="E2401" s="247"/>
      <c r="F2401" s="248"/>
      <c r="G2401" s="249"/>
      <c r="H2401" s="330"/>
      <c r="I2401" s="328"/>
      <c r="J2401" s="249"/>
      <c r="K2401" s="330"/>
      <c r="L2401" s="250"/>
      <c r="M2401" s="249"/>
      <c r="N2401" s="330"/>
      <c r="O2401" s="250"/>
      <c r="P2401" s="249"/>
      <c r="Q2401" s="330"/>
      <c r="R2401" s="250"/>
      <c r="S2401" s="249"/>
      <c r="T2401" s="330"/>
      <c r="U2401" s="250"/>
      <c r="V2401" s="249"/>
      <c r="W2401" s="330"/>
      <c r="X2401" s="343"/>
      <c r="Y2401" s="249"/>
      <c r="Z2401" s="330"/>
      <c r="AA2401" s="343"/>
      <c r="AB2401" s="249"/>
      <c r="AC2401" s="330"/>
      <c r="AD2401" s="343"/>
      <c r="AE2401" s="249"/>
      <c r="AF2401" s="330"/>
      <c r="AG2401" s="343"/>
      <c r="AH2401" s="249"/>
      <c r="AI2401" s="330"/>
      <c r="AJ2401" s="343"/>
      <c r="AK2401" s="249"/>
      <c r="AL2401" s="330"/>
      <c r="AM2401" s="343"/>
      <c r="AN2401" s="249"/>
      <c r="AO2401" s="330"/>
      <c r="AP2401" s="343"/>
      <c r="AQ2401" s="249"/>
      <c r="AR2401" s="330"/>
      <c r="AS2401" s="343"/>
      <c r="AT2401" s="249"/>
      <c r="AU2401" s="330"/>
    </row>
    <row r="2402" spans="2:47">
      <c r="B2402" s="247">
        <f>'Table S2 Compound Identifiers'!C2404</f>
        <v>0</v>
      </c>
      <c r="C2402" s="247">
        <f>COUNTIF($D$6:D2402,"&lt;&gt;"&amp;"")</f>
        <v>2397</v>
      </c>
      <c r="D2402" s="247">
        <f>'Table S2 Compound Identifiers'!B2404</f>
        <v>0</v>
      </c>
      <c r="E2402" s="247"/>
      <c r="F2402" s="248"/>
      <c r="G2402" s="249"/>
      <c r="H2402" s="330"/>
      <c r="I2402" s="328"/>
      <c r="J2402" s="249"/>
      <c r="K2402" s="330"/>
      <c r="L2402" s="250"/>
      <c r="M2402" s="249"/>
      <c r="N2402" s="330"/>
      <c r="O2402" s="250"/>
      <c r="P2402" s="249"/>
      <c r="Q2402" s="330"/>
      <c r="R2402" s="250"/>
      <c r="S2402" s="249"/>
      <c r="T2402" s="330"/>
      <c r="U2402" s="250"/>
      <c r="V2402" s="249"/>
      <c r="W2402" s="330"/>
      <c r="X2402" s="343"/>
      <c r="Y2402" s="249"/>
      <c r="Z2402" s="330"/>
      <c r="AA2402" s="343"/>
      <c r="AB2402" s="249"/>
      <c r="AC2402" s="330"/>
      <c r="AD2402" s="343"/>
      <c r="AE2402" s="249"/>
      <c r="AF2402" s="330"/>
      <c r="AG2402" s="343"/>
      <c r="AH2402" s="249"/>
      <c r="AI2402" s="330"/>
      <c r="AJ2402" s="343"/>
      <c r="AK2402" s="249"/>
      <c r="AL2402" s="330"/>
      <c r="AM2402" s="343"/>
      <c r="AN2402" s="249"/>
      <c r="AO2402" s="330"/>
      <c r="AP2402" s="343"/>
      <c r="AQ2402" s="249"/>
      <c r="AR2402" s="330"/>
      <c r="AS2402" s="343"/>
      <c r="AT2402" s="249"/>
      <c r="AU2402" s="330"/>
    </row>
    <row r="2403" spans="2:47">
      <c r="B2403" s="247">
        <f>'Table S2 Compound Identifiers'!C2405</f>
        <v>0</v>
      </c>
      <c r="C2403" s="247">
        <f>COUNTIF($D$6:D2403,"&lt;&gt;"&amp;"")</f>
        <v>2398</v>
      </c>
      <c r="D2403" s="247">
        <f>'Table S2 Compound Identifiers'!B2405</f>
        <v>0</v>
      </c>
      <c r="E2403" s="247"/>
      <c r="F2403" s="248"/>
      <c r="G2403" s="249"/>
      <c r="H2403" s="330"/>
      <c r="I2403" s="328"/>
      <c r="J2403" s="249"/>
      <c r="K2403" s="330"/>
      <c r="L2403" s="250"/>
      <c r="M2403" s="249"/>
      <c r="N2403" s="330"/>
      <c r="O2403" s="250"/>
      <c r="P2403" s="249"/>
      <c r="Q2403" s="330"/>
      <c r="R2403" s="250"/>
      <c r="S2403" s="249"/>
      <c r="T2403" s="330"/>
      <c r="U2403" s="250"/>
      <c r="V2403" s="249"/>
      <c r="W2403" s="330"/>
      <c r="X2403" s="343"/>
      <c r="Y2403" s="249"/>
      <c r="Z2403" s="330"/>
      <c r="AA2403" s="343"/>
      <c r="AB2403" s="249"/>
      <c r="AC2403" s="330"/>
      <c r="AD2403" s="343"/>
      <c r="AE2403" s="249"/>
      <c r="AF2403" s="330"/>
      <c r="AG2403" s="343"/>
      <c r="AH2403" s="249"/>
      <c r="AI2403" s="330"/>
      <c r="AJ2403" s="343"/>
      <c r="AK2403" s="249"/>
      <c r="AL2403" s="330"/>
      <c r="AM2403" s="343"/>
      <c r="AN2403" s="249"/>
      <c r="AO2403" s="330"/>
      <c r="AP2403" s="343"/>
      <c r="AQ2403" s="249"/>
      <c r="AR2403" s="330"/>
      <c r="AS2403" s="343"/>
      <c r="AT2403" s="249"/>
      <c r="AU2403" s="330"/>
    </row>
    <row r="2404" spans="2:47">
      <c r="B2404" s="247">
        <f>'Table S2 Compound Identifiers'!C2406</f>
        <v>0</v>
      </c>
      <c r="C2404" s="247">
        <f>COUNTIF($D$6:D2404,"&lt;&gt;"&amp;"")</f>
        <v>2399</v>
      </c>
      <c r="D2404" s="247">
        <f>'Table S2 Compound Identifiers'!B2406</f>
        <v>0</v>
      </c>
      <c r="E2404" s="247"/>
      <c r="F2404" s="248"/>
      <c r="G2404" s="249"/>
      <c r="H2404" s="330"/>
      <c r="I2404" s="328"/>
      <c r="J2404" s="249"/>
      <c r="K2404" s="330"/>
      <c r="L2404" s="250"/>
      <c r="M2404" s="249"/>
      <c r="N2404" s="330"/>
      <c r="O2404" s="250"/>
      <c r="P2404" s="249"/>
      <c r="Q2404" s="330"/>
      <c r="R2404" s="250"/>
      <c r="S2404" s="249"/>
      <c r="T2404" s="330"/>
      <c r="U2404" s="250"/>
      <c r="V2404" s="249"/>
      <c r="W2404" s="330"/>
      <c r="X2404" s="343"/>
      <c r="Y2404" s="249"/>
      <c r="Z2404" s="330"/>
      <c r="AA2404" s="343"/>
      <c r="AB2404" s="249"/>
      <c r="AC2404" s="330"/>
      <c r="AD2404" s="343"/>
      <c r="AE2404" s="249"/>
      <c r="AF2404" s="330"/>
      <c r="AG2404" s="343"/>
      <c r="AH2404" s="249"/>
      <c r="AI2404" s="330"/>
      <c r="AJ2404" s="343"/>
      <c r="AK2404" s="249"/>
      <c r="AL2404" s="330"/>
      <c r="AM2404" s="343"/>
      <c r="AN2404" s="249"/>
      <c r="AO2404" s="330"/>
      <c r="AP2404" s="343"/>
      <c r="AQ2404" s="249"/>
      <c r="AR2404" s="330"/>
      <c r="AS2404" s="343"/>
      <c r="AT2404" s="249"/>
      <c r="AU2404" s="330"/>
    </row>
    <row r="2405" spans="2:47">
      <c r="B2405" s="247">
        <f>'Table S2 Compound Identifiers'!C2407</f>
        <v>0</v>
      </c>
      <c r="C2405" s="247">
        <f>COUNTIF($D$6:D2405,"&lt;&gt;"&amp;"")</f>
        <v>2400</v>
      </c>
      <c r="D2405" s="247">
        <f>'Table S2 Compound Identifiers'!B2407</f>
        <v>0</v>
      </c>
      <c r="E2405" s="247"/>
      <c r="F2405" s="248"/>
      <c r="G2405" s="249"/>
      <c r="H2405" s="330"/>
      <c r="I2405" s="328"/>
      <c r="J2405" s="249"/>
      <c r="K2405" s="330"/>
      <c r="L2405" s="250"/>
      <c r="M2405" s="249"/>
      <c r="N2405" s="330"/>
      <c r="O2405" s="250"/>
      <c r="P2405" s="249"/>
      <c r="Q2405" s="330"/>
      <c r="R2405" s="250"/>
      <c r="S2405" s="249"/>
      <c r="T2405" s="330"/>
      <c r="U2405" s="250"/>
      <c r="V2405" s="249"/>
      <c r="W2405" s="330"/>
      <c r="X2405" s="343"/>
      <c r="Y2405" s="249"/>
      <c r="Z2405" s="330"/>
      <c r="AA2405" s="343"/>
      <c r="AB2405" s="249"/>
      <c r="AC2405" s="330"/>
      <c r="AD2405" s="343"/>
      <c r="AE2405" s="249"/>
      <c r="AF2405" s="330"/>
      <c r="AG2405" s="343"/>
      <c r="AH2405" s="249"/>
      <c r="AI2405" s="330"/>
      <c r="AJ2405" s="343"/>
      <c r="AK2405" s="249"/>
      <c r="AL2405" s="330"/>
      <c r="AM2405" s="343"/>
      <c r="AN2405" s="249"/>
      <c r="AO2405" s="330"/>
      <c r="AP2405" s="343"/>
      <c r="AQ2405" s="249"/>
      <c r="AR2405" s="330"/>
      <c r="AS2405" s="343"/>
      <c r="AT2405" s="249"/>
      <c r="AU2405" s="330"/>
    </row>
    <row r="2406" spans="2:47">
      <c r="B2406" s="247">
        <f>'Table S2 Compound Identifiers'!C2408</f>
        <v>0</v>
      </c>
      <c r="C2406" s="247">
        <f>COUNTIF($D$6:D2406,"&lt;&gt;"&amp;"")</f>
        <v>2401</v>
      </c>
      <c r="D2406" s="247">
        <f>'Table S2 Compound Identifiers'!B2408</f>
        <v>0</v>
      </c>
      <c r="E2406" s="247"/>
      <c r="F2406" s="248"/>
      <c r="G2406" s="249"/>
      <c r="H2406" s="330"/>
      <c r="I2406" s="328"/>
      <c r="J2406" s="249"/>
      <c r="K2406" s="330"/>
      <c r="L2406" s="250"/>
      <c r="M2406" s="249"/>
      <c r="N2406" s="330"/>
      <c r="O2406" s="250"/>
      <c r="P2406" s="249"/>
      <c r="Q2406" s="330"/>
      <c r="R2406" s="250"/>
      <c r="S2406" s="249"/>
      <c r="T2406" s="330"/>
      <c r="U2406" s="250"/>
      <c r="V2406" s="249"/>
      <c r="W2406" s="330"/>
      <c r="X2406" s="343"/>
      <c r="Y2406" s="249"/>
      <c r="Z2406" s="330"/>
      <c r="AA2406" s="343"/>
      <c r="AB2406" s="249"/>
      <c r="AC2406" s="330"/>
      <c r="AD2406" s="343"/>
      <c r="AE2406" s="249"/>
      <c r="AF2406" s="330"/>
      <c r="AG2406" s="343"/>
      <c r="AH2406" s="249"/>
      <c r="AI2406" s="330"/>
      <c r="AJ2406" s="343"/>
      <c r="AK2406" s="249"/>
      <c r="AL2406" s="330"/>
      <c r="AM2406" s="343"/>
      <c r="AN2406" s="249"/>
      <c r="AO2406" s="330"/>
      <c r="AP2406" s="343"/>
      <c r="AQ2406" s="249"/>
      <c r="AR2406" s="330"/>
      <c r="AS2406" s="343"/>
      <c r="AT2406" s="249"/>
      <c r="AU2406" s="330"/>
    </row>
    <row r="2407" spans="2:47">
      <c r="B2407" s="247">
        <f>'Table S2 Compound Identifiers'!C2409</f>
        <v>0</v>
      </c>
      <c r="C2407" s="247">
        <f>COUNTIF($D$6:D2407,"&lt;&gt;"&amp;"")</f>
        <v>2402</v>
      </c>
      <c r="D2407" s="247">
        <f>'Table S2 Compound Identifiers'!B2409</f>
        <v>0</v>
      </c>
      <c r="E2407" s="247"/>
      <c r="F2407" s="248"/>
      <c r="G2407" s="249"/>
      <c r="H2407" s="330"/>
      <c r="I2407" s="328"/>
      <c r="J2407" s="249"/>
      <c r="K2407" s="330"/>
      <c r="L2407" s="250"/>
      <c r="M2407" s="249"/>
      <c r="N2407" s="330"/>
      <c r="O2407" s="250"/>
      <c r="P2407" s="249"/>
      <c r="Q2407" s="330"/>
      <c r="R2407" s="250"/>
      <c r="S2407" s="249"/>
      <c r="T2407" s="330"/>
      <c r="U2407" s="250"/>
      <c r="V2407" s="249"/>
      <c r="W2407" s="330"/>
      <c r="X2407" s="343"/>
      <c r="Y2407" s="249"/>
      <c r="Z2407" s="330"/>
      <c r="AA2407" s="343"/>
      <c r="AB2407" s="249"/>
      <c r="AC2407" s="330"/>
      <c r="AD2407" s="343"/>
      <c r="AE2407" s="249"/>
      <c r="AF2407" s="330"/>
      <c r="AG2407" s="343"/>
      <c r="AH2407" s="249"/>
      <c r="AI2407" s="330"/>
      <c r="AJ2407" s="343"/>
      <c r="AK2407" s="249"/>
      <c r="AL2407" s="330"/>
      <c r="AM2407" s="343"/>
      <c r="AN2407" s="249"/>
      <c r="AO2407" s="330"/>
      <c r="AP2407" s="343"/>
      <c r="AQ2407" s="249"/>
      <c r="AR2407" s="330"/>
      <c r="AS2407" s="343"/>
      <c r="AT2407" s="249"/>
      <c r="AU2407" s="330"/>
    </row>
    <row r="2408" spans="2:47">
      <c r="B2408" s="247">
        <f>'Table S2 Compound Identifiers'!C2410</f>
        <v>0</v>
      </c>
      <c r="C2408" s="247">
        <f>COUNTIF($D$6:D2408,"&lt;&gt;"&amp;"")</f>
        <v>2403</v>
      </c>
      <c r="D2408" s="247">
        <f>'Table S2 Compound Identifiers'!B2410</f>
        <v>0</v>
      </c>
      <c r="E2408" s="247"/>
      <c r="F2408" s="248"/>
      <c r="G2408" s="249"/>
      <c r="H2408" s="330"/>
      <c r="I2408" s="328"/>
      <c r="J2408" s="249"/>
      <c r="K2408" s="330"/>
      <c r="L2408" s="250"/>
      <c r="M2408" s="249"/>
      <c r="N2408" s="330"/>
      <c r="O2408" s="250"/>
      <c r="P2408" s="249"/>
      <c r="Q2408" s="330"/>
      <c r="R2408" s="250"/>
      <c r="S2408" s="249"/>
      <c r="T2408" s="330"/>
      <c r="U2408" s="250"/>
      <c r="V2408" s="249"/>
      <c r="W2408" s="330"/>
      <c r="X2408" s="343"/>
      <c r="Y2408" s="249"/>
      <c r="Z2408" s="330"/>
      <c r="AA2408" s="343"/>
      <c r="AB2408" s="249"/>
      <c r="AC2408" s="330"/>
      <c r="AD2408" s="343"/>
      <c r="AE2408" s="249"/>
      <c r="AF2408" s="330"/>
      <c r="AG2408" s="343"/>
      <c r="AH2408" s="249"/>
      <c r="AI2408" s="330"/>
      <c r="AJ2408" s="343"/>
      <c r="AK2408" s="249"/>
      <c r="AL2408" s="330"/>
      <c r="AM2408" s="343"/>
      <c r="AN2408" s="249"/>
      <c r="AO2408" s="330"/>
      <c r="AP2408" s="343"/>
      <c r="AQ2408" s="249"/>
      <c r="AR2408" s="330"/>
      <c r="AS2408" s="343"/>
      <c r="AT2408" s="249"/>
      <c r="AU2408" s="330"/>
    </row>
    <row r="2409" spans="2:47">
      <c r="B2409" s="247">
        <f>'Table S2 Compound Identifiers'!C2411</f>
        <v>0</v>
      </c>
      <c r="C2409" s="247">
        <f>COUNTIF($D$6:D2409,"&lt;&gt;"&amp;"")</f>
        <v>2404</v>
      </c>
      <c r="D2409" s="247">
        <f>'Table S2 Compound Identifiers'!B2411</f>
        <v>0</v>
      </c>
      <c r="E2409" s="247"/>
      <c r="F2409" s="248"/>
      <c r="G2409" s="249"/>
      <c r="H2409" s="330"/>
      <c r="I2409" s="328"/>
      <c r="J2409" s="249"/>
      <c r="K2409" s="330"/>
      <c r="L2409" s="250"/>
      <c r="M2409" s="249"/>
      <c r="N2409" s="330"/>
      <c r="O2409" s="250"/>
      <c r="P2409" s="249"/>
      <c r="Q2409" s="330"/>
      <c r="R2409" s="250"/>
      <c r="S2409" s="249"/>
      <c r="T2409" s="330"/>
      <c r="U2409" s="250"/>
      <c r="V2409" s="249"/>
      <c r="W2409" s="330"/>
      <c r="X2409" s="343"/>
      <c r="Y2409" s="249"/>
      <c r="Z2409" s="330"/>
      <c r="AA2409" s="343"/>
      <c r="AB2409" s="249"/>
      <c r="AC2409" s="330"/>
      <c r="AD2409" s="343"/>
      <c r="AE2409" s="249"/>
      <c r="AF2409" s="330"/>
      <c r="AG2409" s="343"/>
      <c r="AH2409" s="249"/>
      <c r="AI2409" s="330"/>
      <c r="AJ2409" s="343"/>
      <c r="AK2409" s="249"/>
      <c r="AL2409" s="330"/>
      <c r="AM2409" s="343"/>
      <c r="AN2409" s="249"/>
      <c r="AO2409" s="330"/>
      <c r="AP2409" s="343"/>
      <c r="AQ2409" s="249"/>
      <c r="AR2409" s="330"/>
      <c r="AS2409" s="343"/>
      <c r="AT2409" s="249"/>
      <c r="AU2409" s="330"/>
    </row>
    <row r="2410" spans="2:47">
      <c r="B2410" s="247">
        <f>'Table S2 Compound Identifiers'!C2412</f>
        <v>0</v>
      </c>
      <c r="C2410" s="247">
        <f>COUNTIF($D$6:D2410,"&lt;&gt;"&amp;"")</f>
        <v>2405</v>
      </c>
      <c r="D2410" s="247">
        <f>'Table S2 Compound Identifiers'!B2412</f>
        <v>0</v>
      </c>
      <c r="E2410" s="247"/>
      <c r="F2410" s="248"/>
      <c r="G2410" s="249"/>
      <c r="H2410" s="330"/>
      <c r="I2410" s="328"/>
      <c r="J2410" s="249"/>
      <c r="K2410" s="330"/>
      <c r="L2410" s="250"/>
      <c r="M2410" s="249"/>
      <c r="N2410" s="330"/>
      <c r="O2410" s="250"/>
      <c r="P2410" s="249"/>
      <c r="Q2410" s="330"/>
      <c r="R2410" s="250"/>
      <c r="S2410" s="249"/>
      <c r="T2410" s="330"/>
      <c r="U2410" s="250"/>
      <c r="V2410" s="249"/>
      <c r="W2410" s="330"/>
      <c r="X2410" s="343"/>
      <c r="Y2410" s="249"/>
      <c r="Z2410" s="330"/>
      <c r="AA2410" s="343"/>
      <c r="AB2410" s="249"/>
      <c r="AC2410" s="330"/>
      <c r="AD2410" s="343"/>
      <c r="AE2410" s="249"/>
      <c r="AF2410" s="330"/>
      <c r="AG2410" s="343"/>
      <c r="AH2410" s="249"/>
      <c r="AI2410" s="330"/>
      <c r="AJ2410" s="343"/>
      <c r="AK2410" s="249"/>
      <c r="AL2410" s="330"/>
      <c r="AM2410" s="343"/>
      <c r="AN2410" s="249"/>
      <c r="AO2410" s="330"/>
      <c r="AP2410" s="343"/>
      <c r="AQ2410" s="249"/>
      <c r="AR2410" s="330"/>
      <c r="AS2410" s="343"/>
      <c r="AT2410" s="249"/>
      <c r="AU2410" s="330"/>
    </row>
    <row r="2411" spans="2:47">
      <c r="B2411" s="247">
        <f>'Table S2 Compound Identifiers'!C2413</f>
        <v>0</v>
      </c>
      <c r="C2411" s="247">
        <f>COUNTIF($D$6:D2411,"&lt;&gt;"&amp;"")</f>
        <v>2406</v>
      </c>
      <c r="D2411" s="247">
        <f>'Table S2 Compound Identifiers'!B2413</f>
        <v>0</v>
      </c>
      <c r="E2411" s="247"/>
      <c r="F2411" s="248"/>
      <c r="G2411" s="249"/>
      <c r="H2411" s="330"/>
      <c r="I2411" s="328"/>
      <c r="J2411" s="249"/>
      <c r="K2411" s="330"/>
      <c r="L2411" s="250"/>
      <c r="M2411" s="249"/>
      <c r="N2411" s="330"/>
      <c r="O2411" s="250"/>
      <c r="P2411" s="249"/>
      <c r="Q2411" s="330"/>
      <c r="R2411" s="250"/>
      <c r="S2411" s="249"/>
      <c r="T2411" s="330"/>
      <c r="U2411" s="250"/>
      <c r="V2411" s="249"/>
      <c r="W2411" s="330"/>
      <c r="X2411" s="343"/>
      <c r="Y2411" s="249"/>
      <c r="Z2411" s="330"/>
      <c r="AA2411" s="343"/>
      <c r="AB2411" s="249"/>
      <c r="AC2411" s="330"/>
      <c r="AD2411" s="343"/>
      <c r="AE2411" s="249"/>
      <c r="AF2411" s="330"/>
      <c r="AG2411" s="343"/>
      <c r="AH2411" s="249"/>
      <c r="AI2411" s="330"/>
      <c r="AJ2411" s="343"/>
      <c r="AK2411" s="249"/>
      <c r="AL2411" s="330"/>
      <c r="AM2411" s="343"/>
      <c r="AN2411" s="249"/>
      <c r="AO2411" s="330"/>
      <c r="AP2411" s="343"/>
      <c r="AQ2411" s="249"/>
      <c r="AR2411" s="330"/>
      <c r="AS2411" s="343"/>
      <c r="AT2411" s="249"/>
      <c r="AU2411" s="330"/>
    </row>
    <row r="2412" spans="2:47">
      <c r="B2412" s="247">
        <f>'Table S2 Compound Identifiers'!C2414</f>
        <v>0</v>
      </c>
      <c r="C2412" s="247">
        <f>COUNTIF($D$6:D2412,"&lt;&gt;"&amp;"")</f>
        <v>2407</v>
      </c>
      <c r="D2412" s="247">
        <f>'Table S2 Compound Identifiers'!B2414</f>
        <v>0</v>
      </c>
      <c r="E2412" s="247"/>
      <c r="F2412" s="248"/>
      <c r="G2412" s="249"/>
      <c r="H2412" s="330"/>
      <c r="I2412" s="328"/>
      <c r="J2412" s="249"/>
      <c r="K2412" s="330"/>
      <c r="L2412" s="250"/>
      <c r="M2412" s="249"/>
      <c r="N2412" s="330"/>
      <c r="O2412" s="250"/>
      <c r="P2412" s="249"/>
      <c r="Q2412" s="330"/>
      <c r="R2412" s="250"/>
      <c r="S2412" s="249"/>
      <c r="T2412" s="330"/>
      <c r="U2412" s="250"/>
      <c r="V2412" s="249"/>
      <c r="W2412" s="330"/>
      <c r="X2412" s="343"/>
      <c r="Y2412" s="249"/>
      <c r="Z2412" s="330"/>
      <c r="AA2412" s="343"/>
      <c r="AB2412" s="249"/>
      <c r="AC2412" s="330"/>
      <c r="AD2412" s="343"/>
      <c r="AE2412" s="249"/>
      <c r="AF2412" s="330"/>
      <c r="AG2412" s="343"/>
      <c r="AH2412" s="249"/>
      <c r="AI2412" s="330"/>
      <c r="AJ2412" s="343"/>
      <c r="AK2412" s="249"/>
      <c r="AL2412" s="330"/>
      <c r="AM2412" s="343"/>
      <c r="AN2412" s="249"/>
      <c r="AO2412" s="330"/>
      <c r="AP2412" s="343"/>
      <c r="AQ2412" s="249"/>
      <c r="AR2412" s="330"/>
      <c r="AS2412" s="343"/>
      <c r="AT2412" s="249"/>
      <c r="AU2412" s="330"/>
    </row>
    <row r="2413" spans="2:47">
      <c r="B2413" s="247">
        <f>'Table S2 Compound Identifiers'!C2415</f>
        <v>0</v>
      </c>
      <c r="C2413" s="247">
        <f>COUNTIF($D$6:D2413,"&lt;&gt;"&amp;"")</f>
        <v>2408</v>
      </c>
      <c r="D2413" s="247">
        <f>'Table S2 Compound Identifiers'!B2415</f>
        <v>0</v>
      </c>
      <c r="E2413" s="247"/>
      <c r="F2413" s="248"/>
      <c r="G2413" s="249"/>
      <c r="H2413" s="330"/>
      <c r="I2413" s="328"/>
      <c r="J2413" s="249"/>
      <c r="K2413" s="330"/>
      <c r="L2413" s="250"/>
      <c r="M2413" s="249"/>
      <c r="N2413" s="330"/>
      <c r="O2413" s="250"/>
      <c r="P2413" s="249"/>
      <c r="Q2413" s="330"/>
      <c r="R2413" s="250"/>
      <c r="S2413" s="249"/>
      <c r="T2413" s="330"/>
      <c r="U2413" s="250"/>
      <c r="V2413" s="249"/>
      <c r="W2413" s="330"/>
      <c r="X2413" s="343"/>
      <c r="Y2413" s="249"/>
      <c r="Z2413" s="330"/>
      <c r="AA2413" s="343"/>
      <c r="AB2413" s="249"/>
      <c r="AC2413" s="330"/>
      <c r="AD2413" s="343"/>
      <c r="AE2413" s="249"/>
      <c r="AF2413" s="330"/>
      <c r="AG2413" s="343"/>
      <c r="AH2413" s="249"/>
      <c r="AI2413" s="330"/>
      <c r="AJ2413" s="343"/>
      <c r="AK2413" s="249"/>
      <c r="AL2413" s="330"/>
      <c r="AM2413" s="343"/>
      <c r="AN2413" s="249"/>
      <c r="AO2413" s="330"/>
      <c r="AP2413" s="343"/>
      <c r="AQ2413" s="249"/>
      <c r="AR2413" s="330"/>
      <c r="AS2413" s="343"/>
      <c r="AT2413" s="249"/>
      <c r="AU2413" s="330"/>
    </row>
    <row r="2414" spans="2:47">
      <c r="B2414" s="247">
        <f>'Table S2 Compound Identifiers'!C2416</f>
        <v>0</v>
      </c>
      <c r="C2414" s="247">
        <f>COUNTIF($D$6:D2414,"&lt;&gt;"&amp;"")</f>
        <v>2409</v>
      </c>
      <c r="D2414" s="247">
        <f>'Table S2 Compound Identifiers'!B2416</f>
        <v>0</v>
      </c>
      <c r="E2414" s="247"/>
      <c r="F2414" s="248"/>
      <c r="G2414" s="249"/>
      <c r="H2414" s="330"/>
      <c r="I2414" s="328"/>
      <c r="J2414" s="249"/>
      <c r="K2414" s="330"/>
      <c r="L2414" s="250"/>
      <c r="M2414" s="249"/>
      <c r="N2414" s="330"/>
      <c r="O2414" s="250"/>
      <c r="P2414" s="249"/>
      <c r="Q2414" s="330"/>
      <c r="R2414" s="250"/>
      <c r="S2414" s="249"/>
      <c r="T2414" s="330"/>
      <c r="U2414" s="250"/>
      <c r="V2414" s="249"/>
      <c r="W2414" s="330"/>
      <c r="X2414" s="343"/>
      <c r="Y2414" s="249"/>
      <c r="Z2414" s="330"/>
      <c r="AA2414" s="343"/>
      <c r="AB2414" s="249"/>
      <c r="AC2414" s="330"/>
      <c r="AD2414" s="343"/>
      <c r="AE2414" s="249"/>
      <c r="AF2414" s="330"/>
      <c r="AG2414" s="343"/>
      <c r="AH2414" s="249"/>
      <c r="AI2414" s="330"/>
      <c r="AJ2414" s="343"/>
      <c r="AK2414" s="249"/>
      <c r="AL2414" s="330"/>
      <c r="AM2414" s="343"/>
      <c r="AN2414" s="249"/>
      <c r="AO2414" s="330"/>
      <c r="AP2414" s="343"/>
      <c r="AQ2414" s="249"/>
      <c r="AR2414" s="330"/>
      <c r="AS2414" s="343"/>
      <c r="AT2414" s="249"/>
      <c r="AU2414" s="330"/>
    </row>
    <row r="2415" spans="2:47">
      <c r="B2415" s="247">
        <f>'Table S2 Compound Identifiers'!C2417</f>
        <v>0</v>
      </c>
      <c r="C2415" s="247">
        <f>COUNTIF($D$6:D2415,"&lt;&gt;"&amp;"")</f>
        <v>2410</v>
      </c>
      <c r="D2415" s="247">
        <f>'Table S2 Compound Identifiers'!B2417</f>
        <v>0</v>
      </c>
      <c r="E2415" s="247"/>
      <c r="F2415" s="248"/>
      <c r="G2415" s="249"/>
      <c r="H2415" s="330"/>
      <c r="I2415" s="328"/>
      <c r="J2415" s="249"/>
      <c r="K2415" s="330"/>
      <c r="L2415" s="250"/>
      <c r="M2415" s="249"/>
      <c r="N2415" s="330"/>
      <c r="O2415" s="250"/>
      <c r="P2415" s="249"/>
      <c r="Q2415" s="330"/>
      <c r="R2415" s="250"/>
      <c r="S2415" s="249"/>
      <c r="T2415" s="330"/>
      <c r="U2415" s="250"/>
      <c r="V2415" s="249"/>
      <c r="W2415" s="330"/>
      <c r="X2415" s="343"/>
      <c r="Y2415" s="249"/>
      <c r="Z2415" s="330"/>
      <c r="AA2415" s="343"/>
      <c r="AB2415" s="249"/>
      <c r="AC2415" s="330"/>
      <c r="AD2415" s="343"/>
      <c r="AE2415" s="249"/>
      <c r="AF2415" s="330"/>
      <c r="AG2415" s="343"/>
      <c r="AH2415" s="249"/>
      <c r="AI2415" s="330"/>
      <c r="AJ2415" s="343"/>
      <c r="AK2415" s="249"/>
      <c r="AL2415" s="330"/>
      <c r="AM2415" s="343"/>
      <c r="AN2415" s="249"/>
      <c r="AO2415" s="330"/>
      <c r="AP2415" s="343"/>
      <c r="AQ2415" s="249"/>
      <c r="AR2415" s="330"/>
      <c r="AS2415" s="343"/>
      <c r="AT2415" s="249"/>
      <c r="AU2415" s="330"/>
    </row>
    <row r="2416" spans="2:47">
      <c r="B2416" s="247">
        <f>'Table S2 Compound Identifiers'!C2418</f>
        <v>0</v>
      </c>
      <c r="C2416" s="247">
        <f>COUNTIF($D$6:D2416,"&lt;&gt;"&amp;"")</f>
        <v>2411</v>
      </c>
      <c r="D2416" s="247">
        <f>'Table S2 Compound Identifiers'!B2418</f>
        <v>0</v>
      </c>
      <c r="E2416" s="247"/>
      <c r="F2416" s="248"/>
      <c r="G2416" s="249"/>
      <c r="H2416" s="330"/>
      <c r="I2416" s="328"/>
      <c r="J2416" s="249"/>
      <c r="K2416" s="330"/>
      <c r="L2416" s="250"/>
      <c r="M2416" s="249"/>
      <c r="N2416" s="330"/>
      <c r="O2416" s="250"/>
      <c r="P2416" s="249"/>
      <c r="Q2416" s="330"/>
      <c r="R2416" s="250"/>
      <c r="S2416" s="249"/>
      <c r="T2416" s="330"/>
      <c r="U2416" s="250"/>
      <c r="V2416" s="249"/>
      <c r="W2416" s="330"/>
      <c r="X2416" s="343"/>
      <c r="Y2416" s="249"/>
      <c r="Z2416" s="330"/>
      <c r="AA2416" s="343"/>
      <c r="AB2416" s="249"/>
      <c r="AC2416" s="330"/>
      <c r="AD2416" s="343"/>
      <c r="AE2416" s="249"/>
      <c r="AF2416" s="330"/>
      <c r="AG2416" s="343"/>
      <c r="AH2416" s="249"/>
      <c r="AI2416" s="330"/>
      <c r="AJ2416" s="343"/>
      <c r="AK2416" s="249"/>
      <c r="AL2416" s="330"/>
      <c r="AM2416" s="343"/>
      <c r="AN2416" s="249"/>
      <c r="AO2416" s="330"/>
      <c r="AP2416" s="343"/>
      <c r="AQ2416" s="249"/>
      <c r="AR2416" s="330"/>
      <c r="AS2416" s="343"/>
      <c r="AT2416" s="249"/>
      <c r="AU2416" s="330"/>
    </row>
    <row r="2417" spans="2:47">
      <c r="B2417" s="247">
        <f>'Table S2 Compound Identifiers'!C2419</f>
        <v>0</v>
      </c>
      <c r="C2417" s="247">
        <f>COUNTIF($D$6:D2417,"&lt;&gt;"&amp;"")</f>
        <v>2412</v>
      </c>
      <c r="D2417" s="247">
        <f>'Table S2 Compound Identifiers'!B2419</f>
        <v>0</v>
      </c>
      <c r="E2417" s="247"/>
      <c r="F2417" s="248"/>
      <c r="G2417" s="249"/>
      <c r="H2417" s="330"/>
      <c r="I2417" s="328"/>
      <c r="J2417" s="249"/>
      <c r="K2417" s="330"/>
      <c r="L2417" s="250"/>
      <c r="M2417" s="249"/>
      <c r="N2417" s="330"/>
      <c r="O2417" s="250"/>
      <c r="P2417" s="249"/>
      <c r="Q2417" s="330"/>
      <c r="R2417" s="250"/>
      <c r="S2417" s="249"/>
      <c r="T2417" s="330"/>
      <c r="U2417" s="250"/>
      <c r="V2417" s="249"/>
      <c r="W2417" s="330"/>
      <c r="X2417" s="343"/>
      <c r="Y2417" s="249"/>
      <c r="Z2417" s="330"/>
      <c r="AA2417" s="343"/>
      <c r="AB2417" s="249"/>
      <c r="AC2417" s="330"/>
      <c r="AD2417" s="343"/>
      <c r="AE2417" s="249"/>
      <c r="AF2417" s="330"/>
      <c r="AG2417" s="343"/>
      <c r="AH2417" s="249"/>
      <c r="AI2417" s="330"/>
      <c r="AJ2417" s="343"/>
      <c r="AK2417" s="249"/>
      <c r="AL2417" s="330"/>
      <c r="AM2417" s="343"/>
      <c r="AN2417" s="249"/>
      <c r="AO2417" s="330"/>
      <c r="AP2417" s="343"/>
      <c r="AQ2417" s="249"/>
      <c r="AR2417" s="330"/>
      <c r="AS2417" s="343"/>
      <c r="AT2417" s="249"/>
      <c r="AU2417" s="330"/>
    </row>
    <row r="2418" spans="2:47">
      <c r="B2418" s="247">
        <f>'Table S2 Compound Identifiers'!C2420</f>
        <v>0</v>
      </c>
      <c r="C2418" s="247">
        <f>COUNTIF($D$6:D2418,"&lt;&gt;"&amp;"")</f>
        <v>2413</v>
      </c>
      <c r="D2418" s="247">
        <f>'Table S2 Compound Identifiers'!B2420</f>
        <v>0</v>
      </c>
      <c r="E2418" s="247"/>
      <c r="F2418" s="248"/>
      <c r="G2418" s="249"/>
      <c r="H2418" s="330"/>
      <c r="I2418" s="328"/>
      <c r="J2418" s="249"/>
      <c r="K2418" s="330"/>
      <c r="L2418" s="250"/>
      <c r="M2418" s="249"/>
      <c r="N2418" s="330"/>
      <c r="O2418" s="250"/>
      <c r="P2418" s="249"/>
      <c r="Q2418" s="330"/>
      <c r="R2418" s="250"/>
      <c r="S2418" s="249"/>
      <c r="T2418" s="330"/>
      <c r="U2418" s="250"/>
      <c r="V2418" s="249"/>
      <c r="W2418" s="330"/>
      <c r="X2418" s="343"/>
      <c r="Y2418" s="249"/>
      <c r="Z2418" s="330"/>
      <c r="AA2418" s="343"/>
      <c r="AB2418" s="249"/>
      <c r="AC2418" s="330"/>
      <c r="AD2418" s="343"/>
      <c r="AE2418" s="249"/>
      <c r="AF2418" s="330"/>
      <c r="AG2418" s="343"/>
      <c r="AH2418" s="249"/>
      <c r="AI2418" s="330"/>
      <c r="AJ2418" s="343"/>
      <c r="AK2418" s="249"/>
      <c r="AL2418" s="330"/>
      <c r="AM2418" s="343"/>
      <c r="AN2418" s="249"/>
      <c r="AO2418" s="330"/>
      <c r="AP2418" s="343"/>
      <c r="AQ2418" s="249"/>
      <c r="AR2418" s="330"/>
      <c r="AS2418" s="343"/>
      <c r="AT2418" s="249"/>
      <c r="AU2418" s="330"/>
    </row>
    <row r="2419" spans="2:47">
      <c r="B2419" s="247">
        <f>'Table S2 Compound Identifiers'!C2421</f>
        <v>0</v>
      </c>
      <c r="C2419" s="247">
        <f>COUNTIF($D$6:D2419,"&lt;&gt;"&amp;"")</f>
        <v>2414</v>
      </c>
      <c r="D2419" s="247">
        <f>'Table S2 Compound Identifiers'!B2421</f>
        <v>0</v>
      </c>
      <c r="E2419" s="247"/>
      <c r="F2419" s="248"/>
      <c r="G2419" s="249"/>
      <c r="H2419" s="330"/>
      <c r="I2419" s="328"/>
      <c r="J2419" s="249"/>
      <c r="K2419" s="330"/>
      <c r="L2419" s="250"/>
      <c r="M2419" s="249"/>
      <c r="N2419" s="330"/>
      <c r="O2419" s="250"/>
      <c r="P2419" s="249"/>
      <c r="Q2419" s="330"/>
      <c r="R2419" s="250"/>
      <c r="S2419" s="249"/>
      <c r="T2419" s="330"/>
      <c r="U2419" s="250"/>
      <c r="V2419" s="249"/>
      <c r="W2419" s="330"/>
      <c r="X2419" s="343"/>
      <c r="Y2419" s="249"/>
      <c r="Z2419" s="330"/>
      <c r="AA2419" s="343"/>
      <c r="AB2419" s="249"/>
      <c r="AC2419" s="330"/>
      <c r="AD2419" s="343"/>
      <c r="AE2419" s="249"/>
      <c r="AF2419" s="330"/>
      <c r="AG2419" s="343"/>
      <c r="AH2419" s="249"/>
      <c r="AI2419" s="330"/>
      <c r="AJ2419" s="343"/>
      <c r="AK2419" s="249"/>
      <c r="AL2419" s="330"/>
      <c r="AM2419" s="343"/>
      <c r="AN2419" s="249"/>
      <c r="AO2419" s="330"/>
      <c r="AP2419" s="343"/>
      <c r="AQ2419" s="249"/>
      <c r="AR2419" s="330"/>
      <c r="AS2419" s="343"/>
      <c r="AT2419" s="249"/>
      <c r="AU2419" s="330"/>
    </row>
    <row r="2420" spans="2:47">
      <c r="B2420" s="247">
        <f>'Table S2 Compound Identifiers'!C2422</f>
        <v>0</v>
      </c>
      <c r="C2420" s="247">
        <f>COUNTIF($D$6:D2420,"&lt;&gt;"&amp;"")</f>
        <v>2415</v>
      </c>
      <c r="D2420" s="247">
        <f>'Table S2 Compound Identifiers'!B2422</f>
        <v>0</v>
      </c>
      <c r="E2420" s="247"/>
      <c r="F2420" s="248"/>
      <c r="G2420" s="249"/>
      <c r="H2420" s="330"/>
      <c r="I2420" s="328"/>
      <c r="J2420" s="249"/>
      <c r="K2420" s="330"/>
      <c r="L2420" s="250"/>
      <c r="M2420" s="249"/>
      <c r="N2420" s="330"/>
      <c r="O2420" s="250"/>
      <c r="P2420" s="249"/>
      <c r="Q2420" s="330"/>
      <c r="R2420" s="250"/>
      <c r="S2420" s="249"/>
      <c r="T2420" s="330"/>
      <c r="U2420" s="250"/>
      <c r="V2420" s="249"/>
      <c r="W2420" s="330"/>
      <c r="X2420" s="343"/>
      <c r="Y2420" s="249"/>
      <c r="Z2420" s="330"/>
      <c r="AA2420" s="343"/>
      <c r="AB2420" s="249"/>
      <c r="AC2420" s="330"/>
      <c r="AD2420" s="343"/>
      <c r="AE2420" s="249"/>
      <c r="AF2420" s="330"/>
      <c r="AG2420" s="343"/>
      <c r="AH2420" s="249"/>
      <c r="AI2420" s="330"/>
      <c r="AJ2420" s="343"/>
      <c r="AK2420" s="249"/>
      <c r="AL2420" s="330"/>
      <c r="AM2420" s="343"/>
      <c r="AN2420" s="249"/>
      <c r="AO2420" s="330"/>
      <c r="AP2420" s="343"/>
      <c r="AQ2420" s="249"/>
      <c r="AR2420" s="330"/>
      <c r="AS2420" s="343"/>
      <c r="AT2420" s="249"/>
      <c r="AU2420" s="330"/>
    </row>
    <row r="2421" spans="2:47">
      <c r="B2421" s="247">
        <f>'Table S2 Compound Identifiers'!C2423</f>
        <v>0</v>
      </c>
      <c r="C2421" s="247">
        <f>COUNTIF($D$6:D2421,"&lt;&gt;"&amp;"")</f>
        <v>2416</v>
      </c>
      <c r="D2421" s="247">
        <f>'Table S2 Compound Identifiers'!B2423</f>
        <v>0</v>
      </c>
      <c r="E2421" s="247"/>
      <c r="F2421" s="248"/>
      <c r="G2421" s="249"/>
      <c r="H2421" s="330"/>
      <c r="I2421" s="328"/>
      <c r="J2421" s="249"/>
      <c r="K2421" s="330"/>
      <c r="L2421" s="250"/>
      <c r="M2421" s="249"/>
      <c r="N2421" s="330"/>
      <c r="O2421" s="250"/>
      <c r="P2421" s="249"/>
      <c r="Q2421" s="330"/>
      <c r="R2421" s="250"/>
      <c r="S2421" s="249"/>
      <c r="T2421" s="330"/>
      <c r="U2421" s="250"/>
      <c r="V2421" s="249"/>
      <c r="W2421" s="330"/>
      <c r="X2421" s="343"/>
      <c r="Y2421" s="249"/>
      <c r="Z2421" s="330"/>
      <c r="AA2421" s="343"/>
      <c r="AB2421" s="249"/>
      <c r="AC2421" s="330"/>
      <c r="AD2421" s="343"/>
      <c r="AE2421" s="249"/>
      <c r="AF2421" s="330"/>
      <c r="AG2421" s="343"/>
      <c r="AH2421" s="249"/>
      <c r="AI2421" s="330"/>
      <c r="AJ2421" s="343"/>
      <c r="AK2421" s="249"/>
      <c r="AL2421" s="330"/>
      <c r="AM2421" s="343"/>
      <c r="AN2421" s="249"/>
      <c r="AO2421" s="330"/>
      <c r="AP2421" s="343"/>
      <c r="AQ2421" s="249"/>
      <c r="AR2421" s="330"/>
      <c r="AS2421" s="343"/>
      <c r="AT2421" s="249"/>
      <c r="AU2421" s="330"/>
    </row>
    <row r="2422" spans="2:47">
      <c r="B2422" s="247">
        <f>'Table S2 Compound Identifiers'!C2424</f>
        <v>0</v>
      </c>
      <c r="C2422" s="247">
        <f>COUNTIF($D$6:D2422,"&lt;&gt;"&amp;"")</f>
        <v>2417</v>
      </c>
      <c r="D2422" s="247">
        <f>'Table S2 Compound Identifiers'!B2424</f>
        <v>0</v>
      </c>
      <c r="E2422" s="247"/>
      <c r="F2422" s="248"/>
      <c r="G2422" s="249"/>
      <c r="H2422" s="330"/>
      <c r="I2422" s="328"/>
      <c r="J2422" s="249"/>
      <c r="K2422" s="330"/>
      <c r="L2422" s="250"/>
      <c r="M2422" s="249"/>
      <c r="N2422" s="330"/>
      <c r="O2422" s="250"/>
      <c r="P2422" s="249"/>
      <c r="Q2422" s="330"/>
      <c r="R2422" s="250"/>
      <c r="S2422" s="249"/>
      <c r="T2422" s="330"/>
      <c r="U2422" s="250"/>
      <c r="V2422" s="249"/>
      <c r="W2422" s="330"/>
      <c r="X2422" s="343"/>
      <c r="Y2422" s="249"/>
      <c r="Z2422" s="330"/>
      <c r="AA2422" s="343"/>
      <c r="AB2422" s="249"/>
      <c r="AC2422" s="330"/>
      <c r="AD2422" s="343"/>
      <c r="AE2422" s="249"/>
      <c r="AF2422" s="330"/>
      <c r="AG2422" s="343"/>
      <c r="AH2422" s="249"/>
      <c r="AI2422" s="330"/>
      <c r="AJ2422" s="343"/>
      <c r="AK2422" s="249"/>
      <c r="AL2422" s="330"/>
      <c r="AM2422" s="343"/>
      <c r="AN2422" s="249"/>
      <c r="AO2422" s="330"/>
      <c r="AP2422" s="343"/>
      <c r="AQ2422" s="249"/>
      <c r="AR2422" s="330"/>
      <c r="AS2422" s="343"/>
      <c r="AT2422" s="249"/>
      <c r="AU2422" s="330"/>
    </row>
    <row r="2423" spans="2:47">
      <c r="B2423" s="247">
        <f>'Table S2 Compound Identifiers'!C2425</f>
        <v>0</v>
      </c>
      <c r="C2423" s="247">
        <f>COUNTIF($D$6:D2423,"&lt;&gt;"&amp;"")</f>
        <v>2418</v>
      </c>
      <c r="D2423" s="247">
        <f>'Table S2 Compound Identifiers'!B2425</f>
        <v>0</v>
      </c>
      <c r="E2423" s="247"/>
      <c r="F2423" s="248"/>
      <c r="G2423" s="249"/>
      <c r="H2423" s="330"/>
      <c r="I2423" s="328"/>
      <c r="J2423" s="249"/>
      <c r="K2423" s="330"/>
      <c r="L2423" s="250"/>
      <c r="M2423" s="249"/>
      <c r="N2423" s="330"/>
      <c r="O2423" s="250"/>
      <c r="P2423" s="249"/>
      <c r="Q2423" s="330"/>
      <c r="R2423" s="250"/>
      <c r="S2423" s="249"/>
      <c r="T2423" s="330"/>
      <c r="U2423" s="250"/>
      <c r="V2423" s="249"/>
      <c r="W2423" s="330"/>
      <c r="X2423" s="343"/>
      <c r="Y2423" s="249"/>
      <c r="Z2423" s="330"/>
      <c r="AA2423" s="343"/>
      <c r="AB2423" s="249"/>
      <c r="AC2423" s="330"/>
      <c r="AD2423" s="343"/>
      <c r="AE2423" s="249"/>
      <c r="AF2423" s="330"/>
      <c r="AG2423" s="343"/>
      <c r="AH2423" s="249"/>
      <c r="AI2423" s="330"/>
      <c r="AJ2423" s="343"/>
      <c r="AK2423" s="249"/>
      <c r="AL2423" s="330"/>
      <c r="AM2423" s="343"/>
      <c r="AN2423" s="249"/>
      <c r="AO2423" s="330"/>
      <c r="AP2423" s="343"/>
      <c r="AQ2423" s="249"/>
      <c r="AR2423" s="330"/>
      <c r="AS2423" s="343"/>
      <c r="AT2423" s="249"/>
      <c r="AU2423" s="330"/>
    </row>
    <row r="2424" spans="2:47">
      <c r="B2424" s="247">
        <f>'Table S2 Compound Identifiers'!C2426</f>
        <v>0</v>
      </c>
      <c r="C2424" s="247">
        <f>COUNTIF($D$6:D2424,"&lt;&gt;"&amp;"")</f>
        <v>2419</v>
      </c>
      <c r="D2424" s="247">
        <f>'Table S2 Compound Identifiers'!B2426</f>
        <v>0</v>
      </c>
      <c r="E2424" s="247"/>
      <c r="F2424" s="248"/>
      <c r="G2424" s="249"/>
      <c r="H2424" s="330"/>
      <c r="I2424" s="328"/>
      <c r="J2424" s="249"/>
      <c r="K2424" s="330"/>
      <c r="L2424" s="250"/>
      <c r="M2424" s="249"/>
      <c r="N2424" s="330"/>
      <c r="O2424" s="250"/>
      <c r="P2424" s="249"/>
      <c r="Q2424" s="330"/>
      <c r="R2424" s="250"/>
      <c r="S2424" s="249"/>
      <c r="T2424" s="330"/>
      <c r="U2424" s="250"/>
      <c r="V2424" s="249"/>
      <c r="W2424" s="330"/>
      <c r="X2424" s="343"/>
      <c r="Y2424" s="249"/>
      <c r="Z2424" s="330"/>
      <c r="AA2424" s="343"/>
      <c r="AB2424" s="249"/>
      <c r="AC2424" s="330"/>
      <c r="AD2424" s="343"/>
      <c r="AE2424" s="249"/>
      <c r="AF2424" s="330"/>
      <c r="AG2424" s="343"/>
      <c r="AH2424" s="249"/>
      <c r="AI2424" s="330"/>
      <c r="AJ2424" s="343"/>
      <c r="AK2424" s="249"/>
      <c r="AL2424" s="330"/>
      <c r="AM2424" s="343"/>
      <c r="AN2424" s="249"/>
      <c r="AO2424" s="330"/>
      <c r="AP2424" s="343"/>
      <c r="AQ2424" s="249"/>
      <c r="AR2424" s="330"/>
      <c r="AS2424" s="343"/>
      <c r="AT2424" s="249"/>
      <c r="AU2424" s="330"/>
    </row>
    <row r="2425" spans="2:47">
      <c r="B2425" s="247">
        <f>'Table S2 Compound Identifiers'!C2427</f>
        <v>0</v>
      </c>
      <c r="C2425" s="247">
        <f>COUNTIF($D$6:D2425,"&lt;&gt;"&amp;"")</f>
        <v>2420</v>
      </c>
      <c r="D2425" s="247">
        <f>'Table S2 Compound Identifiers'!B2427</f>
        <v>0</v>
      </c>
      <c r="E2425" s="247"/>
      <c r="F2425" s="248"/>
      <c r="G2425" s="249"/>
      <c r="H2425" s="330"/>
      <c r="I2425" s="328"/>
      <c r="J2425" s="249"/>
      <c r="K2425" s="330"/>
      <c r="L2425" s="250"/>
      <c r="M2425" s="249"/>
      <c r="N2425" s="330"/>
      <c r="O2425" s="250"/>
      <c r="P2425" s="249"/>
      <c r="Q2425" s="330"/>
      <c r="R2425" s="250"/>
      <c r="S2425" s="249"/>
      <c r="T2425" s="330"/>
      <c r="U2425" s="250"/>
      <c r="V2425" s="249"/>
      <c r="W2425" s="330"/>
      <c r="X2425" s="343"/>
      <c r="Y2425" s="249"/>
      <c r="Z2425" s="330"/>
      <c r="AA2425" s="343"/>
      <c r="AB2425" s="249"/>
      <c r="AC2425" s="330"/>
      <c r="AD2425" s="343"/>
      <c r="AE2425" s="249"/>
      <c r="AF2425" s="330"/>
      <c r="AG2425" s="343"/>
      <c r="AH2425" s="249"/>
      <c r="AI2425" s="330"/>
      <c r="AJ2425" s="343"/>
      <c r="AK2425" s="249"/>
      <c r="AL2425" s="330"/>
      <c r="AM2425" s="343"/>
      <c r="AN2425" s="249"/>
      <c r="AO2425" s="330"/>
      <c r="AP2425" s="343"/>
      <c r="AQ2425" s="249"/>
      <c r="AR2425" s="330"/>
      <c r="AS2425" s="343"/>
      <c r="AT2425" s="249"/>
      <c r="AU2425" s="330"/>
    </row>
    <row r="2426" spans="2:47">
      <c r="B2426" s="247">
        <f>'Table S2 Compound Identifiers'!C2428</f>
        <v>0</v>
      </c>
      <c r="C2426" s="247">
        <f>COUNTIF($D$6:D2426,"&lt;&gt;"&amp;"")</f>
        <v>2421</v>
      </c>
      <c r="D2426" s="247">
        <f>'Table S2 Compound Identifiers'!B2428</f>
        <v>0</v>
      </c>
      <c r="E2426" s="247"/>
      <c r="F2426" s="248"/>
      <c r="G2426" s="249"/>
      <c r="H2426" s="330"/>
      <c r="I2426" s="328"/>
      <c r="J2426" s="249"/>
      <c r="K2426" s="330"/>
      <c r="L2426" s="250"/>
      <c r="M2426" s="249"/>
      <c r="N2426" s="330"/>
      <c r="O2426" s="250"/>
      <c r="P2426" s="249"/>
      <c r="Q2426" s="330"/>
      <c r="R2426" s="250"/>
      <c r="S2426" s="249"/>
      <c r="T2426" s="330"/>
      <c r="U2426" s="250"/>
      <c r="V2426" s="249"/>
      <c r="W2426" s="330"/>
      <c r="X2426" s="343"/>
      <c r="Y2426" s="249"/>
      <c r="Z2426" s="330"/>
      <c r="AA2426" s="343"/>
      <c r="AB2426" s="249"/>
      <c r="AC2426" s="330"/>
      <c r="AD2426" s="343"/>
      <c r="AE2426" s="249"/>
      <c r="AF2426" s="330"/>
      <c r="AG2426" s="343"/>
      <c r="AH2426" s="249"/>
      <c r="AI2426" s="330"/>
      <c r="AJ2426" s="343"/>
      <c r="AK2426" s="249"/>
      <c r="AL2426" s="330"/>
      <c r="AM2426" s="343"/>
      <c r="AN2426" s="249"/>
      <c r="AO2426" s="330"/>
      <c r="AP2426" s="343"/>
      <c r="AQ2426" s="249"/>
      <c r="AR2426" s="330"/>
      <c r="AS2426" s="343"/>
      <c r="AT2426" s="249"/>
      <c r="AU2426" s="330"/>
    </row>
    <row r="2427" spans="2:47">
      <c r="B2427" s="247">
        <f>'Table S2 Compound Identifiers'!C2429</f>
        <v>0</v>
      </c>
      <c r="C2427" s="247">
        <f>COUNTIF($D$6:D2427,"&lt;&gt;"&amp;"")</f>
        <v>2422</v>
      </c>
      <c r="D2427" s="247">
        <f>'Table S2 Compound Identifiers'!B2429</f>
        <v>0</v>
      </c>
      <c r="E2427" s="247"/>
      <c r="F2427" s="248"/>
      <c r="G2427" s="249"/>
      <c r="H2427" s="330"/>
      <c r="I2427" s="328"/>
      <c r="J2427" s="249"/>
      <c r="K2427" s="330"/>
      <c r="L2427" s="250"/>
      <c r="M2427" s="249"/>
      <c r="N2427" s="330"/>
      <c r="O2427" s="250"/>
      <c r="P2427" s="249"/>
      <c r="Q2427" s="330"/>
      <c r="R2427" s="250"/>
      <c r="S2427" s="249"/>
      <c r="T2427" s="330"/>
      <c r="U2427" s="250"/>
      <c r="V2427" s="249"/>
      <c r="W2427" s="330"/>
      <c r="X2427" s="343"/>
      <c r="Y2427" s="249"/>
      <c r="Z2427" s="330"/>
      <c r="AA2427" s="343"/>
      <c r="AB2427" s="249"/>
      <c r="AC2427" s="330"/>
      <c r="AD2427" s="343"/>
      <c r="AE2427" s="249"/>
      <c r="AF2427" s="330"/>
      <c r="AG2427" s="343"/>
      <c r="AH2427" s="249"/>
      <c r="AI2427" s="330"/>
      <c r="AJ2427" s="343"/>
      <c r="AK2427" s="249"/>
      <c r="AL2427" s="330"/>
      <c r="AM2427" s="343"/>
      <c r="AN2427" s="249"/>
      <c r="AO2427" s="330"/>
      <c r="AP2427" s="343"/>
      <c r="AQ2427" s="249"/>
      <c r="AR2427" s="330"/>
      <c r="AS2427" s="343"/>
      <c r="AT2427" s="249"/>
      <c r="AU2427" s="330"/>
    </row>
    <row r="2428" spans="2:47">
      <c r="B2428" s="247">
        <f>'Table S2 Compound Identifiers'!C2430</f>
        <v>0</v>
      </c>
      <c r="C2428" s="247">
        <f>COUNTIF($D$6:D2428,"&lt;&gt;"&amp;"")</f>
        <v>2423</v>
      </c>
      <c r="D2428" s="247">
        <f>'Table S2 Compound Identifiers'!B2430</f>
        <v>0</v>
      </c>
      <c r="E2428" s="247"/>
      <c r="F2428" s="248"/>
      <c r="G2428" s="249"/>
      <c r="H2428" s="330"/>
      <c r="I2428" s="328"/>
      <c r="J2428" s="249"/>
      <c r="K2428" s="330"/>
      <c r="L2428" s="250"/>
      <c r="M2428" s="249"/>
      <c r="N2428" s="330"/>
      <c r="O2428" s="250"/>
      <c r="P2428" s="249"/>
      <c r="Q2428" s="330"/>
      <c r="R2428" s="250"/>
      <c r="S2428" s="249"/>
      <c r="T2428" s="330"/>
      <c r="U2428" s="250"/>
      <c r="V2428" s="249"/>
      <c r="W2428" s="330"/>
      <c r="X2428" s="343"/>
      <c r="Y2428" s="249"/>
      <c r="Z2428" s="330"/>
      <c r="AA2428" s="343"/>
      <c r="AB2428" s="249"/>
      <c r="AC2428" s="330"/>
      <c r="AD2428" s="343"/>
      <c r="AE2428" s="249"/>
      <c r="AF2428" s="330"/>
      <c r="AG2428" s="343"/>
      <c r="AH2428" s="249"/>
      <c r="AI2428" s="330"/>
      <c r="AJ2428" s="343"/>
      <c r="AK2428" s="249"/>
      <c r="AL2428" s="330"/>
      <c r="AM2428" s="343"/>
      <c r="AN2428" s="249"/>
      <c r="AO2428" s="330"/>
      <c r="AP2428" s="343"/>
      <c r="AQ2428" s="249"/>
      <c r="AR2428" s="330"/>
      <c r="AS2428" s="343"/>
      <c r="AT2428" s="249"/>
      <c r="AU2428" s="330"/>
    </row>
    <row r="2429" spans="2:47">
      <c r="B2429" s="247">
        <f>'Table S2 Compound Identifiers'!C2431</f>
        <v>0</v>
      </c>
      <c r="C2429" s="247">
        <f>COUNTIF($D$6:D2429,"&lt;&gt;"&amp;"")</f>
        <v>2424</v>
      </c>
      <c r="D2429" s="247">
        <f>'Table S2 Compound Identifiers'!B2431</f>
        <v>0</v>
      </c>
      <c r="E2429" s="247"/>
      <c r="F2429" s="248"/>
      <c r="G2429" s="249"/>
      <c r="H2429" s="330"/>
      <c r="I2429" s="328"/>
      <c r="J2429" s="249"/>
      <c r="K2429" s="330"/>
      <c r="L2429" s="250"/>
      <c r="M2429" s="249"/>
      <c r="N2429" s="330"/>
      <c r="O2429" s="250"/>
      <c r="P2429" s="249"/>
      <c r="Q2429" s="330"/>
      <c r="R2429" s="250"/>
      <c r="S2429" s="249"/>
      <c r="T2429" s="330"/>
      <c r="U2429" s="250"/>
      <c r="V2429" s="249"/>
      <c r="W2429" s="330"/>
      <c r="X2429" s="343"/>
      <c r="Y2429" s="249"/>
      <c r="Z2429" s="330"/>
      <c r="AA2429" s="343"/>
      <c r="AB2429" s="249"/>
      <c r="AC2429" s="330"/>
      <c r="AD2429" s="343"/>
      <c r="AE2429" s="249"/>
      <c r="AF2429" s="330"/>
      <c r="AG2429" s="343"/>
      <c r="AH2429" s="249"/>
      <c r="AI2429" s="330"/>
      <c r="AJ2429" s="343"/>
      <c r="AK2429" s="249"/>
      <c r="AL2429" s="330"/>
      <c r="AM2429" s="343"/>
      <c r="AN2429" s="249"/>
      <c r="AO2429" s="330"/>
      <c r="AP2429" s="343"/>
      <c r="AQ2429" s="249"/>
      <c r="AR2429" s="330"/>
      <c r="AS2429" s="343"/>
      <c r="AT2429" s="249"/>
      <c r="AU2429" s="330"/>
    </row>
    <row r="2430" spans="2:47">
      <c r="B2430" s="247">
        <f>'Table S2 Compound Identifiers'!C2432</f>
        <v>0</v>
      </c>
      <c r="C2430" s="247">
        <f>COUNTIF($D$6:D2430,"&lt;&gt;"&amp;"")</f>
        <v>2425</v>
      </c>
      <c r="D2430" s="432">
        <f>'Table S2 Compound Identifiers'!B2432</f>
        <v>0</v>
      </c>
      <c r="E2430" s="247"/>
      <c r="F2430" s="248"/>
      <c r="G2430" s="249"/>
      <c r="H2430" s="330"/>
      <c r="I2430" s="328"/>
      <c r="J2430" s="249"/>
      <c r="K2430" s="330"/>
      <c r="L2430" s="250"/>
      <c r="M2430" s="249"/>
      <c r="N2430" s="330"/>
      <c r="O2430" s="250"/>
      <c r="P2430" s="249"/>
      <c r="Q2430" s="330"/>
      <c r="R2430" s="250"/>
      <c r="S2430" s="249"/>
      <c r="T2430" s="330"/>
      <c r="U2430" s="250"/>
      <c r="V2430" s="249"/>
      <c r="W2430" s="330"/>
      <c r="X2430" s="343"/>
      <c r="Y2430" s="249"/>
      <c r="Z2430" s="330"/>
      <c r="AA2430" s="343"/>
      <c r="AB2430" s="249"/>
      <c r="AC2430" s="330"/>
      <c r="AD2430" s="343"/>
      <c r="AE2430" s="249"/>
      <c r="AF2430" s="330"/>
      <c r="AG2430" s="343"/>
      <c r="AH2430" s="249"/>
      <c r="AI2430" s="330"/>
      <c r="AJ2430" s="343"/>
      <c r="AK2430" s="249"/>
      <c r="AL2430" s="330"/>
      <c r="AM2430" s="343"/>
      <c r="AN2430" s="249"/>
      <c r="AO2430" s="330"/>
      <c r="AP2430" s="343"/>
      <c r="AQ2430" s="249"/>
      <c r="AR2430" s="330"/>
      <c r="AS2430" s="343"/>
      <c r="AT2430" s="249"/>
      <c r="AU2430" s="330"/>
    </row>
    <row r="2431" spans="2:47">
      <c r="B2431" s="247">
        <f>'Table S2 Compound Identifiers'!C2433</f>
        <v>0</v>
      </c>
      <c r="C2431" s="247">
        <f>COUNTIF($D$6:D2431,"&lt;&gt;"&amp;"")</f>
        <v>2426</v>
      </c>
      <c r="D2431" s="432">
        <f>'Table S2 Compound Identifiers'!B2433</f>
        <v>0</v>
      </c>
      <c r="E2431" s="247"/>
      <c r="F2431" s="248"/>
      <c r="G2431" s="249"/>
      <c r="H2431" s="330"/>
      <c r="I2431" s="328"/>
      <c r="J2431" s="249"/>
      <c r="K2431" s="330"/>
      <c r="L2431" s="250"/>
      <c r="M2431" s="249"/>
      <c r="N2431" s="330"/>
      <c r="O2431" s="250"/>
      <c r="P2431" s="249"/>
      <c r="Q2431" s="330"/>
      <c r="R2431" s="250"/>
      <c r="S2431" s="249"/>
      <c r="T2431" s="330"/>
      <c r="U2431" s="250"/>
      <c r="V2431" s="249"/>
      <c r="W2431" s="330"/>
      <c r="X2431" s="343"/>
      <c r="Y2431" s="249"/>
      <c r="Z2431" s="330"/>
      <c r="AA2431" s="343"/>
      <c r="AB2431" s="249"/>
      <c r="AC2431" s="330"/>
      <c r="AD2431" s="343"/>
      <c r="AE2431" s="249"/>
      <c r="AF2431" s="330"/>
      <c r="AG2431" s="343"/>
      <c r="AH2431" s="249"/>
      <c r="AI2431" s="330"/>
      <c r="AJ2431" s="343"/>
      <c r="AK2431" s="249"/>
      <c r="AL2431" s="330"/>
      <c r="AM2431" s="343"/>
      <c r="AN2431" s="249"/>
      <c r="AO2431" s="330"/>
      <c r="AP2431" s="343"/>
      <c r="AQ2431" s="249"/>
      <c r="AR2431" s="330"/>
      <c r="AS2431" s="343"/>
      <c r="AT2431" s="249"/>
      <c r="AU2431" s="330"/>
    </row>
    <row r="2432" spans="2:47">
      <c r="B2432" s="247">
        <f>'Table S2 Compound Identifiers'!C2434</f>
        <v>0</v>
      </c>
      <c r="C2432" s="247">
        <f>COUNTIF($D$6:D2432,"&lt;&gt;"&amp;"")</f>
        <v>2427</v>
      </c>
      <c r="D2432" s="432">
        <f>'Table S2 Compound Identifiers'!B2434</f>
        <v>0</v>
      </c>
      <c r="E2432" s="247"/>
      <c r="F2432" s="248"/>
      <c r="G2432" s="249"/>
      <c r="H2432" s="330"/>
      <c r="I2432" s="328"/>
      <c r="J2432" s="249"/>
      <c r="K2432" s="330"/>
      <c r="L2432" s="250"/>
      <c r="M2432" s="249"/>
      <c r="N2432" s="330"/>
      <c r="O2432" s="250"/>
      <c r="P2432" s="249"/>
      <c r="Q2432" s="330"/>
      <c r="R2432" s="250"/>
      <c r="S2432" s="249"/>
      <c r="T2432" s="330"/>
      <c r="U2432" s="250"/>
      <c r="V2432" s="249"/>
      <c r="W2432" s="330"/>
      <c r="X2432" s="343"/>
      <c r="Y2432" s="249"/>
      <c r="Z2432" s="330"/>
      <c r="AA2432" s="343"/>
      <c r="AB2432" s="249"/>
      <c r="AC2432" s="330"/>
      <c r="AD2432" s="343"/>
      <c r="AE2432" s="249"/>
      <c r="AF2432" s="330"/>
      <c r="AG2432" s="343"/>
      <c r="AH2432" s="249"/>
      <c r="AI2432" s="330"/>
      <c r="AJ2432" s="343"/>
      <c r="AK2432" s="249"/>
      <c r="AL2432" s="330"/>
      <c r="AM2432" s="343"/>
      <c r="AN2432" s="249"/>
      <c r="AO2432" s="330"/>
      <c r="AP2432" s="343"/>
      <c r="AQ2432" s="249"/>
      <c r="AR2432" s="330"/>
      <c r="AS2432" s="343"/>
      <c r="AT2432" s="249"/>
      <c r="AU2432" s="330"/>
    </row>
    <row r="2433" spans="2:47">
      <c r="B2433" s="247">
        <f>'Table S2 Compound Identifiers'!C2435</f>
        <v>0</v>
      </c>
      <c r="C2433" s="247">
        <f>COUNTIF($D$6:D2433,"&lt;&gt;"&amp;"")</f>
        <v>2428</v>
      </c>
      <c r="D2433" s="432">
        <f>'Table S2 Compound Identifiers'!B2435</f>
        <v>0</v>
      </c>
      <c r="E2433" s="247"/>
      <c r="F2433" s="248"/>
      <c r="G2433" s="249"/>
      <c r="H2433" s="330"/>
      <c r="I2433" s="328"/>
      <c r="J2433" s="249"/>
      <c r="K2433" s="330"/>
      <c r="L2433" s="250"/>
      <c r="M2433" s="249"/>
      <c r="N2433" s="330"/>
      <c r="O2433" s="250"/>
      <c r="P2433" s="249"/>
      <c r="Q2433" s="330"/>
      <c r="R2433" s="250"/>
      <c r="S2433" s="249"/>
      <c r="T2433" s="330"/>
      <c r="U2433" s="250"/>
      <c r="V2433" s="249"/>
      <c r="W2433" s="330"/>
      <c r="X2433" s="343"/>
      <c r="Y2433" s="249"/>
      <c r="Z2433" s="330"/>
      <c r="AA2433" s="343"/>
      <c r="AB2433" s="249"/>
      <c r="AC2433" s="330"/>
      <c r="AD2433" s="343"/>
      <c r="AE2433" s="249"/>
      <c r="AF2433" s="330"/>
      <c r="AG2433" s="343"/>
      <c r="AH2433" s="249"/>
      <c r="AI2433" s="330"/>
      <c r="AJ2433" s="343"/>
      <c r="AK2433" s="249"/>
      <c r="AL2433" s="330"/>
      <c r="AM2433" s="343"/>
      <c r="AN2433" s="249"/>
      <c r="AO2433" s="330"/>
      <c r="AP2433" s="343"/>
      <c r="AQ2433" s="249"/>
      <c r="AR2433" s="330"/>
      <c r="AS2433" s="343"/>
      <c r="AT2433" s="249"/>
      <c r="AU2433" s="330"/>
    </row>
    <row r="2434" spans="2:47">
      <c r="B2434" s="247">
        <f>'Table S2 Compound Identifiers'!C2436</f>
        <v>0</v>
      </c>
      <c r="C2434" s="247">
        <f>COUNTIF($D$6:D2434,"&lt;&gt;"&amp;"")</f>
        <v>2429</v>
      </c>
      <c r="D2434" s="432">
        <f>'Table S2 Compound Identifiers'!B2436</f>
        <v>0</v>
      </c>
      <c r="E2434" s="247"/>
      <c r="F2434" s="248"/>
      <c r="G2434" s="249"/>
      <c r="H2434" s="330"/>
      <c r="I2434" s="328"/>
      <c r="J2434" s="249"/>
      <c r="K2434" s="330"/>
      <c r="L2434" s="250"/>
      <c r="M2434" s="249"/>
      <c r="N2434" s="330"/>
      <c r="O2434" s="250"/>
      <c r="P2434" s="249"/>
      <c r="Q2434" s="330"/>
      <c r="R2434" s="250"/>
      <c r="S2434" s="249"/>
      <c r="T2434" s="330"/>
      <c r="U2434" s="250"/>
      <c r="V2434" s="249"/>
      <c r="W2434" s="330"/>
      <c r="X2434" s="343"/>
      <c r="Y2434" s="249"/>
      <c r="Z2434" s="330"/>
      <c r="AA2434" s="343"/>
      <c r="AB2434" s="249"/>
      <c r="AC2434" s="330"/>
      <c r="AD2434" s="343"/>
      <c r="AE2434" s="249"/>
      <c r="AF2434" s="330"/>
      <c r="AG2434" s="343"/>
      <c r="AH2434" s="249"/>
      <c r="AI2434" s="330"/>
      <c r="AJ2434" s="343"/>
      <c r="AK2434" s="249"/>
      <c r="AL2434" s="330"/>
      <c r="AM2434" s="343"/>
      <c r="AN2434" s="249"/>
      <c r="AO2434" s="330"/>
      <c r="AP2434" s="343"/>
      <c r="AQ2434" s="249"/>
      <c r="AR2434" s="330"/>
      <c r="AS2434" s="343"/>
      <c r="AT2434" s="249"/>
      <c r="AU2434" s="330"/>
    </row>
    <row r="2435" spans="2:47">
      <c r="B2435" s="247">
        <f>'Table S2 Compound Identifiers'!C2437</f>
        <v>0</v>
      </c>
      <c r="C2435" s="247">
        <f>COUNTIF($D$6:D2435,"&lt;&gt;"&amp;"")</f>
        <v>2430</v>
      </c>
      <c r="D2435" s="432">
        <f>'Table S2 Compound Identifiers'!B2437</f>
        <v>0</v>
      </c>
      <c r="E2435" s="247"/>
      <c r="F2435" s="248"/>
      <c r="G2435" s="249"/>
      <c r="H2435" s="330"/>
      <c r="I2435" s="328"/>
      <c r="J2435" s="249"/>
      <c r="K2435" s="330"/>
      <c r="L2435" s="250"/>
      <c r="M2435" s="249"/>
      <c r="N2435" s="330"/>
      <c r="O2435" s="250"/>
      <c r="P2435" s="249"/>
      <c r="Q2435" s="330"/>
      <c r="R2435" s="250"/>
      <c r="S2435" s="249"/>
      <c r="T2435" s="330"/>
      <c r="U2435" s="250"/>
      <c r="V2435" s="249"/>
      <c r="W2435" s="330"/>
      <c r="X2435" s="343"/>
      <c r="Y2435" s="249"/>
      <c r="Z2435" s="330"/>
      <c r="AA2435" s="343"/>
      <c r="AB2435" s="249"/>
      <c r="AC2435" s="330"/>
      <c r="AD2435" s="343"/>
      <c r="AE2435" s="249"/>
      <c r="AF2435" s="330"/>
      <c r="AG2435" s="343"/>
      <c r="AH2435" s="249"/>
      <c r="AI2435" s="330"/>
      <c r="AJ2435" s="343"/>
      <c r="AK2435" s="249"/>
      <c r="AL2435" s="330"/>
      <c r="AM2435" s="343"/>
      <c r="AN2435" s="249"/>
      <c r="AO2435" s="330"/>
      <c r="AP2435" s="343"/>
      <c r="AQ2435" s="249"/>
      <c r="AR2435" s="330"/>
      <c r="AS2435" s="343"/>
      <c r="AT2435" s="249"/>
      <c r="AU2435" s="330"/>
    </row>
    <row r="2436" spans="2:47">
      <c r="B2436" s="247">
        <f>'Table S2 Compound Identifiers'!C2438</f>
        <v>0</v>
      </c>
      <c r="C2436" s="247">
        <f>COUNTIF($D$6:D2436,"&lt;&gt;"&amp;"")</f>
        <v>2431</v>
      </c>
      <c r="D2436" s="432">
        <f>'Table S2 Compound Identifiers'!B2438</f>
        <v>0</v>
      </c>
      <c r="E2436" s="247"/>
      <c r="F2436" s="248"/>
      <c r="G2436" s="249"/>
      <c r="H2436" s="330"/>
      <c r="I2436" s="328"/>
      <c r="J2436" s="249"/>
      <c r="K2436" s="330"/>
      <c r="L2436" s="250"/>
      <c r="M2436" s="249"/>
      <c r="N2436" s="330"/>
      <c r="O2436" s="250"/>
      <c r="P2436" s="249"/>
      <c r="Q2436" s="330"/>
      <c r="R2436" s="250"/>
      <c r="S2436" s="249"/>
      <c r="T2436" s="330"/>
      <c r="U2436" s="250"/>
      <c r="V2436" s="249"/>
      <c r="W2436" s="330"/>
      <c r="X2436" s="343"/>
      <c r="Y2436" s="249"/>
      <c r="Z2436" s="330"/>
      <c r="AA2436" s="343"/>
      <c r="AB2436" s="249"/>
      <c r="AC2436" s="330"/>
      <c r="AD2436" s="343"/>
      <c r="AE2436" s="249"/>
      <c r="AF2436" s="330"/>
      <c r="AG2436" s="343"/>
      <c r="AH2436" s="249"/>
      <c r="AI2436" s="330"/>
      <c r="AJ2436" s="343"/>
      <c r="AK2436" s="249"/>
      <c r="AL2436" s="330"/>
      <c r="AM2436" s="343"/>
      <c r="AN2436" s="249"/>
      <c r="AO2436" s="330"/>
      <c r="AP2436" s="343"/>
      <c r="AQ2436" s="249"/>
      <c r="AR2436" s="330"/>
      <c r="AS2436" s="343"/>
      <c r="AT2436" s="249"/>
      <c r="AU2436" s="330"/>
    </row>
    <row r="2437" spans="2:47">
      <c r="B2437" s="247">
        <f>'Table S2 Compound Identifiers'!C2439</f>
        <v>0</v>
      </c>
      <c r="C2437" s="247">
        <f>COUNTIF($D$6:D2437,"&lt;&gt;"&amp;"")</f>
        <v>2432</v>
      </c>
      <c r="D2437" s="432">
        <f>'Table S2 Compound Identifiers'!B2439</f>
        <v>0</v>
      </c>
      <c r="E2437" s="247"/>
      <c r="F2437" s="248"/>
      <c r="G2437" s="249"/>
      <c r="H2437" s="330"/>
      <c r="I2437" s="328"/>
      <c r="J2437" s="249"/>
      <c r="K2437" s="330"/>
      <c r="L2437" s="250"/>
      <c r="M2437" s="249"/>
      <c r="N2437" s="330"/>
      <c r="O2437" s="250"/>
      <c r="P2437" s="249"/>
      <c r="Q2437" s="330"/>
      <c r="R2437" s="250"/>
      <c r="S2437" s="249"/>
      <c r="T2437" s="330"/>
      <c r="U2437" s="250"/>
      <c r="V2437" s="249"/>
      <c r="W2437" s="330"/>
      <c r="X2437" s="343"/>
      <c r="Y2437" s="249"/>
      <c r="Z2437" s="330"/>
      <c r="AA2437" s="343"/>
      <c r="AB2437" s="249"/>
      <c r="AC2437" s="330"/>
      <c r="AD2437" s="343"/>
      <c r="AE2437" s="249"/>
      <c r="AF2437" s="330"/>
      <c r="AG2437" s="343"/>
      <c r="AH2437" s="249"/>
      <c r="AI2437" s="330"/>
      <c r="AJ2437" s="343"/>
      <c r="AK2437" s="249"/>
      <c r="AL2437" s="330"/>
      <c r="AM2437" s="343"/>
      <c r="AN2437" s="249"/>
      <c r="AO2437" s="330"/>
      <c r="AP2437" s="343"/>
      <c r="AQ2437" s="249"/>
      <c r="AR2437" s="330"/>
      <c r="AS2437" s="343"/>
      <c r="AT2437" s="249"/>
      <c r="AU2437" s="330"/>
    </row>
    <row r="2438" spans="2:47">
      <c r="B2438" s="247">
        <f>'Table S2 Compound Identifiers'!C2440</f>
        <v>0</v>
      </c>
      <c r="C2438" s="247">
        <f>COUNTIF($D$6:D2438,"&lt;&gt;"&amp;"")</f>
        <v>2433</v>
      </c>
      <c r="D2438" s="432">
        <f>'Table S2 Compound Identifiers'!B2440</f>
        <v>0</v>
      </c>
      <c r="E2438" s="247"/>
      <c r="F2438" s="248"/>
      <c r="G2438" s="249"/>
      <c r="H2438" s="330"/>
      <c r="I2438" s="328"/>
      <c r="J2438" s="249"/>
      <c r="K2438" s="330"/>
      <c r="L2438" s="250"/>
      <c r="M2438" s="249"/>
      <c r="N2438" s="330"/>
      <c r="O2438" s="250"/>
      <c r="P2438" s="249"/>
      <c r="Q2438" s="330"/>
      <c r="R2438" s="250"/>
      <c r="S2438" s="249"/>
      <c r="T2438" s="330"/>
      <c r="U2438" s="250"/>
      <c r="V2438" s="249"/>
      <c r="W2438" s="330"/>
      <c r="X2438" s="343"/>
      <c r="Y2438" s="249"/>
      <c r="Z2438" s="330"/>
      <c r="AA2438" s="343"/>
      <c r="AB2438" s="249"/>
      <c r="AC2438" s="330"/>
      <c r="AD2438" s="343"/>
      <c r="AE2438" s="249"/>
      <c r="AF2438" s="330"/>
      <c r="AG2438" s="343"/>
      <c r="AH2438" s="249"/>
      <c r="AI2438" s="330"/>
      <c r="AJ2438" s="343"/>
      <c r="AK2438" s="249"/>
      <c r="AL2438" s="330"/>
      <c r="AM2438" s="343"/>
      <c r="AN2438" s="249"/>
      <c r="AO2438" s="330"/>
      <c r="AP2438" s="343"/>
      <c r="AQ2438" s="249"/>
      <c r="AR2438" s="330"/>
      <c r="AS2438" s="343"/>
      <c r="AT2438" s="249"/>
      <c r="AU2438" s="330"/>
    </row>
    <row r="2439" spans="2:47">
      <c r="B2439" s="247">
        <f>'Table S2 Compound Identifiers'!C2441</f>
        <v>0</v>
      </c>
      <c r="C2439" s="247">
        <f>COUNTIF($D$6:D2439,"&lt;&gt;"&amp;"")</f>
        <v>2434</v>
      </c>
      <c r="D2439" s="432">
        <f>'Table S2 Compound Identifiers'!B2441</f>
        <v>0</v>
      </c>
      <c r="E2439" s="247"/>
      <c r="F2439" s="248"/>
      <c r="G2439" s="249"/>
      <c r="H2439" s="330"/>
      <c r="I2439" s="328"/>
      <c r="J2439" s="249"/>
      <c r="K2439" s="330"/>
      <c r="L2439" s="250"/>
      <c r="M2439" s="249"/>
      <c r="N2439" s="330"/>
      <c r="O2439" s="250"/>
      <c r="P2439" s="249"/>
      <c r="Q2439" s="330"/>
      <c r="R2439" s="250"/>
      <c r="S2439" s="249"/>
      <c r="T2439" s="330"/>
      <c r="U2439" s="250"/>
      <c r="V2439" s="249"/>
      <c r="W2439" s="330"/>
      <c r="X2439" s="343"/>
      <c r="Y2439" s="249"/>
      <c r="Z2439" s="330"/>
      <c r="AA2439" s="343"/>
      <c r="AB2439" s="249"/>
      <c r="AC2439" s="330"/>
      <c r="AD2439" s="343"/>
      <c r="AE2439" s="249"/>
      <c r="AF2439" s="330"/>
      <c r="AG2439" s="343"/>
      <c r="AH2439" s="249"/>
      <c r="AI2439" s="330"/>
      <c r="AJ2439" s="343"/>
      <c r="AK2439" s="249"/>
      <c r="AL2439" s="330"/>
      <c r="AM2439" s="343"/>
      <c r="AN2439" s="249"/>
      <c r="AO2439" s="330"/>
      <c r="AP2439" s="343"/>
      <c r="AQ2439" s="249"/>
      <c r="AR2439" s="330"/>
      <c r="AS2439" s="343"/>
      <c r="AT2439" s="249"/>
      <c r="AU2439" s="330"/>
    </row>
    <row r="2440" spans="2:47">
      <c r="B2440" s="247">
        <f>'Table S2 Compound Identifiers'!C2442</f>
        <v>0</v>
      </c>
      <c r="C2440" s="247">
        <f>COUNTIF($D$6:D2440,"&lt;&gt;"&amp;"")</f>
        <v>2435</v>
      </c>
      <c r="D2440" s="247">
        <f>'Table S2 Compound Identifiers'!B2442</f>
        <v>0</v>
      </c>
      <c r="E2440" s="247"/>
      <c r="F2440" s="248"/>
      <c r="G2440" s="249"/>
      <c r="H2440" s="330"/>
      <c r="I2440" s="328"/>
      <c r="J2440" s="249"/>
      <c r="K2440" s="330"/>
      <c r="L2440" s="250"/>
      <c r="M2440" s="249"/>
      <c r="N2440" s="330"/>
      <c r="O2440" s="250"/>
      <c r="P2440" s="249"/>
      <c r="Q2440" s="330"/>
      <c r="R2440" s="250"/>
      <c r="S2440" s="249"/>
      <c r="T2440" s="330"/>
      <c r="U2440" s="250"/>
      <c r="V2440" s="249"/>
      <c r="W2440" s="330"/>
      <c r="X2440" s="343"/>
      <c r="Y2440" s="249"/>
      <c r="Z2440" s="330"/>
      <c r="AA2440" s="343"/>
      <c r="AB2440" s="249"/>
      <c r="AC2440" s="330"/>
      <c r="AD2440" s="343"/>
      <c r="AE2440" s="249"/>
      <c r="AF2440" s="330"/>
      <c r="AG2440" s="343"/>
      <c r="AH2440" s="249"/>
      <c r="AI2440" s="330"/>
      <c r="AJ2440" s="343"/>
      <c r="AK2440" s="249"/>
      <c r="AL2440" s="330"/>
      <c r="AM2440" s="343"/>
      <c r="AN2440" s="249"/>
      <c r="AO2440" s="330"/>
      <c r="AP2440" s="343"/>
      <c r="AQ2440" s="249"/>
      <c r="AR2440" s="330"/>
      <c r="AS2440" s="343"/>
      <c r="AT2440" s="249"/>
      <c r="AU2440" s="330"/>
    </row>
    <row r="2441" spans="2:47">
      <c r="B2441" s="247">
        <f>'Table S2 Compound Identifiers'!C2443</f>
        <v>0</v>
      </c>
      <c r="C2441" s="247">
        <f>COUNTIF($D$6:D2441,"&lt;&gt;"&amp;"")</f>
        <v>2436</v>
      </c>
      <c r="D2441" s="247">
        <f>'Table S2 Compound Identifiers'!B2443</f>
        <v>0</v>
      </c>
      <c r="E2441" s="247"/>
      <c r="F2441" s="248"/>
      <c r="G2441" s="249"/>
      <c r="H2441" s="330"/>
      <c r="I2441" s="328"/>
      <c r="J2441" s="249"/>
      <c r="K2441" s="330"/>
      <c r="L2441" s="250"/>
      <c r="M2441" s="249"/>
      <c r="N2441" s="330"/>
      <c r="O2441" s="250"/>
      <c r="P2441" s="249"/>
      <c r="Q2441" s="330"/>
      <c r="R2441" s="250"/>
      <c r="S2441" s="249"/>
      <c r="T2441" s="330"/>
      <c r="U2441" s="250"/>
      <c r="V2441" s="249"/>
      <c r="W2441" s="330"/>
      <c r="X2441" s="343"/>
      <c r="Y2441" s="249"/>
      <c r="Z2441" s="330"/>
      <c r="AA2441" s="343"/>
      <c r="AB2441" s="249"/>
      <c r="AC2441" s="330"/>
      <c r="AD2441" s="343"/>
      <c r="AE2441" s="249"/>
      <c r="AF2441" s="330"/>
      <c r="AG2441" s="343"/>
      <c r="AH2441" s="249"/>
      <c r="AI2441" s="330"/>
      <c r="AJ2441" s="343"/>
      <c r="AK2441" s="249"/>
      <c r="AL2441" s="330"/>
      <c r="AM2441" s="343"/>
      <c r="AN2441" s="249"/>
      <c r="AO2441" s="330"/>
      <c r="AP2441" s="343"/>
      <c r="AQ2441" s="249"/>
      <c r="AR2441" s="330"/>
      <c r="AS2441" s="343"/>
      <c r="AT2441" s="249"/>
      <c r="AU2441" s="330"/>
    </row>
    <row r="2442" spans="2:47">
      <c r="B2442" s="247">
        <f>'Table S2 Compound Identifiers'!C2444</f>
        <v>0</v>
      </c>
      <c r="C2442" s="247">
        <f>COUNTIF($D$6:D2442,"&lt;&gt;"&amp;"")</f>
        <v>2437</v>
      </c>
      <c r="D2442" s="247">
        <f>'Table S2 Compound Identifiers'!B2444</f>
        <v>0</v>
      </c>
      <c r="E2442" s="247"/>
      <c r="F2442" s="248"/>
      <c r="G2442" s="249"/>
      <c r="H2442" s="330"/>
      <c r="I2442" s="328"/>
      <c r="J2442" s="249"/>
      <c r="K2442" s="330"/>
      <c r="L2442" s="250"/>
      <c r="M2442" s="249"/>
      <c r="N2442" s="330"/>
      <c r="O2442" s="250"/>
      <c r="P2442" s="249"/>
      <c r="Q2442" s="330"/>
      <c r="R2442" s="250"/>
      <c r="S2442" s="249"/>
      <c r="T2442" s="330"/>
      <c r="U2442" s="250"/>
      <c r="V2442" s="249"/>
      <c r="W2442" s="330"/>
      <c r="X2442" s="343"/>
      <c r="Y2442" s="249"/>
      <c r="Z2442" s="330"/>
      <c r="AA2442" s="343"/>
      <c r="AB2442" s="249"/>
      <c r="AC2442" s="330"/>
      <c r="AD2442" s="343"/>
      <c r="AE2442" s="249"/>
      <c r="AF2442" s="330"/>
      <c r="AG2442" s="343"/>
      <c r="AH2442" s="249"/>
      <c r="AI2442" s="330"/>
      <c r="AJ2442" s="343"/>
      <c r="AK2442" s="249"/>
      <c r="AL2442" s="330"/>
      <c r="AM2442" s="343"/>
      <c r="AN2442" s="249"/>
      <c r="AO2442" s="330"/>
      <c r="AP2442" s="343"/>
      <c r="AQ2442" s="249"/>
      <c r="AR2442" s="330"/>
      <c r="AS2442" s="343"/>
      <c r="AT2442" s="249"/>
      <c r="AU2442" s="330"/>
    </row>
    <row r="2443" spans="2:47">
      <c r="B2443" s="247">
        <f>'Table S2 Compound Identifiers'!C2445</f>
        <v>0</v>
      </c>
      <c r="C2443" s="247">
        <f>COUNTIF($D$6:D2443,"&lt;&gt;"&amp;"")</f>
        <v>2438</v>
      </c>
      <c r="D2443" s="247">
        <f>'Table S2 Compound Identifiers'!B2445</f>
        <v>0</v>
      </c>
      <c r="E2443" s="247"/>
      <c r="F2443" s="248"/>
      <c r="G2443" s="249"/>
      <c r="H2443" s="330"/>
      <c r="I2443" s="328"/>
      <c r="J2443" s="249"/>
      <c r="K2443" s="330"/>
      <c r="L2443" s="250"/>
      <c r="M2443" s="249"/>
      <c r="N2443" s="330"/>
      <c r="O2443" s="250"/>
      <c r="P2443" s="249"/>
      <c r="Q2443" s="330"/>
      <c r="R2443" s="250"/>
      <c r="S2443" s="249"/>
      <c r="T2443" s="330"/>
      <c r="U2443" s="250"/>
      <c r="V2443" s="249"/>
      <c r="W2443" s="330"/>
      <c r="X2443" s="343"/>
      <c r="Y2443" s="249"/>
      <c r="Z2443" s="330"/>
      <c r="AA2443" s="343"/>
      <c r="AB2443" s="249"/>
      <c r="AC2443" s="330"/>
      <c r="AD2443" s="343"/>
      <c r="AE2443" s="249"/>
      <c r="AF2443" s="330"/>
      <c r="AG2443" s="343"/>
      <c r="AH2443" s="249"/>
      <c r="AI2443" s="330"/>
      <c r="AJ2443" s="343"/>
      <c r="AK2443" s="249"/>
      <c r="AL2443" s="330"/>
      <c r="AM2443" s="343"/>
      <c r="AN2443" s="249"/>
      <c r="AO2443" s="330"/>
      <c r="AP2443" s="343"/>
      <c r="AQ2443" s="249"/>
      <c r="AR2443" s="330"/>
      <c r="AS2443" s="343"/>
      <c r="AT2443" s="249"/>
      <c r="AU2443" s="330"/>
    </row>
    <row r="2444" spans="2:47">
      <c r="B2444" s="247">
        <f>'Table S2 Compound Identifiers'!C2446</f>
        <v>0</v>
      </c>
      <c r="C2444" s="247">
        <f>COUNTIF($D$6:D2444,"&lt;&gt;"&amp;"")</f>
        <v>2439</v>
      </c>
      <c r="D2444" s="247">
        <f>'Table S2 Compound Identifiers'!B2446</f>
        <v>0</v>
      </c>
      <c r="E2444" s="247"/>
      <c r="F2444" s="248"/>
      <c r="G2444" s="249"/>
      <c r="H2444" s="330"/>
      <c r="I2444" s="328"/>
      <c r="J2444" s="249"/>
      <c r="K2444" s="330"/>
      <c r="L2444" s="250"/>
      <c r="M2444" s="249"/>
      <c r="N2444" s="330"/>
      <c r="O2444" s="250"/>
      <c r="P2444" s="249"/>
      <c r="Q2444" s="330"/>
      <c r="R2444" s="250"/>
      <c r="S2444" s="249"/>
      <c r="T2444" s="330"/>
      <c r="U2444" s="250"/>
      <c r="V2444" s="249"/>
      <c r="W2444" s="330"/>
      <c r="X2444" s="343"/>
      <c r="Y2444" s="249"/>
      <c r="Z2444" s="330"/>
      <c r="AA2444" s="343"/>
      <c r="AB2444" s="249"/>
      <c r="AC2444" s="330"/>
      <c r="AD2444" s="343"/>
      <c r="AE2444" s="249"/>
      <c r="AF2444" s="330"/>
      <c r="AG2444" s="343"/>
      <c r="AH2444" s="249"/>
      <c r="AI2444" s="330"/>
      <c r="AJ2444" s="343"/>
      <c r="AK2444" s="249"/>
      <c r="AL2444" s="330"/>
      <c r="AM2444" s="343"/>
      <c r="AN2444" s="249"/>
      <c r="AO2444" s="330"/>
      <c r="AP2444" s="343"/>
      <c r="AQ2444" s="249"/>
      <c r="AR2444" s="330"/>
      <c r="AS2444" s="343"/>
      <c r="AT2444" s="249"/>
      <c r="AU2444" s="330"/>
    </row>
    <row r="2445" spans="2:47">
      <c r="B2445" s="247">
        <f>'Table S2 Compound Identifiers'!C2447</f>
        <v>0</v>
      </c>
      <c r="C2445" s="247">
        <f>COUNTIF($D$6:D2445,"&lt;&gt;"&amp;"")</f>
        <v>2440</v>
      </c>
      <c r="D2445" s="247">
        <f>'Table S2 Compound Identifiers'!B2447</f>
        <v>0</v>
      </c>
      <c r="E2445" s="247"/>
      <c r="F2445" s="248"/>
      <c r="G2445" s="249"/>
      <c r="H2445" s="330"/>
      <c r="I2445" s="328"/>
      <c r="J2445" s="249"/>
      <c r="K2445" s="330"/>
      <c r="L2445" s="250"/>
      <c r="M2445" s="249"/>
      <c r="N2445" s="330"/>
      <c r="O2445" s="250"/>
      <c r="P2445" s="249"/>
      <c r="Q2445" s="330"/>
      <c r="R2445" s="250"/>
      <c r="S2445" s="249"/>
      <c r="T2445" s="330"/>
      <c r="U2445" s="250"/>
      <c r="V2445" s="249"/>
      <c r="W2445" s="330"/>
      <c r="X2445" s="343"/>
      <c r="Y2445" s="249"/>
      <c r="Z2445" s="330"/>
      <c r="AA2445" s="343"/>
      <c r="AB2445" s="249"/>
      <c r="AC2445" s="330"/>
      <c r="AD2445" s="343"/>
      <c r="AE2445" s="249"/>
      <c r="AF2445" s="330"/>
      <c r="AG2445" s="343"/>
      <c r="AH2445" s="249"/>
      <c r="AI2445" s="330"/>
      <c r="AJ2445" s="343"/>
      <c r="AK2445" s="249"/>
      <c r="AL2445" s="330"/>
      <c r="AM2445" s="343"/>
      <c r="AN2445" s="249"/>
      <c r="AO2445" s="330"/>
      <c r="AP2445" s="343"/>
      <c r="AQ2445" s="249"/>
      <c r="AR2445" s="330"/>
      <c r="AS2445" s="343"/>
      <c r="AT2445" s="249"/>
      <c r="AU2445" s="330"/>
    </row>
    <row r="2446" spans="2:47">
      <c r="B2446" s="247">
        <f>'Table S2 Compound Identifiers'!C2448</f>
        <v>0</v>
      </c>
      <c r="C2446" s="247">
        <f>COUNTIF($D$6:D2446,"&lt;&gt;"&amp;"")</f>
        <v>2441</v>
      </c>
      <c r="D2446" s="247">
        <f>'Table S2 Compound Identifiers'!B2448</f>
        <v>0</v>
      </c>
      <c r="E2446" s="247"/>
      <c r="F2446" s="248"/>
      <c r="G2446" s="249"/>
      <c r="H2446" s="330"/>
      <c r="I2446" s="328"/>
      <c r="J2446" s="249"/>
      <c r="K2446" s="330"/>
      <c r="L2446" s="250"/>
      <c r="M2446" s="249"/>
      <c r="N2446" s="330"/>
      <c r="O2446" s="251"/>
      <c r="P2446" s="252"/>
      <c r="Q2446" s="330"/>
      <c r="R2446" s="251"/>
      <c r="S2446" s="252"/>
      <c r="T2446" s="330"/>
      <c r="U2446" s="251"/>
      <c r="V2446" s="252"/>
      <c r="W2446" s="330"/>
      <c r="X2446" s="343"/>
      <c r="Y2446" s="249"/>
      <c r="Z2446" s="330"/>
      <c r="AA2446" s="343"/>
      <c r="AB2446" s="249"/>
      <c r="AC2446" s="330"/>
      <c r="AD2446" s="343"/>
      <c r="AE2446" s="249"/>
      <c r="AF2446" s="330"/>
      <c r="AG2446" s="343"/>
      <c r="AH2446" s="249"/>
      <c r="AI2446" s="330"/>
      <c r="AJ2446" s="343"/>
      <c r="AK2446" s="249"/>
      <c r="AL2446" s="330"/>
      <c r="AM2446" s="343"/>
      <c r="AN2446" s="249"/>
      <c r="AO2446" s="330"/>
      <c r="AP2446" s="343"/>
      <c r="AQ2446" s="249"/>
      <c r="AR2446" s="330"/>
      <c r="AS2446" s="343"/>
      <c r="AT2446" s="249"/>
      <c r="AU2446" s="330"/>
    </row>
    <row r="2447" spans="2:47">
      <c r="B2447" s="247">
        <f>'Table S2 Compound Identifiers'!C2449</f>
        <v>0</v>
      </c>
      <c r="C2447" s="253">
        <f>COUNTIF($D$6:D2447,"&lt;&gt;"&amp;"")</f>
        <v>2442</v>
      </c>
      <c r="D2447" s="253">
        <f>'Table S2 Compound Identifiers'!B2449</f>
        <v>0</v>
      </c>
      <c r="E2447" s="253"/>
      <c r="F2447" s="254"/>
      <c r="G2447" s="252"/>
      <c r="H2447" s="330"/>
      <c r="I2447" s="333"/>
      <c r="J2447" s="252"/>
      <c r="K2447" s="330"/>
      <c r="L2447" s="251"/>
      <c r="M2447" s="252"/>
      <c r="N2447" s="330"/>
      <c r="O2447" s="251"/>
      <c r="P2447" s="252"/>
      <c r="Q2447" s="330"/>
      <c r="R2447" s="251"/>
      <c r="S2447" s="252"/>
      <c r="T2447" s="330"/>
      <c r="U2447" s="251"/>
      <c r="V2447" s="252"/>
      <c r="W2447" s="330"/>
      <c r="X2447" s="343"/>
      <c r="Y2447" s="249"/>
      <c r="Z2447" s="330"/>
      <c r="AA2447" s="343"/>
      <c r="AB2447" s="249"/>
      <c r="AC2447" s="330"/>
      <c r="AD2447" s="343"/>
      <c r="AE2447" s="249"/>
      <c r="AF2447" s="330"/>
      <c r="AG2447" s="343"/>
      <c r="AH2447" s="249"/>
      <c r="AI2447" s="330"/>
      <c r="AJ2447" s="343"/>
      <c r="AK2447" s="249"/>
      <c r="AL2447" s="330"/>
      <c r="AM2447" s="343"/>
      <c r="AN2447" s="249"/>
      <c r="AO2447" s="330"/>
      <c r="AP2447" s="343"/>
      <c r="AQ2447" s="249"/>
      <c r="AR2447" s="330"/>
      <c r="AS2447" s="343"/>
      <c r="AT2447" s="249"/>
      <c r="AU2447" s="330"/>
    </row>
    <row r="2448" spans="2:47">
      <c r="B2448" s="247">
        <f>'Table S2 Compound Identifiers'!C2450</f>
        <v>0</v>
      </c>
      <c r="C2448" s="247">
        <f>COUNTIF($D$6:D2448,"&lt;&gt;"&amp;"")</f>
        <v>2443</v>
      </c>
      <c r="D2448" s="247">
        <f>'Table S2 Compound Identifiers'!B2450</f>
        <v>0</v>
      </c>
      <c r="E2448" s="247"/>
      <c r="F2448" s="248"/>
      <c r="G2448" s="250"/>
      <c r="H2448" s="330"/>
      <c r="I2448" s="343"/>
      <c r="J2448" s="249"/>
      <c r="K2448" s="327"/>
      <c r="L2448" s="343"/>
      <c r="M2448" s="249"/>
      <c r="N2448" s="327"/>
      <c r="O2448" s="343"/>
      <c r="P2448" s="249"/>
      <c r="Q2448" s="327"/>
      <c r="R2448" s="343"/>
      <c r="S2448" s="249"/>
      <c r="T2448" s="327"/>
      <c r="U2448" s="343"/>
      <c r="V2448" s="249"/>
      <c r="W2448" s="327"/>
      <c r="X2448" s="343"/>
      <c r="Y2448" s="249"/>
      <c r="Z2448" s="327"/>
      <c r="AA2448" s="343"/>
      <c r="AB2448" s="249"/>
      <c r="AC2448" s="343"/>
      <c r="AD2448" s="343"/>
      <c r="AE2448" s="249"/>
      <c r="AF2448" s="249"/>
      <c r="AG2448" s="343"/>
      <c r="AH2448" s="249"/>
      <c r="AI2448" s="343"/>
      <c r="AJ2448" s="343"/>
      <c r="AK2448" s="249"/>
      <c r="AL2448" s="249"/>
      <c r="AM2448" s="343"/>
      <c r="AN2448" s="249"/>
      <c r="AO2448" s="343"/>
      <c r="AP2448" s="343"/>
      <c r="AQ2448" s="249"/>
      <c r="AR2448" s="249"/>
      <c r="AS2448" s="343"/>
      <c r="AT2448" s="249"/>
      <c r="AU2448" s="343"/>
    </row>
    <row r="2449" spans="2:47">
      <c r="B2449" s="247">
        <f>'Table S2 Compound Identifiers'!C2451</f>
        <v>0</v>
      </c>
      <c r="C2449" s="247">
        <f>COUNTIF($D$6:D2449,"&lt;&gt;"&amp;"")</f>
        <v>2444</v>
      </c>
      <c r="D2449" s="247">
        <f>'Table S2 Compound Identifiers'!B2451</f>
        <v>0</v>
      </c>
      <c r="E2449" s="247"/>
      <c r="F2449" s="248"/>
      <c r="G2449" s="249"/>
      <c r="H2449" s="330"/>
      <c r="I2449" s="332"/>
      <c r="J2449" s="330"/>
      <c r="K2449" s="330"/>
      <c r="L2449" s="330"/>
      <c r="M2449" s="330"/>
      <c r="N2449" s="330"/>
      <c r="O2449" s="330"/>
      <c r="P2449" s="330"/>
      <c r="Q2449" s="330"/>
      <c r="R2449" s="330"/>
      <c r="S2449" s="330"/>
      <c r="T2449" s="330"/>
      <c r="U2449" s="330"/>
      <c r="V2449" s="330"/>
      <c r="W2449" s="330"/>
      <c r="X2449" s="343"/>
      <c r="Y2449" s="249"/>
      <c r="Z2449" s="330"/>
      <c r="AA2449" s="343"/>
      <c r="AB2449" s="249"/>
      <c r="AC2449" s="330"/>
      <c r="AD2449" s="343"/>
      <c r="AE2449" s="249"/>
      <c r="AF2449" s="330"/>
      <c r="AG2449" s="343"/>
      <c r="AH2449" s="249"/>
      <c r="AI2449" s="330"/>
      <c r="AJ2449" s="343"/>
      <c r="AK2449" s="249"/>
      <c r="AL2449" s="330"/>
      <c r="AM2449" s="343"/>
      <c r="AN2449" s="249"/>
      <c r="AO2449" s="330"/>
      <c r="AP2449" s="343"/>
      <c r="AQ2449" s="249"/>
      <c r="AR2449" s="330"/>
      <c r="AS2449" s="343"/>
      <c r="AT2449" s="249"/>
      <c r="AU2449" s="330"/>
    </row>
    <row r="2450" spans="2:47">
      <c r="B2450" s="247">
        <f>'Table S2 Compound Identifiers'!C2452</f>
        <v>0</v>
      </c>
      <c r="C2450" s="247">
        <f>COUNTIF($D$6:D2450,"&lt;&gt;"&amp;"")</f>
        <v>2445</v>
      </c>
      <c r="D2450" s="247">
        <f>'Table S2 Compound Identifiers'!B2452</f>
        <v>0</v>
      </c>
      <c r="E2450" s="247"/>
      <c r="F2450" s="248"/>
      <c r="G2450" s="249"/>
      <c r="H2450" s="330"/>
      <c r="I2450" s="332"/>
      <c r="J2450" s="330"/>
      <c r="K2450" s="330"/>
      <c r="L2450" s="330"/>
      <c r="M2450" s="330"/>
      <c r="N2450" s="330"/>
      <c r="O2450" s="330"/>
      <c r="P2450" s="330"/>
      <c r="Q2450" s="330"/>
      <c r="R2450" s="330"/>
      <c r="S2450" s="330"/>
      <c r="T2450" s="330"/>
      <c r="U2450" s="330"/>
      <c r="V2450" s="330"/>
      <c r="W2450" s="330"/>
      <c r="X2450" s="343"/>
      <c r="Y2450" s="249"/>
      <c r="Z2450" s="330"/>
      <c r="AA2450" s="343"/>
      <c r="AB2450" s="249"/>
      <c r="AC2450" s="330"/>
      <c r="AD2450" s="343"/>
      <c r="AE2450" s="249"/>
      <c r="AF2450" s="330"/>
      <c r="AG2450" s="343"/>
      <c r="AH2450" s="249"/>
      <c r="AI2450" s="330"/>
      <c r="AJ2450" s="343"/>
      <c r="AK2450" s="249"/>
      <c r="AL2450" s="330"/>
      <c r="AM2450" s="343"/>
      <c r="AN2450" s="249"/>
      <c r="AO2450" s="330"/>
      <c r="AP2450" s="343"/>
      <c r="AQ2450" s="249"/>
      <c r="AR2450" s="330"/>
      <c r="AS2450" s="343"/>
      <c r="AT2450" s="249"/>
      <c r="AU2450" s="330"/>
    </row>
    <row r="2451" spans="2:47">
      <c r="B2451" s="247">
        <f>'Table S2 Compound Identifiers'!C2453</f>
        <v>0</v>
      </c>
      <c r="C2451" s="247">
        <f>COUNTIF($D$6:D2451,"&lt;&gt;"&amp;"")</f>
        <v>2446</v>
      </c>
      <c r="D2451" s="247">
        <f>'Table S2 Compound Identifiers'!B2453</f>
        <v>0</v>
      </c>
      <c r="E2451" s="247"/>
      <c r="F2451" s="248"/>
      <c r="G2451" s="249"/>
      <c r="H2451" s="330"/>
      <c r="I2451" s="332"/>
      <c r="J2451" s="330"/>
      <c r="K2451" s="330"/>
      <c r="L2451" s="330"/>
      <c r="M2451" s="330"/>
      <c r="N2451" s="330"/>
      <c r="O2451" s="330"/>
      <c r="P2451" s="330"/>
      <c r="Q2451" s="330"/>
      <c r="R2451" s="330"/>
      <c r="S2451" s="330"/>
      <c r="T2451" s="330"/>
      <c r="U2451" s="330"/>
      <c r="V2451" s="330"/>
      <c r="W2451" s="330"/>
      <c r="X2451" s="343"/>
      <c r="Y2451" s="249"/>
      <c r="Z2451" s="330"/>
      <c r="AA2451" s="343"/>
      <c r="AB2451" s="249"/>
      <c r="AC2451" s="330"/>
      <c r="AD2451" s="343"/>
      <c r="AE2451" s="249"/>
      <c r="AF2451" s="330"/>
      <c r="AG2451" s="343"/>
      <c r="AH2451" s="249"/>
      <c r="AI2451" s="330"/>
      <c r="AJ2451" s="343"/>
      <c r="AK2451" s="249"/>
      <c r="AL2451" s="330"/>
      <c r="AM2451" s="343"/>
      <c r="AN2451" s="249"/>
      <c r="AO2451" s="330"/>
      <c r="AP2451" s="343"/>
      <c r="AQ2451" s="249"/>
      <c r="AR2451" s="330"/>
      <c r="AS2451" s="343"/>
      <c r="AT2451" s="249"/>
      <c r="AU2451" s="330"/>
    </row>
    <row r="2452" spans="2:47">
      <c r="B2452" s="247">
        <f>'Table S2 Compound Identifiers'!C2454</f>
        <v>0</v>
      </c>
      <c r="C2452" s="247">
        <f>COUNTIF($D$6:D2452,"&lt;&gt;"&amp;"")</f>
        <v>2447</v>
      </c>
      <c r="D2452" s="247">
        <f>'Table S2 Compound Identifiers'!B2454</f>
        <v>0</v>
      </c>
      <c r="E2452" s="247"/>
      <c r="F2452" s="248"/>
      <c r="G2452" s="249"/>
      <c r="H2452" s="330"/>
      <c r="I2452" s="328"/>
      <c r="J2452" s="249"/>
      <c r="K2452" s="330"/>
      <c r="L2452" s="250"/>
      <c r="M2452" s="249"/>
      <c r="N2452" s="330"/>
      <c r="O2452" s="250"/>
      <c r="P2452" s="249"/>
      <c r="Q2452" s="330"/>
      <c r="R2452" s="250"/>
      <c r="S2452" s="249"/>
      <c r="T2452" s="330"/>
      <c r="U2452" s="250"/>
      <c r="V2452" s="249"/>
      <c r="W2452" s="330"/>
      <c r="X2452" s="343"/>
      <c r="Y2452" s="249"/>
      <c r="Z2452" s="330"/>
      <c r="AA2452" s="343"/>
      <c r="AB2452" s="249"/>
      <c r="AC2452" s="330"/>
      <c r="AD2452" s="343"/>
      <c r="AE2452" s="249"/>
      <c r="AF2452" s="330"/>
      <c r="AG2452" s="343"/>
      <c r="AH2452" s="249"/>
      <c r="AI2452" s="330"/>
      <c r="AJ2452" s="343"/>
      <c r="AK2452" s="249"/>
      <c r="AL2452" s="330"/>
      <c r="AM2452" s="343"/>
      <c r="AN2452" s="249"/>
      <c r="AO2452" s="330"/>
      <c r="AP2452" s="343"/>
      <c r="AQ2452" s="249"/>
      <c r="AR2452" s="330"/>
      <c r="AS2452" s="343"/>
      <c r="AT2452" s="249"/>
      <c r="AU2452" s="330"/>
    </row>
    <row r="2453" spans="2:47">
      <c r="B2453" s="247">
        <f>'Table S2 Compound Identifiers'!C2455</f>
        <v>0</v>
      </c>
      <c r="C2453" s="247">
        <f>COUNTIF($D$6:D2453,"&lt;&gt;"&amp;"")</f>
        <v>2448</v>
      </c>
      <c r="D2453" s="247">
        <f>'Table S2 Compound Identifiers'!B2455</f>
        <v>0</v>
      </c>
      <c r="E2453" s="247"/>
      <c r="F2453" s="248"/>
      <c r="G2453" s="249"/>
      <c r="H2453" s="330"/>
      <c r="I2453" s="328"/>
      <c r="J2453" s="249"/>
      <c r="K2453" s="330"/>
      <c r="L2453" s="250"/>
      <c r="M2453" s="249"/>
      <c r="N2453" s="330"/>
      <c r="O2453" s="250"/>
      <c r="P2453" s="249"/>
      <c r="Q2453" s="330"/>
      <c r="R2453" s="250"/>
      <c r="S2453" s="249"/>
      <c r="T2453" s="330"/>
      <c r="U2453" s="250"/>
      <c r="V2453" s="249"/>
      <c r="W2453" s="330"/>
      <c r="X2453" s="343"/>
      <c r="Y2453" s="249"/>
      <c r="Z2453" s="330"/>
      <c r="AA2453" s="343"/>
      <c r="AB2453" s="249"/>
      <c r="AC2453" s="330"/>
      <c r="AD2453" s="343"/>
      <c r="AE2453" s="249"/>
      <c r="AF2453" s="330"/>
      <c r="AG2453" s="343"/>
      <c r="AH2453" s="249"/>
      <c r="AI2453" s="330"/>
      <c r="AJ2453" s="343"/>
      <c r="AK2453" s="249"/>
      <c r="AL2453" s="330"/>
      <c r="AM2453" s="343"/>
      <c r="AN2453" s="249"/>
      <c r="AO2453" s="330"/>
      <c r="AP2453" s="343"/>
      <c r="AQ2453" s="249"/>
      <c r="AR2453" s="330"/>
      <c r="AS2453" s="343"/>
      <c r="AT2453" s="249"/>
      <c r="AU2453" s="330"/>
    </row>
    <row r="2454" spans="2:47">
      <c r="B2454" s="247">
        <f>'Table S2 Compound Identifiers'!C2456</f>
        <v>0</v>
      </c>
      <c r="C2454" s="247">
        <f>COUNTIF($D$6:D2454,"&lt;&gt;"&amp;"")</f>
        <v>2449</v>
      </c>
      <c r="D2454" s="247">
        <f>'Table S2 Compound Identifiers'!B2456</f>
        <v>0</v>
      </c>
      <c r="E2454" s="247"/>
      <c r="F2454" s="248"/>
      <c r="G2454" s="249"/>
      <c r="H2454" s="330"/>
      <c r="I2454" s="328"/>
      <c r="J2454" s="249"/>
      <c r="K2454" s="330"/>
      <c r="L2454" s="250"/>
      <c r="M2454" s="249"/>
      <c r="N2454" s="330"/>
      <c r="O2454" s="250"/>
      <c r="P2454" s="249"/>
      <c r="Q2454" s="330"/>
      <c r="R2454" s="250"/>
      <c r="S2454" s="249"/>
      <c r="T2454" s="330"/>
      <c r="U2454" s="250"/>
      <c r="V2454" s="249"/>
      <c r="W2454" s="330"/>
      <c r="X2454" s="343"/>
      <c r="Y2454" s="249"/>
      <c r="Z2454" s="330"/>
      <c r="AA2454" s="343"/>
      <c r="AB2454" s="249"/>
      <c r="AC2454" s="330"/>
      <c r="AD2454" s="343"/>
      <c r="AE2454" s="249"/>
      <c r="AF2454" s="330"/>
      <c r="AG2454" s="343"/>
      <c r="AH2454" s="249"/>
      <c r="AI2454" s="330"/>
      <c r="AJ2454" s="343"/>
      <c r="AK2454" s="249"/>
      <c r="AL2454" s="330"/>
      <c r="AM2454" s="343"/>
      <c r="AN2454" s="249"/>
      <c r="AO2454" s="330"/>
      <c r="AP2454" s="343"/>
      <c r="AQ2454" s="249"/>
      <c r="AR2454" s="330"/>
      <c r="AS2454" s="343"/>
      <c r="AT2454" s="249"/>
      <c r="AU2454" s="330"/>
    </row>
    <row r="2455" spans="2:47">
      <c r="B2455" s="247">
        <f>'Table S2 Compound Identifiers'!C2457</f>
        <v>0</v>
      </c>
      <c r="C2455" s="247">
        <f>COUNTIF($D$6:D2455,"&lt;&gt;"&amp;"")</f>
        <v>2450</v>
      </c>
      <c r="D2455" s="247">
        <f>'Table S2 Compound Identifiers'!B2457</f>
        <v>0</v>
      </c>
      <c r="E2455" s="247"/>
      <c r="F2455" s="248"/>
      <c r="G2455" s="249"/>
      <c r="H2455" s="330"/>
      <c r="I2455" s="328"/>
      <c r="J2455" s="249"/>
      <c r="K2455" s="330"/>
      <c r="L2455" s="250"/>
      <c r="M2455" s="249"/>
      <c r="N2455" s="330"/>
      <c r="O2455" s="250"/>
      <c r="P2455" s="249"/>
      <c r="Q2455" s="330"/>
      <c r="R2455" s="250"/>
      <c r="S2455" s="249"/>
      <c r="T2455" s="330"/>
      <c r="U2455" s="250"/>
      <c r="V2455" s="249"/>
      <c r="W2455" s="330"/>
      <c r="X2455" s="343"/>
      <c r="Y2455" s="249"/>
      <c r="Z2455" s="330"/>
      <c r="AA2455" s="343"/>
      <c r="AB2455" s="249"/>
      <c r="AC2455" s="330"/>
      <c r="AD2455" s="343"/>
      <c r="AE2455" s="249"/>
      <c r="AF2455" s="330"/>
      <c r="AG2455" s="343"/>
      <c r="AH2455" s="249"/>
      <c r="AI2455" s="330"/>
      <c r="AJ2455" s="343"/>
      <c r="AK2455" s="249"/>
      <c r="AL2455" s="330"/>
      <c r="AM2455" s="343"/>
      <c r="AN2455" s="249"/>
      <c r="AO2455" s="330"/>
      <c r="AP2455" s="343"/>
      <c r="AQ2455" s="249"/>
      <c r="AR2455" s="330"/>
      <c r="AS2455" s="343"/>
      <c r="AT2455" s="249"/>
      <c r="AU2455" s="330"/>
    </row>
    <row r="2456" spans="2:47">
      <c r="B2456" s="247">
        <f>'Table S2 Compound Identifiers'!C2458</f>
        <v>0</v>
      </c>
      <c r="C2456" s="247">
        <f>COUNTIF($D$6:D2456,"&lt;&gt;"&amp;"")</f>
        <v>2451</v>
      </c>
      <c r="D2456" s="247">
        <f>'Table S2 Compound Identifiers'!B2458</f>
        <v>0</v>
      </c>
      <c r="E2456" s="247"/>
      <c r="F2456" s="248"/>
      <c r="G2456" s="249"/>
      <c r="H2456" s="330"/>
      <c r="I2456" s="328"/>
      <c r="J2456" s="249"/>
      <c r="K2456" s="330"/>
      <c r="L2456" s="250"/>
      <c r="M2456" s="249"/>
      <c r="N2456" s="330"/>
      <c r="O2456" s="250"/>
      <c r="P2456" s="249"/>
      <c r="Q2456" s="330"/>
      <c r="R2456" s="250"/>
      <c r="S2456" s="249"/>
      <c r="T2456" s="330"/>
      <c r="U2456" s="250"/>
      <c r="V2456" s="249"/>
      <c r="W2456" s="330"/>
      <c r="X2456" s="343"/>
      <c r="Y2456" s="249"/>
      <c r="Z2456" s="330"/>
      <c r="AA2456" s="343"/>
      <c r="AB2456" s="249"/>
      <c r="AC2456" s="330"/>
      <c r="AD2456" s="343"/>
      <c r="AE2456" s="249"/>
      <c r="AF2456" s="330"/>
      <c r="AG2456" s="343"/>
      <c r="AH2456" s="249"/>
      <c r="AI2456" s="330"/>
      <c r="AJ2456" s="343"/>
      <c r="AK2456" s="249"/>
      <c r="AL2456" s="330"/>
      <c r="AM2456" s="343"/>
      <c r="AN2456" s="249"/>
      <c r="AO2456" s="330"/>
      <c r="AP2456" s="343"/>
      <c r="AQ2456" s="249"/>
      <c r="AR2456" s="330"/>
      <c r="AS2456" s="343"/>
      <c r="AT2456" s="249"/>
      <c r="AU2456" s="330"/>
    </row>
    <row r="2457" spans="2:47">
      <c r="B2457" s="247">
        <f>'Table S2 Compound Identifiers'!C2459</f>
        <v>0</v>
      </c>
      <c r="C2457" s="247">
        <f>COUNTIF($D$6:D2457,"&lt;&gt;"&amp;"")</f>
        <v>2452</v>
      </c>
      <c r="D2457" s="247">
        <f>'Table S2 Compound Identifiers'!B2459</f>
        <v>0</v>
      </c>
      <c r="E2457" s="247"/>
      <c r="F2457" s="248"/>
      <c r="G2457" s="249"/>
      <c r="H2457" s="330"/>
      <c r="I2457" s="328"/>
      <c r="J2457" s="249"/>
      <c r="K2457" s="330"/>
      <c r="L2457" s="250"/>
      <c r="M2457" s="249"/>
      <c r="N2457" s="330"/>
      <c r="O2457" s="250"/>
      <c r="P2457" s="249"/>
      <c r="Q2457" s="330"/>
      <c r="R2457" s="250"/>
      <c r="S2457" s="249"/>
      <c r="T2457" s="330"/>
      <c r="U2457" s="250"/>
      <c r="V2457" s="249"/>
      <c r="W2457" s="330"/>
      <c r="X2457" s="343"/>
      <c r="Y2457" s="249"/>
      <c r="Z2457" s="330"/>
      <c r="AA2457" s="343"/>
      <c r="AB2457" s="249"/>
      <c r="AC2457" s="330"/>
      <c r="AD2457" s="343"/>
      <c r="AE2457" s="249"/>
      <c r="AF2457" s="330"/>
      <c r="AG2457" s="343"/>
      <c r="AH2457" s="249"/>
      <c r="AI2457" s="330"/>
      <c r="AJ2457" s="343"/>
      <c r="AK2457" s="249"/>
      <c r="AL2457" s="330"/>
      <c r="AM2457" s="343"/>
      <c r="AN2457" s="249"/>
      <c r="AO2457" s="330"/>
      <c r="AP2457" s="343"/>
      <c r="AQ2457" s="249"/>
      <c r="AR2457" s="330"/>
      <c r="AS2457" s="343"/>
      <c r="AT2457" s="249"/>
      <c r="AU2457" s="330"/>
    </row>
    <row r="2458" spans="2:47">
      <c r="B2458" s="247">
        <f>'Table S2 Compound Identifiers'!C2460</f>
        <v>0</v>
      </c>
      <c r="C2458" s="247">
        <f>COUNTIF($D$6:D2458,"&lt;&gt;"&amp;"")</f>
        <v>2453</v>
      </c>
      <c r="D2458" s="247">
        <f>'Table S2 Compound Identifiers'!B2460</f>
        <v>0</v>
      </c>
      <c r="E2458" s="247"/>
      <c r="F2458" s="248"/>
      <c r="G2458" s="249"/>
      <c r="H2458" s="330"/>
      <c r="I2458" s="328"/>
      <c r="J2458" s="249"/>
      <c r="K2458" s="330"/>
      <c r="L2458" s="250"/>
      <c r="M2458" s="249"/>
      <c r="N2458" s="330"/>
      <c r="O2458" s="250"/>
      <c r="P2458" s="249"/>
      <c r="Q2458" s="330"/>
      <c r="R2458" s="250"/>
      <c r="S2458" s="249"/>
      <c r="T2458" s="330"/>
      <c r="U2458" s="250"/>
      <c r="V2458" s="249"/>
      <c r="W2458" s="330"/>
      <c r="X2458" s="343"/>
      <c r="Y2458" s="249"/>
      <c r="Z2458" s="330"/>
      <c r="AA2458" s="343"/>
      <c r="AB2458" s="249"/>
      <c r="AC2458" s="330"/>
      <c r="AD2458" s="343"/>
      <c r="AE2458" s="249"/>
      <c r="AF2458" s="330"/>
      <c r="AG2458" s="343"/>
      <c r="AH2458" s="249"/>
      <c r="AI2458" s="330"/>
      <c r="AJ2458" s="343"/>
      <c r="AK2458" s="249"/>
      <c r="AL2458" s="330"/>
      <c r="AM2458" s="343"/>
      <c r="AN2458" s="249"/>
      <c r="AO2458" s="330"/>
      <c r="AP2458" s="343"/>
      <c r="AQ2458" s="249"/>
      <c r="AR2458" s="330"/>
      <c r="AS2458" s="343"/>
      <c r="AT2458" s="249"/>
      <c r="AU2458" s="330"/>
    </row>
    <row r="2459" spans="2:47">
      <c r="B2459" s="247">
        <f>'Table S2 Compound Identifiers'!C2461</f>
        <v>0</v>
      </c>
      <c r="C2459" s="247">
        <f>COUNTIF($D$6:D2459,"&lt;&gt;"&amp;"")</f>
        <v>2454</v>
      </c>
      <c r="D2459" s="247">
        <f>'Table S2 Compound Identifiers'!B2461</f>
        <v>0</v>
      </c>
      <c r="E2459" s="247"/>
      <c r="F2459" s="248"/>
      <c r="G2459" s="249"/>
      <c r="H2459" s="330"/>
      <c r="I2459" s="328"/>
      <c r="J2459" s="249"/>
      <c r="K2459" s="330"/>
      <c r="L2459" s="250"/>
      <c r="M2459" s="249"/>
      <c r="N2459" s="330"/>
      <c r="O2459" s="250"/>
      <c r="P2459" s="249"/>
      <c r="Q2459" s="330"/>
      <c r="R2459" s="250"/>
      <c r="S2459" s="249"/>
      <c r="T2459" s="330"/>
      <c r="U2459" s="250"/>
      <c r="V2459" s="249"/>
      <c r="W2459" s="330"/>
      <c r="X2459" s="343"/>
      <c r="Y2459" s="249"/>
      <c r="Z2459" s="330"/>
      <c r="AA2459" s="343"/>
      <c r="AB2459" s="249"/>
      <c r="AC2459" s="330"/>
      <c r="AD2459" s="343"/>
      <c r="AE2459" s="249"/>
      <c r="AF2459" s="330"/>
      <c r="AG2459" s="343"/>
      <c r="AH2459" s="249"/>
      <c r="AI2459" s="330"/>
      <c r="AJ2459" s="343"/>
      <c r="AK2459" s="249"/>
      <c r="AL2459" s="330"/>
      <c r="AM2459" s="343"/>
      <c r="AN2459" s="249"/>
      <c r="AO2459" s="330"/>
      <c r="AP2459" s="343"/>
      <c r="AQ2459" s="249"/>
      <c r="AR2459" s="330"/>
      <c r="AS2459" s="343"/>
      <c r="AT2459" s="249"/>
      <c r="AU2459" s="330"/>
    </row>
    <row r="2460" spans="2:47">
      <c r="B2460" s="247">
        <f>'Table S2 Compound Identifiers'!C2462</f>
        <v>0</v>
      </c>
      <c r="C2460" s="247">
        <f>COUNTIF($D$6:D2460,"&lt;&gt;"&amp;"")</f>
        <v>2455</v>
      </c>
      <c r="D2460" s="247">
        <f>'Table S2 Compound Identifiers'!B2462</f>
        <v>0</v>
      </c>
      <c r="E2460" s="247"/>
      <c r="F2460" s="248"/>
      <c r="G2460" s="249"/>
      <c r="H2460" s="330"/>
      <c r="I2460" s="328"/>
      <c r="J2460" s="249"/>
      <c r="K2460" s="330"/>
      <c r="L2460" s="250"/>
      <c r="M2460" s="249"/>
      <c r="N2460" s="330"/>
      <c r="O2460" s="250"/>
      <c r="P2460" s="249"/>
      <c r="Q2460" s="330"/>
      <c r="R2460" s="250"/>
      <c r="S2460" s="249"/>
      <c r="T2460" s="330"/>
      <c r="U2460" s="250"/>
      <c r="V2460" s="249"/>
      <c r="W2460" s="330"/>
      <c r="X2460" s="343"/>
      <c r="Y2460" s="249"/>
      <c r="Z2460" s="330"/>
      <c r="AA2460" s="343"/>
      <c r="AB2460" s="249"/>
      <c r="AC2460" s="330"/>
      <c r="AD2460" s="343"/>
      <c r="AE2460" s="249"/>
      <c r="AF2460" s="330"/>
      <c r="AG2460" s="343"/>
      <c r="AH2460" s="249"/>
      <c r="AI2460" s="330"/>
      <c r="AJ2460" s="343"/>
      <c r="AK2460" s="249"/>
      <c r="AL2460" s="330"/>
      <c r="AM2460" s="343"/>
      <c r="AN2460" s="249"/>
      <c r="AO2460" s="330"/>
      <c r="AP2460" s="343"/>
      <c r="AQ2460" s="249"/>
      <c r="AR2460" s="330"/>
      <c r="AS2460" s="343"/>
      <c r="AT2460" s="249"/>
      <c r="AU2460" s="330"/>
    </row>
    <row r="2461" spans="2:47">
      <c r="B2461" s="247">
        <f>'Table S2 Compound Identifiers'!C2463</f>
        <v>0</v>
      </c>
      <c r="C2461" s="247">
        <f>COUNTIF($D$6:D2461,"&lt;&gt;"&amp;"")</f>
        <v>2456</v>
      </c>
      <c r="D2461" s="247">
        <f>'Table S2 Compound Identifiers'!B2463</f>
        <v>0</v>
      </c>
      <c r="E2461" s="247"/>
      <c r="F2461" s="248"/>
      <c r="G2461" s="249"/>
      <c r="H2461" s="330"/>
      <c r="I2461" s="328"/>
      <c r="J2461" s="249"/>
      <c r="K2461" s="330"/>
      <c r="L2461" s="250"/>
      <c r="M2461" s="249"/>
      <c r="N2461" s="330"/>
      <c r="O2461" s="250"/>
      <c r="P2461" s="249"/>
      <c r="Q2461" s="330"/>
      <c r="R2461" s="250"/>
      <c r="S2461" s="249"/>
      <c r="T2461" s="330"/>
      <c r="U2461" s="250"/>
      <c r="V2461" s="249"/>
      <c r="W2461" s="330"/>
      <c r="X2461" s="343"/>
      <c r="Y2461" s="249"/>
      <c r="Z2461" s="330"/>
      <c r="AA2461" s="343"/>
      <c r="AB2461" s="249"/>
      <c r="AC2461" s="330"/>
      <c r="AD2461" s="343"/>
      <c r="AE2461" s="249"/>
      <c r="AF2461" s="330"/>
      <c r="AG2461" s="343"/>
      <c r="AH2461" s="249"/>
      <c r="AI2461" s="330"/>
      <c r="AJ2461" s="343"/>
      <c r="AK2461" s="249"/>
      <c r="AL2461" s="330"/>
      <c r="AM2461" s="343"/>
      <c r="AN2461" s="249"/>
      <c r="AO2461" s="330"/>
      <c r="AP2461" s="343"/>
      <c r="AQ2461" s="249"/>
      <c r="AR2461" s="330"/>
      <c r="AS2461" s="343"/>
      <c r="AT2461" s="249"/>
      <c r="AU2461" s="330"/>
    </row>
    <row r="2462" spans="2:47">
      <c r="B2462" s="247">
        <f>'Table S2 Compound Identifiers'!C2464</f>
        <v>0</v>
      </c>
      <c r="C2462" s="247">
        <f>COUNTIF($D$6:D2462,"&lt;&gt;"&amp;"")</f>
        <v>2457</v>
      </c>
      <c r="D2462" s="247">
        <f>'Table S2 Compound Identifiers'!B2464</f>
        <v>0</v>
      </c>
      <c r="E2462" s="247"/>
      <c r="F2462" s="248"/>
      <c r="G2462" s="249"/>
      <c r="H2462" s="330"/>
      <c r="I2462" s="328"/>
      <c r="J2462" s="249"/>
      <c r="K2462" s="330"/>
      <c r="L2462" s="250"/>
      <c r="M2462" s="249"/>
      <c r="N2462" s="330"/>
      <c r="O2462" s="250"/>
      <c r="P2462" s="249"/>
      <c r="Q2462" s="330"/>
      <c r="R2462" s="250"/>
      <c r="S2462" s="249"/>
      <c r="T2462" s="330"/>
      <c r="U2462" s="250"/>
      <c r="V2462" s="249"/>
      <c r="W2462" s="330"/>
      <c r="X2462" s="343"/>
      <c r="Y2462" s="249"/>
      <c r="Z2462" s="330"/>
      <c r="AA2462" s="343"/>
      <c r="AB2462" s="249"/>
      <c r="AC2462" s="330"/>
      <c r="AD2462" s="343"/>
      <c r="AE2462" s="249"/>
      <c r="AF2462" s="330"/>
      <c r="AG2462" s="343"/>
      <c r="AH2462" s="249"/>
      <c r="AI2462" s="330"/>
      <c r="AJ2462" s="343"/>
      <c r="AK2462" s="249"/>
      <c r="AL2462" s="330"/>
      <c r="AM2462" s="343"/>
      <c r="AN2462" s="249"/>
      <c r="AO2462" s="330"/>
      <c r="AP2462" s="343"/>
      <c r="AQ2462" s="249"/>
      <c r="AR2462" s="330"/>
      <c r="AS2462" s="343"/>
      <c r="AT2462" s="249"/>
      <c r="AU2462" s="330"/>
    </row>
    <row r="2463" spans="2:47">
      <c r="B2463" s="247">
        <f>'Table S2 Compound Identifiers'!C2465</f>
        <v>0</v>
      </c>
      <c r="C2463" s="247">
        <f>COUNTIF($D$6:D2463,"&lt;&gt;"&amp;"")</f>
        <v>2458</v>
      </c>
      <c r="D2463" s="247">
        <f>'Table S2 Compound Identifiers'!B2465</f>
        <v>0</v>
      </c>
      <c r="E2463" s="247"/>
      <c r="F2463" s="248"/>
      <c r="G2463" s="249"/>
      <c r="H2463" s="330"/>
      <c r="I2463" s="328"/>
      <c r="J2463" s="249"/>
      <c r="K2463" s="330"/>
      <c r="L2463" s="250"/>
      <c r="M2463" s="249"/>
      <c r="N2463" s="330"/>
      <c r="O2463" s="250"/>
      <c r="P2463" s="249"/>
      <c r="Q2463" s="330"/>
      <c r="R2463" s="250"/>
      <c r="S2463" s="249"/>
      <c r="T2463" s="330"/>
      <c r="U2463" s="250"/>
      <c r="V2463" s="249"/>
      <c r="W2463" s="330"/>
      <c r="X2463" s="343"/>
      <c r="Y2463" s="249"/>
      <c r="Z2463" s="330"/>
      <c r="AA2463" s="343"/>
      <c r="AB2463" s="249"/>
      <c r="AC2463" s="330"/>
      <c r="AD2463" s="343"/>
      <c r="AE2463" s="249"/>
      <c r="AF2463" s="330"/>
      <c r="AG2463" s="343"/>
      <c r="AH2463" s="249"/>
      <c r="AI2463" s="330"/>
      <c r="AJ2463" s="343"/>
      <c r="AK2463" s="249"/>
      <c r="AL2463" s="330"/>
      <c r="AM2463" s="343"/>
      <c r="AN2463" s="249"/>
      <c r="AO2463" s="330"/>
      <c r="AP2463" s="343"/>
      <c r="AQ2463" s="249"/>
      <c r="AR2463" s="330"/>
      <c r="AS2463" s="343"/>
      <c r="AT2463" s="249"/>
      <c r="AU2463" s="330"/>
    </row>
    <row r="2464" spans="2:47">
      <c r="B2464" s="247">
        <f>'Table S2 Compound Identifiers'!C2466</f>
        <v>0</v>
      </c>
      <c r="C2464" s="247">
        <f>COUNTIF($D$6:D2464,"&lt;&gt;"&amp;"")</f>
        <v>2459</v>
      </c>
      <c r="D2464" s="247">
        <f>'Table S2 Compound Identifiers'!B2466</f>
        <v>0</v>
      </c>
      <c r="E2464" s="247"/>
      <c r="F2464" s="248"/>
      <c r="G2464" s="249"/>
      <c r="H2464" s="330"/>
      <c r="I2464" s="328"/>
      <c r="J2464" s="249"/>
      <c r="K2464" s="330"/>
      <c r="L2464" s="250"/>
      <c r="M2464" s="249"/>
      <c r="N2464" s="330"/>
      <c r="O2464" s="250"/>
      <c r="P2464" s="249"/>
      <c r="Q2464" s="330"/>
      <c r="R2464" s="250"/>
      <c r="S2464" s="249"/>
      <c r="T2464" s="330"/>
      <c r="U2464" s="250"/>
      <c r="V2464" s="249"/>
      <c r="W2464" s="330"/>
      <c r="X2464" s="343"/>
      <c r="Y2464" s="249"/>
      <c r="Z2464" s="330"/>
      <c r="AA2464" s="343"/>
      <c r="AB2464" s="249"/>
      <c r="AC2464" s="330"/>
      <c r="AD2464" s="343"/>
      <c r="AE2464" s="249"/>
      <c r="AF2464" s="330"/>
      <c r="AG2464" s="343"/>
      <c r="AH2464" s="249"/>
      <c r="AI2464" s="330"/>
      <c r="AJ2464" s="343"/>
      <c r="AK2464" s="249"/>
      <c r="AL2464" s="330"/>
      <c r="AM2464" s="343"/>
      <c r="AN2464" s="249"/>
      <c r="AO2464" s="330"/>
      <c r="AP2464" s="343"/>
      <c r="AQ2464" s="249"/>
      <c r="AR2464" s="330"/>
      <c r="AS2464" s="343"/>
      <c r="AT2464" s="249"/>
      <c r="AU2464" s="330"/>
    </row>
    <row r="2465" spans="2:47">
      <c r="B2465" s="247">
        <f>'Table S2 Compound Identifiers'!C2467</f>
        <v>0</v>
      </c>
      <c r="C2465" s="247">
        <f>COUNTIF($D$6:D2465,"&lt;&gt;"&amp;"")</f>
        <v>2460</v>
      </c>
      <c r="D2465" s="247">
        <f>'Table S2 Compound Identifiers'!B2467</f>
        <v>0</v>
      </c>
      <c r="E2465" s="247"/>
      <c r="F2465" s="248"/>
      <c r="G2465" s="249"/>
      <c r="H2465" s="330"/>
      <c r="I2465" s="328"/>
      <c r="J2465" s="249"/>
      <c r="K2465" s="330"/>
      <c r="L2465" s="250"/>
      <c r="M2465" s="249"/>
      <c r="N2465" s="330"/>
      <c r="O2465" s="250"/>
      <c r="P2465" s="249"/>
      <c r="Q2465" s="330"/>
      <c r="R2465" s="250"/>
      <c r="S2465" s="249"/>
      <c r="T2465" s="330"/>
      <c r="U2465" s="250"/>
      <c r="V2465" s="249"/>
      <c r="W2465" s="330"/>
      <c r="X2465" s="343"/>
      <c r="Y2465" s="249"/>
      <c r="Z2465" s="330"/>
      <c r="AA2465" s="343"/>
      <c r="AB2465" s="249"/>
      <c r="AC2465" s="330"/>
      <c r="AD2465" s="343"/>
      <c r="AE2465" s="249"/>
      <c r="AF2465" s="330"/>
      <c r="AG2465" s="343"/>
      <c r="AH2465" s="249"/>
      <c r="AI2465" s="330"/>
      <c r="AJ2465" s="343"/>
      <c r="AK2465" s="249"/>
      <c r="AL2465" s="330"/>
      <c r="AM2465" s="343"/>
      <c r="AN2465" s="249"/>
      <c r="AO2465" s="330"/>
      <c r="AP2465" s="343"/>
      <c r="AQ2465" s="249"/>
      <c r="AR2465" s="330"/>
      <c r="AS2465" s="343"/>
      <c r="AT2465" s="249"/>
      <c r="AU2465" s="330"/>
    </row>
    <row r="2466" spans="2:47">
      <c r="B2466" s="247">
        <f>'Table S2 Compound Identifiers'!C2468</f>
        <v>0</v>
      </c>
      <c r="C2466" s="247">
        <f>COUNTIF($D$6:D2466,"&lt;&gt;"&amp;"")</f>
        <v>2461</v>
      </c>
      <c r="D2466" s="247">
        <f>'Table S2 Compound Identifiers'!B2468</f>
        <v>0</v>
      </c>
      <c r="E2466" s="247"/>
      <c r="F2466" s="248"/>
      <c r="G2466" s="249"/>
      <c r="H2466" s="330"/>
      <c r="I2466" s="328"/>
      <c r="J2466" s="249"/>
      <c r="K2466" s="330"/>
      <c r="L2466" s="250"/>
      <c r="M2466" s="249"/>
      <c r="N2466" s="330"/>
      <c r="O2466" s="250"/>
      <c r="P2466" s="249"/>
      <c r="Q2466" s="330"/>
      <c r="R2466" s="250"/>
      <c r="S2466" s="249"/>
      <c r="T2466" s="330"/>
      <c r="U2466" s="250"/>
      <c r="V2466" s="249"/>
      <c r="W2466" s="330"/>
      <c r="X2466" s="343"/>
      <c r="Y2466" s="249"/>
      <c r="Z2466" s="330"/>
      <c r="AA2466" s="343"/>
      <c r="AB2466" s="249"/>
      <c r="AC2466" s="330"/>
      <c r="AD2466" s="343"/>
      <c r="AE2466" s="249"/>
      <c r="AF2466" s="330"/>
      <c r="AG2466" s="343"/>
      <c r="AH2466" s="249"/>
      <c r="AI2466" s="330"/>
      <c r="AJ2466" s="343"/>
      <c r="AK2466" s="249"/>
      <c r="AL2466" s="330"/>
      <c r="AM2466" s="343"/>
      <c r="AN2466" s="249"/>
      <c r="AO2466" s="330"/>
      <c r="AP2466" s="343"/>
      <c r="AQ2466" s="249"/>
      <c r="AR2466" s="330"/>
      <c r="AS2466" s="343"/>
      <c r="AT2466" s="249"/>
      <c r="AU2466" s="330"/>
    </row>
    <row r="2467" spans="2:47">
      <c r="B2467" s="247">
        <f>'Table S2 Compound Identifiers'!C2469</f>
        <v>0</v>
      </c>
      <c r="C2467" s="247">
        <f>COUNTIF($D$6:D2467,"&lt;&gt;"&amp;"")</f>
        <v>2462</v>
      </c>
      <c r="D2467" s="247">
        <f>'Table S2 Compound Identifiers'!B2469</f>
        <v>0</v>
      </c>
      <c r="E2467" s="247"/>
      <c r="F2467" s="248"/>
      <c r="G2467" s="249"/>
      <c r="H2467" s="330"/>
      <c r="I2467" s="328"/>
      <c r="J2467" s="249"/>
      <c r="K2467" s="330"/>
      <c r="L2467" s="250"/>
      <c r="M2467" s="249"/>
      <c r="N2467" s="330"/>
      <c r="O2467" s="250"/>
      <c r="P2467" s="249"/>
      <c r="Q2467" s="330"/>
      <c r="R2467" s="250"/>
      <c r="S2467" s="249"/>
      <c r="T2467" s="330"/>
      <c r="U2467" s="250"/>
      <c r="V2467" s="249"/>
      <c r="W2467" s="330"/>
      <c r="X2467" s="343"/>
      <c r="Y2467" s="249"/>
      <c r="Z2467" s="330"/>
      <c r="AA2467" s="343"/>
      <c r="AB2467" s="249"/>
      <c r="AC2467" s="330"/>
      <c r="AD2467" s="343"/>
      <c r="AE2467" s="249"/>
      <c r="AF2467" s="330"/>
      <c r="AG2467" s="343"/>
      <c r="AH2467" s="249"/>
      <c r="AI2467" s="330"/>
      <c r="AJ2467" s="343"/>
      <c r="AK2467" s="249"/>
      <c r="AL2467" s="330"/>
      <c r="AM2467" s="343"/>
      <c r="AN2467" s="249"/>
      <c r="AO2467" s="330"/>
      <c r="AP2467" s="343"/>
      <c r="AQ2467" s="249"/>
      <c r="AR2467" s="330"/>
      <c r="AS2467" s="343"/>
      <c r="AT2467" s="249"/>
      <c r="AU2467" s="330"/>
    </row>
    <row r="2468" spans="2:47">
      <c r="B2468" s="247">
        <f>'Table S2 Compound Identifiers'!C2470</f>
        <v>0</v>
      </c>
      <c r="C2468" s="247">
        <f>COUNTIF($D$6:D2468,"&lt;&gt;"&amp;"")</f>
        <v>2463</v>
      </c>
      <c r="D2468" s="247">
        <f>'Table S2 Compound Identifiers'!B2470</f>
        <v>0</v>
      </c>
      <c r="E2468" s="247"/>
      <c r="F2468" s="248"/>
      <c r="G2468" s="249"/>
      <c r="H2468" s="330"/>
      <c r="I2468" s="328"/>
      <c r="J2468" s="249"/>
      <c r="K2468" s="330"/>
      <c r="L2468" s="250"/>
      <c r="M2468" s="249"/>
      <c r="N2468" s="330"/>
      <c r="O2468" s="250"/>
      <c r="P2468" s="249"/>
      <c r="Q2468" s="330"/>
      <c r="R2468" s="250"/>
      <c r="S2468" s="249"/>
      <c r="T2468" s="330"/>
      <c r="U2468" s="250"/>
      <c r="V2468" s="249"/>
      <c r="W2468" s="330"/>
      <c r="X2468" s="343"/>
      <c r="Y2468" s="249"/>
      <c r="Z2468" s="330"/>
      <c r="AA2468" s="343"/>
      <c r="AB2468" s="249"/>
      <c r="AC2468" s="330"/>
      <c r="AD2468" s="343"/>
      <c r="AE2468" s="249"/>
      <c r="AF2468" s="330"/>
      <c r="AG2468" s="343"/>
      <c r="AH2468" s="249"/>
      <c r="AI2468" s="330"/>
      <c r="AJ2468" s="343"/>
      <c r="AK2468" s="249"/>
      <c r="AL2468" s="330"/>
      <c r="AM2468" s="343"/>
      <c r="AN2468" s="249"/>
      <c r="AO2468" s="330"/>
      <c r="AP2468" s="343"/>
      <c r="AQ2468" s="249"/>
      <c r="AR2468" s="330"/>
      <c r="AS2468" s="343"/>
      <c r="AT2468" s="249"/>
      <c r="AU2468" s="330"/>
    </row>
    <row r="2469" spans="2:47">
      <c r="B2469" s="247">
        <f>'Table S2 Compound Identifiers'!C2471</f>
        <v>0</v>
      </c>
      <c r="C2469" s="247">
        <f>COUNTIF($D$6:D2469,"&lt;&gt;"&amp;"")</f>
        <v>2464</v>
      </c>
      <c r="D2469" s="247">
        <f>'Table S2 Compound Identifiers'!B2471</f>
        <v>0</v>
      </c>
      <c r="E2469" s="247"/>
      <c r="F2469" s="248"/>
      <c r="G2469" s="249"/>
      <c r="H2469" s="330"/>
      <c r="I2469" s="328"/>
      <c r="J2469" s="249"/>
      <c r="K2469" s="330"/>
      <c r="L2469" s="250"/>
      <c r="M2469" s="249"/>
      <c r="N2469" s="330"/>
      <c r="O2469" s="250"/>
      <c r="P2469" s="249"/>
      <c r="Q2469" s="330"/>
      <c r="R2469" s="250"/>
      <c r="S2469" s="249"/>
      <c r="T2469" s="330"/>
      <c r="U2469" s="250"/>
      <c r="V2469" s="249"/>
      <c r="W2469" s="330"/>
      <c r="X2469" s="343"/>
      <c r="Y2469" s="249"/>
      <c r="Z2469" s="330"/>
      <c r="AA2469" s="343"/>
      <c r="AB2469" s="249"/>
      <c r="AC2469" s="330"/>
      <c r="AD2469" s="343"/>
      <c r="AE2469" s="249"/>
      <c r="AF2469" s="330"/>
      <c r="AG2469" s="343"/>
      <c r="AH2469" s="249"/>
      <c r="AI2469" s="330"/>
      <c r="AJ2469" s="343"/>
      <c r="AK2469" s="249"/>
      <c r="AL2469" s="330"/>
      <c r="AM2469" s="343"/>
      <c r="AN2469" s="249"/>
      <c r="AO2469" s="330"/>
      <c r="AP2469" s="343"/>
      <c r="AQ2469" s="249"/>
      <c r="AR2469" s="330"/>
      <c r="AS2469" s="343"/>
      <c r="AT2469" s="249"/>
      <c r="AU2469" s="330"/>
    </row>
    <row r="2470" spans="2:47">
      <c r="B2470" s="247">
        <f>'Table S2 Compound Identifiers'!C2472</f>
        <v>0</v>
      </c>
      <c r="C2470" s="247">
        <f>COUNTIF($D$6:D2470,"&lt;&gt;"&amp;"")</f>
        <v>2465</v>
      </c>
      <c r="D2470" s="247">
        <f>'Table S2 Compound Identifiers'!B2472</f>
        <v>0</v>
      </c>
      <c r="E2470" s="247"/>
      <c r="F2470" s="248"/>
      <c r="G2470" s="249"/>
      <c r="H2470" s="330"/>
      <c r="I2470" s="328"/>
      <c r="J2470" s="249"/>
      <c r="K2470" s="330"/>
      <c r="L2470" s="250"/>
      <c r="M2470" s="249"/>
      <c r="N2470" s="330"/>
      <c r="O2470" s="250"/>
      <c r="P2470" s="249"/>
      <c r="Q2470" s="330"/>
      <c r="R2470" s="250"/>
      <c r="S2470" s="249"/>
      <c r="T2470" s="330"/>
      <c r="U2470" s="250"/>
      <c r="V2470" s="249"/>
      <c r="W2470" s="330"/>
      <c r="X2470" s="343"/>
      <c r="Y2470" s="249"/>
      <c r="Z2470" s="330"/>
      <c r="AA2470" s="343"/>
      <c r="AB2470" s="249"/>
      <c r="AC2470" s="330"/>
      <c r="AD2470" s="343"/>
      <c r="AE2470" s="249"/>
      <c r="AF2470" s="330"/>
      <c r="AG2470" s="343"/>
      <c r="AH2470" s="249"/>
      <c r="AI2470" s="330"/>
      <c r="AJ2470" s="343"/>
      <c r="AK2470" s="249"/>
      <c r="AL2470" s="330"/>
      <c r="AM2470" s="343"/>
      <c r="AN2470" s="249"/>
      <c r="AO2470" s="330"/>
      <c r="AP2470" s="343"/>
      <c r="AQ2470" s="249"/>
      <c r="AR2470" s="330"/>
      <c r="AS2470" s="343"/>
      <c r="AT2470" s="249"/>
      <c r="AU2470" s="330"/>
    </row>
    <row r="2471" spans="2:47">
      <c r="B2471" s="247">
        <f>'Table S2 Compound Identifiers'!C2473</f>
        <v>0</v>
      </c>
      <c r="C2471" s="247">
        <f>COUNTIF($D$6:D2471,"&lt;&gt;"&amp;"")</f>
        <v>2466</v>
      </c>
      <c r="D2471" s="247">
        <f>'Table S2 Compound Identifiers'!B2473</f>
        <v>0</v>
      </c>
      <c r="E2471" s="247"/>
      <c r="F2471" s="248"/>
      <c r="G2471" s="249"/>
      <c r="H2471" s="330"/>
      <c r="I2471" s="328"/>
      <c r="J2471" s="249"/>
      <c r="K2471" s="330"/>
      <c r="L2471" s="250"/>
      <c r="M2471" s="249"/>
      <c r="N2471" s="330"/>
      <c r="O2471" s="250"/>
      <c r="P2471" s="249"/>
      <c r="Q2471" s="330"/>
      <c r="R2471" s="250"/>
      <c r="S2471" s="249"/>
      <c r="T2471" s="330"/>
      <c r="U2471" s="250"/>
      <c r="V2471" s="249"/>
      <c r="W2471" s="330"/>
      <c r="X2471" s="343"/>
      <c r="Y2471" s="249"/>
      <c r="Z2471" s="330"/>
      <c r="AA2471" s="343"/>
      <c r="AB2471" s="249"/>
      <c r="AC2471" s="330"/>
      <c r="AD2471" s="343"/>
      <c r="AE2471" s="249"/>
      <c r="AF2471" s="330"/>
      <c r="AG2471" s="343"/>
      <c r="AH2471" s="249"/>
      <c r="AI2471" s="330"/>
      <c r="AJ2471" s="343"/>
      <c r="AK2471" s="249"/>
      <c r="AL2471" s="330"/>
      <c r="AM2471" s="343"/>
      <c r="AN2471" s="249"/>
      <c r="AO2471" s="330"/>
      <c r="AP2471" s="343"/>
      <c r="AQ2471" s="249"/>
      <c r="AR2471" s="330"/>
      <c r="AS2471" s="343"/>
      <c r="AT2471" s="249"/>
      <c r="AU2471" s="330"/>
    </row>
    <row r="2472" spans="2:47">
      <c r="B2472" s="247">
        <f>'Table S2 Compound Identifiers'!C2474</f>
        <v>0</v>
      </c>
      <c r="C2472" s="247">
        <f>COUNTIF($D$6:D2472,"&lt;&gt;"&amp;"")</f>
        <v>2467</v>
      </c>
      <c r="D2472" s="247">
        <f>'Table S2 Compound Identifiers'!B2474</f>
        <v>0</v>
      </c>
      <c r="E2472" s="247"/>
      <c r="F2472" s="248"/>
      <c r="G2472" s="249"/>
      <c r="H2472" s="330"/>
      <c r="I2472" s="328"/>
      <c r="J2472" s="249"/>
      <c r="K2472" s="330"/>
      <c r="L2472" s="250"/>
      <c r="M2472" s="249"/>
      <c r="N2472" s="330"/>
      <c r="O2472" s="250"/>
      <c r="P2472" s="249"/>
      <c r="Q2472" s="330"/>
      <c r="R2472" s="250"/>
      <c r="S2472" s="249"/>
      <c r="T2472" s="330"/>
      <c r="U2472" s="250"/>
      <c r="V2472" s="249"/>
      <c r="W2472" s="330"/>
      <c r="X2472" s="343"/>
      <c r="Y2472" s="249"/>
      <c r="Z2472" s="330"/>
      <c r="AA2472" s="343"/>
      <c r="AB2472" s="249"/>
      <c r="AC2472" s="330"/>
      <c r="AD2472" s="343"/>
      <c r="AE2472" s="249"/>
      <c r="AF2472" s="330"/>
      <c r="AG2472" s="343"/>
      <c r="AH2472" s="249"/>
      <c r="AI2472" s="330"/>
      <c r="AJ2472" s="343"/>
      <c r="AK2472" s="249"/>
      <c r="AL2472" s="330"/>
      <c r="AM2472" s="343"/>
      <c r="AN2472" s="249"/>
      <c r="AO2472" s="330"/>
      <c r="AP2472" s="343"/>
      <c r="AQ2472" s="249"/>
      <c r="AR2472" s="330"/>
      <c r="AS2472" s="343"/>
      <c r="AT2472" s="249"/>
      <c r="AU2472" s="330"/>
    </row>
    <row r="2473" spans="2:47">
      <c r="B2473" s="247">
        <f>'Table S2 Compound Identifiers'!C2475</f>
        <v>0</v>
      </c>
      <c r="C2473" s="247">
        <f>COUNTIF($D$6:D2473,"&lt;&gt;"&amp;"")</f>
        <v>2468</v>
      </c>
      <c r="D2473" s="247">
        <f>'Table S2 Compound Identifiers'!B2475</f>
        <v>0</v>
      </c>
      <c r="E2473" s="247"/>
      <c r="F2473" s="248"/>
      <c r="G2473" s="249"/>
      <c r="H2473" s="330"/>
      <c r="I2473" s="328"/>
      <c r="J2473" s="249"/>
      <c r="K2473" s="330"/>
      <c r="L2473" s="250"/>
      <c r="M2473" s="249"/>
      <c r="N2473" s="330"/>
      <c r="O2473" s="250"/>
      <c r="P2473" s="249"/>
      <c r="Q2473" s="330"/>
      <c r="R2473" s="250"/>
      <c r="S2473" s="249"/>
      <c r="T2473" s="330"/>
      <c r="U2473" s="250"/>
      <c r="V2473" s="249"/>
      <c r="W2473" s="330"/>
      <c r="X2473" s="343"/>
      <c r="Y2473" s="249"/>
      <c r="Z2473" s="330"/>
      <c r="AA2473" s="343"/>
      <c r="AB2473" s="249"/>
      <c r="AC2473" s="330"/>
      <c r="AD2473" s="343"/>
      <c r="AE2473" s="249"/>
      <c r="AF2473" s="330"/>
      <c r="AG2473" s="343"/>
      <c r="AH2473" s="249"/>
      <c r="AI2473" s="330"/>
      <c r="AJ2473" s="343"/>
      <c r="AK2473" s="249"/>
      <c r="AL2473" s="330"/>
      <c r="AM2473" s="343"/>
      <c r="AN2473" s="249"/>
      <c r="AO2473" s="330"/>
      <c r="AP2473" s="343"/>
      <c r="AQ2473" s="249"/>
      <c r="AR2473" s="330"/>
      <c r="AS2473" s="343"/>
      <c r="AT2473" s="249"/>
      <c r="AU2473" s="330"/>
    </row>
    <row r="2474" spans="2:47">
      <c r="B2474" s="247">
        <f>'Table S2 Compound Identifiers'!C2476</f>
        <v>0</v>
      </c>
      <c r="C2474" s="247">
        <f>COUNTIF($D$6:D2474,"&lt;&gt;"&amp;"")</f>
        <v>2469</v>
      </c>
      <c r="D2474" s="247">
        <f>'Table S2 Compound Identifiers'!B2476</f>
        <v>0</v>
      </c>
      <c r="E2474" s="247"/>
      <c r="F2474" s="248"/>
      <c r="G2474" s="249"/>
      <c r="H2474" s="330"/>
      <c r="I2474" s="328"/>
      <c r="J2474" s="249"/>
      <c r="K2474" s="330"/>
      <c r="L2474" s="250"/>
      <c r="M2474" s="249"/>
      <c r="N2474" s="330"/>
      <c r="O2474" s="250"/>
      <c r="P2474" s="249"/>
      <c r="Q2474" s="330"/>
      <c r="R2474" s="250"/>
      <c r="S2474" s="249"/>
      <c r="T2474" s="330"/>
      <c r="U2474" s="250"/>
      <c r="V2474" s="249"/>
      <c r="W2474" s="330"/>
      <c r="X2474" s="343"/>
      <c r="Y2474" s="249"/>
      <c r="Z2474" s="330"/>
      <c r="AA2474" s="343"/>
      <c r="AB2474" s="249"/>
      <c r="AC2474" s="330"/>
      <c r="AD2474" s="343"/>
      <c r="AE2474" s="249"/>
      <c r="AF2474" s="330"/>
      <c r="AG2474" s="343"/>
      <c r="AH2474" s="249"/>
      <c r="AI2474" s="330"/>
      <c r="AJ2474" s="343"/>
      <c r="AK2474" s="249"/>
      <c r="AL2474" s="330"/>
      <c r="AM2474" s="343"/>
      <c r="AN2474" s="249"/>
      <c r="AO2474" s="330"/>
      <c r="AP2474" s="343"/>
      <c r="AQ2474" s="249"/>
      <c r="AR2474" s="330"/>
      <c r="AS2474" s="343"/>
      <c r="AT2474" s="249"/>
      <c r="AU2474" s="330"/>
    </row>
    <row r="2475" spans="2:47">
      <c r="B2475" s="247">
        <f>'Table S2 Compound Identifiers'!C2477</f>
        <v>0</v>
      </c>
      <c r="C2475" s="247">
        <f>COUNTIF($D$6:D2475,"&lt;&gt;"&amp;"")</f>
        <v>2470</v>
      </c>
      <c r="D2475" s="247">
        <f>'Table S2 Compound Identifiers'!B2477</f>
        <v>0</v>
      </c>
      <c r="E2475" s="247"/>
      <c r="F2475" s="248"/>
      <c r="G2475" s="249"/>
      <c r="H2475" s="330"/>
      <c r="I2475" s="328"/>
      <c r="J2475" s="249"/>
      <c r="K2475" s="330"/>
      <c r="L2475" s="250"/>
      <c r="M2475" s="249"/>
      <c r="N2475" s="330"/>
      <c r="O2475" s="250"/>
      <c r="P2475" s="249"/>
      <c r="Q2475" s="330"/>
      <c r="R2475" s="250"/>
      <c r="S2475" s="249"/>
      <c r="T2475" s="330"/>
      <c r="U2475" s="250"/>
      <c r="V2475" s="249"/>
      <c r="W2475" s="330"/>
      <c r="X2475" s="343"/>
      <c r="Y2475" s="249"/>
      <c r="Z2475" s="330"/>
      <c r="AA2475" s="343"/>
      <c r="AB2475" s="249"/>
      <c r="AC2475" s="330"/>
      <c r="AD2475" s="343"/>
      <c r="AE2475" s="249"/>
      <c r="AF2475" s="330"/>
      <c r="AG2475" s="343"/>
      <c r="AH2475" s="249"/>
      <c r="AI2475" s="330"/>
      <c r="AJ2475" s="343"/>
      <c r="AK2475" s="249"/>
      <c r="AL2475" s="330"/>
      <c r="AM2475" s="343"/>
      <c r="AN2475" s="249"/>
      <c r="AO2475" s="330"/>
      <c r="AP2475" s="343"/>
      <c r="AQ2475" s="249"/>
      <c r="AR2475" s="330"/>
      <c r="AS2475" s="343"/>
      <c r="AT2475" s="249"/>
      <c r="AU2475" s="330"/>
    </row>
    <row r="2476" spans="2:47">
      <c r="B2476" s="247">
        <f>'Table S2 Compound Identifiers'!C2478</f>
        <v>0</v>
      </c>
      <c r="C2476" s="247">
        <f>COUNTIF($D$6:D2476,"&lt;&gt;"&amp;"")</f>
        <v>2471</v>
      </c>
      <c r="D2476" s="247">
        <f>'Table S2 Compound Identifiers'!B2478</f>
        <v>0</v>
      </c>
      <c r="E2476" s="247"/>
      <c r="F2476" s="248"/>
      <c r="G2476" s="249"/>
      <c r="H2476" s="330"/>
      <c r="I2476" s="328"/>
      <c r="J2476" s="249"/>
      <c r="K2476" s="330"/>
      <c r="L2476" s="250"/>
      <c r="M2476" s="249"/>
      <c r="N2476" s="330"/>
      <c r="O2476" s="250"/>
      <c r="P2476" s="249"/>
      <c r="Q2476" s="330"/>
      <c r="R2476" s="250"/>
      <c r="S2476" s="249"/>
      <c r="T2476" s="330"/>
      <c r="U2476" s="250"/>
      <c r="V2476" s="249"/>
      <c r="W2476" s="330"/>
      <c r="X2476" s="343"/>
      <c r="Y2476" s="249"/>
      <c r="Z2476" s="330"/>
      <c r="AA2476" s="343"/>
      <c r="AB2476" s="249"/>
      <c r="AC2476" s="330"/>
      <c r="AD2476" s="343"/>
      <c r="AE2476" s="249"/>
      <c r="AF2476" s="330"/>
      <c r="AG2476" s="343"/>
      <c r="AH2476" s="249"/>
      <c r="AI2476" s="330"/>
      <c r="AJ2476" s="343"/>
      <c r="AK2476" s="249"/>
      <c r="AL2476" s="330"/>
      <c r="AM2476" s="343"/>
      <c r="AN2476" s="249"/>
      <c r="AO2476" s="330"/>
      <c r="AP2476" s="343"/>
      <c r="AQ2476" s="249"/>
      <c r="AR2476" s="330"/>
      <c r="AS2476" s="343"/>
      <c r="AT2476" s="249"/>
      <c r="AU2476" s="330"/>
    </row>
    <row r="2477" spans="2:47">
      <c r="B2477" s="247">
        <f>'Table S2 Compound Identifiers'!C2479</f>
        <v>0</v>
      </c>
      <c r="C2477" s="247">
        <f>COUNTIF($D$6:D2477,"&lt;&gt;"&amp;"")</f>
        <v>2472</v>
      </c>
      <c r="D2477" s="247">
        <f>'Table S2 Compound Identifiers'!B2479</f>
        <v>0</v>
      </c>
      <c r="E2477" s="247"/>
      <c r="F2477" s="248"/>
      <c r="G2477" s="249"/>
      <c r="H2477" s="330"/>
      <c r="I2477" s="328"/>
      <c r="J2477" s="249"/>
      <c r="K2477" s="330"/>
      <c r="L2477" s="250"/>
      <c r="M2477" s="249"/>
      <c r="N2477" s="330"/>
      <c r="O2477" s="250"/>
      <c r="P2477" s="249"/>
      <c r="Q2477" s="330"/>
      <c r="R2477" s="250"/>
      <c r="S2477" s="249"/>
      <c r="T2477" s="330"/>
      <c r="U2477" s="250"/>
      <c r="V2477" s="249"/>
      <c r="W2477" s="330"/>
      <c r="X2477" s="343"/>
      <c r="Y2477" s="249"/>
      <c r="Z2477" s="330"/>
      <c r="AA2477" s="343"/>
      <c r="AB2477" s="249"/>
      <c r="AC2477" s="330"/>
      <c r="AD2477" s="343"/>
      <c r="AE2477" s="249"/>
      <c r="AF2477" s="330"/>
      <c r="AG2477" s="343"/>
      <c r="AH2477" s="249"/>
      <c r="AI2477" s="330"/>
      <c r="AJ2477" s="343"/>
      <c r="AK2477" s="249"/>
      <c r="AL2477" s="330"/>
      <c r="AM2477" s="343"/>
      <c r="AN2477" s="249"/>
      <c r="AO2477" s="330"/>
      <c r="AP2477" s="343"/>
      <c r="AQ2477" s="249"/>
      <c r="AR2477" s="330"/>
      <c r="AS2477" s="343"/>
      <c r="AT2477" s="249"/>
      <c r="AU2477" s="330"/>
    </row>
    <row r="2478" spans="2:47">
      <c r="B2478" s="247">
        <f>'Table S2 Compound Identifiers'!C2480</f>
        <v>0</v>
      </c>
      <c r="C2478" s="247">
        <f>COUNTIF($D$6:D2478,"&lt;&gt;"&amp;"")</f>
        <v>2473</v>
      </c>
      <c r="D2478" s="247">
        <f>'Table S2 Compound Identifiers'!B2480</f>
        <v>0</v>
      </c>
      <c r="E2478" s="247"/>
      <c r="F2478" s="248"/>
      <c r="G2478" s="249"/>
      <c r="H2478" s="330"/>
      <c r="I2478" s="328"/>
      <c r="J2478" s="249"/>
      <c r="K2478" s="330"/>
      <c r="L2478" s="250"/>
      <c r="M2478" s="249"/>
      <c r="N2478" s="330"/>
      <c r="O2478" s="250"/>
      <c r="P2478" s="249"/>
      <c r="Q2478" s="330"/>
      <c r="R2478" s="250"/>
      <c r="S2478" s="249"/>
      <c r="T2478" s="330"/>
      <c r="U2478" s="250"/>
      <c r="V2478" s="249"/>
      <c r="W2478" s="330"/>
      <c r="X2478" s="343"/>
      <c r="Y2478" s="249"/>
      <c r="Z2478" s="330"/>
      <c r="AA2478" s="343"/>
      <c r="AB2478" s="249"/>
      <c r="AC2478" s="330"/>
      <c r="AD2478" s="343"/>
      <c r="AE2478" s="249"/>
      <c r="AF2478" s="330"/>
      <c r="AG2478" s="343"/>
      <c r="AH2478" s="249"/>
      <c r="AI2478" s="330"/>
      <c r="AJ2478" s="343"/>
      <c r="AK2478" s="249"/>
      <c r="AL2478" s="330"/>
      <c r="AM2478" s="343"/>
      <c r="AN2478" s="249"/>
      <c r="AO2478" s="330"/>
      <c r="AP2478" s="343"/>
      <c r="AQ2478" s="249"/>
      <c r="AR2478" s="330"/>
      <c r="AS2478" s="343"/>
      <c r="AT2478" s="249"/>
      <c r="AU2478" s="330"/>
    </row>
    <row r="2479" spans="2:47">
      <c r="B2479" s="247">
        <f>'Table S2 Compound Identifiers'!C2481</f>
        <v>0</v>
      </c>
      <c r="C2479" s="247">
        <f>COUNTIF($D$6:D2479,"&lt;&gt;"&amp;"")</f>
        <v>2474</v>
      </c>
      <c r="D2479" s="247">
        <f>'Table S2 Compound Identifiers'!B2481</f>
        <v>0</v>
      </c>
      <c r="E2479" s="247"/>
      <c r="F2479" s="248"/>
      <c r="G2479" s="249"/>
      <c r="H2479" s="330"/>
      <c r="I2479" s="328"/>
      <c r="J2479" s="249"/>
      <c r="K2479" s="330"/>
      <c r="L2479" s="250"/>
      <c r="M2479" s="249"/>
      <c r="N2479" s="330"/>
      <c r="O2479" s="250"/>
      <c r="P2479" s="249"/>
      <c r="Q2479" s="330"/>
      <c r="R2479" s="250"/>
      <c r="S2479" s="249"/>
      <c r="T2479" s="330"/>
      <c r="U2479" s="250"/>
      <c r="V2479" s="249"/>
      <c r="W2479" s="330"/>
      <c r="X2479" s="343"/>
      <c r="Y2479" s="249"/>
      <c r="Z2479" s="330"/>
      <c r="AA2479" s="343"/>
      <c r="AB2479" s="249"/>
      <c r="AC2479" s="330"/>
      <c r="AD2479" s="343"/>
      <c r="AE2479" s="249"/>
      <c r="AF2479" s="330"/>
      <c r="AG2479" s="343"/>
      <c r="AH2479" s="249"/>
      <c r="AI2479" s="330"/>
      <c r="AJ2479" s="343"/>
      <c r="AK2479" s="249"/>
      <c r="AL2479" s="330"/>
      <c r="AM2479" s="343"/>
      <c r="AN2479" s="249"/>
      <c r="AO2479" s="330"/>
      <c r="AP2479" s="343"/>
      <c r="AQ2479" s="249"/>
      <c r="AR2479" s="330"/>
      <c r="AS2479" s="343"/>
      <c r="AT2479" s="249"/>
      <c r="AU2479" s="330"/>
    </row>
    <row r="2480" spans="2:47">
      <c r="B2480" s="247">
        <f>'Table S2 Compound Identifiers'!C2482</f>
        <v>0</v>
      </c>
      <c r="C2480" s="247">
        <f>COUNTIF($D$6:D2480,"&lt;&gt;"&amp;"")</f>
        <v>2475</v>
      </c>
      <c r="D2480" s="247">
        <f>'Table S2 Compound Identifiers'!B2482</f>
        <v>0</v>
      </c>
      <c r="E2480" s="247"/>
      <c r="F2480" s="248"/>
      <c r="G2480" s="249"/>
      <c r="H2480" s="330"/>
      <c r="I2480" s="328"/>
      <c r="J2480" s="249"/>
      <c r="K2480" s="330"/>
      <c r="L2480" s="250"/>
      <c r="M2480" s="249"/>
      <c r="N2480" s="330"/>
      <c r="O2480" s="250"/>
      <c r="P2480" s="249"/>
      <c r="Q2480" s="330"/>
      <c r="R2480" s="250"/>
      <c r="S2480" s="249"/>
      <c r="T2480" s="330"/>
      <c r="U2480" s="250"/>
      <c r="V2480" s="249"/>
      <c r="W2480" s="330"/>
      <c r="X2480" s="343"/>
      <c r="Y2480" s="249"/>
      <c r="Z2480" s="330"/>
      <c r="AA2480" s="343"/>
      <c r="AB2480" s="249"/>
      <c r="AC2480" s="330"/>
      <c r="AD2480" s="343"/>
      <c r="AE2480" s="249"/>
      <c r="AF2480" s="330"/>
      <c r="AG2480" s="343"/>
      <c r="AH2480" s="249"/>
      <c r="AI2480" s="330"/>
      <c r="AJ2480" s="343"/>
      <c r="AK2480" s="249"/>
      <c r="AL2480" s="330"/>
      <c r="AM2480" s="343"/>
      <c r="AN2480" s="249"/>
      <c r="AO2480" s="330"/>
      <c r="AP2480" s="343"/>
      <c r="AQ2480" s="249"/>
      <c r="AR2480" s="330"/>
      <c r="AS2480" s="343"/>
      <c r="AT2480" s="249"/>
      <c r="AU2480" s="330"/>
    </row>
    <row r="2481" spans="2:47">
      <c r="B2481" s="247">
        <f>'Table S2 Compound Identifiers'!C2483</f>
        <v>0</v>
      </c>
      <c r="C2481" s="247">
        <f>COUNTIF($D$6:D2481,"&lt;&gt;"&amp;"")</f>
        <v>2476</v>
      </c>
      <c r="D2481" s="247">
        <f>'Table S2 Compound Identifiers'!B2483</f>
        <v>0</v>
      </c>
      <c r="E2481" s="247"/>
      <c r="F2481" s="248"/>
      <c r="G2481" s="249"/>
      <c r="H2481" s="330"/>
      <c r="I2481" s="328"/>
      <c r="J2481" s="249"/>
      <c r="K2481" s="330"/>
      <c r="L2481" s="250"/>
      <c r="M2481" s="249"/>
      <c r="N2481" s="330"/>
      <c r="O2481" s="250"/>
      <c r="P2481" s="249"/>
      <c r="Q2481" s="330"/>
      <c r="R2481" s="250"/>
      <c r="S2481" s="249"/>
      <c r="T2481" s="330"/>
      <c r="U2481" s="250"/>
      <c r="V2481" s="249"/>
      <c r="W2481" s="330"/>
      <c r="X2481" s="343"/>
      <c r="Y2481" s="249"/>
      <c r="Z2481" s="330"/>
      <c r="AA2481" s="343"/>
      <c r="AB2481" s="249"/>
      <c r="AC2481" s="330"/>
      <c r="AD2481" s="343"/>
      <c r="AE2481" s="249"/>
      <c r="AF2481" s="330"/>
      <c r="AG2481" s="343"/>
      <c r="AH2481" s="249"/>
      <c r="AI2481" s="330"/>
      <c r="AJ2481" s="343"/>
      <c r="AK2481" s="249"/>
      <c r="AL2481" s="330"/>
      <c r="AM2481" s="343"/>
      <c r="AN2481" s="249"/>
      <c r="AO2481" s="330"/>
      <c r="AP2481" s="343"/>
      <c r="AQ2481" s="249"/>
      <c r="AR2481" s="330"/>
      <c r="AS2481" s="343"/>
      <c r="AT2481" s="249"/>
      <c r="AU2481" s="330"/>
    </row>
    <row r="2482" spans="2:47">
      <c r="B2482" s="247">
        <f>'Table S2 Compound Identifiers'!C2484</f>
        <v>0</v>
      </c>
      <c r="C2482" s="247">
        <f>COUNTIF($D$6:D2482,"&lt;&gt;"&amp;"")</f>
        <v>2477</v>
      </c>
      <c r="D2482" s="247">
        <f>'Table S2 Compound Identifiers'!B2484</f>
        <v>0</v>
      </c>
      <c r="E2482" s="247"/>
      <c r="F2482" s="248"/>
      <c r="G2482" s="249"/>
      <c r="H2482" s="330"/>
      <c r="I2482" s="328"/>
      <c r="J2482" s="249"/>
      <c r="K2482" s="330"/>
      <c r="L2482" s="250"/>
      <c r="M2482" s="249"/>
      <c r="N2482" s="330"/>
      <c r="O2482" s="250"/>
      <c r="P2482" s="249"/>
      <c r="Q2482" s="330"/>
      <c r="R2482" s="250"/>
      <c r="S2482" s="249"/>
      <c r="T2482" s="330"/>
      <c r="U2482" s="250"/>
      <c r="V2482" s="249"/>
      <c r="W2482" s="330"/>
      <c r="X2482" s="343"/>
      <c r="Y2482" s="249"/>
      <c r="Z2482" s="330"/>
      <c r="AA2482" s="343"/>
      <c r="AB2482" s="249"/>
      <c r="AC2482" s="330"/>
      <c r="AD2482" s="343"/>
      <c r="AE2482" s="249"/>
      <c r="AF2482" s="330"/>
      <c r="AG2482" s="343"/>
      <c r="AH2482" s="249"/>
      <c r="AI2482" s="330"/>
      <c r="AJ2482" s="343"/>
      <c r="AK2482" s="249"/>
      <c r="AL2482" s="330"/>
      <c r="AM2482" s="343"/>
      <c r="AN2482" s="249"/>
      <c r="AO2482" s="330"/>
      <c r="AP2482" s="343"/>
      <c r="AQ2482" s="249"/>
      <c r="AR2482" s="330"/>
      <c r="AS2482" s="343"/>
      <c r="AT2482" s="249"/>
      <c r="AU2482" s="330"/>
    </row>
    <row r="2483" spans="2:47">
      <c r="B2483" s="247">
        <f>'Table S2 Compound Identifiers'!C2485</f>
        <v>0</v>
      </c>
      <c r="C2483" s="247">
        <f>COUNTIF($D$6:D2483,"&lt;&gt;"&amp;"")</f>
        <v>2478</v>
      </c>
      <c r="D2483" s="247">
        <f>'Table S2 Compound Identifiers'!B2485</f>
        <v>0</v>
      </c>
      <c r="E2483" s="247"/>
      <c r="F2483" s="248"/>
      <c r="G2483" s="249"/>
      <c r="H2483" s="330"/>
      <c r="I2483" s="328"/>
      <c r="J2483" s="249"/>
      <c r="K2483" s="330"/>
      <c r="L2483" s="250"/>
      <c r="M2483" s="249"/>
      <c r="N2483" s="330"/>
      <c r="O2483" s="250"/>
      <c r="P2483" s="249"/>
      <c r="Q2483" s="330"/>
      <c r="R2483" s="250"/>
      <c r="S2483" s="249"/>
      <c r="T2483" s="330"/>
      <c r="U2483" s="250"/>
      <c r="V2483" s="249"/>
      <c r="W2483" s="330"/>
      <c r="X2483" s="343"/>
      <c r="Y2483" s="249"/>
      <c r="Z2483" s="330"/>
      <c r="AA2483" s="343"/>
      <c r="AB2483" s="249"/>
      <c r="AC2483" s="330"/>
      <c r="AD2483" s="343"/>
      <c r="AE2483" s="249"/>
      <c r="AF2483" s="330"/>
      <c r="AG2483" s="343"/>
      <c r="AH2483" s="249"/>
      <c r="AI2483" s="330"/>
      <c r="AJ2483" s="343"/>
      <c r="AK2483" s="249"/>
      <c r="AL2483" s="330"/>
      <c r="AM2483" s="343"/>
      <c r="AN2483" s="249"/>
      <c r="AO2483" s="330"/>
      <c r="AP2483" s="343"/>
      <c r="AQ2483" s="249"/>
      <c r="AR2483" s="330"/>
      <c r="AS2483" s="343"/>
      <c r="AT2483" s="249"/>
      <c r="AU2483" s="330"/>
    </row>
    <row r="2484" spans="2:47">
      <c r="B2484" s="247">
        <f>'Table S2 Compound Identifiers'!C2486</f>
        <v>0</v>
      </c>
      <c r="C2484" s="247">
        <f>COUNTIF($D$6:D2484,"&lt;&gt;"&amp;"")</f>
        <v>2479</v>
      </c>
      <c r="D2484" s="247">
        <f>'Table S2 Compound Identifiers'!B2486</f>
        <v>0</v>
      </c>
      <c r="E2484" s="247"/>
      <c r="F2484" s="248"/>
      <c r="G2484" s="249"/>
      <c r="H2484" s="330"/>
      <c r="I2484" s="328"/>
      <c r="J2484" s="249"/>
      <c r="K2484" s="330"/>
      <c r="L2484" s="250"/>
      <c r="M2484" s="249"/>
      <c r="N2484" s="330"/>
      <c r="O2484" s="250"/>
      <c r="P2484" s="249"/>
      <c r="Q2484" s="330"/>
      <c r="R2484" s="250"/>
      <c r="S2484" s="249"/>
      <c r="T2484" s="330"/>
      <c r="U2484" s="250"/>
      <c r="V2484" s="249"/>
      <c r="W2484" s="330"/>
      <c r="X2484" s="343"/>
      <c r="Y2484" s="249"/>
      <c r="Z2484" s="330"/>
      <c r="AA2484" s="343"/>
      <c r="AB2484" s="249"/>
      <c r="AC2484" s="330"/>
      <c r="AD2484" s="343"/>
      <c r="AE2484" s="249"/>
      <c r="AF2484" s="330"/>
      <c r="AG2484" s="343"/>
      <c r="AH2484" s="249"/>
      <c r="AI2484" s="330"/>
      <c r="AJ2484" s="343"/>
      <c r="AK2484" s="249"/>
      <c r="AL2484" s="330"/>
      <c r="AM2484" s="343"/>
      <c r="AN2484" s="249"/>
      <c r="AO2484" s="330"/>
      <c r="AP2484" s="343"/>
      <c r="AQ2484" s="249"/>
      <c r="AR2484" s="330"/>
      <c r="AS2484" s="343"/>
      <c r="AT2484" s="249"/>
      <c r="AU2484" s="330"/>
    </row>
    <row r="2485" spans="2:47">
      <c r="B2485" s="247">
        <f>'Table S2 Compound Identifiers'!C2487</f>
        <v>0</v>
      </c>
      <c r="C2485" s="247">
        <f>COUNTIF($D$6:D2485,"&lt;&gt;"&amp;"")</f>
        <v>2480</v>
      </c>
      <c r="D2485" s="247">
        <f>'Table S2 Compound Identifiers'!B2487</f>
        <v>0</v>
      </c>
      <c r="E2485" s="247"/>
      <c r="F2485" s="248"/>
      <c r="G2485" s="249"/>
      <c r="H2485" s="330"/>
      <c r="I2485" s="328"/>
      <c r="J2485" s="249"/>
      <c r="K2485" s="330"/>
      <c r="L2485" s="250"/>
      <c r="M2485" s="249"/>
      <c r="N2485" s="330"/>
      <c r="O2485" s="250"/>
      <c r="P2485" s="249"/>
      <c r="Q2485" s="330"/>
      <c r="R2485" s="250"/>
      <c r="S2485" s="249"/>
      <c r="T2485" s="330"/>
      <c r="U2485" s="250"/>
      <c r="V2485" s="249"/>
      <c r="W2485" s="330"/>
      <c r="X2485" s="343"/>
      <c r="Y2485" s="249"/>
      <c r="Z2485" s="330"/>
      <c r="AA2485" s="343"/>
      <c r="AB2485" s="249"/>
      <c r="AC2485" s="330"/>
      <c r="AD2485" s="343"/>
      <c r="AE2485" s="249"/>
      <c r="AF2485" s="330"/>
      <c r="AG2485" s="343"/>
      <c r="AH2485" s="249"/>
      <c r="AI2485" s="330"/>
      <c r="AJ2485" s="343"/>
      <c r="AK2485" s="249"/>
      <c r="AL2485" s="330"/>
      <c r="AM2485" s="343"/>
      <c r="AN2485" s="249"/>
      <c r="AO2485" s="330"/>
      <c r="AP2485" s="343"/>
      <c r="AQ2485" s="249"/>
      <c r="AR2485" s="330"/>
      <c r="AS2485" s="343"/>
      <c r="AT2485" s="249"/>
      <c r="AU2485" s="330"/>
    </row>
    <row r="2486" spans="2:47">
      <c r="B2486" s="247">
        <f>'Table S2 Compound Identifiers'!C2488</f>
        <v>0</v>
      </c>
      <c r="C2486" s="247">
        <f>COUNTIF($D$6:D2486,"&lt;&gt;"&amp;"")</f>
        <v>2481</v>
      </c>
      <c r="D2486" s="247">
        <f>'Table S2 Compound Identifiers'!B2488</f>
        <v>0</v>
      </c>
      <c r="E2486" s="247"/>
      <c r="F2486" s="248"/>
      <c r="G2486" s="249"/>
      <c r="H2486" s="330"/>
      <c r="I2486" s="328"/>
      <c r="J2486" s="249"/>
      <c r="K2486" s="330"/>
      <c r="L2486" s="250"/>
      <c r="M2486" s="249"/>
      <c r="N2486" s="330"/>
      <c r="O2486" s="250"/>
      <c r="P2486" s="249"/>
      <c r="Q2486" s="330"/>
      <c r="R2486" s="250"/>
      <c r="S2486" s="249"/>
      <c r="T2486" s="330"/>
      <c r="U2486" s="250"/>
      <c r="V2486" s="249"/>
      <c r="W2486" s="330"/>
      <c r="X2486" s="343"/>
      <c r="Y2486" s="249"/>
      <c r="Z2486" s="330"/>
      <c r="AA2486" s="343"/>
      <c r="AB2486" s="249"/>
      <c r="AC2486" s="330"/>
      <c r="AD2486" s="343"/>
      <c r="AE2486" s="249"/>
      <c r="AF2486" s="330"/>
      <c r="AG2486" s="343"/>
      <c r="AH2486" s="249"/>
      <c r="AI2486" s="330"/>
      <c r="AJ2486" s="343"/>
      <c r="AK2486" s="249"/>
      <c r="AL2486" s="330"/>
      <c r="AM2486" s="343"/>
      <c r="AN2486" s="249"/>
      <c r="AO2486" s="330"/>
      <c r="AP2486" s="343"/>
      <c r="AQ2486" s="249"/>
      <c r="AR2486" s="330"/>
      <c r="AS2486" s="343"/>
      <c r="AT2486" s="249"/>
      <c r="AU2486" s="330"/>
    </row>
    <row r="2487" spans="2:47">
      <c r="B2487" s="247">
        <f>'Table S2 Compound Identifiers'!C2489</f>
        <v>0</v>
      </c>
      <c r="C2487" s="247">
        <f>COUNTIF($D$6:D2487,"&lt;&gt;"&amp;"")</f>
        <v>2482</v>
      </c>
      <c r="D2487" s="247">
        <f>'Table S2 Compound Identifiers'!B2489</f>
        <v>0</v>
      </c>
      <c r="E2487" s="247"/>
      <c r="F2487" s="248"/>
      <c r="G2487" s="249"/>
      <c r="H2487" s="330"/>
      <c r="I2487" s="328"/>
      <c r="J2487" s="249"/>
      <c r="K2487" s="330"/>
      <c r="L2487" s="250"/>
      <c r="M2487" s="249"/>
      <c r="N2487" s="330"/>
      <c r="O2487" s="250"/>
      <c r="P2487" s="249"/>
      <c r="Q2487" s="330"/>
      <c r="R2487" s="250"/>
      <c r="S2487" s="249"/>
      <c r="T2487" s="330"/>
      <c r="U2487" s="250"/>
      <c r="V2487" s="249"/>
      <c r="W2487" s="330"/>
      <c r="X2487" s="343"/>
      <c r="Y2487" s="249"/>
      <c r="Z2487" s="330"/>
      <c r="AA2487" s="343"/>
      <c r="AB2487" s="249"/>
      <c r="AC2487" s="330"/>
      <c r="AD2487" s="343"/>
      <c r="AE2487" s="249"/>
      <c r="AF2487" s="330"/>
      <c r="AG2487" s="343"/>
      <c r="AH2487" s="249"/>
      <c r="AI2487" s="330"/>
      <c r="AJ2487" s="343"/>
      <c r="AK2487" s="249"/>
      <c r="AL2487" s="330"/>
      <c r="AM2487" s="343"/>
      <c r="AN2487" s="249"/>
      <c r="AO2487" s="330"/>
      <c r="AP2487" s="343"/>
      <c r="AQ2487" s="249"/>
      <c r="AR2487" s="330"/>
      <c r="AS2487" s="343"/>
      <c r="AT2487" s="249"/>
      <c r="AU2487" s="330"/>
    </row>
    <row r="2488" spans="2:47">
      <c r="B2488" s="247">
        <f>'Table S2 Compound Identifiers'!C2490</f>
        <v>0</v>
      </c>
      <c r="C2488" s="247">
        <f>COUNTIF($D$6:D2488,"&lt;&gt;"&amp;"")</f>
        <v>2483</v>
      </c>
      <c r="D2488" s="247">
        <f>'Table S2 Compound Identifiers'!B2490</f>
        <v>0</v>
      </c>
      <c r="E2488" s="247"/>
      <c r="F2488" s="248"/>
      <c r="G2488" s="249"/>
      <c r="H2488" s="330"/>
      <c r="I2488" s="328"/>
      <c r="J2488" s="249"/>
      <c r="K2488" s="330"/>
      <c r="L2488" s="250"/>
      <c r="M2488" s="249"/>
      <c r="N2488" s="330"/>
      <c r="O2488" s="250"/>
      <c r="P2488" s="249"/>
      <c r="Q2488" s="330"/>
      <c r="R2488" s="250"/>
      <c r="S2488" s="249"/>
      <c r="T2488" s="330"/>
      <c r="U2488" s="250"/>
      <c r="V2488" s="249"/>
      <c r="W2488" s="330"/>
      <c r="X2488" s="343"/>
      <c r="Y2488" s="249"/>
      <c r="Z2488" s="330"/>
      <c r="AA2488" s="343"/>
      <c r="AB2488" s="249"/>
      <c r="AC2488" s="330"/>
      <c r="AD2488" s="343"/>
      <c r="AE2488" s="249"/>
      <c r="AF2488" s="330"/>
      <c r="AG2488" s="343"/>
      <c r="AH2488" s="249"/>
      <c r="AI2488" s="330"/>
      <c r="AJ2488" s="343"/>
      <c r="AK2488" s="249"/>
      <c r="AL2488" s="330"/>
      <c r="AM2488" s="343"/>
      <c r="AN2488" s="249"/>
      <c r="AO2488" s="330"/>
      <c r="AP2488" s="343"/>
      <c r="AQ2488" s="249"/>
      <c r="AR2488" s="330"/>
      <c r="AS2488" s="343"/>
      <c r="AT2488" s="249"/>
      <c r="AU2488" s="330"/>
    </row>
    <row r="2489" spans="2:47">
      <c r="B2489" s="247">
        <f>'Table S2 Compound Identifiers'!C2491</f>
        <v>0</v>
      </c>
      <c r="C2489" s="247">
        <f>COUNTIF($D$6:D2489,"&lt;&gt;"&amp;"")</f>
        <v>2484</v>
      </c>
      <c r="D2489" s="247">
        <f>'Table S2 Compound Identifiers'!B2491</f>
        <v>0</v>
      </c>
      <c r="E2489" s="247"/>
      <c r="F2489" s="248"/>
      <c r="G2489" s="249"/>
      <c r="H2489" s="330"/>
      <c r="I2489" s="328"/>
      <c r="J2489" s="249"/>
      <c r="K2489" s="330"/>
      <c r="L2489" s="250"/>
      <c r="M2489" s="249"/>
      <c r="N2489" s="330"/>
      <c r="O2489" s="250"/>
      <c r="P2489" s="249"/>
      <c r="Q2489" s="330"/>
      <c r="R2489" s="250"/>
      <c r="S2489" s="249"/>
      <c r="T2489" s="330"/>
      <c r="U2489" s="250"/>
      <c r="V2489" s="249"/>
      <c r="W2489" s="330"/>
      <c r="X2489" s="343"/>
      <c r="Y2489" s="249"/>
      <c r="Z2489" s="330"/>
      <c r="AA2489" s="343"/>
      <c r="AB2489" s="249"/>
      <c r="AC2489" s="330"/>
      <c r="AD2489" s="343"/>
      <c r="AE2489" s="249"/>
      <c r="AF2489" s="330"/>
      <c r="AG2489" s="343"/>
      <c r="AH2489" s="249"/>
      <c r="AI2489" s="330"/>
      <c r="AJ2489" s="343"/>
      <c r="AK2489" s="249"/>
      <c r="AL2489" s="330"/>
      <c r="AM2489" s="343"/>
      <c r="AN2489" s="249"/>
      <c r="AO2489" s="330"/>
      <c r="AP2489" s="343"/>
      <c r="AQ2489" s="249"/>
      <c r="AR2489" s="330"/>
      <c r="AS2489" s="343"/>
      <c r="AT2489" s="249"/>
      <c r="AU2489" s="330"/>
    </row>
    <row r="2490" spans="2:47">
      <c r="B2490" s="247">
        <f>'Table S2 Compound Identifiers'!C2492</f>
        <v>0</v>
      </c>
      <c r="C2490" s="247">
        <f>COUNTIF($D$6:D2490,"&lt;&gt;"&amp;"")</f>
        <v>2485</v>
      </c>
      <c r="D2490" s="247">
        <f>'Table S2 Compound Identifiers'!B2492</f>
        <v>0</v>
      </c>
      <c r="E2490" s="247"/>
      <c r="F2490" s="248"/>
      <c r="G2490" s="249"/>
      <c r="H2490" s="330"/>
      <c r="I2490" s="328"/>
      <c r="J2490" s="249"/>
      <c r="K2490" s="330"/>
      <c r="L2490" s="250"/>
      <c r="M2490" s="249"/>
      <c r="N2490" s="330"/>
      <c r="O2490" s="250"/>
      <c r="P2490" s="249"/>
      <c r="Q2490" s="330"/>
      <c r="R2490" s="250"/>
      <c r="S2490" s="249"/>
      <c r="T2490" s="330"/>
      <c r="U2490" s="250"/>
      <c r="V2490" s="249"/>
      <c r="W2490" s="330"/>
      <c r="X2490" s="343"/>
      <c r="Y2490" s="249"/>
      <c r="Z2490" s="330"/>
      <c r="AA2490" s="343"/>
      <c r="AB2490" s="249"/>
      <c r="AC2490" s="330"/>
      <c r="AD2490" s="343"/>
      <c r="AE2490" s="249"/>
      <c r="AF2490" s="330"/>
      <c r="AG2490" s="343"/>
      <c r="AH2490" s="249"/>
      <c r="AI2490" s="330"/>
      <c r="AJ2490" s="343"/>
      <c r="AK2490" s="249"/>
      <c r="AL2490" s="330"/>
      <c r="AM2490" s="343"/>
      <c r="AN2490" s="249"/>
      <c r="AO2490" s="330"/>
      <c r="AP2490" s="343"/>
      <c r="AQ2490" s="249"/>
      <c r="AR2490" s="330"/>
      <c r="AS2490" s="343"/>
      <c r="AT2490" s="249"/>
      <c r="AU2490" s="330"/>
    </row>
    <row r="2491" spans="2:47">
      <c r="B2491" s="247">
        <f>'Table S2 Compound Identifiers'!C2493</f>
        <v>0</v>
      </c>
      <c r="C2491" s="247">
        <f>COUNTIF($D$6:D2491,"&lt;&gt;"&amp;"")</f>
        <v>2486</v>
      </c>
      <c r="D2491" s="247">
        <f>'Table S2 Compound Identifiers'!B2493</f>
        <v>0</v>
      </c>
      <c r="E2491" s="247"/>
      <c r="F2491" s="248"/>
      <c r="G2491" s="249"/>
      <c r="H2491" s="330"/>
      <c r="I2491" s="328"/>
      <c r="J2491" s="249"/>
      <c r="K2491" s="330"/>
      <c r="L2491" s="250"/>
      <c r="M2491" s="249"/>
      <c r="N2491" s="330"/>
      <c r="O2491" s="250"/>
      <c r="P2491" s="249"/>
      <c r="Q2491" s="330"/>
      <c r="R2491" s="250"/>
      <c r="S2491" s="249"/>
      <c r="T2491" s="330"/>
      <c r="U2491" s="250"/>
      <c r="V2491" s="249"/>
      <c r="W2491" s="330"/>
      <c r="X2491" s="343"/>
      <c r="Y2491" s="249"/>
      <c r="Z2491" s="330"/>
      <c r="AA2491" s="343"/>
      <c r="AB2491" s="249"/>
      <c r="AC2491" s="330"/>
      <c r="AD2491" s="343"/>
      <c r="AE2491" s="249"/>
      <c r="AF2491" s="330"/>
      <c r="AG2491" s="343"/>
      <c r="AH2491" s="249"/>
      <c r="AI2491" s="330"/>
      <c r="AJ2491" s="343"/>
      <c r="AK2491" s="249"/>
      <c r="AL2491" s="330"/>
      <c r="AM2491" s="343"/>
      <c r="AN2491" s="249"/>
      <c r="AO2491" s="330"/>
      <c r="AP2491" s="343"/>
      <c r="AQ2491" s="249"/>
      <c r="AR2491" s="330"/>
      <c r="AS2491" s="343"/>
      <c r="AT2491" s="249"/>
      <c r="AU2491" s="330"/>
    </row>
    <row r="2492" spans="2:47">
      <c r="B2492" s="247">
        <f>'Table S2 Compound Identifiers'!C2494</f>
        <v>0</v>
      </c>
      <c r="C2492" s="247">
        <f>COUNTIF($D$6:D2492,"&lt;&gt;"&amp;"")</f>
        <v>2487</v>
      </c>
      <c r="D2492" s="247">
        <f>'Table S2 Compound Identifiers'!B2494</f>
        <v>0</v>
      </c>
      <c r="E2492" s="247"/>
      <c r="F2492" s="248"/>
      <c r="G2492" s="249"/>
      <c r="H2492" s="330"/>
      <c r="I2492" s="328"/>
      <c r="J2492" s="249"/>
      <c r="K2492" s="330"/>
      <c r="L2492" s="250"/>
      <c r="M2492" s="249"/>
      <c r="N2492" s="330"/>
      <c r="O2492" s="250"/>
      <c r="P2492" s="249"/>
      <c r="Q2492" s="330"/>
      <c r="R2492" s="250"/>
      <c r="S2492" s="249"/>
      <c r="T2492" s="330"/>
      <c r="U2492" s="250"/>
      <c r="V2492" s="249"/>
      <c r="W2492" s="330"/>
      <c r="X2492" s="343"/>
      <c r="Y2492" s="249"/>
      <c r="Z2492" s="330"/>
      <c r="AA2492" s="343"/>
      <c r="AB2492" s="249"/>
      <c r="AC2492" s="330"/>
      <c r="AD2492" s="343"/>
      <c r="AE2492" s="249"/>
      <c r="AF2492" s="330"/>
      <c r="AG2492" s="343"/>
      <c r="AH2492" s="249"/>
      <c r="AI2492" s="330"/>
      <c r="AJ2492" s="343"/>
      <c r="AK2492" s="249"/>
      <c r="AL2492" s="330"/>
      <c r="AM2492" s="343"/>
      <c r="AN2492" s="249"/>
      <c r="AO2492" s="330"/>
      <c r="AP2492" s="343"/>
      <c r="AQ2492" s="249"/>
      <c r="AR2492" s="330"/>
      <c r="AS2492" s="343"/>
      <c r="AT2492" s="249"/>
      <c r="AU2492" s="330"/>
    </row>
    <row r="2493" spans="2:47">
      <c r="B2493" s="247">
        <f>'Table S2 Compound Identifiers'!C2495</f>
        <v>0</v>
      </c>
      <c r="C2493" s="247">
        <f>COUNTIF($D$6:D2493,"&lt;&gt;"&amp;"")</f>
        <v>2488</v>
      </c>
      <c r="D2493" s="247">
        <f>'Table S2 Compound Identifiers'!B2495</f>
        <v>0</v>
      </c>
      <c r="E2493" s="247"/>
      <c r="F2493" s="248"/>
      <c r="G2493" s="249"/>
      <c r="H2493" s="330"/>
      <c r="I2493" s="328"/>
      <c r="J2493" s="249"/>
      <c r="K2493" s="330"/>
      <c r="L2493" s="250"/>
      <c r="M2493" s="249"/>
      <c r="N2493" s="330"/>
      <c r="O2493" s="250"/>
      <c r="P2493" s="249"/>
      <c r="Q2493" s="330"/>
      <c r="R2493" s="250"/>
      <c r="S2493" s="249"/>
      <c r="T2493" s="330"/>
      <c r="U2493" s="250"/>
      <c r="V2493" s="249"/>
      <c r="W2493" s="330"/>
      <c r="X2493" s="343"/>
      <c r="Y2493" s="249"/>
      <c r="Z2493" s="330"/>
      <c r="AA2493" s="343"/>
      <c r="AB2493" s="249"/>
      <c r="AC2493" s="330"/>
      <c r="AD2493" s="343"/>
      <c r="AE2493" s="249"/>
      <c r="AF2493" s="330"/>
      <c r="AG2493" s="343"/>
      <c r="AH2493" s="249"/>
      <c r="AI2493" s="330"/>
      <c r="AJ2493" s="343"/>
      <c r="AK2493" s="249"/>
      <c r="AL2493" s="330"/>
      <c r="AM2493" s="343"/>
      <c r="AN2493" s="249"/>
      <c r="AO2493" s="330"/>
      <c r="AP2493" s="343"/>
      <c r="AQ2493" s="249"/>
      <c r="AR2493" s="330"/>
      <c r="AS2493" s="343"/>
      <c r="AT2493" s="249"/>
      <c r="AU2493" s="330"/>
    </row>
    <row r="2494" spans="2:47">
      <c r="B2494" s="247">
        <f>'Table S2 Compound Identifiers'!C2496</f>
        <v>0</v>
      </c>
      <c r="C2494" s="247">
        <f>COUNTIF($D$6:D2494,"&lt;&gt;"&amp;"")</f>
        <v>2489</v>
      </c>
      <c r="D2494" s="247">
        <f>'Table S2 Compound Identifiers'!B2496</f>
        <v>0</v>
      </c>
      <c r="E2494" s="247"/>
      <c r="F2494" s="248"/>
      <c r="G2494" s="249"/>
      <c r="H2494" s="330"/>
      <c r="I2494" s="328"/>
      <c r="J2494" s="249"/>
      <c r="K2494" s="330"/>
      <c r="L2494" s="250"/>
      <c r="M2494" s="249"/>
      <c r="N2494" s="330"/>
      <c r="O2494" s="250"/>
      <c r="P2494" s="249"/>
      <c r="Q2494" s="330"/>
      <c r="R2494" s="250"/>
      <c r="S2494" s="249"/>
      <c r="T2494" s="330"/>
      <c r="U2494" s="250"/>
      <c r="V2494" s="249"/>
      <c r="W2494" s="330"/>
      <c r="X2494" s="343"/>
      <c r="Y2494" s="249"/>
      <c r="Z2494" s="330"/>
      <c r="AA2494" s="343"/>
      <c r="AB2494" s="249"/>
      <c r="AC2494" s="330"/>
      <c r="AD2494" s="343"/>
      <c r="AE2494" s="249"/>
      <c r="AF2494" s="330"/>
      <c r="AG2494" s="343"/>
      <c r="AH2494" s="249"/>
      <c r="AI2494" s="330"/>
      <c r="AJ2494" s="343"/>
      <c r="AK2494" s="249"/>
      <c r="AL2494" s="330"/>
      <c r="AM2494" s="343"/>
      <c r="AN2494" s="249"/>
      <c r="AO2494" s="330"/>
      <c r="AP2494" s="343"/>
      <c r="AQ2494" s="249"/>
      <c r="AR2494" s="330"/>
      <c r="AS2494" s="343"/>
      <c r="AT2494" s="249"/>
      <c r="AU2494" s="330"/>
    </row>
    <row r="2495" spans="2:47">
      <c r="B2495" s="247">
        <f>'Table S2 Compound Identifiers'!C2497</f>
        <v>0</v>
      </c>
      <c r="C2495" s="247">
        <f>COUNTIF($D$6:D2495,"&lt;&gt;"&amp;"")</f>
        <v>2490</v>
      </c>
      <c r="D2495" s="247">
        <f>'Table S2 Compound Identifiers'!B2497</f>
        <v>0</v>
      </c>
      <c r="E2495" s="247"/>
      <c r="F2495" s="248"/>
      <c r="G2495" s="249"/>
      <c r="H2495" s="330"/>
      <c r="I2495" s="328"/>
      <c r="J2495" s="249"/>
      <c r="K2495" s="330"/>
      <c r="L2495" s="250"/>
      <c r="M2495" s="249"/>
      <c r="N2495" s="330"/>
      <c r="O2495" s="250"/>
      <c r="P2495" s="249"/>
      <c r="Q2495" s="330"/>
      <c r="R2495" s="250"/>
      <c r="S2495" s="249"/>
      <c r="T2495" s="330"/>
      <c r="U2495" s="250"/>
      <c r="V2495" s="249"/>
      <c r="W2495" s="330"/>
      <c r="X2495" s="343"/>
      <c r="Y2495" s="249"/>
      <c r="Z2495" s="330"/>
      <c r="AA2495" s="343"/>
      <c r="AB2495" s="249"/>
      <c r="AC2495" s="330"/>
      <c r="AD2495" s="343"/>
      <c r="AE2495" s="249"/>
      <c r="AF2495" s="330"/>
      <c r="AG2495" s="343"/>
      <c r="AH2495" s="249"/>
      <c r="AI2495" s="330"/>
      <c r="AJ2495" s="343"/>
      <c r="AK2495" s="249"/>
      <c r="AL2495" s="330"/>
      <c r="AM2495" s="343"/>
      <c r="AN2495" s="249"/>
      <c r="AO2495" s="330"/>
      <c r="AP2495" s="343"/>
      <c r="AQ2495" s="249"/>
      <c r="AR2495" s="330"/>
      <c r="AS2495" s="343"/>
      <c r="AT2495" s="249"/>
      <c r="AU2495" s="330"/>
    </row>
    <row r="2496" spans="2:47">
      <c r="B2496" s="247">
        <f>'Table S2 Compound Identifiers'!C2498</f>
        <v>0</v>
      </c>
      <c r="C2496" s="247">
        <f>COUNTIF($D$6:D2496,"&lt;&gt;"&amp;"")</f>
        <v>2491</v>
      </c>
      <c r="D2496" s="247">
        <f>'Table S2 Compound Identifiers'!B2498</f>
        <v>0</v>
      </c>
      <c r="E2496" s="247"/>
      <c r="F2496" s="248"/>
      <c r="G2496" s="249"/>
      <c r="H2496" s="330"/>
      <c r="I2496" s="328"/>
      <c r="J2496" s="249"/>
      <c r="K2496" s="330"/>
      <c r="L2496" s="250"/>
      <c r="M2496" s="249"/>
      <c r="N2496" s="330"/>
      <c r="O2496" s="250"/>
      <c r="P2496" s="249"/>
      <c r="Q2496" s="330"/>
      <c r="R2496" s="250"/>
      <c r="S2496" s="249"/>
      <c r="T2496" s="330"/>
      <c r="U2496" s="250"/>
      <c r="V2496" s="249"/>
      <c r="W2496" s="330"/>
      <c r="X2496" s="343"/>
      <c r="Y2496" s="249"/>
      <c r="Z2496" s="330"/>
      <c r="AA2496" s="343"/>
      <c r="AB2496" s="249"/>
      <c r="AC2496" s="330"/>
      <c r="AD2496" s="343"/>
      <c r="AE2496" s="249"/>
      <c r="AF2496" s="330"/>
      <c r="AG2496" s="343"/>
      <c r="AH2496" s="249"/>
      <c r="AI2496" s="330"/>
      <c r="AJ2496" s="343"/>
      <c r="AK2496" s="249"/>
      <c r="AL2496" s="330"/>
      <c r="AM2496" s="343"/>
      <c r="AN2496" s="249"/>
      <c r="AO2496" s="330"/>
      <c r="AP2496" s="343"/>
      <c r="AQ2496" s="249"/>
      <c r="AR2496" s="330"/>
      <c r="AS2496" s="343"/>
      <c r="AT2496" s="249"/>
      <c r="AU2496" s="330"/>
    </row>
    <row r="2497" spans="2:47">
      <c r="B2497" s="247">
        <f>'Table S2 Compound Identifiers'!C2499</f>
        <v>0</v>
      </c>
      <c r="C2497" s="247">
        <f>COUNTIF($D$6:D2497,"&lt;&gt;"&amp;"")</f>
        <v>2492</v>
      </c>
      <c r="D2497" s="247">
        <f>'Table S2 Compound Identifiers'!B2499</f>
        <v>0</v>
      </c>
      <c r="E2497" s="247"/>
      <c r="F2497" s="248"/>
      <c r="G2497" s="249"/>
      <c r="H2497" s="330"/>
      <c r="I2497" s="328"/>
      <c r="J2497" s="249"/>
      <c r="K2497" s="330"/>
      <c r="L2497" s="250"/>
      <c r="M2497" s="249"/>
      <c r="N2497" s="330"/>
      <c r="O2497" s="250"/>
      <c r="P2497" s="249"/>
      <c r="Q2497" s="330"/>
      <c r="R2497" s="250"/>
      <c r="S2497" s="249"/>
      <c r="T2497" s="330"/>
      <c r="U2497" s="250"/>
      <c r="V2497" s="249"/>
      <c r="W2497" s="330"/>
      <c r="X2497" s="343"/>
      <c r="Y2497" s="249"/>
      <c r="Z2497" s="330"/>
      <c r="AA2497" s="343"/>
      <c r="AB2497" s="249"/>
      <c r="AC2497" s="330"/>
      <c r="AD2497" s="343"/>
      <c r="AE2497" s="249"/>
      <c r="AF2497" s="330"/>
      <c r="AG2497" s="343"/>
      <c r="AH2497" s="249"/>
      <c r="AI2497" s="330"/>
      <c r="AJ2497" s="343"/>
      <c r="AK2497" s="249"/>
      <c r="AL2497" s="330"/>
      <c r="AM2497" s="343"/>
      <c r="AN2497" s="249"/>
      <c r="AO2497" s="330"/>
      <c r="AP2497" s="343"/>
      <c r="AQ2497" s="249"/>
      <c r="AR2497" s="330"/>
      <c r="AS2497" s="343"/>
      <c r="AT2497" s="249"/>
      <c r="AU2497" s="330"/>
    </row>
    <row r="2498" spans="2:47">
      <c r="B2498" s="247">
        <f>'Table S2 Compound Identifiers'!C2500</f>
        <v>0</v>
      </c>
      <c r="C2498" s="247">
        <f>COUNTIF($D$6:D2498,"&lt;&gt;"&amp;"")</f>
        <v>2493</v>
      </c>
      <c r="D2498" s="247">
        <f>'Table S2 Compound Identifiers'!B2500</f>
        <v>0</v>
      </c>
      <c r="E2498" s="247"/>
      <c r="F2498" s="248"/>
      <c r="G2498" s="249"/>
      <c r="H2498" s="330"/>
      <c r="I2498" s="328"/>
      <c r="J2498" s="249"/>
      <c r="K2498" s="330"/>
      <c r="L2498" s="250"/>
      <c r="M2498" s="249"/>
      <c r="N2498" s="330"/>
      <c r="O2498" s="250"/>
      <c r="P2498" s="249"/>
      <c r="Q2498" s="330"/>
      <c r="R2498" s="250"/>
      <c r="S2498" s="249"/>
      <c r="T2498" s="330"/>
      <c r="U2498" s="250"/>
      <c r="V2498" s="249"/>
      <c r="W2498" s="330"/>
      <c r="X2498" s="343"/>
      <c r="Y2498" s="249"/>
      <c r="Z2498" s="330"/>
      <c r="AA2498" s="343"/>
      <c r="AB2498" s="249"/>
      <c r="AC2498" s="330"/>
      <c r="AD2498" s="343"/>
      <c r="AE2498" s="249"/>
      <c r="AF2498" s="330"/>
      <c r="AG2498" s="343"/>
      <c r="AH2498" s="249"/>
      <c r="AI2498" s="330"/>
      <c r="AJ2498" s="343"/>
      <c r="AK2498" s="249"/>
      <c r="AL2498" s="330"/>
      <c r="AM2498" s="343"/>
      <c r="AN2498" s="249"/>
      <c r="AO2498" s="330"/>
      <c r="AP2498" s="343"/>
      <c r="AQ2498" s="249"/>
      <c r="AR2498" s="330"/>
      <c r="AS2498" s="343"/>
      <c r="AT2498" s="249"/>
      <c r="AU2498" s="330"/>
    </row>
    <row r="2499" spans="2:47">
      <c r="B2499" s="247">
        <f>'Table S2 Compound Identifiers'!C2501</f>
        <v>0</v>
      </c>
      <c r="C2499" s="247">
        <f>COUNTIF($D$6:D2499,"&lt;&gt;"&amp;"")</f>
        <v>2494</v>
      </c>
      <c r="D2499" s="247">
        <f>'Table S2 Compound Identifiers'!B2501</f>
        <v>0</v>
      </c>
      <c r="E2499" s="247"/>
      <c r="F2499" s="248"/>
      <c r="G2499" s="249"/>
      <c r="H2499" s="330"/>
      <c r="I2499" s="328"/>
      <c r="J2499" s="249"/>
      <c r="K2499" s="330"/>
      <c r="L2499" s="250"/>
      <c r="M2499" s="249"/>
      <c r="N2499" s="330"/>
      <c r="O2499" s="250"/>
      <c r="P2499" s="249"/>
      <c r="Q2499" s="330"/>
      <c r="R2499" s="250"/>
      <c r="S2499" s="249"/>
      <c r="T2499" s="330"/>
      <c r="U2499" s="250"/>
      <c r="V2499" s="249"/>
      <c r="W2499" s="330"/>
      <c r="X2499" s="343"/>
      <c r="Y2499" s="249"/>
      <c r="Z2499" s="330"/>
      <c r="AA2499" s="343"/>
      <c r="AB2499" s="249"/>
      <c r="AC2499" s="330"/>
      <c r="AD2499" s="343"/>
      <c r="AE2499" s="249"/>
      <c r="AF2499" s="330"/>
      <c r="AG2499" s="343"/>
      <c r="AH2499" s="249"/>
      <c r="AI2499" s="330"/>
      <c r="AJ2499" s="343"/>
      <c r="AK2499" s="249"/>
      <c r="AL2499" s="330"/>
      <c r="AM2499" s="343"/>
      <c r="AN2499" s="249"/>
      <c r="AO2499" s="330"/>
      <c r="AP2499" s="343"/>
      <c r="AQ2499" s="249"/>
      <c r="AR2499" s="330"/>
      <c r="AS2499" s="343"/>
      <c r="AT2499" s="249"/>
      <c r="AU2499" s="330"/>
    </row>
    <row r="2500" spans="2:47">
      <c r="B2500" s="247">
        <f>'Table S2 Compound Identifiers'!C2502</f>
        <v>0</v>
      </c>
      <c r="C2500" s="247">
        <f>COUNTIF($D$6:D2500,"&lt;&gt;"&amp;"")</f>
        <v>2495</v>
      </c>
      <c r="D2500" s="247">
        <f>'Table S2 Compound Identifiers'!B2502</f>
        <v>0</v>
      </c>
      <c r="E2500" s="247"/>
      <c r="F2500" s="248"/>
      <c r="G2500" s="249"/>
      <c r="H2500" s="330"/>
      <c r="I2500" s="328"/>
      <c r="J2500" s="249"/>
      <c r="K2500" s="330"/>
      <c r="L2500" s="250"/>
      <c r="M2500" s="249"/>
      <c r="N2500" s="330"/>
      <c r="O2500" s="250"/>
      <c r="P2500" s="249"/>
      <c r="Q2500" s="330"/>
      <c r="R2500" s="250"/>
      <c r="S2500" s="249"/>
      <c r="T2500" s="330"/>
      <c r="U2500" s="250"/>
      <c r="V2500" s="249"/>
      <c r="W2500" s="330"/>
      <c r="X2500" s="343"/>
      <c r="Y2500" s="249"/>
      <c r="Z2500" s="330"/>
      <c r="AA2500" s="343"/>
      <c r="AB2500" s="249"/>
      <c r="AC2500" s="330"/>
      <c r="AD2500" s="343"/>
      <c r="AE2500" s="249"/>
      <c r="AF2500" s="330"/>
      <c r="AG2500" s="343"/>
      <c r="AH2500" s="249"/>
      <c r="AI2500" s="330"/>
      <c r="AJ2500" s="343"/>
      <c r="AK2500" s="249"/>
      <c r="AL2500" s="330"/>
      <c r="AM2500" s="343"/>
      <c r="AN2500" s="249"/>
      <c r="AO2500" s="330"/>
      <c r="AP2500" s="343"/>
      <c r="AQ2500" s="249"/>
      <c r="AR2500" s="330"/>
      <c r="AS2500" s="343"/>
      <c r="AT2500" s="249"/>
      <c r="AU2500" s="330"/>
    </row>
    <row r="2501" spans="2:47">
      <c r="B2501" s="247">
        <f>'Table S2 Compound Identifiers'!C2503</f>
        <v>0</v>
      </c>
      <c r="C2501" s="247">
        <f>COUNTIF($D$6:D2501,"&lt;&gt;"&amp;"")</f>
        <v>2496</v>
      </c>
      <c r="D2501" s="247">
        <f>'Table S2 Compound Identifiers'!B2503</f>
        <v>0</v>
      </c>
      <c r="E2501" s="247"/>
      <c r="F2501" s="248"/>
      <c r="G2501" s="249"/>
      <c r="H2501" s="330"/>
      <c r="I2501" s="328"/>
      <c r="J2501" s="249"/>
      <c r="K2501" s="330"/>
      <c r="L2501" s="250"/>
      <c r="M2501" s="249"/>
      <c r="N2501" s="330"/>
      <c r="O2501" s="250"/>
      <c r="P2501" s="249"/>
      <c r="Q2501" s="330"/>
      <c r="R2501" s="250"/>
      <c r="S2501" s="249"/>
      <c r="T2501" s="330"/>
      <c r="U2501" s="250"/>
      <c r="V2501" s="249"/>
      <c r="W2501" s="330"/>
      <c r="X2501" s="343"/>
      <c r="Y2501" s="249"/>
      <c r="Z2501" s="330"/>
      <c r="AA2501" s="343"/>
      <c r="AB2501" s="249"/>
      <c r="AC2501" s="330"/>
      <c r="AD2501" s="343"/>
      <c r="AE2501" s="249"/>
      <c r="AF2501" s="330"/>
      <c r="AG2501" s="343"/>
      <c r="AH2501" s="249"/>
      <c r="AI2501" s="330"/>
      <c r="AJ2501" s="343"/>
      <c r="AK2501" s="249"/>
      <c r="AL2501" s="330"/>
      <c r="AM2501" s="343"/>
      <c r="AN2501" s="249"/>
      <c r="AO2501" s="330"/>
      <c r="AP2501" s="343"/>
      <c r="AQ2501" s="249"/>
      <c r="AR2501" s="330"/>
      <c r="AS2501" s="343"/>
      <c r="AT2501" s="249"/>
      <c r="AU2501" s="330"/>
    </row>
    <row r="2502" spans="2:47">
      <c r="B2502" s="247">
        <f>'Table S2 Compound Identifiers'!C2504</f>
        <v>0</v>
      </c>
      <c r="C2502" s="247">
        <f>COUNTIF($D$6:D2502,"&lt;&gt;"&amp;"")</f>
        <v>2497</v>
      </c>
      <c r="D2502" s="247">
        <f>'Table S2 Compound Identifiers'!B2504</f>
        <v>0</v>
      </c>
      <c r="E2502" s="247"/>
      <c r="F2502" s="248"/>
      <c r="G2502" s="249"/>
      <c r="H2502" s="330"/>
      <c r="I2502" s="328"/>
      <c r="J2502" s="249"/>
      <c r="K2502" s="330"/>
      <c r="L2502" s="250"/>
      <c r="M2502" s="249"/>
      <c r="N2502" s="330"/>
      <c r="O2502" s="250"/>
      <c r="P2502" s="249"/>
      <c r="Q2502" s="330"/>
      <c r="R2502" s="250"/>
      <c r="S2502" s="249"/>
      <c r="T2502" s="330"/>
      <c r="U2502" s="250"/>
      <c r="V2502" s="249"/>
      <c r="W2502" s="330"/>
      <c r="X2502" s="343"/>
      <c r="Y2502" s="249"/>
      <c r="Z2502" s="330"/>
      <c r="AA2502" s="343"/>
      <c r="AB2502" s="249"/>
      <c r="AC2502" s="330"/>
      <c r="AD2502" s="343"/>
      <c r="AE2502" s="249"/>
      <c r="AF2502" s="330"/>
      <c r="AG2502" s="343"/>
      <c r="AH2502" s="249"/>
      <c r="AI2502" s="330"/>
      <c r="AJ2502" s="343"/>
      <c r="AK2502" s="249"/>
      <c r="AL2502" s="330"/>
      <c r="AM2502" s="343"/>
      <c r="AN2502" s="249"/>
      <c r="AO2502" s="330"/>
      <c r="AP2502" s="343"/>
      <c r="AQ2502" s="249"/>
      <c r="AR2502" s="330"/>
      <c r="AS2502" s="343"/>
      <c r="AT2502" s="249"/>
      <c r="AU2502" s="330"/>
    </row>
    <row r="2503" spans="2:47">
      <c r="B2503" s="247">
        <f>'Table S2 Compound Identifiers'!C2505</f>
        <v>0</v>
      </c>
      <c r="C2503" s="247">
        <f>COUNTIF($D$6:D2503,"&lt;&gt;"&amp;"")</f>
        <v>2498</v>
      </c>
      <c r="D2503" s="247">
        <f>'Table S2 Compound Identifiers'!B2505</f>
        <v>0</v>
      </c>
      <c r="E2503" s="247"/>
      <c r="F2503" s="248"/>
      <c r="G2503" s="249"/>
      <c r="H2503" s="330"/>
      <c r="I2503" s="328"/>
      <c r="J2503" s="249"/>
      <c r="K2503" s="330"/>
      <c r="L2503" s="250"/>
      <c r="M2503" s="249"/>
      <c r="N2503" s="330"/>
      <c r="O2503" s="250"/>
      <c r="P2503" s="249"/>
      <c r="Q2503" s="330"/>
      <c r="R2503" s="250"/>
      <c r="S2503" s="249"/>
      <c r="T2503" s="330"/>
      <c r="U2503" s="250"/>
      <c r="V2503" s="249"/>
      <c r="W2503" s="330"/>
      <c r="X2503" s="343"/>
      <c r="Y2503" s="249"/>
      <c r="Z2503" s="330"/>
      <c r="AA2503" s="343"/>
      <c r="AB2503" s="249"/>
      <c r="AC2503" s="330"/>
      <c r="AD2503" s="343"/>
      <c r="AE2503" s="249"/>
      <c r="AF2503" s="330"/>
      <c r="AG2503" s="343"/>
      <c r="AH2503" s="249"/>
      <c r="AI2503" s="330"/>
      <c r="AJ2503" s="343"/>
      <c r="AK2503" s="249"/>
      <c r="AL2503" s="330"/>
      <c r="AM2503" s="343"/>
      <c r="AN2503" s="249"/>
      <c r="AO2503" s="330"/>
      <c r="AP2503" s="343"/>
      <c r="AQ2503" s="249"/>
      <c r="AR2503" s="330"/>
      <c r="AS2503" s="343"/>
      <c r="AT2503" s="249"/>
      <c r="AU2503" s="330"/>
    </row>
    <row r="2504" spans="2:47">
      <c r="B2504" s="247">
        <f>'Table S2 Compound Identifiers'!C2506</f>
        <v>0</v>
      </c>
      <c r="C2504" s="247">
        <f>COUNTIF($D$6:D2504,"&lt;&gt;"&amp;"")</f>
        <v>2499</v>
      </c>
      <c r="D2504" s="432">
        <f>'Table S2 Compound Identifiers'!B2506</f>
        <v>0</v>
      </c>
      <c r="E2504" s="247"/>
      <c r="F2504" s="248"/>
      <c r="G2504" s="249"/>
      <c r="H2504" s="330"/>
      <c r="I2504" s="328"/>
      <c r="J2504" s="249"/>
      <c r="K2504" s="330"/>
      <c r="L2504" s="250"/>
      <c r="M2504" s="249"/>
      <c r="N2504" s="330"/>
      <c r="O2504" s="250"/>
      <c r="P2504" s="249"/>
      <c r="Q2504" s="330"/>
      <c r="R2504" s="250"/>
      <c r="S2504" s="249"/>
      <c r="T2504" s="330"/>
      <c r="U2504" s="250"/>
      <c r="V2504" s="249"/>
      <c r="W2504" s="330"/>
      <c r="X2504" s="343"/>
      <c r="Y2504" s="249"/>
      <c r="Z2504" s="330"/>
      <c r="AA2504" s="343"/>
      <c r="AB2504" s="249"/>
      <c r="AC2504" s="330"/>
      <c r="AD2504" s="343"/>
      <c r="AE2504" s="249"/>
      <c r="AF2504" s="330"/>
      <c r="AG2504" s="343"/>
      <c r="AH2504" s="249"/>
      <c r="AI2504" s="330"/>
      <c r="AJ2504" s="343"/>
      <c r="AK2504" s="249"/>
      <c r="AL2504" s="330"/>
      <c r="AM2504" s="343"/>
      <c r="AN2504" s="249"/>
      <c r="AO2504" s="330"/>
      <c r="AP2504" s="343"/>
      <c r="AQ2504" s="249"/>
      <c r="AR2504" s="330"/>
      <c r="AS2504" s="343"/>
      <c r="AT2504" s="249"/>
      <c r="AU2504" s="330"/>
    </row>
    <row r="2505" spans="2:47">
      <c r="B2505" s="247">
        <f>'Table S2 Compound Identifiers'!C2507</f>
        <v>0</v>
      </c>
      <c r="C2505" s="247">
        <f>COUNTIF($D$6:D2505,"&lt;&gt;"&amp;"")</f>
        <v>2500</v>
      </c>
      <c r="D2505" s="432">
        <f>'Table S2 Compound Identifiers'!B2507</f>
        <v>0</v>
      </c>
      <c r="E2505" s="247"/>
      <c r="F2505" s="248"/>
      <c r="G2505" s="249"/>
      <c r="H2505" s="330"/>
      <c r="I2505" s="328"/>
      <c r="J2505" s="249"/>
      <c r="K2505" s="330"/>
      <c r="L2505" s="250"/>
      <c r="M2505" s="249"/>
      <c r="N2505" s="330"/>
      <c r="O2505" s="250"/>
      <c r="P2505" s="249"/>
      <c r="Q2505" s="330"/>
      <c r="R2505" s="250"/>
      <c r="S2505" s="249"/>
      <c r="T2505" s="330"/>
      <c r="U2505" s="250"/>
      <c r="V2505" s="249"/>
      <c r="W2505" s="330"/>
      <c r="X2505" s="343"/>
      <c r="Y2505" s="249"/>
      <c r="Z2505" s="330"/>
      <c r="AA2505" s="343"/>
      <c r="AB2505" s="249"/>
      <c r="AC2505" s="330"/>
      <c r="AD2505" s="343"/>
      <c r="AE2505" s="249"/>
      <c r="AF2505" s="330"/>
      <c r="AG2505" s="343"/>
      <c r="AH2505" s="249"/>
      <c r="AI2505" s="330"/>
      <c r="AJ2505" s="343"/>
      <c r="AK2505" s="249"/>
      <c r="AL2505" s="330"/>
      <c r="AM2505" s="343"/>
      <c r="AN2505" s="249"/>
      <c r="AO2505" s="330"/>
      <c r="AP2505" s="343"/>
      <c r="AQ2505" s="249"/>
      <c r="AR2505" s="330"/>
      <c r="AS2505" s="343"/>
      <c r="AT2505" s="249"/>
      <c r="AU2505" s="330"/>
    </row>
    <row r="2506" spans="2:47">
      <c r="B2506" s="247">
        <f>'Table S2 Compound Identifiers'!C2508</f>
        <v>0</v>
      </c>
      <c r="C2506" s="247">
        <f>COUNTIF($D$6:D2506,"&lt;&gt;"&amp;"")</f>
        <v>2501</v>
      </c>
      <c r="D2506" s="432">
        <f>'Table S2 Compound Identifiers'!B2508</f>
        <v>0</v>
      </c>
      <c r="E2506" s="247"/>
      <c r="F2506" s="248"/>
      <c r="G2506" s="249"/>
      <c r="H2506" s="330"/>
      <c r="I2506" s="328"/>
      <c r="J2506" s="249"/>
      <c r="K2506" s="330"/>
      <c r="L2506" s="250"/>
      <c r="M2506" s="249"/>
      <c r="N2506" s="330"/>
      <c r="O2506" s="250"/>
      <c r="P2506" s="249"/>
      <c r="Q2506" s="330"/>
      <c r="R2506" s="250"/>
      <c r="S2506" s="249"/>
      <c r="T2506" s="330"/>
      <c r="U2506" s="250"/>
      <c r="V2506" s="249"/>
      <c r="W2506" s="330"/>
      <c r="X2506" s="343"/>
      <c r="Y2506" s="249"/>
      <c r="Z2506" s="330"/>
      <c r="AA2506" s="343"/>
      <c r="AB2506" s="249"/>
      <c r="AC2506" s="330"/>
      <c r="AD2506" s="343"/>
      <c r="AE2506" s="249"/>
      <c r="AF2506" s="330"/>
      <c r="AG2506" s="343"/>
      <c r="AH2506" s="249"/>
      <c r="AI2506" s="330"/>
      <c r="AJ2506" s="343"/>
      <c r="AK2506" s="249"/>
      <c r="AL2506" s="330"/>
      <c r="AM2506" s="343"/>
      <c r="AN2506" s="249"/>
      <c r="AO2506" s="330"/>
      <c r="AP2506" s="343"/>
      <c r="AQ2506" s="249"/>
      <c r="AR2506" s="330"/>
      <c r="AS2506" s="343"/>
      <c r="AT2506" s="249"/>
      <c r="AU2506" s="330"/>
    </row>
    <row r="2507" spans="2:47">
      <c r="B2507" s="247">
        <f>'Table S2 Compound Identifiers'!C2509</f>
        <v>0</v>
      </c>
      <c r="C2507" s="247">
        <f>COUNTIF($D$6:D2507,"&lt;&gt;"&amp;"")</f>
        <v>2502</v>
      </c>
      <c r="D2507" s="432">
        <f>'Table S2 Compound Identifiers'!B2509</f>
        <v>0</v>
      </c>
      <c r="E2507" s="247"/>
      <c r="F2507" s="248"/>
      <c r="G2507" s="249"/>
      <c r="H2507" s="330"/>
      <c r="I2507" s="328"/>
      <c r="J2507" s="249"/>
      <c r="K2507" s="330"/>
      <c r="L2507" s="250"/>
      <c r="M2507" s="249"/>
      <c r="N2507" s="330"/>
      <c r="O2507" s="250"/>
      <c r="P2507" s="249"/>
      <c r="Q2507" s="330"/>
      <c r="R2507" s="250"/>
      <c r="S2507" s="249"/>
      <c r="T2507" s="330"/>
      <c r="U2507" s="250"/>
      <c r="V2507" s="249"/>
      <c r="W2507" s="330"/>
      <c r="X2507" s="343"/>
      <c r="Y2507" s="249"/>
      <c r="Z2507" s="330"/>
      <c r="AA2507" s="343"/>
      <c r="AB2507" s="249"/>
      <c r="AC2507" s="330"/>
      <c r="AD2507" s="343"/>
      <c r="AE2507" s="249"/>
      <c r="AF2507" s="330"/>
      <c r="AG2507" s="343"/>
      <c r="AH2507" s="249"/>
      <c r="AI2507" s="330"/>
      <c r="AJ2507" s="343"/>
      <c r="AK2507" s="249"/>
      <c r="AL2507" s="330"/>
      <c r="AM2507" s="343"/>
      <c r="AN2507" s="249"/>
      <c r="AO2507" s="330"/>
      <c r="AP2507" s="343"/>
      <c r="AQ2507" s="249"/>
      <c r="AR2507" s="330"/>
      <c r="AS2507" s="343"/>
      <c r="AT2507" s="249"/>
      <c r="AU2507" s="330"/>
    </row>
    <row r="2508" spans="2:47">
      <c r="B2508" s="247">
        <f>'Table S2 Compound Identifiers'!C2510</f>
        <v>0</v>
      </c>
      <c r="C2508" s="247">
        <f>COUNTIF($D$6:D2508,"&lt;&gt;"&amp;"")</f>
        <v>2503</v>
      </c>
      <c r="D2508" s="432">
        <f>'Table S2 Compound Identifiers'!B2510</f>
        <v>0</v>
      </c>
      <c r="E2508" s="247"/>
      <c r="F2508" s="248"/>
      <c r="G2508" s="249"/>
      <c r="H2508" s="330"/>
      <c r="I2508" s="328"/>
      <c r="J2508" s="249"/>
      <c r="K2508" s="330"/>
      <c r="L2508" s="250"/>
      <c r="M2508" s="249"/>
      <c r="N2508" s="330"/>
      <c r="O2508" s="250"/>
      <c r="P2508" s="249"/>
      <c r="Q2508" s="330"/>
      <c r="R2508" s="250"/>
      <c r="S2508" s="249"/>
      <c r="T2508" s="330"/>
      <c r="U2508" s="250"/>
      <c r="V2508" s="249"/>
      <c r="W2508" s="330"/>
      <c r="X2508" s="343"/>
      <c r="Y2508" s="249"/>
      <c r="Z2508" s="330"/>
      <c r="AA2508" s="343"/>
      <c r="AB2508" s="249"/>
      <c r="AC2508" s="330"/>
      <c r="AD2508" s="343"/>
      <c r="AE2508" s="249"/>
      <c r="AF2508" s="330"/>
      <c r="AG2508" s="343"/>
      <c r="AH2508" s="249"/>
      <c r="AI2508" s="330"/>
      <c r="AJ2508" s="343"/>
      <c r="AK2508" s="249"/>
      <c r="AL2508" s="330"/>
      <c r="AM2508" s="343"/>
      <c r="AN2508" s="249"/>
      <c r="AO2508" s="330"/>
      <c r="AP2508" s="343"/>
      <c r="AQ2508" s="249"/>
      <c r="AR2508" s="330"/>
      <c r="AS2508" s="343"/>
      <c r="AT2508" s="249"/>
      <c r="AU2508" s="330"/>
    </row>
    <row r="2509" spans="2:47">
      <c r="B2509" s="247">
        <f>'Table S2 Compound Identifiers'!C2511</f>
        <v>0</v>
      </c>
      <c r="C2509" s="247">
        <f>COUNTIF($D$6:D2509,"&lt;&gt;"&amp;"")</f>
        <v>2504</v>
      </c>
      <c r="D2509" s="432">
        <f>'Table S2 Compound Identifiers'!B2511</f>
        <v>0</v>
      </c>
      <c r="E2509" s="247"/>
      <c r="F2509" s="248"/>
      <c r="G2509" s="249"/>
      <c r="H2509" s="330"/>
      <c r="I2509" s="328"/>
      <c r="J2509" s="249"/>
      <c r="K2509" s="330"/>
      <c r="L2509" s="250"/>
      <c r="M2509" s="249"/>
      <c r="N2509" s="330"/>
      <c r="O2509" s="250"/>
      <c r="P2509" s="249"/>
      <c r="Q2509" s="330"/>
      <c r="R2509" s="250"/>
      <c r="S2509" s="249"/>
      <c r="T2509" s="330"/>
      <c r="U2509" s="250"/>
      <c r="V2509" s="249"/>
      <c r="W2509" s="330"/>
      <c r="X2509" s="343"/>
      <c r="Y2509" s="249"/>
      <c r="Z2509" s="330"/>
      <c r="AA2509" s="343"/>
      <c r="AB2509" s="249"/>
      <c r="AC2509" s="330"/>
      <c r="AD2509" s="343"/>
      <c r="AE2509" s="249"/>
      <c r="AF2509" s="330"/>
      <c r="AG2509" s="343"/>
      <c r="AH2509" s="249"/>
      <c r="AI2509" s="330"/>
      <c r="AJ2509" s="343"/>
      <c r="AK2509" s="249"/>
      <c r="AL2509" s="330"/>
      <c r="AM2509" s="343"/>
      <c r="AN2509" s="249"/>
      <c r="AO2509" s="330"/>
      <c r="AP2509" s="343"/>
      <c r="AQ2509" s="249"/>
      <c r="AR2509" s="330"/>
      <c r="AS2509" s="343"/>
      <c r="AT2509" s="249"/>
      <c r="AU2509" s="330"/>
    </row>
    <row r="2510" spans="2:47">
      <c r="B2510" s="247">
        <f>'Table S2 Compound Identifiers'!C2512</f>
        <v>0</v>
      </c>
      <c r="C2510" s="247">
        <f>COUNTIF($D$6:D2510,"&lt;&gt;"&amp;"")</f>
        <v>2505</v>
      </c>
      <c r="D2510" s="432">
        <f>'Table S2 Compound Identifiers'!B2512</f>
        <v>0</v>
      </c>
      <c r="E2510" s="247"/>
      <c r="F2510" s="248"/>
      <c r="G2510" s="249"/>
      <c r="H2510" s="330"/>
      <c r="I2510" s="328"/>
      <c r="J2510" s="249"/>
      <c r="K2510" s="330"/>
      <c r="L2510" s="250"/>
      <c r="M2510" s="249"/>
      <c r="N2510" s="330"/>
      <c r="O2510" s="250"/>
      <c r="P2510" s="249"/>
      <c r="Q2510" s="330"/>
      <c r="R2510" s="250"/>
      <c r="S2510" s="249"/>
      <c r="T2510" s="330"/>
      <c r="U2510" s="250"/>
      <c r="V2510" s="249"/>
      <c r="W2510" s="330"/>
      <c r="X2510" s="343"/>
      <c r="Y2510" s="249"/>
      <c r="Z2510" s="330"/>
      <c r="AA2510" s="343"/>
      <c r="AB2510" s="249"/>
      <c r="AC2510" s="330"/>
      <c r="AD2510" s="343"/>
      <c r="AE2510" s="249"/>
      <c r="AF2510" s="330"/>
      <c r="AG2510" s="343"/>
      <c r="AH2510" s="249"/>
      <c r="AI2510" s="330"/>
      <c r="AJ2510" s="343"/>
      <c r="AK2510" s="249"/>
      <c r="AL2510" s="330"/>
      <c r="AM2510" s="343"/>
      <c r="AN2510" s="249"/>
      <c r="AO2510" s="330"/>
      <c r="AP2510" s="343"/>
      <c r="AQ2510" s="249"/>
      <c r="AR2510" s="330"/>
      <c r="AS2510" s="343"/>
      <c r="AT2510" s="249"/>
      <c r="AU2510" s="330"/>
    </row>
    <row r="2511" spans="2:47">
      <c r="B2511" s="247">
        <f>'Table S2 Compound Identifiers'!C2513</f>
        <v>0</v>
      </c>
      <c r="C2511" s="247">
        <f>COUNTIF($D$6:D2511,"&lt;&gt;"&amp;"")</f>
        <v>2506</v>
      </c>
      <c r="D2511" s="432">
        <f>'Table S2 Compound Identifiers'!B2513</f>
        <v>0</v>
      </c>
      <c r="E2511" s="247"/>
      <c r="F2511" s="248"/>
      <c r="G2511" s="249"/>
      <c r="H2511" s="330"/>
      <c r="I2511" s="328"/>
      <c r="J2511" s="249"/>
      <c r="K2511" s="330"/>
      <c r="L2511" s="250"/>
      <c r="M2511" s="249"/>
      <c r="N2511" s="330"/>
      <c r="O2511" s="250"/>
      <c r="P2511" s="249"/>
      <c r="Q2511" s="330"/>
      <c r="R2511" s="250"/>
      <c r="S2511" s="249"/>
      <c r="T2511" s="330"/>
      <c r="U2511" s="250"/>
      <c r="V2511" s="249"/>
      <c r="W2511" s="330"/>
      <c r="X2511" s="343"/>
      <c r="Y2511" s="249"/>
      <c r="Z2511" s="330"/>
      <c r="AA2511" s="343"/>
      <c r="AB2511" s="249"/>
      <c r="AC2511" s="330"/>
      <c r="AD2511" s="343"/>
      <c r="AE2511" s="249"/>
      <c r="AF2511" s="330"/>
      <c r="AG2511" s="343"/>
      <c r="AH2511" s="249"/>
      <c r="AI2511" s="330"/>
      <c r="AJ2511" s="343"/>
      <c r="AK2511" s="249"/>
      <c r="AL2511" s="330"/>
      <c r="AM2511" s="343"/>
      <c r="AN2511" s="249"/>
      <c r="AO2511" s="330"/>
      <c r="AP2511" s="343"/>
      <c r="AQ2511" s="249"/>
      <c r="AR2511" s="330"/>
      <c r="AS2511" s="343"/>
      <c r="AT2511" s="249"/>
      <c r="AU2511" s="330"/>
    </row>
    <row r="2512" spans="2:47">
      <c r="B2512" s="247">
        <f>'Table S2 Compound Identifiers'!C2514</f>
        <v>0</v>
      </c>
      <c r="C2512" s="247">
        <f>COUNTIF($D$6:D2512,"&lt;&gt;"&amp;"")</f>
        <v>2507</v>
      </c>
      <c r="D2512" s="432">
        <f>'Table S2 Compound Identifiers'!B2514</f>
        <v>0</v>
      </c>
      <c r="E2512" s="247"/>
      <c r="F2512" s="248"/>
      <c r="G2512" s="249"/>
      <c r="H2512" s="330"/>
      <c r="I2512" s="328"/>
      <c r="J2512" s="249"/>
      <c r="K2512" s="330"/>
      <c r="L2512" s="250"/>
      <c r="M2512" s="249"/>
      <c r="N2512" s="330"/>
      <c r="O2512" s="250"/>
      <c r="P2512" s="249"/>
      <c r="Q2512" s="330"/>
      <c r="R2512" s="250"/>
      <c r="S2512" s="249"/>
      <c r="T2512" s="330"/>
      <c r="U2512" s="250"/>
      <c r="V2512" s="249"/>
      <c r="W2512" s="330"/>
      <c r="X2512" s="343"/>
      <c r="Y2512" s="249"/>
      <c r="Z2512" s="330"/>
      <c r="AA2512" s="343"/>
      <c r="AB2512" s="249"/>
      <c r="AC2512" s="330"/>
      <c r="AD2512" s="343"/>
      <c r="AE2512" s="249"/>
      <c r="AF2512" s="330"/>
      <c r="AG2512" s="343"/>
      <c r="AH2512" s="249"/>
      <c r="AI2512" s="330"/>
      <c r="AJ2512" s="343"/>
      <c r="AK2512" s="249"/>
      <c r="AL2512" s="330"/>
      <c r="AM2512" s="343"/>
      <c r="AN2512" s="249"/>
      <c r="AO2512" s="330"/>
      <c r="AP2512" s="343"/>
      <c r="AQ2512" s="249"/>
      <c r="AR2512" s="330"/>
      <c r="AS2512" s="343"/>
      <c r="AT2512" s="249"/>
      <c r="AU2512" s="330"/>
    </row>
    <row r="2513" spans="2:47">
      <c r="B2513" s="247">
        <f>'Table S2 Compound Identifiers'!C2515</f>
        <v>0</v>
      </c>
      <c r="C2513" s="247">
        <f>COUNTIF($D$6:D2513,"&lt;&gt;"&amp;"")</f>
        <v>2508</v>
      </c>
      <c r="D2513" s="432">
        <f>'Table S2 Compound Identifiers'!B2515</f>
        <v>0</v>
      </c>
      <c r="E2513" s="247"/>
      <c r="F2513" s="248"/>
      <c r="G2513" s="249"/>
      <c r="H2513" s="330"/>
      <c r="I2513" s="328"/>
      <c r="J2513" s="249"/>
      <c r="K2513" s="330"/>
      <c r="L2513" s="250"/>
      <c r="M2513" s="249"/>
      <c r="N2513" s="330"/>
      <c r="O2513" s="250"/>
      <c r="P2513" s="249"/>
      <c r="Q2513" s="330"/>
      <c r="R2513" s="250"/>
      <c r="S2513" s="249"/>
      <c r="T2513" s="330"/>
      <c r="U2513" s="250"/>
      <c r="V2513" s="249"/>
      <c r="W2513" s="330"/>
      <c r="X2513" s="343"/>
      <c r="Y2513" s="249"/>
      <c r="Z2513" s="330"/>
      <c r="AA2513" s="343"/>
      <c r="AB2513" s="249"/>
      <c r="AC2513" s="330"/>
      <c r="AD2513" s="343"/>
      <c r="AE2513" s="249"/>
      <c r="AF2513" s="330"/>
      <c r="AG2513" s="343"/>
      <c r="AH2513" s="249"/>
      <c r="AI2513" s="330"/>
      <c r="AJ2513" s="343"/>
      <c r="AK2513" s="249"/>
      <c r="AL2513" s="330"/>
      <c r="AM2513" s="343"/>
      <c r="AN2513" s="249"/>
      <c r="AO2513" s="330"/>
      <c r="AP2513" s="343"/>
      <c r="AQ2513" s="249"/>
      <c r="AR2513" s="330"/>
      <c r="AS2513" s="343"/>
      <c r="AT2513" s="249"/>
      <c r="AU2513" s="330"/>
    </row>
    <row r="2514" spans="2:47">
      <c r="B2514" s="247">
        <f>'Table S2 Compound Identifiers'!C2516</f>
        <v>0</v>
      </c>
      <c r="C2514" s="247">
        <f>COUNTIF($D$6:D2514,"&lt;&gt;"&amp;"")</f>
        <v>2509</v>
      </c>
      <c r="D2514" s="247">
        <f>'Table S2 Compound Identifiers'!B2516</f>
        <v>0</v>
      </c>
      <c r="E2514" s="247"/>
      <c r="F2514" s="248"/>
      <c r="G2514" s="249"/>
      <c r="H2514" s="330"/>
      <c r="I2514" s="328"/>
      <c r="J2514" s="249"/>
      <c r="K2514" s="330"/>
      <c r="L2514" s="250"/>
      <c r="M2514" s="249"/>
      <c r="N2514" s="330"/>
      <c r="O2514" s="250"/>
      <c r="P2514" s="249"/>
      <c r="Q2514" s="330"/>
      <c r="R2514" s="250"/>
      <c r="S2514" s="249"/>
      <c r="T2514" s="330"/>
      <c r="U2514" s="250"/>
      <c r="V2514" s="249"/>
      <c r="W2514" s="330"/>
      <c r="X2514" s="343"/>
      <c r="Y2514" s="249"/>
      <c r="Z2514" s="330"/>
      <c r="AA2514" s="343"/>
      <c r="AB2514" s="249"/>
      <c r="AC2514" s="330"/>
      <c r="AD2514" s="343"/>
      <c r="AE2514" s="249"/>
      <c r="AF2514" s="330"/>
      <c r="AG2514" s="343"/>
      <c r="AH2514" s="249"/>
      <c r="AI2514" s="330"/>
      <c r="AJ2514" s="343"/>
      <c r="AK2514" s="249"/>
      <c r="AL2514" s="330"/>
      <c r="AM2514" s="343"/>
      <c r="AN2514" s="249"/>
      <c r="AO2514" s="330"/>
      <c r="AP2514" s="343"/>
      <c r="AQ2514" s="249"/>
      <c r="AR2514" s="330"/>
      <c r="AS2514" s="343"/>
      <c r="AT2514" s="249"/>
      <c r="AU2514" s="330"/>
    </row>
    <row r="2515" spans="2:47">
      <c r="B2515" s="247">
        <f>'Table S2 Compound Identifiers'!C2517</f>
        <v>0</v>
      </c>
      <c r="C2515" s="247">
        <f>COUNTIF($D$6:D2515,"&lt;&gt;"&amp;"")</f>
        <v>2510</v>
      </c>
      <c r="D2515" s="247">
        <f>'Table S2 Compound Identifiers'!B2517</f>
        <v>0</v>
      </c>
      <c r="E2515" s="247"/>
      <c r="F2515" s="248"/>
      <c r="G2515" s="249"/>
      <c r="H2515" s="330"/>
      <c r="I2515" s="328"/>
      <c r="J2515" s="249"/>
      <c r="K2515" s="330"/>
      <c r="L2515" s="250"/>
      <c r="M2515" s="249"/>
      <c r="N2515" s="330"/>
      <c r="O2515" s="250"/>
      <c r="P2515" s="249"/>
      <c r="Q2515" s="330"/>
      <c r="R2515" s="250"/>
      <c r="S2515" s="249"/>
      <c r="T2515" s="330"/>
      <c r="U2515" s="250"/>
      <c r="V2515" s="249"/>
      <c r="W2515" s="330"/>
      <c r="X2515" s="343"/>
      <c r="Y2515" s="249"/>
      <c r="Z2515" s="330"/>
      <c r="AA2515" s="343"/>
      <c r="AB2515" s="249"/>
      <c r="AC2515" s="330"/>
      <c r="AD2515" s="343"/>
      <c r="AE2515" s="249"/>
      <c r="AF2515" s="330"/>
      <c r="AG2515" s="343"/>
      <c r="AH2515" s="249"/>
      <c r="AI2515" s="330"/>
      <c r="AJ2515" s="343"/>
      <c r="AK2515" s="249"/>
      <c r="AL2515" s="330"/>
      <c r="AM2515" s="343"/>
      <c r="AN2515" s="249"/>
      <c r="AO2515" s="330"/>
      <c r="AP2515" s="343"/>
      <c r="AQ2515" s="249"/>
      <c r="AR2515" s="330"/>
      <c r="AS2515" s="343"/>
      <c r="AT2515" s="249"/>
      <c r="AU2515" s="330"/>
    </row>
    <row r="2516" spans="2:47">
      <c r="B2516" s="247">
        <f>'Table S2 Compound Identifiers'!C2518</f>
        <v>0</v>
      </c>
      <c r="C2516" s="247">
        <f>COUNTIF($D$6:D2516,"&lt;&gt;"&amp;"")</f>
        <v>2511</v>
      </c>
      <c r="D2516" s="247">
        <f>'Table S2 Compound Identifiers'!B2518</f>
        <v>0</v>
      </c>
      <c r="E2516" s="247"/>
      <c r="F2516" s="248"/>
      <c r="G2516" s="249"/>
      <c r="H2516" s="330"/>
      <c r="I2516" s="328"/>
      <c r="J2516" s="249"/>
      <c r="K2516" s="330"/>
      <c r="L2516" s="250"/>
      <c r="M2516" s="249"/>
      <c r="N2516" s="330"/>
      <c r="O2516" s="250"/>
      <c r="P2516" s="249"/>
      <c r="Q2516" s="330"/>
      <c r="R2516" s="250"/>
      <c r="S2516" s="249"/>
      <c r="T2516" s="330"/>
      <c r="U2516" s="250"/>
      <c r="V2516" s="249"/>
      <c r="W2516" s="330"/>
      <c r="X2516" s="343"/>
      <c r="Y2516" s="249"/>
      <c r="Z2516" s="330"/>
      <c r="AA2516" s="343"/>
      <c r="AB2516" s="249"/>
      <c r="AC2516" s="330"/>
      <c r="AD2516" s="343"/>
      <c r="AE2516" s="249"/>
      <c r="AF2516" s="330"/>
      <c r="AG2516" s="343"/>
      <c r="AH2516" s="249"/>
      <c r="AI2516" s="330"/>
      <c r="AJ2516" s="343"/>
      <c r="AK2516" s="249"/>
      <c r="AL2516" s="330"/>
      <c r="AM2516" s="343"/>
      <c r="AN2516" s="249"/>
      <c r="AO2516" s="330"/>
      <c r="AP2516" s="343"/>
      <c r="AQ2516" s="249"/>
      <c r="AR2516" s="330"/>
      <c r="AS2516" s="343"/>
      <c r="AT2516" s="249"/>
      <c r="AU2516" s="330"/>
    </row>
    <row r="2517" spans="2:47">
      <c r="B2517" s="247">
        <f>'Table S2 Compound Identifiers'!C2519</f>
        <v>0</v>
      </c>
      <c r="C2517" s="247">
        <f>COUNTIF($D$6:D2517,"&lt;&gt;"&amp;"")</f>
        <v>2512</v>
      </c>
      <c r="D2517" s="247">
        <f>'Table S2 Compound Identifiers'!B2519</f>
        <v>0</v>
      </c>
      <c r="E2517" s="247"/>
      <c r="F2517" s="248"/>
      <c r="G2517" s="249"/>
      <c r="H2517" s="330"/>
      <c r="I2517" s="328"/>
      <c r="J2517" s="249"/>
      <c r="K2517" s="330"/>
      <c r="L2517" s="250"/>
      <c r="M2517" s="249"/>
      <c r="N2517" s="330"/>
      <c r="O2517" s="250"/>
      <c r="P2517" s="249"/>
      <c r="Q2517" s="330"/>
      <c r="R2517" s="250"/>
      <c r="S2517" s="249"/>
      <c r="T2517" s="330"/>
      <c r="U2517" s="250"/>
      <c r="V2517" s="249"/>
      <c r="W2517" s="330"/>
      <c r="X2517" s="343"/>
      <c r="Y2517" s="249"/>
      <c r="Z2517" s="330"/>
      <c r="AA2517" s="343"/>
      <c r="AB2517" s="249"/>
      <c r="AC2517" s="330"/>
      <c r="AD2517" s="343"/>
      <c r="AE2517" s="249"/>
      <c r="AF2517" s="330"/>
      <c r="AG2517" s="343"/>
      <c r="AH2517" s="249"/>
      <c r="AI2517" s="330"/>
      <c r="AJ2517" s="343"/>
      <c r="AK2517" s="249"/>
      <c r="AL2517" s="330"/>
      <c r="AM2517" s="343"/>
      <c r="AN2517" s="249"/>
      <c r="AO2517" s="330"/>
      <c r="AP2517" s="343"/>
      <c r="AQ2517" s="249"/>
      <c r="AR2517" s="330"/>
      <c r="AS2517" s="343"/>
      <c r="AT2517" s="249"/>
      <c r="AU2517" s="330"/>
    </row>
    <row r="2518" spans="2:47">
      <c r="B2518" s="247">
        <f>'Table S2 Compound Identifiers'!C2520</f>
        <v>0</v>
      </c>
      <c r="C2518" s="247">
        <f>COUNTIF($D$6:D2518,"&lt;&gt;"&amp;"")</f>
        <v>2513</v>
      </c>
      <c r="D2518" s="247">
        <f>'Table S2 Compound Identifiers'!B2520</f>
        <v>0</v>
      </c>
      <c r="E2518" s="247"/>
      <c r="F2518" s="248"/>
      <c r="G2518" s="249"/>
      <c r="H2518" s="330"/>
      <c r="I2518" s="328"/>
      <c r="J2518" s="249"/>
      <c r="K2518" s="330"/>
      <c r="L2518" s="250"/>
      <c r="M2518" s="249"/>
      <c r="N2518" s="330"/>
      <c r="O2518" s="250"/>
      <c r="P2518" s="249"/>
      <c r="Q2518" s="330"/>
      <c r="R2518" s="250"/>
      <c r="S2518" s="249"/>
      <c r="T2518" s="330"/>
      <c r="U2518" s="250"/>
      <c r="V2518" s="249"/>
      <c r="W2518" s="330"/>
      <c r="X2518" s="343"/>
      <c r="Y2518" s="249"/>
      <c r="Z2518" s="330"/>
      <c r="AA2518" s="343"/>
      <c r="AB2518" s="249"/>
      <c r="AC2518" s="330"/>
      <c r="AD2518" s="343"/>
      <c r="AE2518" s="249"/>
      <c r="AF2518" s="330"/>
      <c r="AG2518" s="343"/>
      <c r="AH2518" s="249"/>
      <c r="AI2518" s="330"/>
      <c r="AJ2518" s="343"/>
      <c r="AK2518" s="249"/>
      <c r="AL2518" s="330"/>
      <c r="AM2518" s="343"/>
      <c r="AN2518" s="249"/>
      <c r="AO2518" s="330"/>
      <c r="AP2518" s="343"/>
      <c r="AQ2518" s="249"/>
      <c r="AR2518" s="330"/>
      <c r="AS2518" s="343"/>
      <c r="AT2518" s="249"/>
      <c r="AU2518" s="330"/>
    </row>
    <row r="2519" spans="2:47">
      <c r="B2519" s="247">
        <f>'Table S2 Compound Identifiers'!C2521</f>
        <v>0</v>
      </c>
      <c r="C2519" s="247">
        <f>COUNTIF($D$6:D2519,"&lt;&gt;"&amp;"")</f>
        <v>2514</v>
      </c>
      <c r="D2519" s="247">
        <f>'Table S2 Compound Identifiers'!B2521</f>
        <v>0</v>
      </c>
      <c r="E2519" s="247"/>
      <c r="F2519" s="248"/>
      <c r="G2519" s="249"/>
      <c r="H2519" s="330"/>
      <c r="I2519" s="328"/>
      <c r="J2519" s="249"/>
      <c r="K2519" s="330"/>
      <c r="L2519" s="250"/>
      <c r="M2519" s="249"/>
      <c r="N2519" s="330"/>
      <c r="O2519" s="250"/>
      <c r="P2519" s="249"/>
      <c r="Q2519" s="330"/>
      <c r="R2519" s="250"/>
      <c r="S2519" s="249"/>
      <c r="T2519" s="330"/>
      <c r="U2519" s="250"/>
      <c r="V2519" s="249"/>
      <c r="W2519" s="330"/>
      <c r="X2519" s="343"/>
      <c r="Y2519" s="249"/>
      <c r="Z2519" s="330"/>
      <c r="AA2519" s="343"/>
      <c r="AB2519" s="249"/>
      <c r="AC2519" s="330"/>
      <c r="AD2519" s="343"/>
      <c r="AE2519" s="249"/>
      <c r="AF2519" s="330"/>
      <c r="AG2519" s="343"/>
      <c r="AH2519" s="249"/>
      <c r="AI2519" s="330"/>
      <c r="AJ2519" s="343"/>
      <c r="AK2519" s="249"/>
      <c r="AL2519" s="330"/>
      <c r="AM2519" s="343"/>
      <c r="AN2519" s="249"/>
      <c r="AO2519" s="330"/>
      <c r="AP2519" s="343"/>
      <c r="AQ2519" s="249"/>
      <c r="AR2519" s="330"/>
      <c r="AS2519" s="343"/>
      <c r="AT2519" s="249"/>
      <c r="AU2519" s="330"/>
    </row>
    <row r="2520" spans="2:47">
      <c r="B2520" s="247">
        <f>'Table S2 Compound Identifiers'!C2522</f>
        <v>0</v>
      </c>
      <c r="C2520" s="247">
        <f>COUNTIF($D$6:D2520,"&lt;&gt;"&amp;"")</f>
        <v>2515</v>
      </c>
      <c r="D2520" s="247">
        <f>'Table S2 Compound Identifiers'!B2522</f>
        <v>0</v>
      </c>
      <c r="E2520" s="247"/>
      <c r="F2520" s="248"/>
      <c r="G2520" s="249"/>
      <c r="H2520" s="330"/>
      <c r="I2520" s="328"/>
      <c r="J2520" s="249"/>
      <c r="K2520" s="330"/>
      <c r="L2520" s="250"/>
      <c r="M2520" s="249"/>
      <c r="N2520" s="330"/>
      <c r="O2520" s="251"/>
      <c r="P2520" s="252"/>
      <c r="Q2520" s="330"/>
      <c r="R2520" s="251"/>
      <c r="S2520" s="252"/>
      <c r="T2520" s="330"/>
      <c r="U2520" s="251"/>
      <c r="V2520" s="252"/>
      <c r="W2520" s="330"/>
      <c r="X2520" s="343"/>
      <c r="Y2520" s="249"/>
      <c r="Z2520" s="330"/>
      <c r="AA2520" s="343"/>
      <c r="AB2520" s="249"/>
      <c r="AC2520" s="330"/>
      <c r="AD2520" s="343"/>
      <c r="AE2520" s="249"/>
      <c r="AF2520" s="330"/>
      <c r="AG2520" s="343"/>
      <c r="AH2520" s="249"/>
      <c r="AI2520" s="330"/>
      <c r="AJ2520" s="343"/>
      <c r="AK2520" s="249"/>
      <c r="AL2520" s="330"/>
      <c r="AM2520" s="343"/>
      <c r="AN2520" s="249"/>
      <c r="AO2520" s="330"/>
      <c r="AP2520" s="343"/>
      <c r="AQ2520" s="249"/>
      <c r="AR2520" s="330"/>
      <c r="AS2520" s="343"/>
      <c r="AT2520" s="249"/>
      <c r="AU2520" s="330"/>
    </row>
    <row r="2521" spans="2:47">
      <c r="B2521" s="247">
        <f>'Table S2 Compound Identifiers'!C2523</f>
        <v>0</v>
      </c>
      <c r="C2521" s="253">
        <f>COUNTIF($D$6:D2521,"&lt;&gt;"&amp;"")</f>
        <v>2516</v>
      </c>
      <c r="D2521" s="253">
        <f>'Table S2 Compound Identifiers'!B2523</f>
        <v>0</v>
      </c>
      <c r="E2521" s="253"/>
      <c r="F2521" s="254"/>
      <c r="G2521" s="252"/>
      <c r="H2521" s="330"/>
      <c r="I2521" s="333"/>
      <c r="J2521" s="252"/>
      <c r="K2521" s="330"/>
      <c r="L2521" s="251"/>
      <c r="M2521" s="252"/>
      <c r="N2521" s="330"/>
      <c r="O2521" s="251"/>
      <c r="P2521" s="252"/>
      <c r="Q2521" s="330"/>
      <c r="R2521" s="251"/>
      <c r="S2521" s="252"/>
      <c r="T2521" s="330"/>
      <c r="U2521" s="251"/>
      <c r="V2521" s="252"/>
      <c r="W2521" s="330"/>
      <c r="X2521" s="343"/>
      <c r="Y2521" s="249"/>
      <c r="Z2521" s="330"/>
      <c r="AA2521" s="343"/>
      <c r="AB2521" s="249"/>
      <c r="AC2521" s="330"/>
      <c r="AD2521" s="343"/>
      <c r="AE2521" s="249"/>
      <c r="AF2521" s="330"/>
      <c r="AG2521" s="343"/>
      <c r="AH2521" s="249"/>
      <c r="AI2521" s="330"/>
      <c r="AJ2521" s="343"/>
      <c r="AK2521" s="249"/>
      <c r="AL2521" s="330"/>
      <c r="AM2521" s="343"/>
      <c r="AN2521" s="249"/>
      <c r="AO2521" s="330"/>
      <c r="AP2521" s="343"/>
      <c r="AQ2521" s="249"/>
      <c r="AR2521" s="330"/>
      <c r="AS2521" s="343"/>
      <c r="AT2521" s="249"/>
      <c r="AU2521" s="330"/>
    </row>
    <row r="2522" spans="2:47">
      <c r="B2522" s="247">
        <f>'Table S2 Compound Identifiers'!C2524</f>
        <v>0</v>
      </c>
      <c r="C2522" s="247">
        <f>COUNTIF($D$6:D2522,"&lt;&gt;"&amp;"")</f>
        <v>2517</v>
      </c>
      <c r="D2522" s="247">
        <f>'Table S2 Compound Identifiers'!B2524</f>
        <v>0</v>
      </c>
      <c r="E2522" s="247"/>
      <c r="F2522" s="248"/>
      <c r="G2522" s="250"/>
      <c r="H2522" s="330"/>
      <c r="I2522" s="343"/>
      <c r="J2522" s="249"/>
      <c r="K2522" s="327"/>
      <c r="L2522" s="343"/>
      <c r="M2522" s="249"/>
      <c r="N2522" s="327"/>
      <c r="O2522" s="343"/>
      <c r="P2522" s="249"/>
      <c r="Q2522" s="327"/>
      <c r="R2522" s="343"/>
      <c r="S2522" s="249"/>
      <c r="T2522" s="327"/>
      <c r="U2522" s="343"/>
      <c r="V2522" s="249"/>
      <c r="W2522" s="327"/>
      <c r="X2522" s="343"/>
      <c r="Y2522" s="249"/>
      <c r="Z2522" s="327"/>
      <c r="AA2522" s="343"/>
      <c r="AB2522" s="249"/>
      <c r="AC2522" s="343"/>
      <c r="AD2522" s="343"/>
      <c r="AE2522" s="249"/>
      <c r="AF2522" s="249"/>
      <c r="AG2522" s="343"/>
      <c r="AH2522" s="249"/>
      <c r="AI2522" s="343"/>
      <c r="AJ2522" s="343"/>
      <c r="AK2522" s="249"/>
      <c r="AL2522" s="249"/>
      <c r="AM2522" s="343"/>
      <c r="AN2522" s="249"/>
      <c r="AO2522" s="343"/>
      <c r="AP2522" s="343"/>
      <c r="AQ2522" s="249"/>
      <c r="AR2522" s="249"/>
      <c r="AS2522" s="343"/>
      <c r="AT2522" s="249"/>
      <c r="AU2522" s="343"/>
    </row>
    <row r="2523" spans="2:47">
      <c r="B2523" s="247">
        <f>'Table S2 Compound Identifiers'!C2525</f>
        <v>0</v>
      </c>
      <c r="C2523" s="247">
        <f>COUNTIF($D$6:D2523,"&lt;&gt;"&amp;"")</f>
        <v>2518</v>
      </c>
      <c r="D2523" s="247">
        <f>'Table S2 Compound Identifiers'!B2525</f>
        <v>0</v>
      </c>
      <c r="E2523" s="247"/>
      <c r="F2523" s="248"/>
      <c r="G2523" s="249"/>
      <c r="H2523" s="330"/>
      <c r="I2523" s="332"/>
      <c r="J2523" s="330"/>
      <c r="K2523" s="330"/>
      <c r="L2523" s="330"/>
      <c r="M2523" s="330"/>
      <c r="N2523" s="330"/>
      <c r="O2523" s="330"/>
      <c r="P2523" s="330"/>
      <c r="Q2523" s="330"/>
      <c r="R2523" s="330"/>
      <c r="S2523" s="330"/>
      <c r="T2523" s="330"/>
      <c r="U2523" s="330"/>
      <c r="V2523" s="330"/>
      <c r="W2523" s="330"/>
      <c r="X2523" s="343"/>
      <c r="Y2523" s="249"/>
      <c r="Z2523" s="330"/>
      <c r="AA2523" s="343"/>
      <c r="AB2523" s="249"/>
      <c r="AC2523" s="330"/>
      <c r="AD2523" s="343"/>
      <c r="AE2523" s="249"/>
      <c r="AF2523" s="330"/>
      <c r="AG2523" s="343"/>
      <c r="AH2523" s="249"/>
      <c r="AI2523" s="330"/>
      <c r="AJ2523" s="343"/>
      <c r="AK2523" s="249"/>
      <c r="AL2523" s="330"/>
      <c r="AM2523" s="343"/>
      <c r="AN2523" s="249"/>
      <c r="AO2523" s="330"/>
      <c r="AP2523" s="343"/>
      <c r="AQ2523" s="249"/>
      <c r="AR2523" s="330"/>
      <c r="AS2523" s="343"/>
      <c r="AT2523" s="249"/>
      <c r="AU2523" s="330"/>
    </row>
    <row r="2524" spans="2:47">
      <c r="B2524" s="247">
        <f>'Table S2 Compound Identifiers'!C2526</f>
        <v>0</v>
      </c>
      <c r="C2524" s="247">
        <f>COUNTIF($D$6:D2524,"&lt;&gt;"&amp;"")</f>
        <v>2519</v>
      </c>
      <c r="D2524" s="247">
        <f>'Table S2 Compound Identifiers'!B2526</f>
        <v>0</v>
      </c>
      <c r="E2524" s="247"/>
      <c r="F2524" s="248"/>
      <c r="G2524" s="249"/>
      <c r="H2524" s="330"/>
      <c r="I2524" s="332"/>
      <c r="J2524" s="330"/>
      <c r="K2524" s="330"/>
      <c r="L2524" s="330"/>
      <c r="M2524" s="330"/>
      <c r="N2524" s="330"/>
      <c r="O2524" s="330"/>
      <c r="P2524" s="330"/>
      <c r="Q2524" s="330"/>
      <c r="R2524" s="330"/>
      <c r="S2524" s="330"/>
      <c r="T2524" s="330"/>
      <c r="U2524" s="330"/>
      <c r="V2524" s="330"/>
      <c r="W2524" s="330"/>
      <c r="X2524" s="343"/>
      <c r="Y2524" s="249"/>
      <c r="Z2524" s="330"/>
      <c r="AA2524" s="343"/>
      <c r="AB2524" s="249"/>
      <c r="AC2524" s="330"/>
      <c r="AD2524" s="343"/>
      <c r="AE2524" s="249"/>
      <c r="AF2524" s="330"/>
      <c r="AG2524" s="343"/>
      <c r="AH2524" s="249"/>
      <c r="AI2524" s="330"/>
      <c r="AJ2524" s="343"/>
      <c r="AK2524" s="249"/>
      <c r="AL2524" s="330"/>
      <c r="AM2524" s="343"/>
      <c r="AN2524" s="249"/>
      <c r="AO2524" s="330"/>
      <c r="AP2524" s="343"/>
      <c r="AQ2524" s="249"/>
      <c r="AR2524" s="330"/>
      <c r="AS2524" s="343"/>
      <c r="AT2524" s="249"/>
      <c r="AU2524" s="330"/>
    </row>
    <row r="2525" spans="2:47">
      <c r="B2525" s="247">
        <f>'Table S2 Compound Identifiers'!C2527</f>
        <v>0</v>
      </c>
      <c r="C2525" s="247">
        <f>COUNTIF($D$6:D2525,"&lt;&gt;"&amp;"")</f>
        <v>2520</v>
      </c>
      <c r="D2525" s="247">
        <f>'Table S2 Compound Identifiers'!B2527</f>
        <v>0</v>
      </c>
      <c r="E2525" s="247"/>
      <c r="F2525" s="248"/>
      <c r="G2525" s="249"/>
      <c r="H2525" s="330"/>
      <c r="I2525" s="332"/>
      <c r="J2525" s="330"/>
      <c r="K2525" s="330"/>
      <c r="L2525" s="330"/>
      <c r="M2525" s="330"/>
      <c r="N2525" s="330"/>
      <c r="O2525" s="330"/>
      <c r="P2525" s="330"/>
      <c r="Q2525" s="330"/>
      <c r="R2525" s="330"/>
      <c r="S2525" s="330"/>
      <c r="T2525" s="330"/>
      <c r="U2525" s="330"/>
      <c r="V2525" s="330"/>
      <c r="W2525" s="330"/>
      <c r="X2525" s="343"/>
      <c r="Y2525" s="249"/>
      <c r="Z2525" s="330"/>
      <c r="AA2525" s="343"/>
      <c r="AB2525" s="249"/>
      <c r="AC2525" s="330"/>
      <c r="AD2525" s="343"/>
      <c r="AE2525" s="249"/>
      <c r="AF2525" s="330"/>
      <c r="AG2525" s="343"/>
      <c r="AH2525" s="249"/>
      <c r="AI2525" s="330"/>
      <c r="AJ2525" s="343"/>
      <c r="AK2525" s="249"/>
      <c r="AL2525" s="330"/>
      <c r="AM2525" s="343"/>
      <c r="AN2525" s="249"/>
      <c r="AO2525" s="330"/>
      <c r="AP2525" s="343"/>
      <c r="AQ2525" s="249"/>
      <c r="AR2525" s="330"/>
      <c r="AS2525" s="343"/>
      <c r="AT2525" s="249"/>
      <c r="AU2525" s="330"/>
    </row>
    <row r="2526" spans="2:47">
      <c r="B2526" s="247">
        <f>'Table S2 Compound Identifiers'!C2528</f>
        <v>0</v>
      </c>
      <c r="C2526" s="247">
        <f>COUNTIF($D$6:D2526,"&lt;&gt;"&amp;"")</f>
        <v>2521</v>
      </c>
      <c r="D2526" s="247">
        <f>'Table S2 Compound Identifiers'!B2528</f>
        <v>0</v>
      </c>
      <c r="E2526" s="247"/>
      <c r="F2526" s="248"/>
      <c r="G2526" s="249"/>
      <c r="H2526" s="330"/>
      <c r="I2526" s="328"/>
      <c r="J2526" s="249"/>
      <c r="K2526" s="330"/>
      <c r="L2526" s="250"/>
      <c r="M2526" s="249"/>
      <c r="N2526" s="330"/>
      <c r="O2526" s="250"/>
      <c r="P2526" s="249"/>
      <c r="Q2526" s="330"/>
      <c r="R2526" s="250"/>
      <c r="S2526" s="249"/>
      <c r="T2526" s="330"/>
      <c r="U2526" s="250"/>
      <c r="V2526" s="249"/>
      <c r="W2526" s="330"/>
      <c r="X2526" s="343"/>
      <c r="Y2526" s="249"/>
      <c r="Z2526" s="330"/>
      <c r="AA2526" s="343"/>
      <c r="AB2526" s="249"/>
      <c r="AC2526" s="330"/>
      <c r="AD2526" s="343"/>
      <c r="AE2526" s="249"/>
      <c r="AF2526" s="330"/>
      <c r="AG2526" s="343"/>
      <c r="AH2526" s="249"/>
      <c r="AI2526" s="330"/>
      <c r="AJ2526" s="343"/>
      <c r="AK2526" s="249"/>
      <c r="AL2526" s="330"/>
      <c r="AM2526" s="343"/>
      <c r="AN2526" s="249"/>
      <c r="AO2526" s="330"/>
      <c r="AP2526" s="343"/>
      <c r="AQ2526" s="249"/>
      <c r="AR2526" s="330"/>
      <c r="AS2526" s="343"/>
      <c r="AT2526" s="249"/>
      <c r="AU2526" s="330"/>
    </row>
    <row r="2527" spans="2:47">
      <c r="B2527" s="247">
        <f>'Table S2 Compound Identifiers'!C2529</f>
        <v>0</v>
      </c>
      <c r="C2527" s="247">
        <f>COUNTIF($D$6:D2527,"&lt;&gt;"&amp;"")</f>
        <v>2522</v>
      </c>
      <c r="D2527" s="247">
        <f>'Table S2 Compound Identifiers'!B2529</f>
        <v>0</v>
      </c>
      <c r="E2527" s="247"/>
      <c r="F2527" s="248"/>
      <c r="G2527" s="249"/>
      <c r="H2527" s="330"/>
      <c r="I2527" s="328"/>
      <c r="J2527" s="249"/>
      <c r="K2527" s="330"/>
      <c r="L2527" s="250"/>
      <c r="M2527" s="249"/>
      <c r="N2527" s="330"/>
      <c r="O2527" s="250"/>
      <c r="P2527" s="249"/>
      <c r="Q2527" s="330"/>
      <c r="R2527" s="250"/>
      <c r="S2527" s="249"/>
      <c r="T2527" s="330"/>
      <c r="U2527" s="250"/>
      <c r="V2527" s="249"/>
      <c r="W2527" s="330"/>
      <c r="X2527" s="343"/>
      <c r="Y2527" s="249"/>
      <c r="Z2527" s="330"/>
      <c r="AA2527" s="343"/>
      <c r="AB2527" s="249"/>
      <c r="AC2527" s="330"/>
      <c r="AD2527" s="343"/>
      <c r="AE2527" s="249"/>
      <c r="AF2527" s="330"/>
      <c r="AG2527" s="343"/>
      <c r="AH2527" s="249"/>
      <c r="AI2527" s="330"/>
      <c r="AJ2527" s="343"/>
      <c r="AK2527" s="249"/>
      <c r="AL2527" s="330"/>
      <c r="AM2527" s="343"/>
      <c r="AN2527" s="249"/>
      <c r="AO2527" s="330"/>
      <c r="AP2527" s="343"/>
      <c r="AQ2527" s="249"/>
      <c r="AR2527" s="330"/>
      <c r="AS2527" s="343"/>
      <c r="AT2527" s="249"/>
      <c r="AU2527" s="330"/>
    </row>
    <row r="2528" spans="2:47">
      <c r="B2528" s="247">
        <f>'Table S2 Compound Identifiers'!C2530</f>
        <v>0</v>
      </c>
      <c r="C2528" s="247">
        <f>COUNTIF($D$6:D2528,"&lt;&gt;"&amp;"")</f>
        <v>2523</v>
      </c>
      <c r="D2528" s="247">
        <f>'Table S2 Compound Identifiers'!B2530</f>
        <v>0</v>
      </c>
      <c r="E2528" s="247"/>
      <c r="F2528" s="248"/>
      <c r="G2528" s="249"/>
      <c r="H2528" s="330"/>
      <c r="I2528" s="328"/>
      <c r="J2528" s="249"/>
      <c r="K2528" s="330"/>
      <c r="L2528" s="250"/>
      <c r="M2528" s="249"/>
      <c r="N2528" s="330"/>
      <c r="O2528" s="250"/>
      <c r="P2528" s="249"/>
      <c r="Q2528" s="330"/>
      <c r="R2528" s="250"/>
      <c r="S2528" s="249"/>
      <c r="T2528" s="330"/>
      <c r="U2528" s="250"/>
      <c r="V2528" s="249"/>
      <c r="W2528" s="330"/>
      <c r="X2528" s="343"/>
      <c r="Y2528" s="249"/>
      <c r="Z2528" s="330"/>
      <c r="AA2528" s="343"/>
      <c r="AB2528" s="249"/>
      <c r="AC2528" s="330"/>
      <c r="AD2528" s="343"/>
      <c r="AE2528" s="249"/>
      <c r="AF2528" s="330"/>
      <c r="AG2528" s="343"/>
      <c r="AH2528" s="249"/>
      <c r="AI2528" s="330"/>
      <c r="AJ2528" s="343"/>
      <c r="AK2528" s="249"/>
      <c r="AL2528" s="330"/>
      <c r="AM2528" s="343"/>
      <c r="AN2528" s="249"/>
      <c r="AO2528" s="330"/>
      <c r="AP2528" s="343"/>
      <c r="AQ2528" s="249"/>
      <c r="AR2528" s="330"/>
      <c r="AS2528" s="343"/>
      <c r="AT2528" s="249"/>
      <c r="AU2528" s="330"/>
    </row>
    <row r="2529" spans="2:47">
      <c r="B2529" s="247">
        <f>'Table S2 Compound Identifiers'!C2531</f>
        <v>0</v>
      </c>
      <c r="C2529" s="247">
        <f>COUNTIF($D$6:D2529,"&lt;&gt;"&amp;"")</f>
        <v>2524</v>
      </c>
      <c r="D2529" s="247">
        <f>'Table S2 Compound Identifiers'!B2531</f>
        <v>0</v>
      </c>
      <c r="E2529" s="247"/>
      <c r="F2529" s="248"/>
      <c r="G2529" s="249"/>
      <c r="H2529" s="330"/>
      <c r="I2529" s="328"/>
      <c r="J2529" s="249"/>
      <c r="K2529" s="330"/>
      <c r="L2529" s="250"/>
      <c r="M2529" s="249"/>
      <c r="N2529" s="330"/>
      <c r="O2529" s="250"/>
      <c r="P2529" s="249"/>
      <c r="Q2529" s="330"/>
      <c r="R2529" s="250"/>
      <c r="S2529" s="249"/>
      <c r="T2529" s="330"/>
      <c r="U2529" s="250"/>
      <c r="V2529" s="249"/>
      <c r="W2529" s="330"/>
      <c r="X2529" s="343"/>
      <c r="Y2529" s="249"/>
      <c r="Z2529" s="330"/>
      <c r="AA2529" s="343"/>
      <c r="AB2529" s="249"/>
      <c r="AC2529" s="330"/>
      <c r="AD2529" s="343"/>
      <c r="AE2529" s="249"/>
      <c r="AF2529" s="330"/>
      <c r="AG2529" s="343"/>
      <c r="AH2529" s="249"/>
      <c r="AI2529" s="330"/>
      <c r="AJ2529" s="343"/>
      <c r="AK2529" s="249"/>
      <c r="AL2529" s="330"/>
      <c r="AM2529" s="343"/>
      <c r="AN2529" s="249"/>
      <c r="AO2529" s="330"/>
      <c r="AP2529" s="343"/>
      <c r="AQ2529" s="249"/>
      <c r="AR2529" s="330"/>
      <c r="AS2529" s="343"/>
      <c r="AT2529" s="249"/>
      <c r="AU2529" s="330"/>
    </row>
    <row r="2530" spans="2:47">
      <c r="B2530" s="247">
        <f>'Table S2 Compound Identifiers'!C2532</f>
        <v>0</v>
      </c>
      <c r="C2530" s="247">
        <f>COUNTIF($D$6:D2530,"&lt;&gt;"&amp;"")</f>
        <v>2525</v>
      </c>
      <c r="D2530" s="247">
        <f>'Table S2 Compound Identifiers'!B2532</f>
        <v>0</v>
      </c>
      <c r="E2530" s="247"/>
      <c r="F2530" s="248"/>
      <c r="G2530" s="249"/>
      <c r="H2530" s="330"/>
      <c r="I2530" s="328"/>
      <c r="J2530" s="249"/>
      <c r="K2530" s="330"/>
      <c r="L2530" s="250"/>
      <c r="M2530" s="249"/>
      <c r="N2530" s="330"/>
      <c r="O2530" s="250"/>
      <c r="P2530" s="249"/>
      <c r="Q2530" s="330"/>
      <c r="R2530" s="250"/>
      <c r="S2530" s="249"/>
      <c r="T2530" s="330"/>
      <c r="U2530" s="250"/>
      <c r="V2530" s="249"/>
      <c r="W2530" s="330"/>
      <c r="X2530" s="343"/>
      <c r="Y2530" s="249"/>
      <c r="Z2530" s="330"/>
      <c r="AA2530" s="343"/>
      <c r="AB2530" s="249"/>
      <c r="AC2530" s="330"/>
      <c r="AD2530" s="343"/>
      <c r="AE2530" s="249"/>
      <c r="AF2530" s="330"/>
      <c r="AG2530" s="343"/>
      <c r="AH2530" s="249"/>
      <c r="AI2530" s="330"/>
      <c r="AJ2530" s="343"/>
      <c r="AK2530" s="249"/>
      <c r="AL2530" s="330"/>
      <c r="AM2530" s="343"/>
      <c r="AN2530" s="249"/>
      <c r="AO2530" s="330"/>
      <c r="AP2530" s="343"/>
      <c r="AQ2530" s="249"/>
      <c r="AR2530" s="330"/>
      <c r="AS2530" s="343"/>
      <c r="AT2530" s="249"/>
      <c r="AU2530" s="330"/>
    </row>
    <row r="2531" spans="2:47">
      <c r="B2531" s="247">
        <f>'Table S2 Compound Identifiers'!C2533</f>
        <v>0</v>
      </c>
      <c r="C2531" s="247">
        <f>COUNTIF($D$6:D2531,"&lt;&gt;"&amp;"")</f>
        <v>2526</v>
      </c>
      <c r="D2531" s="247">
        <f>'Table S2 Compound Identifiers'!B2533</f>
        <v>0</v>
      </c>
      <c r="E2531" s="247"/>
      <c r="F2531" s="248"/>
      <c r="G2531" s="249"/>
      <c r="H2531" s="330"/>
      <c r="I2531" s="328"/>
      <c r="J2531" s="249"/>
      <c r="K2531" s="330"/>
      <c r="L2531" s="250"/>
      <c r="M2531" s="249"/>
      <c r="N2531" s="330"/>
      <c r="O2531" s="250"/>
      <c r="P2531" s="249"/>
      <c r="Q2531" s="330"/>
      <c r="R2531" s="250"/>
      <c r="S2531" s="249"/>
      <c r="T2531" s="330"/>
      <c r="U2531" s="250"/>
      <c r="V2531" s="249"/>
      <c r="W2531" s="330"/>
      <c r="X2531" s="343"/>
      <c r="Y2531" s="249"/>
      <c r="Z2531" s="330"/>
      <c r="AA2531" s="343"/>
      <c r="AB2531" s="249"/>
      <c r="AC2531" s="330"/>
      <c r="AD2531" s="343"/>
      <c r="AE2531" s="249"/>
      <c r="AF2531" s="330"/>
      <c r="AG2531" s="343"/>
      <c r="AH2531" s="249"/>
      <c r="AI2531" s="330"/>
      <c r="AJ2531" s="343"/>
      <c r="AK2531" s="249"/>
      <c r="AL2531" s="330"/>
      <c r="AM2531" s="343"/>
      <c r="AN2531" s="249"/>
      <c r="AO2531" s="330"/>
      <c r="AP2531" s="343"/>
      <c r="AQ2531" s="249"/>
      <c r="AR2531" s="330"/>
      <c r="AS2531" s="343"/>
      <c r="AT2531" s="249"/>
      <c r="AU2531" s="330"/>
    </row>
    <row r="2532" spans="2:47">
      <c r="B2532" s="247">
        <f>'Table S2 Compound Identifiers'!C2534</f>
        <v>0</v>
      </c>
      <c r="C2532" s="247">
        <f>COUNTIF($D$6:D2532,"&lt;&gt;"&amp;"")</f>
        <v>2527</v>
      </c>
      <c r="D2532" s="247">
        <f>'Table S2 Compound Identifiers'!B2534</f>
        <v>0</v>
      </c>
      <c r="E2532" s="247"/>
      <c r="F2532" s="248"/>
      <c r="G2532" s="249"/>
      <c r="H2532" s="330"/>
      <c r="I2532" s="328"/>
      <c r="J2532" s="249"/>
      <c r="K2532" s="330"/>
      <c r="L2532" s="250"/>
      <c r="M2532" s="249"/>
      <c r="N2532" s="330"/>
      <c r="O2532" s="250"/>
      <c r="P2532" s="249"/>
      <c r="Q2532" s="330"/>
      <c r="R2532" s="250"/>
      <c r="S2532" s="249"/>
      <c r="T2532" s="330"/>
      <c r="U2532" s="250"/>
      <c r="V2532" s="249"/>
      <c r="W2532" s="330"/>
      <c r="X2532" s="343"/>
      <c r="Y2532" s="249"/>
      <c r="Z2532" s="330"/>
      <c r="AA2532" s="343"/>
      <c r="AB2532" s="249"/>
      <c r="AC2532" s="330"/>
      <c r="AD2532" s="343"/>
      <c r="AE2532" s="249"/>
      <c r="AF2532" s="330"/>
      <c r="AG2532" s="343"/>
      <c r="AH2532" s="249"/>
      <c r="AI2532" s="330"/>
      <c r="AJ2532" s="343"/>
      <c r="AK2532" s="249"/>
      <c r="AL2532" s="330"/>
      <c r="AM2532" s="343"/>
      <c r="AN2532" s="249"/>
      <c r="AO2532" s="330"/>
      <c r="AP2532" s="343"/>
      <c r="AQ2532" s="249"/>
      <c r="AR2532" s="330"/>
      <c r="AS2532" s="343"/>
      <c r="AT2532" s="249"/>
      <c r="AU2532" s="330"/>
    </row>
    <row r="2533" spans="2:47">
      <c r="B2533" s="247">
        <f>'Table S2 Compound Identifiers'!C2535</f>
        <v>0</v>
      </c>
      <c r="C2533" s="247">
        <f>COUNTIF($D$6:D2533,"&lt;&gt;"&amp;"")</f>
        <v>2528</v>
      </c>
      <c r="D2533" s="247">
        <f>'Table S2 Compound Identifiers'!B2535</f>
        <v>0</v>
      </c>
      <c r="E2533" s="247"/>
      <c r="F2533" s="248"/>
      <c r="G2533" s="249"/>
      <c r="H2533" s="330"/>
      <c r="I2533" s="328"/>
      <c r="J2533" s="249"/>
      <c r="K2533" s="330"/>
      <c r="L2533" s="250"/>
      <c r="M2533" s="249"/>
      <c r="N2533" s="330"/>
      <c r="O2533" s="250"/>
      <c r="P2533" s="249"/>
      <c r="Q2533" s="330"/>
      <c r="R2533" s="250"/>
      <c r="S2533" s="249"/>
      <c r="T2533" s="330"/>
      <c r="U2533" s="250"/>
      <c r="V2533" s="249"/>
      <c r="W2533" s="330"/>
      <c r="X2533" s="343"/>
      <c r="Y2533" s="249"/>
      <c r="Z2533" s="330"/>
      <c r="AA2533" s="343"/>
      <c r="AB2533" s="249"/>
      <c r="AC2533" s="330"/>
      <c r="AD2533" s="343"/>
      <c r="AE2533" s="249"/>
      <c r="AF2533" s="330"/>
      <c r="AG2533" s="343"/>
      <c r="AH2533" s="249"/>
      <c r="AI2533" s="330"/>
      <c r="AJ2533" s="343"/>
      <c r="AK2533" s="249"/>
      <c r="AL2533" s="330"/>
      <c r="AM2533" s="343"/>
      <c r="AN2533" s="249"/>
      <c r="AO2533" s="330"/>
      <c r="AP2533" s="343"/>
      <c r="AQ2533" s="249"/>
      <c r="AR2533" s="330"/>
      <c r="AS2533" s="343"/>
      <c r="AT2533" s="249"/>
      <c r="AU2533" s="330"/>
    </row>
    <row r="2534" spans="2:47">
      <c r="B2534" s="247">
        <f>'Table S2 Compound Identifiers'!C2536</f>
        <v>0</v>
      </c>
      <c r="C2534" s="247">
        <f>COUNTIF($D$6:D2534,"&lt;&gt;"&amp;"")</f>
        <v>2529</v>
      </c>
      <c r="D2534" s="247">
        <f>'Table S2 Compound Identifiers'!B2536</f>
        <v>0</v>
      </c>
      <c r="E2534" s="247"/>
      <c r="F2534" s="248"/>
      <c r="G2534" s="249"/>
      <c r="H2534" s="330"/>
      <c r="I2534" s="328"/>
      <c r="J2534" s="249"/>
      <c r="K2534" s="330"/>
      <c r="L2534" s="250"/>
      <c r="M2534" s="249"/>
      <c r="N2534" s="330"/>
      <c r="O2534" s="250"/>
      <c r="P2534" s="249"/>
      <c r="Q2534" s="330"/>
      <c r="R2534" s="250"/>
      <c r="S2534" s="249"/>
      <c r="T2534" s="330"/>
      <c r="U2534" s="250"/>
      <c r="V2534" s="249"/>
      <c r="W2534" s="330"/>
      <c r="X2534" s="343"/>
      <c r="Y2534" s="249"/>
      <c r="Z2534" s="330"/>
      <c r="AA2534" s="343"/>
      <c r="AB2534" s="249"/>
      <c r="AC2534" s="330"/>
      <c r="AD2534" s="343"/>
      <c r="AE2534" s="249"/>
      <c r="AF2534" s="330"/>
      <c r="AG2534" s="343"/>
      <c r="AH2534" s="249"/>
      <c r="AI2534" s="330"/>
      <c r="AJ2534" s="343"/>
      <c r="AK2534" s="249"/>
      <c r="AL2534" s="330"/>
      <c r="AM2534" s="343"/>
      <c r="AN2534" s="249"/>
      <c r="AO2534" s="330"/>
      <c r="AP2534" s="343"/>
      <c r="AQ2534" s="249"/>
      <c r="AR2534" s="330"/>
      <c r="AS2534" s="343"/>
      <c r="AT2534" s="249"/>
      <c r="AU2534" s="330"/>
    </row>
    <row r="2535" spans="2:47">
      <c r="B2535" s="247">
        <f>'Table S2 Compound Identifiers'!C2537</f>
        <v>0</v>
      </c>
      <c r="C2535" s="247">
        <f>COUNTIF($D$6:D2535,"&lt;&gt;"&amp;"")</f>
        <v>2530</v>
      </c>
      <c r="D2535" s="247">
        <f>'Table S2 Compound Identifiers'!B2537</f>
        <v>0</v>
      </c>
      <c r="E2535" s="247"/>
      <c r="F2535" s="248"/>
      <c r="G2535" s="249"/>
      <c r="H2535" s="330"/>
      <c r="I2535" s="328"/>
      <c r="J2535" s="249"/>
      <c r="K2535" s="330"/>
      <c r="L2535" s="250"/>
      <c r="M2535" s="249"/>
      <c r="N2535" s="330"/>
      <c r="O2535" s="250"/>
      <c r="P2535" s="249"/>
      <c r="Q2535" s="330"/>
      <c r="R2535" s="250"/>
      <c r="S2535" s="249"/>
      <c r="T2535" s="330"/>
      <c r="U2535" s="250"/>
      <c r="V2535" s="249"/>
      <c r="W2535" s="330"/>
      <c r="X2535" s="343"/>
      <c r="Y2535" s="249"/>
      <c r="Z2535" s="330"/>
      <c r="AA2535" s="343"/>
      <c r="AB2535" s="249"/>
      <c r="AC2535" s="330"/>
      <c r="AD2535" s="343"/>
      <c r="AE2535" s="249"/>
      <c r="AF2535" s="330"/>
      <c r="AG2535" s="343"/>
      <c r="AH2535" s="249"/>
      <c r="AI2535" s="330"/>
      <c r="AJ2535" s="343"/>
      <c r="AK2535" s="249"/>
      <c r="AL2535" s="330"/>
      <c r="AM2535" s="343"/>
      <c r="AN2535" s="249"/>
      <c r="AO2535" s="330"/>
      <c r="AP2535" s="343"/>
      <c r="AQ2535" s="249"/>
      <c r="AR2535" s="330"/>
      <c r="AS2535" s="343"/>
      <c r="AT2535" s="249"/>
      <c r="AU2535" s="330"/>
    </row>
    <row r="2536" spans="2:47">
      <c r="B2536" s="247">
        <f>'Table S2 Compound Identifiers'!C2538</f>
        <v>0</v>
      </c>
      <c r="C2536" s="247">
        <f>COUNTIF($D$6:D2536,"&lt;&gt;"&amp;"")</f>
        <v>2531</v>
      </c>
      <c r="D2536" s="247">
        <f>'Table S2 Compound Identifiers'!B2538</f>
        <v>0</v>
      </c>
      <c r="E2536" s="247"/>
      <c r="F2536" s="248"/>
      <c r="G2536" s="249"/>
      <c r="H2536" s="330"/>
      <c r="I2536" s="328"/>
      <c r="J2536" s="249"/>
      <c r="K2536" s="330"/>
      <c r="L2536" s="250"/>
      <c r="M2536" s="249"/>
      <c r="N2536" s="330"/>
      <c r="O2536" s="250"/>
      <c r="P2536" s="249"/>
      <c r="Q2536" s="330"/>
      <c r="R2536" s="250"/>
      <c r="S2536" s="249"/>
      <c r="T2536" s="330"/>
      <c r="U2536" s="250"/>
      <c r="V2536" s="249"/>
      <c r="W2536" s="330"/>
      <c r="X2536" s="343"/>
      <c r="Y2536" s="249"/>
      <c r="Z2536" s="330"/>
      <c r="AA2536" s="343"/>
      <c r="AB2536" s="249"/>
      <c r="AC2536" s="330"/>
      <c r="AD2536" s="343"/>
      <c r="AE2536" s="249"/>
      <c r="AF2536" s="330"/>
      <c r="AG2536" s="343"/>
      <c r="AH2536" s="249"/>
      <c r="AI2536" s="330"/>
      <c r="AJ2536" s="343"/>
      <c r="AK2536" s="249"/>
      <c r="AL2536" s="330"/>
      <c r="AM2536" s="343"/>
      <c r="AN2536" s="249"/>
      <c r="AO2536" s="330"/>
      <c r="AP2536" s="343"/>
      <c r="AQ2536" s="249"/>
      <c r="AR2536" s="330"/>
      <c r="AS2536" s="343"/>
      <c r="AT2536" s="249"/>
      <c r="AU2536" s="330"/>
    </row>
    <row r="2537" spans="2:47">
      <c r="B2537" s="247">
        <f>'Table S2 Compound Identifiers'!C2539</f>
        <v>0</v>
      </c>
      <c r="C2537" s="247">
        <f>COUNTIF($D$6:D2537,"&lt;&gt;"&amp;"")</f>
        <v>2532</v>
      </c>
      <c r="D2537" s="247">
        <f>'Table S2 Compound Identifiers'!B2539</f>
        <v>0</v>
      </c>
      <c r="E2537" s="247"/>
      <c r="F2537" s="248"/>
      <c r="G2537" s="249"/>
      <c r="H2537" s="330"/>
      <c r="I2537" s="328"/>
      <c r="J2537" s="249"/>
      <c r="K2537" s="330"/>
      <c r="L2537" s="250"/>
      <c r="M2537" s="249"/>
      <c r="N2537" s="330"/>
      <c r="O2537" s="250"/>
      <c r="P2537" s="249"/>
      <c r="Q2537" s="330"/>
      <c r="R2537" s="250"/>
      <c r="S2537" s="249"/>
      <c r="T2537" s="330"/>
      <c r="U2537" s="250"/>
      <c r="V2537" s="249"/>
      <c r="W2537" s="330"/>
      <c r="X2537" s="343"/>
      <c r="Y2537" s="249"/>
      <c r="Z2537" s="330"/>
      <c r="AA2537" s="343"/>
      <c r="AB2537" s="249"/>
      <c r="AC2537" s="330"/>
      <c r="AD2537" s="343"/>
      <c r="AE2537" s="249"/>
      <c r="AF2537" s="330"/>
      <c r="AG2537" s="343"/>
      <c r="AH2537" s="249"/>
      <c r="AI2537" s="330"/>
      <c r="AJ2537" s="343"/>
      <c r="AK2537" s="249"/>
      <c r="AL2537" s="330"/>
      <c r="AM2537" s="343"/>
      <c r="AN2537" s="249"/>
      <c r="AO2537" s="330"/>
      <c r="AP2537" s="343"/>
      <c r="AQ2537" s="249"/>
      <c r="AR2537" s="330"/>
      <c r="AS2537" s="343"/>
      <c r="AT2537" s="249"/>
      <c r="AU2537" s="330"/>
    </row>
    <row r="2538" spans="2:47">
      <c r="B2538" s="247">
        <f>'Table S2 Compound Identifiers'!C2540</f>
        <v>0</v>
      </c>
      <c r="C2538" s="247">
        <f>COUNTIF($D$6:D2538,"&lt;&gt;"&amp;"")</f>
        <v>2533</v>
      </c>
      <c r="D2538" s="247">
        <f>'Table S2 Compound Identifiers'!B2540</f>
        <v>0</v>
      </c>
      <c r="E2538" s="247"/>
      <c r="F2538" s="248"/>
      <c r="G2538" s="249"/>
      <c r="H2538" s="330"/>
      <c r="I2538" s="328"/>
      <c r="J2538" s="249"/>
      <c r="K2538" s="330"/>
      <c r="L2538" s="250"/>
      <c r="M2538" s="249"/>
      <c r="N2538" s="330"/>
      <c r="O2538" s="250"/>
      <c r="P2538" s="249"/>
      <c r="Q2538" s="330"/>
      <c r="R2538" s="250"/>
      <c r="S2538" s="249"/>
      <c r="T2538" s="330"/>
      <c r="U2538" s="250"/>
      <c r="V2538" s="249"/>
      <c r="W2538" s="330"/>
      <c r="X2538" s="343"/>
      <c r="Y2538" s="249"/>
      <c r="Z2538" s="330"/>
      <c r="AA2538" s="343"/>
      <c r="AB2538" s="249"/>
      <c r="AC2538" s="330"/>
      <c r="AD2538" s="343"/>
      <c r="AE2538" s="249"/>
      <c r="AF2538" s="330"/>
      <c r="AG2538" s="343"/>
      <c r="AH2538" s="249"/>
      <c r="AI2538" s="330"/>
      <c r="AJ2538" s="343"/>
      <c r="AK2538" s="249"/>
      <c r="AL2538" s="330"/>
      <c r="AM2538" s="343"/>
      <c r="AN2538" s="249"/>
      <c r="AO2538" s="330"/>
      <c r="AP2538" s="343"/>
      <c r="AQ2538" s="249"/>
      <c r="AR2538" s="330"/>
      <c r="AS2538" s="343"/>
      <c r="AT2538" s="249"/>
      <c r="AU2538" s="330"/>
    </row>
    <row r="2539" spans="2:47">
      <c r="B2539" s="247">
        <f>'Table S2 Compound Identifiers'!C2541</f>
        <v>0</v>
      </c>
      <c r="C2539" s="247">
        <f>COUNTIF($D$6:D2539,"&lt;&gt;"&amp;"")</f>
        <v>2534</v>
      </c>
      <c r="D2539" s="247">
        <f>'Table S2 Compound Identifiers'!B2541</f>
        <v>0</v>
      </c>
      <c r="E2539" s="247"/>
      <c r="F2539" s="248"/>
      <c r="G2539" s="249"/>
      <c r="H2539" s="330"/>
      <c r="I2539" s="328"/>
      <c r="J2539" s="249"/>
      <c r="K2539" s="330"/>
      <c r="L2539" s="250"/>
      <c r="M2539" s="249"/>
      <c r="N2539" s="330"/>
      <c r="O2539" s="250"/>
      <c r="P2539" s="249"/>
      <c r="Q2539" s="330"/>
      <c r="R2539" s="250"/>
      <c r="S2539" s="249"/>
      <c r="T2539" s="330"/>
      <c r="U2539" s="250"/>
      <c r="V2539" s="249"/>
      <c r="W2539" s="330"/>
      <c r="X2539" s="343"/>
      <c r="Y2539" s="249"/>
      <c r="Z2539" s="330"/>
      <c r="AA2539" s="343"/>
      <c r="AB2539" s="249"/>
      <c r="AC2539" s="330"/>
      <c r="AD2539" s="343"/>
      <c r="AE2539" s="249"/>
      <c r="AF2539" s="330"/>
      <c r="AG2539" s="343"/>
      <c r="AH2539" s="249"/>
      <c r="AI2539" s="330"/>
      <c r="AJ2539" s="343"/>
      <c r="AK2539" s="249"/>
      <c r="AL2539" s="330"/>
      <c r="AM2539" s="343"/>
      <c r="AN2539" s="249"/>
      <c r="AO2539" s="330"/>
      <c r="AP2539" s="343"/>
      <c r="AQ2539" s="249"/>
      <c r="AR2539" s="330"/>
      <c r="AS2539" s="343"/>
      <c r="AT2539" s="249"/>
      <c r="AU2539" s="330"/>
    </row>
    <row r="2540" spans="2:47">
      <c r="B2540" s="247">
        <f>'Table S2 Compound Identifiers'!C2542</f>
        <v>0</v>
      </c>
      <c r="C2540" s="247">
        <f>COUNTIF($D$6:D2540,"&lt;&gt;"&amp;"")</f>
        <v>2535</v>
      </c>
      <c r="D2540" s="247">
        <f>'Table S2 Compound Identifiers'!B2542</f>
        <v>0</v>
      </c>
      <c r="E2540" s="247"/>
      <c r="F2540" s="248"/>
      <c r="G2540" s="249"/>
      <c r="H2540" s="330"/>
      <c r="I2540" s="328"/>
      <c r="J2540" s="249"/>
      <c r="K2540" s="330"/>
      <c r="L2540" s="250"/>
      <c r="M2540" s="249"/>
      <c r="N2540" s="330"/>
      <c r="O2540" s="250"/>
      <c r="P2540" s="249"/>
      <c r="Q2540" s="330"/>
      <c r="R2540" s="250"/>
      <c r="S2540" s="249"/>
      <c r="T2540" s="330"/>
      <c r="U2540" s="250"/>
      <c r="V2540" s="249"/>
      <c r="W2540" s="330"/>
      <c r="X2540" s="343"/>
      <c r="Y2540" s="249"/>
      <c r="Z2540" s="330"/>
      <c r="AA2540" s="343"/>
      <c r="AB2540" s="249"/>
      <c r="AC2540" s="330"/>
      <c r="AD2540" s="343"/>
      <c r="AE2540" s="249"/>
      <c r="AF2540" s="330"/>
      <c r="AG2540" s="343"/>
      <c r="AH2540" s="249"/>
      <c r="AI2540" s="330"/>
      <c r="AJ2540" s="343"/>
      <c r="AK2540" s="249"/>
      <c r="AL2540" s="330"/>
      <c r="AM2540" s="343"/>
      <c r="AN2540" s="249"/>
      <c r="AO2540" s="330"/>
      <c r="AP2540" s="343"/>
      <c r="AQ2540" s="249"/>
      <c r="AR2540" s="330"/>
      <c r="AS2540" s="343"/>
      <c r="AT2540" s="249"/>
      <c r="AU2540" s="330"/>
    </row>
    <row r="2541" spans="2:47">
      <c r="B2541" s="247">
        <f>'Table S2 Compound Identifiers'!C2543</f>
        <v>0</v>
      </c>
      <c r="C2541" s="247">
        <f>COUNTIF($D$6:D2541,"&lt;&gt;"&amp;"")</f>
        <v>2536</v>
      </c>
      <c r="D2541" s="247">
        <f>'Table S2 Compound Identifiers'!B2543</f>
        <v>0</v>
      </c>
      <c r="E2541" s="247"/>
      <c r="F2541" s="248"/>
      <c r="G2541" s="249"/>
      <c r="H2541" s="330"/>
      <c r="I2541" s="328"/>
      <c r="J2541" s="249"/>
      <c r="K2541" s="330"/>
      <c r="L2541" s="250"/>
      <c r="M2541" s="249"/>
      <c r="N2541" s="330"/>
      <c r="O2541" s="250"/>
      <c r="P2541" s="249"/>
      <c r="Q2541" s="330"/>
      <c r="R2541" s="250"/>
      <c r="S2541" s="249"/>
      <c r="T2541" s="330"/>
      <c r="U2541" s="250"/>
      <c r="V2541" s="249"/>
      <c r="W2541" s="330"/>
      <c r="X2541" s="343"/>
      <c r="Y2541" s="249"/>
      <c r="Z2541" s="330"/>
      <c r="AA2541" s="343"/>
      <c r="AB2541" s="249"/>
      <c r="AC2541" s="330"/>
      <c r="AD2541" s="343"/>
      <c r="AE2541" s="249"/>
      <c r="AF2541" s="330"/>
      <c r="AG2541" s="343"/>
      <c r="AH2541" s="249"/>
      <c r="AI2541" s="330"/>
      <c r="AJ2541" s="343"/>
      <c r="AK2541" s="249"/>
      <c r="AL2541" s="330"/>
      <c r="AM2541" s="343"/>
      <c r="AN2541" s="249"/>
      <c r="AO2541" s="330"/>
      <c r="AP2541" s="343"/>
      <c r="AQ2541" s="249"/>
      <c r="AR2541" s="330"/>
      <c r="AS2541" s="343"/>
      <c r="AT2541" s="249"/>
      <c r="AU2541" s="330"/>
    </row>
    <row r="2542" spans="2:47">
      <c r="B2542" s="247">
        <f>'Table S2 Compound Identifiers'!C2544</f>
        <v>0</v>
      </c>
      <c r="C2542" s="247">
        <f>COUNTIF($D$6:D2542,"&lt;&gt;"&amp;"")</f>
        <v>2537</v>
      </c>
      <c r="D2542" s="247">
        <f>'Table S2 Compound Identifiers'!B2544</f>
        <v>0</v>
      </c>
      <c r="E2542" s="247"/>
      <c r="F2542" s="248"/>
      <c r="G2542" s="249"/>
      <c r="H2542" s="330"/>
      <c r="I2542" s="328"/>
      <c r="J2542" s="249"/>
      <c r="K2542" s="330"/>
      <c r="L2542" s="250"/>
      <c r="M2542" s="249"/>
      <c r="N2542" s="330"/>
      <c r="O2542" s="250"/>
      <c r="P2542" s="249"/>
      <c r="Q2542" s="330"/>
      <c r="R2542" s="250"/>
      <c r="S2542" s="249"/>
      <c r="T2542" s="330"/>
      <c r="U2542" s="250"/>
      <c r="V2542" s="249"/>
      <c r="W2542" s="330"/>
      <c r="X2542" s="343"/>
      <c r="Y2542" s="249"/>
      <c r="Z2542" s="330"/>
      <c r="AA2542" s="343"/>
      <c r="AB2542" s="249"/>
      <c r="AC2542" s="330"/>
      <c r="AD2542" s="343"/>
      <c r="AE2542" s="249"/>
      <c r="AF2542" s="330"/>
      <c r="AG2542" s="343"/>
      <c r="AH2542" s="249"/>
      <c r="AI2542" s="330"/>
      <c r="AJ2542" s="343"/>
      <c r="AK2542" s="249"/>
      <c r="AL2542" s="330"/>
      <c r="AM2542" s="343"/>
      <c r="AN2542" s="249"/>
      <c r="AO2542" s="330"/>
      <c r="AP2542" s="343"/>
      <c r="AQ2542" s="249"/>
      <c r="AR2542" s="330"/>
      <c r="AS2542" s="343"/>
      <c r="AT2542" s="249"/>
      <c r="AU2542" s="330"/>
    </row>
    <row r="2543" spans="2:47">
      <c r="B2543" s="247">
        <f>'Table S2 Compound Identifiers'!C2545</f>
        <v>0</v>
      </c>
      <c r="C2543" s="247">
        <f>COUNTIF($D$6:D2543,"&lt;&gt;"&amp;"")</f>
        <v>2538</v>
      </c>
      <c r="D2543" s="247">
        <f>'Table S2 Compound Identifiers'!B2545</f>
        <v>0</v>
      </c>
      <c r="E2543" s="247"/>
      <c r="F2543" s="248"/>
      <c r="G2543" s="249"/>
      <c r="H2543" s="330"/>
      <c r="I2543" s="328"/>
      <c r="J2543" s="249"/>
      <c r="K2543" s="330"/>
      <c r="L2543" s="250"/>
      <c r="M2543" s="249"/>
      <c r="N2543" s="330"/>
      <c r="O2543" s="250"/>
      <c r="P2543" s="249"/>
      <c r="Q2543" s="330"/>
      <c r="R2543" s="250"/>
      <c r="S2543" s="249"/>
      <c r="T2543" s="330"/>
      <c r="U2543" s="250"/>
      <c r="V2543" s="249"/>
      <c r="W2543" s="330"/>
      <c r="X2543" s="343"/>
      <c r="Y2543" s="249"/>
      <c r="Z2543" s="330"/>
      <c r="AA2543" s="343"/>
      <c r="AB2543" s="249"/>
      <c r="AC2543" s="330"/>
      <c r="AD2543" s="343"/>
      <c r="AE2543" s="249"/>
      <c r="AF2543" s="330"/>
      <c r="AG2543" s="343"/>
      <c r="AH2543" s="249"/>
      <c r="AI2543" s="330"/>
      <c r="AJ2543" s="343"/>
      <c r="AK2543" s="249"/>
      <c r="AL2543" s="330"/>
      <c r="AM2543" s="343"/>
      <c r="AN2543" s="249"/>
      <c r="AO2543" s="330"/>
      <c r="AP2543" s="343"/>
      <c r="AQ2543" s="249"/>
      <c r="AR2543" s="330"/>
      <c r="AS2543" s="343"/>
      <c r="AT2543" s="249"/>
      <c r="AU2543" s="330"/>
    </row>
    <row r="2544" spans="2:47">
      <c r="B2544" s="247">
        <f>'Table S2 Compound Identifiers'!C2546</f>
        <v>0</v>
      </c>
      <c r="C2544" s="247">
        <f>COUNTIF($D$6:D2544,"&lt;&gt;"&amp;"")</f>
        <v>2539</v>
      </c>
      <c r="D2544" s="247">
        <f>'Table S2 Compound Identifiers'!B2546</f>
        <v>0</v>
      </c>
      <c r="E2544" s="247"/>
      <c r="F2544" s="248"/>
      <c r="G2544" s="249"/>
      <c r="H2544" s="330"/>
      <c r="I2544" s="328"/>
      <c r="J2544" s="249"/>
      <c r="K2544" s="330"/>
      <c r="L2544" s="250"/>
      <c r="M2544" s="249"/>
      <c r="N2544" s="330"/>
      <c r="O2544" s="250"/>
      <c r="P2544" s="249"/>
      <c r="Q2544" s="330"/>
      <c r="R2544" s="250"/>
      <c r="S2544" s="249"/>
      <c r="T2544" s="330"/>
      <c r="U2544" s="250"/>
      <c r="V2544" s="249"/>
      <c r="W2544" s="330"/>
      <c r="X2544" s="343"/>
      <c r="Y2544" s="249"/>
      <c r="Z2544" s="330"/>
      <c r="AA2544" s="343"/>
      <c r="AB2544" s="249"/>
      <c r="AC2544" s="330"/>
      <c r="AD2544" s="343"/>
      <c r="AE2544" s="249"/>
      <c r="AF2544" s="330"/>
      <c r="AG2544" s="343"/>
      <c r="AH2544" s="249"/>
      <c r="AI2544" s="330"/>
      <c r="AJ2544" s="343"/>
      <c r="AK2544" s="249"/>
      <c r="AL2544" s="330"/>
      <c r="AM2544" s="343"/>
      <c r="AN2544" s="249"/>
      <c r="AO2544" s="330"/>
      <c r="AP2544" s="343"/>
      <c r="AQ2544" s="249"/>
      <c r="AR2544" s="330"/>
      <c r="AS2544" s="343"/>
      <c r="AT2544" s="249"/>
      <c r="AU2544" s="330"/>
    </row>
    <row r="2545" spans="2:47">
      <c r="B2545" s="247">
        <f>'Table S2 Compound Identifiers'!C2547</f>
        <v>0</v>
      </c>
      <c r="C2545" s="247">
        <f>COUNTIF($D$6:D2545,"&lt;&gt;"&amp;"")</f>
        <v>2540</v>
      </c>
      <c r="D2545" s="247">
        <f>'Table S2 Compound Identifiers'!B2547</f>
        <v>0</v>
      </c>
      <c r="E2545" s="247"/>
      <c r="F2545" s="248"/>
      <c r="G2545" s="249"/>
      <c r="H2545" s="330"/>
      <c r="I2545" s="328"/>
      <c r="J2545" s="249"/>
      <c r="K2545" s="330"/>
      <c r="L2545" s="250"/>
      <c r="M2545" s="249"/>
      <c r="N2545" s="330"/>
      <c r="O2545" s="250"/>
      <c r="P2545" s="249"/>
      <c r="Q2545" s="330"/>
      <c r="R2545" s="250"/>
      <c r="S2545" s="249"/>
      <c r="T2545" s="330"/>
      <c r="U2545" s="250"/>
      <c r="V2545" s="249"/>
      <c r="W2545" s="330"/>
      <c r="X2545" s="343"/>
      <c r="Y2545" s="249"/>
      <c r="Z2545" s="330"/>
      <c r="AA2545" s="343"/>
      <c r="AB2545" s="249"/>
      <c r="AC2545" s="330"/>
      <c r="AD2545" s="343"/>
      <c r="AE2545" s="249"/>
      <c r="AF2545" s="330"/>
      <c r="AG2545" s="343"/>
      <c r="AH2545" s="249"/>
      <c r="AI2545" s="330"/>
      <c r="AJ2545" s="343"/>
      <c r="AK2545" s="249"/>
      <c r="AL2545" s="330"/>
      <c r="AM2545" s="343"/>
      <c r="AN2545" s="249"/>
      <c r="AO2545" s="330"/>
      <c r="AP2545" s="343"/>
      <c r="AQ2545" s="249"/>
      <c r="AR2545" s="330"/>
      <c r="AS2545" s="343"/>
      <c r="AT2545" s="249"/>
      <c r="AU2545" s="330"/>
    </row>
    <row r="2546" spans="2:47">
      <c r="B2546" s="247">
        <f>'Table S2 Compound Identifiers'!C2548</f>
        <v>0</v>
      </c>
      <c r="C2546" s="247">
        <f>COUNTIF($D$6:D2546,"&lt;&gt;"&amp;"")</f>
        <v>2541</v>
      </c>
      <c r="D2546" s="247">
        <f>'Table S2 Compound Identifiers'!B2548</f>
        <v>0</v>
      </c>
      <c r="E2546" s="247"/>
      <c r="F2546" s="248"/>
      <c r="G2546" s="249"/>
      <c r="H2546" s="330"/>
      <c r="I2546" s="328"/>
      <c r="J2546" s="249"/>
      <c r="K2546" s="330"/>
      <c r="L2546" s="250"/>
      <c r="M2546" s="249"/>
      <c r="N2546" s="330"/>
      <c r="O2546" s="250"/>
      <c r="P2546" s="249"/>
      <c r="Q2546" s="330"/>
      <c r="R2546" s="250"/>
      <c r="S2546" s="249"/>
      <c r="T2546" s="330"/>
      <c r="U2546" s="250"/>
      <c r="V2546" s="249"/>
      <c r="W2546" s="330"/>
      <c r="X2546" s="343"/>
      <c r="Y2546" s="249"/>
      <c r="Z2546" s="330"/>
      <c r="AA2546" s="343"/>
      <c r="AB2546" s="249"/>
      <c r="AC2546" s="330"/>
      <c r="AD2546" s="343"/>
      <c r="AE2546" s="249"/>
      <c r="AF2546" s="330"/>
      <c r="AG2546" s="343"/>
      <c r="AH2546" s="249"/>
      <c r="AI2546" s="330"/>
      <c r="AJ2546" s="343"/>
      <c r="AK2546" s="249"/>
      <c r="AL2546" s="330"/>
      <c r="AM2546" s="343"/>
      <c r="AN2546" s="249"/>
      <c r="AO2546" s="330"/>
      <c r="AP2546" s="343"/>
      <c r="AQ2546" s="249"/>
      <c r="AR2546" s="330"/>
      <c r="AS2546" s="343"/>
      <c r="AT2546" s="249"/>
      <c r="AU2546" s="330"/>
    </row>
    <row r="2547" spans="2:47">
      <c r="B2547" s="247">
        <f>'Table S2 Compound Identifiers'!C2549</f>
        <v>0</v>
      </c>
      <c r="C2547" s="247">
        <f>COUNTIF($D$6:D2547,"&lt;&gt;"&amp;"")</f>
        <v>2542</v>
      </c>
      <c r="D2547" s="247">
        <f>'Table S2 Compound Identifiers'!B2549</f>
        <v>0</v>
      </c>
      <c r="E2547" s="247"/>
      <c r="F2547" s="248"/>
      <c r="G2547" s="249"/>
      <c r="H2547" s="330"/>
      <c r="I2547" s="328"/>
      <c r="J2547" s="249"/>
      <c r="K2547" s="330"/>
      <c r="L2547" s="250"/>
      <c r="M2547" s="249"/>
      <c r="N2547" s="330"/>
      <c r="O2547" s="250"/>
      <c r="P2547" s="249"/>
      <c r="Q2547" s="330"/>
      <c r="R2547" s="250"/>
      <c r="S2547" s="249"/>
      <c r="T2547" s="330"/>
      <c r="U2547" s="250"/>
      <c r="V2547" s="249"/>
      <c r="W2547" s="330"/>
      <c r="X2547" s="343"/>
      <c r="Y2547" s="249"/>
      <c r="Z2547" s="330"/>
      <c r="AA2547" s="343"/>
      <c r="AB2547" s="249"/>
      <c r="AC2547" s="330"/>
      <c r="AD2547" s="343"/>
      <c r="AE2547" s="249"/>
      <c r="AF2547" s="330"/>
      <c r="AG2547" s="343"/>
      <c r="AH2547" s="249"/>
      <c r="AI2547" s="330"/>
      <c r="AJ2547" s="343"/>
      <c r="AK2547" s="249"/>
      <c r="AL2547" s="330"/>
      <c r="AM2547" s="343"/>
      <c r="AN2547" s="249"/>
      <c r="AO2547" s="330"/>
      <c r="AP2547" s="343"/>
      <c r="AQ2547" s="249"/>
      <c r="AR2547" s="330"/>
      <c r="AS2547" s="343"/>
      <c r="AT2547" s="249"/>
      <c r="AU2547" s="330"/>
    </row>
    <row r="2548" spans="2:47">
      <c r="B2548" s="247">
        <f>'Table S2 Compound Identifiers'!C2550</f>
        <v>0</v>
      </c>
      <c r="C2548" s="247">
        <f>COUNTIF($D$6:D2548,"&lt;&gt;"&amp;"")</f>
        <v>2543</v>
      </c>
      <c r="D2548" s="247">
        <f>'Table S2 Compound Identifiers'!B2550</f>
        <v>0</v>
      </c>
      <c r="E2548" s="247"/>
      <c r="F2548" s="248"/>
      <c r="G2548" s="249"/>
      <c r="H2548" s="330"/>
      <c r="I2548" s="328"/>
      <c r="J2548" s="249"/>
      <c r="K2548" s="330"/>
      <c r="L2548" s="250"/>
      <c r="M2548" s="249"/>
      <c r="N2548" s="330"/>
      <c r="O2548" s="250"/>
      <c r="P2548" s="249"/>
      <c r="Q2548" s="330"/>
      <c r="R2548" s="250"/>
      <c r="S2548" s="249"/>
      <c r="T2548" s="330"/>
      <c r="U2548" s="250"/>
      <c r="V2548" s="249"/>
      <c r="W2548" s="330"/>
      <c r="X2548" s="343"/>
      <c r="Y2548" s="249"/>
      <c r="Z2548" s="330"/>
      <c r="AA2548" s="343"/>
      <c r="AB2548" s="249"/>
      <c r="AC2548" s="330"/>
      <c r="AD2548" s="343"/>
      <c r="AE2548" s="249"/>
      <c r="AF2548" s="330"/>
      <c r="AG2548" s="343"/>
      <c r="AH2548" s="249"/>
      <c r="AI2548" s="330"/>
      <c r="AJ2548" s="343"/>
      <c r="AK2548" s="249"/>
      <c r="AL2548" s="330"/>
      <c r="AM2548" s="343"/>
      <c r="AN2548" s="249"/>
      <c r="AO2548" s="330"/>
      <c r="AP2548" s="343"/>
      <c r="AQ2548" s="249"/>
      <c r="AR2548" s="330"/>
      <c r="AS2548" s="343"/>
      <c r="AT2548" s="249"/>
      <c r="AU2548" s="330"/>
    </row>
    <row r="2549" spans="2:47">
      <c r="B2549" s="247">
        <f>'Table S2 Compound Identifiers'!C2551</f>
        <v>0</v>
      </c>
      <c r="C2549" s="247">
        <f>COUNTIF($D$6:D2549,"&lt;&gt;"&amp;"")</f>
        <v>2544</v>
      </c>
      <c r="D2549" s="247">
        <f>'Table S2 Compound Identifiers'!B2551</f>
        <v>0</v>
      </c>
      <c r="E2549" s="247"/>
      <c r="F2549" s="248"/>
      <c r="G2549" s="249"/>
      <c r="H2549" s="330"/>
      <c r="I2549" s="328"/>
      <c r="J2549" s="249"/>
      <c r="K2549" s="330"/>
      <c r="L2549" s="250"/>
      <c r="M2549" s="249"/>
      <c r="N2549" s="330"/>
      <c r="O2549" s="250"/>
      <c r="P2549" s="249"/>
      <c r="Q2549" s="330"/>
      <c r="R2549" s="250"/>
      <c r="S2549" s="249"/>
      <c r="T2549" s="330"/>
      <c r="U2549" s="250"/>
      <c r="V2549" s="249"/>
      <c r="W2549" s="330"/>
      <c r="X2549" s="343"/>
      <c r="Y2549" s="249"/>
      <c r="Z2549" s="330"/>
      <c r="AA2549" s="343"/>
      <c r="AB2549" s="249"/>
      <c r="AC2549" s="330"/>
      <c r="AD2549" s="343"/>
      <c r="AE2549" s="249"/>
      <c r="AF2549" s="330"/>
      <c r="AG2549" s="343"/>
      <c r="AH2549" s="249"/>
      <c r="AI2549" s="330"/>
      <c r="AJ2549" s="343"/>
      <c r="AK2549" s="249"/>
      <c r="AL2549" s="330"/>
      <c r="AM2549" s="343"/>
      <c r="AN2549" s="249"/>
      <c r="AO2549" s="330"/>
      <c r="AP2549" s="343"/>
      <c r="AQ2549" s="249"/>
      <c r="AR2549" s="330"/>
      <c r="AS2549" s="343"/>
      <c r="AT2549" s="249"/>
      <c r="AU2549" s="330"/>
    </row>
    <row r="2550" spans="2:47">
      <c r="B2550" s="247">
        <f>'Table S2 Compound Identifiers'!C2552</f>
        <v>0</v>
      </c>
      <c r="C2550" s="247">
        <f>COUNTIF($D$6:D2550,"&lt;&gt;"&amp;"")</f>
        <v>2545</v>
      </c>
      <c r="D2550" s="247">
        <f>'Table S2 Compound Identifiers'!B2552</f>
        <v>0</v>
      </c>
      <c r="E2550" s="247"/>
      <c r="F2550" s="248"/>
      <c r="G2550" s="249"/>
      <c r="H2550" s="330"/>
      <c r="I2550" s="328"/>
      <c r="J2550" s="249"/>
      <c r="K2550" s="330"/>
      <c r="L2550" s="250"/>
      <c r="M2550" s="249"/>
      <c r="N2550" s="330"/>
      <c r="O2550" s="250"/>
      <c r="P2550" s="249"/>
      <c r="Q2550" s="330"/>
      <c r="R2550" s="250"/>
      <c r="S2550" s="249"/>
      <c r="T2550" s="330"/>
      <c r="U2550" s="250"/>
      <c r="V2550" s="249"/>
      <c r="W2550" s="330"/>
      <c r="X2550" s="343"/>
      <c r="Y2550" s="249"/>
      <c r="Z2550" s="330"/>
      <c r="AA2550" s="343"/>
      <c r="AB2550" s="249"/>
      <c r="AC2550" s="330"/>
      <c r="AD2550" s="343"/>
      <c r="AE2550" s="249"/>
      <c r="AF2550" s="330"/>
      <c r="AG2550" s="343"/>
      <c r="AH2550" s="249"/>
      <c r="AI2550" s="330"/>
      <c r="AJ2550" s="343"/>
      <c r="AK2550" s="249"/>
      <c r="AL2550" s="330"/>
      <c r="AM2550" s="343"/>
      <c r="AN2550" s="249"/>
      <c r="AO2550" s="330"/>
      <c r="AP2550" s="343"/>
      <c r="AQ2550" s="249"/>
      <c r="AR2550" s="330"/>
      <c r="AS2550" s="343"/>
      <c r="AT2550" s="249"/>
      <c r="AU2550" s="330"/>
    </row>
    <row r="2551" spans="2:47">
      <c r="B2551" s="247">
        <f>'Table S2 Compound Identifiers'!C2553</f>
        <v>0</v>
      </c>
      <c r="C2551" s="247">
        <f>COUNTIF($D$6:D2551,"&lt;&gt;"&amp;"")</f>
        <v>2546</v>
      </c>
      <c r="D2551" s="247">
        <f>'Table S2 Compound Identifiers'!B2553</f>
        <v>0</v>
      </c>
      <c r="E2551" s="247"/>
      <c r="F2551" s="248"/>
      <c r="G2551" s="249"/>
      <c r="H2551" s="330"/>
      <c r="I2551" s="328"/>
      <c r="J2551" s="249"/>
      <c r="K2551" s="330"/>
      <c r="L2551" s="250"/>
      <c r="M2551" s="249"/>
      <c r="N2551" s="330"/>
      <c r="O2551" s="250"/>
      <c r="P2551" s="249"/>
      <c r="Q2551" s="330"/>
      <c r="R2551" s="250"/>
      <c r="S2551" s="249"/>
      <c r="T2551" s="330"/>
      <c r="U2551" s="250"/>
      <c r="V2551" s="249"/>
      <c r="W2551" s="330"/>
      <c r="X2551" s="343"/>
      <c r="Y2551" s="249"/>
      <c r="Z2551" s="330"/>
      <c r="AA2551" s="343"/>
      <c r="AB2551" s="249"/>
      <c r="AC2551" s="330"/>
      <c r="AD2551" s="343"/>
      <c r="AE2551" s="249"/>
      <c r="AF2551" s="330"/>
      <c r="AG2551" s="343"/>
      <c r="AH2551" s="249"/>
      <c r="AI2551" s="330"/>
      <c r="AJ2551" s="343"/>
      <c r="AK2551" s="249"/>
      <c r="AL2551" s="330"/>
      <c r="AM2551" s="343"/>
      <c r="AN2551" s="249"/>
      <c r="AO2551" s="330"/>
      <c r="AP2551" s="343"/>
      <c r="AQ2551" s="249"/>
      <c r="AR2551" s="330"/>
      <c r="AS2551" s="343"/>
      <c r="AT2551" s="249"/>
      <c r="AU2551" s="330"/>
    </row>
    <row r="2552" spans="2:47">
      <c r="B2552" s="247">
        <f>'Table S2 Compound Identifiers'!C2554</f>
        <v>0</v>
      </c>
      <c r="C2552" s="247">
        <f>COUNTIF($D$6:D2552,"&lt;&gt;"&amp;"")</f>
        <v>2547</v>
      </c>
      <c r="D2552" s="247">
        <f>'Table S2 Compound Identifiers'!B2554</f>
        <v>0</v>
      </c>
      <c r="E2552" s="247"/>
      <c r="F2552" s="248"/>
      <c r="G2552" s="249"/>
      <c r="H2552" s="330"/>
      <c r="I2552" s="328"/>
      <c r="J2552" s="249"/>
      <c r="K2552" s="330"/>
      <c r="L2552" s="250"/>
      <c r="M2552" s="249"/>
      <c r="N2552" s="330"/>
      <c r="O2552" s="250"/>
      <c r="P2552" s="249"/>
      <c r="Q2552" s="330"/>
      <c r="R2552" s="250"/>
      <c r="S2552" s="249"/>
      <c r="T2552" s="330"/>
      <c r="U2552" s="250"/>
      <c r="V2552" s="249"/>
      <c r="W2552" s="330"/>
      <c r="X2552" s="343"/>
      <c r="Y2552" s="249"/>
      <c r="Z2552" s="330"/>
      <c r="AA2552" s="343"/>
      <c r="AB2552" s="249"/>
      <c r="AC2552" s="330"/>
      <c r="AD2552" s="343"/>
      <c r="AE2552" s="249"/>
      <c r="AF2552" s="330"/>
      <c r="AG2552" s="343"/>
      <c r="AH2552" s="249"/>
      <c r="AI2552" s="330"/>
      <c r="AJ2552" s="343"/>
      <c r="AK2552" s="249"/>
      <c r="AL2552" s="330"/>
      <c r="AM2552" s="343"/>
      <c r="AN2552" s="249"/>
      <c r="AO2552" s="330"/>
      <c r="AP2552" s="343"/>
      <c r="AQ2552" s="249"/>
      <c r="AR2552" s="330"/>
      <c r="AS2552" s="343"/>
      <c r="AT2552" s="249"/>
      <c r="AU2552" s="330"/>
    </row>
    <row r="2553" spans="2:47">
      <c r="B2553" s="247">
        <f>'Table S2 Compound Identifiers'!C2555</f>
        <v>0</v>
      </c>
      <c r="C2553" s="247">
        <f>COUNTIF($D$6:D2553,"&lt;&gt;"&amp;"")</f>
        <v>2548</v>
      </c>
      <c r="D2553" s="247">
        <f>'Table S2 Compound Identifiers'!B2555</f>
        <v>0</v>
      </c>
      <c r="E2553" s="247"/>
      <c r="F2553" s="248"/>
      <c r="G2553" s="249"/>
      <c r="H2553" s="330"/>
      <c r="I2553" s="328"/>
      <c r="J2553" s="249"/>
      <c r="K2553" s="330"/>
      <c r="L2553" s="250"/>
      <c r="M2553" s="249"/>
      <c r="N2553" s="330"/>
      <c r="O2553" s="250"/>
      <c r="P2553" s="249"/>
      <c r="Q2553" s="330"/>
      <c r="R2553" s="250"/>
      <c r="S2553" s="249"/>
      <c r="T2553" s="330"/>
      <c r="U2553" s="250"/>
      <c r="V2553" s="249"/>
      <c r="W2553" s="330"/>
      <c r="X2553" s="343"/>
      <c r="Y2553" s="249"/>
      <c r="Z2553" s="330"/>
      <c r="AA2553" s="343"/>
      <c r="AB2553" s="249"/>
      <c r="AC2553" s="330"/>
      <c r="AD2553" s="343"/>
      <c r="AE2553" s="249"/>
      <c r="AF2553" s="330"/>
      <c r="AG2553" s="343"/>
      <c r="AH2553" s="249"/>
      <c r="AI2553" s="330"/>
      <c r="AJ2553" s="343"/>
      <c r="AK2553" s="249"/>
      <c r="AL2553" s="330"/>
      <c r="AM2553" s="343"/>
      <c r="AN2553" s="249"/>
      <c r="AO2553" s="330"/>
      <c r="AP2553" s="343"/>
      <c r="AQ2553" s="249"/>
      <c r="AR2553" s="330"/>
      <c r="AS2553" s="343"/>
      <c r="AT2553" s="249"/>
      <c r="AU2553" s="330"/>
    </row>
    <row r="2554" spans="2:47">
      <c r="B2554" s="247">
        <f>'Table S2 Compound Identifiers'!C2556</f>
        <v>0</v>
      </c>
      <c r="C2554" s="247">
        <f>COUNTIF($D$6:D2554,"&lt;&gt;"&amp;"")</f>
        <v>2549</v>
      </c>
      <c r="D2554" s="247">
        <f>'Table S2 Compound Identifiers'!B2556</f>
        <v>0</v>
      </c>
      <c r="E2554" s="247"/>
      <c r="F2554" s="248"/>
      <c r="G2554" s="249"/>
      <c r="H2554" s="330"/>
      <c r="I2554" s="328"/>
      <c r="J2554" s="249"/>
      <c r="K2554" s="330"/>
      <c r="L2554" s="250"/>
      <c r="M2554" s="249"/>
      <c r="N2554" s="330"/>
      <c r="O2554" s="250"/>
      <c r="P2554" s="249"/>
      <c r="Q2554" s="330"/>
      <c r="R2554" s="250"/>
      <c r="S2554" s="249"/>
      <c r="T2554" s="330"/>
      <c r="U2554" s="250"/>
      <c r="V2554" s="249"/>
      <c r="W2554" s="330"/>
      <c r="X2554" s="343"/>
      <c r="Y2554" s="249"/>
      <c r="Z2554" s="330"/>
      <c r="AA2554" s="343"/>
      <c r="AB2554" s="249"/>
      <c r="AC2554" s="330"/>
      <c r="AD2554" s="343"/>
      <c r="AE2554" s="249"/>
      <c r="AF2554" s="330"/>
      <c r="AG2554" s="343"/>
      <c r="AH2554" s="249"/>
      <c r="AI2554" s="330"/>
      <c r="AJ2554" s="343"/>
      <c r="AK2554" s="249"/>
      <c r="AL2554" s="330"/>
      <c r="AM2554" s="343"/>
      <c r="AN2554" s="249"/>
      <c r="AO2554" s="330"/>
      <c r="AP2554" s="343"/>
      <c r="AQ2554" s="249"/>
      <c r="AR2554" s="330"/>
      <c r="AS2554" s="343"/>
      <c r="AT2554" s="249"/>
      <c r="AU2554" s="330"/>
    </row>
    <row r="2555" spans="2:47">
      <c r="B2555" s="247">
        <f>'Table S2 Compound Identifiers'!C2557</f>
        <v>0</v>
      </c>
      <c r="C2555" s="247">
        <f>COUNTIF($D$6:D2555,"&lt;&gt;"&amp;"")</f>
        <v>2550</v>
      </c>
      <c r="D2555" s="247">
        <f>'Table S2 Compound Identifiers'!B2557</f>
        <v>0</v>
      </c>
      <c r="E2555" s="247"/>
      <c r="F2555" s="248"/>
      <c r="G2555" s="249"/>
      <c r="H2555" s="330"/>
      <c r="I2555" s="328"/>
      <c r="J2555" s="249"/>
      <c r="K2555" s="330"/>
      <c r="L2555" s="250"/>
      <c r="M2555" s="249"/>
      <c r="N2555" s="330"/>
      <c r="O2555" s="250"/>
      <c r="P2555" s="249"/>
      <c r="Q2555" s="330"/>
      <c r="R2555" s="250"/>
      <c r="S2555" s="249"/>
      <c r="T2555" s="330"/>
      <c r="U2555" s="250"/>
      <c r="V2555" s="249"/>
      <c r="W2555" s="330"/>
      <c r="X2555" s="343"/>
      <c r="Y2555" s="249"/>
      <c r="Z2555" s="330"/>
      <c r="AA2555" s="343"/>
      <c r="AB2555" s="249"/>
      <c r="AC2555" s="330"/>
      <c r="AD2555" s="343"/>
      <c r="AE2555" s="249"/>
      <c r="AF2555" s="330"/>
      <c r="AG2555" s="343"/>
      <c r="AH2555" s="249"/>
      <c r="AI2555" s="330"/>
      <c r="AJ2555" s="343"/>
      <c r="AK2555" s="249"/>
      <c r="AL2555" s="330"/>
      <c r="AM2555" s="343"/>
      <c r="AN2555" s="249"/>
      <c r="AO2555" s="330"/>
      <c r="AP2555" s="343"/>
      <c r="AQ2555" s="249"/>
      <c r="AR2555" s="330"/>
      <c r="AS2555" s="343"/>
      <c r="AT2555" s="249"/>
      <c r="AU2555" s="330"/>
    </row>
    <row r="2556" spans="2:47">
      <c r="B2556" s="247">
        <f>'Table S2 Compound Identifiers'!C2558</f>
        <v>0</v>
      </c>
      <c r="C2556" s="247">
        <f>COUNTIF($D$6:D2556,"&lt;&gt;"&amp;"")</f>
        <v>2551</v>
      </c>
      <c r="D2556" s="247">
        <f>'Table S2 Compound Identifiers'!B2558</f>
        <v>0</v>
      </c>
      <c r="E2556" s="247"/>
      <c r="F2556" s="248"/>
      <c r="G2556" s="249"/>
      <c r="H2556" s="330"/>
      <c r="I2556" s="328"/>
      <c r="J2556" s="249"/>
      <c r="K2556" s="330"/>
      <c r="L2556" s="250"/>
      <c r="M2556" s="249"/>
      <c r="N2556" s="330"/>
      <c r="O2556" s="250"/>
      <c r="P2556" s="249"/>
      <c r="Q2556" s="330"/>
      <c r="R2556" s="250"/>
      <c r="S2556" s="249"/>
      <c r="T2556" s="330"/>
      <c r="U2556" s="250"/>
      <c r="V2556" s="249"/>
      <c r="W2556" s="330"/>
      <c r="X2556" s="343"/>
      <c r="Y2556" s="249"/>
      <c r="Z2556" s="330"/>
      <c r="AA2556" s="343"/>
      <c r="AB2556" s="249"/>
      <c r="AC2556" s="330"/>
      <c r="AD2556" s="343"/>
      <c r="AE2556" s="249"/>
      <c r="AF2556" s="330"/>
      <c r="AG2556" s="343"/>
      <c r="AH2556" s="249"/>
      <c r="AI2556" s="330"/>
      <c r="AJ2556" s="343"/>
      <c r="AK2556" s="249"/>
      <c r="AL2556" s="330"/>
      <c r="AM2556" s="343"/>
      <c r="AN2556" s="249"/>
      <c r="AO2556" s="330"/>
      <c r="AP2556" s="343"/>
      <c r="AQ2556" s="249"/>
      <c r="AR2556" s="330"/>
      <c r="AS2556" s="343"/>
      <c r="AT2556" s="249"/>
      <c r="AU2556" s="330"/>
    </row>
    <row r="2557" spans="2:47">
      <c r="B2557" s="247">
        <f>'Table S2 Compound Identifiers'!C2559</f>
        <v>0</v>
      </c>
      <c r="C2557" s="247">
        <f>COUNTIF($D$6:D2557,"&lt;&gt;"&amp;"")</f>
        <v>2552</v>
      </c>
      <c r="D2557" s="247">
        <f>'Table S2 Compound Identifiers'!B2559</f>
        <v>0</v>
      </c>
      <c r="E2557" s="247"/>
      <c r="F2557" s="248"/>
      <c r="G2557" s="249"/>
      <c r="H2557" s="330"/>
      <c r="I2557" s="328"/>
      <c r="J2557" s="249"/>
      <c r="K2557" s="330"/>
      <c r="L2557" s="250"/>
      <c r="M2557" s="249"/>
      <c r="N2557" s="330"/>
      <c r="O2557" s="250"/>
      <c r="P2557" s="249"/>
      <c r="Q2557" s="330"/>
      <c r="R2557" s="250"/>
      <c r="S2557" s="249"/>
      <c r="T2557" s="330"/>
      <c r="U2557" s="250"/>
      <c r="V2557" s="249"/>
      <c r="W2557" s="330"/>
      <c r="X2557" s="343"/>
      <c r="Y2557" s="249"/>
      <c r="Z2557" s="330"/>
      <c r="AA2557" s="343"/>
      <c r="AB2557" s="249"/>
      <c r="AC2557" s="330"/>
      <c r="AD2557" s="343"/>
      <c r="AE2557" s="249"/>
      <c r="AF2557" s="330"/>
      <c r="AG2557" s="343"/>
      <c r="AH2557" s="249"/>
      <c r="AI2557" s="330"/>
      <c r="AJ2557" s="343"/>
      <c r="AK2557" s="249"/>
      <c r="AL2557" s="330"/>
      <c r="AM2557" s="343"/>
      <c r="AN2557" s="249"/>
      <c r="AO2557" s="330"/>
      <c r="AP2557" s="343"/>
      <c r="AQ2557" s="249"/>
      <c r="AR2557" s="330"/>
      <c r="AS2557" s="343"/>
      <c r="AT2557" s="249"/>
      <c r="AU2557" s="330"/>
    </row>
    <row r="2558" spans="2:47">
      <c r="B2558" s="247">
        <f>'Table S2 Compound Identifiers'!C2560</f>
        <v>0</v>
      </c>
      <c r="C2558" s="247">
        <f>COUNTIF($D$6:D2558,"&lt;&gt;"&amp;"")</f>
        <v>2553</v>
      </c>
      <c r="D2558" s="247">
        <f>'Table S2 Compound Identifiers'!B2560</f>
        <v>0</v>
      </c>
      <c r="E2558" s="247"/>
      <c r="F2558" s="248"/>
      <c r="G2558" s="249"/>
      <c r="H2558" s="330"/>
      <c r="I2558" s="328"/>
      <c r="J2558" s="249"/>
      <c r="K2558" s="330"/>
      <c r="L2558" s="250"/>
      <c r="M2558" s="249"/>
      <c r="N2558" s="330"/>
      <c r="O2558" s="250"/>
      <c r="P2558" s="249"/>
      <c r="Q2558" s="330"/>
      <c r="R2558" s="250"/>
      <c r="S2558" s="249"/>
      <c r="T2558" s="330"/>
      <c r="U2558" s="250"/>
      <c r="V2558" s="249"/>
      <c r="W2558" s="330"/>
      <c r="X2558" s="343"/>
      <c r="Y2558" s="249"/>
      <c r="Z2558" s="330"/>
      <c r="AA2558" s="343"/>
      <c r="AB2558" s="249"/>
      <c r="AC2558" s="330"/>
      <c r="AD2558" s="343"/>
      <c r="AE2558" s="249"/>
      <c r="AF2558" s="330"/>
      <c r="AG2558" s="343"/>
      <c r="AH2558" s="249"/>
      <c r="AI2558" s="330"/>
      <c r="AJ2558" s="343"/>
      <c r="AK2558" s="249"/>
      <c r="AL2558" s="330"/>
      <c r="AM2558" s="343"/>
      <c r="AN2558" s="249"/>
      <c r="AO2558" s="330"/>
      <c r="AP2558" s="343"/>
      <c r="AQ2558" s="249"/>
      <c r="AR2558" s="330"/>
      <c r="AS2558" s="343"/>
      <c r="AT2558" s="249"/>
      <c r="AU2558" s="330"/>
    </row>
    <row r="2559" spans="2:47">
      <c r="B2559" s="247">
        <f>'Table S2 Compound Identifiers'!C2561</f>
        <v>0</v>
      </c>
      <c r="C2559" s="247">
        <f>COUNTIF($D$6:D2559,"&lt;&gt;"&amp;"")</f>
        <v>2554</v>
      </c>
      <c r="D2559" s="247">
        <f>'Table S2 Compound Identifiers'!B2561</f>
        <v>0</v>
      </c>
      <c r="E2559" s="247"/>
      <c r="F2559" s="248"/>
      <c r="G2559" s="249"/>
      <c r="H2559" s="330"/>
      <c r="I2559" s="328"/>
      <c r="J2559" s="249"/>
      <c r="K2559" s="330"/>
      <c r="L2559" s="250"/>
      <c r="M2559" s="249"/>
      <c r="N2559" s="330"/>
      <c r="O2559" s="250"/>
      <c r="P2559" s="249"/>
      <c r="Q2559" s="330"/>
      <c r="R2559" s="250"/>
      <c r="S2559" s="249"/>
      <c r="T2559" s="330"/>
      <c r="U2559" s="250"/>
      <c r="V2559" s="249"/>
      <c r="W2559" s="330"/>
      <c r="X2559" s="343"/>
      <c r="Y2559" s="249"/>
      <c r="Z2559" s="330"/>
      <c r="AA2559" s="343"/>
      <c r="AB2559" s="249"/>
      <c r="AC2559" s="330"/>
      <c r="AD2559" s="343"/>
      <c r="AE2559" s="249"/>
      <c r="AF2559" s="330"/>
      <c r="AG2559" s="343"/>
      <c r="AH2559" s="249"/>
      <c r="AI2559" s="330"/>
      <c r="AJ2559" s="343"/>
      <c r="AK2559" s="249"/>
      <c r="AL2559" s="330"/>
      <c r="AM2559" s="343"/>
      <c r="AN2559" s="249"/>
      <c r="AO2559" s="330"/>
      <c r="AP2559" s="343"/>
      <c r="AQ2559" s="249"/>
      <c r="AR2559" s="330"/>
      <c r="AS2559" s="343"/>
      <c r="AT2559" s="249"/>
      <c r="AU2559" s="330"/>
    </row>
    <row r="2560" spans="2:47">
      <c r="B2560" s="247">
        <f>'Table S2 Compound Identifiers'!C2562</f>
        <v>0</v>
      </c>
      <c r="C2560" s="247">
        <f>COUNTIF($D$6:D2560,"&lt;&gt;"&amp;"")</f>
        <v>2555</v>
      </c>
      <c r="D2560" s="247">
        <f>'Table S2 Compound Identifiers'!B2562</f>
        <v>0</v>
      </c>
      <c r="E2560" s="247"/>
      <c r="F2560" s="248"/>
      <c r="G2560" s="249"/>
      <c r="H2560" s="330"/>
      <c r="I2560" s="328"/>
      <c r="J2560" s="249"/>
      <c r="K2560" s="330"/>
      <c r="L2560" s="250"/>
      <c r="M2560" s="249"/>
      <c r="N2560" s="330"/>
      <c r="O2560" s="250"/>
      <c r="P2560" s="249"/>
      <c r="Q2560" s="330"/>
      <c r="R2560" s="250"/>
      <c r="S2560" s="249"/>
      <c r="T2560" s="330"/>
      <c r="U2560" s="250"/>
      <c r="V2560" s="249"/>
      <c r="W2560" s="330"/>
      <c r="X2560" s="343"/>
      <c r="Y2560" s="249"/>
      <c r="Z2560" s="330"/>
      <c r="AA2560" s="343"/>
      <c r="AB2560" s="249"/>
      <c r="AC2560" s="330"/>
      <c r="AD2560" s="343"/>
      <c r="AE2560" s="249"/>
      <c r="AF2560" s="330"/>
      <c r="AG2560" s="343"/>
      <c r="AH2560" s="249"/>
      <c r="AI2560" s="330"/>
      <c r="AJ2560" s="343"/>
      <c r="AK2560" s="249"/>
      <c r="AL2560" s="330"/>
      <c r="AM2560" s="343"/>
      <c r="AN2560" s="249"/>
      <c r="AO2560" s="330"/>
      <c r="AP2560" s="343"/>
      <c r="AQ2560" s="249"/>
      <c r="AR2560" s="330"/>
      <c r="AS2560" s="343"/>
      <c r="AT2560" s="249"/>
      <c r="AU2560" s="330"/>
    </row>
    <row r="2561" spans="2:47">
      <c r="B2561" s="247">
        <f>'Table S2 Compound Identifiers'!C2563</f>
        <v>0</v>
      </c>
      <c r="C2561" s="247">
        <f>COUNTIF($D$6:D2561,"&lt;&gt;"&amp;"")</f>
        <v>2556</v>
      </c>
      <c r="D2561" s="247">
        <f>'Table S2 Compound Identifiers'!B2563</f>
        <v>0</v>
      </c>
      <c r="E2561" s="247"/>
      <c r="F2561" s="248"/>
      <c r="G2561" s="249"/>
      <c r="H2561" s="330"/>
      <c r="I2561" s="328"/>
      <c r="J2561" s="249"/>
      <c r="K2561" s="330"/>
      <c r="L2561" s="250"/>
      <c r="M2561" s="249"/>
      <c r="N2561" s="330"/>
      <c r="O2561" s="250"/>
      <c r="P2561" s="249"/>
      <c r="Q2561" s="330"/>
      <c r="R2561" s="250"/>
      <c r="S2561" s="249"/>
      <c r="T2561" s="330"/>
      <c r="U2561" s="250"/>
      <c r="V2561" s="249"/>
      <c r="W2561" s="330"/>
      <c r="X2561" s="343"/>
      <c r="Y2561" s="249"/>
      <c r="Z2561" s="330"/>
      <c r="AA2561" s="343"/>
      <c r="AB2561" s="249"/>
      <c r="AC2561" s="330"/>
      <c r="AD2561" s="343"/>
      <c r="AE2561" s="249"/>
      <c r="AF2561" s="330"/>
      <c r="AG2561" s="343"/>
      <c r="AH2561" s="249"/>
      <c r="AI2561" s="330"/>
      <c r="AJ2561" s="343"/>
      <c r="AK2561" s="249"/>
      <c r="AL2561" s="330"/>
      <c r="AM2561" s="343"/>
      <c r="AN2561" s="249"/>
      <c r="AO2561" s="330"/>
      <c r="AP2561" s="343"/>
      <c r="AQ2561" s="249"/>
      <c r="AR2561" s="330"/>
      <c r="AS2561" s="343"/>
      <c r="AT2561" s="249"/>
      <c r="AU2561" s="330"/>
    </row>
    <row r="2562" spans="2:47">
      <c r="B2562" s="247">
        <f>'Table S2 Compound Identifiers'!C2564</f>
        <v>0</v>
      </c>
      <c r="C2562" s="247">
        <f>COUNTIF($D$6:D2562,"&lt;&gt;"&amp;"")</f>
        <v>2557</v>
      </c>
      <c r="D2562" s="247">
        <f>'Table S2 Compound Identifiers'!B2564</f>
        <v>0</v>
      </c>
      <c r="E2562" s="247"/>
      <c r="F2562" s="248"/>
      <c r="G2562" s="249"/>
      <c r="H2562" s="330"/>
      <c r="I2562" s="328"/>
      <c r="J2562" s="249"/>
      <c r="K2562" s="330"/>
      <c r="L2562" s="250"/>
      <c r="M2562" s="249"/>
      <c r="N2562" s="330"/>
      <c r="O2562" s="250"/>
      <c r="P2562" s="249"/>
      <c r="Q2562" s="330"/>
      <c r="R2562" s="250"/>
      <c r="S2562" s="249"/>
      <c r="T2562" s="330"/>
      <c r="U2562" s="250"/>
      <c r="V2562" s="249"/>
      <c r="W2562" s="330"/>
      <c r="X2562" s="343"/>
      <c r="Y2562" s="249"/>
      <c r="Z2562" s="330"/>
      <c r="AA2562" s="343"/>
      <c r="AB2562" s="249"/>
      <c r="AC2562" s="330"/>
      <c r="AD2562" s="343"/>
      <c r="AE2562" s="249"/>
      <c r="AF2562" s="330"/>
      <c r="AG2562" s="343"/>
      <c r="AH2562" s="249"/>
      <c r="AI2562" s="330"/>
      <c r="AJ2562" s="343"/>
      <c r="AK2562" s="249"/>
      <c r="AL2562" s="330"/>
      <c r="AM2562" s="343"/>
      <c r="AN2562" s="249"/>
      <c r="AO2562" s="330"/>
      <c r="AP2562" s="343"/>
      <c r="AQ2562" s="249"/>
      <c r="AR2562" s="330"/>
      <c r="AS2562" s="343"/>
      <c r="AT2562" s="249"/>
      <c r="AU2562" s="330"/>
    </row>
    <row r="2563" spans="2:47">
      <c r="B2563" s="247">
        <f>'Table S2 Compound Identifiers'!C2565</f>
        <v>0</v>
      </c>
      <c r="C2563" s="247">
        <f>COUNTIF($D$6:D2563,"&lt;&gt;"&amp;"")</f>
        <v>2558</v>
      </c>
      <c r="D2563" s="247">
        <f>'Table S2 Compound Identifiers'!B2565</f>
        <v>0</v>
      </c>
      <c r="E2563" s="247"/>
      <c r="F2563" s="248"/>
      <c r="G2563" s="249"/>
      <c r="H2563" s="330"/>
      <c r="I2563" s="328"/>
      <c r="J2563" s="249"/>
      <c r="K2563" s="330"/>
      <c r="L2563" s="250"/>
      <c r="M2563" s="249"/>
      <c r="N2563" s="330"/>
      <c r="O2563" s="250"/>
      <c r="P2563" s="249"/>
      <c r="Q2563" s="330"/>
      <c r="R2563" s="250"/>
      <c r="S2563" s="249"/>
      <c r="T2563" s="330"/>
      <c r="U2563" s="250"/>
      <c r="V2563" s="249"/>
      <c r="W2563" s="330"/>
      <c r="X2563" s="343"/>
      <c r="Y2563" s="249"/>
      <c r="Z2563" s="330"/>
      <c r="AA2563" s="343"/>
      <c r="AB2563" s="249"/>
      <c r="AC2563" s="330"/>
      <c r="AD2563" s="343"/>
      <c r="AE2563" s="249"/>
      <c r="AF2563" s="330"/>
      <c r="AG2563" s="343"/>
      <c r="AH2563" s="249"/>
      <c r="AI2563" s="330"/>
      <c r="AJ2563" s="343"/>
      <c r="AK2563" s="249"/>
      <c r="AL2563" s="330"/>
      <c r="AM2563" s="343"/>
      <c r="AN2563" s="249"/>
      <c r="AO2563" s="330"/>
      <c r="AP2563" s="343"/>
      <c r="AQ2563" s="249"/>
      <c r="AR2563" s="330"/>
      <c r="AS2563" s="343"/>
      <c r="AT2563" s="249"/>
      <c r="AU2563" s="330"/>
    </row>
    <row r="2564" spans="2:47">
      <c r="B2564" s="247">
        <f>'Table S2 Compound Identifiers'!C2566</f>
        <v>0</v>
      </c>
      <c r="C2564" s="247">
        <f>COUNTIF($D$6:D2564,"&lt;&gt;"&amp;"")</f>
        <v>2559</v>
      </c>
      <c r="D2564" s="247">
        <f>'Table S2 Compound Identifiers'!B2566</f>
        <v>0</v>
      </c>
      <c r="E2564" s="247"/>
      <c r="F2564" s="248"/>
      <c r="G2564" s="249"/>
      <c r="H2564" s="330"/>
      <c r="I2564" s="328"/>
      <c r="J2564" s="249"/>
      <c r="K2564" s="330"/>
      <c r="L2564" s="250"/>
      <c r="M2564" s="249"/>
      <c r="N2564" s="330"/>
      <c r="O2564" s="250"/>
      <c r="P2564" s="249"/>
      <c r="Q2564" s="330"/>
      <c r="R2564" s="250"/>
      <c r="S2564" s="249"/>
      <c r="T2564" s="330"/>
      <c r="U2564" s="250"/>
      <c r="V2564" s="249"/>
      <c r="W2564" s="330"/>
      <c r="X2564" s="343"/>
      <c r="Y2564" s="249"/>
      <c r="Z2564" s="330"/>
      <c r="AA2564" s="343"/>
      <c r="AB2564" s="249"/>
      <c r="AC2564" s="330"/>
      <c r="AD2564" s="343"/>
      <c r="AE2564" s="249"/>
      <c r="AF2564" s="330"/>
      <c r="AG2564" s="343"/>
      <c r="AH2564" s="249"/>
      <c r="AI2564" s="330"/>
      <c r="AJ2564" s="343"/>
      <c r="AK2564" s="249"/>
      <c r="AL2564" s="330"/>
      <c r="AM2564" s="343"/>
      <c r="AN2564" s="249"/>
      <c r="AO2564" s="330"/>
      <c r="AP2564" s="343"/>
      <c r="AQ2564" s="249"/>
      <c r="AR2564" s="330"/>
      <c r="AS2564" s="343"/>
      <c r="AT2564" s="249"/>
      <c r="AU2564" s="330"/>
    </row>
    <row r="2565" spans="2:47">
      <c r="B2565" s="247">
        <f>'Table S2 Compound Identifiers'!C2567</f>
        <v>0</v>
      </c>
      <c r="C2565" s="247">
        <f>COUNTIF($D$6:D2565,"&lt;&gt;"&amp;"")</f>
        <v>2560</v>
      </c>
      <c r="D2565" s="247">
        <f>'Table S2 Compound Identifiers'!B2567</f>
        <v>0</v>
      </c>
      <c r="E2565" s="247"/>
      <c r="F2565" s="248"/>
      <c r="G2565" s="249"/>
      <c r="H2565" s="330"/>
      <c r="I2565" s="328"/>
      <c r="J2565" s="249"/>
      <c r="K2565" s="330"/>
      <c r="L2565" s="250"/>
      <c r="M2565" s="249"/>
      <c r="N2565" s="330"/>
      <c r="O2565" s="250"/>
      <c r="P2565" s="249"/>
      <c r="Q2565" s="330"/>
      <c r="R2565" s="250"/>
      <c r="S2565" s="249"/>
      <c r="T2565" s="330"/>
      <c r="U2565" s="250"/>
      <c r="V2565" s="249"/>
      <c r="W2565" s="330"/>
      <c r="X2565" s="343"/>
      <c r="Y2565" s="249"/>
      <c r="Z2565" s="330"/>
      <c r="AA2565" s="343"/>
      <c r="AB2565" s="249"/>
      <c r="AC2565" s="330"/>
      <c r="AD2565" s="343"/>
      <c r="AE2565" s="249"/>
      <c r="AF2565" s="330"/>
      <c r="AG2565" s="343"/>
      <c r="AH2565" s="249"/>
      <c r="AI2565" s="330"/>
      <c r="AJ2565" s="343"/>
      <c r="AK2565" s="249"/>
      <c r="AL2565" s="330"/>
      <c r="AM2565" s="343"/>
      <c r="AN2565" s="249"/>
      <c r="AO2565" s="330"/>
      <c r="AP2565" s="343"/>
      <c r="AQ2565" s="249"/>
      <c r="AR2565" s="330"/>
      <c r="AS2565" s="343"/>
      <c r="AT2565" s="249"/>
      <c r="AU2565" s="330"/>
    </row>
    <row r="2566" spans="2:47">
      <c r="B2566" s="247">
        <f>'Table S2 Compound Identifiers'!C2568</f>
        <v>0</v>
      </c>
      <c r="C2566" s="247">
        <f>COUNTIF($D$6:D2566,"&lt;&gt;"&amp;"")</f>
        <v>2561</v>
      </c>
      <c r="D2566" s="247">
        <f>'Table S2 Compound Identifiers'!B2568</f>
        <v>0</v>
      </c>
      <c r="E2566" s="247"/>
      <c r="F2566" s="248"/>
      <c r="G2566" s="249"/>
      <c r="H2566" s="330"/>
      <c r="I2566" s="328"/>
      <c r="J2566" s="249"/>
      <c r="K2566" s="330"/>
      <c r="L2566" s="250"/>
      <c r="M2566" s="249"/>
      <c r="N2566" s="330"/>
      <c r="O2566" s="250"/>
      <c r="P2566" s="249"/>
      <c r="Q2566" s="330"/>
      <c r="R2566" s="250"/>
      <c r="S2566" s="249"/>
      <c r="T2566" s="330"/>
      <c r="U2566" s="250"/>
      <c r="V2566" s="249"/>
      <c r="W2566" s="330"/>
      <c r="X2566" s="343"/>
      <c r="Y2566" s="249"/>
      <c r="Z2566" s="330"/>
      <c r="AA2566" s="343"/>
      <c r="AB2566" s="249"/>
      <c r="AC2566" s="330"/>
      <c r="AD2566" s="343"/>
      <c r="AE2566" s="249"/>
      <c r="AF2566" s="330"/>
      <c r="AG2566" s="343"/>
      <c r="AH2566" s="249"/>
      <c r="AI2566" s="330"/>
      <c r="AJ2566" s="343"/>
      <c r="AK2566" s="249"/>
      <c r="AL2566" s="330"/>
      <c r="AM2566" s="343"/>
      <c r="AN2566" s="249"/>
      <c r="AO2566" s="330"/>
      <c r="AP2566" s="343"/>
      <c r="AQ2566" s="249"/>
      <c r="AR2566" s="330"/>
      <c r="AS2566" s="343"/>
      <c r="AT2566" s="249"/>
      <c r="AU2566" s="330"/>
    </row>
    <row r="2567" spans="2:47">
      <c r="B2567" s="247">
        <f>'Table S2 Compound Identifiers'!C2569</f>
        <v>0</v>
      </c>
      <c r="C2567" s="247">
        <f>COUNTIF($D$6:D2567,"&lt;&gt;"&amp;"")</f>
        <v>2562</v>
      </c>
      <c r="D2567" s="247">
        <f>'Table S2 Compound Identifiers'!B2569</f>
        <v>0</v>
      </c>
      <c r="E2567" s="247"/>
      <c r="F2567" s="248"/>
      <c r="G2567" s="249"/>
      <c r="H2567" s="330"/>
      <c r="I2567" s="328"/>
      <c r="J2567" s="249"/>
      <c r="K2567" s="330"/>
      <c r="L2567" s="250"/>
      <c r="M2567" s="249"/>
      <c r="N2567" s="330"/>
      <c r="O2567" s="250"/>
      <c r="P2567" s="249"/>
      <c r="Q2567" s="330"/>
      <c r="R2567" s="250"/>
      <c r="S2567" s="249"/>
      <c r="T2567" s="330"/>
      <c r="U2567" s="250"/>
      <c r="V2567" s="249"/>
      <c r="W2567" s="330"/>
      <c r="X2567" s="343"/>
      <c r="Y2567" s="249"/>
      <c r="Z2567" s="330"/>
      <c r="AA2567" s="343"/>
      <c r="AB2567" s="249"/>
      <c r="AC2567" s="330"/>
      <c r="AD2567" s="343"/>
      <c r="AE2567" s="249"/>
      <c r="AF2567" s="330"/>
      <c r="AG2567" s="343"/>
      <c r="AH2567" s="249"/>
      <c r="AI2567" s="330"/>
      <c r="AJ2567" s="343"/>
      <c r="AK2567" s="249"/>
      <c r="AL2567" s="330"/>
      <c r="AM2567" s="343"/>
      <c r="AN2567" s="249"/>
      <c r="AO2567" s="330"/>
      <c r="AP2567" s="343"/>
      <c r="AQ2567" s="249"/>
      <c r="AR2567" s="330"/>
      <c r="AS2567" s="343"/>
      <c r="AT2567" s="249"/>
      <c r="AU2567" s="330"/>
    </row>
    <row r="2568" spans="2:47">
      <c r="B2568" s="247">
        <f>'Table S2 Compound Identifiers'!C2570</f>
        <v>0</v>
      </c>
      <c r="C2568" s="247">
        <f>COUNTIF($D$6:D2568,"&lt;&gt;"&amp;"")</f>
        <v>2563</v>
      </c>
      <c r="D2568" s="247">
        <f>'Table S2 Compound Identifiers'!B2570</f>
        <v>0</v>
      </c>
      <c r="E2568" s="247"/>
      <c r="F2568" s="248"/>
      <c r="G2568" s="249"/>
      <c r="H2568" s="330"/>
      <c r="I2568" s="328"/>
      <c r="J2568" s="249"/>
      <c r="K2568" s="330"/>
      <c r="L2568" s="250"/>
      <c r="M2568" s="249"/>
      <c r="N2568" s="330"/>
      <c r="O2568" s="250"/>
      <c r="P2568" s="249"/>
      <c r="Q2568" s="330"/>
      <c r="R2568" s="250"/>
      <c r="S2568" s="249"/>
      <c r="T2568" s="330"/>
      <c r="U2568" s="250"/>
      <c r="V2568" s="249"/>
      <c r="W2568" s="330"/>
      <c r="X2568" s="343"/>
      <c r="Y2568" s="249"/>
      <c r="Z2568" s="330"/>
      <c r="AA2568" s="343"/>
      <c r="AB2568" s="249"/>
      <c r="AC2568" s="330"/>
      <c r="AD2568" s="343"/>
      <c r="AE2568" s="249"/>
      <c r="AF2568" s="330"/>
      <c r="AG2568" s="343"/>
      <c r="AH2568" s="249"/>
      <c r="AI2568" s="330"/>
      <c r="AJ2568" s="343"/>
      <c r="AK2568" s="249"/>
      <c r="AL2568" s="330"/>
      <c r="AM2568" s="343"/>
      <c r="AN2568" s="249"/>
      <c r="AO2568" s="330"/>
      <c r="AP2568" s="343"/>
      <c r="AQ2568" s="249"/>
      <c r="AR2568" s="330"/>
      <c r="AS2568" s="343"/>
      <c r="AT2568" s="249"/>
      <c r="AU2568" s="330"/>
    </row>
    <row r="2569" spans="2:47">
      <c r="B2569" s="247">
        <f>'Table S2 Compound Identifiers'!C2571</f>
        <v>0</v>
      </c>
      <c r="C2569" s="247">
        <f>COUNTIF($D$6:D2569,"&lt;&gt;"&amp;"")</f>
        <v>2564</v>
      </c>
      <c r="D2569" s="247">
        <f>'Table S2 Compound Identifiers'!B2571</f>
        <v>0</v>
      </c>
      <c r="E2569" s="247"/>
      <c r="F2569" s="248"/>
      <c r="G2569" s="249"/>
      <c r="H2569" s="330"/>
      <c r="I2569" s="328"/>
      <c r="J2569" s="249"/>
      <c r="K2569" s="330"/>
      <c r="L2569" s="250"/>
      <c r="M2569" s="249"/>
      <c r="N2569" s="330"/>
      <c r="O2569" s="250"/>
      <c r="P2569" s="249"/>
      <c r="Q2569" s="330"/>
      <c r="R2569" s="250"/>
      <c r="S2569" s="249"/>
      <c r="T2569" s="330"/>
      <c r="U2569" s="250"/>
      <c r="V2569" s="249"/>
      <c r="W2569" s="330"/>
      <c r="X2569" s="343"/>
      <c r="Y2569" s="249"/>
      <c r="Z2569" s="330"/>
      <c r="AA2569" s="343"/>
      <c r="AB2569" s="249"/>
      <c r="AC2569" s="330"/>
      <c r="AD2569" s="343"/>
      <c r="AE2569" s="249"/>
      <c r="AF2569" s="330"/>
      <c r="AG2569" s="343"/>
      <c r="AH2569" s="249"/>
      <c r="AI2569" s="330"/>
      <c r="AJ2569" s="343"/>
      <c r="AK2569" s="249"/>
      <c r="AL2569" s="330"/>
      <c r="AM2569" s="343"/>
      <c r="AN2569" s="249"/>
      <c r="AO2569" s="330"/>
      <c r="AP2569" s="343"/>
      <c r="AQ2569" s="249"/>
      <c r="AR2569" s="330"/>
      <c r="AS2569" s="343"/>
      <c r="AT2569" s="249"/>
      <c r="AU2569" s="330"/>
    </row>
    <row r="2570" spans="2:47">
      <c r="B2570" s="247">
        <f>'Table S2 Compound Identifiers'!C2572</f>
        <v>0</v>
      </c>
      <c r="C2570" s="247">
        <f>COUNTIF($D$6:D2570,"&lt;&gt;"&amp;"")</f>
        <v>2565</v>
      </c>
      <c r="D2570" s="247">
        <f>'Table S2 Compound Identifiers'!B2572</f>
        <v>0</v>
      </c>
      <c r="E2570" s="247"/>
      <c r="F2570" s="248"/>
      <c r="G2570" s="249"/>
      <c r="H2570" s="330"/>
      <c r="I2570" s="328"/>
      <c r="J2570" s="249"/>
      <c r="K2570" s="330"/>
      <c r="L2570" s="250"/>
      <c r="M2570" s="249"/>
      <c r="N2570" s="330"/>
      <c r="O2570" s="250"/>
      <c r="P2570" s="249"/>
      <c r="Q2570" s="330"/>
      <c r="R2570" s="250"/>
      <c r="S2570" s="249"/>
      <c r="T2570" s="330"/>
      <c r="U2570" s="250"/>
      <c r="V2570" s="249"/>
      <c r="W2570" s="330"/>
      <c r="X2570" s="343"/>
      <c r="Y2570" s="249"/>
      <c r="Z2570" s="330"/>
      <c r="AA2570" s="343"/>
      <c r="AB2570" s="249"/>
      <c r="AC2570" s="330"/>
      <c r="AD2570" s="343"/>
      <c r="AE2570" s="249"/>
      <c r="AF2570" s="330"/>
      <c r="AG2570" s="343"/>
      <c r="AH2570" s="249"/>
      <c r="AI2570" s="330"/>
      <c r="AJ2570" s="343"/>
      <c r="AK2570" s="249"/>
      <c r="AL2570" s="330"/>
      <c r="AM2570" s="343"/>
      <c r="AN2570" s="249"/>
      <c r="AO2570" s="330"/>
      <c r="AP2570" s="343"/>
      <c r="AQ2570" s="249"/>
      <c r="AR2570" s="330"/>
      <c r="AS2570" s="343"/>
      <c r="AT2570" s="249"/>
      <c r="AU2570" s="330"/>
    </row>
    <row r="2571" spans="2:47">
      <c r="B2571" s="247">
        <f>'Table S2 Compound Identifiers'!C2573</f>
        <v>0</v>
      </c>
      <c r="C2571" s="247">
        <f>COUNTIF($D$6:D2571,"&lt;&gt;"&amp;"")</f>
        <v>2566</v>
      </c>
      <c r="D2571" s="247">
        <f>'Table S2 Compound Identifiers'!B2573</f>
        <v>0</v>
      </c>
      <c r="E2571" s="247"/>
      <c r="F2571" s="248"/>
      <c r="G2571" s="249"/>
      <c r="H2571" s="330"/>
      <c r="I2571" s="328"/>
      <c r="J2571" s="249"/>
      <c r="K2571" s="330"/>
      <c r="L2571" s="250"/>
      <c r="M2571" s="249"/>
      <c r="N2571" s="330"/>
      <c r="O2571" s="250"/>
      <c r="P2571" s="249"/>
      <c r="Q2571" s="330"/>
      <c r="R2571" s="250"/>
      <c r="S2571" s="249"/>
      <c r="T2571" s="330"/>
      <c r="U2571" s="250"/>
      <c r="V2571" s="249"/>
      <c r="W2571" s="330"/>
      <c r="X2571" s="343"/>
      <c r="Y2571" s="249"/>
      <c r="Z2571" s="330"/>
      <c r="AA2571" s="343"/>
      <c r="AB2571" s="249"/>
      <c r="AC2571" s="330"/>
      <c r="AD2571" s="343"/>
      <c r="AE2571" s="249"/>
      <c r="AF2571" s="330"/>
      <c r="AG2571" s="343"/>
      <c r="AH2571" s="249"/>
      <c r="AI2571" s="330"/>
      <c r="AJ2571" s="343"/>
      <c r="AK2571" s="249"/>
      <c r="AL2571" s="330"/>
      <c r="AM2571" s="343"/>
      <c r="AN2571" s="249"/>
      <c r="AO2571" s="330"/>
      <c r="AP2571" s="343"/>
      <c r="AQ2571" s="249"/>
      <c r="AR2571" s="330"/>
      <c r="AS2571" s="343"/>
      <c r="AT2571" s="249"/>
      <c r="AU2571" s="330"/>
    </row>
    <row r="2572" spans="2:47">
      <c r="B2572" s="247">
        <f>'Table S2 Compound Identifiers'!C2574</f>
        <v>0</v>
      </c>
      <c r="C2572" s="247">
        <f>COUNTIF($D$6:D2572,"&lt;&gt;"&amp;"")</f>
        <v>2567</v>
      </c>
      <c r="D2572" s="247">
        <f>'Table S2 Compound Identifiers'!B2574</f>
        <v>0</v>
      </c>
      <c r="E2572" s="247"/>
      <c r="F2572" s="248"/>
      <c r="G2572" s="249"/>
      <c r="H2572" s="330"/>
      <c r="I2572" s="328"/>
      <c r="J2572" s="249"/>
      <c r="K2572" s="330"/>
      <c r="L2572" s="250"/>
      <c r="M2572" s="249"/>
      <c r="N2572" s="330"/>
      <c r="O2572" s="250"/>
      <c r="P2572" s="249"/>
      <c r="Q2572" s="330"/>
      <c r="R2572" s="250"/>
      <c r="S2572" s="249"/>
      <c r="T2572" s="330"/>
      <c r="U2572" s="250"/>
      <c r="V2572" s="249"/>
      <c r="W2572" s="330"/>
      <c r="X2572" s="343"/>
      <c r="Y2572" s="249"/>
      <c r="Z2572" s="330"/>
      <c r="AA2572" s="343"/>
      <c r="AB2572" s="249"/>
      <c r="AC2572" s="330"/>
      <c r="AD2572" s="343"/>
      <c r="AE2572" s="249"/>
      <c r="AF2572" s="330"/>
      <c r="AG2572" s="343"/>
      <c r="AH2572" s="249"/>
      <c r="AI2572" s="330"/>
      <c r="AJ2572" s="343"/>
      <c r="AK2572" s="249"/>
      <c r="AL2572" s="330"/>
      <c r="AM2572" s="343"/>
      <c r="AN2572" s="249"/>
      <c r="AO2572" s="330"/>
      <c r="AP2572" s="343"/>
      <c r="AQ2572" s="249"/>
      <c r="AR2572" s="330"/>
      <c r="AS2572" s="343"/>
      <c r="AT2572" s="249"/>
      <c r="AU2572" s="330"/>
    </row>
    <row r="2573" spans="2:47">
      <c r="B2573" s="247">
        <f>'Table S2 Compound Identifiers'!C2575</f>
        <v>0</v>
      </c>
      <c r="C2573" s="247">
        <f>COUNTIF($D$6:D2573,"&lt;&gt;"&amp;"")</f>
        <v>2568</v>
      </c>
      <c r="D2573" s="247">
        <f>'Table S2 Compound Identifiers'!B2575</f>
        <v>0</v>
      </c>
      <c r="E2573" s="247"/>
      <c r="F2573" s="248"/>
      <c r="G2573" s="249"/>
      <c r="H2573" s="330"/>
      <c r="I2573" s="328"/>
      <c r="J2573" s="249"/>
      <c r="K2573" s="330"/>
      <c r="L2573" s="250"/>
      <c r="M2573" s="249"/>
      <c r="N2573" s="330"/>
      <c r="O2573" s="250"/>
      <c r="P2573" s="249"/>
      <c r="Q2573" s="330"/>
      <c r="R2573" s="250"/>
      <c r="S2573" s="249"/>
      <c r="T2573" s="330"/>
      <c r="U2573" s="250"/>
      <c r="V2573" s="249"/>
      <c r="W2573" s="330"/>
      <c r="X2573" s="343"/>
      <c r="Y2573" s="249"/>
      <c r="Z2573" s="330"/>
      <c r="AA2573" s="343"/>
      <c r="AB2573" s="249"/>
      <c r="AC2573" s="330"/>
      <c r="AD2573" s="343"/>
      <c r="AE2573" s="249"/>
      <c r="AF2573" s="330"/>
      <c r="AG2573" s="343"/>
      <c r="AH2573" s="249"/>
      <c r="AI2573" s="330"/>
      <c r="AJ2573" s="343"/>
      <c r="AK2573" s="249"/>
      <c r="AL2573" s="330"/>
      <c r="AM2573" s="343"/>
      <c r="AN2573" s="249"/>
      <c r="AO2573" s="330"/>
      <c r="AP2573" s="343"/>
      <c r="AQ2573" s="249"/>
      <c r="AR2573" s="330"/>
      <c r="AS2573" s="343"/>
      <c r="AT2573" s="249"/>
      <c r="AU2573" s="330"/>
    </row>
    <row r="2574" spans="2:47">
      <c r="B2574" s="247">
        <f>'Table S2 Compound Identifiers'!C2576</f>
        <v>0</v>
      </c>
      <c r="C2574" s="247">
        <f>COUNTIF($D$6:D2574,"&lt;&gt;"&amp;"")</f>
        <v>2569</v>
      </c>
      <c r="D2574" s="247">
        <f>'Table S2 Compound Identifiers'!B2576</f>
        <v>0</v>
      </c>
      <c r="E2574" s="247"/>
      <c r="F2574" s="248"/>
      <c r="G2574" s="249"/>
      <c r="H2574" s="330"/>
      <c r="I2574" s="328"/>
      <c r="J2574" s="249"/>
      <c r="K2574" s="330"/>
      <c r="L2574" s="250"/>
      <c r="M2574" s="249"/>
      <c r="N2574" s="330"/>
      <c r="O2574" s="250"/>
      <c r="P2574" s="249"/>
      <c r="Q2574" s="330"/>
      <c r="R2574" s="250"/>
      <c r="S2574" s="249"/>
      <c r="T2574" s="330"/>
      <c r="U2574" s="250"/>
      <c r="V2574" s="249"/>
      <c r="W2574" s="330"/>
      <c r="X2574" s="343"/>
      <c r="Y2574" s="249"/>
      <c r="Z2574" s="330"/>
      <c r="AA2574" s="343"/>
      <c r="AB2574" s="249"/>
      <c r="AC2574" s="330"/>
      <c r="AD2574" s="343"/>
      <c r="AE2574" s="249"/>
      <c r="AF2574" s="330"/>
      <c r="AG2574" s="343"/>
      <c r="AH2574" s="249"/>
      <c r="AI2574" s="330"/>
      <c r="AJ2574" s="343"/>
      <c r="AK2574" s="249"/>
      <c r="AL2574" s="330"/>
      <c r="AM2574" s="343"/>
      <c r="AN2574" s="249"/>
      <c r="AO2574" s="330"/>
      <c r="AP2574" s="343"/>
      <c r="AQ2574" s="249"/>
      <c r="AR2574" s="330"/>
      <c r="AS2574" s="343"/>
      <c r="AT2574" s="249"/>
      <c r="AU2574" s="330"/>
    </row>
    <row r="2575" spans="2:47">
      <c r="B2575" s="247">
        <f>'Table S2 Compound Identifiers'!C2577</f>
        <v>0</v>
      </c>
      <c r="C2575" s="247">
        <f>COUNTIF($D$6:D2575,"&lt;&gt;"&amp;"")</f>
        <v>2570</v>
      </c>
      <c r="D2575" s="247">
        <f>'Table S2 Compound Identifiers'!B2577</f>
        <v>0</v>
      </c>
      <c r="E2575" s="247"/>
      <c r="F2575" s="248"/>
      <c r="G2575" s="249"/>
      <c r="H2575" s="330"/>
      <c r="I2575" s="328"/>
      <c r="J2575" s="249"/>
      <c r="K2575" s="330"/>
      <c r="L2575" s="250"/>
      <c r="M2575" s="249"/>
      <c r="N2575" s="330"/>
      <c r="O2575" s="250"/>
      <c r="P2575" s="249"/>
      <c r="Q2575" s="330"/>
      <c r="R2575" s="250"/>
      <c r="S2575" s="249"/>
      <c r="T2575" s="330"/>
      <c r="U2575" s="250"/>
      <c r="V2575" s="249"/>
      <c r="W2575" s="330"/>
      <c r="X2575" s="343"/>
      <c r="Y2575" s="249"/>
      <c r="Z2575" s="330"/>
      <c r="AA2575" s="343"/>
      <c r="AB2575" s="249"/>
      <c r="AC2575" s="330"/>
      <c r="AD2575" s="343"/>
      <c r="AE2575" s="249"/>
      <c r="AF2575" s="330"/>
      <c r="AG2575" s="343"/>
      <c r="AH2575" s="249"/>
      <c r="AI2575" s="330"/>
      <c r="AJ2575" s="343"/>
      <c r="AK2575" s="249"/>
      <c r="AL2575" s="330"/>
      <c r="AM2575" s="343"/>
      <c r="AN2575" s="249"/>
      <c r="AO2575" s="330"/>
      <c r="AP2575" s="343"/>
      <c r="AQ2575" s="249"/>
      <c r="AR2575" s="330"/>
      <c r="AS2575" s="343"/>
      <c r="AT2575" s="249"/>
      <c r="AU2575" s="330"/>
    </row>
    <row r="2576" spans="2:47">
      <c r="B2576" s="247">
        <f>'Table S2 Compound Identifiers'!C2578</f>
        <v>0</v>
      </c>
      <c r="C2576" s="247">
        <f>COUNTIF($D$6:D2576,"&lt;&gt;"&amp;"")</f>
        <v>2571</v>
      </c>
      <c r="D2576" s="247">
        <f>'Table S2 Compound Identifiers'!B2578</f>
        <v>0</v>
      </c>
      <c r="E2576" s="247"/>
      <c r="F2576" s="248"/>
      <c r="G2576" s="249"/>
      <c r="H2576" s="330"/>
      <c r="I2576" s="328"/>
      <c r="J2576" s="249"/>
      <c r="K2576" s="330"/>
      <c r="L2576" s="250"/>
      <c r="M2576" s="249"/>
      <c r="N2576" s="330"/>
      <c r="O2576" s="250"/>
      <c r="P2576" s="249"/>
      <c r="Q2576" s="330"/>
      <c r="R2576" s="250"/>
      <c r="S2576" s="249"/>
      <c r="T2576" s="330"/>
      <c r="U2576" s="250"/>
      <c r="V2576" s="249"/>
      <c r="W2576" s="330"/>
      <c r="X2576" s="343"/>
      <c r="Y2576" s="249"/>
      <c r="Z2576" s="330"/>
      <c r="AA2576" s="343"/>
      <c r="AB2576" s="249"/>
      <c r="AC2576" s="330"/>
      <c r="AD2576" s="343"/>
      <c r="AE2576" s="249"/>
      <c r="AF2576" s="330"/>
      <c r="AG2576" s="343"/>
      <c r="AH2576" s="249"/>
      <c r="AI2576" s="330"/>
      <c r="AJ2576" s="343"/>
      <c r="AK2576" s="249"/>
      <c r="AL2576" s="330"/>
      <c r="AM2576" s="343"/>
      <c r="AN2576" s="249"/>
      <c r="AO2576" s="330"/>
      <c r="AP2576" s="343"/>
      <c r="AQ2576" s="249"/>
      <c r="AR2576" s="330"/>
      <c r="AS2576" s="343"/>
      <c r="AT2576" s="249"/>
      <c r="AU2576" s="330"/>
    </row>
    <row r="2577" spans="2:47">
      <c r="B2577" s="247">
        <f>'Table S2 Compound Identifiers'!C2579</f>
        <v>0</v>
      </c>
      <c r="C2577" s="247">
        <f>COUNTIF($D$6:D2577,"&lt;&gt;"&amp;"")</f>
        <v>2572</v>
      </c>
      <c r="D2577" s="247">
        <f>'Table S2 Compound Identifiers'!B2579</f>
        <v>0</v>
      </c>
      <c r="E2577" s="247"/>
      <c r="F2577" s="248"/>
      <c r="G2577" s="249"/>
      <c r="H2577" s="330"/>
      <c r="I2577" s="328"/>
      <c r="J2577" s="249"/>
      <c r="K2577" s="330"/>
      <c r="L2577" s="250"/>
      <c r="M2577" s="249"/>
      <c r="N2577" s="330"/>
      <c r="O2577" s="250"/>
      <c r="P2577" s="249"/>
      <c r="Q2577" s="330"/>
      <c r="R2577" s="250"/>
      <c r="S2577" s="249"/>
      <c r="T2577" s="330"/>
      <c r="U2577" s="250"/>
      <c r="V2577" s="249"/>
      <c r="W2577" s="330"/>
      <c r="X2577" s="343"/>
      <c r="Y2577" s="249"/>
      <c r="Z2577" s="330"/>
      <c r="AA2577" s="343"/>
      <c r="AB2577" s="249"/>
      <c r="AC2577" s="330"/>
      <c r="AD2577" s="343"/>
      <c r="AE2577" s="249"/>
      <c r="AF2577" s="330"/>
      <c r="AG2577" s="343"/>
      <c r="AH2577" s="249"/>
      <c r="AI2577" s="330"/>
      <c r="AJ2577" s="343"/>
      <c r="AK2577" s="249"/>
      <c r="AL2577" s="330"/>
      <c r="AM2577" s="343"/>
      <c r="AN2577" s="249"/>
      <c r="AO2577" s="330"/>
      <c r="AP2577" s="343"/>
      <c r="AQ2577" s="249"/>
      <c r="AR2577" s="330"/>
      <c r="AS2577" s="343"/>
      <c r="AT2577" s="249"/>
      <c r="AU2577" s="330"/>
    </row>
    <row r="2578" spans="2:47">
      <c r="B2578" s="247">
        <f>'Table S2 Compound Identifiers'!C2580</f>
        <v>0</v>
      </c>
      <c r="C2578" s="247">
        <f>COUNTIF($D$6:D2578,"&lt;&gt;"&amp;"")</f>
        <v>2573</v>
      </c>
      <c r="D2578" s="432">
        <f>'Table S2 Compound Identifiers'!B2580</f>
        <v>0</v>
      </c>
      <c r="E2578" s="247"/>
      <c r="F2578" s="248"/>
      <c r="G2578" s="249"/>
      <c r="H2578" s="330"/>
      <c r="I2578" s="328"/>
      <c r="J2578" s="249"/>
      <c r="K2578" s="330"/>
      <c r="L2578" s="250"/>
      <c r="M2578" s="249"/>
      <c r="N2578" s="330"/>
      <c r="O2578" s="250"/>
      <c r="P2578" s="249"/>
      <c r="Q2578" s="330"/>
      <c r="R2578" s="250"/>
      <c r="S2578" s="249"/>
      <c r="T2578" s="330"/>
      <c r="U2578" s="250"/>
      <c r="V2578" s="249"/>
      <c r="W2578" s="330"/>
      <c r="X2578" s="343"/>
      <c r="Y2578" s="249"/>
      <c r="Z2578" s="330"/>
      <c r="AA2578" s="343"/>
      <c r="AB2578" s="249"/>
      <c r="AC2578" s="330"/>
      <c r="AD2578" s="343"/>
      <c r="AE2578" s="249"/>
      <c r="AF2578" s="330"/>
      <c r="AG2578" s="343"/>
      <c r="AH2578" s="249"/>
      <c r="AI2578" s="330"/>
      <c r="AJ2578" s="343"/>
      <c r="AK2578" s="249"/>
      <c r="AL2578" s="330"/>
      <c r="AM2578" s="343"/>
      <c r="AN2578" s="249"/>
      <c r="AO2578" s="330"/>
      <c r="AP2578" s="343"/>
      <c r="AQ2578" s="249"/>
      <c r="AR2578" s="330"/>
      <c r="AS2578" s="343"/>
      <c r="AT2578" s="249"/>
      <c r="AU2578" s="330"/>
    </row>
    <row r="2579" spans="2:47">
      <c r="B2579" s="247">
        <f>'Table S2 Compound Identifiers'!C2581</f>
        <v>0</v>
      </c>
      <c r="C2579" s="247">
        <f>COUNTIF($D$6:D2579,"&lt;&gt;"&amp;"")</f>
        <v>2574</v>
      </c>
      <c r="D2579" s="432">
        <f>'Table S2 Compound Identifiers'!B2581</f>
        <v>0</v>
      </c>
      <c r="E2579" s="247"/>
      <c r="F2579" s="248"/>
      <c r="G2579" s="249"/>
      <c r="H2579" s="330"/>
      <c r="I2579" s="328"/>
      <c r="J2579" s="249"/>
      <c r="K2579" s="330"/>
      <c r="L2579" s="250"/>
      <c r="M2579" s="249"/>
      <c r="N2579" s="330"/>
      <c r="O2579" s="250"/>
      <c r="P2579" s="249"/>
      <c r="Q2579" s="330"/>
      <c r="R2579" s="250"/>
      <c r="S2579" s="249"/>
      <c r="T2579" s="330"/>
      <c r="U2579" s="250"/>
      <c r="V2579" s="249"/>
      <c r="W2579" s="330"/>
      <c r="X2579" s="343"/>
      <c r="Y2579" s="249"/>
      <c r="Z2579" s="330"/>
      <c r="AA2579" s="343"/>
      <c r="AB2579" s="249"/>
      <c r="AC2579" s="330"/>
      <c r="AD2579" s="343"/>
      <c r="AE2579" s="249"/>
      <c r="AF2579" s="330"/>
      <c r="AG2579" s="343"/>
      <c r="AH2579" s="249"/>
      <c r="AI2579" s="330"/>
      <c r="AJ2579" s="343"/>
      <c r="AK2579" s="249"/>
      <c r="AL2579" s="330"/>
      <c r="AM2579" s="343"/>
      <c r="AN2579" s="249"/>
      <c r="AO2579" s="330"/>
      <c r="AP2579" s="343"/>
      <c r="AQ2579" s="249"/>
      <c r="AR2579" s="330"/>
      <c r="AS2579" s="343"/>
      <c r="AT2579" s="249"/>
      <c r="AU2579" s="330"/>
    </row>
    <row r="2580" spans="2:47">
      <c r="B2580" s="247">
        <f>'Table S2 Compound Identifiers'!C2582</f>
        <v>0</v>
      </c>
      <c r="C2580" s="247">
        <f>COUNTIF($D$6:D2580,"&lt;&gt;"&amp;"")</f>
        <v>2575</v>
      </c>
      <c r="D2580" s="432">
        <f>'Table S2 Compound Identifiers'!B2582</f>
        <v>0</v>
      </c>
      <c r="E2580" s="247"/>
      <c r="F2580" s="248"/>
      <c r="G2580" s="249"/>
      <c r="H2580" s="330"/>
      <c r="I2580" s="328"/>
      <c r="J2580" s="249"/>
      <c r="K2580" s="330"/>
      <c r="L2580" s="250"/>
      <c r="M2580" s="249"/>
      <c r="N2580" s="330"/>
      <c r="O2580" s="250"/>
      <c r="P2580" s="249"/>
      <c r="Q2580" s="330"/>
      <c r="R2580" s="250"/>
      <c r="S2580" s="249"/>
      <c r="T2580" s="330"/>
      <c r="U2580" s="250"/>
      <c r="V2580" s="249"/>
      <c r="W2580" s="330"/>
      <c r="X2580" s="343"/>
      <c r="Y2580" s="249"/>
      <c r="Z2580" s="330"/>
      <c r="AA2580" s="343"/>
      <c r="AB2580" s="249"/>
      <c r="AC2580" s="330"/>
      <c r="AD2580" s="343"/>
      <c r="AE2580" s="249"/>
      <c r="AF2580" s="330"/>
      <c r="AG2580" s="343"/>
      <c r="AH2580" s="249"/>
      <c r="AI2580" s="330"/>
      <c r="AJ2580" s="343"/>
      <c r="AK2580" s="249"/>
      <c r="AL2580" s="330"/>
      <c r="AM2580" s="343"/>
      <c r="AN2580" s="249"/>
      <c r="AO2580" s="330"/>
      <c r="AP2580" s="343"/>
      <c r="AQ2580" s="249"/>
      <c r="AR2580" s="330"/>
      <c r="AS2580" s="343"/>
      <c r="AT2580" s="249"/>
      <c r="AU2580" s="330"/>
    </row>
    <row r="2581" spans="2:47">
      <c r="B2581" s="247">
        <f>'Table S2 Compound Identifiers'!C2583</f>
        <v>0</v>
      </c>
      <c r="C2581" s="247">
        <f>COUNTIF($D$6:D2581,"&lt;&gt;"&amp;"")</f>
        <v>2576</v>
      </c>
      <c r="D2581" s="432">
        <f>'Table S2 Compound Identifiers'!B2583</f>
        <v>0</v>
      </c>
      <c r="E2581" s="247"/>
      <c r="F2581" s="248"/>
      <c r="G2581" s="249"/>
      <c r="H2581" s="330"/>
      <c r="I2581" s="328"/>
      <c r="J2581" s="249"/>
      <c r="K2581" s="330"/>
      <c r="L2581" s="250"/>
      <c r="M2581" s="249"/>
      <c r="N2581" s="330"/>
      <c r="O2581" s="250"/>
      <c r="P2581" s="249"/>
      <c r="Q2581" s="330"/>
      <c r="R2581" s="250"/>
      <c r="S2581" s="249"/>
      <c r="T2581" s="330"/>
      <c r="U2581" s="250"/>
      <c r="V2581" s="249"/>
      <c r="W2581" s="330"/>
      <c r="X2581" s="343"/>
      <c r="Y2581" s="249"/>
      <c r="Z2581" s="330"/>
      <c r="AA2581" s="343"/>
      <c r="AB2581" s="249"/>
      <c r="AC2581" s="330"/>
      <c r="AD2581" s="343"/>
      <c r="AE2581" s="249"/>
      <c r="AF2581" s="330"/>
      <c r="AG2581" s="343"/>
      <c r="AH2581" s="249"/>
      <c r="AI2581" s="330"/>
      <c r="AJ2581" s="343"/>
      <c r="AK2581" s="249"/>
      <c r="AL2581" s="330"/>
      <c r="AM2581" s="343"/>
      <c r="AN2581" s="249"/>
      <c r="AO2581" s="330"/>
      <c r="AP2581" s="343"/>
      <c r="AQ2581" s="249"/>
      <c r="AR2581" s="330"/>
      <c r="AS2581" s="343"/>
      <c r="AT2581" s="249"/>
      <c r="AU2581" s="330"/>
    </row>
    <row r="2582" spans="2:47">
      <c r="B2582" s="247">
        <f>'Table S2 Compound Identifiers'!C2584</f>
        <v>0</v>
      </c>
      <c r="C2582" s="247">
        <f>COUNTIF($D$6:D2582,"&lt;&gt;"&amp;"")</f>
        <v>2577</v>
      </c>
      <c r="D2582" s="432">
        <f>'Table S2 Compound Identifiers'!B2584</f>
        <v>0</v>
      </c>
      <c r="E2582" s="247"/>
      <c r="F2582" s="248"/>
      <c r="G2582" s="249"/>
      <c r="H2582" s="330"/>
      <c r="I2582" s="328"/>
      <c r="J2582" s="249"/>
      <c r="K2582" s="330"/>
      <c r="L2582" s="250"/>
      <c r="M2582" s="249"/>
      <c r="N2582" s="330"/>
      <c r="O2582" s="250"/>
      <c r="P2582" s="249"/>
      <c r="Q2582" s="330"/>
      <c r="R2582" s="250"/>
      <c r="S2582" s="249"/>
      <c r="T2582" s="330"/>
      <c r="U2582" s="250"/>
      <c r="V2582" s="249"/>
      <c r="W2582" s="330"/>
      <c r="X2582" s="343"/>
      <c r="Y2582" s="249"/>
      <c r="Z2582" s="330"/>
      <c r="AA2582" s="343"/>
      <c r="AB2582" s="249"/>
      <c r="AC2582" s="330"/>
      <c r="AD2582" s="343"/>
      <c r="AE2582" s="249"/>
      <c r="AF2582" s="330"/>
      <c r="AG2582" s="343"/>
      <c r="AH2582" s="249"/>
      <c r="AI2582" s="330"/>
      <c r="AJ2582" s="343"/>
      <c r="AK2582" s="249"/>
      <c r="AL2582" s="330"/>
      <c r="AM2582" s="343"/>
      <c r="AN2582" s="249"/>
      <c r="AO2582" s="330"/>
      <c r="AP2582" s="343"/>
      <c r="AQ2582" s="249"/>
      <c r="AR2582" s="330"/>
      <c r="AS2582" s="343"/>
      <c r="AT2582" s="249"/>
      <c r="AU2582" s="330"/>
    </row>
    <row r="2583" spans="2:47">
      <c r="B2583" s="247">
        <f>'Table S2 Compound Identifiers'!C2585</f>
        <v>0</v>
      </c>
      <c r="C2583" s="247">
        <f>COUNTIF($D$6:D2583,"&lt;&gt;"&amp;"")</f>
        <v>2578</v>
      </c>
      <c r="D2583" s="432">
        <f>'Table S2 Compound Identifiers'!B2585</f>
        <v>0</v>
      </c>
      <c r="E2583" s="247"/>
      <c r="F2583" s="248"/>
      <c r="G2583" s="249"/>
      <c r="H2583" s="330"/>
      <c r="I2583" s="328"/>
      <c r="J2583" s="249"/>
      <c r="K2583" s="330"/>
      <c r="L2583" s="250"/>
      <c r="M2583" s="249"/>
      <c r="N2583" s="330"/>
      <c r="O2583" s="250"/>
      <c r="P2583" s="249"/>
      <c r="Q2583" s="330"/>
      <c r="R2583" s="250"/>
      <c r="S2583" s="249"/>
      <c r="T2583" s="330"/>
      <c r="U2583" s="250"/>
      <c r="V2583" s="249"/>
      <c r="W2583" s="330"/>
      <c r="X2583" s="343"/>
      <c r="Y2583" s="249"/>
      <c r="Z2583" s="330"/>
      <c r="AA2583" s="343"/>
      <c r="AB2583" s="249"/>
      <c r="AC2583" s="330"/>
      <c r="AD2583" s="343"/>
      <c r="AE2583" s="249"/>
      <c r="AF2583" s="330"/>
      <c r="AG2583" s="343"/>
      <c r="AH2583" s="249"/>
      <c r="AI2583" s="330"/>
      <c r="AJ2583" s="343"/>
      <c r="AK2583" s="249"/>
      <c r="AL2583" s="330"/>
      <c r="AM2583" s="343"/>
      <c r="AN2583" s="249"/>
      <c r="AO2583" s="330"/>
      <c r="AP2583" s="343"/>
      <c r="AQ2583" s="249"/>
      <c r="AR2583" s="330"/>
      <c r="AS2583" s="343"/>
      <c r="AT2583" s="249"/>
      <c r="AU2583" s="330"/>
    </row>
    <row r="2584" spans="2:47">
      <c r="B2584" s="247">
        <f>'Table S2 Compound Identifiers'!C2586</f>
        <v>0</v>
      </c>
      <c r="C2584" s="247">
        <f>COUNTIF($D$6:D2584,"&lt;&gt;"&amp;"")</f>
        <v>2579</v>
      </c>
      <c r="D2584" s="432">
        <f>'Table S2 Compound Identifiers'!B2586</f>
        <v>0</v>
      </c>
      <c r="E2584" s="247"/>
      <c r="F2584" s="248"/>
      <c r="G2584" s="249"/>
      <c r="H2584" s="330"/>
      <c r="I2584" s="328"/>
      <c r="J2584" s="249"/>
      <c r="K2584" s="330"/>
      <c r="L2584" s="250"/>
      <c r="M2584" s="249"/>
      <c r="N2584" s="330"/>
      <c r="O2584" s="250"/>
      <c r="P2584" s="249"/>
      <c r="Q2584" s="330"/>
      <c r="R2584" s="250"/>
      <c r="S2584" s="249"/>
      <c r="T2584" s="330"/>
      <c r="U2584" s="250"/>
      <c r="V2584" s="249"/>
      <c r="W2584" s="330"/>
      <c r="X2584" s="343"/>
      <c r="Y2584" s="249"/>
      <c r="Z2584" s="330"/>
      <c r="AA2584" s="343"/>
      <c r="AB2584" s="249"/>
      <c r="AC2584" s="330"/>
      <c r="AD2584" s="343"/>
      <c r="AE2584" s="249"/>
      <c r="AF2584" s="330"/>
      <c r="AG2584" s="343"/>
      <c r="AH2584" s="249"/>
      <c r="AI2584" s="330"/>
      <c r="AJ2584" s="343"/>
      <c r="AK2584" s="249"/>
      <c r="AL2584" s="330"/>
      <c r="AM2584" s="343"/>
      <c r="AN2584" s="249"/>
      <c r="AO2584" s="330"/>
      <c r="AP2584" s="343"/>
      <c r="AQ2584" s="249"/>
      <c r="AR2584" s="330"/>
      <c r="AS2584" s="343"/>
      <c r="AT2584" s="249"/>
      <c r="AU2584" s="330"/>
    </row>
    <row r="2585" spans="2:47">
      <c r="B2585" s="247">
        <f>'Table S2 Compound Identifiers'!C2587</f>
        <v>0</v>
      </c>
      <c r="C2585" s="247">
        <f>COUNTIF($D$6:D2585,"&lt;&gt;"&amp;"")</f>
        <v>2580</v>
      </c>
      <c r="D2585" s="432">
        <f>'Table S2 Compound Identifiers'!B2587</f>
        <v>0</v>
      </c>
      <c r="E2585" s="247"/>
      <c r="F2585" s="248"/>
      <c r="G2585" s="249"/>
      <c r="H2585" s="330"/>
      <c r="I2585" s="328"/>
      <c r="J2585" s="249"/>
      <c r="K2585" s="330"/>
      <c r="L2585" s="250"/>
      <c r="M2585" s="249"/>
      <c r="N2585" s="330"/>
      <c r="O2585" s="250"/>
      <c r="P2585" s="249"/>
      <c r="Q2585" s="330"/>
      <c r="R2585" s="250"/>
      <c r="S2585" s="249"/>
      <c r="T2585" s="330"/>
      <c r="U2585" s="250"/>
      <c r="V2585" s="249"/>
      <c r="W2585" s="330"/>
      <c r="X2585" s="343"/>
      <c r="Y2585" s="249"/>
      <c r="Z2585" s="330"/>
      <c r="AA2585" s="343"/>
      <c r="AB2585" s="249"/>
      <c r="AC2585" s="330"/>
      <c r="AD2585" s="343"/>
      <c r="AE2585" s="249"/>
      <c r="AF2585" s="330"/>
      <c r="AG2585" s="343"/>
      <c r="AH2585" s="249"/>
      <c r="AI2585" s="330"/>
      <c r="AJ2585" s="343"/>
      <c r="AK2585" s="249"/>
      <c r="AL2585" s="330"/>
      <c r="AM2585" s="343"/>
      <c r="AN2585" s="249"/>
      <c r="AO2585" s="330"/>
      <c r="AP2585" s="343"/>
      <c r="AQ2585" s="249"/>
      <c r="AR2585" s="330"/>
      <c r="AS2585" s="343"/>
      <c r="AT2585" s="249"/>
      <c r="AU2585" s="330"/>
    </row>
    <row r="2586" spans="2:47">
      <c r="B2586" s="247">
        <f>'Table S2 Compound Identifiers'!C2588</f>
        <v>0</v>
      </c>
      <c r="C2586" s="247">
        <f>COUNTIF($D$6:D2586,"&lt;&gt;"&amp;"")</f>
        <v>2581</v>
      </c>
      <c r="D2586" s="432">
        <f>'Table S2 Compound Identifiers'!B2588</f>
        <v>0</v>
      </c>
      <c r="E2586" s="247"/>
      <c r="F2586" s="248"/>
      <c r="G2586" s="249"/>
      <c r="H2586" s="330"/>
      <c r="I2586" s="328"/>
      <c r="J2586" s="249"/>
      <c r="K2586" s="330"/>
      <c r="L2586" s="250"/>
      <c r="M2586" s="249"/>
      <c r="N2586" s="330"/>
      <c r="O2586" s="250"/>
      <c r="P2586" s="249"/>
      <c r="Q2586" s="330"/>
      <c r="R2586" s="250"/>
      <c r="S2586" s="249"/>
      <c r="T2586" s="330"/>
      <c r="U2586" s="250"/>
      <c r="V2586" s="249"/>
      <c r="W2586" s="330"/>
      <c r="X2586" s="343"/>
      <c r="Y2586" s="249"/>
      <c r="Z2586" s="330"/>
      <c r="AA2586" s="343"/>
      <c r="AB2586" s="249"/>
      <c r="AC2586" s="330"/>
      <c r="AD2586" s="343"/>
      <c r="AE2586" s="249"/>
      <c r="AF2586" s="330"/>
      <c r="AG2586" s="343"/>
      <c r="AH2586" s="249"/>
      <c r="AI2586" s="330"/>
      <c r="AJ2586" s="343"/>
      <c r="AK2586" s="249"/>
      <c r="AL2586" s="330"/>
      <c r="AM2586" s="343"/>
      <c r="AN2586" s="249"/>
      <c r="AO2586" s="330"/>
      <c r="AP2586" s="343"/>
      <c r="AQ2586" s="249"/>
      <c r="AR2586" s="330"/>
      <c r="AS2586" s="343"/>
      <c r="AT2586" s="249"/>
      <c r="AU2586" s="330"/>
    </row>
    <row r="2587" spans="2:47">
      <c r="B2587" s="247">
        <f>'Table S2 Compound Identifiers'!C2589</f>
        <v>0</v>
      </c>
      <c r="C2587" s="247">
        <f>COUNTIF($D$6:D2587,"&lt;&gt;"&amp;"")</f>
        <v>2582</v>
      </c>
      <c r="D2587" s="432">
        <f>'Table S2 Compound Identifiers'!B2589</f>
        <v>0</v>
      </c>
      <c r="E2587" s="247"/>
      <c r="F2587" s="248"/>
      <c r="G2587" s="249"/>
      <c r="H2587" s="330"/>
      <c r="I2587" s="328"/>
      <c r="J2587" s="249"/>
      <c r="K2587" s="330"/>
      <c r="L2587" s="250"/>
      <c r="M2587" s="249"/>
      <c r="N2587" s="330"/>
      <c r="O2587" s="250"/>
      <c r="P2587" s="249"/>
      <c r="Q2587" s="330"/>
      <c r="R2587" s="250"/>
      <c r="S2587" s="249"/>
      <c r="T2587" s="330"/>
      <c r="U2587" s="250"/>
      <c r="V2587" s="249"/>
      <c r="W2587" s="330"/>
      <c r="X2587" s="343"/>
      <c r="Y2587" s="249"/>
      <c r="Z2587" s="330"/>
      <c r="AA2587" s="343"/>
      <c r="AB2587" s="249"/>
      <c r="AC2587" s="330"/>
      <c r="AD2587" s="343"/>
      <c r="AE2587" s="249"/>
      <c r="AF2587" s="330"/>
      <c r="AG2587" s="343"/>
      <c r="AH2587" s="249"/>
      <c r="AI2587" s="330"/>
      <c r="AJ2587" s="343"/>
      <c r="AK2587" s="249"/>
      <c r="AL2587" s="330"/>
      <c r="AM2587" s="343"/>
      <c r="AN2587" s="249"/>
      <c r="AO2587" s="330"/>
      <c r="AP2587" s="343"/>
      <c r="AQ2587" s="249"/>
      <c r="AR2587" s="330"/>
      <c r="AS2587" s="343"/>
      <c r="AT2587" s="249"/>
      <c r="AU2587" s="330"/>
    </row>
    <row r="2588" spans="2:47">
      <c r="B2588" s="247">
        <f>'Table S2 Compound Identifiers'!C2590</f>
        <v>0</v>
      </c>
      <c r="C2588" s="247">
        <f>COUNTIF($D$6:D2588,"&lt;&gt;"&amp;"")</f>
        <v>2583</v>
      </c>
      <c r="D2588" s="247">
        <f>'Table S2 Compound Identifiers'!B2590</f>
        <v>0</v>
      </c>
      <c r="E2588" s="247"/>
      <c r="F2588" s="248"/>
      <c r="G2588" s="249"/>
      <c r="H2588" s="330"/>
      <c r="I2588" s="328"/>
      <c r="J2588" s="249"/>
      <c r="K2588" s="330"/>
      <c r="L2588" s="250"/>
      <c r="M2588" s="249"/>
      <c r="N2588" s="330"/>
      <c r="O2588" s="250"/>
      <c r="P2588" s="249"/>
      <c r="Q2588" s="330"/>
      <c r="R2588" s="250"/>
      <c r="S2588" s="249"/>
      <c r="T2588" s="330"/>
      <c r="U2588" s="250"/>
      <c r="V2588" s="249"/>
      <c r="W2588" s="330"/>
      <c r="X2588" s="343"/>
      <c r="Y2588" s="249"/>
      <c r="Z2588" s="330"/>
      <c r="AA2588" s="343"/>
      <c r="AB2588" s="249"/>
      <c r="AC2588" s="330"/>
      <c r="AD2588" s="343"/>
      <c r="AE2588" s="249"/>
      <c r="AF2588" s="330"/>
      <c r="AG2588" s="343"/>
      <c r="AH2588" s="249"/>
      <c r="AI2588" s="330"/>
      <c r="AJ2588" s="343"/>
      <c r="AK2588" s="249"/>
      <c r="AL2588" s="330"/>
      <c r="AM2588" s="343"/>
      <c r="AN2588" s="249"/>
      <c r="AO2588" s="330"/>
      <c r="AP2588" s="343"/>
      <c r="AQ2588" s="249"/>
      <c r="AR2588" s="330"/>
      <c r="AS2588" s="343"/>
      <c r="AT2588" s="249"/>
      <c r="AU2588" s="330"/>
    </row>
    <row r="2589" spans="2:47">
      <c r="B2589" s="247">
        <f>'Table S2 Compound Identifiers'!C2591</f>
        <v>0</v>
      </c>
      <c r="C2589" s="247">
        <f>COUNTIF($D$6:D2589,"&lt;&gt;"&amp;"")</f>
        <v>2584</v>
      </c>
      <c r="D2589" s="247">
        <f>'Table S2 Compound Identifiers'!B2591</f>
        <v>0</v>
      </c>
      <c r="E2589" s="247"/>
      <c r="F2589" s="248"/>
      <c r="G2589" s="249"/>
      <c r="H2589" s="330"/>
      <c r="I2589" s="328"/>
      <c r="J2589" s="249"/>
      <c r="K2589" s="330"/>
      <c r="L2589" s="250"/>
      <c r="M2589" s="249"/>
      <c r="N2589" s="330"/>
      <c r="O2589" s="250"/>
      <c r="P2589" s="249"/>
      <c r="Q2589" s="330"/>
      <c r="R2589" s="250"/>
      <c r="S2589" s="249"/>
      <c r="T2589" s="330"/>
      <c r="U2589" s="250"/>
      <c r="V2589" s="249"/>
      <c r="W2589" s="330"/>
      <c r="X2589" s="343"/>
      <c r="Y2589" s="249"/>
      <c r="Z2589" s="330"/>
      <c r="AA2589" s="343"/>
      <c r="AB2589" s="249"/>
      <c r="AC2589" s="330"/>
      <c r="AD2589" s="343"/>
      <c r="AE2589" s="249"/>
      <c r="AF2589" s="330"/>
      <c r="AG2589" s="343"/>
      <c r="AH2589" s="249"/>
      <c r="AI2589" s="330"/>
      <c r="AJ2589" s="343"/>
      <c r="AK2589" s="249"/>
      <c r="AL2589" s="330"/>
      <c r="AM2589" s="343"/>
      <c r="AN2589" s="249"/>
      <c r="AO2589" s="330"/>
      <c r="AP2589" s="343"/>
      <c r="AQ2589" s="249"/>
      <c r="AR2589" s="330"/>
      <c r="AS2589" s="343"/>
      <c r="AT2589" s="249"/>
      <c r="AU2589" s="330"/>
    </row>
    <row r="2590" spans="2:47">
      <c r="B2590" s="247">
        <f>'Table S2 Compound Identifiers'!C2592</f>
        <v>0</v>
      </c>
      <c r="C2590" s="247">
        <f>COUNTIF($D$6:D2590,"&lt;&gt;"&amp;"")</f>
        <v>2585</v>
      </c>
      <c r="D2590" s="247">
        <f>'Table S2 Compound Identifiers'!B2592</f>
        <v>0</v>
      </c>
      <c r="E2590" s="247"/>
      <c r="F2590" s="248"/>
      <c r="G2590" s="249"/>
      <c r="H2590" s="330"/>
      <c r="I2590" s="328"/>
      <c r="J2590" s="249"/>
      <c r="K2590" s="330"/>
      <c r="L2590" s="250"/>
      <c r="M2590" s="249"/>
      <c r="N2590" s="330"/>
      <c r="O2590" s="250"/>
      <c r="P2590" s="249"/>
      <c r="Q2590" s="330"/>
      <c r="R2590" s="250"/>
      <c r="S2590" s="249"/>
      <c r="T2590" s="330"/>
      <c r="U2590" s="250"/>
      <c r="V2590" s="249"/>
      <c r="W2590" s="330"/>
      <c r="X2590" s="343"/>
      <c r="Y2590" s="249"/>
      <c r="Z2590" s="330"/>
      <c r="AA2590" s="343"/>
      <c r="AB2590" s="249"/>
      <c r="AC2590" s="330"/>
      <c r="AD2590" s="343"/>
      <c r="AE2590" s="249"/>
      <c r="AF2590" s="330"/>
      <c r="AG2590" s="343"/>
      <c r="AH2590" s="249"/>
      <c r="AI2590" s="330"/>
      <c r="AJ2590" s="343"/>
      <c r="AK2590" s="249"/>
      <c r="AL2590" s="330"/>
      <c r="AM2590" s="343"/>
      <c r="AN2590" s="249"/>
      <c r="AO2590" s="330"/>
      <c r="AP2590" s="343"/>
      <c r="AQ2590" s="249"/>
      <c r="AR2590" s="330"/>
      <c r="AS2590" s="343"/>
      <c r="AT2590" s="249"/>
      <c r="AU2590" s="330"/>
    </row>
    <row r="2591" spans="2:47">
      <c r="B2591" s="247">
        <f>'Table S2 Compound Identifiers'!C2593</f>
        <v>0</v>
      </c>
      <c r="C2591" s="247">
        <f>COUNTIF($D$6:D2591,"&lt;&gt;"&amp;"")</f>
        <v>2586</v>
      </c>
      <c r="D2591" s="247">
        <f>'Table S2 Compound Identifiers'!B2593</f>
        <v>0</v>
      </c>
      <c r="E2591" s="247"/>
      <c r="F2591" s="248"/>
      <c r="G2591" s="249"/>
      <c r="H2591" s="330"/>
      <c r="I2591" s="328"/>
      <c r="J2591" s="249"/>
      <c r="K2591" s="330"/>
      <c r="L2591" s="250"/>
      <c r="M2591" s="249"/>
      <c r="N2591" s="330"/>
      <c r="O2591" s="250"/>
      <c r="P2591" s="249"/>
      <c r="Q2591" s="330"/>
      <c r="R2591" s="250"/>
      <c r="S2591" s="249"/>
      <c r="T2591" s="330"/>
      <c r="U2591" s="250"/>
      <c r="V2591" s="249"/>
      <c r="W2591" s="330"/>
      <c r="X2591" s="343"/>
      <c r="Y2591" s="249"/>
      <c r="Z2591" s="330"/>
      <c r="AA2591" s="343"/>
      <c r="AB2591" s="249"/>
      <c r="AC2591" s="330"/>
      <c r="AD2591" s="343"/>
      <c r="AE2591" s="249"/>
      <c r="AF2591" s="330"/>
      <c r="AG2591" s="343"/>
      <c r="AH2591" s="249"/>
      <c r="AI2591" s="330"/>
      <c r="AJ2591" s="343"/>
      <c r="AK2591" s="249"/>
      <c r="AL2591" s="330"/>
      <c r="AM2591" s="343"/>
      <c r="AN2591" s="249"/>
      <c r="AO2591" s="330"/>
      <c r="AP2591" s="343"/>
      <c r="AQ2591" s="249"/>
      <c r="AR2591" s="330"/>
      <c r="AS2591" s="343"/>
      <c r="AT2591" s="249"/>
      <c r="AU2591" s="330"/>
    </row>
    <row r="2592" spans="2:47">
      <c r="B2592" s="247">
        <f>'Table S2 Compound Identifiers'!C2594</f>
        <v>0</v>
      </c>
      <c r="C2592" s="247">
        <f>COUNTIF($D$6:D2592,"&lt;&gt;"&amp;"")</f>
        <v>2587</v>
      </c>
      <c r="D2592" s="247">
        <f>'Table S2 Compound Identifiers'!B2594</f>
        <v>0</v>
      </c>
      <c r="E2592" s="247"/>
      <c r="F2592" s="248"/>
      <c r="G2592" s="249"/>
      <c r="H2592" s="330"/>
      <c r="I2592" s="328"/>
      <c r="J2592" s="249"/>
      <c r="K2592" s="330"/>
      <c r="L2592" s="250"/>
      <c r="M2592" s="249"/>
      <c r="N2592" s="330"/>
      <c r="O2592" s="250"/>
      <c r="P2592" s="249"/>
      <c r="Q2592" s="330"/>
      <c r="R2592" s="250"/>
      <c r="S2592" s="249"/>
      <c r="T2592" s="330"/>
      <c r="U2592" s="250"/>
      <c r="V2592" s="249"/>
      <c r="W2592" s="330"/>
      <c r="X2592" s="343"/>
      <c r="Y2592" s="249"/>
      <c r="Z2592" s="330"/>
      <c r="AA2592" s="343"/>
      <c r="AB2592" s="249"/>
      <c r="AC2592" s="330"/>
      <c r="AD2592" s="343"/>
      <c r="AE2592" s="249"/>
      <c r="AF2592" s="330"/>
      <c r="AG2592" s="343"/>
      <c r="AH2592" s="249"/>
      <c r="AI2592" s="330"/>
      <c r="AJ2592" s="343"/>
      <c r="AK2592" s="249"/>
      <c r="AL2592" s="330"/>
      <c r="AM2592" s="343"/>
      <c r="AN2592" s="249"/>
      <c r="AO2592" s="330"/>
      <c r="AP2592" s="343"/>
      <c r="AQ2592" s="249"/>
      <c r="AR2592" s="330"/>
      <c r="AS2592" s="343"/>
      <c r="AT2592" s="249"/>
      <c r="AU2592" s="330"/>
    </row>
    <row r="2593" spans="2:47">
      <c r="B2593" s="247">
        <f>'Table S2 Compound Identifiers'!C2595</f>
        <v>0</v>
      </c>
      <c r="C2593" s="247">
        <f>COUNTIF($D$6:D2593,"&lt;&gt;"&amp;"")</f>
        <v>2588</v>
      </c>
      <c r="D2593" s="247">
        <f>'Table S2 Compound Identifiers'!B2595</f>
        <v>0</v>
      </c>
      <c r="E2593" s="247"/>
      <c r="F2593" s="248"/>
      <c r="G2593" s="249"/>
      <c r="H2593" s="330"/>
      <c r="I2593" s="328"/>
      <c r="J2593" s="249"/>
      <c r="K2593" s="330"/>
      <c r="L2593" s="250"/>
      <c r="M2593" s="249"/>
      <c r="N2593" s="330"/>
      <c r="O2593" s="250"/>
      <c r="P2593" s="249"/>
      <c r="Q2593" s="330"/>
      <c r="R2593" s="250"/>
      <c r="S2593" s="249"/>
      <c r="T2593" s="330"/>
      <c r="U2593" s="250"/>
      <c r="V2593" s="249"/>
      <c r="W2593" s="330"/>
      <c r="X2593" s="343"/>
      <c r="Y2593" s="249"/>
      <c r="Z2593" s="330"/>
      <c r="AA2593" s="343"/>
      <c r="AB2593" s="249"/>
      <c r="AC2593" s="330"/>
      <c r="AD2593" s="343"/>
      <c r="AE2593" s="249"/>
      <c r="AF2593" s="330"/>
      <c r="AG2593" s="343"/>
      <c r="AH2593" s="249"/>
      <c r="AI2593" s="330"/>
      <c r="AJ2593" s="343"/>
      <c r="AK2593" s="249"/>
      <c r="AL2593" s="330"/>
      <c r="AM2593" s="343"/>
      <c r="AN2593" s="249"/>
      <c r="AO2593" s="330"/>
      <c r="AP2593" s="343"/>
      <c r="AQ2593" s="249"/>
      <c r="AR2593" s="330"/>
      <c r="AS2593" s="343"/>
      <c r="AT2593" s="249"/>
      <c r="AU2593" s="330"/>
    </row>
    <row r="2594" spans="2:47">
      <c r="B2594" s="247">
        <f>'Table S2 Compound Identifiers'!C2596</f>
        <v>0</v>
      </c>
      <c r="C2594" s="247">
        <f>COUNTIF($D$6:D2594,"&lt;&gt;"&amp;"")</f>
        <v>2589</v>
      </c>
      <c r="D2594" s="247">
        <f>'Table S2 Compound Identifiers'!B2596</f>
        <v>0</v>
      </c>
      <c r="E2594" s="247"/>
      <c r="F2594" s="248"/>
      <c r="G2594" s="249"/>
      <c r="H2594" s="330"/>
      <c r="I2594" s="328"/>
      <c r="J2594" s="249"/>
      <c r="K2594" s="330"/>
      <c r="L2594" s="250"/>
      <c r="M2594" s="249"/>
      <c r="N2594" s="330"/>
      <c r="O2594" s="251"/>
      <c r="P2594" s="252"/>
      <c r="Q2594" s="330"/>
      <c r="R2594" s="251"/>
      <c r="S2594" s="252"/>
      <c r="T2594" s="330"/>
      <c r="U2594" s="251"/>
      <c r="V2594" s="252"/>
      <c r="W2594" s="330"/>
      <c r="X2594" s="343"/>
      <c r="Y2594" s="249"/>
      <c r="Z2594" s="330"/>
      <c r="AA2594" s="343"/>
      <c r="AB2594" s="249"/>
      <c r="AC2594" s="330"/>
      <c r="AD2594" s="343"/>
      <c r="AE2594" s="249"/>
      <c r="AF2594" s="330"/>
      <c r="AG2594" s="343"/>
      <c r="AH2594" s="249"/>
      <c r="AI2594" s="330"/>
      <c r="AJ2594" s="343"/>
      <c r="AK2594" s="249"/>
      <c r="AL2594" s="330"/>
      <c r="AM2594" s="343"/>
      <c r="AN2594" s="249"/>
      <c r="AO2594" s="330"/>
      <c r="AP2594" s="343"/>
      <c r="AQ2594" s="249"/>
      <c r="AR2594" s="330"/>
      <c r="AS2594" s="343"/>
      <c r="AT2594" s="249"/>
      <c r="AU2594" s="330"/>
    </row>
    <row r="2595" spans="2:47">
      <c r="B2595" s="247">
        <f>'Table S2 Compound Identifiers'!C2597</f>
        <v>0</v>
      </c>
      <c r="C2595" s="253">
        <f>COUNTIF($D$6:D2595,"&lt;&gt;"&amp;"")</f>
        <v>2590</v>
      </c>
      <c r="D2595" s="253">
        <f>'Table S2 Compound Identifiers'!B2597</f>
        <v>0</v>
      </c>
      <c r="E2595" s="253"/>
      <c r="F2595" s="254"/>
      <c r="G2595" s="252"/>
      <c r="H2595" s="330"/>
      <c r="I2595" s="333"/>
      <c r="J2595" s="252"/>
      <c r="K2595" s="330"/>
      <c r="L2595" s="251"/>
      <c r="M2595" s="252"/>
      <c r="N2595" s="330"/>
      <c r="O2595" s="251"/>
      <c r="P2595" s="252"/>
      <c r="Q2595" s="330"/>
      <c r="R2595" s="251"/>
      <c r="S2595" s="252"/>
      <c r="T2595" s="330"/>
      <c r="U2595" s="251"/>
      <c r="V2595" s="252"/>
      <c r="W2595" s="330"/>
      <c r="X2595" s="343"/>
      <c r="Y2595" s="249"/>
      <c r="Z2595" s="330"/>
      <c r="AA2595" s="343"/>
      <c r="AB2595" s="249"/>
      <c r="AC2595" s="330"/>
      <c r="AD2595" s="343"/>
      <c r="AE2595" s="249"/>
      <c r="AF2595" s="330"/>
      <c r="AG2595" s="343"/>
      <c r="AH2595" s="249"/>
      <c r="AI2595" s="330"/>
      <c r="AJ2595" s="343"/>
      <c r="AK2595" s="249"/>
      <c r="AL2595" s="330"/>
      <c r="AM2595" s="343"/>
      <c r="AN2595" s="249"/>
      <c r="AO2595" s="330"/>
      <c r="AP2595" s="343"/>
      <c r="AQ2595" s="249"/>
      <c r="AR2595" s="330"/>
      <c r="AS2595" s="343"/>
      <c r="AT2595" s="249"/>
      <c r="AU2595" s="330"/>
    </row>
    <row r="2596" spans="2:47">
      <c r="B2596" s="247">
        <f>'Table S2 Compound Identifiers'!C2598</f>
        <v>0</v>
      </c>
      <c r="C2596" s="247">
        <f>COUNTIF($D$6:D2596,"&lt;&gt;"&amp;"")</f>
        <v>2591</v>
      </c>
      <c r="D2596" s="247">
        <f>'Table S2 Compound Identifiers'!B2598</f>
        <v>0</v>
      </c>
      <c r="E2596" s="247"/>
      <c r="F2596" s="248"/>
      <c r="G2596" s="250"/>
      <c r="H2596" s="330"/>
      <c r="I2596" s="343"/>
      <c r="J2596" s="249"/>
      <c r="K2596" s="327"/>
      <c r="L2596" s="343"/>
      <c r="M2596" s="249"/>
      <c r="N2596" s="327"/>
      <c r="O2596" s="343"/>
      <c r="P2596" s="249"/>
      <c r="Q2596" s="327"/>
      <c r="R2596" s="343"/>
      <c r="S2596" s="249"/>
      <c r="T2596" s="327"/>
      <c r="U2596" s="343"/>
      <c r="V2596" s="249"/>
      <c r="W2596" s="327"/>
      <c r="X2596" s="343"/>
      <c r="Y2596" s="249"/>
      <c r="Z2596" s="327"/>
      <c r="AA2596" s="343"/>
      <c r="AB2596" s="249"/>
      <c r="AC2596" s="343"/>
      <c r="AD2596" s="343"/>
      <c r="AE2596" s="249"/>
      <c r="AF2596" s="249"/>
      <c r="AG2596" s="343"/>
      <c r="AH2596" s="249"/>
      <c r="AI2596" s="343"/>
      <c r="AJ2596" s="343"/>
      <c r="AK2596" s="249"/>
      <c r="AL2596" s="249"/>
      <c r="AM2596" s="343"/>
      <c r="AN2596" s="249"/>
      <c r="AO2596" s="343"/>
      <c r="AP2596" s="343"/>
      <c r="AQ2596" s="249"/>
      <c r="AR2596" s="249"/>
      <c r="AS2596" s="343"/>
      <c r="AT2596" s="249"/>
      <c r="AU2596" s="343"/>
    </row>
    <row r="2597" spans="2:47">
      <c r="B2597" s="247">
        <f>'Table S2 Compound Identifiers'!C2599</f>
        <v>0</v>
      </c>
      <c r="C2597" s="247">
        <f>COUNTIF($D$6:D2597,"&lt;&gt;"&amp;"")</f>
        <v>2592</v>
      </c>
      <c r="D2597" s="247">
        <f>'Table S2 Compound Identifiers'!B2599</f>
        <v>0</v>
      </c>
      <c r="E2597" s="247"/>
      <c r="F2597" s="248"/>
      <c r="G2597" s="249"/>
      <c r="H2597" s="330"/>
      <c r="I2597" s="332"/>
      <c r="J2597" s="330"/>
      <c r="K2597" s="330"/>
      <c r="L2597" s="330"/>
      <c r="M2597" s="330"/>
      <c r="N2597" s="330"/>
      <c r="O2597" s="330"/>
      <c r="P2597" s="330"/>
      <c r="Q2597" s="330"/>
      <c r="R2597" s="330"/>
      <c r="S2597" s="330"/>
      <c r="T2597" s="330"/>
      <c r="U2597" s="330"/>
      <c r="V2597" s="330"/>
      <c r="W2597" s="330"/>
      <c r="X2597" s="343"/>
      <c r="Y2597" s="249"/>
      <c r="Z2597" s="330"/>
      <c r="AA2597" s="343"/>
      <c r="AB2597" s="249"/>
      <c r="AC2597" s="330"/>
      <c r="AD2597" s="343"/>
      <c r="AE2597" s="249"/>
      <c r="AF2597" s="330"/>
      <c r="AG2597" s="343"/>
      <c r="AH2597" s="249"/>
      <c r="AI2597" s="330"/>
      <c r="AJ2597" s="343"/>
      <c r="AK2597" s="249"/>
      <c r="AL2597" s="330"/>
      <c r="AM2597" s="343"/>
      <c r="AN2597" s="249"/>
      <c r="AO2597" s="330"/>
      <c r="AP2597" s="343"/>
      <c r="AQ2597" s="249"/>
      <c r="AR2597" s="330"/>
      <c r="AS2597" s="343"/>
      <c r="AT2597" s="249"/>
      <c r="AU2597" s="330"/>
    </row>
    <row r="2598" spans="2:47">
      <c r="B2598" s="247">
        <f>'Table S2 Compound Identifiers'!C2600</f>
        <v>0</v>
      </c>
      <c r="C2598" s="247">
        <f>COUNTIF($D$6:D2598,"&lt;&gt;"&amp;"")</f>
        <v>2593</v>
      </c>
      <c r="D2598" s="247">
        <f>'Table S2 Compound Identifiers'!B2600</f>
        <v>0</v>
      </c>
      <c r="E2598" s="247"/>
      <c r="F2598" s="248"/>
      <c r="G2598" s="249"/>
      <c r="H2598" s="330"/>
      <c r="I2598" s="332"/>
      <c r="J2598" s="330"/>
      <c r="K2598" s="330"/>
      <c r="L2598" s="330"/>
      <c r="M2598" s="330"/>
      <c r="N2598" s="330"/>
      <c r="O2598" s="330"/>
      <c r="P2598" s="330"/>
      <c r="Q2598" s="330"/>
      <c r="R2598" s="330"/>
      <c r="S2598" s="330"/>
      <c r="T2598" s="330"/>
      <c r="U2598" s="330"/>
      <c r="V2598" s="330"/>
      <c r="W2598" s="330"/>
      <c r="X2598" s="343"/>
      <c r="Y2598" s="249"/>
      <c r="Z2598" s="330"/>
      <c r="AA2598" s="343"/>
      <c r="AB2598" s="249"/>
      <c r="AC2598" s="330"/>
      <c r="AD2598" s="343"/>
      <c r="AE2598" s="249"/>
      <c r="AF2598" s="330"/>
      <c r="AG2598" s="343"/>
      <c r="AH2598" s="249"/>
      <c r="AI2598" s="330"/>
      <c r="AJ2598" s="343"/>
      <c r="AK2598" s="249"/>
      <c r="AL2598" s="330"/>
      <c r="AM2598" s="343"/>
      <c r="AN2598" s="249"/>
      <c r="AO2598" s="330"/>
      <c r="AP2598" s="343"/>
      <c r="AQ2598" s="249"/>
      <c r="AR2598" s="330"/>
      <c r="AS2598" s="343"/>
      <c r="AT2598" s="249"/>
      <c r="AU2598" s="330"/>
    </row>
    <row r="2599" spans="2:47">
      <c r="B2599" s="247">
        <f>'Table S2 Compound Identifiers'!C2601</f>
        <v>0</v>
      </c>
      <c r="C2599" s="247">
        <f>COUNTIF($D$6:D2599,"&lt;&gt;"&amp;"")</f>
        <v>2594</v>
      </c>
      <c r="D2599" s="247">
        <f>'Table S2 Compound Identifiers'!B2601</f>
        <v>0</v>
      </c>
      <c r="E2599" s="247"/>
      <c r="F2599" s="248"/>
      <c r="G2599" s="249"/>
      <c r="H2599" s="330"/>
      <c r="I2599" s="332"/>
      <c r="J2599" s="330"/>
      <c r="K2599" s="330"/>
      <c r="L2599" s="330"/>
      <c r="M2599" s="330"/>
      <c r="N2599" s="330"/>
      <c r="O2599" s="330"/>
      <c r="P2599" s="330"/>
      <c r="Q2599" s="330"/>
      <c r="R2599" s="330"/>
      <c r="S2599" s="330"/>
      <c r="T2599" s="330"/>
      <c r="U2599" s="330"/>
      <c r="V2599" s="330"/>
      <c r="W2599" s="330"/>
      <c r="X2599" s="343"/>
      <c r="Y2599" s="249"/>
      <c r="Z2599" s="330"/>
      <c r="AA2599" s="343"/>
      <c r="AB2599" s="249"/>
      <c r="AC2599" s="330"/>
      <c r="AD2599" s="343"/>
      <c r="AE2599" s="249"/>
      <c r="AF2599" s="330"/>
      <c r="AG2599" s="343"/>
      <c r="AH2599" s="249"/>
      <c r="AI2599" s="330"/>
      <c r="AJ2599" s="343"/>
      <c r="AK2599" s="249"/>
      <c r="AL2599" s="330"/>
      <c r="AM2599" s="343"/>
      <c r="AN2599" s="249"/>
      <c r="AO2599" s="330"/>
      <c r="AP2599" s="343"/>
      <c r="AQ2599" s="249"/>
      <c r="AR2599" s="330"/>
      <c r="AS2599" s="343"/>
      <c r="AT2599" s="249"/>
      <c r="AU2599" s="330"/>
    </row>
    <row r="2600" spans="2:47">
      <c r="B2600" s="247">
        <f>'Table S2 Compound Identifiers'!C2602</f>
        <v>0</v>
      </c>
      <c r="C2600" s="247">
        <f>COUNTIF($D$6:D2600,"&lt;&gt;"&amp;"")</f>
        <v>2595</v>
      </c>
      <c r="D2600" s="247">
        <f>'Table S2 Compound Identifiers'!B2602</f>
        <v>0</v>
      </c>
      <c r="E2600" s="247"/>
      <c r="F2600" s="248"/>
      <c r="G2600" s="249"/>
      <c r="H2600" s="330"/>
      <c r="I2600" s="328"/>
      <c r="J2600" s="249"/>
      <c r="K2600" s="330"/>
      <c r="L2600" s="250"/>
      <c r="M2600" s="249"/>
      <c r="N2600" s="330"/>
      <c r="O2600" s="250"/>
      <c r="P2600" s="249"/>
      <c r="Q2600" s="330"/>
      <c r="R2600" s="250"/>
      <c r="S2600" s="249"/>
      <c r="T2600" s="330"/>
      <c r="U2600" s="250"/>
      <c r="V2600" s="249"/>
      <c r="W2600" s="330"/>
      <c r="X2600" s="343"/>
      <c r="Y2600" s="249"/>
      <c r="Z2600" s="330"/>
      <c r="AA2600" s="343"/>
      <c r="AB2600" s="249"/>
      <c r="AC2600" s="330"/>
      <c r="AD2600" s="343"/>
      <c r="AE2600" s="249"/>
      <c r="AF2600" s="330"/>
      <c r="AG2600" s="343"/>
      <c r="AH2600" s="249"/>
      <c r="AI2600" s="330"/>
      <c r="AJ2600" s="343"/>
      <c r="AK2600" s="249"/>
      <c r="AL2600" s="330"/>
      <c r="AM2600" s="343"/>
      <c r="AN2600" s="249"/>
      <c r="AO2600" s="330"/>
      <c r="AP2600" s="343"/>
      <c r="AQ2600" s="249"/>
      <c r="AR2600" s="330"/>
      <c r="AS2600" s="343"/>
      <c r="AT2600" s="249"/>
      <c r="AU2600" s="330"/>
    </row>
    <row r="2601" spans="2:47">
      <c r="B2601" s="247">
        <f>'Table S2 Compound Identifiers'!C2603</f>
        <v>0</v>
      </c>
      <c r="C2601" s="247">
        <f>COUNTIF($D$6:D2601,"&lt;&gt;"&amp;"")</f>
        <v>2596</v>
      </c>
      <c r="D2601" s="247">
        <f>'Table S2 Compound Identifiers'!B2603</f>
        <v>0</v>
      </c>
      <c r="E2601" s="247"/>
      <c r="F2601" s="248"/>
      <c r="G2601" s="249"/>
      <c r="H2601" s="330"/>
      <c r="I2601" s="328"/>
      <c r="J2601" s="249"/>
      <c r="K2601" s="330"/>
      <c r="L2601" s="250"/>
      <c r="M2601" s="249"/>
      <c r="N2601" s="330"/>
      <c r="O2601" s="250"/>
      <c r="P2601" s="249"/>
      <c r="Q2601" s="330"/>
      <c r="R2601" s="250"/>
      <c r="S2601" s="249"/>
      <c r="T2601" s="330"/>
      <c r="U2601" s="250"/>
      <c r="V2601" s="249"/>
      <c r="W2601" s="330"/>
      <c r="X2601" s="343"/>
      <c r="Y2601" s="249"/>
      <c r="Z2601" s="330"/>
      <c r="AA2601" s="343"/>
      <c r="AB2601" s="249"/>
      <c r="AC2601" s="330"/>
      <c r="AD2601" s="343"/>
      <c r="AE2601" s="249"/>
      <c r="AF2601" s="330"/>
      <c r="AG2601" s="343"/>
      <c r="AH2601" s="249"/>
      <c r="AI2601" s="330"/>
      <c r="AJ2601" s="343"/>
      <c r="AK2601" s="249"/>
      <c r="AL2601" s="330"/>
      <c r="AM2601" s="343"/>
      <c r="AN2601" s="249"/>
      <c r="AO2601" s="330"/>
      <c r="AP2601" s="343"/>
      <c r="AQ2601" s="249"/>
      <c r="AR2601" s="330"/>
      <c r="AS2601" s="343"/>
      <c r="AT2601" s="249"/>
      <c r="AU2601" s="330"/>
    </row>
    <row r="2602" spans="2:47">
      <c r="B2602" s="247">
        <f>'Table S2 Compound Identifiers'!C2604</f>
        <v>0</v>
      </c>
      <c r="C2602" s="247">
        <f>COUNTIF($D$6:D2602,"&lt;&gt;"&amp;"")</f>
        <v>2597</v>
      </c>
      <c r="D2602" s="247">
        <f>'Table S2 Compound Identifiers'!B2604</f>
        <v>0</v>
      </c>
      <c r="E2602" s="247"/>
      <c r="F2602" s="248"/>
      <c r="G2602" s="249"/>
      <c r="H2602" s="330"/>
      <c r="I2602" s="328"/>
      <c r="J2602" s="249"/>
      <c r="K2602" s="330"/>
      <c r="L2602" s="250"/>
      <c r="M2602" s="249"/>
      <c r="N2602" s="330"/>
      <c r="O2602" s="250"/>
      <c r="P2602" s="249"/>
      <c r="Q2602" s="330"/>
      <c r="R2602" s="250"/>
      <c r="S2602" s="249"/>
      <c r="T2602" s="330"/>
      <c r="U2602" s="250"/>
      <c r="V2602" s="249"/>
      <c r="W2602" s="330"/>
      <c r="X2602" s="343"/>
      <c r="Y2602" s="249"/>
      <c r="Z2602" s="330"/>
      <c r="AA2602" s="343"/>
      <c r="AB2602" s="249"/>
      <c r="AC2602" s="330"/>
      <c r="AD2602" s="343"/>
      <c r="AE2602" s="249"/>
      <c r="AF2602" s="330"/>
      <c r="AG2602" s="343"/>
      <c r="AH2602" s="249"/>
      <c r="AI2602" s="330"/>
      <c r="AJ2602" s="343"/>
      <c r="AK2602" s="249"/>
      <c r="AL2602" s="330"/>
      <c r="AM2602" s="343"/>
      <c r="AN2602" s="249"/>
      <c r="AO2602" s="330"/>
      <c r="AP2602" s="343"/>
      <c r="AQ2602" s="249"/>
      <c r="AR2602" s="330"/>
      <c r="AS2602" s="343"/>
      <c r="AT2602" s="249"/>
      <c r="AU2602" s="330"/>
    </row>
    <row r="2603" spans="2:47">
      <c r="B2603" s="247">
        <f>'Table S2 Compound Identifiers'!C2605</f>
        <v>0</v>
      </c>
      <c r="C2603" s="247">
        <f>COUNTIF($D$6:D2603,"&lt;&gt;"&amp;"")</f>
        <v>2598</v>
      </c>
      <c r="D2603" s="247">
        <f>'Table S2 Compound Identifiers'!B2605</f>
        <v>0</v>
      </c>
      <c r="E2603" s="247"/>
      <c r="F2603" s="248"/>
      <c r="G2603" s="249"/>
      <c r="H2603" s="330"/>
      <c r="I2603" s="328"/>
      <c r="J2603" s="249"/>
      <c r="K2603" s="330"/>
      <c r="L2603" s="250"/>
      <c r="M2603" s="249"/>
      <c r="N2603" s="330"/>
      <c r="O2603" s="250"/>
      <c r="P2603" s="249"/>
      <c r="Q2603" s="330"/>
      <c r="R2603" s="250"/>
      <c r="S2603" s="249"/>
      <c r="T2603" s="330"/>
      <c r="U2603" s="250"/>
      <c r="V2603" s="249"/>
      <c r="W2603" s="330"/>
      <c r="X2603" s="343"/>
      <c r="Y2603" s="249"/>
      <c r="Z2603" s="330"/>
      <c r="AA2603" s="343"/>
      <c r="AB2603" s="249"/>
      <c r="AC2603" s="330"/>
      <c r="AD2603" s="343"/>
      <c r="AE2603" s="249"/>
      <c r="AF2603" s="330"/>
      <c r="AG2603" s="343"/>
      <c r="AH2603" s="249"/>
      <c r="AI2603" s="330"/>
      <c r="AJ2603" s="343"/>
      <c r="AK2603" s="249"/>
      <c r="AL2603" s="330"/>
      <c r="AM2603" s="343"/>
      <c r="AN2603" s="249"/>
      <c r="AO2603" s="330"/>
      <c r="AP2603" s="343"/>
      <c r="AQ2603" s="249"/>
      <c r="AR2603" s="330"/>
      <c r="AS2603" s="343"/>
      <c r="AT2603" s="249"/>
      <c r="AU2603" s="330"/>
    </row>
    <row r="2604" spans="2:47">
      <c r="B2604" s="247">
        <f>'Table S2 Compound Identifiers'!C2606</f>
        <v>0</v>
      </c>
      <c r="C2604" s="247">
        <f>COUNTIF($D$6:D2604,"&lt;&gt;"&amp;"")</f>
        <v>2599</v>
      </c>
      <c r="D2604" s="247">
        <f>'Table S2 Compound Identifiers'!B2606</f>
        <v>0</v>
      </c>
      <c r="E2604" s="247"/>
      <c r="F2604" s="248"/>
      <c r="G2604" s="249"/>
      <c r="H2604" s="330"/>
      <c r="I2604" s="328"/>
      <c r="J2604" s="249"/>
      <c r="K2604" s="330"/>
      <c r="L2604" s="250"/>
      <c r="M2604" s="249"/>
      <c r="N2604" s="330"/>
      <c r="O2604" s="250"/>
      <c r="P2604" s="249"/>
      <c r="Q2604" s="330"/>
      <c r="R2604" s="250"/>
      <c r="S2604" s="249"/>
      <c r="T2604" s="330"/>
      <c r="U2604" s="250"/>
      <c r="V2604" s="249"/>
      <c r="W2604" s="330"/>
      <c r="X2604" s="343"/>
      <c r="Y2604" s="249"/>
      <c r="Z2604" s="330"/>
      <c r="AA2604" s="343"/>
      <c r="AB2604" s="249"/>
      <c r="AC2604" s="330"/>
      <c r="AD2604" s="343"/>
      <c r="AE2604" s="249"/>
      <c r="AF2604" s="330"/>
      <c r="AG2604" s="343"/>
      <c r="AH2604" s="249"/>
      <c r="AI2604" s="330"/>
      <c r="AJ2604" s="343"/>
      <c r="AK2604" s="249"/>
      <c r="AL2604" s="330"/>
      <c r="AM2604" s="343"/>
      <c r="AN2604" s="249"/>
      <c r="AO2604" s="330"/>
      <c r="AP2604" s="343"/>
      <c r="AQ2604" s="249"/>
      <c r="AR2604" s="330"/>
      <c r="AS2604" s="343"/>
      <c r="AT2604" s="249"/>
      <c r="AU2604" s="330"/>
    </row>
    <row r="2605" spans="2:47">
      <c r="B2605" s="247">
        <f>'Table S2 Compound Identifiers'!C2607</f>
        <v>0</v>
      </c>
      <c r="C2605" s="247">
        <f>COUNTIF($D$6:D2605,"&lt;&gt;"&amp;"")</f>
        <v>2600</v>
      </c>
      <c r="D2605" s="247">
        <f>'Table S2 Compound Identifiers'!B2607</f>
        <v>0</v>
      </c>
      <c r="E2605" s="247"/>
      <c r="F2605" s="248"/>
      <c r="G2605" s="249"/>
      <c r="H2605" s="330"/>
      <c r="I2605" s="328"/>
      <c r="J2605" s="249"/>
      <c r="K2605" s="330"/>
      <c r="L2605" s="250"/>
      <c r="M2605" s="249"/>
      <c r="N2605" s="330"/>
      <c r="O2605" s="250"/>
      <c r="P2605" s="249"/>
      <c r="Q2605" s="330"/>
      <c r="R2605" s="250"/>
      <c r="S2605" s="249"/>
      <c r="T2605" s="330"/>
      <c r="U2605" s="250"/>
      <c r="V2605" s="249"/>
      <c r="W2605" s="330"/>
      <c r="X2605" s="343"/>
      <c r="Y2605" s="249"/>
      <c r="Z2605" s="330"/>
      <c r="AA2605" s="343"/>
      <c r="AB2605" s="249"/>
      <c r="AC2605" s="330"/>
      <c r="AD2605" s="343"/>
      <c r="AE2605" s="249"/>
      <c r="AF2605" s="330"/>
      <c r="AG2605" s="343"/>
      <c r="AH2605" s="249"/>
      <c r="AI2605" s="330"/>
      <c r="AJ2605" s="343"/>
      <c r="AK2605" s="249"/>
      <c r="AL2605" s="330"/>
      <c r="AM2605" s="343"/>
      <c r="AN2605" s="249"/>
      <c r="AO2605" s="330"/>
      <c r="AP2605" s="343"/>
      <c r="AQ2605" s="249"/>
      <c r="AR2605" s="330"/>
      <c r="AS2605" s="343"/>
      <c r="AT2605" s="249"/>
      <c r="AU2605" s="330"/>
    </row>
    <row r="2606" spans="2:47">
      <c r="B2606" s="247">
        <f>'Table S2 Compound Identifiers'!C2608</f>
        <v>0</v>
      </c>
      <c r="C2606" s="247">
        <f>COUNTIF($D$6:D2606,"&lt;&gt;"&amp;"")</f>
        <v>2601</v>
      </c>
      <c r="D2606" s="247">
        <f>'Table S2 Compound Identifiers'!B2608</f>
        <v>0</v>
      </c>
      <c r="E2606" s="247"/>
      <c r="F2606" s="248"/>
      <c r="G2606" s="249"/>
      <c r="H2606" s="330"/>
      <c r="I2606" s="328"/>
      <c r="J2606" s="249"/>
      <c r="K2606" s="330"/>
      <c r="L2606" s="250"/>
      <c r="M2606" s="249"/>
      <c r="N2606" s="330"/>
      <c r="O2606" s="250"/>
      <c r="P2606" s="249"/>
      <c r="Q2606" s="330"/>
      <c r="R2606" s="250"/>
      <c r="S2606" s="249"/>
      <c r="T2606" s="330"/>
      <c r="U2606" s="250"/>
      <c r="V2606" s="249"/>
      <c r="W2606" s="330"/>
      <c r="X2606" s="343"/>
      <c r="Y2606" s="249"/>
      <c r="Z2606" s="330"/>
      <c r="AA2606" s="343"/>
      <c r="AB2606" s="249"/>
      <c r="AC2606" s="330"/>
      <c r="AD2606" s="343"/>
      <c r="AE2606" s="249"/>
      <c r="AF2606" s="330"/>
      <c r="AG2606" s="343"/>
      <c r="AH2606" s="249"/>
      <c r="AI2606" s="330"/>
      <c r="AJ2606" s="343"/>
      <c r="AK2606" s="249"/>
      <c r="AL2606" s="330"/>
      <c r="AM2606" s="343"/>
      <c r="AN2606" s="249"/>
      <c r="AO2606" s="330"/>
      <c r="AP2606" s="343"/>
      <c r="AQ2606" s="249"/>
      <c r="AR2606" s="330"/>
      <c r="AS2606" s="343"/>
      <c r="AT2606" s="249"/>
      <c r="AU2606" s="330"/>
    </row>
    <row r="2607" spans="2:47">
      <c r="B2607" s="247">
        <f>'Table S2 Compound Identifiers'!C2609</f>
        <v>0</v>
      </c>
      <c r="C2607" s="247">
        <f>COUNTIF($D$6:D2607,"&lt;&gt;"&amp;"")</f>
        <v>2602</v>
      </c>
      <c r="D2607" s="247">
        <f>'Table S2 Compound Identifiers'!B2609</f>
        <v>0</v>
      </c>
      <c r="E2607" s="247"/>
      <c r="F2607" s="248"/>
      <c r="G2607" s="249"/>
      <c r="H2607" s="330"/>
      <c r="I2607" s="328"/>
      <c r="J2607" s="249"/>
      <c r="K2607" s="330"/>
      <c r="L2607" s="250"/>
      <c r="M2607" s="249"/>
      <c r="N2607" s="330"/>
      <c r="O2607" s="250"/>
      <c r="P2607" s="249"/>
      <c r="Q2607" s="330"/>
      <c r="R2607" s="250"/>
      <c r="S2607" s="249"/>
      <c r="T2607" s="330"/>
      <c r="U2607" s="250"/>
      <c r="V2607" s="249"/>
      <c r="W2607" s="330"/>
      <c r="X2607" s="343"/>
      <c r="Y2607" s="249"/>
      <c r="Z2607" s="330"/>
      <c r="AA2607" s="343"/>
      <c r="AB2607" s="249"/>
      <c r="AC2607" s="330"/>
      <c r="AD2607" s="343"/>
      <c r="AE2607" s="249"/>
      <c r="AF2607" s="330"/>
      <c r="AG2607" s="343"/>
      <c r="AH2607" s="249"/>
      <c r="AI2607" s="330"/>
      <c r="AJ2607" s="343"/>
      <c r="AK2607" s="249"/>
      <c r="AL2607" s="330"/>
      <c r="AM2607" s="343"/>
      <c r="AN2607" s="249"/>
      <c r="AO2607" s="330"/>
      <c r="AP2607" s="343"/>
      <c r="AQ2607" s="249"/>
      <c r="AR2607" s="330"/>
      <c r="AS2607" s="343"/>
      <c r="AT2607" s="249"/>
      <c r="AU2607" s="330"/>
    </row>
    <row r="2608" spans="2:47">
      <c r="B2608" s="247">
        <f>'Table S2 Compound Identifiers'!C2610</f>
        <v>0</v>
      </c>
      <c r="C2608" s="247">
        <f>COUNTIF($D$6:D2608,"&lt;&gt;"&amp;"")</f>
        <v>2603</v>
      </c>
      <c r="D2608" s="247">
        <f>'Table S2 Compound Identifiers'!B2610</f>
        <v>0</v>
      </c>
      <c r="E2608" s="247"/>
      <c r="F2608" s="248"/>
      <c r="G2608" s="249"/>
      <c r="H2608" s="330"/>
      <c r="I2608" s="328"/>
      <c r="J2608" s="249"/>
      <c r="K2608" s="330"/>
      <c r="L2608" s="250"/>
      <c r="M2608" s="249"/>
      <c r="N2608" s="330"/>
      <c r="O2608" s="250"/>
      <c r="P2608" s="249"/>
      <c r="Q2608" s="330"/>
      <c r="R2608" s="250"/>
      <c r="S2608" s="249"/>
      <c r="T2608" s="330"/>
      <c r="U2608" s="250"/>
      <c r="V2608" s="249"/>
      <c r="W2608" s="330"/>
      <c r="X2608" s="343"/>
      <c r="Y2608" s="249"/>
      <c r="Z2608" s="330"/>
      <c r="AA2608" s="343"/>
      <c r="AB2608" s="249"/>
      <c r="AC2608" s="330"/>
      <c r="AD2608" s="343"/>
      <c r="AE2608" s="249"/>
      <c r="AF2608" s="330"/>
      <c r="AG2608" s="343"/>
      <c r="AH2608" s="249"/>
      <c r="AI2608" s="330"/>
      <c r="AJ2608" s="343"/>
      <c r="AK2608" s="249"/>
      <c r="AL2608" s="330"/>
      <c r="AM2608" s="343"/>
      <c r="AN2608" s="249"/>
      <c r="AO2608" s="330"/>
      <c r="AP2608" s="343"/>
      <c r="AQ2608" s="249"/>
      <c r="AR2608" s="330"/>
      <c r="AS2608" s="343"/>
      <c r="AT2608" s="249"/>
      <c r="AU2608" s="330"/>
    </row>
    <row r="2609" spans="2:47">
      <c r="B2609" s="247">
        <f>'Table S2 Compound Identifiers'!C2611</f>
        <v>0</v>
      </c>
      <c r="C2609" s="247">
        <f>COUNTIF($D$6:D2609,"&lt;&gt;"&amp;"")</f>
        <v>2604</v>
      </c>
      <c r="D2609" s="247">
        <f>'Table S2 Compound Identifiers'!B2611</f>
        <v>0</v>
      </c>
      <c r="E2609" s="247"/>
      <c r="F2609" s="248"/>
      <c r="G2609" s="249"/>
      <c r="H2609" s="330"/>
      <c r="I2609" s="328"/>
      <c r="J2609" s="249"/>
      <c r="K2609" s="330"/>
      <c r="L2609" s="250"/>
      <c r="M2609" s="249"/>
      <c r="N2609" s="330"/>
      <c r="O2609" s="250"/>
      <c r="P2609" s="249"/>
      <c r="Q2609" s="330"/>
      <c r="R2609" s="250"/>
      <c r="S2609" s="249"/>
      <c r="T2609" s="330"/>
      <c r="U2609" s="250"/>
      <c r="V2609" s="249"/>
      <c r="W2609" s="330"/>
      <c r="X2609" s="343"/>
      <c r="Y2609" s="249"/>
      <c r="Z2609" s="330"/>
      <c r="AA2609" s="343"/>
      <c r="AB2609" s="249"/>
      <c r="AC2609" s="330"/>
      <c r="AD2609" s="343"/>
      <c r="AE2609" s="249"/>
      <c r="AF2609" s="330"/>
      <c r="AG2609" s="343"/>
      <c r="AH2609" s="249"/>
      <c r="AI2609" s="330"/>
      <c r="AJ2609" s="343"/>
      <c r="AK2609" s="249"/>
      <c r="AL2609" s="330"/>
      <c r="AM2609" s="343"/>
      <c r="AN2609" s="249"/>
      <c r="AO2609" s="330"/>
      <c r="AP2609" s="343"/>
      <c r="AQ2609" s="249"/>
      <c r="AR2609" s="330"/>
      <c r="AS2609" s="343"/>
      <c r="AT2609" s="249"/>
      <c r="AU2609" s="330"/>
    </row>
    <row r="2610" spans="2:47">
      <c r="B2610" s="247">
        <f>'Table S2 Compound Identifiers'!C2612</f>
        <v>0</v>
      </c>
      <c r="C2610" s="247">
        <f>COUNTIF($D$6:D2610,"&lt;&gt;"&amp;"")</f>
        <v>2605</v>
      </c>
      <c r="D2610" s="247">
        <f>'Table S2 Compound Identifiers'!B2612</f>
        <v>0</v>
      </c>
      <c r="E2610" s="247"/>
      <c r="F2610" s="248"/>
      <c r="G2610" s="249"/>
      <c r="H2610" s="330"/>
      <c r="I2610" s="328"/>
      <c r="J2610" s="249"/>
      <c r="K2610" s="330"/>
      <c r="L2610" s="250"/>
      <c r="M2610" s="249"/>
      <c r="N2610" s="330"/>
      <c r="O2610" s="250"/>
      <c r="P2610" s="249"/>
      <c r="Q2610" s="330"/>
      <c r="R2610" s="250"/>
      <c r="S2610" s="249"/>
      <c r="T2610" s="330"/>
      <c r="U2610" s="250"/>
      <c r="V2610" s="249"/>
      <c r="W2610" s="330"/>
      <c r="X2610" s="343"/>
      <c r="Y2610" s="249"/>
      <c r="Z2610" s="330"/>
      <c r="AA2610" s="343"/>
      <c r="AB2610" s="249"/>
      <c r="AC2610" s="330"/>
      <c r="AD2610" s="343"/>
      <c r="AE2610" s="249"/>
      <c r="AF2610" s="330"/>
      <c r="AG2610" s="343"/>
      <c r="AH2610" s="249"/>
      <c r="AI2610" s="330"/>
      <c r="AJ2610" s="343"/>
      <c r="AK2610" s="249"/>
      <c r="AL2610" s="330"/>
      <c r="AM2610" s="343"/>
      <c r="AN2610" s="249"/>
      <c r="AO2610" s="330"/>
      <c r="AP2610" s="343"/>
      <c r="AQ2610" s="249"/>
      <c r="AR2610" s="330"/>
      <c r="AS2610" s="343"/>
      <c r="AT2610" s="249"/>
      <c r="AU2610" s="330"/>
    </row>
    <row r="2611" spans="2:47">
      <c r="B2611" s="247">
        <f>'Table S2 Compound Identifiers'!C2613</f>
        <v>0</v>
      </c>
      <c r="C2611" s="247">
        <f>COUNTIF($D$6:D2611,"&lt;&gt;"&amp;"")</f>
        <v>2606</v>
      </c>
      <c r="D2611" s="247">
        <f>'Table S2 Compound Identifiers'!B2613</f>
        <v>0</v>
      </c>
      <c r="E2611" s="247"/>
      <c r="F2611" s="248"/>
      <c r="G2611" s="249"/>
      <c r="H2611" s="330"/>
      <c r="I2611" s="328"/>
      <c r="J2611" s="249"/>
      <c r="K2611" s="330"/>
      <c r="L2611" s="250"/>
      <c r="M2611" s="249"/>
      <c r="N2611" s="330"/>
      <c r="O2611" s="250"/>
      <c r="P2611" s="249"/>
      <c r="Q2611" s="330"/>
      <c r="R2611" s="250"/>
      <c r="S2611" s="249"/>
      <c r="T2611" s="330"/>
      <c r="U2611" s="250"/>
      <c r="V2611" s="249"/>
      <c r="W2611" s="330"/>
      <c r="X2611" s="343"/>
      <c r="Y2611" s="249"/>
      <c r="Z2611" s="330"/>
      <c r="AA2611" s="343"/>
      <c r="AB2611" s="249"/>
      <c r="AC2611" s="330"/>
      <c r="AD2611" s="343"/>
      <c r="AE2611" s="249"/>
      <c r="AF2611" s="330"/>
      <c r="AG2611" s="343"/>
      <c r="AH2611" s="249"/>
      <c r="AI2611" s="330"/>
      <c r="AJ2611" s="343"/>
      <c r="AK2611" s="249"/>
      <c r="AL2611" s="330"/>
      <c r="AM2611" s="343"/>
      <c r="AN2611" s="249"/>
      <c r="AO2611" s="330"/>
      <c r="AP2611" s="343"/>
      <c r="AQ2611" s="249"/>
      <c r="AR2611" s="330"/>
      <c r="AS2611" s="343"/>
      <c r="AT2611" s="249"/>
      <c r="AU2611" s="330"/>
    </row>
    <row r="2612" spans="2:47">
      <c r="B2612" s="247">
        <f>'Table S2 Compound Identifiers'!C2614</f>
        <v>0</v>
      </c>
      <c r="C2612" s="247">
        <f>COUNTIF($D$6:D2612,"&lt;&gt;"&amp;"")</f>
        <v>2607</v>
      </c>
      <c r="D2612" s="247">
        <f>'Table S2 Compound Identifiers'!B2614</f>
        <v>0</v>
      </c>
      <c r="E2612" s="247"/>
      <c r="F2612" s="248"/>
      <c r="G2612" s="249"/>
      <c r="H2612" s="330"/>
      <c r="I2612" s="328"/>
      <c r="J2612" s="249"/>
      <c r="K2612" s="330"/>
      <c r="L2612" s="250"/>
      <c r="M2612" s="249"/>
      <c r="N2612" s="330"/>
      <c r="O2612" s="250"/>
      <c r="P2612" s="249"/>
      <c r="Q2612" s="330"/>
      <c r="R2612" s="250"/>
      <c r="S2612" s="249"/>
      <c r="T2612" s="330"/>
      <c r="U2612" s="250"/>
      <c r="V2612" s="249"/>
      <c r="W2612" s="330"/>
      <c r="X2612" s="343"/>
      <c r="Y2612" s="249"/>
      <c r="Z2612" s="330"/>
      <c r="AA2612" s="343"/>
      <c r="AB2612" s="249"/>
      <c r="AC2612" s="330"/>
      <c r="AD2612" s="343"/>
      <c r="AE2612" s="249"/>
      <c r="AF2612" s="330"/>
      <c r="AG2612" s="343"/>
      <c r="AH2612" s="249"/>
      <c r="AI2612" s="330"/>
      <c r="AJ2612" s="343"/>
      <c r="AK2612" s="249"/>
      <c r="AL2612" s="330"/>
      <c r="AM2612" s="343"/>
      <c r="AN2612" s="249"/>
      <c r="AO2612" s="330"/>
      <c r="AP2612" s="343"/>
      <c r="AQ2612" s="249"/>
      <c r="AR2612" s="330"/>
      <c r="AS2612" s="343"/>
      <c r="AT2612" s="249"/>
      <c r="AU2612" s="330"/>
    </row>
    <row r="2613" spans="2:47">
      <c r="B2613" s="247">
        <f>'Table S2 Compound Identifiers'!C2615</f>
        <v>0</v>
      </c>
      <c r="C2613" s="247">
        <f>COUNTIF($D$6:D2613,"&lt;&gt;"&amp;"")</f>
        <v>2608</v>
      </c>
      <c r="D2613" s="247">
        <f>'Table S2 Compound Identifiers'!B2615</f>
        <v>0</v>
      </c>
      <c r="E2613" s="247"/>
      <c r="F2613" s="248"/>
      <c r="G2613" s="249"/>
      <c r="H2613" s="330"/>
      <c r="I2613" s="328"/>
      <c r="J2613" s="249"/>
      <c r="K2613" s="330"/>
      <c r="L2613" s="250"/>
      <c r="M2613" s="249"/>
      <c r="N2613" s="330"/>
      <c r="O2613" s="250"/>
      <c r="P2613" s="249"/>
      <c r="Q2613" s="330"/>
      <c r="R2613" s="250"/>
      <c r="S2613" s="249"/>
      <c r="T2613" s="330"/>
      <c r="U2613" s="250"/>
      <c r="V2613" s="249"/>
      <c r="W2613" s="330"/>
      <c r="X2613" s="343"/>
      <c r="Y2613" s="249"/>
      <c r="Z2613" s="330"/>
      <c r="AA2613" s="343"/>
      <c r="AB2613" s="249"/>
      <c r="AC2613" s="330"/>
      <c r="AD2613" s="343"/>
      <c r="AE2613" s="249"/>
      <c r="AF2613" s="330"/>
      <c r="AG2613" s="343"/>
      <c r="AH2613" s="249"/>
      <c r="AI2613" s="330"/>
      <c r="AJ2613" s="343"/>
      <c r="AK2613" s="249"/>
      <c r="AL2613" s="330"/>
      <c r="AM2613" s="343"/>
      <c r="AN2613" s="249"/>
      <c r="AO2613" s="330"/>
      <c r="AP2613" s="343"/>
      <c r="AQ2613" s="249"/>
      <c r="AR2613" s="330"/>
      <c r="AS2613" s="343"/>
      <c r="AT2613" s="249"/>
      <c r="AU2613" s="330"/>
    </row>
    <row r="2614" spans="2:47">
      <c r="B2614" s="247">
        <f>'Table S2 Compound Identifiers'!C2616</f>
        <v>0</v>
      </c>
      <c r="C2614" s="247">
        <f>COUNTIF($D$6:D2614,"&lt;&gt;"&amp;"")</f>
        <v>2609</v>
      </c>
      <c r="D2614" s="247">
        <f>'Table S2 Compound Identifiers'!B2616</f>
        <v>0</v>
      </c>
      <c r="E2614" s="247"/>
      <c r="F2614" s="248"/>
      <c r="G2614" s="249"/>
      <c r="H2614" s="330"/>
      <c r="I2614" s="328"/>
      <c r="J2614" s="249"/>
      <c r="K2614" s="330"/>
      <c r="L2614" s="250"/>
      <c r="M2614" s="249"/>
      <c r="N2614" s="330"/>
      <c r="O2614" s="250"/>
      <c r="P2614" s="249"/>
      <c r="Q2614" s="330"/>
      <c r="R2614" s="250"/>
      <c r="S2614" s="249"/>
      <c r="T2614" s="330"/>
      <c r="U2614" s="250"/>
      <c r="V2614" s="249"/>
      <c r="W2614" s="330"/>
      <c r="X2614" s="343"/>
      <c r="Y2614" s="249"/>
      <c r="Z2614" s="330"/>
      <c r="AA2614" s="343"/>
      <c r="AB2614" s="249"/>
      <c r="AC2614" s="330"/>
      <c r="AD2614" s="343"/>
      <c r="AE2614" s="249"/>
      <c r="AF2614" s="330"/>
      <c r="AG2614" s="343"/>
      <c r="AH2614" s="249"/>
      <c r="AI2614" s="330"/>
      <c r="AJ2614" s="343"/>
      <c r="AK2614" s="249"/>
      <c r="AL2614" s="330"/>
      <c r="AM2614" s="343"/>
      <c r="AN2614" s="249"/>
      <c r="AO2614" s="330"/>
      <c r="AP2614" s="343"/>
      <c r="AQ2614" s="249"/>
      <c r="AR2614" s="330"/>
      <c r="AS2614" s="343"/>
      <c r="AT2614" s="249"/>
      <c r="AU2614" s="330"/>
    </row>
    <row r="2615" spans="2:47">
      <c r="B2615" s="247">
        <f>'Table S2 Compound Identifiers'!C2617</f>
        <v>0</v>
      </c>
      <c r="C2615" s="247">
        <f>COUNTIF($D$6:D2615,"&lt;&gt;"&amp;"")</f>
        <v>2610</v>
      </c>
      <c r="D2615" s="247">
        <f>'Table S2 Compound Identifiers'!B2617</f>
        <v>0</v>
      </c>
      <c r="E2615" s="247"/>
      <c r="F2615" s="248"/>
      <c r="G2615" s="249"/>
      <c r="H2615" s="330"/>
      <c r="I2615" s="328"/>
      <c r="J2615" s="249"/>
      <c r="K2615" s="330"/>
      <c r="L2615" s="250"/>
      <c r="M2615" s="249"/>
      <c r="N2615" s="330"/>
      <c r="O2615" s="250"/>
      <c r="P2615" s="249"/>
      <c r="Q2615" s="330"/>
      <c r="R2615" s="250"/>
      <c r="S2615" s="249"/>
      <c r="T2615" s="330"/>
      <c r="U2615" s="250"/>
      <c r="V2615" s="249"/>
      <c r="W2615" s="330"/>
      <c r="X2615" s="343"/>
      <c r="Y2615" s="249"/>
      <c r="Z2615" s="330"/>
      <c r="AA2615" s="343"/>
      <c r="AB2615" s="249"/>
      <c r="AC2615" s="330"/>
      <c r="AD2615" s="343"/>
      <c r="AE2615" s="249"/>
      <c r="AF2615" s="330"/>
      <c r="AG2615" s="343"/>
      <c r="AH2615" s="249"/>
      <c r="AI2615" s="330"/>
      <c r="AJ2615" s="343"/>
      <c r="AK2615" s="249"/>
      <c r="AL2615" s="330"/>
      <c r="AM2615" s="343"/>
      <c r="AN2615" s="249"/>
      <c r="AO2615" s="330"/>
      <c r="AP2615" s="343"/>
      <c r="AQ2615" s="249"/>
      <c r="AR2615" s="330"/>
      <c r="AS2615" s="343"/>
      <c r="AT2615" s="249"/>
      <c r="AU2615" s="330"/>
    </row>
    <row r="2616" spans="2:47">
      <c r="B2616" s="247">
        <f>'Table S2 Compound Identifiers'!C2618</f>
        <v>0</v>
      </c>
      <c r="C2616" s="247">
        <f>COUNTIF($D$6:D2616,"&lt;&gt;"&amp;"")</f>
        <v>2611</v>
      </c>
      <c r="D2616" s="247">
        <f>'Table S2 Compound Identifiers'!B2618</f>
        <v>0</v>
      </c>
      <c r="E2616" s="247"/>
      <c r="F2616" s="248"/>
      <c r="G2616" s="249"/>
      <c r="H2616" s="330"/>
      <c r="I2616" s="328"/>
      <c r="J2616" s="249"/>
      <c r="K2616" s="330"/>
      <c r="L2616" s="250"/>
      <c r="M2616" s="249"/>
      <c r="N2616" s="330"/>
      <c r="O2616" s="250"/>
      <c r="P2616" s="249"/>
      <c r="Q2616" s="330"/>
      <c r="R2616" s="250"/>
      <c r="S2616" s="249"/>
      <c r="T2616" s="330"/>
      <c r="U2616" s="250"/>
      <c r="V2616" s="249"/>
      <c r="W2616" s="330"/>
      <c r="X2616" s="343"/>
      <c r="Y2616" s="249"/>
      <c r="Z2616" s="330"/>
      <c r="AA2616" s="343"/>
      <c r="AB2616" s="249"/>
      <c r="AC2616" s="330"/>
      <c r="AD2616" s="343"/>
      <c r="AE2616" s="249"/>
      <c r="AF2616" s="330"/>
      <c r="AG2616" s="343"/>
      <c r="AH2616" s="249"/>
      <c r="AI2616" s="330"/>
      <c r="AJ2616" s="343"/>
      <c r="AK2616" s="249"/>
      <c r="AL2616" s="330"/>
      <c r="AM2616" s="343"/>
      <c r="AN2616" s="249"/>
      <c r="AO2616" s="330"/>
      <c r="AP2616" s="343"/>
      <c r="AQ2616" s="249"/>
      <c r="AR2616" s="330"/>
      <c r="AS2616" s="343"/>
      <c r="AT2616" s="249"/>
      <c r="AU2616" s="330"/>
    </row>
    <row r="2617" spans="2:47">
      <c r="B2617" s="247">
        <f>'Table S2 Compound Identifiers'!C2619</f>
        <v>0</v>
      </c>
      <c r="C2617" s="247">
        <f>COUNTIF($D$6:D2617,"&lt;&gt;"&amp;"")</f>
        <v>2612</v>
      </c>
      <c r="D2617" s="247">
        <f>'Table S2 Compound Identifiers'!B2619</f>
        <v>0</v>
      </c>
      <c r="E2617" s="247"/>
      <c r="F2617" s="248"/>
      <c r="G2617" s="249"/>
      <c r="H2617" s="330"/>
      <c r="I2617" s="328"/>
      <c r="J2617" s="249"/>
      <c r="K2617" s="330"/>
      <c r="L2617" s="250"/>
      <c r="M2617" s="249"/>
      <c r="N2617" s="330"/>
      <c r="O2617" s="250"/>
      <c r="P2617" s="249"/>
      <c r="Q2617" s="330"/>
      <c r="R2617" s="250"/>
      <c r="S2617" s="249"/>
      <c r="T2617" s="330"/>
      <c r="U2617" s="250"/>
      <c r="V2617" s="249"/>
      <c r="W2617" s="330"/>
      <c r="X2617" s="343"/>
      <c r="Y2617" s="249"/>
      <c r="Z2617" s="330"/>
      <c r="AA2617" s="343"/>
      <c r="AB2617" s="249"/>
      <c r="AC2617" s="330"/>
      <c r="AD2617" s="343"/>
      <c r="AE2617" s="249"/>
      <c r="AF2617" s="330"/>
      <c r="AG2617" s="343"/>
      <c r="AH2617" s="249"/>
      <c r="AI2617" s="330"/>
      <c r="AJ2617" s="343"/>
      <c r="AK2617" s="249"/>
      <c r="AL2617" s="330"/>
      <c r="AM2617" s="343"/>
      <c r="AN2617" s="249"/>
      <c r="AO2617" s="330"/>
      <c r="AP2617" s="343"/>
      <c r="AQ2617" s="249"/>
      <c r="AR2617" s="330"/>
      <c r="AS2617" s="343"/>
      <c r="AT2617" s="249"/>
      <c r="AU2617" s="330"/>
    </row>
    <row r="2618" spans="2:47">
      <c r="B2618" s="247">
        <f>'Table S2 Compound Identifiers'!C2620</f>
        <v>0</v>
      </c>
      <c r="C2618" s="247">
        <f>COUNTIF($D$6:D2618,"&lt;&gt;"&amp;"")</f>
        <v>2613</v>
      </c>
      <c r="D2618" s="247">
        <f>'Table S2 Compound Identifiers'!B2620</f>
        <v>0</v>
      </c>
      <c r="E2618" s="247"/>
      <c r="F2618" s="248"/>
      <c r="G2618" s="249"/>
      <c r="H2618" s="330"/>
      <c r="I2618" s="328"/>
      <c r="J2618" s="249"/>
      <c r="K2618" s="330"/>
      <c r="L2618" s="250"/>
      <c r="M2618" s="249"/>
      <c r="N2618" s="330"/>
      <c r="O2618" s="250"/>
      <c r="P2618" s="249"/>
      <c r="Q2618" s="330"/>
      <c r="R2618" s="250"/>
      <c r="S2618" s="249"/>
      <c r="T2618" s="330"/>
      <c r="U2618" s="250"/>
      <c r="V2618" s="249"/>
      <c r="W2618" s="330"/>
      <c r="X2618" s="343"/>
      <c r="Y2618" s="249"/>
      <c r="Z2618" s="330"/>
      <c r="AA2618" s="343"/>
      <c r="AB2618" s="249"/>
      <c r="AC2618" s="330"/>
      <c r="AD2618" s="343"/>
      <c r="AE2618" s="249"/>
      <c r="AF2618" s="330"/>
      <c r="AG2618" s="343"/>
      <c r="AH2618" s="249"/>
      <c r="AI2618" s="330"/>
      <c r="AJ2618" s="343"/>
      <c r="AK2618" s="249"/>
      <c r="AL2618" s="330"/>
      <c r="AM2618" s="343"/>
      <c r="AN2618" s="249"/>
      <c r="AO2618" s="330"/>
      <c r="AP2618" s="343"/>
      <c r="AQ2618" s="249"/>
      <c r="AR2618" s="330"/>
      <c r="AS2618" s="343"/>
      <c r="AT2618" s="249"/>
      <c r="AU2618" s="330"/>
    </row>
    <row r="2619" spans="2:47">
      <c r="B2619" s="247">
        <f>'Table S2 Compound Identifiers'!C2621</f>
        <v>0</v>
      </c>
      <c r="C2619" s="247">
        <f>COUNTIF($D$6:D2619,"&lt;&gt;"&amp;"")</f>
        <v>2614</v>
      </c>
      <c r="D2619" s="247">
        <f>'Table S2 Compound Identifiers'!B2621</f>
        <v>0</v>
      </c>
      <c r="E2619" s="247"/>
      <c r="F2619" s="248"/>
      <c r="G2619" s="249"/>
      <c r="H2619" s="330"/>
      <c r="I2619" s="328"/>
      <c r="J2619" s="249"/>
      <c r="K2619" s="330"/>
      <c r="L2619" s="250"/>
      <c r="M2619" s="249"/>
      <c r="N2619" s="330"/>
      <c r="O2619" s="250"/>
      <c r="P2619" s="249"/>
      <c r="Q2619" s="330"/>
      <c r="R2619" s="250"/>
      <c r="S2619" s="249"/>
      <c r="T2619" s="330"/>
      <c r="U2619" s="250"/>
      <c r="V2619" s="249"/>
      <c r="W2619" s="330"/>
      <c r="X2619" s="343"/>
      <c r="Y2619" s="249"/>
      <c r="Z2619" s="330"/>
      <c r="AA2619" s="343"/>
      <c r="AB2619" s="249"/>
      <c r="AC2619" s="330"/>
      <c r="AD2619" s="343"/>
      <c r="AE2619" s="249"/>
      <c r="AF2619" s="330"/>
      <c r="AG2619" s="343"/>
      <c r="AH2619" s="249"/>
      <c r="AI2619" s="330"/>
      <c r="AJ2619" s="343"/>
      <c r="AK2619" s="249"/>
      <c r="AL2619" s="330"/>
      <c r="AM2619" s="343"/>
      <c r="AN2619" s="249"/>
      <c r="AO2619" s="330"/>
      <c r="AP2619" s="343"/>
      <c r="AQ2619" s="249"/>
      <c r="AR2619" s="330"/>
      <c r="AS2619" s="343"/>
      <c r="AT2619" s="249"/>
      <c r="AU2619" s="330"/>
    </row>
    <row r="2620" spans="2:47">
      <c r="B2620" s="247">
        <f>'Table S2 Compound Identifiers'!C2622</f>
        <v>0</v>
      </c>
      <c r="C2620" s="247">
        <f>COUNTIF($D$6:D2620,"&lt;&gt;"&amp;"")</f>
        <v>2615</v>
      </c>
      <c r="D2620" s="247">
        <f>'Table S2 Compound Identifiers'!B2622</f>
        <v>0</v>
      </c>
      <c r="E2620" s="247"/>
      <c r="F2620" s="248"/>
      <c r="G2620" s="249"/>
      <c r="H2620" s="330"/>
      <c r="I2620" s="328"/>
      <c r="J2620" s="249"/>
      <c r="K2620" s="330"/>
      <c r="L2620" s="250"/>
      <c r="M2620" s="249"/>
      <c r="N2620" s="330"/>
      <c r="O2620" s="250"/>
      <c r="P2620" s="249"/>
      <c r="Q2620" s="330"/>
      <c r="R2620" s="250"/>
      <c r="S2620" s="249"/>
      <c r="T2620" s="330"/>
      <c r="U2620" s="250"/>
      <c r="V2620" s="249"/>
      <c r="W2620" s="330"/>
      <c r="X2620" s="343"/>
      <c r="Y2620" s="249"/>
      <c r="Z2620" s="330"/>
      <c r="AA2620" s="343"/>
      <c r="AB2620" s="249"/>
      <c r="AC2620" s="330"/>
      <c r="AD2620" s="343"/>
      <c r="AE2620" s="249"/>
      <c r="AF2620" s="330"/>
      <c r="AG2620" s="343"/>
      <c r="AH2620" s="249"/>
      <c r="AI2620" s="330"/>
      <c r="AJ2620" s="343"/>
      <c r="AK2620" s="249"/>
      <c r="AL2620" s="330"/>
      <c r="AM2620" s="343"/>
      <c r="AN2620" s="249"/>
      <c r="AO2620" s="330"/>
      <c r="AP2620" s="343"/>
      <c r="AQ2620" s="249"/>
      <c r="AR2620" s="330"/>
      <c r="AS2620" s="343"/>
      <c r="AT2620" s="249"/>
      <c r="AU2620" s="330"/>
    </row>
    <row r="2621" spans="2:47">
      <c r="B2621" s="247">
        <f>'Table S2 Compound Identifiers'!C2623</f>
        <v>0</v>
      </c>
      <c r="C2621" s="247">
        <f>COUNTIF($D$6:D2621,"&lt;&gt;"&amp;"")</f>
        <v>2616</v>
      </c>
      <c r="D2621" s="247">
        <f>'Table S2 Compound Identifiers'!B2623</f>
        <v>0</v>
      </c>
      <c r="E2621" s="247"/>
      <c r="F2621" s="248"/>
      <c r="G2621" s="249"/>
      <c r="H2621" s="330"/>
      <c r="I2621" s="328"/>
      <c r="J2621" s="249"/>
      <c r="K2621" s="330"/>
      <c r="L2621" s="250"/>
      <c r="M2621" s="249"/>
      <c r="N2621" s="330"/>
      <c r="O2621" s="250"/>
      <c r="P2621" s="249"/>
      <c r="Q2621" s="330"/>
      <c r="R2621" s="250"/>
      <c r="S2621" s="249"/>
      <c r="T2621" s="330"/>
      <c r="U2621" s="250"/>
      <c r="V2621" s="249"/>
      <c r="W2621" s="330"/>
      <c r="X2621" s="343"/>
      <c r="Y2621" s="249"/>
      <c r="Z2621" s="330"/>
      <c r="AA2621" s="343"/>
      <c r="AB2621" s="249"/>
      <c r="AC2621" s="330"/>
      <c r="AD2621" s="343"/>
      <c r="AE2621" s="249"/>
      <c r="AF2621" s="330"/>
      <c r="AG2621" s="343"/>
      <c r="AH2621" s="249"/>
      <c r="AI2621" s="330"/>
      <c r="AJ2621" s="343"/>
      <c r="AK2621" s="249"/>
      <c r="AL2621" s="330"/>
      <c r="AM2621" s="343"/>
      <c r="AN2621" s="249"/>
      <c r="AO2621" s="330"/>
      <c r="AP2621" s="343"/>
      <c r="AQ2621" s="249"/>
      <c r="AR2621" s="330"/>
      <c r="AS2621" s="343"/>
      <c r="AT2621" s="249"/>
      <c r="AU2621" s="330"/>
    </row>
    <row r="2622" spans="2:47">
      <c r="B2622" s="247">
        <f>'Table S2 Compound Identifiers'!C2624</f>
        <v>0</v>
      </c>
      <c r="C2622" s="247">
        <f>COUNTIF($D$6:D2622,"&lt;&gt;"&amp;"")</f>
        <v>2617</v>
      </c>
      <c r="D2622" s="247">
        <f>'Table S2 Compound Identifiers'!B2624</f>
        <v>0</v>
      </c>
      <c r="E2622" s="247"/>
      <c r="F2622" s="248"/>
      <c r="G2622" s="249"/>
      <c r="H2622" s="330"/>
      <c r="I2622" s="328"/>
      <c r="J2622" s="249"/>
      <c r="K2622" s="330"/>
      <c r="L2622" s="250"/>
      <c r="M2622" s="249"/>
      <c r="N2622" s="330"/>
      <c r="O2622" s="250"/>
      <c r="P2622" s="249"/>
      <c r="Q2622" s="330"/>
      <c r="R2622" s="250"/>
      <c r="S2622" s="249"/>
      <c r="T2622" s="330"/>
      <c r="U2622" s="250"/>
      <c r="V2622" s="249"/>
      <c r="W2622" s="330"/>
      <c r="X2622" s="343"/>
      <c r="Y2622" s="249"/>
      <c r="Z2622" s="330"/>
      <c r="AA2622" s="343"/>
      <c r="AB2622" s="249"/>
      <c r="AC2622" s="330"/>
      <c r="AD2622" s="343"/>
      <c r="AE2622" s="249"/>
      <c r="AF2622" s="330"/>
      <c r="AG2622" s="343"/>
      <c r="AH2622" s="249"/>
      <c r="AI2622" s="330"/>
      <c r="AJ2622" s="343"/>
      <c r="AK2622" s="249"/>
      <c r="AL2622" s="330"/>
      <c r="AM2622" s="343"/>
      <c r="AN2622" s="249"/>
      <c r="AO2622" s="330"/>
      <c r="AP2622" s="343"/>
      <c r="AQ2622" s="249"/>
      <c r="AR2622" s="330"/>
      <c r="AS2622" s="343"/>
      <c r="AT2622" s="249"/>
      <c r="AU2622" s="330"/>
    </row>
    <row r="2623" spans="2:47">
      <c r="B2623" s="247">
        <f>'Table S2 Compound Identifiers'!C2625</f>
        <v>0</v>
      </c>
      <c r="C2623" s="247">
        <f>COUNTIF($D$6:D2623,"&lt;&gt;"&amp;"")</f>
        <v>2618</v>
      </c>
      <c r="D2623" s="247">
        <f>'Table S2 Compound Identifiers'!B2625</f>
        <v>0</v>
      </c>
      <c r="E2623" s="247"/>
      <c r="F2623" s="248"/>
      <c r="G2623" s="249"/>
      <c r="H2623" s="330"/>
      <c r="I2623" s="328"/>
      <c r="J2623" s="249"/>
      <c r="K2623" s="330"/>
      <c r="L2623" s="250"/>
      <c r="M2623" s="249"/>
      <c r="N2623" s="330"/>
      <c r="O2623" s="250"/>
      <c r="P2623" s="249"/>
      <c r="Q2623" s="330"/>
      <c r="R2623" s="250"/>
      <c r="S2623" s="249"/>
      <c r="T2623" s="330"/>
      <c r="U2623" s="250"/>
      <c r="V2623" s="249"/>
      <c r="W2623" s="330"/>
      <c r="X2623" s="343"/>
      <c r="Y2623" s="249"/>
      <c r="Z2623" s="330"/>
      <c r="AA2623" s="343"/>
      <c r="AB2623" s="249"/>
      <c r="AC2623" s="330"/>
      <c r="AD2623" s="343"/>
      <c r="AE2623" s="249"/>
      <c r="AF2623" s="330"/>
      <c r="AG2623" s="343"/>
      <c r="AH2623" s="249"/>
      <c r="AI2623" s="330"/>
      <c r="AJ2623" s="343"/>
      <c r="AK2623" s="249"/>
      <c r="AL2623" s="330"/>
      <c r="AM2623" s="343"/>
      <c r="AN2623" s="249"/>
      <c r="AO2623" s="330"/>
      <c r="AP2623" s="343"/>
      <c r="AQ2623" s="249"/>
      <c r="AR2623" s="330"/>
      <c r="AS2623" s="343"/>
      <c r="AT2623" s="249"/>
      <c r="AU2623" s="330"/>
    </row>
    <row r="2624" spans="2:47">
      <c r="B2624" s="247">
        <f>'Table S2 Compound Identifiers'!C2626</f>
        <v>0</v>
      </c>
      <c r="C2624" s="247">
        <f>COUNTIF($D$6:D2624,"&lt;&gt;"&amp;"")</f>
        <v>2619</v>
      </c>
      <c r="D2624" s="247">
        <f>'Table S2 Compound Identifiers'!B2626</f>
        <v>0</v>
      </c>
      <c r="E2624" s="247"/>
      <c r="F2624" s="248"/>
      <c r="G2624" s="249"/>
      <c r="H2624" s="330"/>
      <c r="I2624" s="328"/>
      <c r="J2624" s="249"/>
      <c r="K2624" s="330"/>
      <c r="L2624" s="250"/>
      <c r="M2624" s="249"/>
      <c r="N2624" s="330"/>
      <c r="O2624" s="250"/>
      <c r="P2624" s="249"/>
      <c r="Q2624" s="330"/>
      <c r="R2624" s="250"/>
      <c r="S2624" s="249"/>
      <c r="T2624" s="330"/>
      <c r="U2624" s="250"/>
      <c r="V2624" s="249"/>
      <c r="W2624" s="330"/>
      <c r="X2624" s="343"/>
      <c r="Y2624" s="249"/>
      <c r="Z2624" s="330"/>
      <c r="AA2624" s="343"/>
      <c r="AB2624" s="249"/>
      <c r="AC2624" s="330"/>
      <c r="AD2624" s="343"/>
      <c r="AE2624" s="249"/>
      <c r="AF2624" s="330"/>
      <c r="AG2624" s="343"/>
      <c r="AH2624" s="249"/>
      <c r="AI2624" s="330"/>
      <c r="AJ2624" s="343"/>
      <c r="AK2624" s="249"/>
      <c r="AL2624" s="330"/>
      <c r="AM2624" s="343"/>
      <c r="AN2624" s="249"/>
      <c r="AO2624" s="330"/>
      <c r="AP2624" s="343"/>
      <c r="AQ2624" s="249"/>
      <c r="AR2624" s="330"/>
      <c r="AS2624" s="343"/>
      <c r="AT2624" s="249"/>
      <c r="AU2624" s="330"/>
    </row>
    <row r="2625" spans="2:47">
      <c r="B2625" s="247">
        <f>'Table S2 Compound Identifiers'!C2627</f>
        <v>0</v>
      </c>
      <c r="C2625" s="247">
        <f>COUNTIF($D$6:D2625,"&lt;&gt;"&amp;"")</f>
        <v>2620</v>
      </c>
      <c r="D2625" s="247">
        <f>'Table S2 Compound Identifiers'!B2627</f>
        <v>0</v>
      </c>
      <c r="E2625" s="247"/>
      <c r="F2625" s="248"/>
      <c r="G2625" s="249"/>
      <c r="H2625" s="330"/>
      <c r="I2625" s="328"/>
      <c r="J2625" s="249"/>
      <c r="K2625" s="330"/>
      <c r="L2625" s="250"/>
      <c r="M2625" s="249"/>
      <c r="N2625" s="330"/>
      <c r="O2625" s="250"/>
      <c r="P2625" s="249"/>
      <c r="Q2625" s="330"/>
      <c r="R2625" s="250"/>
      <c r="S2625" s="249"/>
      <c r="T2625" s="330"/>
      <c r="U2625" s="250"/>
      <c r="V2625" s="249"/>
      <c r="W2625" s="330"/>
      <c r="X2625" s="343"/>
      <c r="Y2625" s="249"/>
      <c r="Z2625" s="330"/>
      <c r="AA2625" s="343"/>
      <c r="AB2625" s="249"/>
      <c r="AC2625" s="330"/>
      <c r="AD2625" s="343"/>
      <c r="AE2625" s="249"/>
      <c r="AF2625" s="330"/>
      <c r="AG2625" s="343"/>
      <c r="AH2625" s="249"/>
      <c r="AI2625" s="330"/>
      <c r="AJ2625" s="343"/>
      <c r="AK2625" s="249"/>
      <c r="AL2625" s="330"/>
      <c r="AM2625" s="343"/>
      <c r="AN2625" s="249"/>
      <c r="AO2625" s="330"/>
      <c r="AP2625" s="343"/>
      <c r="AQ2625" s="249"/>
      <c r="AR2625" s="330"/>
      <c r="AS2625" s="343"/>
      <c r="AT2625" s="249"/>
      <c r="AU2625" s="330"/>
    </row>
    <row r="2626" spans="2:47">
      <c r="B2626" s="247">
        <f>'Table S2 Compound Identifiers'!C2628</f>
        <v>0</v>
      </c>
      <c r="C2626" s="247">
        <f>COUNTIF($D$6:D2626,"&lt;&gt;"&amp;"")</f>
        <v>2621</v>
      </c>
      <c r="D2626" s="247">
        <f>'Table S2 Compound Identifiers'!B2628</f>
        <v>0</v>
      </c>
      <c r="E2626" s="247"/>
      <c r="F2626" s="248"/>
      <c r="G2626" s="249"/>
      <c r="H2626" s="330"/>
      <c r="I2626" s="328"/>
      <c r="J2626" s="249"/>
      <c r="K2626" s="330"/>
      <c r="L2626" s="250"/>
      <c r="M2626" s="249"/>
      <c r="N2626" s="330"/>
      <c r="O2626" s="250"/>
      <c r="P2626" s="249"/>
      <c r="Q2626" s="330"/>
      <c r="R2626" s="250"/>
      <c r="S2626" s="249"/>
      <c r="T2626" s="330"/>
      <c r="U2626" s="250"/>
      <c r="V2626" s="249"/>
      <c r="W2626" s="330"/>
      <c r="X2626" s="343"/>
      <c r="Y2626" s="249"/>
      <c r="Z2626" s="330"/>
      <c r="AA2626" s="343"/>
      <c r="AB2626" s="249"/>
      <c r="AC2626" s="330"/>
      <c r="AD2626" s="343"/>
      <c r="AE2626" s="249"/>
      <c r="AF2626" s="330"/>
      <c r="AG2626" s="343"/>
      <c r="AH2626" s="249"/>
      <c r="AI2626" s="330"/>
      <c r="AJ2626" s="343"/>
      <c r="AK2626" s="249"/>
      <c r="AL2626" s="330"/>
      <c r="AM2626" s="343"/>
      <c r="AN2626" s="249"/>
      <c r="AO2626" s="330"/>
      <c r="AP2626" s="343"/>
      <c r="AQ2626" s="249"/>
      <c r="AR2626" s="330"/>
      <c r="AS2626" s="343"/>
      <c r="AT2626" s="249"/>
      <c r="AU2626" s="330"/>
    </row>
    <row r="2627" spans="2:47">
      <c r="B2627" s="247">
        <f>'Table S2 Compound Identifiers'!C2629</f>
        <v>0</v>
      </c>
      <c r="C2627" s="247">
        <f>COUNTIF($D$6:D2627,"&lt;&gt;"&amp;"")</f>
        <v>2622</v>
      </c>
      <c r="D2627" s="247">
        <f>'Table S2 Compound Identifiers'!B2629</f>
        <v>0</v>
      </c>
      <c r="E2627" s="247"/>
      <c r="F2627" s="248"/>
      <c r="G2627" s="249"/>
      <c r="H2627" s="330"/>
      <c r="I2627" s="328"/>
      <c r="J2627" s="249"/>
      <c r="K2627" s="330"/>
      <c r="L2627" s="250"/>
      <c r="M2627" s="249"/>
      <c r="N2627" s="330"/>
      <c r="O2627" s="250"/>
      <c r="P2627" s="249"/>
      <c r="Q2627" s="330"/>
      <c r="R2627" s="250"/>
      <c r="S2627" s="249"/>
      <c r="T2627" s="330"/>
      <c r="U2627" s="250"/>
      <c r="V2627" s="249"/>
      <c r="W2627" s="330"/>
      <c r="X2627" s="343"/>
      <c r="Y2627" s="249"/>
      <c r="Z2627" s="330"/>
      <c r="AA2627" s="343"/>
      <c r="AB2627" s="249"/>
      <c r="AC2627" s="330"/>
      <c r="AD2627" s="343"/>
      <c r="AE2627" s="249"/>
      <c r="AF2627" s="330"/>
      <c r="AG2627" s="343"/>
      <c r="AH2627" s="249"/>
      <c r="AI2627" s="330"/>
      <c r="AJ2627" s="343"/>
      <c r="AK2627" s="249"/>
      <c r="AL2627" s="330"/>
      <c r="AM2627" s="343"/>
      <c r="AN2627" s="249"/>
      <c r="AO2627" s="330"/>
      <c r="AP2627" s="343"/>
      <c r="AQ2627" s="249"/>
      <c r="AR2627" s="330"/>
      <c r="AS2627" s="343"/>
      <c r="AT2627" s="249"/>
      <c r="AU2627" s="330"/>
    </row>
    <row r="2628" spans="2:47">
      <c r="B2628" s="247">
        <f>'Table S2 Compound Identifiers'!C2630</f>
        <v>0</v>
      </c>
      <c r="C2628" s="247">
        <f>COUNTIF($D$6:D2628,"&lt;&gt;"&amp;"")</f>
        <v>2623</v>
      </c>
      <c r="D2628" s="247">
        <f>'Table S2 Compound Identifiers'!B2630</f>
        <v>0</v>
      </c>
      <c r="E2628" s="247"/>
      <c r="F2628" s="248"/>
      <c r="G2628" s="249"/>
      <c r="H2628" s="330"/>
      <c r="I2628" s="328"/>
      <c r="J2628" s="249"/>
      <c r="K2628" s="330"/>
      <c r="L2628" s="250"/>
      <c r="M2628" s="249"/>
      <c r="N2628" s="330"/>
      <c r="O2628" s="250"/>
      <c r="P2628" s="249"/>
      <c r="Q2628" s="330"/>
      <c r="R2628" s="250"/>
      <c r="S2628" s="249"/>
      <c r="T2628" s="330"/>
      <c r="U2628" s="250"/>
      <c r="V2628" s="249"/>
      <c r="W2628" s="330"/>
      <c r="X2628" s="343"/>
      <c r="Y2628" s="249"/>
      <c r="Z2628" s="330"/>
      <c r="AA2628" s="343"/>
      <c r="AB2628" s="249"/>
      <c r="AC2628" s="330"/>
      <c r="AD2628" s="343"/>
      <c r="AE2628" s="249"/>
      <c r="AF2628" s="330"/>
      <c r="AG2628" s="343"/>
      <c r="AH2628" s="249"/>
      <c r="AI2628" s="330"/>
      <c r="AJ2628" s="343"/>
      <c r="AK2628" s="249"/>
      <c r="AL2628" s="330"/>
      <c r="AM2628" s="343"/>
      <c r="AN2628" s="249"/>
      <c r="AO2628" s="330"/>
      <c r="AP2628" s="343"/>
      <c r="AQ2628" s="249"/>
      <c r="AR2628" s="330"/>
      <c r="AS2628" s="343"/>
      <c r="AT2628" s="249"/>
      <c r="AU2628" s="330"/>
    </row>
    <row r="2629" spans="2:47">
      <c r="B2629" s="247">
        <f>'Table S2 Compound Identifiers'!C2631</f>
        <v>0</v>
      </c>
      <c r="C2629" s="247">
        <f>COUNTIF($D$6:D2629,"&lt;&gt;"&amp;"")</f>
        <v>2624</v>
      </c>
      <c r="D2629" s="247">
        <f>'Table S2 Compound Identifiers'!B2631</f>
        <v>0</v>
      </c>
      <c r="E2629" s="247"/>
      <c r="F2629" s="248"/>
      <c r="G2629" s="249"/>
      <c r="H2629" s="330"/>
      <c r="I2629" s="328"/>
      <c r="J2629" s="249"/>
      <c r="K2629" s="330"/>
      <c r="L2629" s="250"/>
      <c r="M2629" s="249"/>
      <c r="N2629" s="330"/>
      <c r="O2629" s="250"/>
      <c r="P2629" s="249"/>
      <c r="Q2629" s="330"/>
      <c r="R2629" s="250"/>
      <c r="S2629" s="249"/>
      <c r="T2629" s="330"/>
      <c r="U2629" s="250"/>
      <c r="V2629" s="249"/>
      <c r="W2629" s="330"/>
      <c r="X2629" s="343"/>
      <c r="Y2629" s="249"/>
      <c r="Z2629" s="330"/>
      <c r="AA2629" s="343"/>
      <c r="AB2629" s="249"/>
      <c r="AC2629" s="330"/>
      <c r="AD2629" s="343"/>
      <c r="AE2629" s="249"/>
      <c r="AF2629" s="330"/>
      <c r="AG2629" s="343"/>
      <c r="AH2629" s="249"/>
      <c r="AI2629" s="330"/>
      <c r="AJ2629" s="343"/>
      <c r="AK2629" s="249"/>
      <c r="AL2629" s="330"/>
      <c r="AM2629" s="343"/>
      <c r="AN2629" s="249"/>
      <c r="AO2629" s="330"/>
      <c r="AP2629" s="343"/>
      <c r="AQ2629" s="249"/>
      <c r="AR2629" s="330"/>
      <c r="AS2629" s="343"/>
      <c r="AT2629" s="249"/>
      <c r="AU2629" s="330"/>
    </row>
    <row r="2630" spans="2:47">
      <c r="B2630" s="247">
        <f>'Table S2 Compound Identifiers'!C2632</f>
        <v>0</v>
      </c>
      <c r="C2630" s="247">
        <f>COUNTIF($D$6:D2630,"&lt;&gt;"&amp;"")</f>
        <v>2625</v>
      </c>
      <c r="D2630" s="247">
        <f>'Table S2 Compound Identifiers'!B2632</f>
        <v>0</v>
      </c>
      <c r="E2630" s="247"/>
      <c r="F2630" s="248"/>
      <c r="G2630" s="249"/>
      <c r="H2630" s="330"/>
      <c r="I2630" s="328"/>
      <c r="J2630" s="249"/>
      <c r="K2630" s="330"/>
      <c r="L2630" s="250"/>
      <c r="M2630" s="249"/>
      <c r="N2630" s="330"/>
      <c r="O2630" s="250"/>
      <c r="P2630" s="249"/>
      <c r="Q2630" s="330"/>
      <c r="R2630" s="250"/>
      <c r="S2630" s="249"/>
      <c r="T2630" s="330"/>
      <c r="U2630" s="250"/>
      <c r="V2630" s="249"/>
      <c r="W2630" s="330"/>
      <c r="X2630" s="343"/>
      <c r="Y2630" s="249"/>
      <c r="Z2630" s="330"/>
      <c r="AA2630" s="343"/>
      <c r="AB2630" s="249"/>
      <c r="AC2630" s="330"/>
      <c r="AD2630" s="343"/>
      <c r="AE2630" s="249"/>
      <c r="AF2630" s="330"/>
      <c r="AG2630" s="343"/>
      <c r="AH2630" s="249"/>
      <c r="AI2630" s="330"/>
      <c r="AJ2630" s="343"/>
      <c r="AK2630" s="249"/>
      <c r="AL2630" s="330"/>
      <c r="AM2630" s="343"/>
      <c r="AN2630" s="249"/>
      <c r="AO2630" s="330"/>
      <c r="AP2630" s="343"/>
      <c r="AQ2630" s="249"/>
      <c r="AR2630" s="330"/>
      <c r="AS2630" s="343"/>
      <c r="AT2630" s="249"/>
      <c r="AU2630" s="330"/>
    </row>
    <row r="2631" spans="2:47">
      <c r="B2631" s="247">
        <f>'Table S2 Compound Identifiers'!C2633</f>
        <v>0</v>
      </c>
      <c r="C2631" s="247">
        <f>COUNTIF($D$6:D2631,"&lt;&gt;"&amp;"")</f>
        <v>2626</v>
      </c>
      <c r="D2631" s="247">
        <f>'Table S2 Compound Identifiers'!B2633</f>
        <v>0</v>
      </c>
      <c r="E2631" s="247"/>
      <c r="F2631" s="248"/>
      <c r="G2631" s="249"/>
      <c r="H2631" s="330"/>
      <c r="I2631" s="328"/>
      <c r="J2631" s="249"/>
      <c r="K2631" s="330"/>
      <c r="L2631" s="250"/>
      <c r="M2631" s="249"/>
      <c r="N2631" s="330"/>
      <c r="O2631" s="250"/>
      <c r="P2631" s="249"/>
      <c r="Q2631" s="330"/>
      <c r="R2631" s="250"/>
      <c r="S2631" s="249"/>
      <c r="T2631" s="330"/>
      <c r="U2631" s="250"/>
      <c r="V2631" s="249"/>
      <c r="W2631" s="330"/>
      <c r="X2631" s="343"/>
      <c r="Y2631" s="249"/>
      <c r="Z2631" s="330"/>
      <c r="AA2631" s="343"/>
      <c r="AB2631" s="249"/>
      <c r="AC2631" s="330"/>
      <c r="AD2631" s="343"/>
      <c r="AE2631" s="249"/>
      <c r="AF2631" s="330"/>
      <c r="AG2631" s="343"/>
      <c r="AH2631" s="249"/>
      <c r="AI2631" s="330"/>
      <c r="AJ2631" s="343"/>
      <c r="AK2631" s="249"/>
      <c r="AL2631" s="330"/>
      <c r="AM2631" s="343"/>
      <c r="AN2631" s="249"/>
      <c r="AO2631" s="330"/>
      <c r="AP2631" s="343"/>
      <c r="AQ2631" s="249"/>
      <c r="AR2631" s="330"/>
      <c r="AS2631" s="343"/>
      <c r="AT2631" s="249"/>
      <c r="AU2631" s="330"/>
    </row>
    <row r="2632" spans="2:47">
      <c r="B2632" s="247">
        <f>'Table S2 Compound Identifiers'!C2634</f>
        <v>0</v>
      </c>
      <c r="C2632" s="247">
        <f>COUNTIF($D$6:D2632,"&lt;&gt;"&amp;"")</f>
        <v>2627</v>
      </c>
      <c r="D2632" s="247">
        <f>'Table S2 Compound Identifiers'!B2634</f>
        <v>0</v>
      </c>
      <c r="E2632" s="247"/>
      <c r="F2632" s="248"/>
      <c r="G2632" s="249"/>
      <c r="H2632" s="330"/>
      <c r="I2632" s="328"/>
      <c r="J2632" s="249"/>
      <c r="K2632" s="330"/>
      <c r="L2632" s="250"/>
      <c r="M2632" s="249"/>
      <c r="N2632" s="330"/>
      <c r="O2632" s="250"/>
      <c r="P2632" s="249"/>
      <c r="Q2632" s="330"/>
      <c r="R2632" s="250"/>
      <c r="S2632" s="249"/>
      <c r="T2632" s="330"/>
      <c r="U2632" s="250"/>
      <c r="V2632" s="249"/>
      <c r="W2632" s="330"/>
      <c r="X2632" s="343"/>
      <c r="Y2632" s="249"/>
      <c r="Z2632" s="330"/>
      <c r="AA2632" s="343"/>
      <c r="AB2632" s="249"/>
      <c r="AC2632" s="330"/>
      <c r="AD2632" s="343"/>
      <c r="AE2632" s="249"/>
      <c r="AF2632" s="330"/>
      <c r="AG2632" s="343"/>
      <c r="AH2632" s="249"/>
      <c r="AI2632" s="330"/>
      <c r="AJ2632" s="343"/>
      <c r="AK2632" s="249"/>
      <c r="AL2632" s="330"/>
      <c r="AM2632" s="343"/>
      <c r="AN2632" s="249"/>
      <c r="AO2632" s="330"/>
      <c r="AP2632" s="343"/>
      <c r="AQ2632" s="249"/>
      <c r="AR2632" s="330"/>
      <c r="AS2632" s="343"/>
      <c r="AT2632" s="249"/>
      <c r="AU2632" s="330"/>
    </row>
    <row r="2633" spans="2:47">
      <c r="B2633" s="247">
        <f>'Table S2 Compound Identifiers'!C2635</f>
        <v>0</v>
      </c>
      <c r="C2633" s="247">
        <f>COUNTIF($D$6:D2633,"&lt;&gt;"&amp;"")</f>
        <v>2628</v>
      </c>
      <c r="D2633" s="247">
        <f>'Table S2 Compound Identifiers'!B2635</f>
        <v>0</v>
      </c>
      <c r="E2633" s="247"/>
      <c r="F2633" s="248"/>
      <c r="G2633" s="249"/>
      <c r="H2633" s="330"/>
      <c r="I2633" s="328"/>
      <c r="J2633" s="249"/>
      <c r="K2633" s="330"/>
      <c r="L2633" s="250"/>
      <c r="M2633" s="249"/>
      <c r="N2633" s="330"/>
      <c r="O2633" s="250"/>
      <c r="P2633" s="249"/>
      <c r="Q2633" s="330"/>
      <c r="R2633" s="250"/>
      <c r="S2633" s="249"/>
      <c r="T2633" s="330"/>
      <c r="U2633" s="250"/>
      <c r="V2633" s="249"/>
      <c r="W2633" s="330"/>
      <c r="X2633" s="343"/>
      <c r="Y2633" s="249"/>
      <c r="Z2633" s="330"/>
      <c r="AA2633" s="343"/>
      <c r="AB2633" s="249"/>
      <c r="AC2633" s="330"/>
      <c r="AD2633" s="343"/>
      <c r="AE2633" s="249"/>
      <c r="AF2633" s="330"/>
      <c r="AG2633" s="343"/>
      <c r="AH2633" s="249"/>
      <c r="AI2633" s="330"/>
      <c r="AJ2633" s="343"/>
      <c r="AK2633" s="249"/>
      <c r="AL2633" s="330"/>
      <c r="AM2633" s="343"/>
      <c r="AN2633" s="249"/>
      <c r="AO2633" s="330"/>
      <c r="AP2633" s="343"/>
      <c r="AQ2633" s="249"/>
      <c r="AR2633" s="330"/>
      <c r="AS2633" s="343"/>
      <c r="AT2633" s="249"/>
      <c r="AU2633" s="330"/>
    </row>
    <row r="2634" spans="2:47">
      <c r="B2634" s="247">
        <f>'Table S2 Compound Identifiers'!C2636</f>
        <v>0</v>
      </c>
      <c r="C2634" s="247">
        <f>COUNTIF($D$6:D2634,"&lt;&gt;"&amp;"")</f>
        <v>2629</v>
      </c>
      <c r="D2634" s="247">
        <f>'Table S2 Compound Identifiers'!B2636</f>
        <v>0</v>
      </c>
      <c r="E2634" s="247"/>
      <c r="F2634" s="248"/>
      <c r="G2634" s="249"/>
      <c r="H2634" s="330"/>
      <c r="I2634" s="328"/>
      <c r="J2634" s="249"/>
      <c r="K2634" s="330"/>
      <c r="L2634" s="250"/>
      <c r="M2634" s="249"/>
      <c r="N2634" s="330"/>
      <c r="O2634" s="250"/>
      <c r="P2634" s="249"/>
      <c r="Q2634" s="330"/>
      <c r="R2634" s="250"/>
      <c r="S2634" s="249"/>
      <c r="T2634" s="330"/>
      <c r="U2634" s="250"/>
      <c r="V2634" s="249"/>
      <c r="W2634" s="330"/>
      <c r="X2634" s="343"/>
      <c r="Y2634" s="249"/>
      <c r="Z2634" s="330"/>
      <c r="AA2634" s="343"/>
      <c r="AB2634" s="249"/>
      <c r="AC2634" s="330"/>
      <c r="AD2634" s="343"/>
      <c r="AE2634" s="249"/>
      <c r="AF2634" s="330"/>
      <c r="AG2634" s="343"/>
      <c r="AH2634" s="249"/>
      <c r="AI2634" s="330"/>
      <c r="AJ2634" s="343"/>
      <c r="AK2634" s="249"/>
      <c r="AL2634" s="330"/>
      <c r="AM2634" s="343"/>
      <c r="AN2634" s="249"/>
      <c r="AO2634" s="330"/>
      <c r="AP2634" s="343"/>
      <c r="AQ2634" s="249"/>
      <c r="AR2634" s="330"/>
      <c r="AS2634" s="343"/>
      <c r="AT2634" s="249"/>
      <c r="AU2634" s="330"/>
    </row>
    <row r="2635" spans="2:47">
      <c r="B2635" s="247">
        <f>'Table S2 Compound Identifiers'!C2637</f>
        <v>0</v>
      </c>
      <c r="C2635" s="247">
        <f>COUNTIF($D$6:D2635,"&lt;&gt;"&amp;"")</f>
        <v>2630</v>
      </c>
      <c r="D2635" s="247">
        <f>'Table S2 Compound Identifiers'!B2637</f>
        <v>0</v>
      </c>
      <c r="E2635" s="247"/>
      <c r="F2635" s="248"/>
      <c r="G2635" s="249"/>
      <c r="H2635" s="330"/>
      <c r="I2635" s="328"/>
      <c r="J2635" s="249"/>
      <c r="K2635" s="330"/>
      <c r="L2635" s="250"/>
      <c r="M2635" s="249"/>
      <c r="N2635" s="330"/>
      <c r="O2635" s="250"/>
      <c r="P2635" s="249"/>
      <c r="Q2635" s="330"/>
      <c r="R2635" s="250"/>
      <c r="S2635" s="249"/>
      <c r="T2635" s="330"/>
      <c r="U2635" s="250"/>
      <c r="V2635" s="249"/>
      <c r="W2635" s="330"/>
      <c r="X2635" s="343"/>
      <c r="Y2635" s="249"/>
      <c r="Z2635" s="330"/>
      <c r="AA2635" s="343"/>
      <c r="AB2635" s="249"/>
      <c r="AC2635" s="330"/>
      <c r="AD2635" s="343"/>
      <c r="AE2635" s="249"/>
      <c r="AF2635" s="330"/>
      <c r="AG2635" s="343"/>
      <c r="AH2635" s="249"/>
      <c r="AI2635" s="330"/>
      <c r="AJ2635" s="343"/>
      <c r="AK2635" s="249"/>
      <c r="AL2635" s="330"/>
      <c r="AM2635" s="343"/>
      <c r="AN2635" s="249"/>
      <c r="AO2635" s="330"/>
      <c r="AP2635" s="343"/>
      <c r="AQ2635" s="249"/>
      <c r="AR2635" s="330"/>
      <c r="AS2635" s="343"/>
      <c r="AT2635" s="249"/>
      <c r="AU2635" s="330"/>
    </row>
    <row r="2636" spans="2:47">
      <c r="B2636" s="247">
        <f>'Table S2 Compound Identifiers'!C2638</f>
        <v>0</v>
      </c>
      <c r="C2636" s="247">
        <f>COUNTIF($D$6:D2636,"&lt;&gt;"&amp;"")</f>
        <v>2631</v>
      </c>
      <c r="D2636" s="247">
        <f>'Table S2 Compound Identifiers'!B2638</f>
        <v>0</v>
      </c>
      <c r="E2636" s="247"/>
      <c r="F2636" s="248"/>
      <c r="G2636" s="249"/>
      <c r="H2636" s="330"/>
      <c r="I2636" s="328"/>
      <c r="J2636" s="249"/>
      <c r="K2636" s="330"/>
      <c r="L2636" s="250"/>
      <c r="M2636" s="249"/>
      <c r="N2636" s="330"/>
      <c r="O2636" s="250"/>
      <c r="P2636" s="249"/>
      <c r="Q2636" s="330"/>
      <c r="R2636" s="250"/>
      <c r="S2636" s="249"/>
      <c r="T2636" s="330"/>
      <c r="U2636" s="250"/>
      <c r="V2636" s="249"/>
      <c r="W2636" s="330"/>
      <c r="X2636" s="343"/>
      <c r="Y2636" s="249"/>
      <c r="Z2636" s="330"/>
      <c r="AA2636" s="343"/>
      <c r="AB2636" s="249"/>
      <c r="AC2636" s="330"/>
      <c r="AD2636" s="343"/>
      <c r="AE2636" s="249"/>
      <c r="AF2636" s="330"/>
      <c r="AG2636" s="343"/>
      <c r="AH2636" s="249"/>
      <c r="AI2636" s="330"/>
      <c r="AJ2636" s="343"/>
      <c r="AK2636" s="249"/>
      <c r="AL2636" s="330"/>
      <c r="AM2636" s="343"/>
      <c r="AN2636" s="249"/>
      <c r="AO2636" s="330"/>
      <c r="AP2636" s="343"/>
      <c r="AQ2636" s="249"/>
      <c r="AR2636" s="330"/>
      <c r="AS2636" s="343"/>
      <c r="AT2636" s="249"/>
      <c r="AU2636" s="330"/>
    </row>
    <row r="2637" spans="2:47">
      <c r="B2637" s="247">
        <f>'Table S2 Compound Identifiers'!C2639</f>
        <v>0</v>
      </c>
      <c r="C2637" s="247">
        <f>COUNTIF($D$6:D2637,"&lt;&gt;"&amp;"")</f>
        <v>2632</v>
      </c>
      <c r="D2637" s="247">
        <f>'Table S2 Compound Identifiers'!B2639</f>
        <v>0</v>
      </c>
      <c r="E2637" s="247"/>
      <c r="F2637" s="248"/>
      <c r="G2637" s="249"/>
      <c r="H2637" s="330"/>
      <c r="I2637" s="328"/>
      <c r="J2637" s="249"/>
      <c r="K2637" s="330"/>
      <c r="L2637" s="250"/>
      <c r="M2637" s="249"/>
      <c r="N2637" s="330"/>
      <c r="O2637" s="250"/>
      <c r="P2637" s="249"/>
      <c r="Q2637" s="330"/>
      <c r="R2637" s="250"/>
      <c r="S2637" s="249"/>
      <c r="T2637" s="330"/>
      <c r="U2637" s="250"/>
      <c r="V2637" s="249"/>
      <c r="W2637" s="330"/>
      <c r="X2637" s="343"/>
      <c r="Y2637" s="249"/>
      <c r="Z2637" s="330"/>
      <c r="AA2637" s="343"/>
      <c r="AB2637" s="249"/>
      <c r="AC2637" s="330"/>
      <c r="AD2637" s="343"/>
      <c r="AE2637" s="249"/>
      <c r="AF2637" s="330"/>
      <c r="AG2637" s="343"/>
      <c r="AH2637" s="249"/>
      <c r="AI2637" s="330"/>
      <c r="AJ2637" s="343"/>
      <c r="AK2637" s="249"/>
      <c r="AL2637" s="330"/>
      <c r="AM2637" s="343"/>
      <c r="AN2637" s="249"/>
      <c r="AO2637" s="330"/>
      <c r="AP2637" s="343"/>
      <c r="AQ2637" s="249"/>
      <c r="AR2637" s="330"/>
      <c r="AS2637" s="343"/>
      <c r="AT2637" s="249"/>
      <c r="AU2637" s="330"/>
    </row>
    <row r="2638" spans="2:47">
      <c r="B2638" s="247">
        <f>'Table S2 Compound Identifiers'!C2640</f>
        <v>0</v>
      </c>
      <c r="C2638" s="247">
        <f>COUNTIF($D$6:D2638,"&lt;&gt;"&amp;"")</f>
        <v>2633</v>
      </c>
      <c r="D2638" s="247">
        <f>'Table S2 Compound Identifiers'!B2640</f>
        <v>0</v>
      </c>
      <c r="E2638" s="247"/>
      <c r="F2638" s="248"/>
      <c r="G2638" s="249"/>
      <c r="H2638" s="330"/>
      <c r="I2638" s="328"/>
      <c r="J2638" s="249"/>
      <c r="K2638" s="330"/>
      <c r="L2638" s="250"/>
      <c r="M2638" s="249"/>
      <c r="N2638" s="330"/>
      <c r="O2638" s="250"/>
      <c r="P2638" s="249"/>
      <c r="Q2638" s="330"/>
      <c r="R2638" s="250"/>
      <c r="S2638" s="249"/>
      <c r="T2638" s="330"/>
      <c r="U2638" s="250"/>
      <c r="V2638" s="249"/>
      <c r="W2638" s="330"/>
      <c r="X2638" s="343"/>
      <c r="Y2638" s="249"/>
      <c r="Z2638" s="330"/>
      <c r="AA2638" s="343"/>
      <c r="AB2638" s="249"/>
      <c r="AC2638" s="330"/>
      <c r="AD2638" s="343"/>
      <c r="AE2638" s="249"/>
      <c r="AF2638" s="330"/>
      <c r="AG2638" s="343"/>
      <c r="AH2638" s="249"/>
      <c r="AI2638" s="330"/>
      <c r="AJ2638" s="343"/>
      <c r="AK2638" s="249"/>
      <c r="AL2638" s="330"/>
      <c r="AM2638" s="343"/>
      <c r="AN2638" s="249"/>
      <c r="AO2638" s="330"/>
      <c r="AP2638" s="343"/>
      <c r="AQ2638" s="249"/>
      <c r="AR2638" s="330"/>
      <c r="AS2638" s="343"/>
      <c r="AT2638" s="249"/>
      <c r="AU2638" s="330"/>
    </row>
    <row r="2639" spans="2:47">
      <c r="B2639" s="247">
        <f>'Table S2 Compound Identifiers'!C2641</f>
        <v>0</v>
      </c>
      <c r="C2639" s="247">
        <f>COUNTIF($D$6:D2639,"&lt;&gt;"&amp;"")</f>
        <v>2634</v>
      </c>
      <c r="D2639" s="247">
        <f>'Table S2 Compound Identifiers'!B2641</f>
        <v>0</v>
      </c>
      <c r="E2639" s="247"/>
      <c r="F2639" s="248"/>
      <c r="G2639" s="249"/>
      <c r="H2639" s="330"/>
      <c r="I2639" s="328"/>
      <c r="J2639" s="249"/>
      <c r="K2639" s="330"/>
      <c r="L2639" s="250"/>
      <c r="M2639" s="249"/>
      <c r="N2639" s="330"/>
      <c r="O2639" s="250"/>
      <c r="P2639" s="249"/>
      <c r="Q2639" s="330"/>
      <c r="R2639" s="250"/>
      <c r="S2639" s="249"/>
      <c r="T2639" s="330"/>
      <c r="U2639" s="250"/>
      <c r="V2639" s="249"/>
      <c r="W2639" s="330"/>
      <c r="X2639" s="343"/>
      <c r="Y2639" s="249"/>
      <c r="Z2639" s="330"/>
      <c r="AA2639" s="343"/>
      <c r="AB2639" s="249"/>
      <c r="AC2639" s="330"/>
      <c r="AD2639" s="343"/>
      <c r="AE2639" s="249"/>
      <c r="AF2639" s="330"/>
      <c r="AG2639" s="343"/>
      <c r="AH2639" s="249"/>
      <c r="AI2639" s="330"/>
      <c r="AJ2639" s="343"/>
      <c r="AK2639" s="249"/>
      <c r="AL2639" s="330"/>
      <c r="AM2639" s="343"/>
      <c r="AN2639" s="249"/>
      <c r="AO2639" s="330"/>
      <c r="AP2639" s="343"/>
      <c r="AQ2639" s="249"/>
      <c r="AR2639" s="330"/>
      <c r="AS2639" s="343"/>
      <c r="AT2639" s="249"/>
      <c r="AU2639" s="330"/>
    </row>
    <row r="2640" spans="2:47">
      <c r="B2640" s="247">
        <f>'Table S2 Compound Identifiers'!C2642</f>
        <v>0</v>
      </c>
      <c r="C2640" s="247">
        <f>COUNTIF($D$6:D2640,"&lt;&gt;"&amp;"")</f>
        <v>2635</v>
      </c>
      <c r="D2640" s="247">
        <f>'Table S2 Compound Identifiers'!B2642</f>
        <v>0</v>
      </c>
      <c r="E2640" s="247"/>
      <c r="F2640" s="248"/>
      <c r="G2640" s="249"/>
      <c r="H2640" s="330"/>
      <c r="I2640" s="328"/>
      <c r="J2640" s="249"/>
      <c r="K2640" s="330"/>
      <c r="L2640" s="250"/>
      <c r="M2640" s="249"/>
      <c r="N2640" s="330"/>
      <c r="O2640" s="250"/>
      <c r="P2640" s="249"/>
      <c r="Q2640" s="330"/>
      <c r="R2640" s="250"/>
      <c r="S2640" s="249"/>
      <c r="T2640" s="330"/>
      <c r="U2640" s="250"/>
      <c r="V2640" s="249"/>
      <c r="W2640" s="330"/>
      <c r="X2640" s="343"/>
      <c r="Y2640" s="249"/>
      <c r="Z2640" s="330"/>
      <c r="AA2640" s="343"/>
      <c r="AB2640" s="249"/>
      <c r="AC2640" s="330"/>
      <c r="AD2640" s="343"/>
      <c r="AE2640" s="249"/>
      <c r="AF2640" s="330"/>
      <c r="AG2640" s="343"/>
      <c r="AH2640" s="249"/>
      <c r="AI2640" s="330"/>
      <c r="AJ2640" s="343"/>
      <c r="AK2640" s="249"/>
      <c r="AL2640" s="330"/>
      <c r="AM2640" s="343"/>
      <c r="AN2640" s="249"/>
      <c r="AO2640" s="330"/>
      <c r="AP2640" s="343"/>
      <c r="AQ2640" s="249"/>
      <c r="AR2640" s="330"/>
      <c r="AS2640" s="343"/>
      <c r="AT2640" s="249"/>
      <c r="AU2640" s="330"/>
    </row>
    <row r="2641" spans="2:47">
      <c r="B2641" s="247">
        <f>'Table S2 Compound Identifiers'!C2643</f>
        <v>0</v>
      </c>
      <c r="C2641" s="247">
        <f>COUNTIF($D$6:D2641,"&lt;&gt;"&amp;"")</f>
        <v>2636</v>
      </c>
      <c r="D2641" s="247">
        <f>'Table S2 Compound Identifiers'!B2643</f>
        <v>0</v>
      </c>
      <c r="E2641" s="247"/>
      <c r="F2641" s="248"/>
      <c r="G2641" s="249"/>
      <c r="H2641" s="330"/>
      <c r="I2641" s="328"/>
      <c r="J2641" s="249"/>
      <c r="K2641" s="330"/>
      <c r="L2641" s="250"/>
      <c r="M2641" s="249"/>
      <c r="N2641" s="330"/>
      <c r="O2641" s="250"/>
      <c r="P2641" s="249"/>
      <c r="Q2641" s="330"/>
      <c r="R2641" s="250"/>
      <c r="S2641" s="249"/>
      <c r="T2641" s="330"/>
      <c r="U2641" s="250"/>
      <c r="V2641" s="249"/>
      <c r="W2641" s="330"/>
      <c r="X2641" s="343"/>
      <c r="Y2641" s="249"/>
      <c r="Z2641" s="330"/>
      <c r="AA2641" s="343"/>
      <c r="AB2641" s="249"/>
      <c r="AC2641" s="330"/>
      <c r="AD2641" s="343"/>
      <c r="AE2641" s="249"/>
      <c r="AF2641" s="330"/>
      <c r="AG2641" s="343"/>
      <c r="AH2641" s="249"/>
      <c r="AI2641" s="330"/>
      <c r="AJ2641" s="343"/>
      <c r="AK2641" s="249"/>
      <c r="AL2641" s="330"/>
      <c r="AM2641" s="343"/>
      <c r="AN2641" s="249"/>
      <c r="AO2641" s="330"/>
      <c r="AP2641" s="343"/>
      <c r="AQ2641" s="249"/>
      <c r="AR2641" s="330"/>
      <c r="AS2641" s="343"/>
      <c r="AT2641" s="249"/>
      <c r="AU2641" s="330"/>
    </row>
    <row r="2642" spans="2:47">
      <c r="B2642" s="247">
        <f>'Table S2 Compound Identifiers'!C2644</f>
        <v>0</v>
      </c>
      <c r="C2642" s="247">
        <f>COUNTIF($D$6:D2642,"&lt;&gt;"&amp;"")</f>
        <v>2637</v>
      </c>
      <c r="D2642" s="247">
        <f>'Table S2 Compound Identifiers'!B2644</f>
        <v>0</v>
      </c>
      <c r="E2642" s="247"/>
      <c r="F2642" s="248"/>
      <c r="G2642" s="249"/>
      <c r="H2642" s="330"/>
      <c r="I2642" s="328"/>
      <c r="J2642" s="249"/>
      <c r="K2642" s="330"/>
      <c r="L2642" s="250"/>
      <c r="M2642" s="249"/>
      <c r="N2642" s="330"/>
      <c r="O2642" s="250"/>
      <c r="P2642" s="249"/>
      <c r="Q2642" s="330"/>
      <c r="R2642" s="250"/>
      <c r="S2642" s="249"/>
      <c r="T2642" s="330"/>
      <c r="U2642" s="250"/>
      <c r="V2642" s="249"/>
      <c r="W2642" s="330"/>
      <c r="X2642" s="343"/>
      <c r="Y2642" s="249"/>
      <c r="Z2642" s="330"/>
      <c r="AA2642" s="343"/>
      <c r="AB2642" s="249"/>
      <c r="AC2642" s="330"/>
      <c r="AD2642" s="343"/>
      <c r="AE2642" s="249"/>
      <c r="AF2642" s="330"/>
      <c r="AG2642" s="343"/>
      <c r="AH2642" s="249"/>
      <c r="AI2642" s="330"/>
      <c r="AJ2642" s="343"/>
      <c r="AK2642" s="249"/>
      <c r="AL2642" s="330"/>
      <c r="AM2642" s="343"/>
      <c r="AN2642" s="249"/>
      <c r="AO2642" s="330"/>
      <c r="AP2642" s="343"/>
      <c r="AQ2642" s="249"/>
      <c r="AR2642" s="330"/>
      <c r="AS2642" s="343"/>
      <c r="AT2642" s="249"/>
      <c r="AU2642" s="330"/>
    </row>
    <row r="2643" spans="2:47">
      <c r="B2643" s="247">
        <f>'Table S2 Compound Identifiers'!C2645</f>
        <v>0</v>
      </c>
      <c r="C2643" s="247">
        <f>COUNTIF($D$6:D2643,"&lt;&gt;"&amp;"")</f>
        <v>2638</v>
      </c>
      <c r="D2643" s="247">
        <f>'Table S2 Compound Identifiers'!B2645</f>
        <v>0</v>
      </c>
      <c r="E2643" s="247"/>
      <c r="F2643" s="248"/>
      <c r="G2643" s="249"/>
      <c r="H2643" s="330"/>
      <c r="I2643" s="328"/>
      <c r="J2643" s="249"/>
      <c r="K2643" s="330"/>
      <c r="L2643" s="250"/>
      <c r="M2643" s="249"/>
      <c r="N2643" s="330"/>
      <c r="O2643" s="250"/>
      <c r="P2643" s="249"/>
      <c r="Q2643" s="330"/>
      <c r="R2643" s="250"/>
      <c r="S2643" s="249"/>
      <c r="T2643" s="330"/>
      <c r="U2643" s="250"/>
      <c r="V2643" s="249"/>
      <c r="W2643" s="330"/>
      <c r="X2643" s="343"/>
      <c r="Y2643" s="249"/>
      <c r="Z2643" s="330"/>
      <c r="AA2643" s="343"/>
      <c r="AB2643" s="249"/>
      <c r="AC2643" s="330"/>
      <c r="AD2643" s="343"/>
      <c r="AE2643" s="249"/>
      <c r="AF2643" s="330"/>
      <c r="AG2643" s="343"/>
      <c r="AH2643" s="249"/>
      <c r="AI2643" s="330"/>
      <c r="AJ2643" s="343"/>
      <c r="AK2643" s="249"/>
      <c r="AL2643" s="330"/>
      <c r="AM2643" s="343"/>
      <c r="AN2643" s="249"/>
      <c r="AO2643" s="330"/>
      <c r="AP2643" s="343"/>
      <c r="AQ2643" s="249"/>
      <c r="AR2643" s="330"/>
      <c r="AS2643" s="343"/>
      <c r="AT2643" s="249"/>
      <c r="AU2643" s="330"/>
    </row>
    <row r="2644" spans="2:47">
      <c r="B2644" s="247">
        <f>'Table S2 Compound Identifiers'!C2646</f>
        <v>0</v>
      </c>
      <c r="C2644" s="247">
        <f>COUNTIF($D$6:D2644,"&lt;&gt;"&amp;"")</f>
        <v>2639</v>
      </c>
      <c r="D2644" s="247">
        <f>'Table S2 Compound Identifiers'!B2646</f>
        <v>0</v>
      </c>
      <c r="E2644" s="247"/>
      <c r="F2644" s="248"/>
      <c r="G2644" s="249"/>
      <c r="H2644" s="330"/>
      <c r="I2644" s="328"/>
      <c r="J2644" s="249"/>
      <c r="K2644" s="330"/>
      <c r="L2644" s="250"/>
      <c r="M2644" s="249"/>
      <c r="N2644" s="330"/>
      <c r="O2644" s="250"/>
      <c r="P2644" s="249"/>
      <c r="Q2644" s="330"/>
      <c r="R2644" s="250"/>
      <c r="S2644" s="249"/>
      <c r="T2644" s="330"/>
      <c r="U2644" s="250"/>
      <c r="V2644" s="249"/>
      <c r="W2644" s="330"/>
      <c r="X2644" s="343"/>
      <c r="Y2644" s="249"/>
      <c r="Z2644" s="330"/>
      <c r="AA2644" s="343"/>
      <c r="AB2644" s="249"/>
      <c r="AC2644" s="330"/>
      <c r="AD2644" s="343"/>
      <c r="AE2644" s="249"/>
      <c r="AF2644" s="330"/>
      <c r="AG2644" s="343"/>
      <c r="AH2644" s="249"/>
      <c r="AI2644" s="330"/>
      <c r="AJ2644" s="343"/>
      <c r="AK2644" s="249"/>
      <c r="AL2644" s="330"/>
      <c r="AM2644" s="343"/>
      <c r="AN2644" s="249"/>
      <c r="AO2644" s="330"/>
      <c r="AP2644" s="343"/>
      <c r="AQ2644" s="249"/>
      <c r="AR2644" s="330"/>
      <c r="AS2644" s="343"/>
      <c r="AT2644" s="249"/>
      <c r="AU2644" s="330"/>
    </row>
    <row r="2645" spans="2:47">
      <c r="B2645" s="247">
        <f>'Table S2 Compound Identifiers'!C2647</f>
        <v>0</v>
      </c>
      <c r="C2645" s="247">
        <f>COUNTIF($D$6:D2645,"&lt;&gt;"&amp;"")</f>
        <v>2640</v>
      </c>
      <c r="D2645" s="247">
        <f>'Table S2 Compound Identifiers'!B2647</f>
        <v>0</v>
      </c>
      <c r="E2645" s="247"/>
      <c r="F2645" s="248"/>
      <c r="G2645" s="249"/>
      <c r="H2645" s="330"/>
      <c r="I2645" s="328"/>
      <c r="J2645" s="249"/>
      <c r="K2645" s="330"/>
      <c r="L2645" s="250"/>
      <c r="M2645" s="249"/>
      <c r="N2645" s="330"/>
      <c r="O2645" s="250"/>
      <c r="P2645" s="249"/>
      <c r="Q2645" s="330"/>
      <c r="R2645" s="250"/>
      <c r="S2645" s="249"/>
      <c r="T2645" s="330"/>
      <c r="U2645" s="250"/>
      <c r="V2645" s="249"/>
      <c r="W2645" s="330"/>
      <c r="X2645" s="343"/>
      <c r="Y2645" s="249"/>
      <c r="Z2645" s="330"/>
      <c r="AA2645" s="343"/>
      <c r="AB2645" s="249"/>
      <c r="AC2645" s="330"/>
      <c r="AD2645" s="343"/>
      <c r="AE2645" s="249"/>
      <c r="AF2645" s="330"/>
      <c r="AG2645" s="343"/>
      <c r="AH2645" s="249"/>
      <c r="AI2645" s="330"/>
      <c r="AJ2645" s="343"/>
      <c r="AK2645" s="249"/>
      <c r="AL2645" s="330"/>
      <c r="AM2645" s="343"/>
      <c r="AN2645" s="249"/>
      <c r="AO2645" s="330"/>
      <c r="AP2645" s="343"/>
      <c r="AQ2645" s="249"/>
      <c r="AR2645" s="330"/>
      <c r="AS2645" s="343"/>
      <c r="AT2645" s="249"/>
      <c r="AU2645" s="330"/>
    </row>
    <row r="2646" spans="2:47">
      <c r="B2646" s="247">
        <f>'Table S2 Compound Identifiers'!C2648</f>
        <v>0</v>
      </c>
      <c r="C2646" s="247">
        <f>COUNTIF($D$6:D2646,"&lt;&gt;"&amp;"")</f>
        <v>2641</v>
      </c>
      <c r="D2646" s="247">
        <f>'Table S2 Compound Identifiers'!B2648</f>
        <v>0</v>
      </c>
      <c r="E2646" s="247"/>
      <c r="F2646" s="248"/>
      <c r="G2646" s="249"/>
      <c r="H2646" s="330"/>
      <c r="I2646" s="328"/>
      <c r="J2646" s="249"/>
      <c r="K2646" s="330"/>
      <c r="L2646" s="250"/>
      <c r="M2646" s="249"/>
      <c r="N2646" s="330"/>
      <c r="O2646" s="250"/>
      <c r="P2646" s="249"/>
      <c r="Q2646" s="330"/>
      <c r="R2646" s="250"/>
      <c r="S2646" s="249"/>
      <c r="T2646" s="330"/>
      <c r="U2646" s="250"/>
      <c r="V2646" s="249"/>
      <c r="W2646" s="330"/>
      <c r="X2646" s="343"/>
      <c r="Y2646" s="249"/>
      <c r="Z2646" s="330"/>
      <c r="AA2646" s="343"/>
      <c r="AB2646" s="249"/>
      <c r="AC2646" s="330"/>
      <c r="AD2646" s="343"/>
      <c r="AE2646" s="249"/>
      <c r="AF2646" s="330"/>
      <c r="AG2646" s="343"/>
      <c r="AH2646" s="249"/>
      <c r="AI2646" s="330"/>
      <c r="AJ2646" s="343"/>
      <c r="AK2646" s="249"/>
      <c r="AL2646" s="330"/>
      <c r="AM2646" s="343"/>
      <c r="AN2646" s="249"/>
      <c r="AO2646" s="330"/>
      <c r="AP2646" s="343"/>
      <c r="AQ2646" s="249"/>
      <c r="AR2646" s="330"/>
      <c r="AS2646" s="343"/>
      <c r="AT2646" s="249"/>
      <c r="AU2646" s="330"/>
    </row>
    <row r="2647" spans="2:47">
      <c r="B2647" s="247">
        <f>'Table S2 Compound Identifiers'!C2649</f>
        <v>0</v>
      </c>
      <c r="C2647" s="247">
        <f>COUNTIF($D$6:D2647,"&lt;&gt;"&amp;"")</f>
        <v>2642</v>
      </c>
      <c r="D2647" s="247">
        <f>'Table S2 Compound Identifiers'!B2649</f>
        <v>0</v>
      </c>
      <c r="E2647" s="247"/>
      <c r="F2647" s="248"/>
      <c r="G2647" s="249"/>
      <c r="H2647" s="330"/>
      <c r="I2647" s="328"/>
      <c r="J2647" s="249"/>
      <c r="K2647" s="330"/>
      <c r="L2647" s="250"/>
      <c r="M2647" s="249"/>
      <c r="N2647" s="330"/>
      <c r="O2647" s="250"/>
      <c r="P2647" s="249"/>
      <c r="Q2647" s="330"/>
      <c r="R2647" s="250"/>
      <c r="S2647" s="249"/>
      <c r="T2647" s="330"/>
      <c r="U2647" s="250"/>
      <c r="V2647" s="249"/>
      <c r="W2647" s="330"/>
      <c r="X2647" s="343"/>
      <c r="Y2647" s="249"/>
      <c r="Z2647" s="330"/>
      <c r="AA2647" s="343"/>
      <c r="AB2647" s="249"/>
      <c r="AC2647" s="330"/>
      <c r="AD2647" s="343"/>
      <c r="AE2647" s="249"/>
      <c r="AF2647" s="330"/>
      <c r="AG2647" s="343"/>
      <c r="AH2647" s="249"/>
      <c r="AI2647" s="330"/>
      <c r="AJ2647" s="343"/>
      <c r="AK2647" s="249"/>
      <c r="AL2647" s="330"/>
      <c r="AM2647" s="343"/>
      <c r="AN2647" s="249"/>
      <c r="AO2647" s="330"/>
      <c r="AP2647" s="343"/>
      <c r="AQ2647" s="249"/>
      <c r="AR2647" s="330"/>
      <c r="AS2647" s="343"/>
      <c r="AT2647" s="249"/>
      <c r="AU2647" s="330"/>
    </row>
    <row r="2648" spans="2:47">
      <c r="B2648" s="247">
        <f>'Table S2 Compound Identifiers'!C2650</f>
        <v>0</v>
      </c>
      <c r="C2648" s="247">
        <f>COUNTIF($D$6:D2648,"&lt;&gt;"&amp;"")</f>
        <v>2643</v>
      </c>
      <c r="D2648" s="247">
        <f>'Table S2 Compound Identifiers'!B2650</f>
        <v>0</v>
      </c>
      <c r="E2648" s="247"/>
      <c r="F2648" s="248"/>
      <c r="G2648" s="249"/>
      <c r="H2648" s="330"/>
      <c r="I2648" s="328"/>
      <c r="J2648" s="249"/>
      <c r="K2648" s="330"/>
      <c r="L2648" s="250"/>
      <c r="M2648" s="249"/>
      <c r="N2648" s="330"/>
      <c r="O2648" s="250"/>
      <c r="P2648" s="249"/>
      <c r="Q2648" s="330"/>
      <c r="R2648" s="250"/>
      <c r="S2648" s="249"/>
      <c r="T2648" s="330"/>
      <c r="U2648" s="250"/>
      <c r="V2648" s="249"/>
      <c r="W2648" s="330"/>
      <c r="X2648" s="343"/>
      <c r="Y2648" s="249"/>
      <c r="Z2648" s="330"/>
      <c r="AA2648" s="343"/>
      <c r="AB2648" s="249"/>
      <c r="AC2648" s="330"/>
      <c r="AD2648" s="343"/>
      <c r="AE2648" s="249"/>
      <c r="AF2648" s="330"/>
      <c r="AG2648" s="343"/>
      <c r="AH2648" s="249"/>
      <c r="AI2648" s="330"/>
      <c r="AJ2648" s="343"/>
      <c r="AK2648" s="249"/>
      <c r="AL2648" s="330"/>
      <c r="AM2648" s="343"/>
      <c r="AN2648" s="249"/>
      <c r="AO2648" s="330"/>
      <c r="AP2648" s="343"/>
      <c r="AQ2648" s="249"/>
      <c r="AR2648" s="330"/>
      <c r="AS2648" s="343"/>
      <c r="AT2648" s="249"/>
      <c r="AU2648" s="330"/>
    </row>
    <row r="2649" spans="2:47">
      <c r="B2649" s="247">
        <f>'Table S2 Compound Identifiers'!C2651</f>
        <v>0</v>
      </c>
      <c r="C2649" s="247">
        <f>COUNTIF($D$6:D2649,"&lt;&gt;"&amp;"")</f>
        <v>2644</v>
      </c>
      <c r="D2649" s="247">
        <f>'Table S2 Compound Identifiers'!B2651</f>
        <v>0</v>
      </c>
      <c r="E2649" s="247"/>
      <c r="F2649" s="248"/>
      <c r="G2649" s="249"/>
      <c r="H2649" s="330"/>
      <c r="I2649" s="328"/>
      <c r="J2649" s="249"/>
      <c r="K2649" s="330"/>
      <c r="L2649" s="250"/>
      <c r="M2649" s="249"/>
      <c r="N2649" s="330"/>
      <c r="O2649" s="250"/>
      <c r="P2649" s="249"/>
      <c r="Q2649" s="330"/>
      <c r="R2649" s="250"/>
      <c r="S2649" s="249"/>
      <c r="T2649" s="330"/>
      <c r="U2649" s="250"/>
      <c r="V2649" s="249"/>
      <c r="W2649" s="330"/>
      <c r="X2649" s="343"/>
      <c r="Y2649" s="249"/>
      <c r="Z2649" s="330"/>
      <c r="AA2649" s="343"/>
      <c r="AB2649" s="249"/>
      <c r="AC2649" s="330"/>
      <c r="AD2649" s="343"/>
      <c r="AE2649" s="249"/>
      <c r="AF2649" s="330"/>
      <c r="AG2649" s="343"/>
      <c r="AH2649" s="249"/>
      <c r="AI2649" s="330"/>
      <c r="AJ2649" s="343"/>
      <c r="AK2649" s="249"/>
      <c r="AL2649" s="330"/>
      <c r="AM2649" s="343"/>
      <c r="AN2649" s="249"/>
      <c r="AO2649" s="330"/>
      <c r="AP2649" s="343"/>
      <c r="AQ2649" s="249"/>
      <c r="AR2649" s="330"/>
      <c r="AS2649" s="343"/>
      <c r="AT2649" s="249"/>
      <c r="AU2649" s="330"/>
    </row>
    <row r="2650" spans="2:47">
      <c r="B2650" s="247">
        <f>'Table S2 Compound Identifiers'!C2652</f>
        <v>0</v>
      </c>
      <c r="C2650" s="247">
        <f>COUNTIF($D$6:D2650,"&lt;&gt;"&amp;"")</f>
        <v>2645</v>
      </c>
      <c r="D2650" s="247">
        <f>'Table S2 Compound Identifiers'!B2652</f>
        <v>0</v>
      </c>
      <c r="E2650" s="247"/>
      <c r="F2650" s="248"/>
      <c r="G2650" s="249"/>
      <c r="H2650" s="330"/>
      <c r="I2650" s="328"/>
      <c r="J2650" s="249"/>
      <c r="K2650" s="330"/>
      <c r="L2650" s="250"/>
      <c r="M2650" s="249"/>
      <c r="N2650" s="330"/>
      <c r="O2650" s="250"/>
      <c r="P2650" s="249"/>
      <c r="Q2650" s="330"/>
      <c r="R2650" s="250"/>
      <c r="S2650" s="249"/>
      <c r="T2650" s="330"/>
      <c r="U2650" s="250"/>
      <c r="V2650" s="249"/>
      <c r="W2650" s="330"/>
      <c r="X2650" s="343"/>
      <c r="Y2650" s="249"/>
      <c r="Z2650" s="330"/>
      <c r="AA2650" s="343"/>
      <c r="AB2650" s="249"/>
      <c r="AC2650" s="330"/>
      <c r="AD2650" s="343"/>
      <c r="AE2650" s="249"/>
      <c r="AF2650" s="330"/>
      <c r="AG2650" s="343"/>
      <c r="AH2650" s="249"/>
      <c r="AI2650" s="330"/>
      <c r="AJ2650" s="343"/>
      <c r="AK2650" s="249"/>
      <c r="AL2650" s="330"/>
      <c r="AM2650" s="343"/>
      <c r="AN2650" s="249"/>
      <c r="AO2650" s="330"/>
      <c r="AP2650" s="343"/>
      <c r="AQ2650" s="249"/>
      <c r="AR2650" s="330"/>
      <c r="AS2650" s="343"/>
      <c r="AT2650" s="249"/>
      <c r="AU2650" s="330"/>
    </row>
    <row r="2651" spans="2:47">
      <c r="B2651" s="247">
        <f>'Table S2 Compound Identifiers'!C2653</f>
        <v>0</v>
      </c>
      <c r="C2651" s="247">
        <f>COUNTIF($D$6:D2651,"&lt;&gt;"&amp;"")</f>
        <v>2646</v>
      </c>
      <c r="D2651" s="247">
        <f>'Table S2 Compound Identifiers'!B2653</f>
        <v>0</v>
      </c>
      <c r="E2651" s="247"/>
      <c r="F2651" s="248"/>
      <c r="G2651" s="249"/>
      <c r="H2651" s="330"/>
      <c r="I2651" s="328"/>
      <c r="J2651" s="249"/>
      <c r="K2651" s="330"/>
      <c r="L2651" s="250"/>
      <c r="M2651" s="249"/>
      <c r="N2651" s="330"/>
      <c r="O2651" s="250"/>
      <c r="P2651" s="249"/>
      <c r="Q2651" s="330"/>
      <c r="R2651" s="250"/>
      <c r="S2651" s="249"/>
      <c r="T2651" s="330"/>
      <c r="U2651" s="250"/>
      <c r="V2651" s="249"/>
      <c r="W2651" s="330"/>
      <c r="X2651" s="343"/>
      <c r="Y2651" s="249"/>
      <c r="Z2651" s="330"/>
      <c r="AA2651" s="343"/>
      <c r="AB2651" s="249"/>
      <c r="AC2651" s="330"/>
      <c r="AD2651" s="343"/>
      <c r="AE2651" s="249"/>
      <c r="AF2651" s="330"/>
      <c r="AG2651" s="343"/>
      <c r="AH2651" s="249"/>
      <c r="AI2651" s="330"/>
      <c r="AJ2651" s="343"/>
      <c r="AK2651" s="249"/>
      <c r="AL2651" s="330"/>
      <c r="AM2651" s="343"/>
      <c r="AN2651" s="249"/>
      <c r="AO2651" s="330"/>
      <c r="AP2651" s="343"/>
      <c r="AQ2651" s="249"/>
      <c r="AR2651" s="330"/>
      <c r="AS2651" s="343"/>
      <c r="AT2651" s="249"/>
      <c r="AU2651" s="330"/>
    </row>
    <row r="2652" spans="2:47">
      <c r="B2652" s="247">
        <f>'Table S2 Compound Identifiers'!C2654</f>
        <v>0</v>
      </c>
      <c r="C2652" s="247">
        <f>COUNTIF($D$6:D2652,"&lt;&gt;"&amp;"")</f>
        <v>2647</v>
      </c>
      <c r="D2652" s="432">
        <f>'Table S2 Compound Identifiers'!B2654</f>
        <v>0</v>
      </c>
      <c r="E2652" s="247"/>
      <c r="F2652" s="248"/>
      <c r="G2652" s="249"/>
      <c r="H2652" s="330"/>
      <c r="I2652" s="328"/>
      <c r="J2652" s="249"/>
      <c r="K2652" s="330"/>
      <c r="L2652" s="250"/>
      <c r="M2652" s="249"/>
      <c r="N2652" s="330"/>
      <c r="O2652" s="250"/>
      <c r="P2652" s="249"/>
      <c r="Q2652" s="330"/>
      <c r="R2652" s="250"/>
      <c r="S2652" s="249"/>
      <c r="T2652" s="330"/>
      <c r="U2652" s="250"/>
      <c r="V2652" s="249"/>
      <c r="W2652" s="330"/>
      <c r="X2652" s="343"/>
      <c r="Y2652" s="249"/>
      <c r="Z2652" s="330"/>
      <c r="AA2652" s="343"/>
      <c r="AB2652" s="249"/>
      <c r="AC2652" s="330"/>
      <c r="AD2652" s="343"/>
      <c r="AE2652" s="249"/>
      <c r="AF2652" s="330"/>
      <c r="AG2652" s="343"/>
      <c r="AH2652" s="249"/>
      <c r="AI2652" s="330"/>
      <c r="AJ2652" s="343"/>
      <c r="AK2652" s="249"/>
      <c r="AL2652" s="330"/>
      <c r="AM2652" s="343"/>
      <c r="AN2652" s="249"/>
      <c r="AO2652" s="330"/>
      <c r="AP2652" s="343"/>
      <c r="AQ2652" s="249"/>
      <c r="AR2652" s="330"/>
      <c r="AS2652" s="343"/>
      <c r="AT2652" s="249"/>
      <c r="AU2652" s="330"/>
    </row>
    <row r="2653" spans="2:47">
      <c r="B2653" s="247">
        <f>'Table S2 Compound Identifiers'!C2655</f>
        <v>0</v>
      </c>
      <c r="C2653" s="247">
        <f>COUNTIF($D$6:D2653,"&lt;&gt;"&amp;"")</f>
        <v>2648</v>
      </c>
      <c r="D2653" s="432">
        <f>'Table S2 Compound Identifiers'!B2655</f>
        <v>0</v>
      </c>
      <c r="E2653" s="247"/>
      <c r="F2653" s="248"/>
      <c r="G2653" s="249"/>
      <c r="H2653" s="330"/>
      <c r="I2653" s="328"/>
      <c r="J2653" s="249"/>
      <c r="K2653" s="330"/>
      <c r="L2653" s="250"/>
      <c r="M2653" s="249"/>
      <c r="N2653" s="330"/>
      <c r="O2653" s="250"/>
      <c r="P2653" s="249"/>
      <c r="Q2653" s="330"/>
      <c r="R2653" s="250"/>
      <c r="S2653" s="249"/>
      <c r="T2653" s="330"/>
      <c r="U2653" s="250"/>
      <c r="V2653" s="249"/>
      <c r="W2653" s="330"/>
      <c r="X2653" s="343"/>
      <c r="Y2653" s="249"/>
      <c r="Z2653" s="330"/>
      <c r="AA2653" s="343"/>
      <c r="AB2653" s="249"/>
      <c r="AC2653" s="330"/>
      <c r="AD2653" s="343"/>
      <c r="AE2653" s="249"/>
      <c r="AF2653" s="330"/>
      <c r="AG2653" s="343"/>
      <c r="AH2653" s="249"/>
      <c r="AI2653" s="330"/>
      <c r="AJ2653" s="343"/>
      <c r="AK2653" s="249"/>
      <c r="AL2653" s="330"/>
      <c r="AM2653" s="343"/>
      <c r="AN2653" s="249"/>
      <c r="AO2653" s="330"/>
      <c r="AP2653" s="343"/>
      <c r="AQ2653" s="249"/>
      <c r="AR2653" s="330"/>
      <c r="AS2653" s="343"/>
      <c r="AT2653" s="249"/>
      <c r="AU2653" s="330"/>
    </row>
    <row r="2654" spans="2:47">
      <c r="B2654" s="247">
        <f>'Table S2 Compound Identifiers'!C2656</f>
        <v>0</v>
      </c>
      <c r="C2654" s="247">
        <f>COUNTIF($D$6:D2654,"&lt;&gt;"&amp;"")</f>
        <v>2649</v>
      </c>
      <c r="D2654" s="432">
        <f>'Table S2 Compound Identifiers'!B2656</f>
        <v>0</v>
      </c>
      <c r="E2654" s="247"/>
      <c r="F2654" s="248"/>
      <c r="G2654" s="249"/>
      <c r="H2654" s="330"/>
      <c r="I2654" s="328"/>
      <c r="J2654" s="249"/>
      <c r="K2654" s="330"/>
      <c r="L2654" s="250"/>
      <c r="M2654" s="249"/>
      <c r="N2654" s="330"/>
      <c r="O2654" s="250"/>
      <c r="P2654" s="249"/>
      <c r="Q2654" s="330"/>
      <c r="R2654" s="250"/>
      <c r="S2654" s="249"/>
      <c r="T2654" s="330"/>
      <c r="U2654" s="250"/>
      <c r="V2654" s="249"/>
      <c r="W2654" s="330"/>
      <c r="X2654" s="343"/>
      <c r="Y2654" s="249"/>
      <c r="Z2654" s="330"/>
      <c r="AA2654" s="343"/>
      <c r="AB2654" s="249"/>
      <c r="AC2654" s="330"/>
      <c r="AD2654" s="343"/>
      <c r="AE2654" s="249"/>
      <c r="AF2654" s="330"/>
      <c r="AG2654" s="343"/>
      <c r="AH2654" s="249"/>
      <c r="AI2654" s="330"/>
      <c r="AJ2654" s="343"/>
      <c r="AK2654" s="249"/>
      <c r="AL2654" s="330"/>
      <c r="AM2654" s="343"/>
      <c r="AN2654" s="249"/>
      <c r="AO2654" s="330"/>
      <c r="AP2654" s="343"/>
      <c r="AQ2654" s="249"/>
      <c r="AR2654" s="330"/>
      <c r="AS2654" s="343"/>
      <c r="AT2654" s="249"/>
      <c r="AU2654" s="330"/>
    </row>
    <row r="2655" spans="2:47">
      <c r="B2655" s="247">
        <f>'Table S2 Compound Identifiers'!C2657</f>
        <v>0</v>
      </c>
      <c r="C2655" s="247">
        <f>COUNTIF($D$6:D2655,"&lt;&gt;"&amp;"")</f>
        <v>2650</v>
      </c>
      <c r="D2655" s="432">
        <f>'Table S2 Compound Identifiers'!B2657</f>
        <v>0</v>
      </c>
      <c r="E2655" s="247"/>
      <c r="F2655" s="248"/>
      <c r="G2655" s="249"/>
      <c r="H2655" s="330"/>
      <c r="I2655" s="328"/>
      <c r="J2655" s="249"/>
      <c r="K2655" s="330"/>
      <c r="L2655" s="250"/>
      <c r="M2655" s="249"/>
      <c r="N2655" s="330"/>
      <c r="O2655" s="250"/>
      <c r="P2655" s="249"/>
      <c r="Q2655" s="330"/>
      <c r="R2655" s="250"/>
      <c r="S2655" s="249"/>
      <c r="T2655" s="330"/>
      <c r="U2655" s="250"/>
      <c r="V2655" s="249"/>
      <c r="W2655" s="330"/>
      <c r="X2655" s="343"/>
      <c r="Y2655" s="249"/>
      <c r="Z2655" s="330"/>
      <c r="AA2655" s="343"/>
      <c r="AB2655" s="249"/>
      <c r="AC2655" s="330"/>
      <c r="AD2655" s="343"/>
      <c r="AE2655" s="249"/>
      <c r="AF2655" s="330"/>
      <c r="AG2655" s="343"/>
      <c r="AH2655" s="249"/>
      <c r="AI2655" s="330"/>
      <c r="AJ2655" s="343"/>
      <c r="AK2655" s="249"/>
      <c r="AL2655" s="330"/>
      <c r="AM2655" s="343"/>
      <c r="AN2655" s="249"/>
      <c r="AO2655" s="330"/>
      <c r="AP2655" s="343"/>
      <c r="AQ2655" s="249"/>
      <c r="AR2655" s="330"/>
      <c r="AS2655" s="343"/>
      <c r="AT2655" s="249"/>
      <c r="AU2655" s="330"/>
    </row>
    <row r="2656" spans="2:47">
      <c r="B2656" s="247">
        <f>'Table S2 Compound Identifiers'!C2658</f>
        <v>0</v>
      </c>
      <c r="C2656" s="247">
        <f>COUNTIF($D$6:D2656,"&lt;&gt;"&amp;"")</f>
        <v>2651</v>
      </c>
      <c r="D2656" s="432">
        <f>'Table S2 Compound Identifiers'!B2658</f>
        <v>0</v>
      </c>
      <c r="E2656" s="247"/>
      <c r="F2656" s="248"/>
      <c r="G2656" s="249"/>
      <c r="H2656" s="330"/>
      <c r="I2656" s="328"/>
      <c r="J2656" s="249"/>
      <c r="K2656" s="330"/>
      <c r="L2656" s="250"/>
      <c r="M2656" s="249"/>
      <c r="N2656" s="330"/>
      <c r="O2656" s="250"/>
      <c r="P2656" s="249"/>
      <c r="Q2656" s="330"/>
      <c r="R2656" s="250"/>
      <c r="S2656" s="249"/>
      <c r="T2656" s="330"/>
      <c r="U2656" s="250"/>
      <c r="V2656" s="249"/>
      <c r="W2656" s="330"/>
      <c r="X2656" s="343"/>
      <c r="Y2656" s="249"/>
      <c r="Z2656" s="330"/>
      <c r="AA2656" s="343"/>
      <c r="AB2656" s="249"/>
      <c r="AC2656" s="330"/>
      <c r="AD2656" s="343"/>
      <c r="AE2656" s="249"/>
      <c r="AF2656" s="330"/>
      <c r="AG2656" s="343"/>
      <c r="AH2656" s="249"/>
      <c r="AI2656" s="330"/>
      <c r="AJ2656" s="343"/>
      <c r="AK2656" s="249"/>
      <c r="AL2656" s="330"/>
      <c r="AM2656" s="343"/>
      <c r="AN2656" s="249"/>
      <c r="AO2656" s="330"/>
      <c r="AP2656" s="343"/>
      <c r="AQ2656" s="249"/>
      <c r="AR2656" s="330"/>
      <c r="AS2656" s="343"/>
      <c r="AT2656" s="249"/>
      <c r="AU2656" s="330"/>
    </row>
    <row r="2657" spans="2:47">
      <c r="B2657" s="247">
        <f>'Table S2 Compound Identifiers'!C2659</f>
        <v>0</v>
      </c>
      <c r="C2657" s="247">
        <f>COUNTIF($D$6:D2657,"&lt;&gt;"&amp;"")</f>
        <v>2652</v>
      </c>
      <c r="D2657" s="432">
        <f>'Table S2 Compound Identifiers'!B2659</f>
        <v>0</v>
      </c>
      <c r="E2657" s="247"/>
      <c r="F2657" s="248"/>
      <c r="G2657" s="249"/>
      <c r="H2657" s="330"/>
      <c r="I2657" s="328"/>
      <c r="J2657" s="249"/>
      <c r="K2657" s="330"/>
      <c r="L2657" s="250"/>
      <c r="M2657" s="249"/>
      <c r="N2657" s="330"/>
      <c r="O2657" s="250"/>
      <c r="P2657" s="249"/>
      <c r="Q2657" s="330"/>
      <c r="R2657" s="250"/>
      <c r="S2657" s="249"/>
      <c r="T2657" s="330"/>
      <c r="U2657" s="250"/>
      <c r="V2657" s="249"/>
      <c r="W2657" s="330"/>
      <c r="X2657" s="343"/>
      <c r="Y2657" s="249"/>
      <c r="Z2657" s="330"/>
      <c r="AA2657" s="343"/>
      <c r="AB2657" s="249"/>
      <c r="AC2657" s="330"/>
      <c r="AD2657" s="343"/>
      <c r="AE2657" s="249"/>
      <c r="AF2657" s="330"/>
      <c r="AG2657" s="343"/>
      <c r="AH2657" s="249"/>
      <c r="AI2657" s="330"/>
      <c r="AJ2657" s="343"/>
      <c r="AK2657" s="249"/>
      <c r="AL2657" s="330"/>
      <c r="AM2657" s="343"/>
      <c r="AN2657" s="249"/>
      <c r="AO2657" s="330"/>
      <c r="AP2657" s="343"/>
      <c r="AQ2657" s="249"/>
      <c r="AR2657" s="330"/>
      <c r="AS2657" s="343"/>
      <c r="AT2657" s="249"/>
      <c r="AU2657" s="330"/>
    </row>
    <row r="2658" spans="2:47">
      <c r="B2658" s="247">
        <f>'Table S2 Compound Identifiers'!C2660</f>
        <v>0</v>
      </c>
      <c r="C2658" s="247">
        <f>COUNTIF($D$6:D2658,"&lt;&gt;"&amp;"")</f>
        <v>2653</v>
      </c>
      <c r="D2658" s="432">
        <f>'Table S2 Compound Identifiers'!B2660</f>
        <v>0</v>
      </c>
      <c r="E2658" s="247"/>
      <c r="F2658" s="248"/>
      <c r="G2658" s="249"/>
      <c r="H2658" s="330"/>
      <c r="I2658" s="328"/>
      <c r="J2658" s="249"/>
      <c r="K2658" s="330"/>
      <c r="L2658" s="250"/>
      <c r="M2658" s="249"/>
      <c r="N2658" s="330"/>
      <c r="O2658" s="250"/>
      <c r="P2658" s="249"/>
      <c r="Q2658" s="330"/>
      <c r="R2658" s="250"/>
      <c r="S2658" s="249"/>
      <c r="T2658" s="330"/>
      <c r="U2658" s="250"/>
      <c r="V2658" s="249"/>
      <c r="W2658" s="330"/>
      <c r="X2658" s="343"/>
      <c r="Y2658" s="249"/>
      <c r="Z2658" s="330"/>
      <c r="AA2658" s="343"/>
      <c r="AB2658" s="249"/>
      <c r="AC2658" s="330"/>
      <c r="AD2658" s="343"/>
      <c r="AE2658" s="249"/>
      <c r="AF2658" s="330"/>
      <c r="AG2658" s="343"/>
      <c r="AH2658" s="249"/>
      <c r="AI2658" s="330"/>
      <c r="AJ2658" s="343"/>
      <c r="AK2658" s="249"/>
      <c r="AL2658" s="330"/>
      <c r="AM2658" s="343"/>
      <c r="AN2658" s="249"/>
      <c r="AO2658" s="330"/>
      <c r="AP2658" s="343"/>
      <c r="AQ2658" s="249"/>
      <c r="AR2658" s="330"/>
      <c r="AS2658" s="343"/>
      <c r="AT2658" s="249"/>
      <c r="AU2658" s="330"/>
    </row>
    <row r="2659" spans="2:47">
      <c r="B2659" s="247">
        <f>'Table S2 Compound Identifiers'!C2661</f>
        <v>0</v>
      </c>
      <c r="C2659" s="247">
        <f>COUNTIF($D$6:D2659,"&lt;&gt;"&amp;"")</f>
        <v>2654</v>
      </c>
      <c r="D2659" s="432">
        <f>'Table S2 Compound Identifiers'!B2661</f>
        <v>0</v>
      </c>
      <c r="E2659" s="247"/>
      <c r="F2659" s="248"/>
      <c r="G2659" s="249"/>
      <c r="H2659" s="330"/>
      <c r="I2659" s="328"/>
      <c r="J2659" s="249"/>
      <c r="K2659" s="330"/>
      <c r="L2659" s="250"/>
      <c r="M2659" s="249"/>
      <c r="N2659" s="330"/>
      <c r="O2659" s="250"/>
      <c r="P2659" s="249"/>
      <c r="Q2659" s="330"/>
      <c r="R2659" s="250"/>
      <c r="S2659" s="249"/>
      <c r="T2659" s="330"/>
      <c r="U2659" s="250"/>
      <c r="V2659" s="249"/>
      <c r="W2659" s="330"/>
      <c r="X2659" s="343"/>
      <c r="Y2659" s="249"/>
      <c r="Z2659" s="330"/>
      <c r="AA2659" s="343"/>
      <c r="AB2659" s="249"/>
      <c r="AC2659" s="330"/>
      <c r="AD2659" s="343"/>
      <c r="AE2659" s="249"/>
      <c r="AF2659" s="330"/>
      <c r="AG2659" s="343"/>
      <c r="AH2659" s="249"/>
      <c r="AI2659" s="330"/>
      <c r="AJ2659" s="343"/>
      <c r="AK2659" s="249"/>
      <c r="AL2659" s="330"/>
      <c r="AM2659" s="343"/>
      <c r="AN2659" s="249"/>
      <c r="AO2659" s="330"/>
      <c r="AP2659" s="343"/>
      <c r="AQ2659" s="249"/>
      <c r="AR2659" s="330"/>
      <c r="AS2659" s="343"/>
      <c r="AT2659" s="249"/>
      <c r="AU2659" s="330"/>
    </row>
    <row r="2660" spans="2:47">
      <c r="B2660" s="247">
        <f>'Table S2 Compound Identifiers'!C2662</f>
        <v>0</v>
      </c>
      <c r="C2660" s="247">
        <f>COUNTIF($D$6:D2660,"&lt;&gt;"&amp;"")</f>
        <v>2655</v>
      </c>
      <c r="D2660" s="432">
        <f>'Table S2 Compound Identifiers'!B2662</f>
        <v>0</v>
      </c>
      <c r="E2660" s="247"/>
      <c r="F2660" s="248"/>
      <c r="G2660" s="249"/>
      <c r="H2660" s="330"/>
      <c r="I2660" s="328"/>
      <c r="J2660" s="249"/>
      <c r="K2660" s="330"/>
      <c r="L2660" s="250"/>
      <c r="M2660" s="249"/>
      <c r="N2660" s="330"/>
      <c r="O2660" s="250"/>
      <c r="P2660" s="249"/>
      <c r="Q2660" s="330"/>
      <c r="R2660" s="250"/>
      <c r="S2660" s="249"/>
      <c r="T2660" s="330"/>
      <c r="U2660" s="250"/>
      <c r="V2660" s="249"/>
      <c r="W2660" s="330"/>
      <c r="X2660" s="343"/>
      <c r="Y2660" s="249"/>
      <c r="Z2660" s="330"/>
      <c r="AA2660" s="343"/>
      <c r="AB2660" s="249"/>
      <c r="AC2660" s="330"/>
      <c r="AD2660" s="343"/>
      <c r="AE2660" s="249"/>
      <c r="AF2660" s="330"/>
      <c r="AG2660" s="343"/>
      <c r="AH2660" s="249"/>
      <c r="AI2660" s="330"/>
      <c r="AJ2660" s="343"/>
      <c r="AK2660" s="249"/>
      <c r="AL2660" s="330"/>
      <c r="AM2660" s="343"/>
      <c r="AN2660" s="249"/>
      <c r="AO2660" s="330"/>
      <c r="AP2660" s="343"/>
      <c r="AQ2660" s="249"/>
      <c r="AR2660" s="330"/>
      <c r="AS2660" s="343"/>
      <c r="AT2660" s="249"/>
      <c r="AU2660" s="330"/>
    </row>
    <row r="2661" spans="2:47">
      <c r="B2661" s="247">
        <f>'Table S2 Compound Identifiers'!C2663</f>
        <v>0</v>
      </c>
      <c r="C2661" s="247">
        <f>COUNTIF($D$6:D2661,"&lt;&gt;"&amp;"")</f>
        <v>2656</v>
      </c>
      <c r="D2661" s="432">
        <f>'Table S2 Compound Identifiers'!B2663</f>
        <v>0</v>
      </c>
      <c r="E2661" s="247"/>
      <c r="F2661" s="248"/>
      <c r="G2661" s="249"/>
      <c r="H2661" s="330"/>
      <c r="I2661" s="328"/>
      <c r="J2661" s="249"/>
      <c r="K2661" s="330"/>
      <c r="L2661" s="250"/>
      <c r="M2661" s="249"/>
      <c r="N2661" s="330"/>
      <c r="O2661" s="250"/>
      <c r="P2661" s="249"/>
      <c r="Q2661" s="330"/>
      <c r="R2661" s="250"/>
      <c r="S2661" s="249"/>
      <c r="T2661" s="330"/>
      <c r="U2661" s="250"/>
      <c r="V2661" s="249"/>
      <c r="W2661" s="330"/>
      <c r="X2661" s="343"/>
      <c r="Y2661" s="249"/>
      <c r="Z2661" s="330"/>
      <c r="AA2661" s="343"/>
      <c r="AB2661" s="249"/>
      <c r="AC2661" s="330"/>
      <c r="AD2661" s="343"/>
      <c r="AE2661" s="249"/>
      <c r="AF2661" s="330"/>
      <c r="AG2661" s="343"/>
      <c r="AH2661" s="249"/>
      <c r="AI2661" s="330"/>
      <c r="AJ2661" s="343"/>
      <c r="AK2661" s="249"/>
      <c r="AL2661" s="330"/>
      <c r="AM2661" s="343"/>
      <c r="AN2661" s="249"/>
      <c r="AO2661" s="330"/>
      <c r="AP2661" s="343"/>
      <c r="AQ2661" s="249"/>
      <c r="AR2661" s="330"/>
      <c r="AS2661" s="343"/>
      <c r="AT2661" s="249"/>
      <c r="AU2661" s="330"/>
    </row>
    <row r="2662" spans="2:47">
      <c r="B2662" s="247">
        <f>'Table S2 Compound Identifiers'!C2664</f>
        <v>0</v>
      </c>
      <c r="C2662" s="247">
        <f>COUNTIF($D$6:D2662,"&lt;&gt;"&amp;"")</f>
        <v>2657</v>
      </c>
      <c r="D2662" s="247">
        <f>'Table S2 Compound Identifiers'!B2664</f>
        <v>0</v>
      </c>
      <c r="E2662" s="247"/>
      <c r="F2662" s="248"/>
      <c r="G2662" s="249"/>
      <c r="H2662" s="330"/>
      <c r="I2662" s="328"/>
      <c r="J2662" s="249"/>
      <c r="K2662" s="330"/>
      <c r="L2662" s="250"/>
      <c r="M2662" s="249"/>
      <c r="N2662" s="330"/>
      <c r="O2662" s="250"/>
      <c r="P2662" s="249"/>
      <c r="Q2662" s="330"/>
      <c r="R2662" s="250"/>
      <c r="S2662" s="249"/>
      <c r="T2662" s="330"/>
      <c r="U2662" s="250"/>
      <c r="V2662" s="249"/>
      <c r="W2662" s="330"/>
      <c r="X2662" s="343"/>
      <c r="Y2662" s="249"/>
      <c r="Z2662" s="330"/>
      <c r="AA2662" s="343"/>
      <c r="AB2662" s="249"/>
      <c r="AC2662" s="330"/>
      <c r="AD2662" s="343"/>
      <c r="AE2662" s="249"/>
      <c r="AF2662" s="330"/>
      <c r="AG2662" s="343"/>
      <c r="AH2662" s="249"/>
      <c r="AI2662" s="330"/>
      <c r="AJ2662" s="343"/>
      <c r="AK2662" s="249"/>
      <c r="AL2662" s="330"/>
      <c r="AM2662" s="343"/>
      <c r="AN2662" s="249"/>
      <c r="AO2662" s="330"/>
      <c r="AP2662" s="343"/>
      <c r="AQ2662" s="249"/>
      <c r="AR2662" s="330"/>
      <c r="AS2662" s="343"/>
      <c r="AT2662" s="249"/>
      <c r="AU2662" s="330"/>
    </row>
    <row r="2663" spans="2:47">
      <c r="B2663" s="247">
        <f>'Table S2 Compound Identifiers'!C2665</f>
        <v>0</v>
      </c>
      <c r="C2663" s="247">
        <f>COUNTIF($D$6:D2663,"&lt;&gt;"&amp;"")</f>
        <v>2658</v>
      </c>
      <c r="D2663" s="247">
        <f>'Table S2 Compound Identifiers'!B2665</f>
        <v>0</v>
      </c>
      <c r="E2663" s="247"/>
      <c r="F2663" s="248"/>
      <c r="G2663" s="249"/>
      <c r="H2663" s="330"/>
      <c r="I2663" s="328"/>
      <c r="J2663" s="249"/>
      <c r="K2663" s="330"/>
      <c r="L2663" s="250"/>
      <c r="M2663" s="249"/>
      <c r="N2663" s="330"/>
      <c r="O2663" s="250"/>
      <c r="P2663" s="249"/>
      <c r="Q2663" s="330"/>
      <c r="R2663" s="250"/>
      <c r="S2663" s="249"/>
      <c r="T2663" s="330"/>
      <c r="U2663" s="250"/>
      <c r="V2663" s="249"/>
      <c r="W2663" s="330"/>
      <c r="X2663" s="343"/>
      <c r="Y2663" s="249"/>
      <c r="Z2663" s="330"/>
      <c r="AA2663" s="343"/>
      <c r="AB2663" s="249"/>
      <c r="AC2663" s="330"/>
      <c r="AD2663" s="343"/>
      <c r="AE2663" s="249"/>
      <c r="AF2663" s="330"/>
      <c r="AG2663" s="343"/>
      <c r="AH2663" s="249"/>
      <c r="AI2663" s="330"/>
      <c r="AJ2663" s="343"/>
      <c r="AK2663" s="249"/>
      <c r="AL2663" s="330"/>
      <c r="AM2663" s="343"/>
      <c r="AN2663" s="249"/>
      <c r="AO2663" s="330"/>
      <c r="AP2663" s="343"/>
      <c r="AQ2663" s="249"/>
      <c r="AR2663" s="330"/>
      <c r="AS2663" s="343"/>
      <c r="AT2663" s="249"/>
      <c r="AU2663" s="330"/>
    </row>
    <row r="2664" spans="2:47">
      <c r="B2664" s="247">
        <f>'Table S2 Compound Identifiers'!C2666</f>
        <v>0</v>
      </c>
      <c r="C2664" s="247">
        <f>COUNTIF($D$6:D2664,"&lt;&gt;"&amp;"")</f>
        <v>2659</v>
      </c>
      <c r="D2664" s="247">
        <f>'Table S2 Compound Identifiers'!B2666</f>
        <v>0</v>
      </c>
      <c r="E2664" s="247"/>
      <c r="F2664" s="248"/>
      <c r="G2664" s="249"/>
      <c r="H2664" s="330"/>
      <c r="I2664" s="328"/>
      <c r="J2664" s="249"/>
      <c r="K2664" s="330"/>
      <c r="L2664" s="250"/>
      <c r="M2664" s="249"/>
      <c r="N2664" s="330"/>
      <c r="O2664" s="250"/>
      <c r="P2664" s="249"/>
      <c r="Q2664" s="330"/>
      <c r="R2664" s="250"/>
      <c r="S2664" s="249"/>
      <c r="T2664" s="330"/>
      <c r="U2664" s="250"/>
      <c r="V2664" s="249"/>
      <c r="W2664" s="330"/>
      <c r="X2664" s="343"/>
      <c r="Y2664" s="249"/>
      <c r="Z2664" s="330"/>
      <c r="AA2664" s="343"/>
      <c r="AB2664" s="249"/>
      <c r="AC2664" s="330"/>
      <c r="AD2664" s="343"/>
      <c r="AE2664" s="249"/>
      <c r="AF2664" s="330"/>
      <c r="AG2664" s="343"/>
      <c r="AH2664" s="249"/>
      <c r="AI2664" s="330"/>
      <c r="AJ2664" s="343"/>
      <c r="AK2664" s="249"/>
      <c r="AL2664" s="330"/>
      <c r="AM2664" s="343"/>
      <c r="AN2664" s="249"/>
      <c r="AO2664" s="330"/>
      <c r="AP2664" s="343"/>
      <c r="AQ2664" s="249"/>
      <c r="AR2664" s="330"/>
      <c r="AS2664" s="343"/>
      <c r="AT2664" s="249"/>
      <c r="AU2664" s="330"/>
    </row>
    <row r="2665" spans="2:47">
      <c r="B2665" s="247">
        <f>'Table S2 Compound Identifiers'!C2667</f>
        <v>0</v>
      </c>
      <c r="C2665" s="247">
        <f>COUNTIF($D$6:D2665,"&lt;&gt;"&amp;"")</f>
        <v>2660</v>
      </c>
      <c r="D2665" s="247">
        <f>'Table S2 Compound Identifiers'!B2667</f>
        <v>0</v>
      </c>
      <c r="E2665" s="247"/>
      <c r="F2665" s="248"/>
      <c r="G2665" s="249"/>
      <c r="H2665" s="330"/>
      <c r="I2665" s="328"/>
      <c r="J2665" s="249"/>
      <c r="K2665" s="330"/>
      <c r="L2665" s="250"/>
      <c r="M2665" s="249"/>
      <c r="N2665" s="330"/>
      <c r="O2665" s="250"/>
      <c r="P2665" s="249"/>
      <c r="Q2665" s="330"/>
      <c r="R2665" s="250"/>
      <c r="S2665" s="249"/>
      <c r="T2665" s="330"/>
      <c r="U2665" s="250"/>
      <c r="V2665" s="249"/>
      <c r="W2665" s="330"/>
      <c r="X2665" s="343"/>
      <c r="Y2665" s="249"/>
      <c r="Z2665" s="330"/>
      <c r="AA2665" s="343"/>
      <c r="AB2665" s="249"/>
      <c r="AC2665" s="330"/>
      <c r="AD2665" s="343"/>
      <c r="AE2665" s="249"/>
      <c r="AF2665" s="330"/>
      <c r="AG2665" s="343"/>
      <c r="AH2665" s="249"/>
      <c r="AI2665" s="330"/>
      <c r="AJ2665" s="343"/>
      <c r="AK2665" s="249"/>
      <c r="AL2665" s="330"/>
      <c r="AM2665" s="343"/>
      <c r="AN2665" s="249"/>
      <c r="AO2665" s="330"/>
      <c r="AP2665" s="343"/>
      <c r="AQ2665" s="249"/>
      <c r="AR2665" s="330"/>
      <c r="AS2665" s="343"/>
      <c r="AT2665" s="249"/>
      <c r="AU2665" s="330"/>
    </row>
    <row r="2666" spans="2:47">
      <c r="B2666" s="247">
        <f>'Table S2 Compound Identifiers'!C2668</f>
        <v>0</v>
      </c>
      <c r="C2666" s="247">
        <f>COUNTIF($D$6:D2666,"&lt;&gt;"&amp;"")</f>
        <v>2661</v>
      </c>
      <c r="D2666" s="247">
        <f>'Table S2 Compound Identifiers'!B2668</f>
        <v>0</v>
      </c>
      <c r="E2666" s="247"/>
      <c r="F2666" s="248"/>
      <c r="G2666" s="249"/>
      <c r="H2666" s="330"/>
      <c r="I2666" s="328"/>
      <c r="J2666" s="249"/>
      <c r="K2666" s="330"/>
      <c r="L2666" s="250"/>
      <c r="M2666" s="249"/>
      <c r="N2666" s="330"/>
      <c r="O2666" s="250"/>
      <c r="P2666" s="249"/>
      <c r="Q2666" s="330"/>
      <c r="R2666" s="250"/>
      <c r="S2666" s="249"/>
      <c r="T2666" s="330"/>
      <c r="U2666" s="250"/>
      <c r="V2666" s="249"/>
      <c r="W2666" s="330"/>
      <c r="X2666" s="343"/>
      <c r="Y2666" s="249"/>
      <c r="Z2666" s="330"/>
      <c r="AA2666" s="343"/>
      <c r="AB2666" s="249"/>
      <c r="AC2666" s="330"/>
      <c r="AD2666" s="343"/>
      <c r="AE2666" s="249"/>
      <c r="AF2666" s="330"/>
      <c r="AG2666" s="343"/>
      <c r="AH2666" s="249"/>
      <c r="AI2666" s="330"/>
      <c r="AJ2666" s="343"/>
      <c r="AK2666" s="249"/>
      <c r="AL2666" s="330"/>
      <c r="AM2666" s="343"/>
      <c r="AN2666" s="249"/>
      <c r="AO2666" s="330"/>
      <c r="AP2666" s="343"/>
      <c r="AQ2666" s="249"/>
      <c r="AR2666" s="330"/>
      <c r="AS2666" s="343"/>
      <c r="AT2666" s="249"/>
      <c r="AU2666" s="330"/>
    </row>
    <row r="2667" spans="2:47">
      <c r="B2667" s="247">
        <f>'Table S2 Compound Identifiers'!C2669</f>
        <v>0</v>
      </c>
      <c r="C2667" s="247">
        <f>COUNTIF($D$6:D2667,"&lt;&gt;"&amp;"")</f>
        <v>2662</v>
      </c>
      <c r="D2667" s="247">
        <f>'Table S2 Compound Identifiers'!B2669</f>
        <v>0</v>
      </c>
      <c r="E2667" s="247"/>
      <c r="F2667" s="248"/>
      <c r="G2667" s="249"/>
      <c r="H2667" s="330"/>
      <c r="I2667" s="328"/>
      <c r="J2667" s="249"/>
      <c r="K2667" s="330"/>
      <c r="L2667" s="250"/>
      <c r="M2667" s="249"/>
      <c r="N2667" s="330"/>
      <c r="O2667" s="250"/>
      <c r="P2667" s="249"/>
      <c r="Q2667" s="330"/>
      <c r="R2667" s="250"/>
      <c r="S2667" s="249"/>
      <c r="T2667" s="330"/>
      <c r="U2667" s="250"/>
      <c r="V2667" s="249"/>
      <c r="W2667" s="330"/>
      <c r="X2667" s="343"/>
      <c r="Y2667" s="249"/>
      <c r="Z2667" s="330"/>
      <c r="AA2667" s="343"/>
      <c r="AB2667" s="249"/>
      <c r="AC2667" s="330"/>
      <c r="AD2667" s="343"/>
      <c r="AE2667" s="249"/>
      <c r="AF2667" s="330"/>
      <c r="AG2667" s="343"/>
      <c r="AH2667" s="249"/>
      <c r="AI2667" s="330"/>
      <c r="AJ2667" s="343"/>
      <c r="AK2667" s="249"/>
      <c r="AL2667" s="330"/>
      <c r="AM2667" s="343"/>
      <c r="AN2667" s="249"/>
      <c r="AO2667" s="330"/>
      <c r="AP2667" s="343"/>
      <c r="AQ2667" s="249"/>
      <c r="AR2667" s="330"/>
      <c r="AS2667" s="343"/>
      <c r="AT2667" s="249"/>
      <c r="AU2667" s="330"/>
    </row>
    <row r="2668" spans="2:47">
      <c r="B2668" s="247">
        <f>'Table S2 Compound Identifiers'!C2670</f>
        <v>0</v>
      </c>
      <c r="C2668" s="247">
        <f>COUNTIF($D$6:D2668,"&lt;&gt;"&amp;"")</f>
        <v>2663</v>
      </c>
      <c r="D2668" s="247">
        <f>'Table S2 Compound Identifiers'!B2670</f>
        <v>0</v>
      </c>
      <c r="E2668" s="247"/>
      <c r="F2668" s="248"/>
      <c r="G2668" s="249"/>
      <c r="H2668" s="330"/>
      <c r="I2668" s="328"/>
      <c r="J2668" s="249"/>
      <c r="K2668" s="330"/>
      <c r="L2668" s="250"/>
      <c r="M2668" s="249"/>
      <c r="N2668" s="330"/>
      <c r="O2668" s="251"/>
      <c r="P2668" s="252"/>
      <c r="Q2668" s="330"/>
      <c r="R2668" s="251"/>
      <c r="S2668" s="252"/>
      <c r="T2668" s="330"/>
      <c r="U2668" s="251"/>
      <c r="V2668" s="252"/>
      <c r="W2668" s="330"/>
      <c r="X2668" s="343"/>
      <c r="Y2668" s="249"/>
      <c r="Z2668" s="330"/>
      <c r="AA2668" s="343"/>
      <c r="AB2668" s="249"/>
      <c r="AC2668" s="330"/>
      <c r="AD2668" s="343"/>
      <c r="AE2668" s="249"/>
      <c r="AF2668" s="330"/>
      <c r="AG2668" s="343"/>
      <c r="AH2668" s="249"/>
      <c r="AI2668" s="330"/>
      <c r="AJ2668" s="343"/>
      <c r="AK2668" s="249"/>
      <c r="AL2668" s="330"/>
      <c r="AM2668" s="343"/>
      <c r="AN2668" s="249"/>
      <c r="AO2668" s="330"/>
      <c r="AP2668" s="343"/>
      <c r="AQ2668" s="249"/>
      <c r="AR2668" s="330"/>
      <c r="AS2668" s="343"/>
      <c r="AT2668" s="249"/>
      <c r="AU2668" s="330"/>
    </row>
    <row r="2669" spans="2:47">
      <c r="B2669" s="247">
        <f>'Table S2 Compound Identifiers'!C2671</f>
        <v>0</v>
      </c>
      <c r="C2669" s="253">
        <f>COUNTIF($D$6:D2669,"&lt;&gt;"&amp;"")</f>
        <v>2664</v>
      </c>
      <c r="D2669" s="253">
        <f>'Table S2 Compound Identifiers'!B2671</f>
        <v>0</v>
      </c>
      <c r="E2669" s="253"/>
      <c r="F2669" s="254"/>
      <c r="G2669" s="252"/>
      <c r="H2669" s="330"/>
      <c r="I2669" s="333"/>
      <c r="J2669" s="252"/>
      <c r="K2669" s="330"/>
      <c r="L2669" s="251"/>
      <c r="M2669" s="252"/>
      <c r="N2669" s="330"/>
      <c r="O2669" s="251"/>
      <c r="P2669" s="252"/>
      <c r="Q2669" s="330"/>
      <c r="R2669" s="251"/>
      <c r="S2669" s="252"/>
      <c r="T2669" s="330"/>
      <c r="U2669" s="251"/>
      <c r="V2669" s="252"/>
      <c r="W2669" s="330"/>
      <c r="X2669" s="343"/>
      <c r="Y2669" s="249"/>
      <c r="Z2669" s="330"/>
      <c r="AA2669" s="343"/>
      <c r="AB2669" s="249"/>
      <c r="AC2669" s="330"/>
      <c r="AD2669" s="343"/>
      <c r="AE2669" s="249"/>
      <c r="AF2669" s="330"/>
      <c r="AG2669" s="343"/>
      <c r="AH2669" s="249"/>
      <c r="AI2669" s="330"/>
      <c r="AJ2669" s="343"/>
      <c r="AK2669" s="249"/>
      <c r="AL2669" s="330"/>
      <c r="AM2669" s="343"/>
      <c r="AN2669" s="249"/>
      <c r="AO2669" s="330"/>
      <c r="AP2669" s="343"/>
      <c r="AQ2669" s="249"/>
      <c r="AR2669" s="330"/>
      <c r="AS2669" s="343"/>
      <c r="AT2669" s="249"/>
      <c r="AU2669" s="330"/>
    </row>
    <row r="2670" spans="2:47">
      <c r="B2670" s="247">
        <f>'Table S2 Compound Identifiers'!C2672</f>
        <v>0</v>
      </c>
      <c r="C2670" s="247">
        <f>COUNTIF($D$6:D2670,"&lt;&gt;"&amp;"")</f>
        <v>2665</v>
      </c>
      <c r="D2670" s="247">
        <f>'Table S2 Compound Identifiers'!B2672</f>
        <v>0</v>
      </c>
      <c r="E2670" s="247"/>
      <c r="F2670" s="248"/>
      <c r="G2670" s="250"/>
      <c r="H2670" s="330"/>
      <c r="I2670" s="343"/>
      <c r="J2670" s="249"/>
      <c r="K2670" s="327"/>
      <c r="L2670" s="343"/>
      <c r="M2670" s="249"/>
      <c r="N2670" s="327"/>
      <c r="O2670" s="343"/>
      <c r="P2670" s="249"/>
      <c r="Q2670" s="327"/>
      <c r="R2670" s="343"/>
      <c r="S2670" s="249"/>
      <c r="T2670" s="327"/>
      <c r="U2670" s="343"/>
      <c r="V2670" s="249"/>
      <c r="W2670" s="327"/>
      <c r="X2670" s="343"/>
      <c r="Y2670" s="249"/>
      <c r="Z2670" s="327"/>
      <c r="AA2670" s="343"/>
      <c r="AB2670" s="249"/>
      <c r="AC2670" s="343"/>
      <c r="AD2670" s="343"/>
      <c r="AE2670" s="249"/>
      <c r="AF2670" s="249"/>
      <c r="AG2670" s="343"/>
      <c r="AH2670" s="249"/>
      <c r="AI2670" s="343"/>
      <c r="AJ2670" s="343"/>
      <c r="AK2670" s="249"/>
      <c r="AL2670" s="249"/>
      <c r="AM2670" s="343"/>
      <c r="AN2670" s="249"/>
      <c r="AO2670" s="343"/>
      <c r="AP2670" s="343"/>
      <c r="AQ2670" s="249"/>
      <c r="AR2670" s="249"/>
      <c r="AS2670" s="343"/>
      <c r="AT2670" s="249"/>
      <c r="AU2670" s="343"/>
    </row>
    <row r="2671" spans="2:47">
      <c r="B2671" s="247">
        <f>'Table S2 Compound Identifiers'!C2673</f>
        <v>0</v>
      </c>
      <c r="C2671" s="247">
        <f>COUNTIF($D$6:D2671,"&lt;&gt;"&amp;"")</f>
        <v>2666</v>
      </c>
      <c r="D2671" s="247">
        <f>'Table S2 Compound Identifiers'!B2673</f>
        <v>0</v>
      </c>
      <c r="E2671" s="247"/>
      <c r="F2671" s="248"/>
      <c r="G2671" s="249"/>
      <c r="H2671" s="330"/>
      <c r="I2671" s="332"/>
      <c r="J2671" s="330"/>
      <c r="K2671" s="330"/>
      <c r="L2671" s="330"/>
      <c r="M2671" s="330"/>
      <c r="N2671" s="330"/>
      <c r="O2671" s="330"/>
      <c r="P2671" s="330"/>
      <c r="Q2671" s="330"/>
      <c r="R2671" s="330"/>
      <c r="S2671" s="330"/>
      <c r="T2671" s="330"/>
      <c r="U2671" s="330"/>
      <c r="V2671" s="330"/>
      <c r="W2671" s="330"/>
      <c r="X2671" s="343"/>
      <c r="Y2671" s="249"/>
      <c r="Z2671" s="330"/>
      <c r="AA2671" s="343"/>
      <c r="AB2671" s="249"/>
      <c r="AC2671" s="330"/>
      <c r="AD2671" s="343"/>
      <c r="AE2671" s="249"/>
      <c r="AF2671" s="330"/>
      <c r="AG2671" s="343"/>
      <c r="AH2671" s="249"/>
      <c r="AI2671" s="330"/>
      <c r="AJ2671" s="343"/>
      <c r="AK2671" s="249"/>
      <c r="AL2671" s="330"/>
      <c r="AM2671" s="343"/>
      <c r="AN2671" s="249"/>
      <c r="AO2671" s="330"/>
      <c r="AP2671" s="343"/>
      <c r="AQ2671" s="249"/>
      <c r="AR2671" s="330"/>
      <c r="AS2671" s="343"/>
      <c r="AT2671" s="249"/>
      <c r="AU2671" s="330"/>
    </row>
    <row r="2672" spans="2:47">
      <c r="B2672" s="247">
        <f>'Table S2 Compound Identifiers'!C2674</f>
        <v>0</v>
      </c>
      <c r="C2672" s="247">
        <f>COUNTIF($D$6:D2672,"&lt;&gt;"&amp;"")</f>
        <v>2667</v>
      </c>
      <c r="D2672" s="247">
        <f>'Table S2 Compound Identifiers'!B2674</f>
        <v>0</v>
      </c>
      <c r="E2672" s="247"/>
      <c r="F2672" s="248"/>
      <c r="G2672" s="249"/>
      <c r="H2672" s="330"/>
      <c r="I2672" s="332"/>
      <c r="J2672" s="330"/>
      <c r="K2672" s="330"/>
      <c r="L2672" s="330"/>
      <c r="M2672" s="330"/>
      <c r="N2672" s="330"/>
      <c r="O2672" s="330"/>
      <c r="P2672" s="330"/>
      <c r="Q2672" s="330"/>
      <c r="R2672" s="330"/>
      <c r="S2672" s="330"/>
      <c r="T2672" s="330"/>
      <c r="U2672" s="330"/>
      <c r="V2672" s="330"/>
      <c r="W2672" s="330"/>
      <c r="X2672" s="343"/>
      <c r="Y2672" s="249"/>
      <c r="Z2672" s="330"/>
      <c r="AA2672" s="343"/>
      <c r="AB2672" s="249"/>
      <c r="AC2672" s="330"/>
      <c r="AD2672" s="343"/>
      <c r="AE2672" s="249"/>
      <c r="AF2672" s="330"/>
      <c r="AG2672" s="343"/>
      <c r="AH2672" s="249"/>
      <c r="AI2672" s="330"/>
      <c r="AJ2672" s="343"/>
      <c r="AK2672" s="249"/>
      <c r="AL2672" s="330"/>
      <c r="AM2672" s="343"/>
      <c r="AN2672" s="249"/>
      <c r="AO2672" s="330"/>
      <c r="AP2672" s="343"/>
      <c r="AQ2672" s="249"/>
      <c r="AR2672" s="330"/>
      <c r="AS2672" s="343"/>
      <c r="AT2672" s="249"/>
      <c r="AU2672" s="330"/>
    </row>
    <row r="2673" spans="2:47">
      <c r="B2673" s="247">
        <f>'Table S2 Compound Identifiers'!C2675</f>
        <v>0</v>
      </c>
      <c r="C2673" s="247">
        <f>COUNTIF($D$6:D2673,"&lt;&gt;"&amp;"")</f>
        <v>2668</v>
      </c>
      <c r="D2673" s="247">
        <f>'Table S2 Compound Identifiers'!B2675</f>
        <v>0</v>
      </c>
      <c r="E2673" s="247"/>
      <c r="F2673" s="248"/>
      <c r="G2673" s="249"/>
      <c r="H2673" s="330"/>
      <c r="I2673" s="332"/>
      <c r="J2673" s="330"/>
      <c r="K2673" s="330"/>
      <c r="L2673" s="330"/>
      <c r="M2673" s="330"/>
      <c r="N2673" s="330"/>
      <c r="O2673" s="330"/>
      <c r="P2673" s="330"/>
      <c r="Q2673" s="330"/>
      <c r="R2673" s="330"/>
      <c r="S2673" s="330"/>
      <c r="T2673" s="330"/>
      <c r="U2673" s="330"/>
      <c r="V2673" s="330"/>
      <c r="W2673" s="330"/>
      <c r="X2673" s="343"/>
      <c r="Y2673" s="249"/>
      <c r="Z2673" s="330"/>
      <c r="AA2673" s="343"/>
      <c r="AB2673" s="249"/>
      <c r="AC2673" s="330"/>
      <c r="AD2673" s="343"/>
      <c r="AE2673" s="249"/>
      <c r="AF2673" s="330"/>
      <c r="AG2673" s="343"/>
      <c r="AH2673" s="249"/>
      <c r="AI2673" s="330"/>
      <c r="AJ2673" s="343"/>
      <c r="AK2673" s="249"/>
      <c r="AL2673" s="330"/>
      <c r="AM2673" s="343"/>
      <c r="AN2673" s="249"/>
      <c r="AO2673" s="330"/>
      <c r="AP2673" s="343"/>
      <c r="AQ2673" s="249"/>
      <c r="AR2673" s="330"/>
      <c r="AS2673" s="343"/>
      <c r="AT2673" s="249"/>
      <c r="AU2673" s="330"/>
    </row>
    <row r="2674" spans="2:47">
      <c r="B2674" s="247">
        <f>'Table S2 Compound Identifiers'!C2676</f>
        <v>0</v>
      </c>
      <c r="C2674" s="247">
        <f>COUNTIF($D$6:D2674,"&lt;&gt;"&amp;"")</f>
        <v>2669</v>
      </c>
      <c r="D2674" s="247">
        <f>'Table S2 Compound Identifiers'!B2676</f>
        <v>0</v>
      </c>
      <c r="E2674" s="247"/>
      <c r="F2674" s="248"/>
      <c r="G2674" s="249"/>
      <c r="H2674" s="330"/>
      <c r="I2674" s="328"/>
      <c r="J2674" s="249"/>
      <c r="K2674" s="330"/>
      <c r="L2674" s="250"/>
      <c r="M2674" s="249"/>
      <c r="N2674" s="330"/>
      <c r="O2674" s="250"/>
      <c r="P2674" s="249"/>
      <c r="Q2674" s="330"/>
      <c r="R2674" s="250"/>
      <c r="S2674" s="249"/>
      <c r="T2674" s="330"/>
      <c r="U2674" s="250"/>
      <c r="V2674" s="249"/>
      <c r="W2674" s="330"/>
      <c r="X2674" s="343"/>
      <c r="Y2674" s="249"/>
      <c r="Z2674" s="330"/>
      <c r="AA2674" s="343"/>
      <c r="AB2674" s="249"/>
      <c r="AC2674" s="330"/>
      <c r="AD2674" s="343"/>
      <c r="AE2674" s="249"/>
      <c r="AF2674" s="330"/>
      <c r="AG2674" s="343"/>
      <c r="AH2674" s="249"/>
      <c r="AI2674" s="330"/>
      <c r="AJ2674" s="343"/>
      <c r="AK2674" s="249"/>
      <c r="AL2674" s="330"/>
      <c r="AM2674" s="343"/>
      <c r="AN2674" s="249"/>
      <c r="AO2674" s="330"/>
      <c r="AP2674" s="343"/>
      <c r="AQ2674" s="249"/>
      <c r="AR2674" s="330"/>
      <c r="AS2674" s="343"/>
      <c r="AT2674" s="249"/>
      <c r="AU2674" s="330"/>
    </row>
    <row r="2675" spans="2:47">
      <c r="B2675" s="247">
        <f>'Table S2 Compound Identifiers'!C2677</f>
        <v>0</v>
      </c>
      <c r="C2675" s="247">
        <f>COUNTIF($D$6:D2675,"&lt;&gt;"&amp;"")</f>
        <v>2670</v>
      </c>
      <c r="D2675" s="247">
        <f>'Table S2 Compound Identifiers'!B2677</f>
        <v>0</v>
      </c>
      <c r="E2675" s="247"/>
      <c r="F2675" s="248"/>
      <c r="G2675" s="249"/>
      <c r="H2675" s="330"/>
      <c r="I2675" s="328"/>
      <c r="J2675" s="249"/>
      <c r="K2675" s="330"/>
      <c r="L2675" s="250"/>
      <c r="M2675" s="249"/>
      <c r="N2675" s="330"/>
      <c r="O2675" s="250"/>
      <c r="P2675" s="249"/>
      <c r="Q2675" s="330"/>
      <c r="R2675" s="250"/>
      <c r="S2675" s="249"/>
      <c r="T2675" s="330"/>
      <c r="U2675" s="250"/>
      <c r="V2675" s="249"/>
      <c r="W2675" s="330"/>
      <c r="X2675" s="343"/>
      <c r="Y2675" s="249"/>
      <c r="Z2675" s="330"/>
      <c r="AA2675" s="343"/>
      <c r="AB2675" s="249"/>
      <c r="AC2675" s="330"/>
      <c r="AD2675" s="343"/>
      <c r="AE2675" s="249"/>
      <c r="AF2675" s="330"/>
      <c r="AG2675" s="343"/>
      <c r="AH2675" s="249"/>
      <c r="AI2675" s="330"/>
      <c r="AJ2675" s="343"/>
      <c r="AK2675" s="249"/>
      <c r="AL2675" s="330"/>
      <c r="AM2675" s="343"/>
      <c r="AN2675" s="249"/>
      <c r="AO2675" s="330"/>
      <c r="AP2675" s="343"/>
      <c r="AQ2675" s="249"/>
      <c r="AR2675" s="330"/>
      <c r="AS2675" s="343"/>
      <c r="AT2675" s="249"/>
      <c r="AU2675" s="330"/>
    </row>
    <row r="2676" spans="2:47">
      <c r="B2676" s="247">
        <f>'Table S2 Compound Identifiers'!C2678</f>
        <v>0</v>
      </c>
      <c r="C2676" s="247">
        <f>COUNTIF($D$6:D2676,"&lt;&gt;"&amp;"")</f>
        <v>2671</v>
      </c>
      <c r="D2676" s="247">
        <f>'Table S2 Compound Identifiers'!B2678</f>
        <v>0</v>
      </c>
      <c r="E2676" s="247"/>
      <c r="F2676" s="248"/>
      <c r="G2676" s="249"/>
      <c r="H2676" s="330"/>
      <c r="I2676" s="328"/>
      <c r="J2676" s="249"/>
      <c r="K2676" s="330"/>
      <c r="L2676" s="250"/>
      <c r="M2676" s="249"/>
      <c r="N2676" s="330"/>
      <c r="O2676" s="250"/>
      <c r="P2676" s="249"/>
      <c r="Q2676" s="330"/>
      <c r="R2676" s="250"/>
      <c r="S2676" s="249"/>
      <c r="T2676" s="330"/>
      <c r="U2676" s="250"/>
      <c r="V2676" s="249"/>
      <c r="W2676" s="330"/>
      <c r="X2676" s="343"/>
      <c r="Y2676" s="249"/>
      <c r="Z2676" s="330"/>
      <c r="AA2676" s="343"/>
      <c r="AB2676" s="249"/>
      <c r="AC2676" s="330"/>
      <c r="AD2676" s="343"/>
      <c r="AE2676" s="249"/>
      <c r="AF2676" s="330"/>
      <c r="AG2676" s="343"/>
      <c r="AH2676" s="249"/>
      <c r="AI2676" s="330"/>
      <c r="AJ2676" s="343"/>
      <c r="AK2676" s="249"/>
      <c r="AL2676" s="330"/>
      <c r="AM2676" s="343"/>
      <c r="AN2676" s="249"/>
      <c r="AO2676" s="330"/>
      <c r="AP2676" s="343"/>
      <c r="AQ2676" s="249"/>
      <c r="AR2676" s="330"/>
      <c r="AS2676" s="343"/>
      <c r="AT2676" s="249"/>
      <c r="AU2676" s="330"/>
    </row>
    <row r="2677" spans="2:47">
      <c r="B2677" s="247">
        <f>'Table S2 Compound Identifiers'!C2679</f>
        <v>0</v>
      </c>
      <c r="C2677" s="247">
        <f>COUNTIF($D$6:D2677,"&lt;&gt;"&amp;"")</f>
        <v>2672</v>
      </c>
      <c r="D2677" s="247">
        <f>'Table S2 Compound Identifiers'!B2679</f>
        <v>0</v>
      </c>
      <c r="E2677" s="247"/>
      <c r="F2677" s="248"/>
      <c r="G2677" s="249"/>
      <c r="H2677" s="330"/>
      <c r="I2677" s="328"/>
      <c r="J2677" s="249"/>
      <c r="K2677" s="330"/>
      <c r="L2677" s="250"/>
      <c r="M2677" s="249"/>
      <c r="N2677" s="330"/>
      <c r="O2677" s="250"/>
      <c r="P2677" s="249"/>
      <c r="Q2677" s="330"/>
      <c r="R2677" s="250"/>
      <c r="S2677" s="249"/>
      <c r="T2677" s="330"/>
      <c r="U2677" s="250"/>
      <c r="V2677" s="249"/>
      <c r="W2677" s="330"/>
      <c r="X2677" s="343"/>
      <c r="Y2677" s="249"/>
      <c r="Z2677" s="330"/>
      <c r="AA2677" s="343"/>
      <c r="AB2677" s="249"/>
      <c r="AC2677" s="330"/>
      <c r="AD2677" s="343"/>
      <c r="AE2677" s="249"/>
      <c r="AF2677" s="330"/>
      <c r="AG2677" s="343"/>
      <c r="AH2677" s="249"/>
      <c r="AI2677" s="330"/>
      <c r="AJ2677" s="343"/>
      <c r="AK2677" s="249"/>
      <c r="AL2677" s="330"/>
      <c r="AM2677" s="343"/>
      <c r="AN2677" s="249"/>
      <c r="AO2677" s="330"/>
      <c r="AP2677" s="343"/>
      <c r="AQ2677" s="249"/>
      <c r="AR2677" s="330"/>
      <c r="AS2677" s="343"/>
      <c r="AT2677" s="249"/>
      <c r="AU2677" s="330"/>
    </row>
    <row r="2678" spans="2:47">
      <c r="B2678" s="247">
        <f>'Table S2 Compound Identifiers'!C2680</f>
        <v>0</v>
      </c>
      <c r="C2678" s="247">
        <f>COUNTIF($D$6:D2678,"&lt;&gt;"&amp;"")</f>
        <v>2673</v>
      </c>
      <c r="D2678" s="247">
        <f>'Table S2 Compound Identifiers'!B2680</f>
        <v>0</v>
      </c>
      <c r="E2678" s="247"/>
      <c r="F2678" s="248"/>
      <c r="G2678" s="249"/>
      <c r="H2678" s="330"/>
      <c r="I2678" s="328"/>
      <c r="J2678" s="249"/>
      <c r="K2678" s="330"/>
      <c r="L2678" s="250"/>
      <c r="M2678" s="249"/>
      <c r="N2678" s="330"/>
      <c r="O2678" s="250"/>
      <c r="P2678" s="249"/>
      <c r="Q2678" s="330"/>
      <c r="R2678" s="250"/>
      <c r="S2678" s="249"/>
      <c r="T2678" s="330"/>
      <c r="U2678" s="250"/>
      <c r="V2678" s="249"/>
      <c r="W2678" s="330"/>
      <c r="X2678" s="343"/>
      <c r="Y2678" s="249"/>
      <c r="Z2678" s="330"/>
      <c r="AA2678" s="343"/>
      <c r="AB2678" s="249"/>
      <c r="AC2678" s="330"/>
      <c r="AD2678" s="343"/>
      <c r="AE2678" s="249"/>
      <c r="AF2678" s="330"/>
      <c r="AG2678" s="343"/>
      <c r="AH2678" s="249"/>
      <c r="AI2678" s="330"/>
      <c r="AJ2678" s="343"/>
      <c r="AK2678" s="249"/>
      <c r="AL2678" s="330"/>
      <c r="AM2678" s="343"/>
      <c r="AN2678" s="249"/>
      <c r="AO2678" s="330"/>
      <c r="AP2678" s="343"/>
      <c r="AQ2678" s="249"/>
      <c r="AR2678" s="330"/>
      <c r="AS2678" s="343"/>
      <c r="AT2678" s="249"/>
      <c r="AU2678" s="330"/>
    </row>
    <row r="2679" spans="2:47">
      <c r="B2679" s="247">
        <f>'Table S2 Compound Identifiers'!C2681</f>
        <v>0</v>
      </c>
      <c r="C2679" s="247">
        <f>COUNTIF($D$6:D2679,"&lt;&gt;"&amp;"")</f>
        <v>2674</v>
      </c>
      <c r="D2679" s="247">
        <f>'Table S2 Compound Identifiers'!B2681</f>
        <v>0</v>
      </c>
      <c r="E2679" s="247"/>
      <c r="F2679" s="248"/>
      <c r="G2679" s="249"/>
      <c r="H2679" s="330"/>
      <c r="I2679" s="328"/>
      <c r="J2679" s="249"/>
      <c r="K2679" s="330"/>
      <c r="L2679" s="250"/>
      <c r="M2679" s="249"/>
      <c r="N2679" s="330"/>
      <c r="O2679" s="250"/>
      <c r="P2679" s="249"/>
      <c r="Q2679" s="330"/>
      <c r="R2679" s="250"/>
      <c r="S2679" s="249"/>
      <c r="T2679" s="330"/>
      <c r="U2679" s="250"/>
      <c r="V2679" s="249"/>
      <c r="W2679" s="330"/>
      <c r="X2679" s="343"/>
      <c r="Y2679" s="249"/>
      <c r="Z2679" s="330"/>
      <c r="AA2679" s="343"/>
      <c r="AB2679" s="249"/>
      <c r="AC2679" s="330"/>
      <c r="AD2679" s="343"/>
      <c r="AE2679" s="249"/>
      <c r="AF2679" s="330"/>
      <c r="AG2679" s="343"/>
      <c r="AH2679" s="249"/>
      <c r="AI2679" s="330"/>
      <c r="AJ2679" s="343"/>
      <c r="AK2679" s="249"/>
      <c r="AL2679" s="330"/>
      <c r="AM2679" s="343"/>
      <c r="AN2679" s="249"/>
      <c r="AO2679" s="330"/>
      <c r="AP2679" s="343"/>
      <c r="AQ2679" s="249"/>
      <c r="AR2679" s="330"/>
      <c r="AS2679" s="343"/>
      <c r="AT2679" s="249"/>
      <c r="AU2679" s="330"/>
    </row>
    <row r="2680" spans="2:47">
      <c r="B2680" s="247">
        <f>'Table S2 Compound Identifiers'!C2682</f>
        <v>0</v>
      </c>
      <c r="C2680" s="247">
        <f>COUNTIF($D$6:D2680,"&lt;&gt;"&amp;"")</f>
        <v>2675</v>
      </c>
      <c r="D2680" s="247">
        <f>'Table S2 Compound Identifiers'!B2682</f>
        <v>0</v>
      </c>
      <c r="E2680" s="247"/>
      <c r="F2680" s="248"/>
      <c r="G2680" s="249"/>
      <c r="H2680" s="330"/>
      <c r="I2680" s="328"/>
      <c r="J2680" s="249"/>
      <c r="K2680" s="330"/>
      <c r="L2680" s="250"/>
      <c r="M2680" s="249"/>
      <c r="N2680" s="330"/>
      <c r="O2680" s="250"/>
      <c r="P2680" s="249"/>
      <c r="Q2680" s="330"/>
      <c r="R2680" s="250"/>
      <c r="S2680" s="249"/>
      <c r="T2680" s="330"/>
      <c r="U2680" s="250"/>
      <c r="V2680" s="249"/>
      <c r="W2680" s="330"/>
      <c r="X2680" s="343"/>
      <c r="Y2680" s="249"/>
      <c r="Z2680" s="330"/>
      <c r="AA2680" s="343"/>
      <c r="AB2680" s="249"/>
      <c r="AC2680" s="330"/>
      <c r="AD2680" s="343"/>
      <c r="AE2680" s="249"/>
      <c r="AF2680" s="330"/>
      <c r="AG2680" s="343"/>
      <c r="AH2680" s="249"/>
      <c r="AI2680" s="330"/>
      <c r="AJ2680" s="343"/>
      <c r="AK2680" s="249"/>
      <c r="AL2680" s="330"/>
      <c r="AM2680" s="343"/>
      <c r="AN2680" s="249"/>
      <c r="AO2680" s="330"/>
      <c r="AP2680" s="343"/>
      <c r="AQ2680" s="249"/>
      <c r="AR2680" s="330"/>
      <c r="AS2680" s="343"/>
      <c r="AT2680" s="249"/>
      <c r="AU2680" s="330"/>
    </row>
    <row r="2681" spans="2:47">
      <c r="B2681" s="247">
        <f>'Table S2 Compound Identifiers'!C2683</f>
        <v>0</v>
      </c>
      <c r="C2681" s="247">
        <f>COUNTIF($D$6:D2681,"&lt;&gt;"&amp;"")</f>
        <v>2676</v>
      </c>
      <c r="D2681" s="247">
        <f>'Table S2 Compound Identifiers'!B2683</f>
        <v>0</v>
      </c>
      <c r="E2681" s="247"/>
      <c r="F2681" s="248"/>
      <c r="G2681" s="249"/>
      <c r="H2681" s="330"/>
      <c r="I2681" s="328"/>
      <c r="J2681" s="249"/>
      <c r="K2681" s="330"/>
      <c r="L2681" s="250"/>
      <c r="M2681" s="249"/>
      <c r="N2681" s="330"/>
      <c r="O2681" s="250"/>
      <c r="P2681" s="249"/>
      <c r="Q2681" s="330"/>
      <c r="R2681" s="250"/>
      <c r="S2681" s="249"/>
      <c r="T2681" s="330"/>
      <c r="U2681" s="250"/>
      <c r="V2681" s="249"/>
      <c r="W2681" s="330"/>
      <c r="X2681" s="343"/>
      <c r="Y2681" s="249"/>
      <c r="Z2681" s="330"/>
      <c r="AA2681" s="343"/>
      <c r="AB2681" s="249"/>
      <c r="AC2681" s="330"/>
      <c r="AD2681" s="343"/>
      <c r="AE2681" s="249"/>
      <c r="AF2681" s="330"/>
      <c r="AG2681" s="343"/>
      <c r="AH2681" s="249"/>
      <c r="AI2681" s="330"/>
      <c r="AJ2681" s="343"/>
      <c r="AK2681" s="249"/>
      <c r="AL2681" s="330"/>
      <c r="AM2681" s="343"/>
      <c r="AN2681" s="249"/>
      <c r="AO2681" s="330"/>
      <c r="AP2681" s="343"/>
      <c r="AQ2681" s="249"/>
      <c r="AR2681" s="330"/>
      <c r="AS2681" s="343"/>
      <c r="AT2681" s="249"/>
      <c r="AU2681" s="330"/>
    </row>
    <row r="2682" spans="2:47">
      <c r="B2682" s="247">
        <f>'Table S2 Compound Identifiers'!C2684</f>
        <v>0</v>
      </c>
      <c r="C2682" s="247">
        <f>COUNTIF($D$6:D2682,"&lt;&gt;"&amp;"")</f>
        <v>2677</v>
      </c>
      <c r="D2682" s="247">
        <f>'Table S2 Compound Identifiers'!B2684</f>
        <v>0</v>
      </c>
      <c r="E2682" s="247"/>
      <c r="F2682" s="248"/>
      <c r="G2682" s="249"/>
      <c r="H2682" s="330"/>
      <c r="I2682" s="328"/>
      <c r="J2682" s="249"/>
      <c r="K2682" s="330"/>
      <c r="L2682" s="250"/>
      <c r="M2682" s="249"/>
      <c r="N2682" s="330"/>
      <c r="O2682" s="250"/>
      <c r="P2682" s="249"/>
      <c r="Q2682" s="330"/>
      <c r="R2682" s="250"/>
      <c r="S2682" s="249"/>
      <c r="T2682" s="330"/>
      <c r="U2682" s="250"/>
      <c r="V2682" s="249"/>
      <c r="W2682" s="330"/>
      <c r="X2682" s="343"/>
      <c r="Y2682" s="249"/>
      <c r="Z2682" s="330"/>
      <c r="AA2682" s="343"/>
      <c r="AB2682" s="249"/>
      <c r="AC2682" s="330"/>
      <c r="AD2682" s="343"/>
      <c r="AE2682" s="249"/>
      <c r="AF2682" s="330"/>
      <c r="AG2682" s="343"/>
      <c r="AH2682" s="249"/>
      <c r="AI2682" s="330"/>
      <c r="AJ2682" s="343"/>
      <c r="AK2682" s="249"/>
      <c r="AL2682" s="330"/>
      <c r="AM2682" s="343"/>
      <c r="AN2682" s="249"/>
      <c r="AO2682" s="330"/>
      <c r="AP2682" s="343"/>
      <c r="AQ2682" s="249"/>
      <c r="AR2682" s="330"/>
      <c r="AS2682" s="343"/>
      <c r="AT2682" s="249"/>
      <c r="AU2682" s="330"/>
    </row>
    <row r="2683" spans="2:47">
      <c r="B2683" s="247">
        <f>'Table S2 Compound Identifiers'!C2685</f>
        <v>0</v>
      </c>
      <c r="C2683" s="247">
        <f>COUNTIF($D$6:D2683,"&lt;&gt;"&amp;"")</f>
        <v>2678</v>
      </c>
      <c r="D2683" s="247">
        <f>'Table S2 Compound Identifiers'!B2685</f>
        <v>0</v>
      </c>
      <c r="E2683" s="247"/>
      <c r="F2683" s="248"/>
      <c r="G2683" s="249"/>
      <c r="H2683" s="330"/>
      <c r="I2683" s="328"/>
      <c r="J2683" s="249"/>
      <c r="K2683" s="330"/>
      <c r="L2683" s="250"/>
      <c r="M2683" s="249"/>
      <c r="N2683" s="330"/>
      <c r="O2683" s="250"/>
      <c r="P2683" s="249"/>
      <c r="Q2683" s="330"/>
      <c r="R2683" s="250"/>
      <c r="S2683" s="249"/>
      <c r="T2683" s="330"/>
      <c r="U2683" s="250"/>
      <c r="V2683" s="249"/>
      <c r="W2683" s="330"/>
      <c r="X2683" s="343"/>
      <c r="Y2683" s="249"/>
      <c r="Z2683" s="330"/>
      <c r="AA2683" s="343"/>
      <c r="AB2683" s="249"/>
      <c r="AC2683" s="330"/>
      <c r="AD2683" s="343"/>
      <c r="AE2683" s="249"/>
      <c r="AF2683" s="330"/>
      <c r="AG2683" s="343"/>
      <c r="AH2683" s="249"/>
      <c r="AI2683" s="330"/>
      <c r="AJ2683" s="343"/>
      <c r="AK2683" s="249"/>
      <c r="AL2683" s="330"/>
      <c r="AM2683" s="343"/>
      <c r="AN2683" s="249"/>
      <c r="AO2683" s="330"/>
      <c r="AP2683" s="343"/>
      <c r="AQ2683" s="249"/>
      <c r="AR2683" s="330"/>
      <c r="AS2683" s="343"/>
      <c r="AT2683" s="249"/>
      <c r="AU2683" s="330"/>
    </row>
    <row r="2684" spans="2:47">
      <c r="B2684" s="247">
        <f>'Table S2 Compound Identifiers'!C2686</f>
        <v>0</v>
      </c>
      <c r="C2684" s="247">
        <f>COUNTIF($D$6:D2684,"&lt;&gt;"&amp;"")</f>
        <v>2679</v>
      </c>
      <c r="D2684" s="247">
        <f>'Table S2 Compound Identifiers'!B2686</f>
        <v>0</v>
      </c>
      <c r="E2684" s="247"/>
      <c r="F2684" s="248"/>
      <c r="G2684" s="249"/>
      <c r="H2684" s="330"/>
      <c r="I2684" s="328"/>
      <c r="J2684" s="249"/>
      <c r="K2684" s="330"/>
      <c r="L2684" s="250"/>
      <c r="M2684" s="249"/>
      <c r="N2684" s="330"/>
      <c r="O2684" s="250"/>
      <c r="P2684" s="249"/>
      <c r="Q2684" s="330"/>
      <c r="R2684" s="250"/>
      <c r="S2684" s="249"/>
      <c r="T2684" s="330"/>
      <c r="U2684" s="250"/>
      <c r="V2684" s="249"/>
      <c r="W2684" s="330"/>
      <c r="X2684" s="343"/>
      <c r="Y2684" s="249"/>
      <c r="Z2684" s="330"/>
      <c r="AA2684" s="343"/>
      <c r="AB2684" s="249"/>
      <c r="AC2684" s="330"/>
      <c r="AD2684" s="343"/>
      <c r="AE2684" s="249"/>
      <c r="AF2684" s="330"/>
      <c r="AG2684" s="343"/>
      <c r="AH2684" s="249"/>
      <c r="AI2684" s="330"/>
      <c r="AJ2684" s="343"/>
      <c r="AK2684" s="249"/>
      <c r="AL2684" s="330"/>
      <c r="AM2684" s="343"/>
      <c r="AN2684" s="249"/>
      <c r="AO2684" s="330"/>
      <c r="AP2684" s="343"/>
      <c r="AQ2684" s="249"/>
      <c r="AR2684" s="330"/>
      <c r="AS2684" s="343"/>
      <c r="AT2684" s="249"/>
      <c r="AU2684" s="330"/>
    </row>
    <row r="2685" spans="2:47">
      <c r="B2685" s="247">
        <f>'Table S2 Compound Identifiers'!C2687</f>
        <v>0</v>
      </c>
      <c r="C2685" s="247">
        <f>COUNTIF($D$6:D2685,"&lt;&gt;"&amp;"")</f>
        <v>2680</v>
      </c>
      <c r="D2685" s="247">
        <f>'Table S2 Compound Identifiers'!B2687</f>
        <v>0</v>
      </c>
      <c r="E2685" s="247"/>
      <c r="F2685" s="248"/>
      <c r="G2685" s="249"/>
      <c r="H2685" s="330"/>
      <c r="I2685" s="328"/>
      <c r="J2685" s="249"/>
      <c r="K2685" s="330"/>
      <c r="L2685" s="250"/>
      <c r="M2685" s="249"/>
      <c r="N2685" s="330"/>
      <c r="O2685" s="250"/>
      <c r="P2685" s="249"/>
      <c r="Q2685" s="330"/>
      <c r="R2685" s="250"/>
      <c r="S2685" s="249"/>
      <c r="T2685" s="330"/>
      <c r="U2685" s="250"/>
      <c r="V2685" s="249"/>
      <c r="W2685" s="330"/>
      <c r="X2685" s="343"/>
      <c r="Y2685" s="249"/>
      <c r="Z2685" s="330"/>
      <c r="AA2685" s="343"/>
      <c r="AB2685" s="249"/>
      <c r="AC2685" s="330"/>
      <c r="AD2685" s="343"/>
      <c r="AE2685" s="249"/>
      <c r="AF2685" s="330"/>
      <c r="AG2685" s="343"/>
      <c r="AH2685" s="249"/>
      <c r="AI2685" s="330"/>
      <c r="AJ2685" s="343"/>
      <c r="AK2685" s="249"/>
      <c r="AL2685" s="330"/>
      <c r="AM2685" s="343"/>
      <c r="AN2685" s="249"/>
      <c r="AO2685" s="330"/>
      <c r="AP2685" s="343"/>
      <c r="AQ2685" s="249"/>
      <c r="AR2685" s="330"/>
      <c r="AS2685" s="343"/>
      <c r="AT2685" s="249"/>
      <c r="AU2685" s="330"/>
    </row>
    <row r="2686" spans="2:47">
      <c r="B2686" s="247">
        <f>'Table S2 Compound Identifiers'!C2688</f>
        <v>0</v>
      </c>
      <c r="C2686" s="247">
        <f>COUNTIF($D$6:D2686,"&lt;&gt;"&amp;"")</f>
        <v>2681</v>
      </c>
      <c r="D2686" s="247">
        <f>'Table S2 Compound Identifiers'!B2688</f>
        <v>0</v>
      </c>
      <c r="E2686" s="247"/>
      <c r="F2686" s="248"/>
      <c r="G2686" s="249"/>
      <c r="H2686" s="330"/>
      <c r="I2686" s="328"/>
      <c r="J2686" s="249"/>
      <c r="K2686" s="330"/>
      <c r="L2686" s="250"/>
      <c r="M2686" s="249"/>
      <c r="N2686" s="330"/>
      <c r="O2686" s="250"/>
      <c r="P2686" s="249"/>
      <c r="Q2686" s="330"/>
      <c r="R2686" s="250"/>
      <c r="S2686" s="249"/>
      <c r="T2686" s="330"/>
      <c r="U2686" s="250"/>
      <c r="V2686" s="249"/>
      <c r="W2686" s="330"/>
      <c r="X2686" s="343"/>
      <c r="Y2686" s="249"/>
      <c r="Z2686" s="330"/>
      <c r="AA2686" s="343"/>
      <c r="AB2686" s="249"/>
      <c r="AC2686" s="330"/>
      <c r="AD2686" s="343"/>
      <c r="AE2686" s="249"/>
      <c r="AF2686" s="330"/>
      <c r="AG2686" s="343"/>
      <c r="AH2686" s="249"/>
      <c r="AI2686" s="330"/>
      <c r="AJ2686" s="343"/>
      <c r="AK2686" s="249"/>
      <c r="AL2686" s="330"/>
      <c r="AM2686" s="343"/>
      <c r="AN2686" s="249"/>
      <c r="AO2686" s="330"/>
      <c r="AP2686" s="343"/>
      <c r="AQ2686" s="249"/>
      <c r="AR2686" s="330"/>
      <c r="AS2686" s="343"/>
      <c r="AT2686" s="249"/>
      <c r="AU2686" s="330"/>
    </row>
    <row r="2687" spans="2:47">
      <c r="B2687" s="247">
        <f>'Table S2 Compound Identifiers'!C2689</f>
        <v>0</v>
      </c>
      <c r="C2687" s="247">
        <f>COUNTIF($D$6:D2687,"&lt;&gt;"&amp;"")</f>
        <v>2682</v>
      </c>
      <c r="D2687" s="247">
        <f>'Table S2 Compound Identifiers'!B2689</f>
        <v>0</v>
      </c>
      <c r="E2687" s="247"/>
      <c r="F2687" s="248"/>
      <c r="G2687" s="249"/>
      <c r="H2687" s="330"/>
      <c r="I2687" s="328"/>
      <c r="J2687" s="249"/>
      <c r="K2687" s="330"/>
      <c r="L2687" s="250"/>
      <c r="M2687" s="249"/>
      <c r="N2687" s="330"/>
      <c r="O2687" s="250"/>
      <c r="P2687" s="249"/>
      <c r="Q2687" s="330"/>
      <c r="R2687" s="250"/>
      <c r="S2687" s="249"/>
      <c r="T2687" s="330"/>
      <c r="U2687" s="250"/>
      <c r="V2687" s="249"/>
      <c r="W2687" s="330"/>
      <c r="X2687" s="343"/>
      <c r="Y2687" s="249"/>
      <c r="Z2687" s="330"/>
      <c r="AA2687" s="343"/>
      <c r="AB2687" s="249"/>
      <c r="AC2687" s="330"/>
      <c r="AD2687" s="343"/>
      <c r="AE2687" s="249"/>
      <c r="AF2687" s="330"/>
      <c r="AG2687" s="343"/>
      <c r="AH2687" s="249"/>
      <c r="AI2687" s="330"/>
      <c r="AJ2687" s="343"/>
      <c r="AK2687" s="249"/>
      <c r="AL2687" s="330"/>
      <c r="AM2687" s="343"/>
      <c r="AN2687" s="249"/>
      <c r="AO2687" s="330"/>
      <c r="AP2687" s="343"/>
      <c r="AQ2687" s="249"/>
      <c r="AR2687" s="330"/>
      <c r="AS2687" s="343"/>
      <c r="AT2687" s="249"/>
      <c r="AU2687" s="330"/>
    </row>
    <row r="2688" spans="2:47">
      <c r="B2688" s="247">
        <f>'Table S2 Compound Identifiers'!C2690</f>
        <v>0</v>
      </c>
      <c r="C2688" s="247">
        <f>COUNTIF($D$6:D2688,"&lt;&gt;"&amp;"")</f>
        <v>2683</v>
      </c>
      <c r="D2688" s="247">
        <f>'Table S2 Compound Identifiers'!B2690</f>
        <v>0</v>
      </c>
      <c r="E2688" s="247"/>
      <c r="F2688" s="248"/>
      <c r="G2688" s="249"/>
      <c r="H2688" s="330"/>
      <c r="I2688" s="328"/>
      <c r="J2688" s="249"/>
      <c r="K2688" s="330"/>
      <c r="L2688" s="250"/>
      <c r="M2688" s="249"/>
      <c r="N2688" s="330"/>
      <c r="O2688" s="250"/>
      <c r="P2688" s="249"/>
      <c r="Q2688" s="330"/>
      <c r="R2688" s="250"/>
      <c r="S2688" s="249"/>
      <c r="T2688" s="330"/>
      <c r="U2688" s="250"/>
      <c r="V2688" s="249"/>
      <c r="W2688" s="330"/>
      <c r="X2688" s="343"/>
      <c r="Y2688" s="249"/>
      <c r="Z2688" s="330"/>
      <c r="AA2688" s="343"/>
      <c r="AB2688" s="249"/>
      <c r="AC2688" s="330"/>
      <c r="AD2688" s="343"/>
      <c r="AE2688" s="249"/>
      <c r="AF2688" s="330"/>
      <c r="AG2688" s="343"/>
      <c r="AH2688" s="249"/>
      <c r="AI2688" s="330"/>
      <c r="AJ2688" s="343"/>
      <c r="AK2688" s="249"/>
      <c r="AL2688" s="330"/>
      <c r="AM2688" s="343"/>
      <c r="AN2688" s="249"/>
      <c r="AO2688" s="330"/>
      <c r="AP2688" s="343"/>
      <c r="AQ2688" s="249"/>
      <c r="AR2688" s="330"/>
      <c r="AS2688" s="343"/>
      <c r="AT2688" s="249"/>
      <c r="AU2688" s="330"/>
    </row>
    <row r="2689" spans="2:47">
      <c r="B2689" s="247">
        <f>'Table S2 Compound Identifiers'!C2691</f>
        <v>0</v>
      </c>
      <c r="C2689" s="247">
        <f>COUNTIF($D$6:D2689,"&lt;&gt;"&amp;"")</f>
        <v>2684</v>
      </c>
      <c r="D2689" s="247">
        <f>'Table S2 Compound Identifiers'!B2691</f>
        <v>0</v>
      </c>
      <c r="E2689" s="247"/>
      <c r="F2689" s="248"/>
      <c r="G2689" s="249"/>
      <c r="H2689" s="330"/>
      <c r="I2689" s="328"/>
      <c r="J2689" s="249"/>
      <c r="K2689" s="330"/>
      <c r="L2689" s="250"/>
      <c r="M2689" s="249"/>
      <c r="N2689" s="330"/>
      <c r="O2689" s="250"/>
      <c r="P2689" s="249"/>
      <c r="Q2689" s="330"/>
      <c r="R2689" s="250"/>
      <c r="S2689" s="249"/>
      <c r="T2689" s="330"/>
      <c r="U2689" s="250"/>
      <c r="V2689" s="249"/>
      <c r="W2689" s="330"/>
      <c r="X2689" s="343"/>
      <c r="Y2689" s="249"/>
      <c r="Z2689" s="330"/>
      <c r="AA2689" s="343"/>
      <c r="AB2689" s="249"/>
      <c r="AC2689" s="330"/>
      <c r="AD2689" s="343"/>
      <c r="AE2689" s="249"/>
      <c r="AF2689" s="330"/>
      <c r="AG2689" s="343"/>
      <c r="AH2689" s="249"/>
      <c r="AI2689" s="330"/>
      <c r="AJ2689" s="343"/>
      <c r="AK2689" s="249"/>
      <c r="AL2689" s="330"/>
      <c r="AM2689" s="343"/>
      <c r="AN2689" s="249"/>
      <c r="AO2689" s="330"/>
      <c r="AP2689" s="343"/>
      <c r="AQ2689" s="249"/>
      <c r="AR2689" s="330"/>
      <c r="AS2689" s="343"/>
      <c r="AT2689" s="249"/>
      <c r="AU2689" s="330"/>
    </row>
    <row r="2690" spans="2:47">
      <c r="B2690" s="247">
        <f>'Table S2 Compound Identifiers'!C2692</f>
        <v>0</v>
      </c>
      <c r="C2690" s="247">
        <f>COUNTIF($D$6:D2690,"&lt;&gt;"&amp;"")</f>
        <v>2685</v>
      </c>
      <c r="D2690" s="247">
        <f>'Table S2 Compound Identifiers'!B2692</f>
        <v>0</v>
      </c>
      <c r="E2690" s="247"/>
      <c r="F2690" s="248"/>
      <c r="G2690" s="249"/>
      <c r="H2690" s="330"/>
      <c r="I2690" s="328"/>
      <c r="J2690" s="249"/>
      <c r="K2690" s="330"/>
      <c r="L2690" s="250"/>
      <c r="M2690" s="249"/>
      <c r="N2690" s="330"/>
      <c r="O2690" s="250"/>
      <c r="P2690" s="249"/>
      <c r="Q2690" s="330"/>
      <c r="R2690" s="250"/>
      <c r="S2690" s="249"/>
      <c r="T2690" s="330"/>
      <c r="U2690" s="250"/>
      <c r="V2690" s="249"/>
      <c r="W2690" s="330"/>
      <c r="X2690" s="343"/>
      <c r="Y2690" s="249"/>
      <c r="Z2690" s="330"/>
      <c r="AA2690" s="343"/>
      <c r="AB2690" s="249"/>
      <c r="AC2690" s="330"/>
      <c r="AD2690" s="343"/>
      <c r="AE2690" s="249"/>
      <c r="AF2690" s="330"/>
      <c r="AG2690" s="343"/>
      <c r="AH2690" s="249"/>
      <c r="AI2690" s="330"/>
      <c r="AJ2690" s="343"/>
      <c r="AK2690" s="249"/>
      <c r="AL2690" s="330"/>
      <c r="AM2690" s="343"/>
      <c r="AN2690" s="249"/>
      <c r="AO2690" s="330"/>
      <c r="AP2690" s="343"/>
      <c r="AQ2690" s="249"/>
      <c r="AR2690" s="330"/>
      <c r="AS2690" s="343"/>
      <c r="AT2690" s="249"/>
      <c r="AU2690" s="330"/>
    </row>
    <row r="2691" spans="2:47">
      <c r="B2691" s="247">
        <f>'Table S2 Compound Identifiers'!C2693</f>
        <v>0</v>
      </c>
      <c r="C2691" s="247">
        <f>COUNTIF($D$6:D2691,"&lt;&gt;"&amp;"")</f>
        <v>2686</v>
      </c>
      <c r="D2691" s="247">
        <f>'Table S2 Compound Identifiers'!B2693</f>
        <v>0</v>
      </c>
      <c r="E2691" s="247"/>
      <c r="F2691" s="248"/>
      <c r="G2691" s="249"/>
      <c r="H2691" s="330"/>
      <c r="I2691" s="328"/>
      <c r="J2691" s="249"/>
      <c r="K2691" s="330"/>
      <c r="L2691" s="250"/>
      <c r="M2691" s="249"/>
      <c r="N2691" s="330"/>
      <c r="O2691" s="250"/>
      <c r="P2691" s="249"/>
      <c r="Q2691" s="330"/>
      <c r="R2691" s="250"/>
      <c r="S2691" s="249"/>
      <c r="T2691" s="330"/>
      <c r="U2691" s="250"/>
      <c r="V2691" s="249"/>
      <c r="W2691" s="330"/>
      <c r="X2691" s="343"/>
      <c r="Y2691" s="249"/>
      <c r="Z2691" s="330"/>
      <c r="AA2691" s="343"/>
      <c r="AB2691" s="249"/>
      <c r="AC2691" s="330"/>
      <c r="AD2691" s="343"/>
      <c r="AE2691" s="249"/>
      <c r="AF2691" s="330"/>
      <c r="AG2691" s="343"/>
      <c r="AH2691" s="249"/>
      <c r="AI2691" s="330"/>
      <c r="AJ2691" s="343"/>
      <c r="AK2691" s="249"/>
      <c r="AL2691" s="330"/>
      <c r="AM2691" s="343"/>
      <c r="AN2691" s="249"/>
      <c r="AO2691" s="330"/>
      <c r="AP2691" s="343"/>
      <c r="AQ2691" s="249"/>
      <c r="AR2691" s="330"/>
      <c r="AS2691" s="343"/>
      <c r="AT2691" s="249"/>
      <c r="AU2691" s="330"/>
    </row>
    <row r="2692" spans="2:47">
      <c r="B2692" s="247">
        <f>'Table S2 Compound Identifiers'!C2694</f>
        <v>0</v>
      </c>
      <c r="C2692" s="247">
        <f>COUNTIF($D$6:D2692,"&lt;&gt;"&amp;"")</f>
        <v>2687</v>
      </c>
      <c r="D2692" s="247">
        <f>'Table S2 Compound Identifiers'!B2694</f>
        <v>0</v>
      </c>
      <c r="E2692" s="247"/>
      <c r="F2692" s="248"/>
      <c r="G2692" s="249"/>
      <c r="H2692" s="330"/>
      <c r="I2692" s="328"/>
      <c r="J2692" s="249"/>
      <c r="K2692" s="330"/>
      <c r="L2692" s="250"/>
      <c r="M2692" s="249"/>
      <c r="N2692" s="330"/>
      <c r="O2692" s="250"/>
      <c r="P2692" s="249"/>
      <c r="Q2692" s="330"/>
      <c r="R2692" s="250"/>
      <c r="S2692" s="249"/>
      <c r="T2692" s="330"/>
      <c r="U2692" s="250"/>
      <c r="V2692" s="249"/>
      <c r="W2692" s="330"/>
      <c r="X2692" s="343"/>
      <c r="Y2692" s="249"/>
      <c r="Z2692" s="330"/>
      <c r="AA2692" s="343"/>
      <c r="AB2692" s="249"/>
      <c r="AC2692" s="330"/>
      <c r="AD2692" s="343"/>
      <c r="AE2692" s="249"/>
      <c r="AF2692" s="330"/>
      <c r="AG2692" s="343"/>
      <c r="AH2692" s="249"/>
      <c r="AI2692" s="330"/>
      <c r="AJ2692" s="343"/>
      <c r="AK2692" s="249"/>
      <c r="AL2692" s="330"/>
      <c r="AM2692" s="343"/>
      <c r="AN2692" s="249"/>
      <c r="AO2692" s="330"/>
      <c r="AP2692" s="343"/>
      <c r="AQ2692" s="249"/>
      <c r="AR2692" s="330"/>
      <c r="AS2692" s="343"/>
      <c r="AT2692" s="249"/>
      <c r="AU2692" s="330"/>
    </row>
    <row r="2693" spans="2:47">
      <c r="B2693" s="247">
        <f>'Table S2 Compound Identifiers'!C2695</f>
        <v>0</v>
      </c>
      <c r="C2693" s="247">
        <f>COUNTIF($D$6:D2693,"&lt;&gt;"&amp;"")</f>
        <v>2688</v>
      </c>
      <c r="D2693" s="247">
        <f>'Table S2 Compound Identifiers'!B2695</f>
        <v>0</v>
      </c>
      <c r="E2693" s="247"/>
      <c r="F2693" s="248"/>
      <c r="G2693" s="249"/>
      <c r="H2693" s="330"/>
      <c r="I2693" s="328"/>
      <c r="J2693" s="249"/>
      <c r="K2693" s="330"/>
      <c r="L2693" s="250"/>
      <c r="M2693" s="249"/>
      <c r="N2693" s="330"/>
      <c r="O2693" s="250"/>
      <c r="P2693" s="249"/>
      <c r="Q2693" s="330"/>
      <c r="R2693" s="250"/>
      <c r="S2693" s="249"/>
      <c r="T2693" s="330"/>
      <c r="U2693" s="250"/>
      <c r="V2693" s="249"/>
      <c r="W2693" s="330"/>
      <c r="X2693" s="343"/>
      <c r="Y2693" s="249"/>
      <c r="Z2693" s="330"/>
      <c r="AA2693" s="343"/>
      <c r="AB2693" s="249"/>
      <c r="AC2693" s="330"/>
      <c r="AD2693" s="343"/>
      <c r="AE2693" s="249"/>
      <c r="AF2693" s="330"/>
      <c r="AG2693" s="343"/>
      <c r="AH2693" s="249"/>
      <c r="AI2693" s="330"/>
      <c r="AJ2693" s="343"/>
      <c r="AK2693" s="249"/>
      <c r="AL2693" s="330"/>
      <c r="AM2693" s="343"/>
      <c r="AN2693" s="249"/>
      <c r="AO2693" s="330"/>
      <c r="AP2693" s="343"/>
      <c r="AQ2693" s="249"/>
      <c r="AR2693" s="330"/>
      <c r="AS2693" s="343"/>
      <c r="AT2693" s="249"/>
      <c r="AU2693" s="330"/>
    </row>
    <row r="2694" spans="2:47">
      <c r="B2694" s="247">
        <f>'Table S2 Compound Identifiers'!C2696</f>
        <v>0</v>
      </c>
      <c r="C2694" s="247">
        <f>COUNTIF($D$6:D2694,"&lt;&gt;"&amp;"")</f>
        <v>2689</v>
      </c>
      <c r="D2694" s="247">
        <f>'Table S2 Compound Identifiers'!B2696</f>
        <v>0</v>
      </c>
      <c r="E2694" s="247"/>
      <c r="F2694" s="248"/>
      <c r="G2694" s="249"/>
      <c r="H2694" s="330"/>
      <c r="I2694" s="328"/>
      <c r="J2694" s="249"/>
      <c r="K2694" s="330"/>
      <c r="L2694" s="250"/>
      <c r="M2694" s="249"/>
      <c r="N2694" s="330"/>
      <c r="O2694" s="250"/>
      <c r="P2694" s="249"/>
      <c r="Q2694" s="330"/>
      <c r="R2694" s="250"/>
      <c r="S2694" s="249"/>
      <c r="T2694" s="330"/>
      <c r="U2694" s="250"/>
      <c r="V2694" s="249"/>
      <c r="W2694" s="330"/>
      <c r="X2694" s="343"/>
      <c r="Y2694" s="249"/>
      <c r="Z2694" s="330"/>
      <c r="AA2694" s="343"/>
      <c r="AB2694" s="249"/>
      <c r="AC2694" s="330"/>
      <c r="AD2694" s="343"/>
      <c r="AE2694" s="249"/>
      <c r="AF2694" s="330"/>
      <c r="AG2694" s="343"/>
      <c r="AH2694" s="249"/>
      <c r="AI2694" s="330"/>
      <c r="AJ2694" s="343"/>
      <c r="AK2694" s="249"/>
      <c r="AL2694" s="330"/>
      <c r="AM2694" s="343"/>
      <c r="AN2694" s="249"/>
      <c r="AO2694" s="330"/>
      <c r="AP2694" s="343"/>
      <c r="AQ2694" s="249"/>
      <c r="AR2694" s="330"/>
      <c r="AS2694" s="343"/>
      <c r="AT2694" s="249"/>
      <c r="AU2694" s="330"/>
    </row>
    <row r="2695" spans="2:47">
      <c r="B2695" s="247">
        <f>'Table S2 Compound Identifiers'!C2697</f>
        <v>0</v>
      </c>
      <c r="C2695" s="247">
        <f>COUNTIF($D$6:D2695,"&lt;&gt;"&amp;"")</f>
        <v>2690</v>
      </c>
      <c r="D2695" s="247">
        <f>'Table S2 Compound Identifiers'!B2697</f>
        <v>0</v>
      </c>
      <c r="E2695" s="247"/>
      <c r="F2695" s="248"/>
      <c r="G2695" s="249"/>
      <c r="H2695" s="330"/>
      <c r="I2695" s="328"/>
      <c r="J2695" s="249"/>
      <c r="K2695" s="330"/>
      <c r="L2695" s="250"/>
      <c r="M2695" s="249"/>
      <c r="N2695" s="330"/>
      <c r="O2695" s="250"/>
      <c r="P2695" s="249"/>
      <c r="Q2695" s="330"/>
      <c r="R2695" s="250"/>
      <c r="S2695" s="249"/>
      <c r="T2695" s="330"/>
      <c r="U2695" s="250"/>
      <c r="V2695" s="249"/>
      <c r="W2695" s="330"/>
      <c r="X2695" s="343"/>
      <c r="Y2695" s="249"/>
      <c r="Z2695" s="330"/>
      <c r="AA2695" s="343"/>
      <c r="AB2695" s="249"/>
      <c r="AC2695" s="330"/>
      <c r="AD2695" s="343"/>
      <c r="AE2695" s="249"/>
      <c r="AF2695" s="330"/>
      <c r="AG2695" s="343"/>
      <c r="AH2695" s="249"/>
      <c r="AI2695" s="330"/>
      <c r="AJ2695" s="343"/>
      <c r="AK2695" s="249"/>
      <c r="AL2695" s="330"/>
      <c r="AM2695" s="343"/>
      <c r="AN2695" s="249"/>
      <c r="AO2695" s="330"/>
      <c r="AP2695" s="343"/>
      <c r="AQ2695" s="249"/>
      <c r="AR2695" s="330"/>
      <c r="AS2695" s="343"/>
      <c r="AT2695" s="249"/>
      <c r="AU2695" s="330"/>
    </row>
    <row r="2696" spans="2:47">
      <c r="B2696" s="247">
        <f>'Table S2 Compound Identifiers'!C2698</f>
        <v>0</v>
      </c>
      <c r="C2696" s="247">
        <f>COUNTIF($D$6:D2696,"&lt;&gt;"&amp;"")</f>
        <v>2691</v>
      </c>
      <c r="D2696" s="247">
        <f>'Table S2 Compound Identifiers'!B2698</f>
        <v>0</v>
      </c>
      <c r="E2696" s="247"/>
      <c r="F2696" s="248"/>
      <c r="G2696" s="249"/>
      <c r="H2696" s="330"/>
      <c r="I2696" s="328"/>
      <c r="J2696" s="249"/>
      <c r="K2696" s="330"/>
      <c r="L2696" s="250"/>
      <c r="M2696" s="249"/>
      <c r="N2696" s="330"/>
      <c r="O2696" s="250"/>
      <c r="P2696" s="249"/>
      <c r="Q2696" s="330"/>
      <c r="R2696" s="250"/>
      <c r="S2696" s="249"/>
      <c r="T2696" s="330"/>
      <c r="U2696" s="250"/>
      <c r="V2696" s="249"/>
      <c r="W2696" s="330"/>
      <c r="X2696" s="343"/>
      <c r="Y2696" s="249"/>
      <c r="Z2696" s="330"/>
      <c r="AA2696" s="343"/>
      <c r="AB2696" s="249"/>
      <c r="AC2696" s="330"/>
      <c r="AD2696" s="343"/>
      <c r="AE2696" s="249"/>
      <c r="AF2696" s="330"/>
      <c r="AG2696" s="343"/>
      <c r="AH2696" s="249"/>
      <c r="AI2696" s="330"/>
      <c r="AJ2696" s="343"/>
      <c r="AK2696" s="249"/>
      <c r="AL2696" s="330"/>
      <c r="AM2696" s="343"/>
      <c r="AN2696" s="249"/>
      <c r="AO2696" s="330"/>
      <c r="AP2696" s="343"/>
      <c r="AQ2696" s="249"/>
      <c r="AR2696" s="330"/>
      <c r="AS2696" s="343"/>
      <c r="AT2696" s="249"/>
      <c r="AU2696" s="330"/>
    </row>
    <row r="2697" spans="2:47">
      <c r="B2697" s="247">
        <f>'Table S2 Compound Identifiers'!C2699</f>
        <v>0</v>
      </c>
      <c r="C2697" s="247">
        <f>COUNTIF($D$6:D2697,"&lt;&gt;"&amp;"")</f>
        <v>2692</v>
      </c>
      <c r="D2697" s="247">
        <f>'Table S2 Compound Identifiers'!B2699</f>
        <v>0</v>
      </c>
      <c r="E2697" s="247"/>
      <c r="F2697" s="248"/>
      <c r="G2697" s="249"/>
      <c r="H2697" s="330"/>
      <c r="I2697" s="328"/>
      <c r="J2697" s="249"/>
      <c r="K2697" s="330"/>
      <c r="L2697" s="250"/>
      <c r="M2697" s="249"/>
      <c r="N2697" s="330"/>
      <c r="O2697" s="250"/>
      <c r="P2697" s="249"/>
      <c r="Q2697" s="330"/>
      <c r="R2697" s="250"/>
      <c r="S2697" s="249"/>
      <c r="T2697" s="330"/>
      <c r="U2697" s="250"/>
      <c r="V2697" s="249"/>
      <c r="W2697" s="330"/>
      <c r="X2697" s="343"/>
      <c r="Y2697" s="249"/>
      <c r="Z2697" s="330"/>
      <c r="AA2697" s="343"/>
      <c r="AB2697" s="249"/>
      <c r="AC2697" s="330"/>
      <c r="AD2697" s="343"/>
      <c r="AE2697" s="249"/>
      <c r="AF2697" s="330"/>
      <c r="AG2697" s="343"/>
      <c r="AH2697" s="249"/>
      <c r="AI2697" s="330"/>
      <c r="AJ2697" s="343"/>
      <c r="AK2697" s="249"/>
      <c r="AL2697" s="330"/>
      <c r="AM2697" s="343"/>
      <c r="AN2697" s="249"/>
      <c r="AO2697" s="330"/>
      <c r="AP2697" s="343"/>
      <c r="AQ2697" s="249"/>
      <c r="AR2697" s="330"/>
      <c r="AS2697" s="343"/>
      <c r="AT2697" s="249"/>
      <c r="AU2697" s="330"/>
    </row>
    <row r="2698" spans="2:47">
      <c r="B2698" s="247">
        <f>'Table S2 Compound Identifiers'!C2700</f>
        <v>0</v>
      </c>
      <c r="C2698" s="247">
        <f>COUNTIF($D$6:D2698,"&lt;&gt;"&amp;"")</f>
        <v>2693</v>
      </c>
      <c r="D2698" s="247">
        <f>'Table S2 Compound Identifiers'!B2700</f>
        <v>0</v>
      </c>
      <c r="E2698" s="247"/>
      <c r="F2698" s="248"/>
      <c r="G2698" s="249"/>
      <c r="H2698" s="330"/>
      <c r="I2698" s="328"/>
      <c r="J2698" s="249"/>
      <c r="K2698" s="330"/>
      <c r="L2698" s="250"/>
      <c r="M2698" s="249"/>
      <c r="N2698" s="330"/>
      <c r="O2698" s="250"/>
      <c r="P2698" s="249"/>
      <c r="Q2698" s="330"/>
      <c r="R2698" s="250"/>
      <c r="S2698" s="249"/>
      <c r="T2698" s="330"/>
      <c r="U2698" s="250"/>
      <c r="V2698" s="249"/>
      <c r="W2698" s="330"/>
      <c r="X2698" s="343"/>
      <c r="Y2698" s="249"/>
      <c r="Z2698" s="330"/>
      <c r="AA2698" s="343"/>
      <c r="AB2698" s="249"/>
      <c r="AC2698" s="330"/>
      <c r="AD2698" s="343"/>
      <c r="AE2698" s="249"/>
      <c r="AF2698" s="330"/>
      <c r="AG2698" s="343"/>
      <c r="AH2698" s="249"/>
      <c r="AI2698" s="330"/>
      <c r="AJ2698" s="343"/>
      <c r="AK2698" s="249"/>
      <c r="AL2698" s="330"/>
      <c r="AM2698" s="343"/>
      <c r="AN2698" s="249"/>
      <c r="AO2698" s="330"/>
      <c r="AP2698" s="343"/>
      <c r="AQ2698" s="249"/>
      <c r="AR2698" s="330"/>
      <c r="AS2698" s="343"/>
      <c r="AT2698" s="249"/>
      <c r="AU2698" s="330"/>
    </row>
    <row r="2699" spans="2:47">
      <c r="B2699" s="247">
        <f>'Table S2 Compound Identifiers'!C2701</f>
        <v>0</v>
      </c>
      <c r="C2699" s="247">
        <f>COUNTIF($D$6:D2699,"&lt;&gt;"&amp;"")</f>
        <v>2694</v>
      </c>
      <c r="D2699" s="247">
        <f>'Table S2 Compound Identifiers'!B2701</f>
        <v>0</v>
      </c>
      <c r="E2699" s="247"/>
      <c r="F2699" s="248"/>
      <c r="G2699" s="249"/>
      <c r="H2699" s="330"/>
      <c r="I2699" s="328"/>
      <c r="J2699" s="249"/>
      <c r="K2699" s="330"/>
      <c r="L2699" s="250"/>
      <c r="M2699" s="249"/>
      <c r="N2699" s="330"/>
      <c r="O2699" s="250"/>
      <c r="P2699" s="249"/>
      <c r="Q2699" s="330"/>
      <c r="R2699" s="250"/>
      <c r="S2699" s="249"/>
      <c r="T2699" s="330"/>
      <c r="U2699" s="250"/>
      <c r="V2699" s="249"/>
      <c r="W2699" s="330"/>
      <c r="X2699" s="343"/>
      <c r="Y2699" s="249"/>
      <c r="Z2699" s="330"/>
      <c r="AA2699" s="343"/>
      <c r="AB2699" s="249"/>
      <c r="AC2699" s="330"/>
      <c r="AD2699" s="343"/>
      <c r="AE2699" s="249"/>
      <c r="AF2699" s="330"/>
      <c r="AG2699" s="343"/>
      <c r="AH2699" s="249"/>
      <c r="AI2699" s="330"/>
      <c r="AJ2699" s="343"/>
      <c r="AK2699" s="249"/>
      <c r="AL2699" s="330"/>
      <c r="AM2699" s="343"/>
      <c r="AN2699" s="249"/>
      <c r="AO2699" s="330"/>
      <c r="AP2699" s="343"/>
      <c r="AQ2699" s="249"/>
      <c r="AR2699" s="330"/>
      <c r="AS2699" s="343"/>
      <c r="AT2699" s="249"/>
      <c r="AU2699" s="330"/>
    </row>
    <row r="2700" spans="2:47">
      <c r="B2700" s="247">
        <f>'Table S2 Compound Identifiers'!C2702</f>
        <v>0</v>
      </c>
      <c r="C2700" s="247">
        <f>COUNTIF($D$6:D2700,"&lt;&gt;"&amp;"")</f>
        <v>2695</v>
      </c>
      <c r="D2700" s="247">
        <f>'Table S2 Compound Identifiers'!B2702</f>
        <v>0</v>
      </c>
      <c r="E2700" s="247"/>
      <c r="F2700" s="248"/>
      <c r="G2700" s="249"/>
      <c r="H2700" s="330"/>
      <c r="I2700" s="328"/>
      <c r="J2700" s="249"/>
      <c r="K2700" s="330"/>
      <c r="L2700" s="250"/>
      <c r="M2700" s="249"/>
      <c r="N2700" s="330"/>
      <c r="O2700" s="250"/>
      <c r="P2700" s="249"/>
      <c r="Q2700" s="330"/>
      <c r="R2700" s="250"/>
      <c r="S2700" s="249"/>
      <c r="T2700" s="330"/>
      <c r="U2700" s="250"/>
      <c r="V2700" s="249"/>
      <c r="W2700" s="330"/>
      <c r="X2700" s="343"/>
      <c r="Y2700" s="249"/>
      <c r="Z2700" s="330"/>
      <c r="AA2700" s="343"/>
      <c r="AB2700" s="249"/>
      <c r="AC2700" s="330"/>
      <c r="AD2700" s="343"/>
      <c r="AE2700" s="249"/>
      <c r="AF2700" s="330"/>
      <c r="AG2700" s="343"/>
      <c r="AH2700" s="249"/>
      <c r="AI2700" s="330"/>
      <c r="AJ2700" s="343"/>
      <c r="AK2700" s="249"/>
      <c r="AL2700" s="330"/>
      <c r="AM2700" s="343"/>
      <c r="AN2700" s="249"/>
      <c r="AO2700" s="330"/>
      <c r="AP2700" s="343"/>
      <c r="AQ2700" s="249"/>
      <c r="AR2700" s="330"/>
      <c r="AS2700" s="343"/>
      <c r="AT2700" s="249"/>
      <c r="AU2700" s="330"/>
    </row>
    <row r="2701" spans="2:47">
      <c r="B2701" s="247">
        <f>'Table S2 Compound Identifiers'!C2703</f>
        <v>0</v>
      </c>
      <c r="C2701" s="247">
        <f>COUNTIF($D$6:D2701,"&lt;&gt;"&amp;"")</f>
        <v>2696</v>
      </c>
      <c r="D2701" s="247">
        <f>'Table S2 Compound Identifiers'!B2703</f>
        <v>0</v>
      </c>
      <c r="E2701" s="247"/>
      <c r="F2701" s="248"/>
      <c r="G2701" s="249"/>
      <c r="H2701" s="330"/>
      <c r="I2701" s="328"/>
      <c r="J2701" s="249"/>
      <c r="K2701" s="330"/>
      <c r="L2701" s="250"/>
      <c r="M2701" s="249"/>
      <c r="N2701" s="330"/>
      <c r="O2701" s="250"/>
      <c r="P2701" s="249"/>
      <c r="Q2701" s="330"/>
      <c r="R2701" s="250"/>
      <c r="S2701" s="249"/>
      <c r="T2701" s="330"/>
      <c r="U2701" s="250"/>
      <c r="V2701" s="249"/>
      <c r="W2701" s="330"/>
      <c r="X2701" s="343"/>
      <c r="Y2701" s="249"/>
      <c r="Z2701" s="330"/>
      <c r="AA2701" s="343"/>
      <c r="AB2701" s="249"/>
      <c r="AC2701" s="330"/>
      <c r="AD2701" s="343"/>
      <c r="AE2701" s="249"/>
      <c r="AF2701" s="330"/>
      <c r="AG2701" s="343"/>
      <c r="AH2701" s="249"/>
      <c r="AI2701" s="330"/>
      <c r="AJ2701" s="343"/>
      <c r="AK2701" s="249"/>
      <c r="AL2701" s="330"/>
      <c r="AM2701" s="343"/>
      <c r="AN2701" s="249"/>
      <c r="AO2701" s="330"/>
      <c r="AP2701" s="343"/>
      <c r="AQ2701" s="249"/>
      <c r="AR2701" s="330"/>
      <c r="AS2701" s="343"/>
      <c r="AT2701" s="249"/>
      <c r="AU2701" s="330"/>
    </row>
    <row r="2702" spans="2:47">
      <c r="B2702" s="247">
        <f>'Table S2 Compound Identifiers'!C2704</f>
        <v>0</v>
      </c>
      <c r="C2702" s="247">
        <f>COUNTIF($D$6:D2702,"&lt;&gt;"&amp;"")</f>
        <v>2697</v>
      </c>
      <c r="D2702" s="247">
        <f>'Table S2 Compound Identifiers'!B2704</f>
        <v>0</v>
      </c>
      <c r="E2702" s="247"/>
      <c r="F2702" s="248"/>
      <c r="G2702" s="249"/>
      <c r="H2702" s="330"/>
      <c r="I2702" s="328"/>
      <c r="J2702" s="249"/>
      <c r="K2702" s="330"/>
      <c r="L2702" s="250"/>
      <c r="M2702" s="249"/>
      <c r="N2702" s="330"/>
      <c r="O2702" s="250"/>
      <c r="P2702" s="249"/>
      <c r="Q2702" s="330"/>
      <c r="R2702" s="250"/>
      <c r="S2702" s="249"/>
      <c r="T2702" s="330"/>
      <c r="U2702" s="250"/>
      <c r="V2702" s="249"/>
      <c r="W2702" s="330"/>
      <c r="X2702" s="343"/>
      <c r="Y2702" s="249"/>
      <c r="Z2702" s="330"/>
      <c r="AA2702" s="343"/>
      <c r="AB2702" s="249"/>
      <c r="AC2702" s="330"/>
      <c r="AD2702" s="343"/>
      <c r="AE2702" s="249"/>
      <c r="AF2702" s="330"/>
      <c r="AG2702" s="343"/>
      <c r="AH2702" s="249"/>
      <c r="AI2702" s="330"/>
      <c r="AJ2702" s="343"/>
      <c r="AK2702" s="249"/>
      <c r="AL2702" s="330"/>
      <c r="AM2702" s="343"/>
      <c r="AN2702" s="249"/>
      <c r="AO2702" s="330"/>
      <c r="AP2702" s="343"/>
      <c r="AQ2702" s="249"/>
      <c r="AR2702" s="330"/>
      <c r="AS2702" s="343"/>
      <c r="AT2702" s="249"/>
      <c r="AU2702" s="330"/>
    </row>
    <row r="2703" spans="2:47">
      <c r="B2703" s="247">
        <f>'Table S2 Compound Identifiers'!C2705</f>
        <v>0</v>
      </c>
      <c r="C2703" s="247">
        <f>COUNTIF($D$6:D2703,"&lt;&gt;"&amp;"")</f>
        <v>2698</v>
      </c>
      <c r="D2703" s="247">
        <f>'Table S2 Compound Identifiers'!B2705</f>
        <v>0</v>
      </c>
      <c r="E2703" s="247"/>
      <c r="F2703" s="248"/>
      <c r="G2703" s="249"/>
      <c r="H2703" s="330"/>
      <c r="I2703" s="328"/>
      <c r="J2703" s="249"/>
      <c r="K2703" s="330"/>
      <c r="L2703" s="250"/>
      <c r="M2703" s="249"/>
      <c r="N2703" s="330"/>
      <c r="O2703" s="250"/>
      <c r="P2703" s="249"/>
      <c r="Q2703" s="330"/>
      <c r="R2703" s="250"/>
      <c r="S2703" s="249"/>
      <c r="T2703" s="330"/>
      <c r="U2703" s="250"/>
      <c r="V2703" s="249"/>
      <c r="W2703" s="330"/>
      <c r="X2703" s="343"/>
      <c r="Y2703" s="249"/>
      <c r="Z2703" s="330"/>
      <c r="AA2703" s="343"/>
      <c r="AB2703" s="249"/>
      <c r="AC2703" s="330"/>
      <c r="AD2703" s="343"/>
      <c r="AE2703" s="249"/>
      <c r="AF2703" s="330"/>
      <c r="AG2703" s="343"/>
      <c r="AH2703" s="249"/>
      <c r="AI2703" s="330"/>
      <c r="AJ2703" s="343"/>
      <c r="AK2703" s="249"/>
      <c r="AL2703" s="330"/>
      <c r="AM2703" s="343"/>
      <c r="AN2703" s="249"/>
      <c r="AO2703" s="330"/>
      <c r="AP2703" s="343"/>
      <c r="AQ2703" s="249"/>
      <c r="AR2703" s="330"/>
      <c r="AS2703" s="343"/>
      <c r="AT2703" s="249"/>
      <c r="AU2703" s="330"/>
    </row>
    <row r="2704" spans="2:47">
      <c r="B2704" s="247">
        <f>'Table S2 Compound Identifiers'!C2706</f>
        <v>0</v>
      </c>
      <c r="C2704" s="247">
        <f>COUNTIF($D$6:D2704,"&lt;&gt;"&amp;"")</f>
        <v>2699</v>
      </c>
      <c r="D2704" s="247">
        <f>'Table S2 Compound Identifiers'!B2706</f>
        <v>0</v>
      </c>
      <c r="E2704" s="247"/>
      <c r="F2704" s="248"/>
      <c r="G2704" s="249"/>
      <c r="H2704" s="330"/>
      <c r="I2704" s="328"/>
      <c r="J2704" s="249"/>
      <c r="K2704" s="330"/>
      <c r="L2704" s="250"/>
      <c r="M2704" s="249"/>
      <c r="N2704" s="330"/>
      <c r="O2704" s="250"/>
      <c r="P2704" s="249"/>
      <c r="Q2704" s="330"/>
      <c r="R2704" s="250"/>
      <c r="S2704" s="249"/>
      <c r="T2704" s="330"/>
      <c r="U2704" s="250"/>
      <c r="V2704" s="249"/>
      <c r="W2704" s="330"/>
      <c r="X2704" s="343"/>
      <c r="Y2704" s="249"/>
      <c r="Z2704" s="330"/>
      <c r="AA2704" s="343"/>
      <c r="AB2704" s="249"/>
      <c r="AC2704" s="330"/>
      <c r="AD2704" s="343"/>
      <c r="AE2704" s="249"/>
      <c r="AF2704" s="330"/>
      <c r="AG2704" s="343"/>
      <c r="AH2704" s="249"/>
      <c r="AI2704" s="330"/>
      <c r="AJ2704" s="343"/>
      <c r="AK2704" s="249"/>
      <c r="AL2704" s="330"/>
      <c r="AM2704" s="343"/>
      <c r="AN2704" s="249"/>
      <c r="AO2704" s="330"/>
      <c r="AP2704" s="343"/>
      <c r="AQ2704" s="249"/>
      <c r="AR2704" s="330"/>
      <c r="AS2704" s="343"/>
      <c r="AT2704" s="249"/>
      <c r="AU2704" s="330"/>
    </row>
    <row r="2705" spans="2:47">
      <c r="B2705" s="247">
        <f>'Table S2 Compound Identifiers'!C2707</f>
        <v>0</v>
      </c>
      <c r="C2705" s="247">
        <f>COUNTIF($D$6:D2705,"&lt;&gt;"&amp;"")</f>
        <v>2700</v>
      </c>
      <c r="D2705" s="247">
        <f>'Table S2 Compound Identifiers'!B2707</f>
        <v>0</v>
      </c>
      <c r="E2705" s="247"/>
      <c r="F2705" s="248"/>
      <c r="G2705" s="249"/>
      <c r="H2705" s="330"/>
      <c r="I2705" s="328"/>
      <c r="J2705" s="249"/>
      <c r="K2705" s="330"/>
      <c r="L2705" s="250"/>
      <c r="M2705" s="249"/>
      <c r="N2705" s="330"/>
      <c r="O2705" s="250"/>
      <c r="P2705" s="249"/>
      <c r="Q2705" s="330"/>
      <c r="R2705" s="250"/>
      <c r="S2705" s="249"/>
      <c r="T2705" s="330"/>
      <c r="U2705" s="250"/>
      <c r="V2705" s="249"/>
      <c r="W2705" s="330"/>
      <c r="X2705" s="343"/>
      <c r="Y2705" s="249"/>
      <c r="Z2705" s="330"/>
      <c r="AA2705" s="343"/>
      <c r="AB2705" s="249"/>
      <c r="AC2705" s="330"/>
      <c r="AD2705" s="343"/>
      <c r="AE2705" s="249"/>
      <c r="AF2705" s="330"/>
      <c r="AG2705" s="343"/>
      <c r="AH2705" s="249"/>
      <c r="AI2705" s="330"/>
      <c r="AJ2705" s="343"/>
      <c r="AK2705" s="249"/>
      <c r="AL2705" s="330"/>
      <c r="AM2705" s="343"/>
      <c r="AN2705" s="249"/>
      <c r="AO2705" s="330"/>
      <c r="AP2705" s="343"/>
      <c r="AQ2705" s="249"/>
      <c r="AR2705" s="330"/>
      <c r="AS2705" s="343"/>
      <c r="AT2705" s="249"/>
      <c r="AU2705" s="330"/>
    </row>
    <row r="2706" spans="2:47">
      <c r="B2706" s="247">
        <f>'Table S2 Compound Identifiers'!C2708</f>
        <v>0</v>
      </c>
      <c r="C2706" s="247">
        <f>COUNTIF($D$6:D2706,"&lt;&gt;"&amp;"")</f>
        <v>2701</v>
      </c>
      <c r="D2706" s="247">
        <f>'Table S2 Compound Identifiers'!B2708</f>
        <v>0</v>
      </c>
      <c r="E2706" s="247"/>
      <c r="F2706" s="248"/>
      <c r="G2706" s="249"/>
      <c r="H2706" s="330"/>
      <c r="I2706" s="328"/>
      <c r="J2706" s="249"/>
      <c r="K2706" s="330"/>
      <c r="L2706" s="250"/>
      <c r="M2706" s="249"/>
      <c r="N2706" s="330"/>
      <c r="O2706" s="250"/>
      <c r="P2706" s="249"/>
      <c r="Q2706" s="330"/>
      <c r="R2706" s="250"/>
      <c r="S2706" s="249"/>
      <c r="T2706" s="330"/>
      <c r="U2706" s="250"/>
      <c r="V2706" s="249"/>
      <c r="W2706" s="330"/>
      <c r="X2706" s="343"/>
      <c r="Y2706" s="249"/>
      <c r="Z2706" s="330"/>
      <c r="AA2706" s="343"/>
      <c r="AB2706" s="249"/>
      <c r="AC2706" s="330"/>
      <c r="AD2706" s="343"/>
      <c r="AE2706" s="249"/>
      <c r="AF2706" s="330"/>
      <c r="AG2706" s="343"/>
      <c r="AH2706" s="249"/>
      <c r="AI2706" s="330"/>
      <c r="AJ2706" s="343"/>
      <c r="AK2706" s="249"/>
      <c r="AL2706" s="330"/>
      <c r="AM2706" s="343"/>
      <c r="AN2706" s="249"/>
      <c r="AO2706" s="330"/>
      <c r="AP2706" s="343"/>
      <c r="AQ2706" s="249"/>
      <c r="AR2706" s="330"/>
      <c r="AS2706" s="343"/>
      <c r="AT2706" s="249"/>
      <c r="AU2706" s="330"/>
    </row>
    <row r="2707" spans="2:47">
      <c r="B2707" s="247">
        <f>'Table S2 Compound Identifiers'!C2709</f>
        <v>0</v>
      </c>
      <c r="C2707" s="247">
        <f>COUNTIF($D$6:D2707,"&lt;&gt;"&amp;"")</f>
        <v>2702</v>
      </c>
      <c r="D2707" s="247">
        <f>'Table S2 Compound Identifiers'!B2709</f>
        <v>0</v>
      </c>
      <c r="E2707" s="247"/>
      <c r="F2707" s="248"/>
      <c r="G2707" s="249"/>
      <c r="H2707" s="330"/>
      <c r="I2707" s="328"/>
      <c r="J2707" s="249"/>
      <c r="K2707" s="330"/>
      <c r="L2707" s="250"/>
      <c r="M2707" s="249"/>
      <c r="N2707" s="330"/>
      <c r="O2707" s="250"/>
      <c r="P2707" s="249"/>
      <c r="Q2707" s="330"/>
      <c r="R2707" s="250"/>
      <c r="S2707" s="249"/>
      <c r="T2707" s="330"/>
      <c r="U2707" s="250"/>
      <c r="V2707" s="249"/>
      <c r="W2707" s="330"/>
      <c r="X2707" s="343"/>
      <c r="Y2707" s="249"/>
      <c r="Z2707" s="330"/>
      <c r="AA2707" s="343"/>
      <c r="AB2707" s="249"/>
      <c r="AC2707" s="330"/>
      <c r="AD2707" s="343"/>
      <c r="AE2707" s="249"/>
      <c r="AF2707" s="330"/>
      <c r="AG2707" s="343"/>
      <c r="AH2707" s="249"/>
      <c r="AI2707" s="330"/>
      <c r="AJ2707" s="343"/>
      <c r="AK2707" s="249"/>
      <c r="AL2707" s="330"/>
      <c r="AM2707" s="343"/>
      <c r="AN2707" s="249"/>
      <c r="AO2707" s="330"/>
      <c r="AP2707" s="343"/>
      <c r="AQ2707" s="249"/>
      <c r="AR2707" s="330"/>
      <c r="AS2707" s="343"/>
      <c r="AT2707" s="249"/>
      <c r="AU2707" s="330"/>
    </row>
    <row r="2708" spans="2:47">
      <c r="B2708" s="247">
        <f>'Table S2 Compound Identifiers'!C2710</f>
        <v>0</v>
      </c>
      <c r="C2708" s="247">
        <f>COUNTIF($D$6:D2708,"&lt;&gt;"&amp;"")</f>
        <v>2703</v>
      </c>
      <c r="D2708" s="247">
        <f>'Table S2 Compound Identifiers'!B2710</f>
        <v>0</v>
      </c>
      <c r="E2708" s="247"/>
      <c r="F2708" s="248"/>
      <c r="G2708" s="249"/>
      <c r="H2708" s="330"/>
      <c r="I2708" s="328"/>
      <c r="J2708" s="249"/>
      <c r="K2708" s="330"/>
      <c r="L2708" s="250"/>
      <c r="M2708" s="249"/>
      <c r="N2708" s="330"/>
      <c r="O2708" s="250"/>
      <c r="P2708" s="249"/>
      <c r="Q2708" s="330"/>
      <c r="R2708" s="250"/>
      <c r="S2708" s="249"/>
      <c r="T2708" s="330"/>
      <c r="U2708" s="250"/>
      <c r="V2708" s="249"/>
      <c r="W2708" s="330"/>
      <c r="X2708" s="343"/>
      <c r="Y2708" s="249"/>
      <c r="Z2708" s="330"/>
      <c r="AA2708" s="343"/>
      <c r="AB2708" s="249"/>
      <c r="AC2708" s="330"/>
      <c r="AD2708" s="343"/>
      <c r="AE2708" s="249"/>
      <c r="AF2708" s="330"/>
      <c r="AG2708" s="343"/>
      <c r="AH2708" s="249"/>
      <c r="AI2708" s="330"/>
      <c r="AJ2708" s="343"/>
      <c r="AK2708" s="249"/>
      <c r="AL2708" s="330"/>
      <c r="AM2708" s="343"/>
      <c r="AN2708" s="249"/>
      <c r="AO2708" s="330"/>
      <c r="AP2708" s="343"/>
      <c r="AQ2708" s="249"/>
      <c r="AR2708" s="330"/>
      <c r="AS2708" s="343"/>
      <c r="AT2708" s="249"/>
      <c r="AU2708" s="330"/>
    </row>
    <row r="2709" spans="2:47">
      <c r="B2709" s="247">
        <f>'Table S2 Compound Identifiers'!C2711</f>
        <v>0</v>
      </c>
      <c r="C2709" s="247">
        <f>COUNTIF($D$6:D2709,"&lt;&gt;"&amp;"")</f>
        <v>2704</v>
      </c>
      <c r="D2709" s="247">
        <f>'Table S2 Compound Identifiers'!B2711</f>
        <v>0</v>
      </c>
      <c r="E2709" s="247"/>
      <c r="F2709" s="248"/>
      <c r="G2709" s="249"/>
      <c r="H2709" s="330"/>
      <c r="I2709" s="328"/>
      <c r="J2709" s="249"/>
      <c r="K2709" s="330"/>
      <c r="L2709" s="250"/>
      <c r="M2709" s="249"/>
      <c r="N2709" s="330"/>
      <c r="O2709" s="250"/>
      <c r="P2709" s="249"/>
      <c r="Q2709" s="330"/>
      <c r="R2709" s="250"/>
      <c r="S2709" s="249"/>
      <c r="T2709" s="330"/>
      <c r="U2709" s="250"/>
      <c r="V2709" s="249"/>
      <c r="W2709" s="330"/>
      <c r="X2709" s="343"/>
      <c r="Y2709" s="249"/>
      <c r="Z2709" s="330"/>
      <c r="AA2709" s="343"/>
      <c r="AB2709" s="249"/>
      <c r="AC2709" s="330"/>
      <c r="AD2709" s="343"/>
      <c r="AE2709" s="249"/>
      <c r="AF2709" s="330"/>
      <c r="AG2709" s="343"/>
      <c r="AH2709" s="249"/>
      <c r="AI2709" s="330"/>
      <c r="AJ2709" s="343"/>
      <c r="AK2709" s="249"/>
      <c r="AL2709" s="330"/>
      <c r="AM2709" s="343"/>
      <c r="AN2709" s="249"/>
      <c r="AO2709" s="330"/>
      <c r="AP2709" s="343"/>
      <c r="AQ2709" s="249"/>
      <c r="AR2709" s="330"/>
      <c r="AS2709" s="343"/>
      <c r="AT2709" s="249"/>
      <c r="AU2709" s="330"/>
    </row>
    <row r="2710" spans="2:47">
      <c r="B2710" s="247">
        <f>'Table S2 Compound Identifiers'!C2712</f>
        <v>0</v>
      </c>
      <c r="C2710" s="247">
        <f>COUNTIF($D$6:D2710,"&lt;&gt;"&amp;"")</f>
        <v>2705</v>
      </c>
      <c r="D2710" s="247">
        <f>'Table S2 Compound Identifiers'!B2712</f>
        <v>0</v>
      </c>
      <c r="E2710" s="247"/>
      <c r="F2710" s="248"/>
      <c r="G2710" s="249"/>
      <c r="H2710" s="330"/>
      <c r="I2710" s="328"/>
      <c r="J2710" s="249"/>
      <c r="K2710" s="330"/>
      <c r="L2710" s="250"/>
      <c r="M2710" s="249"/>
      <c r="N2710" s="330"/>
      <c r="O2710" s="250"/>
      <c r="P2710" s="249"/>
      <c r="Q2710" s="330"/>
      <c r="R2710" s="250"/>
      <c r="S2710" s="249"/>
      <c r="T2710" s="330"/>
      <c r="U2710" s="250"/>
      <c r="V2710" s="249"/>
      <c r="W2710" s="330"/>
      <c r="X2710" s="343"/>
      <c r="Y2710" s="249"/>
      <c r="Z2710" s="330"/>
      <c r="AA2710" s="343"/>
      <c r="AB2710" s="249"/>
      <c r="AC2710" s="330"/>
      <c r="AD2710" s="343"/>
      <c r="AE2710" s="249"/>
      <c r="AF2710" s="330"/>
      <c r="AG2710" s="343"/>
      <c r="AH2710" s="249"/>
      <c r="AI2710" s="330"/>
      <c r="AJ2710" s="343"/>
      <c r="AK2710" s="249"/>
      <c r="AL2710" s="330"/>
      <c r="AM2710" s="343"/>
      <c r="AN2710" s="249"/>
      <c r="AO2710" s="330"/>
      <c r="AP2710" s="343"/>
      <c r="AQ2710" s="249"/>
      <c r="AR2710" s="330"/>
      <c r="AS2710" s="343"/>
      <c r="AT2710" s="249"/>
      <c r="AU2710" s="330"/>
    </row>
    <row r="2711" spans="2:47">
      <c r="B2711" s="247">
        <f>'Table S2 Compound Identifiers'!C2713</f>
        <v>0</v>
      </c>
      <c r="C2711" s="247">
        <f>COUNTIF($D$6:D2711,"&lt;&gt;"&amp;"")</f>
        <v>2706</v>
      </c>
      <c r="D2711" s="247">
        <f>'Table S2 Compound Identifiers'!B2713</f>
        <v>0</v>
      </c>
      <c r="E2711" s="247"/>
      <c r="F2711" s="248"/>
      <c r="G2711" s="249"/>
      <c r="H2711" s="330"/>
      <c r="I2711" s="328"/>
      <c r="J2711" s="249"/>
      <c r="K2711" s="330"/>
      <c r="L2711" s="250"/>
      <c r="M2711" s="249"/>
      <c r="N2711" s="330"/>
      <c r="O2711" s="250"/>
      <c r="P2711" s="249"/>
      <c r="Q2711" s="330"/>
      <c r="R2711" s="250"/>
      <c r="S2711" s="249"/>
      <c r="T2711" s="330"/>
      <c r="U2711" s="250"/>
      <c r="V2711" s="249"/>
      <c r="W2711" s="330"/>
      <c r="X2711" s="343"/>
      <c r="Y2711" s="249"/>
      <c r="Z2711" s="330"/>
      <c r="AA2711" s="343"/>
      <c r="AB2711" s="249"/>
      <c r="AC2711" s="330"/>
      <c r="AD2711" s="343"/>
      <c r="AE2711" s="249"/>
      <c r="AF2711" s="330"/>
      <c r="AG2711" s="343"/>
      <c r="AH2711" s="249"/>
      <c r="AI2711" s="330"/>
      <c r="AJ2711" s="343"/>
      <c r="AK2711" s="249"/>
      <c r="AL2711" s="330"/>
      <c r="AM2711" s="343"/>
      <c r="AN2711" s="249"/>
      <c r="AO2711" s="330"/>
      <c r="AP2711" s="343"/>
      <c r="AQ2711" s="249"/>
      <c r="AR2711" s="330"/>
      <c r="AS2711" s="343"/>
      <c r="AT2711" s="249"/>
      <c r="AU2711" s="330"/>
    </row>
    <row r="2712" spans="2:47">
      <c r="B2712" s="247">
        <f>'Table S2 Compound Identifiers'!C2714</f>
        <v>0</v>
      </c>
      <c r="C2712" s="247">
        <f>COUNTIF($D$6:D2712,"&lt;&gt;"&amp;"")</f>
        <v>2707</v>
      </c>
      <c r="D2712" s="247">
        <f>'Table S2 Compound Identifiers'!B2714</f>
        <v>0</v>
      </c>
      <c r="E2712" s="247"/>
      <c r="F2712" s="248"/>
      <c r="G2712" s="249"/>
      <c r="H2712" s="330"/>
      <c r="I2712" s="328"/>
      <c r="J2712" s="249"/>
      <c r="K2712" s="330"/>
      <c r="L2712" s="250"/>
      <c r="M2712" s="249"/>
      <c r="N2712" s="330"/>
      <c r="O2712" s="250"/>
      <c r="P2712" s="249"/>
      <c r="Q2712" s="330"/>
      <c r="R2712" s="250"/>
      <c r="S2712" s="249"/>
      <c r="T2712" s="330"/>
      <c r="U2712" s="250"/>
      <c r="V2712" s="249"/>
      <c r="W2712" s="330"/>
      <c r="X2712" s="343"/>
      <c r="Y2712" s="249"/>
      <c r="Z2712" s="330"/>
      <c r="AA2712" s="343"/>
      <c r="AB2712" s="249"/>
      <c r="AC2712" s="330"/>
      <c r="AD2712" s="343"/>
      <c r="AE2712" s="249"/>
      <c r="AF2712" s="330"/>
      <c r="AG2712" s="343"/>
      <c r="AH2712" s="249"/>
      <c r="AI2712" s="330"/>
      <c r="AJ2712" s="343"/>
      <c r="AK2712" s="249"/>
      <c r="AL2712" s="330"/>
      <c r="AM2712" s="343"/>
      <c r="AN2712" s="249"/>
      <c r="AO2712" s="330"/>
      <c r="AP2712" s="343"/>
      <c r="AQ2712" s="249"/>
      <c r="AR2712" s="330"/>
      <c r="AS2712" s="343"/>
      <c r="AT2712" s="249"/>
      <c r="AU2712" s="330"/>
    </row>
    <row r="2713" spans="2:47">
      <c r="B2713" s="247">
        <f>'Table S2 Compound Identifiers'!C2715</f>
        <v>0</v>
      </c>
      <c r="C2713" s="247">
        <f>COUNTIF($D$6:D2713,"&lt;&gt;"&amp;"")</f>
        <v>2708</v>
      </c>
      <c r="D2713" s="247">
        <f>'Table S2 Compound Identifiers'!B2715</f>
        <v>0</v>
      </c>
      <c r="E2713" s="247"/>
      <c r="F2713" s="248"/>
      <c r="G2713" s="249"/>
      <c r="H2713" s="330"/>
      <c r="I2713" s="328"/>
      <c r="J2713" s="249"/>
      <c r="K2713" s="330"/>
      <c r="L2713" s="250"/>
      <c r="M2713" s="249"/>
      <c r="N2713" s="330"/>
      <c r="O2713" s="250"/>
      <c r="P2713" s="249"/>
      <c r="Q2713" s="330"/>
      <c r="R2713" s="250"/>
      <c r="S2713" s="249"/>
      <c r="T2713" s="330"/>
      <c r="U2713" s="250"/>
      <c r="V2713" s="249"/>
      <c r="W2713" s="330"/>
      <c r="X2713" s="343"/>
      <c r="Y2713" s="249"/>
      <c r="Z2713" s="330"/>
      <c r="AA2713" s="343"/>
      <c r="AB2713" s="249"/>
      <c r="AC2713" s="330"/>
      <c r="AD2713" s="343"/>
      <c r="AE2713" s="249"/>
      <c r="AF2713" s="330"/>
      <c r="AG2713" s="343"/>
      <c r="AH2713" s="249"/>
      <c r="AI2713" s="330"/>
      <c r="AJ2713" s="343"/>
      <c r="AK2713" s="249"/>
      <c r="AL2713" s="330"/>
      <c r="AM2713" s="343"/>
      <c r="AN2713" s="249"/>
      <c r="AO2713" s="330"/>
      <c r="AP2713" s="343"/>
      <c r="AQ2713" s="249"/>
      <c r="AR2713" s="330"/>
      <c r="AS2713" s="343"/>
      <c r="AT2713" s="249"/>
      <c r="AU2713" s="330"/>
    </row>
    <row r="2714" spans="2:47">
      <c r="B2714" s="247">
        <f>'Table S2 Compound Identifiers'!C2716</f>
        <v>0</v>
      </c>
      <c r="C2714" s="247">
        <f>COUNTIF($D$6:D2714,"&lt;&gt;"&amp;"")</f>
        <v>2709</v>
      </c>
      <c r="D2714" s="247">
        <f>'Table S2 Compound Identifiers'!B2716</f>
        <v>0</v>
      </c>
      <c r="E2714" s="247"/>
      <c r="F2714" s="248"/>
      <c r="G2714" s="249"/>
      <c r="H2714" s="330"/>
      <c r="I2714" s="328"/>
      <c r="J2714" s="249"/>
      <c r="K2714" s="330"/>
      <c r="L2714" s="250"/>
      <c r="M2714" s="249"/>
      <c r="N2714" s="330"/>
      <c r="O2714" s="250"/>
      <c r="P2714" s="249"/>
      <c r="Q2714" s="330"/>
      <c r="R2714" s="250"/>
      <c r="S2714" s="249"/>
      <c r="T2714" s="330"/>
      <c r="U2714" s="250"/>
      <c r="V2714" s="249"/>
      <c r="W2714" s="330"/>
      <c r="X2714" s="343"/>
      <c r="Y2714" s="249"/>
      <c r="Z2714" s="330"/>
      <c r="AA2714" s="343"/>
      <c r="AB2714" s="249"/>
      <c r="AC2714" s="330"/>
      <c r="AD2714" s="343"/>
      <c r="AE2714" s="249"/>
      <c r="AF2714" s="330"/>
      <c r="AG2714" s="343"/>
      <c r="AH2714" s="249"/>
      <c r="AI2714" s="330"/>
      <c r="AJ2714" s="343"/>
      <c r="AK2714" s="249"/>
      <c r="AL2714" s="330"/>
      <c r="AM2714" s="343"/>
      <c r="AN2714" s="249"/>
      <c r="AO2714" s="330"/>
      <c r="AP2714" s="343"/>
      <c r="AQ2714" s="249"/>
      <c r="AR2714" s="330"/>
      <c r="AS2714" s="343"/>
      <c r="AT2714" s="249"/>
      <c r="AU2714" s="330"/>
    </row>
    <row r="2715" spans="2:47">
      <c r="B2715" s="247">
        <f>'Table S2 Compound Identifiers'!C2717</f>
        <v>0</v>
      </c>
      <c r="C2715" s="247">
        <f>COUNTIF($D$6:D2715,"&lt;&gt;"&amp;"")</f>
        <v>2710</v>
      </c>
      <c r="D2715" s="247">
        <f>'Table S2 Compound Identifiers'!B2717</f>
        <v>0</v>
      </c>
      <c r="E2715" s="247"/>
      <c r="F2715" s="248"/>
      <c r="G2715" s="249"/>
      <c r="H2715" s="330"/>
      <c r="I2715" s="328"/>
      <c r="J2715" s="249"/>
      <c r="K2715" s="330"/>
      <c r="L2715" s="250"/>
      <c r="M2715" s="249"/>
      <c r="N2715" s="330"/>
      <c r="O2715" s="250"/>
      <c r="P2715" s="249"/>
      <c r="Q2715" s="330"/>
      <c r="R2715" s="250"/>
      <c r="S2715" s="249"/>
      <c r="T2715" s="330"/>
      <c r="U2715" s="250"/>
      <c r="V2715" s="249"/>
      <c r="W2715" s="330"/>
      <c r="X2715" s="343"/>
      <c r="Y2715" s="249"/>
      <c r="Z2715" s="330"/>
      <c r="AA2715" s="343"/>
      <c r="AB2715" s="249"/>
      <c r="AC2715" s="330"/>
      <c r="AD2715" s="343"/>
      <c r="AE2715" s="249"/>
      <c r="AF2715" s="330"/>
      <c r="AG2715" s="343"/>
      <c r="AH2715" s="249"/>
      <c r="AI2715" s="330"/>
      <c r="AJ2715" s="343"/>
      <c r="AK2715" s="249"/>
      <c r="AL2715" s="330"/>
      <c r="AM2715" s="343"/>
      <c r="AN2715" s="249"/>
      <c r="AO2715" s="330"/>
      <c r="AP2715" s="343"/>
      <c r="AQ2715" s="249"/>
      <c r="AR2715" s="330"/>
      <c r="AS2715" s="343"/>
      <c r="AT2715" s="249"/>
      <c r="AU2715" s="330"/>
    </row>
    <row r="2716" spans="2:47">
      <c r="B2716" s="247">
        <f>'Table S2 Compound Identifiers'!C2718</f>
        <v>0</v>
      </c>
      <c r="C2716" s="247">
        <f>COUNTIF($D$6:D2716,"&lt;&gt;"&amp;"")</f>
        <v>2711</v>
      </c>
      <c r="D2716" s="247">
        <f>'Table S2 Compound Identifiers'!B2718</f>
        <v>0</v>
      </c>
      <c r="E2716" s="247"/>
      <c r="F2716" s="248"/>
      <c r="G2716" s="249"/>
      <c r="H2716" s="330"/>
      <c r="I2716" s="328"/>
      <c r="J2716" s="249"/>
      <c r="K2716" s="330"/>
      <c r="L2716" s="250"/>
      <c r="M2716" s="249"/>
      <c r="N2716" s="330"/>
      <c r="O2716" s="250"/>
      <c r="P2716" s="249"/>
      <c r="Q2716" s="330"/>
      <c r="R2716" s="250"/>
      <c r="S2716" s="249"/>
      <c r="T2716" s="330"/>
      <c r="U2716" s="250"/>
      <c r="V2716" s="249"/>
      <c r="W2716" s="330"/>
      <c r="X2716" s="343"/>
      <c r="Y2716" s="249"/>
      <c r="Z2716" s="330"/>
      <c r="AA2716" s="343"/>
      <c r="AB2716" s="249"/>
      <c r="AC2716" s="330"/>
      <c r="AD2716" s="343"/>
      <c r="AE2716" s="249"/>
      <c r="AF2716" s="330"/>
      <c r="AG2716" s="343"/>
      <c r="AH2716" s="249"/>
      <c r="AI2716" s="330"/>
      <c r="AJ2716" s="343"/>
      <c r="AK2716" s="249"/>
      <c r="AL2716" s="330"/>
      <c r="AM2716" s="343"/>
      <c r="AN2716" s="249"/>
      <c r="AO2716" s="330"/>
      <c r="AP2716" s="343"/>
      <c r="AQ2716" s="249"/>
      <c r="AR2716" s="330"/>
      <c r="AS2716" s="343"/>
      <c r="AT2716" s="249"/>
      <c r="AU2716" s="330"/>
    </row>
    <row r="2717" spans="2:47">
      <c r="B2717" s="247">
        <f>'Table S2 Compound Identifiers'!C2719</f>
        <v>0</v>
      </c>
      <c r="C2717" s="247">
        <f>COUNTIF($D$6:D2717,"&lt;&gt;"&amp;"")</f>
        <v>2712</v>
      </c>
      <c r="D2717" s="247">
        <f>'Table S2 Compound Identifiers'!B2719</f>
        <v>0</v>
      </c>
      <c r="E2717" s="247"/>
      <c r="F2717" s="248"/>
      <c r="G2717" s="249"/>
      <c r="H2717" s="330"/>
      <c r="I2717" s="328"/>
      <c r="J2717" s="249"/>
      <c r="K2717" s="330"/>
      <c r="L2717" s="250"/>
      <c r="M2717" s="249"/>
      <c r="N2717" s="330"/>
      <c r="O2717" s="250"/>
      <c r="P2717" s="249"/>
      <c r="Q2717" s="330"/>
      <c r="R2717" s="250"/>
      <c r="S2717" s="249"/>
      <c r="T2717" s="330"/>
      <c r="U2717" s="250"/>
      <c r="V2717" s="249"/>
      <c r="W2717" s="330"/>
      <c r="X2717" s="343"/>
      <c r="Y2717" s="249"/>
      <c r="Z2717" s="330"/>
      <c r="AA2717" s="343"/>
      <c r="AB2717" s="249"/>
      <c r="AC2717" s="330"/>
      <c r="AD2717" s="343"/>
      <c r="AE2717" s="249"/>
      <c r="AF2717" s="330"/>
      <c r="AG2717" s="343"/>
      <c r="AH2717" s="249"/>
      <c r="AI2717" s="330"/>
      <c r="AJ2717" s="343"/>
      <c r="AK2717" s="249"/>
      <c r="AL2717" s="330"/>
      <c r="AM2717" s="343"/>
      <c r="AN2717" s="249"/>
      <c r="AO2717" s="330"/>
      <c r="AP2717" s="343"/>
      <c r="AQ2717" s="249"/>
      <c r="AR2717" s="330"/>
      <c r="AS2717" s="343"/>
      <c r="AT2717" s="249"/>
      <c r="AU2717" s="330"/>
    </row>
    <row r="2718" spans="2:47">
      <c r="B2718" s="247">
        <f>'Table S2 Compound Identifiers'!C2720</f>
        <v>0</v>
      </c>
      <c r="C2718" s="247">
        <f>COUNTIF($D$6:D2718,"&lt;&gt;"&amp;"")</f>
        <v>2713</v>
      </c>
      <c r="D2718" s="247">
        <f>'Table S2 Compound Identifiers'!B2720</f>
        <v>0</v>
      </c>
      <c r="E2718" s="247"/>
      <c r="F2718" s="248"/>
      <c r="G2718" s="249"/>
      <c r="H2718" s="330"/>
      <c r="I2718" s="328"/>
      <c r="J2718" s="249"/>
      <c r="K2718" s="330"/>
      <c r="L2718" s="250"/>
      <c r="M2718" s="249"/>
      <c r="N2718" s="330"/>
      <c r="O2718" s="250"/>
      <c r="P2718" s="249"/>
      <c r="Q2718" s="330"/>
      <c r="R2718" s="250"/>
      <c r="S2718" s="249"/>
      <c r="T2718" s="330"/>
      <c r="U2718" s="250"/>
      <c r="V2718" s="249"/>
      <c r="W2718" s="330"/>
      <c r="X2718" s="343"/>
      <c r="Y2718" s="249"/>
      <c r="Z2718" s="330"/>
      <c r="AA2718" s="343"/>
      <c r="AB2718" s="249"/>
      <c r="AC2718" s="330"/>
      <c r="AD2718" s="343"/>
      <c r="AE2718" s="249"/>
      <c r="AF2718" s="330"/>
      <c r="AG2718" s="343"/>
      <c r="AH2718" s="249"/>
      <c r="AI2718" s="330"/>
      <c r="AJ2718" s="343"/>
      <c r="AK2718" s="249"/>
      <c r="AL2718" s="330"/>
      <c r="AM2718" s="343"/>
      <c r="AN2718" s="249"/>
      <c r="AO2718" s="330"/>
      <c r="AP2718" s="343"/>
      <c r="AQ2718" s="249"/>
      <c r="AR2718" s="330"/>
      <c r="AS2718" s="343"/>
      <c r="AT2718" s="249"/>
      <c r="AU2718" s="330"/>
    </row>
    <row r="2719" spans="2:47">
      <c r="B2719" s="247">
        <f>'Table S2 Compound Identifiers'!C2721</f>
        <v>0</v>
      </c>
      <c r="C2719" s="247">
        <f>COUNTIF($D$6:D2719,"&lt;&gt;"&amp;"")</f>
        <v>2714</v>
      </c>
      <c r="D2719" s="247">
        <f>'Table S2 Compound Identifiers'!B2721</f>
        <v>0</v>
      </c>
      <c r="E2719" s="247"/>
      <c r="F2719" s="248"/>
      <c r="G2719" s="249"/>
      <c r="H2719" s="330"/>
      <c r="I2719" s="328"/>
      <c r="J2719" s="249"/>
      <c r="K2719" s="330"/>
      <c r="L2719" s="250"/>
      <c r="M2719" s="249"/>
      <c r="N2719" s="330"/>
      <c r="O2719" s="250"/>
      <c r="P2719" s="249"/>
      <c r="Q2719" s="330"/>
      <c r="R2719" s="250"/>
      <c r="S2719" s="249"/>
      <c r="T2719" s="330"/>
      <c r="U2719" s="250"/>
      <c r="V2719" s="249"/>
      <c r="W2719" s="330"/>
      <c r="X2719" s="343"/>
      <c r="Y2719" s="249"/>
      <c r="Z2719" s="330"/>
      <c r="AA2719" s="343"/>
      <c r="AB2719" s="249"/>
      <c r="AC2719" s="330"/>
      <c r="AD2719" s="343"/>
      <c r="AE2719" s="249"/>
      <c r="AF2719" s="330"/>
      <c r="AG2719" s="343"/>
      <c r="AH2719" s="249"/>
      <c r="AI2719" s="330"/>
      <c r="AJ2719" s="343"/>
      <c r="AK2719" s="249"/>
      <c r="AL2719" s="330"/>
      <c r="AM2719" s="343"/>
      <c r="AN2719" s="249"/>
      <c r="AO2719" s="330"/>
      <c r="AP2719" s="343"/>
      <c r="AQ2719" s="249"/>
      <c r="AR2719" s="330"/>
      <c r="AS2719" s="343"/>
      <c r="AT2719" s="249"/>
      <c r="AU2719" s="330"/>
    </row>
    <row r="2720" spans="2:47">
      <c r="B2720" s="247">
        <f>'Table S2 Compound Identifiers'!C2722</f>
        <v>0</v>
      </c>
      <c r="C2720" s="247">
        <f>COUNTIF($D$6:D2720,"&lt;&gt;"&amp;"")</f>
        <v>2715</v>
      </c>
      <c r="D2720" s="247">
        <f>'Table S2 Compound Identifiers'!B2722</f>
        <v>0</v>
      </c>
      <c r="E2720" s="247"/>
      <c r="F2720" s="248"/>
      <c r="G2720" s="249"/>
      <c r="H2720" s="330"/>
      <c r="I2720" s="328"/>
      <c r="J2720" s="249"/>
      <c r="K2720" s="330"/>
      <c r="L2720" s="250"/>
      <c r="M2720" s="249"/>
      <c r="N2720" s="330"/>
      <c r="O2720" s="250"/>
      <c r="P2720" s="249"/>
      <c r="Q2720" s="330"/>
      <c r="R2720" s="250"/>
      <c r="S2720" s="249"/>
      <c r="T2720" s="330"/>
      <c r="U2720" s="250"/>
      <c r="V2720" s="249"/>
      <c r="W2720" s="330"/>
      <c r="X2720" s="343"/>
      <c r="Y2720" s="249"/>
      <c r="Z2720" s="330"/>
      <c r="AA2720" s="343"/>
      <c r="AB2720" s="249"/>
      <c r="AC2720" s="330"/>
      <c r="AD2720" s="343"/>
      <c r="AE2720" s="249"/>
      <c r="AF2720" s="330"/>
      <c r="AG2720" s="343"/>
      <c r="AH2720" s="249"/>
      <c r="AI2720" s="330"/>
      <c r="AJ2720" s="343"/>
      <c r="AK2720" s="249"/>
      <c r="AL2720" s="330"/>
      <c r="AM2720" s="343"/>
      <c r="AN2720" s="249"/>
      <c r="AO2720" s="330"/>
      <c r="AP2720" s="343"/>
      <c r="AQ2720" s="249"/>
      <c r="AR2720" s="330"/>
      <c r="AS2720" s="343"/>
      <c r="AT2720" s="249"/>
      <c r="AU2720" s="330"/>
    </row>
    <row r="2721" spans="2:47">
      <c r="B2721" s="247">
        <f>'Table S2 Compound Identifiers'!C2723</f>
        <v>0</v>
      </c>
      <c r="C2721" s="247">
        <f>COUNTIF($D$6:D2721,"&lt;&gt;"&amp;"")</f>
        <v>2716</v>
      </c>
      <c r="D2721" s="247">
        <f>'Table S2 Compound Identifiers'!B2723</f>
        <v>0</v>
      </c>
      <c r="E2721" s="247"/>
      <c r="F2721" s="248"/>
      <c r="G2721" s="249"/>
      <c r="H2721" s="330"/>
      <c r="I2721" s="328"/>
      <c r="J2721" s="249"/>
      <c r="K2721" s="330"/>
      <c r="L2721" s="250"/>
      <c r="M2721" s="249"/>
      <c r="N2721" s="330"/>
      <c r="O2721" s="250"/>
      <c r="P2721" s="249"/>
      <c r="Q2721" s="330"/>
      <c r="R2721" s="250"/>
      <c r="S2721" s="249"/>
      <c r="T2721" s="330"/>
      <c r="U2721" s="250"/>
      <c r="V2721" s="249"/>
      <c r="W2721" s="330"/>
      <c r="X2721" s="343"/>
      <c r="Y2721" s="249"/>
      <c r="Z2721" s="330"/>
      <c r="AA2721" s="343"/>
      <c r="AB2721" s="249"/>
      <c r="AC2721" s="330"/>
      <c r="AD2721" s="343"/>
      <c r="AE2721" s="249"/>
      <c r="AF2721" s="330"/>
      <c r="AG2721" s="343"/>
      <c r="AH2721" s="249"/>
      <c r="AI2721" s="330"/>
      <c r="AJ2721" s="343"/>
      <c r="AK2721" s="249"/>
      <c r="AL2721" s="330"/>
      <c r="AM2721" s="343"/>
      <c r="AN2721" s="249"/>
      <c r="AO2721" s="330"/>
      <c r="AP2721" s="343"/>
      <c r="AQ2721" s="249"/>
      <c r="AR2721" s="330"/>
      <c r="AS2721" s="343"/>
      <c r="AT2721" s="249"/>
      <c r="AU2721" s="330"/>
    </row>
    <row r="2722" spans="2:47">
      <c r="B2722" s="247">
        <f>'Table S2 Compound Identifiers'!C2724</f>
        <v>0</v>
      </c>
      <c r="C2722" s="247">
        <f>COUNTIF($D$6:D2722,"&lt;&gt;"&amp;"")</f>
        <v>2717</v>
      </c>
      <c r="D2722" s="247">
        <f>'Table S2 Compound Identifiers'!B2724</f>
        <v>0</v>
      </c>
      <c r="E2722" s="247"/>
      <c r="F2722" s="248"/>
      <c r="G2722" s="249"/>
      <c r="H2722" s="330"/>
      <c r="I2722" s="328"/>
      <c r="J2722" s="249"/>
      <c r="K2722" s="330"/>
      <c r="L2722" s="250"/>
      <c r="M2722" s="249"/>
      <c r="N2722" s="330"/>
      <c r="O2722" s="250"/>
      <c r="P2722" s="249"/>
      <c r="Q2722" s="330"/>
      <c r="R2722" s="250"/>
      <c r="S2722" s="249"/>
      <c r="T2722" s="330"/>
      <c r="U2722" s="250"/>
      <c r="V2722" s="249"/>
      <c r="W2722" s="330"/>
      <c r="X2722" s="343"/>
      <c r="Y2722" s="249"/>
      <c r="Z2722" s="330"/>
      <c r="AA2722" s="343"/>
      <c r="AB2722" s="249"/>
      <c r="AC2722" s="330"/>
      <c r="AD2722" s="343"/>
      <c r="AE2722" s="249"/>
      <c r="AF2722" s="330"/>
      <c r="AG2722" s="343"/>
      <c r="AH2722" s="249"/>
      <c r="AI2722" s="330"/>
      <c r="AJ2722" s="343"/>
      <c r="AK2722" s="249"/>
      <c r="AL2722" s="330"/>
      <c r="AM2722" s="343"/>
      <c r="AN2722" s="249"/>
      <c r="AO2722" s="330"/>
      <c r="AP2722" s="343"/>
      <c r="AQ2722" s="249"/>
      <c r="AR2722" s="330"/>
      <c r="AS2722" s="343"/>
      <c r="AT2722" s="249"/>
      <c r="AU2722" s="330"/>
    </row>
    <row r="2723" spans="2:47">
      <c r="B2723" s="247">
        <f>'Table S2 Compound Identifiers'!C2725</f>
        <v>0</v>
      </c>
      <c r="C2723" s="247">
        <f>COUNTIF($D$6:D2723,"&lt;&gt;"&amp;"")</f>
        <v>2718</v>
      </c>
      <c r="D2723" s="247">
        <f>'Table S2 Compound Identifiers'!B2725</f>
        <v>0</v>
      </c>
      <c r="E2723" s="247"/>
      <c r="F2723" s="248"/>
      <c r="G2723" s="249"/>
      <c r="H2723" s="330"/>
      <c r="I2723" s="328"/>
      <c r="J2723" s="249"/>
      <c r="K2723" s="330"/>
      <c r="L2723" s="250"/>
      <c r="M2723" s="249"/>
      <c r="N2723" s="330"/>
      <c r="O2723" s="250"/>
      <c r="P2723" s="249"/>
      <c r="Q2723" s="330"/>
      <c r="R2723" s="250"/>
      <c r="S2723" s="249"/>
      <c r="T2723" s="330"/>
      <c r="U2723" s="250"/>
      <c r="V2723" s="249"/>
      <c r="W2723" s="330"/>
      <c r="X2723" s="343"/>
      <c r="Y2723" s="249"/>
      <c r="Z2723" s="330"/>
      <c r="AA2723" s="343"/>
      <c r="AB2723" s="249"/>
      <c r="AC2723" s="330"/>
      <c r="AD2723" s="343"/>
      <c r="AE2723" s="249"/>
      <c r="AF2723" s="330"/>
      <c r="AG2723" s="343"/>
      <c r="AH2723" s="249"/>
      <c r="AI2723" s="330"/>
      <c r="AJ2723" s="343"/>
      <c r="AK2723" s="249"/>
      <c r="AL2723" s="330"/>
      <c r="AM2723" s="343"/>
      <c r="AN2723" s="249"/>
      <c r="AO2723" s="330"/>
      <c r="AP2723" s="343"/>
      <c r="AQ2723" s="249"/>
      <c r="AR2723" s="330"/>
      <c r="AS2723" s="343"/>
      <c r="AT2723" s="249"/>
      <c r="AU2723" s="330"/>
    </row>
    <row r="2724" spans="2:47">
      <c r="B2724" s="247">
        <f>'Table S2 Compound Identifiers'!C2726</f>
        <v>0</v>
      </c>
      <c r="C2724" s="247">
        <f>COUNTIF($D$6:D2724,"&lt;&gt;"&amp;"")</f>
        <v>2719</v>
      </c>
      <c r="D2724" s="247">
        <f>'Table S2 Compound Identifiers'!B2726</f>
        <v>0</v>
      </c>
      <c r="E2724" s="247"/>
      <c r="F2724" s="248"/>
      <c r="G2724" s="249"/>
      <c r="H2724" s="330"/>
      <c r="I2724" s="328"/>
      <c r="J2724" s="249"/>
      <c r="K2724" s="330"/>
      <c r="L2724" s="250"/>
      <c r="M2724" s="249"/>
      <c r="N2724" s="330"/>
      <c r="O2724" s="250"/>
      <c r="P2724" s="249"/>
      <c r="Q2724" s="330"/>
      <c r="R2724" s="250"/>
      <c r="S2724" s="249"/>
      <c r="T2724" s="330"/>
      <c r="U2724" s="250"/>
      <c r="V2724" s="249"/>
      <c r="W2724" s="330"/>
      <c r="X2724" s="343"/>
      <c r="Y2724" s="249"/>
      <c r="Z2724" s="330"/>
      <c r="AA2724" s="343"/>
      <c r="AB2724" s="249"/>
      <c r="AC2724" s="330"/>
      <c r="AD2724" s="343"/>
      <c r="AE2724" s="249"/>
      <c r="AF2724" s="330"/>
      <c r="AG2724" s="343"/>
      <c r="AH2724" s="249"/>
      <c r="AI2724" s="330"/>
      <c r="AJ2724" s="343"/>
      <c r="AK2724" s="249"/>
      <c r="AL2724" s="330"/>
      <c r="AM2724" s="343"/>
      <c r="AN2724" s="249"/>
      <c r="AO2724" s="330"/>
      <c r="AP2724" s="343"/>
      <c r="AQ2724" s="249"/>
      <c r="AR2724" s="330"/>
      <c r="AS2724" s="343"/>
      <c r="AT2724" s="249"/>
      <c r="AU2724" s="330"/>
    </row>
    <row r="2725" spans="2:47">
      <c r="B2725" s="247">
        <f>'Table S2 Compound Identifiers'!C2727</f>
        <v>0</v>
      </c>
      <c r="C2725" s="247">
        <f>COUNTIF($D$6:D2725,"&lt;&gt;"&amp;"")</f>
        <v>2720</v>
      </c>
      <c r="D2725" s="247">
        <f>'Table S2 Compound Identifiers'!B2727</f>
        <v>0</v>
      </c>
      <c r="E2725" s="247"/>
      <c r="F2725" s="248"/>
      <c r="G2725" s="249"/>
      <c r="H2725" s="330"/>
      <c r="I2725" s="328"/>
      <c r="J2725" s="249"/>
      <c r="K2725" s="330"/>
      <c r="L2725" s="250"/>
      <c r="M2725" s="249"/>
      <c r="N2725" s="330"/>
      <c r="O2725" s="250"/>
      <c r="P2725" s="249"/>
      <c r="Q2725" s="330"/>
      <c r="R2725" s="250"/>
      <c r="S2725" s="249"/>
      <c r="T2725" s="330"/>
      <c r="U2725" s="250"/>
      <c r="V2725" s="249"/>
      <c r="W2725" s="330"/>
      <c r="X2725" s="343"/>
      <c r="Y2725" s="249"/>
      <c r="Z2725" s="330"/>
      <c r="AA2725" s="343"/>
      <c r="AB2725" s="249"/>
      <c r="AC2725" s="330"/>
      <c r="AD2725" s="343"/>
      <c r="AE2725" s="249"/>
      <c r="AF2725" s="330"/>
      <c r="AG2725" s="343"/>
      <c r="AH2725" s="249"/>
      <c r="AI2725" s="330"/>
      <c r="AJ2725" s="343"/>
      <c r="AK2725" s="249"/>
      <c r="AL2725" s="330"/>
      <c r="AM2725" s="343"/>
      <c r="AN2725" s="249"/>
      <c r="AO2725" s="330"/>
      <c r="AP2725" s="343"/>
      <c r="AQ2725" s="249"/>
      <c r="AR2725" s="330"/>
      <c r="AS2725" s="343"/>
      <c r="AT2725" s="249"/>
      <c r="AU2725" s="330"/>
    </row>
    <row r="2726" spans="2:47">
      <c r="B2726" s="247">
        <f>'Table S2 Compound Identifiers'!C2728</f>
        <v>0</v>
      </c>
      <c r="C2726" s="247">
        <f>COUNTIF($D$6:D2726,"&lt;&gt;"&amp;"")</f>
        <v>2721</v>
      </c>
      <c r="D2726" s="432">
        <f>'Table S2 Compound Identifiers'!B2728</f>
        <v>0</v>
      </c>
      <c r="E2726" s="247"/>
      <c r="F2726" s="248"/>
      <c r="G2726" s="249"/>
      <c r="H2726" s="330"/>
      <c r="I2726" s="328"/>
      <c r="J2726" s="249"/>
      <c r="K2726" s="330"/>
      <c r="L2726" s="250"/>
      <c r="M2726" s="249"/>
      <c r="N2726" s="330"/>
      <c r="O2726" s="250"/>
      <c r="P2726" s="249"/>
      <c r="Q2726" s="330"/>
      <c r="R2726" s="250"/>
      <c r="S2726" s="249"/>
      <c r="T2726" s="330"/>
      <c r="U2726" s="250"/>
      <c r="V2726" s="249"/>
      <c r="W2726" s="330"/>
      <c r="X2726" s="343"/>
      <c r="Y2726" s="249"/>
      <c r="Z2726" s="330"/>
      <c r="AA2726" s="343"/>
      <c r="AB2726" s="249"/>
      <c r="AC2726" s="330"/>
      <c r="AD2726" s="343"/>
      <c r="AE2726" s="249"/>
      <c r="AF2726" s="330"/>
      <c r="AG2726" s="343"/>
      <c r="AH2726" s="249"/>
      <c r="AI2726" s="330"/>
      <c r="AJ2726" s="343"/>
      <c r="AK2726" s="249"/>
      <c r="AL2726" s="330"/>
      <c r="AM2726" s="343"/>
      <c r="AN2726" s="249"/>
      <c r="AO2726" s="330"/>
      <c r="AP2726" s="343"/>
      <c r="AQ2726" s="249"/>
      <c r="AR2726" s="330"/>
      <c r="AS2726" s="343"/>
      <c r="AT2726" s="249"/>
      <c r="AU2726" s="330"/>
    </row>
    <row r="2727" spans="2:47">
      <c r="B2727" s="247">
        <f>'Table S2 Compound Identifiers'!C2729</f>
        <v>0</v>
      </c>
      <c r="C2727" s="247">
        <f>COUNTIF($D$6:D2727,"&lt;&gt;"&amp;"")</f>
        <v>2722</v>
      </c>
      <c r="D2727" s="432">
        <f>'Table S2 Compound Identifiers'!B2729</f>
        <v>0</v>
      </c>
      <c r="E2727" s="247"/>
      <c r="F2727" s="248"/>
      <c r="G2727" s="249"/>
      <c r="H2727" s="330"/>
      <c r="I2727" s="328"/>
      <c r="J2727" s="249"/>
      <c r="K2727" s="330"/>
      <c r="L2727" s="250"/>
      <c r="M2727" s="249"/>
      <c r="N2727" s="330"/>
      <c r="O2727" s="250"/>
      <c r="P2727" s="249"/>
      <c r="Q2727" s="330"/>
      <c r="R2727" s="250"/>
      <c r="S2727" s="249"/>
      <c r="T2727" s="330"/>
      <c r="U2727" s="250"/>
      <c r="V2727" s="249"/>
      <c r="W2727" s="330"/>
      <c r="X2727" s="343"/>
      <c r="Y2727" s="249"/>
      <c r="Z2727" s="330"/>
      <c r="AA2727" s="343"/>
      <c r="AB2727" s="249"/>
      <c r="AC2727" s="330"/>
      <c r="AD2727" s="343"/>
      <c r="AE2727" s="249"/>
      <c r="AF2727" s="330"/>
      <c r="AG2727" s="343"/>
      <c r="AH2727" s="249"/>
      <c r="AI2727" s="330"/>
      <c r="AJ2727" s="343"/>
      <c r="AK2727" s="249"/>
      <c r="AL2727" s="330"/>
      <c r="AM2727" s="343"/>
      <c r="AN2727" s="249"/>
      <c r="AO2727" s="330"/>
      <c r="AP2727" s="343"/>
      <c r="AQ2727" s="249"/>
      <c r="AR2727" s="330"/>
      <c r="AS2727" s="343"/>
      <c r="AT2727" s="249"/>
      <c r="AU2727" s="330"/>
    </row>
    <row r="2728" spans="2:47">
      <c r="B2728" s="247">
        <f>'Table S2 Compound Identifiers'!C2730</f>
        <v>0</v>
      </c>
      <c r="C2728" s="247">
        <f>COUNTIF($D$6:D2728,"&lt;&gt;"&amp;"")</f>
        <v>2723</v>
      </c>
      <c r="D2728" s="432">
        <f>'Table S2 Compound Identifiers'!B2730</f>
        <v>0</v>
      </c>
      <c r="E2728" s="247"/>
      <c r="F2728" s="248"/>
      <c r="G2728" s="249"/>
      <c r="H2728" s="330"/>
      <c r="I2728" s="328"/>
      <c r="J2728" s="249"/>
      <c r="K2728" s="330"/>
      <c r="L2728" s="250"/>
      <c r="M2728" s="249"/>
      <c r="N2728" s="330"/>
      <c r="O2728" s="250"/>
      <c r="P2728" s="249"/>
      <c r="Q2728" s="330"/>
      <c r="R2728" s="250"/>
      <c r="S2728" s="249"/>
      <c r="T2728" s="330"/>
      <c r="U2728" s="250"/>
      <c r="V2728" s="249"/>
      <c r="W2728" s="330"/>
      <c r="X2728" s="343"/>
      <c r="Y2728" s="249"/>
      <c r="Z2728" s="330"/>
      <c r="AA2728" s="343"/>
      <c r="AB2728" s="249"/>
      <c r="AC2728" s="330"/>
      <c r="AD2728" s="343"/>
      <c r="AE2728" s="249"/>
      <c r="AF2728" s="330"/>
      <c r="AG2728" s="343"/>
      <c r="AH2728" s="249"/>
      <c r="AI2728" s="330"/>
      <c r="AJ2728" s="343"/>
      <c r="AK2728" s="249"/>
      <c r="AL2728" s="330"/>
      <c r="AM2728" s="343"/>
      <c r="AN2728" s="249"/>
      <c r="AO2728" s="330"/>
      <c r="AP2728" s="343"/>
      <c r="AQ2728" s="249"/>
      <c r="AR2728" s="330"/>
      <c r="AS2728" s="343"/>
      <c r="AT2728" s="249"/>
      <c r="AU2728" s="330"/>
    </row>
    <row r="2729" spans="2:47">
      <c r="B2729" s="247">
        <f>'Table S2 Compound Identifiers'!C2731</f>
        <v>0</v>
      </c>
      <c r="C2729" s="247">
        <f>COUNTIF($D$6:D2729,"&lt;&gt;"&amp;"")</f>
        <v>2724</v>
      </c>
      <c r="D2729" s="432">
        <f>'Table S2 Compound Identifiers'!B2731</f>
        <v>0</v>
      </c>
      <c r="E2729" s="247"/>
      <c r="F2729" s="248"/>
      <c r="G2729" s="249"/>
      <c r="H2729" s="330"/>
      <c r="I2729" s="328"/>
      <c r="J2729" s="249"/>
      <c r="K2729" s="330"/>
      <c r="L2729" s="250"/>
      <c r="M2729" s="249"/>
      <c r="N2729" s="330"/>
      <c r="O2729" s="250"/>
      <c r="P2729" s="249"/>
      <c r="Q2729" s="330"/>
      <c r="R2729" s="250"/>
      <c r="S2729" s="249"/>
      <c r="T2729" s="330"/>
      <c r="U2729" s="250"/>
      <c r="V2729" s="249"/>
      <c r="W2729" s="330"/>
      <c r="X2729" s="343"/>
      <c r="Y2729" s="249"/>
      <c r="Z2729" s="330"/>
      <c r="AA2729" s="343"/>
      <c r="AB2729" s="249"/>
      <c r="AC2729" s="330"/>
      <c r="AD2729" s="343"/>
      <c r="AE2729" s="249"/>
      <c r="AF2729" s="330"/>
      <c r="AG2729" s="343"/>
      <c r="AH2729" s="249"/>
      <c r="AI2729" s="330"/>
      <c r="AJ2729" s="343"/>
      <c r="AK2729" s="249"/>
      <c r="AL2729" s="330"/>
      <c r="AM2729" s="343"/>
      <c r="AN2729" s="249"/>
      <c r="AO2729" s="330"/>
      <c r="AP2729" s="343"/>
      <c r="AQ2729" s="249"/>
      <c r="AR2729" s="330"/>
      <c r="AS2729" s="343"/>
      <c r="AT2729" s="249"/>
      <c r="AU2729" s="330"/>
    </row>
    <row r="2730" spans="2:47">
      <c r="B2730" s="247">
        <f>'Table S2 Compound Identifiers'!C2732</f>
        <v>0</v>
      </c>
      <c r="C2730" s="247">
        <f>COUNTIF($D$6:D2730,"&lt;&gt;"&amp;"")</f>
        <v>2725</v>
      </c>
      <c r="D2730" s="432">
        <f>'Table S2 Compound Identifiers'!B2732</f>
        <v>0</v>
      </c>
      <c r="E2730" s="247"/>
      <c r="F2730" s="248"/>
      <c r="G2730" s="249"/>
      <c r="H2730" s="330"/>
      <c r="I2730" s="328"/>
      <c r="J2730" s="249"/>
      <c r="K2730" s="330"/>
      <c r="L2730" s="250"/>
      <c r="M2730" s="249"/>
      <c r="N2730" s="330"/>
      <c r="O2730" s="250"/>
      <c r="P2730" s="249"/>
      <c r="Q2730" s="330"/>
      <c r="R2730" s="250"/>
      <c r="S2730" s="249"/>
      <c r="T2730" s="330"/>
      <c r="U2730" s="250"/>
      <c r="V2730" s="249"/>
      <c r="W2730" s="330"/>
      <c r="X2730" s="343"/>
      <c r="Y2730" s="249"/>
      <c r="Z2730" s="330"/>
      <c r="AA2730" s="343"/>
      <c r="AB2730" s="249"/>
      <c r="AC2730" s="330"/>
      <c r="AD2730" s="343"/>
      <c r="AE2730" s="249"/>
      <c r="AF2730" s="330"/>
      <c r="AG2730" s="343"/>
      <c r="AH2730" s="249"/>
      <c r="AI2730" s="330"/>
      <c r="AJ2730" s="343"/>
      <c r="AK2730" s="249"/>
      <c r="AL2730" s="330"/>
      <c r="AM2730" s="343"/>
      <c r="AN2730" s="249"/>
      <c r="AO2730" s="330"/>
      <c r="AP2730" s="343"/>
      <c r="AQ2730" s="249"/>
      <c r="AR2730" s="330"/>
      <c r="AS2730" s="343"/>
      <c r="AT2730" s="249"/>
      <c r="AU2730" s="330"/>
    </row>
    <row r="2731" spans="2:47">
      <c r="B2731" s="247">
        <f>'Table S2 Compound Identifiers'!C2733</f>
        <v>0</v>
      </c>
      <c r="C2731" s="247">
        <f>COUNTIF($D$6:D2731,"&lt;&gt;"&amp;"")</f>
        <v>2726</v>
      </c>
      <c r="D2731" s="432">
        <f>'Table S2 Compound Identifiers'!B2733</f>
        <v>0</v>
      </c>
      <c r="E2731" s="247"/>
      <c r="F2731" s="248"/>
      <c r="G2731" s="249"/>
      <c r="H2731" s="330"/>
      <c r="I2731" s="328"/>
      <c r="J2731" s="249"/>
      <c r="K2731" s="330"/>
      <c r="L2731" s="250"/>
      <c r="M2731" s="249"/>
      <c r="N2731" s="330"/>
      <c r="O2731" s="250"/>
      <c r="P2731" s="249"/>
      <c r="Q2731" s="330"/>
      <c r="R2731" s="250"/>
      <c r="S2731" s="249"/>
      <c r="T2731" s="330"/>
      <c r="U2731" s="250"/>
      <c r="V2731" s="249"/>
      <c r="W2731" s="330"/>
      <c r="X2731" s="343"/>
      <c r="Y2731" s="249"/>
      <c r="Z2731" s="330"/>
      <c r="AA2731" s="343"/>
      <c r="AB2731" s="249"/>
      <c r="AC2731" s="330"/>
      <c r="AD2731" s="343"/>
      <c r="AE2731" s="249"/>
      <c r="AF2731" s="330"/>
      <c r="AG2731" s="343"/>
      <c r="AH2731" s="249"/>
      <c r="AI2731" s="330"/>
      <c r="AJ2731" s="343"/>
      <c r="AK2731" s="249"/>
      <c r="AL2731" s="330"/>
      <c r="AM2731" s="343"/>
      <c r="AN2731" s="249"/>
      <c r="AO2731" s="330"/>
      <c r="AP2731" s="343"/>
      <c r="AQ2731" s="249"/>
      <c r="AR2731" s="330"/>
      <c r="AS2731" s="343"/>
      <c r="AT2731" s="249"/>
      <c r="AU2731" s="330"/>
    </row>
    <row r="2732" spans="2:47">
      <c r="B2732" s="247">
        <f>'Table S2 Compound Identifiers'!C2734</f>
        <v>0</v>
      </c>
      <c r="C2732" s="247">
        <f>COUNTIF($D$6:D2732,"&lt;&gt;"&amp;"")</f>
        <v>2727</v>
      </c>
      <c r="D2732" s="432">
        <f>'Table S2 Compound Identifiers'!B2734</f>
        <v>0</v>
      </c>
      <c r="E2732" s="247"/>
      <c r="F2732" s="248"/>
      <c r="G2732" s="249"/>
      <c r="H2732" s="330"/>
      <c r="I2732" s="328"/>
      <c r="J2732" s="249"/>
      <c r="K2732" s="330"/>
      <c r="L2732" s="250"/>
      <c r="M2732" s="249"/>
      <c r="N2732" s="330"/>
      <c r="O2732" s="250"/>
      <c r="P2732" s="249"/>
      <c r="Q2732" s="330"/>
      <c r="R2732" s="250"/>
      <c r="S2732" s="249"/>
      <c r="T2732" s="330"/>
      <c r="U2732" s="250"/>
      <c r="V2732" s="249"/>
      <c r="W2732" s="330"/>
      <c r="X2732" s="343"/>
      <c r="Y2732" s="249"/>
      <c r="Z2732" s="330"/>
      <c r="AA2732" s="343"/>
      <c r="AB2732" s="249"/>
      <c r="AC2732" s="330"/>
      <c r="AD2732" s="343"/>
      <c r="AE2732" s="249"/>
      <c r="AF2732" s="330"/>
      <c r="AG2732" s="343"/>
      <c r="AH2732" s="249"/>
      <c r="AI2732" s="330"/>
      <c r="AJ2732" s="343"/>
      <c r="AK2732" s="249"/>
      <c r="AL2732" s="330"/>
      <c r="AM2732" s="343"/>
      <c r="AN2732" s="249"/>
      <c r="AO2732" s="330"/>
      <c r="AP2732" s="343"/>
      <c r="AQ2732" s="249"/>
      <c r="AR2732" s="330"/>
      <c r="AS2732" s="343"/>
      <c r="AT2732" s="249"/>
      <c r="AU2732" s="330"/>
    </row>
    <row r="2733" spans="2:47">
      <c r="B2733" s="247">
        <f>'Table S2 Compound Identifiers'!C2735</f>
        <v>0</v>
      </c>
      <c r="C2733" s="247">
        <f>COUNTIF($D$6:D2733,"&lt;&gt;"&amp;"")</f>
        <v>2728</v>
      </c>
      <c r="D2733" s="432">
        <f>'Table S2 Compound Identifiers'!B2735</f>
        <v>0</v>
      </c>
      <c r="E2733" s="247"/>
      <c r="F2733" s="248"/>
      <c r="G2733" s="249"/>
      <c r="H2733" s="330"/>
      <c r="I2733" s="328"/>
      <c r="J2733" s="249"/>
      <c r="K2733" s="330"/>
      <c r="L2733" s="250"/>
      <c r="M2733" s="249"/>
      <c r="N2733" s="330"/>
      <c r="O2733" s="250"/>
      <c r="P2733" s="249"/>
      <c r="Q2733" s="330"/>
      <c r="R2733" s="250"/>
      <c r="S2733" s="249"/>
      <c r="T2733" s="330"/>
      <c r="U2733" s="250"/>
      <c r="V2733" s="249"/>
      <c r="W2733" s="330"/>
      <c r="X2733" s="343"/>
      <c r="Y2733" s="249"/>
      <c r="Z2733" s="330"/>
      <c r="AA2733" s="343"/>
      <c r="AB2733" s="249"/>
      <c r="AC2733" s="330"/>
      <c r="AD2733" s="343"/>
      <c r="AE2733" s="249"/>
      <c r="AF2733" s="330"/>
      <c r="AG2733" s="343"/>
      <c r="AH2733" s="249"/>
      <c r="AI2733" s="330"/>
      <c r="AJ2733" s="343"/>
      <c r="AK2733" s="249"/>
      <c r="AL2733" s="330"/>
      <c r="AM2733" s="343"/>
      <c r="AN2733" s="249"/>
      <c r="AO2733" s="330"/>
      <c r="AP2733" s="343"/>
      <c r="AQ2733" s="249"/>
      <c r="AR2733" s="330"/>
      <c r="AS2733" s="343"/>
      <c r="AT2733" s="249"/>
      <c r="AU2733" s="330"/>
    </row>
    <row r="2734" spans="2:47">
      <c r="B2734" s="247">
        <f>'Table S2 Compound Identifiers'!C2736</f>
        <v>0</v>
      </c>
      <c r="C2734" s="247">
        <f>COUNTIF($D$6:D2734,"&lt;&gt;"&amp;"")</f>
        <v>2729</v>
      </c>
      <c r="D2734" s="432">
        <f>'Table S2 Compound Identifiers'!B2736</f>
        <v>0</v>
      </c>
      <c r="E2734" s="247"/>
      <c r="F2734" s="248"/>
      <c r="G2734" s="249"/>
      <c r="H2734" s="330"/>
      <c r="I2734" s="328"/>
      <c r="J2734" s="249"/>
      <c r="K2734" s="330"/>
      <c r="L2734" s="250"/>
      <c r="M2734" s="249"/>
      <c r="N2734" s="330"/>
      <c r="O2734" s="250"/>
      <c r="P2734" s="249"/>
      <c r="Q2734" s="330"/>
      <c r="R2734" s="250"/>
      <c r="S2734" s="249"/>
      <c r="T2734" s="330"/>
      <c r="U2734" s="250"/>
      <c r="V2734" s="249"/>
      <c r="W2734" s="330"/>
      <c r="X2734" s="343"/>
      <c r="Y2734" s="249"/>
      <c r="Z2734" s="330"/>
      <c r="AA2734" s="343"/>
      <c r="AB2734" s="249"/>
      <c r="AC2734" s="330"/>
      <c r="AD2734" s="343"/>
      <c r="AE2734" s="249"/>
      <c r="AF2734" s="330"/>
      <c r="AG2734" s="343"/>
      <c r="AH2734" s="249"/>
      <c r="AI2734" s="330"/>
      <c r="AJ2734" s="343"/>
      <c r="AK2734" s="249"/>
      <c r="AL2734" s="330"/>
      <c r="AM2734" s="343"/>
      <c r="AN2734" s="249"/>
      <c r="AO2734" s="330"/>
      <c r="AP2734" s="343"/>
      <c r="AQ2734" s="249"/>
      <c r="AR2734" s="330"/>
      <c r="AS2734" s="343"/>
      <c r="AT2734" s="249"/>
      <c r="AU2734" s="330"/>
    </row>
    <row r="2735" spans="2:47">
      <c r="B2735" s="247">
        <f>'Table S2 Compound Identifiers'!C2737</f>
        <v>0</v>
      </c>
      <c r="C2735" s="247">
        <f>COUNTIF($D$6:D2735,"&lt;&gt;"&amp;"")</f>
        <v>2730</v>
      </c>
      <c r="D2735" s="432">
        <f>'Table S2 Compound Identifiers'!B2737</f>
        <v>0</v>
      </c>
      <c r="E2735" s="247"/>
      <c r="F2735" s="248"/>
      <c r="G2735" s="249"/>
      <c r="H2735" s="330"/>
      <c r="I2735" s="328"/>
      <c r="J2735" s="249"/>
      <c r="K2735" s="330"/>
      <c r="L2735" s="250"/>
      <c r="M2735" s="249"/>
      <c r="N2735" s="330"/>
      <c r="O2735" s="250"/>
      <c r="P2735" s="249"/>
      <c r="Q2735" s="330"/>
      <c r="R2735" s="250"/>
      <c r="S2735" s="249"/>
      <c r="T2735" s="330"/>
      <c r="U2735" s="250"/>
      <c r="V2735" s="249"/>
      <c r="W2735" s="330"/>
      <c r="X2735" s="343"/>
      <c r="Y2735" s="249"/>
      <c r="Z2735" s="330"/>
      <c r="AA2735" s="343"/>
      <c r="AB2735" s="249"/>
      <c r="AC2735" s="330"/>
      <c r="AD2735" s="343"/>
      <c r="AE2735" s="249"/>
      <c r="AF2735" s="330"/>
      <c r="AG2735" s="343"/>
      <c r="AH2735" s="249"/>
      <c r="AI2735" s="330"/>
      <c r="AJ2735" s="343"/>
      <c r="AK2735" s="249"/>
      <c r="AL2735" s="330"/>
      <c r="AM2735" s="343"/>
      <c r="AN2735" s="249"/>
      <c r="AO2735" s="330"/>
      <c r="AP2735" s="343"/>
      <c r="AQ2735" s="249"/>
      <c r="AR2735" s="330"/>
      <c r="AS2735" s="343"/>
      <c r="AT2735" s="249"/>
      <c r="AU2735" s="330"/>
    </row>
    <row r="2736" spans="2:47">
      <c r="B2736" s="247">
        <f>'Table S2 Compound Identifiers'!C2738</f>
        <v>0</v>
      </c>
      <c r="C2736" s="247">
        <f>COUNTIF($D$6:D2736,"&lt;&gt;"&amp;"")</f>
        <v>2731</v>
      </c>
      <c r="D2736" s="247">
        <f>'Table S2 Compound Identifiers'!B2738</f>
        <v>0</v>
      </c>
      <c r="E2736" s="247"/>
      <c r="F2736" s="248"/>
      <c r="G2736" s="249"/>
      <c r="H2736" s="330"/>
      <c r="I2736" s="328"/>
      <c r="J2736" s="249"/>
      <c r="K2736" s="330"/>
      <c r="L2736" s="250"/>
      <c r="M2736" s="249"/>
      <c r="N2736" s="330"/>
      <c r="O2736" s="250"/>
      <c r="P2736" s="249"/>
      <c r="Q2736" s="330"/>
      <c r="R2736" s="250"/>
      <c r="S2736" s="249"/>
      <c r="T2736" s="330"/>
      <c r="U2736" s="250"/>
      <c r="V2736" s="249"/>
      <c r="W2736" s="330"/>
      <c r="X2736" s="343"/>
      <c r="Y2736" s="249"/>
      <c r="Z2736" s="330"/>
      <c r="AA2736" s="343"/>
      <c r="AB2736" s="249"/>
      <c r="AC2736" s="330"/>
      <c r="AD2736" s="343"/>
      <c r="AE2736" s="249"/>
      <c r="AF2736" s="330"/>
      <c r="AG2736" s="343"/>
      <c r="AH2736" s="249"/>
      <c r="AI2736" s="330"/>
      <c r="AJ2736" s="343"/>
      <c r="AK2736" s="249"/>
      <c r="AL2736" s="330"/>
      <c r="AM2736" s="343"/>
      <c r="AN2736" s="249"/>
      <c r="AO2736" s="330"/>
      <c r="AP2736" s="343"/>
      <c r="AQ2736" s="249"/>
      <c r="AR2736" s="330"/>
      <c r="AS2736" s="343"/>
      <c r="AT2736" s="249"/>
      <c r="AU2736" s="330"/>
    </row>
    <row r="2737" spans="2:47">
      <c r="B2737" s="247">
        <f>'Table S2 Compound Identifiers'!C2739</f>
        <v>0</v>
      </c>
      <c r="C2737" s="247">
        <f>COUNTIF($D$6:D2737,"&lt;&gt;"&amp;"")</f>
        <v>2732</v>
      </c>
      <c r="D2737" s="247">
        <f>'Table S2 Compound Identifiers'!B2739</f>
        <v>0</v>
      </c>
      <c r="E2737" s="247"/>
      <c r="F2737" s="248"/>
      <c r="G2737" s="249"/>
      <c r="H2737" s="330"/>
      <c r="I2737" s="328"/>
      <c r="J2737" s="249"/>
      <c r="K2737" s="330"/>
      <c r="L2737" s="250"/>
      <c r="M2737" s="249"/>
      <c r="N2737" s="330"/>
      <c r="O2737" s="250"/>
      <c r="P2737" s="249"/>
      <c r="Q2737" s="330"/>
      <c r="R2737" s="250"/>
      <c r="S2737" s="249"/>
      <c r="T2737" s="330"/>
      <c r="U2737" s="250"/>
      <c r="V2737" s="249"/>
      <c r="W2737" s="330"/>
      <c r="X2737" s="343"/>
      <c r="Y2737" s="249"/>
      <c r="Z2737" s="330"/>
      <c r="AA2737" s="343"/>
      <c r="AB2737" s="249"/>
      <c r="AC2737" s="330"/>
      <c r="AD2737" s="343"/>
      <c r="AE2737" s="249"/>
      <c r="AF2737" s="330"/>
      <c r="AG2737" s="343"/>
      <c r="AH2737" s="249"/>
      <c r="AI2737" s="330"/>
      <c r="AJ2737" s="343"/>
      <c r="AK2737" s="249"/>
      <c r="AL2737" s="330"/>
      <c r="AM2737" s="343"/>
      <c r="AN2737" s="249"/>
      <c r="AO2737" s="330"/>
      <c r="AP2737" s="343"/>
      <c r="AQ2737" s="249"/>
      <c r="AR2737" s="330"/>
      <c r="AS2737" s="343"/>
      <c r="AT2737" s="249"/>
      <c r="AU2737" s="330"/>
    </row>
    <row r="2738" spans="2:47">
      <c r="B2738" s="247">
        <f>'Table S2 Compound Identifiers'!C2740</f>
        <v>0</v>
      </c>
      <c r="C2738" s="247">
        <f>COUNTIF($D$6:D2738,"&lt;&gt;"&amp;"")</f>
        <v>2733</v>
      </c>
      <c r="D2738" s="247">
        <f>'Table S2 Compound Identifiers'!B2740</f>
        <v>0</v>
      </c>
      <c r="E2738" s="247"/>
      <c r="F2738" s="248"/>
      <c r="G2738" s="249"/>
      <c r="H2738" s="330"/>
      <c r="I2738" s="328"/>
      <c r="J2738" s="249"/>
      <c r="K2738" s="330"/>
      <c r="L2738" s="250"/>
      <c r="M2738" s="249"/>
      <c r="N2738" s="330"/>
      <c r="O2738" s="250"/>
      <c r="P2738" s="249"/>
      <c r="Q2738" s="330"/>
      <c r="R2738" s="250"/>
      <c r="S2738" s="249"/>
      <c r="T2738" s="330"/>
      <c r="U2738" s="250"/>
      <c r="V2738" s="249"/>
      <c r="W2738" s="330"/>
      <c r="X2738" s="343"/>
      <c r="Y2738" s="249"/>
      <c r="Z2738" s="330"/>
      <c r="AA2738" s="343"/>
      <c r="AB2738" s="249"/>
      <c r="AC2738" s="330"/>
      <c r="AD2738" s="343"/>
      <c r="AE2738" s="249"/>
      <c r="AF2738" s="330"/>
      <c r="AG2738" s="343"/>
      <c r="AH2738" s="249"/>
      <c r="AI2738" s="330"/>
      <c r="AJ2738" s="343"/>
      <c r="AK2738" s="249"/>
      <c r="AL2738" s="330"/>
      <c r="AM2738" s="343"/>
      <c r="AN2738" s="249"/>
      <c r="AO2738" s="330"/>
      <c r="AP2738" s="343"/>
      <c r="AQ2738" s="249"/>
      <c r="AR2738" s="330"/>
      <c r="AS2738" s="343"/>
      <c r="AT2738" s="249"/>
      <c r="AU2738" s="330"/>
    </row>
    <row r="2739" spans="2:47">
      <c r="B2739" s="247">
        <f>'Table S2 Compound Identifiers'!C2741</f>
        <v>0</v>
      </c>
      <c r="C2739" s="247">
        <f>COUNTIF($D$6:D2739,"&lt;&gt;"&amp;"")</f>
        <v>2734</v>
      </c>
      <c r="D2739" s="247">
        <f>'Table S2 Compound Identifiers'!B2741</f>
        <v>0</v>
      </c>
      <c r="E2739" s="247"/>
      <c r="F2739" s="248"/>
      <c r="G2739" s="249"/>
      <c r="H2739" s="330"/>
      <c r="I2739" s="328"/>
      <c r="J2739" s="249"/>
      <c r="K2739" s="330"/>
      <c r="L2739" s="250"/>
      <c r="M2739" s="249"/>
      <c r="N2739" s="330"/>
      <c r="O2739" s="250"/>
      <c r="P2739" s="249"/>
      <c r="Q2739" s="330"/>
      <c r="R2739" s="250"/>
      <c r="S2739" s="249"/>
      <c r="T2739" s="330"/>
      <c r="U2739" s="250"/>
      <c r="V2739" s="249"/>
      <c r="W2739" s="330"/>
      <c r="X2739" s="343"/>
      <c r="Y2739" s="249"/>
      <c r="Z2739" s="330"/>
      <c r="AA2739" s="343"/>
      <c r="AB2739" s="249"/>
      <c r="AC2739" s="330"/>
      <c r="AD2739" s="343"/>
      <c r="AE2739" s="249"/>
      <c r="AF2739" s="330"/>
      <c r="AG2739" s="343"/>
      <c r="AH2739" s="249"/>
      <c r="AI2739" s="330"/>
      <c r="AJ2739" s="343"/>
      <c r="AK2739" s="249"/>
      <c r="AL2739" s="330"/>
      <c r="AM2739" s="343"/>
      <c r="AN2739" s="249"/>
      <c r="AO2739" s="330"/>
      <c r="AP2739" s="343"/>
      <c r="AQ2739" s="249"/>
      <c r="AR2739" s="330"/>
      <c r="AS2739" s="343"/>
      <c r="AT2739" s="249"/>
      <c r="AU2739" s="330"/>
    </row>
    <row r="2740" spans="2:47">
      <c r="B2740" s="247">
        <f>'Table S2 Compound Identifiers'!C2742</f>
        <v>0</v>
      </c>
      <c r="C2740" s="247">
        <f>COUNTIF($D$6:D2740,"&lt;&gt;"&amp;"")</f>
        <v>2735</v>
      </c>
      <c r="D2740" s="247">
        <f>'Table S2 Compound Identifiers'!B2742</f>
        <v>0</v>
      </c>
      <c r="E2740" s="247"/>
      <c r="F2740" s="248"/>
      <c r="G2740" s="249"/>
      <c r="H2740" s="330"/>
      <c r="I2740" s="328"/>
      <c r="J2740" s="249"/>
      <c r="K2740" s="330"/>
      <c r="L2740" s="250"/>
      <c r="M2740" s="249"/>
      <c r="N2740" s="330"/>
      <c r="O2740" s="250"/>
      <c r="P2740" s="249"/>
      <c r="Q2740" s="330"/>
      <c r="R2740" s="250"/>
      <c r="S2740" s="249"/>
      <c r="T2740" s="330"/>
      <c r="U2740" s="250"/>
      <c r="V2740" s="249"/>
      <c r="W2740" s="330"/>
      <c r="X2740" s="343"/>
      <c r="Y2740" s="249"/>
      <c r="Z2740" s="330"/>
      <c r="AA2740" s="343"/>
      <c r="AB2740" s="249"/>
      <c r="AC2740" s="330"/>
      <c r="AD2740" s="343"/>
      <c r="AE2740" s="249"/>
      <c r="AF2740" s="330"/>
      <c r="AG2740" s="343"/>
      <c r="AH2740" s="249"/>
      <c r="AI2740" s="330"/>
      <c r="AJ2740" s="343"/>
      <c r="AK2740" s="249"/>
      <c r="AL2740" s="330"/>
      <c r="AM2740" s="343"/>
      <c r="AN2740" s="249"/>
      <c r="AO2740" s="330"/>
      <c r="AP2740" s="343"/>
      <c r="AQ2740" s="249"/>
      <c r="AR2740" s="330"/>
      <c r="AS2740" s="343"/>
      <c r="AT2740" s="249"/>
      <c r="AU2740" s="330"/>
    </row>
    <row r="2741" spans="2:47">
      <c r="B2741" s="247">
        <f>'Table S2 Compound Identifiers'!C2743</f>
        <v>0</v>
      </c>
      <c r="C2741" s="247">
        <f>COUNTIF($D$6:D2741,"&lt;&gt;"&amp;"")</f>
        <v>2736</v>
      </c>
      <c r="D2741" s="247">
        <f>'Table S2 Compound Identifiers'!B2743</f>
        <v>0</v>
      </c>
      <c r="E2741" s="247"/>
      <c r="F2741" s="248"/>
      <c r="G2741" s="249"/>
      <c r="H2741" s="330"/>
      <c r="I2741" s="328"/>
      <c r="J2741" s="249"/>
      <c r="K2741" s="330"/>
      <c r="L2741" s="250"/>
      <c r="M2741" s="249"/>
      <c r="N2741" s="330"/>
      <c r="O2741" s="250"/>
      <c r="P2741" s="249"/>
      <c r="Q2741" s="330"/>
      <c r="R2741" s="250"/>
      <c r="S2741" s="249"/>
      <c r="T2741" s="330"/>
      <c r="U2741" s="250"/>
      <c r="V2741" s="249"/>
      <c r="W2741" s="330"/>
      <c r="X2741" s="343"/>
      <c r="Y2741" s="249"/>
      <c r="Z2741" s="330"/>
      <c r="AA2741" s="343"/>
      <c r="AB2741" s="249"/>
      <c r="AC2741" s="330"/>
      <c r="AD2741" s="343"/>
      <c r="AE2741" s="249"/>
      <c r="AF2741" s="330"/>
      <c r="AG2741" s="343"/>
      <c r="AH2741" s="249"/>
      <c r="AI2741" s="330"/>
      <c r="AJ2741" s="343"/>
      <c r="AK2741" s="249"/>
      <c r="AL2741" s="330"/>
      <c r="AM2741" s="343"/>
      <c r="AN2741" s="249"/>
      <c r="AO2741" s="330"/>
      <c r="AP2741" s="343"/>
      <c r="AQ2741" s="249"/>
      <c r="AR2741" s="330"/>
      <c r="AS2741" s="343"/>
      <c r="AT2741" s="249"/>
      <c r="AU2741" s="330"/>
    </row>
    <row r="2742" spans="2:47">
      <c r="B2742" s="247">
        <f>'Table S2 Compound Identifiers'!C2744</f>
        <v>0</v>
      </c>
      <c r="C2742" s="247">
        <f>COUNTIF($D$6:D2742,"&lt;&gt;"&amp;"")</f>
        <v>2737</v>
      </c>
      <c r="D2742" s="247">
        <f>'Table S2 Compound Identifiers'!B2744</f>
        <v>0</v>
      </c>
      <c r="E2742" s="247"/>
      <c r="F2742" s="248"/>
      <c r="G2742" s="249"/>
      <c r="H2742" s="330"/>
      <c r="I2742" s="328"/>
      <c r="J2742" s="249"/>
      <c r="K2742" s="330"/>
      <c r="L2742" s="250"/>
      <c r="M2742" s="249"/>
      <c r="N2742" s="330"/>
      <c r="O2742" s="251"/>
      <c r="P2742" s="252"/>
      <c r="Q2742" s="330"/>
      <c r="R2742" s="251"/>
      <c r="S2742" s="252"/>
      <c r="T2742" s="330"/>
      <c r="U2742" s="251"/>
      <c r="V2742" s="252"/>
      <c r="W2742" s="330"/>
      <c r="X2742" s="343"/>
      <c r="Y2742" s="249"/>
      <c r="Z2742" s="330"/>
      <c r="AA2742" s="343"/>
      <c r="AB2742" s="249"/>
      <c r="AC2742" s="330"/>
      <c r="AD2742" s="343"/>
      <c r="AE2742" s="249"/>
      <c r="AF2742" s="330"/>
      <c r="AG2742" s="343"/>
      <c r="AH2742" s="249"/>
      <c r="AI2742" s="330"/>
      <c r="AJ2742" s="343"/>
      <c r="AK2742" s="249"/>
      <c r="AL2742" s="330"/>
      <c r="AM2742" s="343"/>
      <c r="AN2742" s="249"/>
      <c r="AO2742" s="330"/>
      <c r="AP2742" s="343"/>
      <c r="AQ2742" s="249"/>
      <c r="AR2742" s="330"/>
      <c r="AS2742" s="343"/>
      <c r="AT2742" s="249"/>
      <c r="AU2742" s="330"/>
    </row>
    <row r="2743" spans="2:47">
      <c r="B2743" s="247">
        <f>'Table S2 Compound Identifiers'!C2745</f>
        <v>0</v>
      </c>
      <c r="C2743" s="253">
        <f>COUNTIF($D$6:D2743,"&lt;&gt;"&amp;"")</f>
        <v>2738</v>
      </c>
      <c r="D2743" s="253">
        <f>'Table S2 Compound Identifiers'!B2745</f>
        <v>0</v>
      </c>
      <c r="E2743" s="253"/>
      <c r="F2743" s="254"/>
      <c r="G2743" s="252"/>
      <c r="H2743" s="330"/>
      <c r="I2743" s="333"/>
      <c r="J2743" s="252"/>
      <c r="K2743" s="330"/>
      <c r="L2743" s="251"/>
      <c r="M2743" s="252"/>
      <c r="N2743" s="330"/>
      <c r="O2743" s="251"/>
      <c r="P2743" s="252"/>
      <c r="Q2743" s="330"/>
      <c r="R2743" s="251"/>
      <c r="S2743" s="252"/>
      <c r="T2743" s="330"/>
      <c r="U2743" s="251"/>
      <c r="V2743" s="252"/>
      <c r="W2743" s="330"/>
      <c r="X2743" s="343"/>
      <c r="Y2743" s="249"/>
      <c r="Z2743" s="330"/>
      <c r="AA2743" s="343"/>
      <c r="AB2743" s="249"/>
      <c r="AC2743" s="330"/>
      <c r="AD2743" s="343"/>
      <c r="AE2743" s="249"/>
      <c r="AF2743" s="330"/>
      <c r="AG2743" s="343"/>
      <c r="AH2743" s="249"/>
      <c r="AI2743" s="330"/>
      <c r="AJ2743" s="343"/>
      <c r="AK2743" s="249"/>
      <c r="AL2743" s="330"/>
      <c r="AM2743" s="343"/>
      <c r="AN2743" s="249"/>
      <c r="AO2743" s="330"/>
      <c r="AP2743" s="343"/>
      <c r="AQ2743" s="249"/>
      <c r="AR2743" s="330"/>
      <c r="AS2743" s="343"/>
      <c r="AT2743" s="249"/>
      <c r="AU2743" s="330"/>
    </row>
    <row r="2744" spans="2:47">
      <c r="B2744" s="247">
        <f>'Table S2 Compound Identifiers'!C2746</f>
        <v>0</v>
      </c>
      <c r="C2744" s="247">
        <f>COUNTIF($D$6:D2744,"&lt;&gt;"&amp;"")</f>
        <v>2739</v>
      </c>
      <c r="D2744" s="247">
        <f>'Table S2 Compound Identifiers'!B2746</f>
        <v>0</v>
      </c>
      <c r="E2744" s="247"/>
      <c r="F2744" s="248"/>
      <c r="G2744" s="250"/>
      <c r="H2744" s="330"/>
      <c r="I2744" s="343"/>
      <c r="J2744" s="249"/>
      <c r="K2744" s="327"/>
      <c r="L2744" s="343"/>
      <c r="M2744" s="249"/>
      <c r="N2744" s="327"/>
      <c r="O2744" s="343"/>
      <c r="P2744" s="249"/>
      <c r="Q2744" s="327"/>
      <c r="R2744" s="343"/>
      <c r="S2744" s="249"/>
      <c r="T2744" s="327"/>
      <c r="U2744" s="343"/>
      <c r="V2744" s="249"/>
      <c r="W2744" s="327"/>
      <c r="X2744" s="343"/>
      <c r="Y2744" s="249"/>
      <c r="Z2744" s="327"/>
      <c r="AA2744" s="343"/>
      <c r="AB2744" s="249"/>
      <c r="AC2744" s="343"/>
      <c r="AD2744" s="343"/>
      <c r="AE2744" s="249"/>
      <c r="AF2744" s="249"/>
      <c r="AG2744" s="343"/>
      <c r="AH2744" s="249"/>
      <c r="AI2744" s="343"/>
      <c r="AJ2744" s="343"/>
      <c r="AK2744" s="249"/>
      <c r="AL2744" s="249"/>
      <c r="AM2744" s="343"/>
      <c r="AN2744" s="249"/>
      <c r="AO2744" s="343"/>
      <c r="AP2744" s="343"/>
      <c r="AQ2744" s="249"/>
      <c r="AR2744" s="249"/>
      <c r="AS2744" s="343"/>
      <c r="AT2744" s="249"/>
      <c r="AU2744" s="343"/>
    </row>
    <row r="2745" spans="2:47">
      <c r="B2745" s="247">
        <f>'Table S2 Compound Identifiers'!C2747</f>
        <v>0</v>
      </c>
      <c r="C2745" s="247">
        <f>COUNTIF($D$6:D2745,"&lt;&gt;"&amp;"")</f>
        <v>2740</v>
      </c>
      <c r="D2745" s="247">
        <f>'Table S2 Compound Identifiers'!B2747</f>
        <v>0</v>
      </c>
      <c r="E2745" s="247"/>
      <c r="F2745" s="248"/>
      <c r="G2745" s="249"/>
      <c r="H2745" s="330"/>
      <c r="I2745" s="332"/>
      <c r="J2745" s="330"/>
      <c r="K2745" s="330"/>
      <c r="L2745" s="330"/>
      <c r="M2745" s="330"/>
      <c r="N2745" s="330"/>
      <c r="O2745" s="330"/>
      <c r="P2745" s="330"/>
      <c r="Q2745" s="330"/>
      <c r="R2745" s="330"/>
      <c r="S2745" s="330"/>
      <c r="T2745" s="330"/>
      <c r="U2745" s="330"/>
      <c r="V2745" s="330"/>
      <c r="W2745" s="330"/>
      <c r="X2745" s="343"/>
      <c r="Y2745" s="249"/>
      <c r="Z2745" s="330"/>
      <c r="AA2745" s="343"/>
      <c r="AB2745" s="249"/>
      <c r="AC2745" s="330"/>
      <c r="AD2745" s="343"/>
      <c r="AE2745" s="249"/>
      <c r="AF2745" s="330"/>
      <c r="AG2745" s="343"/>
      <c r="AH2745" s="249"/>
      <c r="AI2745" s="330"/>
      <c r="AJ2745" s="343"/>
      <c r="AK2745" s="249"/>
      <c r="AL2745" s="330"/>
      <c r="AM2745" s="343"/>
      <c r="AN2745" s="249"/>
      <c r="AO2745" s="330"/>
      <c r="AP2745" s="343"/>
      <c r="AQ2745" s="249"/>
      <c r="AR2745" s="330"/>
      <c r="AS2745" s="343"/>
      <c r="AT2745" s="249"/>
      <c r="AU2745" s="330"/>
    </row>
    <row r="2746" spans="2:47">
      <c r="B2746" s="247">
        <f>'Table S2 Compound Identifiers'!C2748</f>
        <v>0</v>
      </c>
      <c r="C2746" s="247">
        <f>COUNTIF($D$6:D2746,"&lt;&gt;"&amp;"")</f>
        <v>2741</v>
      </c>
      <c r="D2746" s="247">
        <f>'Table S2 Compound Identifiers'!B2748</f>
        <v>0</v>
      </c>
      <c r="E2746" s="247"/>
      <c r="F2746" s="248"/>
      <c r="G2746" s="249"/>
      <c r="H2746" s="330"/>
      <c r="I2746" s="332"/>
      <c r="J2746" s="330"/>
      <c r="K2746" s="330"/>
      <c r="L2746" s="330"/>
      <c r="M2746" s="330"/>
      <c r="N2746" s="330"/>
      <c r="O2746" s="330"/>
      <c r="P2746" s="330"/>
      <c r="Q2746" s="330"/>
      <c r="R2746" s="330"/>
      <c r="S2746" s="330"/>
      <c r="T2746" s="330"/>
      <c r="U2746" s="330"/>
      <c r="V2746" s="330"/>
      <c r="W2746" s="330"/>
      <c r="X2746" s="343"/>
      <c r="Y2746" s="249"/>
      <c r="Z2746" s="330"/>
      <c r="AA2746" s="343"/>
      <c r="AB2746" s="249"/>
      <c r="AC2746" s="330"/>
      <c r="AD2746" s="343"/>
      <c r="AE2746" s="249"/>
      <c r="AF2746" s="330"/>
      <c r="AG2746" s="343"/>
      <c r="AH2746" s="249"/>
      <c r="AI2746" s="330"/>
      <c r="AJ2746" s="343"/>
      <c r="AK2746" s="249"/>
      <c r="AL2746" s="330"/>
      <c r="AM2746" s="343"/>
      <c r="AN2746" s="249"/>
      <c r="AO2746" s="330"/>
      <c r="AP2746" s="343"/>
      <c r="AQ2746" s="249"/>
      <c r="AR2746" s="330"/>
      <c r="AS2746" s="343"/>
      <c r="AT2746" s="249"/>
      <c r="AU2746" s="330"/>
    </row>
    <row r="2747" spans="2:47">
      <c r="B2747" s="247">
        <f>'Table S2 Compound Identifiers'!C2749</f>
        <v>0</v>
      </c>
      <c r="C2747" s="247">
        <f>COUNTIF($D$6:D2747,"&lt;&gt;"&amp;"")</f>
        <v>2742</v>
      </c>
      <c r="D2747" s="247">
        <f>'Table S2 Compound Identifiers'!B2749</f>
        <v>0</v>
      </c>
      <c r="E2747" s="247"/>
      <c r="F2747" s="248"/>
      <c r="G2747" s="249"/>
      <c r="H2747" s="330"/>
      <c r="I2747" s="332"/>
      <c r="J2747" s="330"/>
      <c r="K2747" s="330"/>
      <c r="L2747" s="330"/>
      <c r="M2747" s="330"/>
      <c r="N2747" s="330"/>
      <c r="O2747" s="330"/>
      <c r="P2747" s="330"/>
      <c r="Q2747" s="330"/>
      <c r="R2747" s="330"/>
      <c r="S2747" s="330"/>
      <c r="T2747" s="330"/>
      <c r="U2747" s="330"/>
      <c r="V2747" s="330"/>
      <c r="W2747" s="330"/>
      <c r="X2747" s="343"/>
      <c r="Y2747" s="249"/>
      <c r="Z2747" s="330"/>
      <c r="AA2747" s="343"/>
      <c r="AB2747" s="249"/>
      <c r="AC2747" s="330"/>
      <c r="AD2747" s="343"/>
      <c r="AE2747" s="249"/>
      <c r="AF2747" s="330"/>
      <c r="AG2747" s="343"/>
      <c r="AH2747" s="249"/>
      <c r="AI2747" s="330"/>
      <c r="AJ2747" s="343"/>
      <c r="AK2747" s="249"/>
      <c r="AL2747" s="330"/>
      <c r="AM2747" s="343"/>
      <c r="AN2747" s="249"/>
      <c r="AO2747" s="330"/>
      <c r="AP2747" s="343"/>
      <c r="AQ2747" s="249"/>
      <c r="AR2747" s="330"/>
      <c r="AS2747" s="343"/>
      <c r="AT2747" s="249"/>
      <c r="AU2747" s="330"/>
    </row>
    <row r="2748" spans="2:47">
      <c r="B2748" s="247">
        <f>'Table S2 Compound Identifiers'!C2750</f>
        <v>0</v>
      </c>
      <c r="C2748" s="247">
        <f>COUNTIF($D$6:D2748,"&lt;&gt;"&amp;"")</f>
        <v>2743</v>
      </c>
      <c r="D2748" s="247">
        <f>'Table S2 Compound Identifiers'!B2750</f>
        <v>0</v>
      </c>
      <c r="E2748" s="247"/>
      <c r="F2748" s="248"/>
      <c r="G2748" s="249"/>
      <c r="H2748" s="330"/>
      <c r="I2748" s="328"/>
      <c r="J2748" s="249"/>
      <c r="K2748" s="330"/>
      <c r="L2748" s="250"/>
      <c r="M2748" s="249"/>
      <c r="N2748" s="330"/>
      <c r="O2748" s="250"/>
      <c r="P2748" s="249"/>
      <c r="Q2748" s="330"/>
      <c r="R2748" s="250"/>
      <c r="S2748" s="249"/>
      <c r="T2748" s="330"/>
      <c r="U2748" s="250"/>
      <c r="V2748" s="249"/>
      <c r="W2748" s="330"/>
      <c r="X2748" s="343"/>
      <c r="Y2748" s="249"/>
      <c r="Z2748" s="330"/>
      <c r="AA2748" s="343"/>
      <c r="AB2748" s="249"/>
      <c r="AC2748" s="330"/>
      <c r="AD2748" s="343"/>
      <c r="AE2748" s="249"/>
      <c r="AF2748" s="330"/>
      <c r="AG2748" s="343"/>
      <c r="AH2748" s="249"/>
      <c r="AI2748" s="330"/>
      <c r="AJ2748" s="343"/>
      <c r="AK2748" s="249"/>
      <c r="AL2748" s="330"/>
      <c r="AM2748" s="343"/>
      <c r="AN2748" s="249"/>
      <c r="AO2748" s="330"/>
      <c r="AP2748" s="343"/>
      <c r="AQ2748" s="249"/>
      <c r="AR2748" s="330"/>
      <c r="AS2748" s="343"/>
      <c r="AT2748" s="249"/>
      <c r="AU2748" s="330"/>
    </row>
    <row r="2749" spans="2:47">
      <c r="B2749" s="247">
        <f>'Table S2 Compound Identifiers'!C2751</f>
        <v>0</v>
      </c>
      <c r="C2749" s="247">
        <f>COUNTIF($D$6:D2749,"&lt;&gt;"&amp;"")</f>
        <v>2744</v>
      </c>
      <c r="D2749" s="247">
        <f>'Table S2 Compound Identifiers'!B2751</f>
        <v>0</v>
      </c>
      <c r="E2749" s="247"/>
      <c r="F2749" s="248"/>
      <c r="G2749" s="249"/>
      <c r="H2749" s="330"/>
      <c r="I2749" s="328"/>
      <c r="J2749" s="249"/>
      <c r="K2749" s="330"/>
      <c r="L2749" s="250"/>
      <c r="M2749" s="249"/>
      <c r="N2749" s="330"/>
      <c r="O2749" s="250"/>
      <c r="P2749" s="249"/>
      <c r="Q2749" s="330"/>
      <c r="R2749" s="250"/>
      <c r="S2749" s="249"/>
      <c r="T2749" s="330"/>
      <c r="U2749" s="250"/>
      <c r="V2749" s="249"/>
      <c r="W2749" s="330"/>
      <c r="X2749" s="343"/>
      <c r="Y2749" s="249"/>
      <c r="Z2749" s="330"/>
      <c r="AA2749" s="343"/>
      <c r="AB2749" s="249"/>
      <c r="AC2749" s="330"/>
      <c r="AD2749" s="343"/>
      <c r="AE2749" s="249"/>
      <c r="AF2749" s="330"/>
      <c r="AG2749" s="343"/>
      <c r="AH2749" s="249"/>
      <c r="AI2749" s="330"/>
      <c r="AJ2749" s="343"/>
      <c r="AK2749" s="249"/>
      <c r="AL2749" s="330"/>
      <c r="AM2749" s="343"/>
      <c r="AN2749" s="249"/>
      <c r="AO2749" s="330"/>
      <c r="AP2749" s="343"/>
      <c r="AQ2749" s="249"/>
      <c r="AR2749" s="330"/>
      <c r="AS2749" s="343"/>
      <c r="AT2749" s="249"/>
      <c r="AU2749" s="330"/>
    </row>
    <row r="2750" spans="2:47">
      <c r="B2750" s="247">
        <f>'Table S2 Compound Identifiers'!C2752</f>
        <v>0</v>
      </c>
      <c r="C2750" s="247">
        <f>COUNTIF($D$6:D2750,"&lt;&gt;"&amp;"")</f>
        <v>2745</v>
      </c>
      <c r="D2750" s="247">
        <f>'Table S2 Compound Identifiers'!B2752</f>
        <v>0</v>
      </c>
      <c r="E2750" s="247"/>
      <c r="F2750" s="248"/>
      <c r="G2750" s="249"/>
      <c r="H2750" s="330"/>
      <c r="I2750" s="328"/>
      <c r="J2750" s="249"/>
      <c r="K2750" s="330"/>
      <c r="L2750" s="250"/>
      <c r="M2750" s="249"/>
      <c r="N2750" s="330"/>
      <c r="O2750" s="250"/>
      <c r="P2750" s="249"/>
      <c r="Q2750" s="330"/>
      <c r="R2750" s="250"/>
      <c r="S2750" s="249"/>
      <c r="T2750" s="330"/>
      <c r="U2750" s="250"/>
      <c r="V2750" s="249"/>
      <c r="W2750" s="330"/>
      <c r="X2750" s="343"/>
      <c r="Y2750" s="249"/>
      <c r="Z2750" s="330"/>
      <c r="AA2750" s="343"/>
      <c r="AB2750" s="249"/>
      <c r="AC2750" s="330"/>
      <c r="AD2750" s="343"/>
      <c r="AE2750" s="249"/>
      <c r="AF2750" s="330"/>
      <c r="AG2750" s="343"/>
      <c r="AH2750" s="249"/>
      <c r="AI2750" s="330"/>
      <c r="AJ2750" s="343"/>
      <c r="AK2750" s="249"/>
      <c r="AL2750" s="330"/>
      <c r="AM2750" s="343"/>
      <c r="AN2750" s="249"/>
      <c r="AO2750" s="330"/>
      <c r="AP2750" s="343"/>
      <c r="AQ2750" s="249"/>
      <c r="AR2750" s="330"/>
      <c r="AS2750" s="343"/>
      <c r="AT2750" s="249"/>
      <c r="AU2750" s="330"/>
    </row>
    <row r="2751" spans="2:47">
      <c r="B2751" s="247">
        <f>'Table S2 Compound Identifiers'!C2753</f>
        <v>0</v>
      </c>
      <c r="C2751" s="247">
        <f>COUNTIF($D$6:D2751,"&lt;&gt;"&amp;"")</f>
        <v>2746</v>
      </c>
      <c r="D2751" s="247">
        <f>'Table S2 Compound Identifiers'!B2753</f>
        <v>0</v>
      </c>
      <c r="E2751" s="247"/>
      <c r="F2751" s="248"/>
      <c r="G2751" s="249"/>
      <c r="H2751" s="330"/>
      <c r="I2751" s="328"/>
      <c r="J2751" s="249"/>
      <c r="K2751" s="330"/>
      <c r="L2751" s="250"/>
      <c r="M2751" s="249"/>
      <c r="N2751" s="330"/>
      <c r="O2751" s="250"/>
      <c r="P2751" s="249"/>
      <c r="Q2751" s="330"/>
      <c r="R2751" s="250"/>
      <c r="S2751" s="249"/>
      <c r="T2751" s="330"/>
      <c r="U2751" s="250"/>
      <c r="V2751" s="249"/>
      <c r="W2751" s="330"/>
      <c r="X2751" s="343"/>
      <c r="Y2751" s="249"/>
      <c r="Z2751" s="330"/>
      <c r="AA2751" s="343"/>
      <c r="AB2751" s="249"/>
      <c r="AC2751" s="330"/>
      <c r="AD2751" s="343"/>
      <c r="AE2751" s="249"/>
      <c r="AF2751" s="330"/>
      <c r="AG2751" s="343"/>
      <c r="AH2751" s="249"/>
      <c r="AI2751" s="330"/>
      <c r="AJ2751" s="343"/>
      <c r="AK2751" s="249"/>
      <c r="AL2751" s="330"/>
      <c r="AM2751" s="343"/>
      <c r="AN2751" s="249"/>
      <c r="AO2751" s="330"/>
      <c r="AP2751" s="343"/>
      <c r="AQ2751" s="249"/>
      <c r="AR2751" s="330"/>
      <c r="AS2751" s="343"/>
      <c r="AT2751" s="249"/>
      <c r="AU2751" s="330"/>
    </row>
    <row r="2752" spans="2:47">
      <c r="B2752" s="247">
        <f>'Table S2 Compound Identifiers'!C2754</f>
        <v>0</v>
      </c>
      <c r="C2752" s="247">
        <f>COUNTIF($D$6:D2752,"&lt;&gt;"&amp;"")</f>
        <v>2747</v>
      </c>
      <c r="D2752" s="247">
        <f>'Table S2 Compound Identifiers'!B2754</f>
        <v>0</v>
      </c>
      <c r="E2752" s="247"/>
      <c r="F2752" s="248"/>
      <c r="G2752" s="249"/>
      <c r="H2752" s="330"/>
      <c r="I2752" s="328"/>
      <c r="J2752" s="249"/>
      <c r="K2752" s="330"/>
      <c r="L2752" s="250"/>
      <c r="M2752" s="249"/>
      <c r="N2752" s="330"/>
      <c r="O2752" s="250"/>
      <c r="P2752" s="249"/>
      <c r="Q2752" s="330"/>
      <c r="R2752" s="250"/>
      <c r="S2752" s="249"/>
      <c r="T2752" s="330"/>
      <c r="U2752" s="250"/>
      <c r="V2752" s="249"/>
      <c r="W2752" s="330"/>
      <c r="X2752" s="343"/>
      <c r="Y2752" s="249"/>
      <c r="Z2752" s="330"/>
      <c r="AA2752" s="343"/>
      <c r="AB2752" s="249"/>
      <c r="AC2752" s="330"/>
      <c r="AD2752" s="343"/>
      <c r="AE2752" s="249"/>
      <c r="AF2752" s="330"/>
      <c r="AG2752" s="343"/>
      <c r="AH2752" s="249"/>
      <c r="AI2752" s="330"/>
      <c r="AJ2752" s="343"/>
      <c r="AK2752" s="249"/>
      <c r="AL2752" s="330"/>
      <c r="AM2752" s="343"/>
      <c r="AN2752" s="249"/>
      <c r="AO2752" s="330"/>
      <c r="AP2752" s="343"/>
      <c r="AQ2752" s="249"/>
      <c r="AR2752" s="330"/>
      <c r="AS2752" s="343"/>
      <c r="AT2752" s="249"/>
      <c r="AU2752" s="330"/>
    </row>
    <row r="2753" spans="2:47">
      <c r="B2753" s="247">
        <f>'Table S2 Compound Identifiers'!C2755</f>
        <v>0</v>
      </c>
      <c r="C2753" s="247">
        <f>COUNTIF($D$6:D2753,"&lt;&gt;"&amp;"")</f>
        <v>2748</v>
      </c>
      <c r="D2753" s="247">
        <f>'Table S2 Compound Identifiers'!B2755</f>
        <v>0</v>
      </c>
      <c r="E2753" s="247"/>
      <c r="F2753" s="248"/>
      <c r="G2753" s="249"/>
      <c r="H2753" s="330"/>
      <c r="I2753" s="328"/>
      <c r="J2753" s="249"/>
      <c r="K2753" s="330"/>
      <c r="L2753" s="250"/>
      <c r="M2753" s="249"/>
      <c r="N2753" s="330"/>
      <c r="O2753" s="250"/>
      <c r="P2753" s="249"/>
      <c r="Q2753" s="330"/>
      <c r="R2753" s="250"/>
      <c r="S2753" s="249"/>
      <c r="T2753" s="330"/>
      <c r="U2753" s="250"/>
      <c r="V2753" s="249"/>
      <c r="W2753" s="330"/>
      <c r="X2753" s="343"/>
      <c r="Y2753" s="249"/>
      <c r="Z2753" s="330"/>
      <c r="AA2753" s="343"/>
      <c r="AB2753" s="249"/>
      <c r="AC2753" s="330"/>
      <c r="AD2753" s="343"/>
      <c r="AE2753" s="249"/>
      <c r="AF2753" s="330"/>
      <c r="AG2753" s="343"/>
      <c r="AH2753" s="249"/>
      <c r="AI2753" s="330"/>
      <c r="AJ2753" s="343"/>
      <c r="AK2753" s="249"/>
      <c r="AL2753" s="330"/>
      <c r="AM2753" s="343"/>
      <c r="AN2753" s="249"/>
      <c r="AO2753" s="330"/>
      <c r="AP2753" s="343"/>
      <c r="AQ2753" s="249"/>
      <c r="AR2753" s="330"/>
      <c r="AS2753" s="343"/>
      <c r="AT2753" s="249"/>
      <c r="AU2753" s="330"/>
    </row>
    <row r="2754" spans="2:47">
      <c r="B2754" s="247">
        <f>'Table S2 Compound Identifiers'!C2756</f>
        <v>0</v>
      </c>
      <c r="C2754" s="247">
        <f>COUNTIF($D$6:D2754,"&lt;&gt;"&amp;"")</f>
        <v>2749</v>
      </c>
      <c r="D2754" s="247">
        <f>'Table S2 Compound Identifiers'!B2756</f>
        <v>0</v>
      </c>
      <c r="E2754" s="247"/>
      <c r="F2754" s="248"/>
      <c r="G2754" s="249"/>
      <c r="H2754" s="330"/>
      <c r="I2754" s="328"/>
      <c r="J2754" s="249"/>
      <c r="K2754" s="330"/>
      <c r="L2754" s="250"/>
      <c r="M2754" s="249"/>
      <c r="N2754" s="330"/>
      <c r="O2754" s="250"/>
      <c r="P2754" s="249"/>
      <c r="Q2754" s="330"/>
      <c r="R2754" s="250"/>
      <c r="S2754" s="249"/>
      <c r="T2754" s="330"/>
      <c r="U2754" s="250"/>
      <c r="V2754" s="249"/>
      <c r="W2754" s="330"/>
      <c r="X2754" s="343"/>
      <c r="Y2754" s="249"/>
      <c r="Z2754" s="330"/>
      <c r="AA2754" s="343"/>
      <c r="AB2754" s="249"/>
      <c r="AC2754" s="330"/>
      <c r="AD2754" s="343"/>
      <c r="AE2754" s="249"/>
      <c r="AF2754" s="330"/>
      <c r="AG2754" s="343"/>
      <c r="AH2754" s="249"/>
      <c r="AI2754" s="330"/>
      <c r="AJ2754" s="343"/>
      <c r="AK2754" s="249"/>
      <c r="AL2754" s="330"/>
      <c r="AM2754" s="343"/>
      <c r="AN2754" s="249"/>
      <c r="AO2754" s="330"/>
      <c r="AP2754" s="343"/>
      <c r="AQ2754" s="249"/>
      <c r="AR2754" s="330"/>
      <c r="AS2754" s="343"/>
      <c r="AT2754" s="249"/>
      <c r="AU2754" s="330"/>
    </row>
    <row r="2755" spans="2:47">
      <c r="B2755" s="247">
        <f>'Table S2 Compound Identifiers'!C2757</f>
        <v>0</v>
      </c>
      <c r="C2755" s="247">
        <f>COUNTIF($D$6:D2755,"&lt;&gt;"&amp;"")</f>
        <v>2750</v>
      </c>
      <c r="D2755" s="247">
        <f>'Table S2 Compound Identifiers'!B2757</f>
        <v>0</v>
      </c>
      <c r="E2755" s="247"/>
      <c r="F2755" s="248"/>
      <c r="G2755" s="249"/>
      <c r="H2755" s="330"/>
      <c r="I2755" s="328"/>
      <c r="J2755" s="249"/>
      <c r="K2755" s="330"/>
      <c r="L2755" s="250"/>
      <c r="M2755" s="249"/>
      <c r="N2755" s="330"/>
      <c r="O2755" s="250"/>
      <c r="P2755" s="249"/>
      <c r="Q2755" s="330"/>
      <c r="R2755" s="250"/>
      <c r="S2755" s="249"/>
      <c r="T2755" s="330"/>
      <c r="U2755" s="250"/>
      <c r="V2755" s="249"/>
      <c r="W2755" s="330"/>
      <c r="X2755" s="343"/>
      <c r="Y2755" s="249"/>
      <c r="Z2755" s="330"/>
      <c r="AA2755" s="343"/>
      <c r="AB2755" s="249"/>
      <c r="AC2755" s="330"/>
      <c r="AD2755" s="343"/>
      <c r="AE2755" s="249"/>
      <c r="AF2755" s="330"/>
      <c r="AG2755" s="343"/>
      <c r="AH2755" s="249"/>
      <c r="AI2755" s="330"/>
      <c r="AJ2755" s="343"/>
      <c r="AK2755" s="249"/>
      <c r="AL2755" s="330"/>
      <c r="AM2755" s="343"/>
      <c r="AN2755" s="249"/>
      <c r="AO2755" s="330"/>
      <c r="AP2755" s="343"/>
      <c r="AQ2755" s="249"/>
      <c r="AR2755" s="330"/>
      <c r="AS2755" s="343"/>
      <c r="AT2755" s="249"/>
      <c r="AU2755" s="330"/>
    </row>
    <row r="2756" spans="2:47">
      <c r="B2756" s="247">
        <f>'Table S2 Compound Identifiers'!C2758</f>
        <v>0</v>
      </c>
      <c r="C2756" s="247">
        <f>COUNTIF($D$6:D2756,"&lt;&gt;"&amp;"")</f>
        <v>2751</v>
      </c>
      <c r="D2756" s="247">
        <f>'Table S2 Compound Identifiers'!B2758</f>
        <v>0</v>
      </c>
      <c r="E2756" s="247"/>
      <c r="F2756" s="248"/>
      <c r="G2756" s="249"/>
      <c r="H2756" s="330"/>
      <c r="I2756" s="328"/>
      <c r="J2756" s="249"/>
      <c r="K2756" s="330"/>
      <c r="L2756" s="250"/>
      <c r="M2756" s="249"/>
      <c r="N2756" s="330"/>
      <c r="O2756" s="250"/>
      <c r="P2756" s="249"/>
      <c r="Q2756" s="330"/>
      <c r="R2756" s="250"/>
      <c r="S2756" s="249"/>
      <c r="T2756" s="330"/>
      <c r="U2756" s="250"/>
      <c r="V2756" s="249"/>
      <c r="W2756" s="330"/>
      <c r="X2756" s="343"/>
      <c r="Y2756" s="249"/>
      <c r="Z2756" s="330"/>
      <c r="AA2756" s="343"/>
      <c r="AB2756" s="249"/>
      <c r="AC2756" s="330"/>
      <c r="AD2756" s="343"/>
      <c r="AE2756" s="249"/>
      <c r="AF2756" s="330"/>
      <c r="AG2756" s="343"/>
      <c r="AH2756" s="249"/>
      <c r="AI2756" s="330"/>
      <c r="AJ2756" s="343"/>
      <c r="AK2756" s="249"/>
      <c r="AL2756" s="330"/>
      <c r="AM2756" s="343"/>
      <c r="AN2756" s="249"/>
      <c r="AO2756" s="330"/>
      <c r="AP2756" s="343"/>
      <c r="AQ2756" s="249"/>
      <c r="AR2756" s="330"/>
      <c r="AS2756" s="343"/>
      <c r="AT2756" s="249"/>
      <c r="AU2756" s="330"/>
    </row>
    <row r="2757" spans="2:47">
      <c r="B2757" s="247">
        <f>'Table S2 Compound Identifiers'!C2759</f>
        <v>0</v>
      </c>
      <c r="C2757" s="247">
        <f>COUNTIF($D$6:D2757,"&lt;&gt;"&amp;"")</f>
        <v>2752</v>
      </c>
      <c r="D2757" s="247">
        <f>'Table S2 Compound Identifiers'!B2759</f>
        <v>0</v>
      </c>
      <c r="E2757" s="247"/>
      <c r="F2757" s="248"/>
      <c r="G2757" s="249"/>
      <c r="H2757" s="330"/>
      <c r="I2757" s="328"/>
      <c r="J2757" s="249"/>
      <c r="K2757" s="330"/>
      <c r="L2757" s="250"/>
      <c r="M2757" s="249"/>
      <c r="N2757" s="330"/>
      <c r="O2757" s="250"/>
      <c r="P2757" s="249"/>
      <c r="Q2757" s="330"/>
      <c r="R2757" s="250"/>
      <c r="S2757" s="249"/>
      <c r="T2757" s="330"/>
      <c r="U2757" s="250"/>
      <c r="V2757" s="249"/>
      <c r="W2757" s="330"/>
      <c r="X2757" s="343"/>
      <c r="Y2757" s="249"/>
      <c r="Z2757" s="330"/>
      <c r="AA2757" s="343"/>
      <c r="AB2757" s="249"/>
      <c r="AC2757" s="330"/>
      <c r="AD2757" s="343"/>
      <c r="AE2757" s="249"/>
      <c r="AF2757" s="330"/>
      <c r="AG2757" s="343"/>
      <c r="AH2757" s="249"/>
      <c r="AI2757" s="330"/>
      <c r="AJ2757" s="343"/>
      <c r="AK2757" s="249"/>
      <c r="AL2757" s="330"/>
      <c r="AM2757" s="343"/>
      <c r="AN2757" s="249"/>
      <c r="AO2757" s="330"/>
      <c r="AP2757" s="343"/>
      <c r="AQ2757" s="249"/>
      <c r="AR2757" s="330"/>
      <c r="AS2757" s="343"/>
      <c r="AT2757" s="249"/>
      <c r="AU2757" s="330"/>
    </row>
    <row r="2758" spans="2:47">
      <c r="B2758" s="247">
        <f>'Table S2 Compound Identifiers'!C2760</f>
        <v>0</v>
      </c>
      <c r="C2758" s="247">
        <f>COUNTIF($D$6:D2758,"&lt;&gt;"&amp;"")</f>
        <v>2753</v>
      </c>
      <c r="D2758" s="247">
        <f>'Table S2 Compound Identifiers'!B2760</f>
        <v>0</v>
      </c>
      <c r="E2758" s="247"/>
      <c r="F2758" s="248"/>
      <c r="G2758" s="249"/>
      <c r="H2758" s="330"/>
      <c r="I2758" s="328"/>
      <c r="J2758" s="249"/>
      <c r="K2758" s="330"/>
      <c r="L2758" s="250"/>
      <c r="M2758" s="249"/>
      <c r="N2758" s="330"/>
      <c r="O2758" s="250"/>
      <c r="P2758" s="249"/>
      <c r="Q2758" s="330"/>
      <c r="R2758" s="250"/>
      <c r="S2758" s="249"/>
      <c r="T2758" s="330"/>
      <c r="U2758" s="250"/>
      <c r="V2758" s="249"/>
      <c r="W2758" s="330"/>
      <c r="X2758" s="343"/>
      <c r="Y2758" s="249"/>
      <c r="Z2758" s="330"/>
      <c r="AA2758" s="343"/>
      <c r="AB2758" s="249"/>
      <c r="AC2758" s="330"/>
      <c r="AD2758" s="343"/>
      <c r="AE2758" s="249"/>
      <c r="AF2758" s="330"/>
      <c r="AG2758" s="343"/>
      <c r="AH2758" s="249"/>
      <c r="AI2758" s="330"/>
      <c r="AJ2758" s="343"/>
      <c r="AK2758" s="249"/>
      <c r="AL2758" s="330"/>
      <c r="AM2758" s="343"/>
      <c r="AN2758" s="249"/>
      <c r="AO2758" s="330"/>
      <c r="AP2758" s="343"/>
      <c r="AQ2758" s="249"/>
      <c r="AR2758" s="330"/>
      <c r="AS2758" s="343"/>
      <c r="AT2758" s="249"/>
      <c r="AU2758" s="330"/>
    </row>
    <row r="2759" spans="2:47">
      <c r="B2759" s="247">
        <f>'Table S2 Compound Identifiers'!C2761</f>
        <v>0</v>
      </c>
      <c r="C2759" s="247">
        <f>COUNTIF($D$6:D2759,"&lt;&gt;"&amp;"")</f>
        <v>2754</v>
      </c>
      <c r="D2759" s="247">
        <f>'Table S2 Compound Identifiers'!B2761</f>
        <v>0</v>
      </c>
      <c r="E2759" s="247"/>
      <c r="F2759" s="248"/>
      <c r="G2759" s="249"/>
      <c r="H2759" s="330"/>
      <c r="I2759" s="328"/>
      <c r="J2759" s="249"/>
      <c r="K2759" s="330"/>
      <c r="L2759" s="250"/>
      <c r="M2759" s="249"/>
      <c r="N2759" s="330"/>
      <c r="O2759" s="250"/>
      <c r="P2759" s="249"/>
      <c r="Q2759" s="330"/>
      <c r="R2759" s="250"/>
      <c r="S2759" s="249"/>
      <c r="T2759" s="330"/>
      <c r="U2759" s="250"/>
      <c r="V2759" s="249"/>
      <c r="W2759" s="330"/>
      <c r="X2759" s="343"/>
      <c r="Y2759" s="249"/>
      <c r="Z2759" s="330"/>
      <c r="AA2759" s="343"/>
      <c r="AB2759" s="249"/>
      <c r="AC2759" s="330"/>
      <c r="AD2759" s="343"/>
      <c r="AE2759" s="249"/>
      <c r="AF2759" s="330"/>
      <c r="AG2759" s="343"/>
      <c r="AH2759" s="249"/>
      <c r="AI2759" s="330"/>
      <c r="AJ2759" s="343"/>
      <c r="AK2759" s="249"/>
      <c r="AL2759" s="330"/>
      <c r="AM2759" s="343"/>
      <c r="AN2759" s="249"/>
      <c r="AO2759" s="330"/>
      <c r="AP2759" s="343"/>
      <c r="AQ2759" s="249"/>
      <c r="AR2759" s="330"/>
      <c r="AS2759" s="343"/>
      <c r="AT2759" s="249"/>
      <c r="AU2759" s="330"/>
    </row>
    <row r="2760" spans="2:47">
      <c r="B2760" s="247">
        <f>'Table S2 Compound Identifiers'!C2762</f>
        <v>0</v>
      </c>
      <c r="C2760" s="247">
        <f>COUNTIF($D$6:D2760,"&lt;&gt;"&amp;"")</f>
        <v>2755</v>
      </c>
      <c r="D2760" s="247">
        <f>'Table S2 Compound Identifiers'!B2762</f>
        <v>0</v>
      </c>
      <c r="E2760" s="247"/>
      <c r="F2760" s="248"/>
      <c r="G2760" s="249"/>
      <c r="H2760" s="330"/>
      <c r="I2760" s="328"/>
      <c r="J2760" s="249"/>
      <c r="K2760" s="330"/>
      <c r="L2760" s="250"/>
      <c r="M2760" s="249"/>
      <c r="N2760" s="330"/>
      <c r="O2760" s="250"/>
      <c r="P2760" s="249"/>
      <c r="Q2760" s="330"/>
      <c r="R2760" s="250"/>
      <c r="S2760" s="249"/>
      <c r="T2760" s="330"/>
      <c r="U2760" s="250"/>
      <c r="V2760" s="249"/>
      <c r="W2760" s="330"/>
      <c r="X2760" s="343"/>
      <c r="Y2760" s="249"/>
      <c r="Z2760" s="330"/>
      <c r="AA2760" s="343"/>
      <c r="AB2760" s="249"/>
      <c r="AC2760" s="330"/>
      <c r="AD2760" s="343"/>
      <c r="AE2760" s="249"/>
      <c r="AF2760" s="330"/>
      <c r="AG2760" s="343"/>
      <c r="AH2760" s="249"/>
      <c r="AI2760" s="330"/>
      <c r="AJ2760" s="343"/>
      <c r="AK2760" s="249"/>
      <c r="AL2760" s="330"/>
      <c r="AM2760" s="343"/>
      <c r="AN2760" s="249"/>
      <c r="AO2760" s="330"/>
      <c r="AP2760" s="343"/>
      <c r="AQ2760" s="249"/>
      <c r="AR2760" s="330"/>
      <c r="AS2760" s="343"/>
      <c r="AT2760" s="249"/>
      <c r="AU2760" s="330"/>
    </row>
    <row r="2761" spans="2:47">
      <c r="B2761" s="247">
        <f>'Table S2 Compound Identifiers'!C2763</f>
        <v>0</v>
      </c>
      <c r="C2761" s="247">
        <f>COUNTIF($D$6:D2761,"&lt;&gt;"&amp;"")</f>
        <v>2756</v>
      </c>
      <c r="D2761" s="247">
        <f>'Table S2 Compound Identifiers'!B2763</f>
        <v>0</v>
      </c>
      <c r="E2761" s="247"/>
      <c r="F2761" s="248"/>
      <c r="G2761" s="249"/>
      <c r="H2761" s="330"/>
      <c r="I2761" s="328"/>
      <c r="J2761" s="249"/>
      <c r="K2761" s="330"/>
      <c r="L2761" s="250"/>
      <c r="M2761" s="249"/>
      <c r="N2761" s="330"/>
      <c r="O2761" s="250"/>
      <c r="P2761" s="249"/>
      <c r="Q2761" s="330"/>
      <c r="R2761" s="250"/>
      <c r="S2761" s="249"/>
      <c r="T2761" s="330"/>
      <c r="U2761" s="250"/>
      <c r="V2761" s="249"/>
      <c r="W2761" s="330"/>
      <c r="X2761" s="343"/>
      <c r="Y2761" s="249"/>
      <c r="Z2761" s="330"/>
      <c r="AA2761" s="343"/>
      <c r="AB2761" s="249"/>
      <c r="AC2761" s="330"/>
      <c r="AD2761" s="343"/>
      <c r="AE2761" s="249"/>
      <c r="AF2761" s="330"/>
      <c r="AG2761" s="343"/>
      <c r="AH2761" s="249"/>
      <c r="AI2761" s="330"/>
      <c r="AJ2761" s="343"/>
      <c r="AK2761" s="249"/>
      <c r="AL2761" s="330"/>
      <c r="AM2761" s="343"/>
      <c r="AN2761" s="249"/>
      <c r="AO2761" s="330"/>
      <c r="AP2761" s="343"/>
      <c r="AQ2761" s="249"/>
      <c r="AR2761" s="330"/>
      <c r="AS2761" s="343"/>
      <c r="AT2761" s="249"/>
      <c r="AU2761" s="330"/>
    </row>
    <row r="2762" spans="2:47">
      <c r="B2762" s="247">
        <f>'Table S2 Compound Identifiers'!C2764</f>
        <v>0</v>
      </c>
      <c r="C2762" s="247">
        <f>COUNTIF($D$6:D2762,"&lt;&gt;"&amp;"")</f>
        <v>2757</v>
      </c>
      <c r="D2762" s="247">
        <f>'Table S2 Compound Identifiers'!B2764</f>
        <v>0</v>
      </c>
      <c r="E2762" s="247"/>
      <c r="F2762" s="248"/>
      <c r="G2762" s="249"/>
      <c r="H2762" s="330"/>
      <c r="I2762" s="328"/>
      <c r="J2762" s="249"/>
      <c r="K2762" s="330"/>
      <c r="L2762" s="250"/>
      <c r="M2762" s="249"/>
      <c r="N2762" s="330"/>
      <c r="O2762" s="250"/>
      <c r="P2762" s="249"/>
      <c r="Q2762" s="330"/>
      <c r="R2762" s="250"/>
      <c r="S2762" s="249"/>
      <c r="T2762" s="330"/>
      <c r="U2762" s="250"/>
      <c r="V2762" s="249"/>
      <c r="W2762" s="330"/>
      <c r="X2762" s="343"/>
      <c r="Y2762" s="249"/>
      <c r="Z2762" s="330"/>
      <c r="AA2762" s="343"/>
      <c r="AB2762" s="249"/>
      <c r="AC2762" s="330"/>
      <c r="AD2762" s="343"/>
      <c r="AE2762" s="249"/>
      <c r="AF2762" s="330"/>
      <c r="AG2762" s="343"/>
      <c r="AH2762" s="249"/>
      <c r="AI2762" s="330"/>
      <c r="AJ2762" s="343"/>
      <c r="AK2762" s="249"/>
      <c r="AL2762" s="330"/>
      <c r="AM2762" s="343"/>
      <c r="AN2762" s="249"/>
      <c r="AO2762" s="330"/>
      <c r="AP2762" s="343"/>
      <c r="AQ2762" s="249"/>
      <c r="AR2762" s="330"/>
      <c r="AS2762" s="343"/>
      <c r="AT2762" s="249"/>
      <c r="AU2762" s="330"/>
    </row>
    <row r="2763" spans="2:47">
      <c r="B2763" s="247">
        <f>'Table S2 Compound Identifiers'!C2765</f>
        <v>0</v>
      </c>
      <c r="C2763" s="247">
        <f>COUNTIF($D$6:D2763,"&lt;&gt;"&amp;"")</f>
        <v>2758</v>
      </c>
      <c r="D2763" s="247">
        <f>'Table S2 Compound Identifiers'!B2765</f>
        <v>0</v>
      </c>
      <c r="E2763" s="247"/>
      <c r="F2763" s="248"/>
      <c r="G2763" s="249"/>
      <c r="H2763" s="330"/>
      <c r="I2763" s="328"/>
      <c r="J2763" s="249"/>
      <c r="K2763" s="330"/>
      <c r="L2763" s="250"/>
      <c r="M2763" s="249"/>
      <c r="N2763" s="330"/>
      <c r="O2763" s="250"/>
      <c r="P2763" s="249"/>
      <c r="Q2763" s="330"/>
      <c r="R2763" s="250"/>
      <c r="S2763" s="249"/>
      <c r="T2763" s="330"/>
      <c r="U2763" s="250"/>
      <c r="V2763" s="249"/>
      <c r="W2763" s="330"/>
      <c r="X2763" s="343"/>
      <c r="Y2763" s="249"/>
      <c r="Z2763" s="330"/>
      <c r="AA2763" s="343"/>
      <c r="AB2763" s="249"/>
      <c r="AC2763" s="330"/>
      <c r="AD2763" s="343"/>
      <c r="AE2763" s="249"/>
      <c r="AF2763" s="330"/>
      <c r="AG2763" s="343"/>
      <c r="AH2763" s="249"/>
      <c r="AI2763" s="330"/>
      <c r="AJ2763" s="343"/>
      <c r="AK2763" s="249"/>
      <c r="AL2763" s="330"/>
      <c r="AM2763" s="343"/>
      <c r="AN2763" s="249"/>
      <c r="AO2763" s="330"/>
      <c r="AP2763" s="343"/>
      <c r="AQ2763" s="249"/>
      <c r="AR2763" s="330"/>
      <c r="AS2763" s="343"/>
      <c r="AT2763" s="249"/>
      <c r="AU2763" s="330"/>
    </row>
    <row r="2764" spans="2:47">
      <c r="B2764" s="247">
        <f>'Table S2 Compound Identifiers'!C2766</f>
        <v>0</v>
      </c>
      <c r="C2764" s="247">
        <f>COUNTIF($D$6:D2764,"&lt;&gt;"&amp;"")</f>
        <v>2759</v>
      </c>
      <c r="D2764" s="247">
        <f>'Table S2 Compound Identifiers'!B2766</f>
        <v>0</v>
      </c>
      <c r="E2764" s="247"/>
      <c r="F2764" s="248"/>
      <c r="G2764" s="249"/>
      <c r="H2764" s="330"/>
      <c r="I2764" s="328"/>
      <c r="J2764" s="249"/>
      <c r="K2764" s="330"/>
      <c r="L2764" s="250"/>
      <c r="M2764" s="249"/>
      <c r="N2764" s="330"/>
      <c r="O2764" s="250"/>
      <c r="P2764" s="249"/>
      <c r="Q2764" s="330"/>
      <c r="R2764" s="250"/>
      <c r="S2764" s="249"/>
      <c r="T2764" s="330"/>
      <c r="U2764" s="250"/>
      <c r="V2764" s="249"/>
      <c r="W2764" s="330"/>
      <c r="X2764" s="343"/>
      <c r="Y2764" s="249"/>
      <c r="Z2764" s="330"/>
      <c r="AA2764" s="343"/>
      <c r="AB2764" s="249"/>
      <c r="AC2764" s="330"/>
      <c r="AD2764" s="343"/>
      <c r="AE2764" s="249"/>
      <c r="AF2764" s="330"/>
      <c r="AG2764" s="343"/>
      <c r="AH2764" s="249"/>
      <c r="AI2764" s="330"/>
      <c r="AJ2764" s="343"/>
      <c r="AK2764" s="249"/>
      <c r="AL2764" s="330"/>
      <c r="AM2764" s="343"/>
      <c r="AN2764" s="249"/>
      <c r="AO2764" s="330"/>
      <c r="AP2764" s="343"/>
      <c r="AQ2764" s="249"/>
      <c r="AR2764" s="330"/>
      <c r="AS2764" s="343"/>
      <c r="AT2764" s="249"/>
      <c r="AU2764" s="330"/>
    </row>
    <row r="2765" spans="2:47">
      <c r="B2765" s="247">
        <f>'Table S2 Compound Identifiers'!C2767</f>
        <v>0</v>
      </c>
      <c r="C2765" s="247">
        <f>COUNTIF($D$6:D2765,"&lt;&gt;"&amp;"")</f>
        <v>2760</v>
      </c>
      <c r="D2765" s="247">
        <f>'Table S2 Compound Identifiers'!B2767</f>
        <v>0</v>
      </c>
      <c r="E2765" s="247"/>
      <c r="F2765" s="248"/>
      <c r="G2765" s="249"/>
      <c r="H2765" s="330"/>
      <c r="I2765" s="328"/>
      <c r="J2765" s="249"/>
      <c r="K2765" s="330"/>
      <c r="L2765" s="250"/>
      <c r="M2765" s="249"/>
      <c r="N2765" s="330"/>
      <c r="O2765" s="250"/>
      <c r="P2765" s="249"/>
      <c r="Q2765" s="330"/>
      <c r="R2765" s="250"/>
      <c r="S2765" s="249"/>
      <c r="T2765" s="330"/>
      <c r="U2765" s="250"/>
      <c r="V2765" s="249"/>
      <c r="W2765" s="330"/>
      <c r="X2765" s="343"/>
      <c r="Y2765" s="249"/>
      <c r="Z2765" s="330"/>
      <c r="AA2765" s="343"/>
      <c r="AB2765" s="249"/>
      <c r="AC2765" s="330"/>
      <c r="AD2765" s="343"/>
      <c r="AE2765" s="249"/>
      <c r="AF2765" s="330"/>
      <c r="AG2765" s="343"/>
      <c r="AH2765" s="249"/>
      <c r="AI2765" s="330"/>
      <c r="AJ2765" s="343"/>
      <c r="AK2765" s="249"/>
      <c r="AL2765" s="330"/>
      <c r="AM2765" s="343"/>
      <c r="AN2765" s="249"/>
      <c r="AO2765" s="330"/>
      <c r="AP2765" s="343"/>
      <c r="AQ2765" s="249"/>
      <c r="AR2765" s="330"/>
      <c r="AS2765" s="343"/>
      <c r="AT2765" s="249"/>
      <c r="AU2765" s="330"/>
    </row>
    <row r="2766" spans="2:47">
      <c r="B2766" s="247">
        <f>'Table S2 Compound Identifiers'!C2768</f>
        <v>0</v>
      </c>
      <c r="C2766" s="247">
        <f>COUNTIF($D$6:D2766,"&lt;&gt;"&amp;"")</f>
        <v>2761</v>
      </c>
      <c r="D2766" s="247">
        <f>'Table S2 Compound Identifiers'!B2768</f>
        <v>0</v>
      </c>
      <c r="E2766" s="247"/>
      <c r="F2766" s="248"/>
      <c r="G2766" s="249"/>
      <c r="H2766" s="330"/>
      <c r="I2766" s="328"/>
      <c r="J2766" s="249"/>
      <c r="K2766" s="330"/>
      <c r="L2766" s="250"/>
      <c r="M2766" s="249"/>
      <c r="N2766" s="330"/>
      <c r="O2766" s="250"/>
      <c r="P2766" s="249"/>
      <c r="Q2766" s="330"/>
      <c r="R2766" s="250"/>
      <c r="S2766" s="249"/>
      <c r="T2766" s="330"/>
      <c r="U2766" s="250"/>
      <c r="V2766" s="249"/>
      <c r="W2766" s="330"/>
      <c r="X2766" s="343"/>
      <c r="Y2766" s="249"/>
      <c r="Z2766" s="330"/>
      <c r="AA2766" s="343"/>
      <c r="AB2766" s="249"/>
      <c r="AC2766" s="330"/>
      <c r="AD2766" s="343"/>
      <c r="AE2766" s="249"/>
      <c r="AF2766" s="330"/>
      <c r="AG2766" s="343"/>
      <c r="AH2766" s="249"/>
      <c r="AI2766" s="330"/>
      <c r="AJ2766" s="343"/>
      <c r="AK2766" s="249"/>
      <c r="AL2766" s="330"/>
      <c r="AM2766" s="343"/>
      <c r="AN2766" s="249"/>
      <c r="AO2766" s="330"/>
      <c r="AP2766" s="343"/>
      <c r="AQ2766" s="249"/>
      <c r="AR2766" s="330"/>
      <c r="AS2766" s="343"/>
      <c r="AT2766" s="249"/>
      <c r="AU2766" s="330"/>
    </row>
    <row r="2767" spans="2:47">
      <c r="B2767" s="247">
        <f>'Table S2 Compound Identifiers'!C2769</f>
        <v>0</v>
      </c>
      <c r="C2767" s="247">
        <f>COUNTIF($D$6:D2767,"&lt;&gt;"&amp;"")</f>
        <v>2762</v>
      </c>
      <c r="D2767" s="247">
        <f>'Table S2 Compound Identifiers'!B2769</f>
        <v>0</v>
      </c>
      <c r="E2767" s="247"/>
      <c r="F2767" s="248"/>
      <c r="G2767" s="249"/>
      <c r="H2767" s="330"/>
      <c r="I2767" s="328"/>
      <c r="J2767" s="249"/>
      <c r="K2767" s="330"/>
      <c r="L2767" s="250"/>
      <c r="M2767" s="249"/>
      <c r="N2767" s="330"/>
      <c r="O2767" s="250"/>
      <c r="P2767" s="249"/>
      <c r="Q2767" s="330"/>
      <c r="R2767" s="250"/>
      <c r="S2767" s="249"/>
      <c r="T2767" s="330"/>
      <c r="U2767" s="250"/>
      <c r="V2767" s="249"/>
      <c r="W2767" s="330"/>
      <c r="X2767" s="343"/>
      <c r="Y2767" s="249"/>
      <c r="Z2767" s="330"/>
      <c r="AA2767" s="343"/>
      <c r="AB2767" s="249"/>
      <c r="AC2767" s="330"/>
      <c r="AD2767" s="343"/>
      <c r="AE2767" s="249"/>
      <c r="AF2767" s="330"/>
      <c r="AG2767" s="343"/>
      <c r="AH2767" s="249"/>
      <c r="AI2767" s="330"/>
      <c r="AJ2767" s="343"/>
      <c r="AK2767" s="249"/>
      <c r="AL2767" s="330"/>
      <c r="AM2767" s="343"/>
      <c r="AN2767" s="249"/>
      <c r="AO2767" s="330"/>
      <c r="AP2767" s="343"/>
      <c r="AQ2767" s="249"/>
      <c r="AR2767" s="330"/>
      <c r="AS2767" s="343"/>
      <c r="AT2767" s="249"/>
      <c r="AU2767" s="330"/>
    </row>
    <row r="2768" spans="2:47">
      <c r="B2768" s="247">
        <f>'Table S2 Compound Identifiers'!C2770</f>
        <v>0</v>
      </c>
      <c r="C2768" s="247">
        <f>COUNTIF($D$6:D2768,"&lt;&gt;"&amp;"")</f>
        <v>2763</v>
      </c>
      <c r="D2768" s="247">
        <f>'Table S2 Compound Identifiers'!B2770</f>
        <v>0</v>
      </c>
      <c r="E2768" s="247"/>
      <c r="F2768" s="248"/>
      <c r="G2768" s="249"/>
      <c r="H2768" s="330"/>
      <c r="I2768" s="328"/>
      <c r="J2768" s="249"/>
      <c r="K2768" s="330"/>
      <c r="L2768" s="250"/>
      <c r="M2768" s="249"/>
      <c r="N2768" s="330"/>
      <c r="O2768" s="250"/>
      <c r="P2768" s="249"/>
      <c r="Q2768" s="330"/>
      <c r="R2768" s="250"/>
      <c r="S2768" s="249"/>
      <c r="T2768" s="330"/>
      <c r="U2768" s="250"/>
      <c r="V2768" s="249"/>
      <c r="W2768" s="330"/>
      <c r="X2768" s="343"/>
      <c r="Y2768" s="249"/>
      <c r="Z2768" s="330"/>
      <c r="AA2768" s="343"/>
      <c r="AB2768" s="249"/>
      <c r="AC2768" s="330"/>
      <c r="AD2768" s="343"/>
      <c r="AE2768" s="249"/>
      <c r="AF2768" s="330"/>
      <c r="AG2768" s="343"/>
      <c r="AH2768" s="249"/>
      <c r="AI2768" s="330"/>
      <c r="AJ2768" s="343"/>
      <c r="AK2768" s="249"/>
      <c r="AL2768" s="330"/>
      <c r="AM2768" s="343"/>
      <c r="AN2768" s="249"/>
      <c r="AO2768" s="330"/>
      <c r="AP2768" s="343"/>
      <c r="AQ2768" s="249"/>
      <c r="AR2768" s="330"/>
      <c r="AS2768" s="343"/>
      <c r="AT2768" s="249"/>
      <c r="AU2768" s="330"/>
    </row>
    <row r="2769" spans="2:47">
      <c r="B2769" s="247">
        <f>'Table S2 Compound Identifiers'!C2771</f>
        <v>0</v>
      </c>
      <c r="C2769" s="247">
        <f>COUNTIF($D$6:D2769,"&lt;&gt;"&amp;"")</f>
        <v>2764</v>
      </c>
      <c r="D2769" s="247">
        <f>'Table S2 Compound Identifiers'!B2771</f>
        <v>0</v>
      </c>
      <c r="E2769" s="247"/>
      <c r="F2769" s="248"/>
      <c r="G2769" s="249"/>
      <c r="H2769" s="330"/>
      <c r="I2769" s="328"/>
      <c r="J2769" s="249"/>
      <c r="K2769" s="330"/>
      <c r="L2769" s="250"/>
      <c r="M2769" s="249"/>
      <c r="N2769" s="330"/>
      <c r="O2769" s="250"/>
      <c r="P2769" s="249"/>
      <c r="Q2769" s="330"/>
      <c r="R2769" s="250"/>
      <c r="S2769" s="249"/>
      <c r="T2769" s="330"/>
      <c r="U2769" s="250"/>
      <c r="V2769" s="249"/>
      <c r="W2769" s="330"/>
      <c r="X2769" s="343"/>
      <c r="Y2769" s="249"/>
      <c r="Z2769" s="330"/>
      <c r="AA2769" s="343"/>
      <c r="AB2769" s="249"/>
      <c r="AC2769" s="330"/>
      <c r="AD2769" s="343"/>
      <c r="AE2769" s="249"/>
      <c r="AF2769" s="330"/>
      <c r="AG2769" s="343"/>
      <c r="AH2769" s="249"/>
      <c r="AI2769" s="330"/>
      <c r="AJ2769" s="343"/>
      <c r="AK2769" s="249"/>
      <c r="AL2769" s="330"/>
      <c r="AM2769" s="343"/>
      <c r="AN2769" s="249"/>
      <c r="AO2769" s="330"/>
      <c r="AP2769" s="343"/>
      <c r="AQ2769" s="249"/>
      <c r="AR2769" s="330"/>
      <c r="AS2769" s="343"/>
      <c r="AT2769" s="249"/>
      <c r="AU2769" s="330"/>
    </row>
    <row r="2770" spans="2:47">
      <c r="B2770" s="247">
        <f>'Table S2 Compound Identifiers'!C2772</f>
        <v>0</v>
      </c>
      <c r="C2770" s="247">
        <f>COUNTIF($D$6:D2770,"&lt;&gt;"&amp;"")</f>
        <v>2765</v>
      </c>
      <c r="D2770" s="247">
        <f>'Table S2 Compound Identifiers'!B2772</f>
        <v>0</v>
      </c>
      <c r="E2770" s="247"/>
      <c r="F2770" s="248"/>
      <c r="G2770" s="249"/>
      <c r="H2770" s="330"/>
      <c r="I2770" s="328"/>
      <c r="J2770" s="249"/>
      <c r="K2770" s="330"/>
      <c r="L2770" s="250"/>
      <c r="M2770" s="249"/>
      <c r="N2770" s="330"/>
      <c r="O2770" s="250"/>
      <c r="P2770" s="249"/>
      <c r="Q2770" s="330"/>
      <c r="R2770" s="250"/>
      <c r="S2770" s="249"/>
      <c r="T2770" s="330"/>
      <c r="U2770" s="250"/>
      <c r="V2770" s="249"/>
      <c r="W2770" s="330"/>
      <c r="X2770" s="343"/>
      <c r="Y2770" s="249"/>
      <c r="Z2770" s="330"/>
      <c r="AA2770" s="343"/>
      <c r="AB2770" s="249"/>
      <c r="AC2770" s="330"/>
      <c r="AD2770" s="343"/>
      <c r="AE2770" s="249"/>
      <c r="AF2770" s="330"/>
      <c r="AG2770" s="343"/>
      <c r="AH2770" s="249"/>
      <c r="AI2770" s="330"/>
      <c r="AJ2770" s="343"/>
      <c r="AK2770" s="249"/>
      <c r="AL2770" s="330"/>
      <c r="AM2770" s="343"/>
      <c r="AN2770" s="249"/>
      <c r="AO2770" s="330"/>
      <c r="AP2770" s="343"/>
      <c r="AQ2770" s="249"/>
      <c r="AR2770" s="330"/>
      <c r="AS2770" s="343"/>
      <c r="AT2770" s="249"/>
      <c r="AU2770" s="330"/>
    </row>
    <row r="2771" spans="2:47">
      <c r="B2771" s="247">
        <f>'Table S2 Compound Identifiers'!C2773</f>
        <v>0</v>
      </c>
      <c r="C2771" s="247">
        <f>COUNTIF($D$6:D2771,"&lt;&gt;"&amp;"")</f>
        <v>2766</v>
      </c>
      <c r="D2771" s="247">
        <f>'Table S2 Compound Identifiers'!B2773</f>
        <v>0</v>
      </c>
      <c r="E2771" s="247"/>
      <c r="F2771" s="248"/>
      <c r="G2771" s="249"/>
      <c r="H2771" s="330"/>
      <c r="I2771" s="328"/>
      <c r="J2771" s="249"/>
      <c r="K2771" s="330"/>
      <c r="L2771" s="250"/>
      <c r="M2771" s="249"/>
      <c r="N2771" s="330"/>
      <c r="O2771" s="250"/>
      <c r="P2771" s="249"/>
      <c r="Q2771" s="330"/>
      <c r="R2771" s="250"/>
      <c r="S2771" s="249"/>
      <c r="T2771" s="330"/>
      <c r="U2771" s="250"/>
      <c r="V2771" s="249"/>
      <c r="W2771" s="330"/>
      <c r="X2771" s="343"/>
      <c r="Y2771" s="249"/>
      <c r="Z2771" s="330"/>
      <c r="AA2771" s="343"/>
      <c r="AB2771" s="249"/>
      <c r="AC2771" s="330"/>
      <c r="AD2771" s="343"/>
      <c r="AE2771" s="249"/>
      <c r="AF2771" s="330"/>
      <c r="AG2771" s="343"/>
      <c r="AH2771" s="249"/>
      <c r="AI2771" s="330"/>
      <c r="AJ2771" s="343"/>
      <c r="AK2771" s="249"/>
      <c r="AL2771" s="330"/>
      <c r="AM2771" s="343"/>
      <c r="AN2771" s="249"/>
      <c r="AO2771" s="330"/>
      <c r="AP2771" s="343"/>
      <c r="AQ2771" s="249"/>
      <c r="AR2771" s="330"/>
      <c r="AS2771" s="343"/>
      <c r="AT2771" s="249"/>
      <c r="AU2771" s="330"/>
    </row>
    <row r="2772" spans="2:47">
      <c r="B2772" s="247">
        <f>'Table S2 Compound Identifiers'!C2774</f>
        <v>0</v>
      </c>
      <c r="C2772" s="247">
        <f>COUNTIF($D$6:D2772,"&lt;&gt;"&amp;"")</f>
        <v>2767</v>
      </c>
      <c r="D2772" s="247">
        <f>'Table S2 Compound Identifiers'!B2774</f>
        <v>0</v>
      </c>
      <c r="E2772" s="247"/>
      <c r="F2772" s="248"/>
      <c r="G2772" s="249"/>
      <c r="H2772" s="330"/>
      <c r="I2772" s="328"/>
      <c r="J2772" s="249"/>
      <c r="K2772" s="330"/>
      <c r="L2772" s="250"/>
      <c r="M2772" s="249"/>
      <c r="N2772" s="330"/>
      <c r="O2772" s="250"/>
      <c r="P2772" s="249"/>
      <c r="Q2772" s="330"/>
      <c r="R2772" s="250"/>
      <c r="S2772" s="249"/>
      <c r="T2772" s="330"/>
      <c r="U2772" s="250"/>
      <c r="V2772" s="249"/>
      <c r="W2772" s="330"/>
      <c r="X2772" s="343"/>
      <c r="Y2772" s="249"/>
      <c r="Z2772" s="330"/>
      <c r="AA2772" s="343"/>
      <c r="AB2772" s="249"/>
      <c r="AC2772" s="330"/>
      <c r="AD2772" s="343"/>
      <c r="AE2772" s="249"/>
      <c r="AF2772" s="330"/>
      <c r="AG2772" s="343"/>
      <c r="AH2772" s="249"/>
      <c r="AI2772" s="330"/>
      <c r="AJ2772" s="343"/>
      <c r="AK2772" s="249"/>
      <c r="AL2772" s="330"/>
      <c r="AM2772" s="343"/>
      <c r="AN2772" s="249"/>
      <c r="AO2772" s="330"/>
      <c r="AP2772" s="343"/>
      <c r="AQ2772" s="249"/>
      <c r="AR2772" s="330"/>
      <c r="AS2772" s="343"/>
      <c r="AT2772" s="249"/>
      <c r="AU2772" s="330"/>
    </row>
    <row r="2773" spans="2:47">
      <c r="B2773" s="247">
        <f>'Table S2 Compound Identifiers'!C2775</f>
        <v>0</v>
      </c>
      <c r="C2773" s="247">
        <f>COUNTIF($D$6:D2773,"&lt;&gt;"&amp;"")</f>
        <v>2768</v>
      </c>
      <c r="D2773" s="247">
        <f>'Table S2 Compound Identifiers'!B2775</f>
        <v>0</v>
      </c>
      <c r="E2773" s="247"/>
      <c r="F2773" s="248"/>
      <c r="G2773" s="249"/>
      <c r="H2773" s="330"/>
      <c r="I2773" s="328"/>
      <c r="J2773" s="249"/>
      <c r="K2773" s="330"/>
      <c r="L2773" s="250"/>
      <c r="M2773" s="249"/>
      <c r="N2773" s="330"/>
      <c r="O2773" s="250"/>
      <c r="P2773" s="249"/>
      <c r="Q2773" s="330"/>
      <c r="R2773" s="250"/>
      <c r="S2773" s="249"/>
      <c r="T2773" s="330"/>
      <c r="U2773" s="250"/>
      <c r="V2773" s="249"/>
      <c r="W2773" s="330"/>
      <c r="X2773" s="343"/>
      <c r="Y2773" s="249"/>
      <c r="Z2773" s="330"/>
      <c r="AA2773" s="343"/>
      <c r="AB2773" s="249"/>
      <c r="AC2773" s="330"/>
      <c r="AD2773" s="343"/>
      <c r="AE2773" s="249"/>
      <c r="AF2773" s="330"/>
      <c r="AG2773" s="343"/>
      <c r="AH2773" s="249"/>
      <c r="AI2773" s="330"/>
      <c r="AJ2773" s="343"/>
      <c r="AK2773" s="249"/>
      <c r="AL2773" s="330"/>
      <c r="AM2773" s="343"/>
      <c r="AN2773" s="249"/>
      <c r="AO2773" s="330"/>
      <c r="AP2773" s="343"/>
      <c r="AQ2773" s="249"/>
      <c r="AR2773" s="330"/>
      <c r="AS2773" s="343"/>
      <c r="AT2773" s="249"/>
      <c r="AU2773" s="330"/>
    </row>
    <row r="2774" spans="2:47">
      <c r="B2774" s="247">
        <f>'Table S2 Compound Identifiers'!C2776</f>
        <v>0</v>
      </c>
      <c r="C2774" s="247">
        <f>COUNTIF($D$6:D2774,"&lt;&gt;"&amp;"")</f>
        <v>2769</v>
      </c>
      <c r="D2774" s="247">
        <f>'Table S2 Compound Identifiers'!B2776</f>
        <v>0</v>
      </c>
      <c r="E2774" s="247"/>
      <c r="F2774" s="248"/>
      <c r="G2774" s="249"/>
      <c r="H2774" s="330"/>
      <c r="I2774" s="328"/>
      <c r="J2774" s="249"/>
      <c r="K2774" s="330"/>
      <c r="L2774" s="250"/>
      <c r="M2774" s="249"/>
      <c r="N2774" s="330"/>
      <c r="O2774" s="250"/>
      <c r="P2774" s="249"/>
      <c r="Q2774" s="330"/>
      <c r="R2774" s="250"/>
      <c r="S2774" s="249"/>
      <c r="T2774" s="330"/>
      <c r="U2774" s="250"/>
      <c r="V2774" s="249"/>
      <c r="W2774" s="330"/>
      <c r="X2774" s="343"/>
      <c r="Y2774" s="249"/>
      <c r="Z2774" s="330"/>
      <c r="AA2774" s="343"/>
      <c r="AB2774" s="249"/>
      <c r="AC2774" s="330"/>
      <c r="AD2774" s="343"/>
      <c r="AE2774" s="249"/>
      <c r="AF2774" s="330"/>
      <c r="AG2774" s="343"/>
      <c r="AH2774" s="249"/>
      <c r="AI2774" s="330"/>
      <c r="AJ2774" s="343"/>
      <c r="AK2774" s="249"/>
      <c r="AL2774" s="330"/>
      <c r="AM2774" s="343"/>
      <c r="AN2774" s="249"/>
      <c r="AO2774" s="330"/>
      <c r="AP2774" s="343"/>
      <c r="AQ2774" s="249"/>
      <c r="AR2774" s="330"/>
      <c r="AS2774" s="343"/>
      <c r="AT2774" s="249"/>
      <c r="AU2774" s="330"/>
    </row>
    <row r="2775" spans="2:47">
      <c r="B2775" s="247">
        <f>'Table S2 Compound Identifiers'!C2777</f>
        <v>0</v>
      </c>
      <c r="C2775" s="247">
        <f>COUNTIF($D$6:D2775,"&lt;&gt;"&amp;"")</f>
        <v>2770</v>
      </c>
      <c r="D2775" s="247">
        <f>'Table S2 Compound Identifiers'!B2777</f>
        <v>0</v>
      </c>
      <c r="E2775" s="247"/>
      <c r="F2775" s="248"/>
      <c r="G2775" s="249"/>
      <c r="H2775" s="330"/>
      <c r="I2775" s="328"/>
      <c r="J2775" s="249"/>
      <c r="K2775" s="330"/>
      <c r="L2775" s="250"/>
      <c r="M2775" s="249"/>
      <c r="N2775" s="330"/>
      <c r="O2775" s="250"/>
      <c r="P2775" s="249"/>
      <c r="Q2775" s="330"/>
      <c r="R2775" s="250"/>
      <c r="S2775" s="249"/>
      <c r="T2775" s="330"/>
      <c r="U2775" s="250"/>
      <c r="V2775" s="249"/>
      <c r="W2775" s="330"/>
      <c r="X2775" s="343"/>
      <c r="Y2775" s="249"/>
      <c r="Z2775" s="330"/>
      <c r="AA2775" s="343"/>
      <c r="AB2775" s="249"/>
      <c r="AC2775" s="330"/>
      <c r="AD2775" s="343"/>
      <c r="AE2775" s="249"/>
      <c r="AF2775" s="330"/>
      <c r="AG2775" s="343"/>
      <c r="AH2775" s="249"/>
      <c r="AI2775" s="330"/>
      <c r="AJ2775" s="343"/>
      <c r="AK2775" s="249"/>
      <c r="AL2775" s="330"/>
      <c r="AM2775" s="343"/>
      <c r="AN2775" s="249"/>
      <c r="AO2775" s="330"/>
      <c r="AP2775" s="343"/>
      <c r="AQ2775" s="249"/>
      <c r="AR2775" s="330"/>
      <c r="AS2775" s="343"/>
      <c r="AT2775" s="249"/>
      <c r="AU2775" s="330"/>
    </row>
    <row r="2776" spans="2:47">
      <c r="B2776" s="247">
        <f>'Table S2 Compound Identifiers'!C2778</f>
        <v>0</v>
      </c>
      <c r="C2776" s="247">
        <f>COUNTIF($D$6:D2776,"&lt;&gt;"&amp;"")</f>
        <v>2771</v>
      </c>
      <c r="D2776" s="247">
        <f>'Table S2 Compound Identifiers'!B2778</f>
        <v>0</v>
      </c>
      <c r="E2776" s="247"/>
      <c r="F2776" s="248"/>
      <c r="G2776" s="249"/>
      <c r="H2776" s="330"/>
      <c r="I2776" s="328"/>
      <c r="J2776" s="249"/>
      <c r="K2776" s="330"/>
      <c r="L2776" s="250"/>
      <c r="M2776" s="249"/>
      <c r="N2776" s="330"/>
      <c r="O2776" s="250"/>
      <c r="P2776" s="249"/>
      <c r="Q2776" s="330"/>
      <c r="R2776" s="250"/>
      <c r="S2776" s="249"/>
      <c r="T2776" s="330"/>
      <c r="U2776" s="250"/>
      <c r="V2776" s="249"/>
      <c r="W2776" s="330"/>
      <c r="X2776" s="343"/>
      <c r="Y2776" s="249"/>
      <c r="Z2776" s="330"/>
      <c r="AA2776" s="343"/>
      <c r="AB2776" s="249"/>
      <c r="AC2776" s="330"/>
      <c r="AD2776" s="343"/>
      <c r="AE2776" s="249"/>
      <c r="AF2776" s="330"/>
      <c r="AG2776" s="343"/>
      <c r="AH2776" s="249"/>
      <c r="AI2776" s="330"/>
      <c r="AJ2776" s="343"/>
      <c r="AK2776" s="249"/>
      <c r="AL2776" s="330"/>
      <c r="AM2776" s="343"/>
      <c r="AN2776" s="249"/>
      <c r="AO2776" s="330"/>
      <c r="AP2776" s="343"/>
      <c r="AQ2776" s="249"/>
      <c r="AR2776" s="330"/>
      <c r="AS2776" s="343"/>
      <c r="AT2776" s="249"/>
      <c r="AU2776" s="330"/>
    </row>
    <row r="2777" spans="2:47">
      <c r="B2777" s="247">
        <f>'Table S2 Compound Identifiers'!C2779</f>
        <v>0</v>
      </c>
      <c r="C2777" s="247">
        <f>COUNTIF($D$6:D2777,"&lt;&gt;"&amp;"")</f>
        <v>2772</v>
      </c>
      <c r="D2777" s="247">
        <f>'Table S2 Compound Identifiers'!B2779</f>
        <v>0</v>
      </c>
      <c r="E2777" s="247"/>
      <c r="F2777" s="248"/>
      <c r="G2777" s="249"/>
      <c r="H2777" s="330"/>
      <c r="I2777" s="328"/>
      <c r="J2777" s="249"/>
      <c r="K2777" s="330"/>
      <c r="L2777" s="250"/>
      <c r="M2777" s="249"/>
      <c r="N2777" s="330"/>
      <c r="O2777" s="250"/>
      <c r="P2777" s="249"/>
      <c r="Q2777" s="330"/>
      <c r="R2777" s="250"/>
      <c r="S2777" s="249"/>
      <c r="T2777" s="330"/>
      <c r="U2777" s="250"/>
      <c r="V2777" s="249"/>
      <c r="W2777" s="330"/>
      <c r="X2777" s="343"/>
      <c r="Y2777" s="249"/>
      <c r="Z2777" s="330"/>
      <c r="AA2777" s="343"/>
      <c r="AB2777" s="249"/>
      <c r="AC2777" s="330"/>
      <c r="AD2777" s="343"/>
      <c r="AE2777" s="249"/>
      <c r="AF2777" s="330"/>
      <c r="AG2777" s="343"/>
      <c r="AH2777" s="249"/>
      <c r="AI2777" s="330"/>
      <c r="AJ2777" s="343"/>
      <c r="AK2777" s="249"/>
      <c r="AL2777" s="330"/>
      <c r="AM2777" s="343"/>
      <c r="AN2777" s="249"/>
      <c r="AO2777" s="330"/>
      <c r="AP2777" s="343"/>
      <c r="AQ2777" s="249"/>
      <c r="AR2777" s="330"/>
      <c r="AS2777" s="343"/>
      <c r="AT2777" s="249"/>
      <c r="AU2777" s="330"/>
    </row>
    <row r="2778" spans="2:47">
      <c r="B2778" s="247">
        <f>'Table S2 Compound Identifiers'!C2780</f>
        <v>0</v>
      </c>
      <c r="C2778" s="247">
        <f>COUNTIF($D$6:D2778,"&lt;&gt;"&amp;"")</f>
        <v>2773</v>
      </c>
      <c r="D2778" s="247">
        <f>'Table S2 Compound Identifiers'!B2780</f>
        <v>0</v>
      </c>
      <c r="E2778" s="247"/>
      <c r="F2778" s="248"/>
      <c r="G2778" s="249"/>
      <c r="H2778" s="330"/>
      <c r="I2778" s="328"/>
      <c r="J2778" s="249"/>
      <c r="K2778" s="330"/>
      <c r="L2778" s="250"/>
      <c r="M2778" s="249"/>
      <c r="N2778" s="330"/>
      <c r="O2778" s="250"/>
      <c r="P2778" s="249"/>
      <c r="Q2778" s="330"/>
      <c r="R2778" s="250"/>
      <c r="S2778" s="249"/>
      <c r="T2778" s="330"/>
      <c r="U2778" s="250"/>
      <c r="V2778" s="249"/>
      <c r="W2778" s="330"/>
      <c r="X2778" s="343"/>
      <c r="Y2778" s="249"/>
      <c r="Z2778" s="330"/>
      <c r="AA2778" s="343"/>
      <c r="AB2778" s="249"/>
      <c r="AC2778" s="330"/>
      <c r="AD2778" s="343"/>
      <c r="AE2778" s="249"/>
      <c r="AF2778" s="330"/>
      <c r="AG2778" s="343"/>
      <c r="AH2778" s="249"/>
      <c r="AI2778" s="330"/>
      <c r="AJ2778" s="343"/>
      <c r="AK2778" s="249"/>
      <c r="AL2778" s="330"/>
      <c r="AM2778" s="343"/>
      <c r="AN2778" s="249"/>
      <c r="AO2778" s="330"/>
      <c r="AP2778" s="343"/>
      <c r="AQ2778" s="249"/>
      <c r="AR2778" s="330"/>
      <c r="AS2778" s="343"/>
      <c r="AT2778" s="249"/>
      <c r="AU2778" s="330"/>
    </row>
    <row r="2779" spans="2:47">
      <c r="B2779" s="247">
        <f>'Table S2 Compound Identifiers'!C2781</f>
        <v>0</v>
      </c>
      <c r="C2779" s="247">
        <f>COUNTIF($D$6:D2779,"&lt;&gt;"&amp;"")</f>
        <v>2774</v>
      </c>
      <c r="D2779" s="247">
        <f>'Table S2 Compound Identifiers'!B2781</f>
        <v>0</v>
      </c>
      <c r="E2779" s="247"/>
      <c r="F2779" s="248"/>
      <c r="G2779" s="249"/>
      <c r="H2779" s="330"/>
      <c r="I2779" s="328"/>
      <c r="J2779" s="249"/>
      <c r="K2779" s="330"/>
      <c r="L2779" s="250"/>
      <c r="M2779" s="249"/>
      <c r="N2779" s="330"/>
      <c r="O2779" s="250"/>
      <c r="P2779" s="249"/>
      <c r="Q2779" s="330"/>
      <c r="R2779" s="250"/>
      <c r="S2779" s="249"/>
      <c r="T2779" s="330"/>
      <c r="U2779" s="250"/>
      <c r="V2779" s="249"/>
      <c r="W2779" s="330"/>
      <c r="X2779" s="343"/>
      <c r="Y2779" s="249"/>
      <c r="Z2779" s="330"/>
      <c r="AA2779" s="343"/>
      <c r="AB2779" s="249"/>
      <c r="AC2779" s="330"/>
      <c r="AD2779" s="343"/>
      <c r="AE2779" s="249"/>
      <c r="AF2779" s="330"/>
      <c r="AG2779" s="343"/>
      <c r="AH2779" s="249"/>
      <c r="AI2779" s="330"/>
      <c r="AJ2779" s="343"/>
      <c r="AK2779" s="249"/>
      <c r="AL2779" s="330"/>
      <c r="AM2779" s="343"/>
      <c r="AN2779" s="249"/>
      <c r="AO2779" s="330"/>
      <c r="AP2779" s="343"/>
      <c r="AQ2779" s="249"/>
      <c r="AR2779" s="330"/>
      <c r="AS2779" s="343"/>
      <c r="AT2779" s="249"/>
      <c r="AU2779" s="330"/>
    </row>
    <row r="2780" spans="2:47">
      <c r="B2780" s="247">
        <f>'Table S2 Compound Identifiers'!C2782</f>
        <v>0</v>
      </c>
      <c r="C2780" s="247">
        <f>COUNTIF($D$6:D2780,"&lt;&gt;"&amp;"")</f>
        <v>2775</v>
      </c>
      <c r="D2780" s="247">
        <f>'Table S2 Compound Identifiers'!B2782</f>
        <v>0</v>
      </c>
      <c r="E2780" s="247"/>
      <c r="F2780" s="248"/>
      <c r="G2780" s="249"/>
      <c r="H2780" s="330"/>
      <c r="I2780" s="328"/>
      <c r="J2780" s="249"/>
      <c r="K2780" s="330"/>
      <c r="L2780" s="250"/>
      <c r="M2780" s="249"/>
      <c r="N2780" s="330"/>
      <c r="O2780" s="250"/>
      <c r="P2780" s="249"/>
      <c r="Q2780" s="330"/>
      <c r="R2780" s="250"/>
      <c r="S2780" s="249"/>
      <c r="T2780" s="330"/>
      <c r="U2780" s="250"/>
      <c r="V2780" s="249"/>
      <c r="W2780" s="330"/>
      <c r="X2780" s="343"/>
      <c r="Y2780" s="249"/>
      <c r="Z2780" s="330"/>
      <c r="AA2780" s="343"/>
      <c r="AB2780" s="249"/>
      <c r="AC2780" s="330"/>
      <c r="AD2780" s="343"/>
      <c r="AE2780" s="249"/>
      <c r="AF2780" s="330"/>
      <c r="AG2780" s="343"/>
      <c r="AH2780" s="249"/>
      <c r="AI2780" s="330"/>
      <c r="AJ2780" s="343"/>
      <c r="AK2780" s="249"/>
      <c r="AL2780" s="330"/>
      <c r="AM2780" s="343"/>
      <c r="AN2780" s="249"/>
      <c r="AO2780" s="330"/>
      <c r="AP2780" s="343"/>
      <c r="AQ2780" s="249"/>
      <c r="AR2780" s="330"/>
      <c r="AS2780" s="343"/>
      <c r="AT2780" s="249"/>
      <c r="AU2780" s="330"/>
    </row>
    <row r="2781" spans="2:47">
      <c r="B2781" s="247">
        <f>'Table S2 Compound Identifiers'!C2783</f>
        <v>0</v>
      </c>
      <c r="C2781" s="247">
        <f>COUNTIF($D$6:D2781,"&lt;&gt;"&amp;"")</f>
        <v>2776</v>
      </c>
      <c r="D2781" s="247">
        <f>'Table S2 Compound Identifiers'!B2783</f>
        <v>0</v>
      </c>
      <c r="E2781" s="247"/>
      <c r="F2781" s="248"/>
      <c r="G2781" s="249"/>
      <c r="H2781" s="330"/>
      <c r="I2781" s="328"/>
      <c r="J2781" s="249"/>
      <c r="K2781" s="330"/>
      <c r="L2781" s="250"/>
      <c r="M2781" s="249"/>
      <c r="N2781" s="330"/>
      <c r="O2781" s="250"/>
      <c r="P2781" s="249"/>
      <c r="Q2781" s="330"/>
      <c r="R2781" s="250"/>
      <c r="S2781" s="249"/>
      <c r="T2781" s="330"/>
      <c r="U2781" s="250"/>
      <c r="V2781" s="249"/>
      <c r="W2781" s="330"/>
      <c r="X2781" s="343"/>
      <c r="Y2781" s="249"/>
      <c r="Z2781" s="330"/>
      <c r="AA2781" s="343"/>
      <c r="AB2781" s="249"/>
      <c r="AC2781" s="330"/>
      <c r="AD2781" s="343"/>
      <c r="AE2781" s="249"/>
      <c r="AF2781" s="330"/>
      <c r="AG2781" s="343"/>
      <c r="AH2781" s="249"/>
      <c r="AI2781" s="330"/>
      <c r="AJ2781" s="343"/>
      <c r="AK2781" s="249"/>
      <c r="AL2781" s="330"/>
      <c r="AM2781" s="343"/>
      <c r="AN2781" s="249"/>
      <c r="AO2781" s="330"/>
      <c r="AP2781" s="343"/>
      <c r="AQ2781" s="249"/>
      <c r="AR2781" s="330"/>
      <c r="AS2781" s="343"/>
      <c r="AT2781" s="249"/>
      <c r="AU2781" s="330"/>
    </row>
    <row r="2782" spans="2:47">
      <c r="B2782" s="247">
        <f>'Table S2 Compound Identifiers'!C2784</f>
        <v>0</v>
      </c>
      <c r="C2782" s="247">
        <f>COUNTIF($D$6:D2782,"&lt;&gt;"&amp;"")</f>
        <v>2777</v>
      </c>
      <c r="D2782" s="247">
        <f>'Table S2 Compound Identifiers'!B2784</f>
        <v>0</v>
      </c>
      <c r="E2782" s="247"/>
      <c r="F2782" s="248"/>
      <c r="G2782" s="249"/>
      <c r="H2782" s="330"/>
      <c r="I2782" s="328"/>
      <c r="J2782" s="249"/>
      <c r="K2782" s="330"/>
      <c r="L2782" s="250"/>
      <c r="M2782" s="249"/>
      <c r="N2782" s="330"/>
      <c r="O2782" s="250"/>
      <c r="P2782" s="249"/>
      <c r="Q2782" s="330"/>
      <c r="R2782" s="250"/>
      <c r="S2782" s="249"/>
      <c r="T2782" s="330"/>
      <c r="U2782" s="250"/>
      <c r="V2782" s="249"/>
      <c r="W2782" s="330"/>
      <c r="X2782" s="343"/>
      <c r="Y2782" s="249"/>
      <c r="Z2782" s="330"/>
      <c r="AA2782" s="343"/>
      <c r="AB2782" s="249"/>
      <c r="AC2782" s="330"/>
      <c r="AD2782" s="343"/>
      <c r="AE2782" s="249"/>
      <c r="AF2782" s="330"/>
      <c r="AG2782" s="343"/>
      <c r="AH2782" s="249"/>
      <c r="AI2782" s="330"/>
      <c r="AJ2782" s="343"/>
      <c r="AK2782" s="249"/>
      <c r="AL2782" s="330"/>
      <c r="AM2782" s="343"/>
      <c r="AN2782" s="249"/>
      <c r="AO2782" s="330"/>
      <c r="AP2782" s="343"/>
      <c r="AQ2782" s="249"/>
      <c r="AR2782" s="330"/>
      <c r="AS2782" s="343"/>
      <c r="AT2782" s="249"/>
      <c r="AU2782" s="330"/>
    </row>
    <row r="2783" spans="2:47">
      <c r="B2783" s="247">
        <f>'Table S2 Compound Identifiers'!C2785</f>
        <v>0</v>
      </c>
      <c r="C2783" s="247">
        <f>COUNTIF($D$6:D2783,"&lt;&gt;"&amp;"")</f>
        <v>2778</v>
      </c>
      <c r="D2783" s="247">
        <f>'Table S2 Compound Identifiers'!B2785</f>
        <v>0</v>
      </c>
      <c r="E2783" s="247"/>
      <c r="F2783" s="248"/>
      <c r="G2783" s="249"/>
      <c r="H2783" s="330"/>
      <c r="I2783" s="328"/>
      <c r="J2783" s="249"/>
      <c r="K2783" s="330"/>
      <c r="L2783" s="250"/>
      <c r="M2783" s="249"/>
      <c r="N2783" s="330"/>
      <c r="O2783" s="250"/>
      <c r="P2783" s="249"/>
      <c r="Q2783" s="330"/>
      <c r="R2783" s="250"/>
      <c r="S2783" s="249"/>
      <c r="T2783" s="330"/>
      <c r="U2783" s="250"/>
      <c r="V2783" s="249"/>
      <c r="W2783" s="330"/>
      <c r="X2783" s="343"/>
      <c r="Y2783" s="249"/>
      <c r="Z2783" s="330"/>
      <c r="AA2783" s="343"/>
      <c r="AB2783" s="249"/>
      <c r="AC2783" s="330"/>
      <c r="AD2783" s="343"/>
      <c r="AE2783" s="249"/>
      <c r="AF2783" s="330"/>
      <c r="AG2783" s="343"/>
      <c r="AH2783" s="249"/>
      <c r="AI2783" s="330"/>
      <c r="AJ2783" s="343"/>
      <c r="AK2783" s="249"/>
      <c r="AL2783" s="330"/>
      <c r="AM2783" s="343"/>
      <c r="AN2783" s="249"/>
      <c r="AO2783" s="330"/>
      <c r="AP2783" s="343"/>
      <c r="AQ2783" s="249"/>
      <c r="AR2783" s="330"/>
      <c r="AS2783" s="343"/>
      <c r="AT2783" s="249"/>
      <c r="AU2783" s="330"/>
    </row>
    <row r="2784" spans="2:47">
      <c r="B2784" s="247">
        <f>'Table S2 Compound Identifiers'!C2786</f>
        <v>0</v>
      </c>
      <c r="C2784" s="247">
        <f>COUNTIF($D$6:D2784,"&lt;&gt;"&amp;"")</f>
        <v>2779</v>
      </c>
      <c r="D2784" s="247">
        <f>'Table S2 Compound Identifiers'!B2786</f>
        <v>0</v>
      </c>
      <c r="E2784" s="247"/>
      <c r="F2784" s="248"/>
      <c r="G2784" s="249"/>
      <c r="H2784" s="330"/>
      <c r="I2784" s="328"/>
      <c r="J2784" s="249"/>
      <c r="K2784" s="330"/>
      <c r="L2784" s="250"/>
      <c r="M2784" s="249"/>
      <c r="N2784" s="330"/>
      <c r="O2784" s="250"/>
      <c r="P2784" s="249"/>
      <c r="Q2784" s="330"/>
      <c r="R2784" s="250"/>
      <c r="S2784" s="249"/>
      <c r="T2784" s="330"/>
      <c r="U2784" s="250"/>
      <c r="V2784" s="249"/>
      <c r="W2784" s="330"/>
      <c r="X2784" s="343"/>
      <c r="Y2784" s="249"/>
      <c r="Z2784" s="330"/>
      <c r="AA2784" s="343"/>
      <c r="AB2784" s="249"/>
      <c r="AC2784" s="330"/>
      <c r="AD2784" s="343"/>
      <c r="AE2784" s="249"/>
      <c r="AF2784" s="330"/>
      <c r="AG2784" s="343"/>
      <c r="AH2784" s="249"/>
      <c r="AI2784" s="330"/>
      <c r="AJ2784" s="343"/>
      <c r="AK2784" s="249"/>
      <c r="AL2784" s="330"/>
      <c r="AM2784" s="343"/>
      <c r="AN2784" s="249"/>
      <c r="AO2784" s="330"/>
      <c r="AP2784" s="343"/>
      <c r="AQ2784" s="249"/>
      <c r="AR2784" s="330"/>
      <c r="AS2784" s="343"/>
      <c r="AT2784" s="249"/>
      <c r="AU2784" s="330"/>
    </row>
    <row r="2785" spans="2:47">
      <c r="B2785" s="247">
        <f>'Table S2 Compound Identifiers'!C2787</f>
        <v>0</v>
      </c>
      <c r="C2785" s="247">
        <f>COUNTIF($D$6:D2785,"&lt;&gt;"&amp;"")</f>
        <v>2780</v>
      </c>
      <c r="D2785" s="247">
        <f>'Table S2 Compound Identifiers'!B2787</f>
        <v>0</v>
      </c>
      <c r="E2785" s="247"/>
      <c r="F2785" s="248"/>
      <c r="G2785" s="249"/>
      <c r="H2785" s="330"/>
      <c r="I2785" s="328"/>
      <c r="J2785" s="249"/>
      <c r="K2785" s="330"/>
      <c r="L2785" s="250"/>
      <c r="M2785" s="249"/>
      <c r="N2785" s="330"/>
      <c r="O2785" s="250"/>
      <c r="P2785" s="249"/>
      <c r="Q2785" s="330"/>
      <c r="R2785" s="250"/>
      <c r="S2785" s="249"/>
      <c r="T2785" s="330"/>
      <c r="U2785" s="250"/>
      <c r="V2785" s="249"/>
      <c r="W2785" s="330"/>
      <c r="X2785" s="343"/>
      <c r="Y2785" s="249"/>
      <c r="Z2785" s="330"/>
      <c r="AA2785" s="343"/>
      <c r="AB2785" s="249"/>
      <c r="AC2785" s="330"/>
      <c r="AD2785" s="343"/>
      <c r="AE2785" s="249"/>
      <c r="AF2785" s="330"/>
      <c r="AG2785" s="343"/>
      <c r="AH2785" s="249"/>
      <c r="AI2785" s="330"/>
      <c r="AJ2785" s="343"/>
      <c r="AK2785" s="249"/>
      <c r="AL2785" s="330"/>
      <c r="AM2785" s="343"/>
      <c r="AN2785" s="249"/>
      <c r="AO2785" s="330"/>
      <c r="AP2785" s="343"/>
      <c r="AQ2785" s="249"/>
      <c r="AR2785" s="330"/>
      <c r="AS2785" s="343"/>
      <c r="AT2785" s="249"/>
      <c r="AU2785" s="330"/>
    </row>
    <row r="2786" spans="2:47">
      <c r="B2786" s="247">
        <f>'Table S2 Compound Identifiers'!C2788</f>
        <v>0</v>
      </c>
      <c r="C2786" s="247">
        <f>COUNTIF($D$6:D2786,"&lt;&gt;"&amp;"")</f>
        <v>2781</v>
      </c>
      <c r="D2786" s="247">
        <f>'Table S2 Compound Identifiers'!B2788</f>
        <v>0</v>
      </c>
      <c r="E2786" s="247"/>
      <c r="F2786" s="248"/>
      <c r="G2786" s="249"/>
      <c r="H2786" s="330"/>
      <c r="I2786" s="328"/>
      <c r="J2786" s="249"/>
      <c r="K2786" s="330"/>
      <c r="L2786" s="250"/>
      <c r="M2786" s="249"/>
      <c r="N2786" s="330"/>
      <c r="O2786" s="250"/>
      <c r="P2786" s="249"/>
      <c r="Q2786" s="330"/>
      <c r="R2786" s="250"/>
      <c r="S2786" s="249"/>
      <c r="T2786" s="330"/>
      <c r="U2786" s="250"/>
      <c r="V2786" s="249"/>
      <c r="W2786" s="330"/>
      <c r="X2786" s="343"/>
      <c r="Y2786" s="249"/>
      <c r="Z2786" s="330"/>
      <c r="AA2786" s="343"/>
      <c r="AB2786" s="249"/>
      <c r="AC2786" s="330"/>
      <c r="AD2786" s="343"/>
      <c r="AE2786" s="249"/>
      <c r="AF2786" s="330"/>
      <c r="AG2786" s="343"/>
      <c r="AH2786" s="249"/>
      <c r="AI2786" s="330"/>
      <c r="AJ2786" s="343"/>
      <c r="AK2786" s="249"/>
      <c r="AL2786" s="330"/>
      <c r="AM2786" s="343"/>
      <c r="AN2786" s="249"/>
      <c r="AO2786" s="330"/>
      <c r="AP2786" s="343"/>
      <c r="AQ2786" s="249"/>
      <c r="AR2786" s="330"/>
      <c r="AS2786" s="343"/>
      <c r="AT2786" s="249"/>
      <c r="AU2786" s="330"/>
    </row>
    <row r="2787" spans="2:47">
      <c r="B2787" s="247">
        <f>'Table S2 Compound Identifiers'!C2789</f>
        <v>0</v>
      </c>
      <c r="C2787" s="247">
        <f>COUNTIF($D$6:D2787,"&lt;&gt;"&amp;"")</f>
        <v>2782</v>
      </c>
      <c r="D2787" s="247">
        <f>'Table S2 Compound Identifiers'!B2789</f>
        <v>0</v>
      </c>
      <c r="E2787" s="247"/>
      <c r="F2787" s="248"/>
      <c r="G2787" s="249"/>
      <c r="H2787" s="330"/>
      <c r="I2787" s="328"/>
      <c r="J2787" s="249"/>
      <c r="K2787" s="330"/>
      <c r="L2787" s="250"/>
      <c r="M2787" s="249"/>
      <c r="N2787" s="330"/>
      <c r="O2787" s="250"/>
      <c r="P2787" s="249"/>
      <c r="Q2787" s="330"/>
      <c r="R2787" s="250"/>
      <c r="S2787" s="249"/>
      <c r="T2787" s="330"/>
      <c r="U2787" s="250"/>
      <c r="V2787" s="249"/>
      <c r="W2787" s="330"/>
      <c r="X2787" s="343"/>
      <c r="Y2787" s="249"/>
      <c r="Z2787" s="330"/>
      <c r="AA2787" s="343"/>
      <c r="AB2787" s="249"/>
      <c r="AC2787" s="330"/>
      <c r="AD2787" s="343"/>
      <c r="AE2787" s="249"/>
      <c r="AF2787" s="330"/>
      <c r="AG2787" s="343"/>
      <c r="AH2787" s="249"/>
      <c r="AI2787" s="330"/>
      <c r="AJ2787" s="343"/>
      <c r="AK2787" s="249"/>
      <c r="AL2787" s="330"/>
      <c r="AM2787" s="343"/>
      <c r="AN2787" s="249"/>
      <c r="AO2787" s="330"/>
      <c r="AP2787" s="343"/>
      <c r="AQ2787" s="249"/>
      <c r="AR2787" s="330"/>
      <c r="AS2787" s="343"/>
      <c r="AT2787" s="249"/>
      <c r="AU2787" s="330"/>
    </row>
    <row r="2788" spans="2:47">
      <c r="B2788" s="247">
        <f>'Table S2 Compound Identifiers'!C2790</f>
        <v>0</v>
      </c>
      <c r="C2788" s="247">
        <f>COUNTIF($D$6:D2788,"&lt;&gt;"&amp;"")</f>
        <v>2783</v>
      </c>
      <c r="D2788" s="247">
        <f>'Table S2 Compound Identifiers'!B2790</f>
        <v>0</v>
      </c>
      <c r="E2788" s="247"/>
      <c r="F2788" s="248"/>
      <c r="G2788" s="249"/>
      <c r="H2788" s="330"/>
      <c r="I2788" s="328"/>
      <c r="J2788" s="249"/>
      <c r="K2788" s="330"/>
      <c r="L2788" s="250"/>
      <c r="M2788" s="249"/>
      <c r="N2788" s="330"/>
      <c r="O2788" s="250"/>
      <c r="P2788" s="249"/>
      <c r="Q2788" s="330"/>
      <c r="R2788" s="250"/>
      <c r="S2788" s="249"/>
      <c r="T2788" s="330"/>
      <c r="U2788" s="250"/>
      <c r="V2788" s="249"/>
      <c r="W2788" s="330"/>
      <c r="X2788" s="343"/>
      <c r="Y2788" s="249"/>
      <c r="Z2788" s="330"/>
      <c r="AA2788" s="343"/>
      <c r="AB2788" s="249"/>
      <c r="AC2788" s="330"/>
      <c r="AD2788" s="343"/>
      <c r="AE2788" s="249"/>
      <c r="AF2788" s="330"/>
      <c r="AG2788" s="343"/>
      <c r="AH2788" s="249"/>
      <c r="AI2788" s="330"/>
      <c r="AJ2788" s="343"/>
      <c r="AK2788" s="249"/>
      <c r="AL2788" s="330"/>
      <c r="AM2788" s="343"/>
      <c r="AN2788" s="249"/>
      <c r="AO2788" s="330"/>
      <c r="AP2788" s="343"/>
      <c r="AQ2788" s="249"/>
      <c r="AR2788" s="330"/>
      <c r="AS2788" s="343"/>
      <c r="AT2788" s="249"/>
      <c r="AU2788" s="330"/>
    </row>
    <row r="2789" spans="2:47">
      <c r="B2789" s="247">
        <f>'Table S2 Compound Identifiers'!C2791</f>
        <v>0</v>
      </c>
      <c r="C2789" s="247">
        <f>COUNTIF($D$6:D2789,"&lt;&gt;"&amp;"")</f>
        <v>2784</v>
      </c>
      <c r="D2789" s="247">
        <f>'Table S2 Compound Identifiers'!B2791</f>
        <v>0</v>
      </c>
      <c r="E2789" s="247"/>
      <c r="F2789" s="248"/>
      <c r="G2789" s="249"/>
      <c r="H2789" s="330"/>
      <c r="I2789" s="328"/>
      <c r="J2789" s="249"/>
      <c r="K2789" s="330"/>
      <c r="L2789" s="250"/>
      <c r="M2789" s="249"/>
      <c r="N2789" s="330"/>
      <c r="O2789" s="250"/>
      <c r="P2789" s="249"/>
      <c r="Q2789" s="330"/>
      <c r="R2789" s="250"/>
      <c r="S2789" s="249"/>
      <c r="T2789" s="330"/>
      <c r="U2789" s="250"/>
      <c r="V2789" s="249"/>
      <c r="W2789" s="330"/>
      <c r="X2789" s="343"/>
      <c r="Y2789" s="249"/>
      <c r="Z2789" s="330"/>
      <c r="AA2789" s="343"/>
      <c r="AB2789" s="249"/>
      <c r="AC2789" s="330"/>
      <c r="AD2789" s="343"/>
      <c r="AE2789" s="249"/>
      <c r="AF2789" s="330"/>
      <c r="AG2789" s="343"/>
      <c r="AH2789" s="249"/>
      <c r="AI2789" s="330"/>
      <c r="AJ2789" s="343"/>
      <c r="AK2789" s="249"/>
      <c r="AL2789" s="330"/>
      <c r="AM2789" s="343"/>
      <c r="AN2789" s="249"/>
      <c r="AO2789" s="330"/>
      <c r="AP2789" s="343"/>
      <c r="AQ2789" s="249"/>
      <c r="AR2789" s="330"/>
      <c r="AS2789" s="343"/>
      <c r="AT2789" s="249"/>
      <c r="AU2789" s="330"/>
    </row>
    <row r="2790" spans="2:47">
      <c r="B2790" s="247">
        <f>'Table S2 Compound Identifiers'!C2792</f>
        <v>0</v>
      </c>
      <c r="C2790" s="247">
        <f>COUNTIF($D$6:D2790,"&lt;&gt;"&amp;"")</f>
        <v>2785</v>
      </c>
      <c r="D2790" s="247">
        <f>'Table S2 Compound Identifiers'!B2792</f>
        <v>0</v>
      </c>
      <c r="E2790" s="247"/>
      <c r="F2790" s="248"/>
      <c r="G2790" s="249"/>
      <c r="H2790" s="330"/>
      <c r="I2790" s="328"/>
      <c r="J2790" s="249"/>
      <c r="K2790" s="330"/>
      <c r="L2790" s="250"/>
      <c r="M2790" s="249"/>
      <c r="N2790" s="330"/>
      <c r="O2790" s="250"/>
      <c r="P2790" s="249"/>
      <c r="Q2790" s="330"/>
      <c r="R2790" s="250"/>
      <c r="S2790" s="249"/>
      <c r="T2790" s="330"/>
      <c r="U2790" s="250"/>
      <c r="V2790" s="249"/>
      <c r="W2790" s="330"/>
      <c r="X2790" s="343"/>
      <c r="Y2790" s="249"/>
      <c r="Z2790" s="330"/>
      <c r="AA2790" s="343"/>
      <c r="AB2790" s="249"/>
      <c r="AC2790" s="330"/>
      <c r="AD2790" s="343"/>
      <c r="AE2790" s="249"/>
      <c r="AF2790" s="330"/>
      <c r="AG2790" s="343"/>
      <c r="AH2790" s="249"/>
      <c r="AI2790" s="330"/>
      <c r="AJ2790" s="343"/>
      <c r="AK2790" s="249"/>
      <c r="AL2790" s="330"/>
      <c r="AM2790" s="343"/>
      <c r="AN2790" s="249"/>
      <c r="AO2790" s="330"/>
      <c r="AP2790" s="343"/>
      <c r="AQ2790" s="249"/>
      <c r="AR2790" s="330"/>
      <c r="AS2790" s="343"/>
      <c r="AT2790" s="249"/>
      <c r="AU2790" s="330"/>
    </row>
    <row r="2791" spans="2:47">
      <c r="B2791" s="247">
        <f>'Table S2 Compound Identifiers'!C2793</f>
        <v>0</v>
      </c>
      <c r="C2791" s="247">
        <f>COUNTIF($D$6:D2791,"&lt;&gt;"&amp;"")</f>
        <v>2786</v>
      </c>
      <c r="D2791" s="247">
        <f>'Table S2 Compound Identifiers'!B2793</f>
        <v>0</v>
      </c>
      <c r="E2791" s="247"/>
      <c r="F2791" s="248"/>
      <c r="G2791" s="249"/>
      <c r="H2791" s="330"/>
      <c r="I2791" s="328"/>
      <c r="J2791" s="249"/>
      <c r="K2791" s="330"/>
      <c r="L2791" s="250"/>
      <c r="M2791" s="249"/>
      <c r="N2791" s="330"/>
      <c r="O2791" s="250"/>
      <c r="P2791" s="249"/>
      <c r="Q2791" s="330"/>
      <c r="R2791" s="250"/>
      <c r="S2791" s="249"/>
      <c r="T2791" s="330"/>
      <c r="U2791" s="250"/>
      <c r="V2791" s="249"/>
      <c r="W2791" s="330"/>
      <c r="X2791" s="343"/>
      <c r="Y2791" s="249"/>
      <c r="Z2791" s="330"/>
      <c r="AA2791" s="343"/>
      <c r="AB2791" s="249"/>
      <c r="AC2791" s="330"/>
      <c r="AD2791" s="343"/>
      <c r="AE2791" s="249"/>
      <c r="AF2791" s="330"/>
      <c r="AG2791" s="343"/>
      <c r="AH2791" s="249"/>
      <c r="AI2791" s="330"/>
      <c r="AJ2791" s="343"/>
      <c r="AK2791" s="249"/>
      <c r="AL2791" s="330"/>
      <c r="AM2791" s="343"/>
      <c r="AN2791" s="249"/>
      <c r="AO2791" s="330"/>
      <c r="AP2791" s="343"/>
      <c r="AQ2791" s="249"/>
      <c r="AR2791" s="330"/>
      <c r="AS2791" s="343"/>
      <c r="AT2791" s="249"/>
      <c r="AU2791" s="330"/>
    </row>
    <row r="2792" spans="2:47">
      <c r="B2792" s="247">
        <f>'Table S2 Compound Identifiers'!C2794</f>
        <v>0</v>
      </c>
      <c r="C2792" s="247">
        <f>COUNTIF($D$6:D2792,"&lt;&gt;"&amp;"")</f>
        <v>2787</v>
      </c>
      <c r="D2792" s="247">
        <f>'Table S2 Compound Identifiers'!B2794</f>
        <v>0</v>
      </c>
      <c r="E2792" s="247"/>
      <c r="F2792" s="248"/>
      <c r="G2792" s="249"/>
      <c r="H2792" s="330"/>
      <c r="I2792" s="328"/>
      <c r="J2792" s="249"/>
      <c r="K2792" s="330"/>
      <c r="L2792" s="250"/>
      <c r="M2792" s="249"/>
      <c r="N2792" s="330"/>
      <c r="O2792" s="250"/>
      <c r="P2792" s="249"/>
      <c r="Q2792" s="330"/>
      <c r="R2792" s="250"/>
      <c r="S2792" s="249"/>
      <c r="T2792" s="330"/>
      <c r="U2792" s="250"/>
      <c r="V2792" s="249"/>
      <c r="W2792" s="330"/>
      <c r="X2792" s="343"/>
      <c r="Y2792" s="249"/>
      <c r="Z2792" s="330"/>
      <c r="AA2792" s="343"/>
      <c r="AB2792" s="249"/>
      <c r="AC2792" s="330"/>
      <c r="AD2792" s="343"/>
      <c r="AE2792" s="249"/>
      <c r="AF2792" s="330"/>
      <c r="AG2792" s="343"/>
      <c r="AH2792" s="249"/>
      <c r="AI2792" s="330"/>
      <c r="AJ2792" s="343"/>
      <c r="AK2792" s="249"/>
      <c r="AL2792" s="330"/>
      <c r="AM2792" s="343"/>
      <c r="AN2792" s="249"/>
      <c r="AO2792" s="330"/>
      <c r="AP2792" s="343"/>
      <c r="AQ2792" s="249"/>
      <c r="AR2792" s="330"/>
      <c r="AS2792" s="343"/>
      <c r="AT2792" s="249"/>
      <c r="AU2792" s="330"/>
    </row>
    <row r="2793" spans="2:47">
      <c r="B2793" s="247">
        <f>'Table S2 Compound Identifiers'!C2795</f>
        <v>0</v>
      </c>
      <c r="C2793" s="247">
        <f>COUNTIF($D$6:D2793,"&lt;&gt;"&amp;"")</f>
        <v>2788</v>
      </c>
      <c r="D2793" s="247">
        <f>'Table S2 Compound Identifiers'!B2795</f>
        <v>0</v>
      </c>
      <c r="E2793" s="247"/>
      <c r="F2793" s="248"/>
      <c r="G2793" s="249"/>
      <c r="H2793" s="330"/>
      <c r="I2793" s="328"/>
      <c r="J2793" s="249"/>
      <c r="K2793" s="330"/>
      <c r="L2793" s="250"/>
      <c r="M2793" s="249"/>
      <c r="N2793" s="330"/>
      <c r="O2793" s="250"/>
      <c r="P2793" s="249"/>
      <c r="Q2793" s="330"/>
      <c r="R2793" s="250"/>
      <c r="S2793" s="249"/>
      <c r="T2793" s="330"/>
      <c r="U2793" s="250"/>
      <c r="V2793" s="249"/>
      <c r="W2793" s="330"/>
      <c r="X2793" s="343"/>
      <c r="Y2793" s="249"/>
      <c r="Z2793" s="330"/>
      <c r="AA2793" s="343"/>
      <c r="AB2793" s="249"/>
      <c r="AC2793" s="330"/>
      <c r="AD2793" s="343"/>
      <c r="AE2793" s="249"/>
      <c r="AF2793" s="330"/>
      <c r="AG2793" s="343"/>
      <c r="AH2793" s="249"/>
      <c r="AI2793" s="330"/>
      <c r="AJ2793" s="343"/>
      <c r="AK2793" s="249"/>
      <c r="AL2793" s="330"/>
      <c r="AM2793" s="343"/>
      <c r="AN2793" s="249"/>
      <c r="AO2793" s="330"/>
      <c r="AP2793" s="343"/>
      <c r="AQ2793" s="249"/>
      <c r="AR2793" s="330"/>
      <c r="AS2793" s="343"/>
      <c r="AT2793" s="249"/>
      <c r="AU2793" s="330"/>
    </row>
    <row r="2794" spans="2:47">
      <c r="B2794" s="247">
        <f>'Table S2 Compound Identifiers'!C2796</f>
        <v>0</v>
      </c>
      <c r="C2794" s="247">
        <f>COUNTIF($D$6:D2794,"&lt;&gt;"&amp;"")</f>
        <v>2789</v>
      </c>
      <c r="D2794" s="247">
        <f>'Table S2 Compound Identifiers'!B2796</f>
        <v>0</v>
      </c>
      <c r="E2794" s="247"/>
      <c r="F2794" s="248"/>
      <c r="G2794" s="249"/>
      <c r="H2794" s="330"/>
      <c r="I2794" s="328"/>
      <c r="J2794" s="249"/>
      <c r="K2794" s="330"/>
      <c r="L2794" s="250"/>
      <c r="M2794" s="249"/>
      <c r="N2794" s="330"/>
      <c r="O2794" s="250"/>
      <c r="P2794" s="249"/>
      <c r="Q2794" s="330"/>
      <c r="R2794" s="250"/>
      <c r="S2794" s="249"/>
      <c r="T2794" s="330"/>
      <c r="U2794" s="250"/>
      <c r="V2794" s="249"/>
      <c r="W2794" s="330"/>
      <c r="X2794" s="343"/>
      <c r="Y2794" s="249"/>
      <c r="Z2794" s="330"/>
      <c r="AA2794" s="343"/>
      <c r="AB2794" s="249"/>
      <c r="AC2794" s="330"/>
      <c r="AD2794" s="343"/>
      <c r="AE2794" s="249"/>
      <c r="AF2794" s="330"/>
      <c r="AG2794" s="343"/>
      <c r="AH2794" s="249"/>
      <c r="AI2794" s="330"/>
      <c r="AJ2794" s="343"/>
      <c r="AK2794" s="249"/>
      <c r="AL2794" s="330"/>
      <c r="AM2794" s="343"/>
      <c r="AN2794" s="249"/>
      <c r="AO2794" s="330"/>
      <c r="AP2794" s="343"/>
      <c r="AQ2794" s="249"/>
      <c r="AR2794" s="330"/>
      <c r="AS2794" s="343"/>
      <c r="AT2794" s="249"/>
      <c r="AU2794" s="330"/>
    </row>
    <row r="2795" spans="2:47">
      <c r="B2795" s="247">
        <f>'Table S2 Compound Identifiers'!C2797</f>
        <v>0</v>
      </c>
      <c r="C2795" s="247">
        <f>COUNTIF($D$6:D2795,"&lt;&gt;"&amp;"")</f>
        <v>2790</v>
      </c>
      <c r="D2795" s="247">
        <f>'Table S2 Compound Identifiers'!B2797</f>
        <v>0</v>
      </c>
      <c r="E2795" s="247"/>
      <c r="F2795" s="248"/>
      <c r="G2795" s="249"/>
      <c r="H2795" s="330"/>
      <c r="I2795" s="328"/>
      <c r="J2795" s="249"/>
      <c r="K2795" s="330"/>
      <c r="L2795" s="250"/>
      <c r="M2795" s="249"/>
      <c r="N2795" s="330"/>
      <c r="O2795" s="250"/>
      <c r="P2795" s="249"/>
      <c r="Q2795" s="330"/>
      <c r="R2795" s="250"/>
      <c r="S2795" s="249"/>
      <c r="T2795" s="330"/>
      <c r="U2795" s="250"/>
      <c r="V2795" s="249"/>
      <c r="W2795" s="330"/>
      <c r="X2795" s="343"/>
      <c r="Y2795" s="249"/>
      <c r="Z2795" s="330"/>
      <c r="AA2795" s="343"/>
      <c r="AB2795" s="249"/>
      <c r="AC2795" s="330"/>
      <c r="AD2795" s="343"/>
      <c r="AE2795" s="249"/>
      <c r="AF2795" s="330"/>
      <c r="AG2795" s="343"/>
      <c r="AH2795" s="249"/>
      <c r="AI2795" s="330"/>
      <c r="AJ2795" s="343"/>
      <c r="AK2795" s="249"/>
      <c r="AL2795" s="330"/>
      <c r="AM2795" s="343"/>
      <c r="AN2795" s="249"/>
      <c r="AO2795" s="330"/>
      <c r="AP2795" s="343"/>
      <c r="AQ2795" s="249"/>
      <c r="AR2795" s="330"/>
      <c r="AS2795" s="343"/>
      <c r="AT2795" s="249"/>
      <c r="AU2795" s="330"/>
    </row>
    <row r="2796" spans="2:47">
      <c r="B2796" s="247">
        <f>'Table S2 Compound Identifiers'!C2798</f>
        <v>0</v>
      </c>
      <c r="C2796" s="247">
        <f>COUNTIF($D$6:D2796,"&lt;&gt;"&amp;"")</f>
        <v>2791</v>
      </c>
      <c r="D2796" s="247">
        <f>'Table S2 Compound Identifiers'!B2798</f>
        <v>0</v>
      </c>
      <c r="E2796" s="247"/>
      <c r="F2796" s="248"/>
      <c r="G2796" s="249"/>
      <c r="H2796" s="330"/>
      <c r="I2796" s="328"/>
      <c r="J2796" s="249"/>
      <c r="K2796" s="330"/>
      <c r="L2796" s="250"/>
      <c r="M2796" s="249"/>
      <c r="N2796" s="330"/>
      <c r="O2796" s="250"/>
      <c r="P2796" s="249"/>
      <c r="Q2796" s="330"/>
      <c r="R2796" s="250"/>
      <c r="S2796" s="249"/>
      <c r="T2796" s="330"/>
      <c r="U2796" s="250"/>
      <c r="V2796" s="249"/>
      <c r="W2796" s="330"/>
      <c r="X2796" s="343"/>
      <c r="Y2796" s="249"/>
      <c r="Z2796" s="330"/>
      <c r="AA2796" s="343"/>
      <c r="AB2796" s="249"/>
      <c r="AC2796" s="330"/>
      <c r="AD2796" s="343"/>
      <c r="AE2796" s="249"/>
      <c r="AF2796" s="330"/>
      <c r="AG2796" s="343"/>
      <c r="AH2796" s="249"/>
      <c r="AI2796" s="330"/>
      <c r="AJ2796" s="343"/>
      <c r="AK2796" s="249"/>
      <c r="AL2796" s="330"/>
      <c r="AM2796" s="343"/>
      <c r="AN2796" s="249"/>
      <c r="AO2796" s="330"/>
      <c r="AP2796" s="343"/>
      <c r="AQ2796" s="249"/>
      <c r="AR2796" s="330"/>
      <c r="AS2796" s="343"/>
      <c r="AT2796" s="249"/>
      <c r="AU2796" s="330"/>
    </row>
    <row r="2797" spans="2:47">
      <c r="B2797" s="247">
        <f>'Table S2 Compound Identifiers'!C2799</f>
        <v>0</v>
      </c>
      <c r="C2797" s="247">
        <f>COUNTIF($D$6:D2797,"&lt;&gt;"&amp;"")</f>
        <v>2792</v>
      </c>
      <c r="D2797" s="247">
        <f>'Table S2 Compound Identifiers'!B2799</f>
        <v>0</v>
      </c>
      <c r="E2797" s="247"/>
      <c r="F2797" s="248"/>
      <c r="G2797" s="249"/>
      <c r="H2797" s="330"/>
      <c r="I2797" s="328"/>
      <c r="J2797" s="249"/>
      <c r="K2797" s="330"/>
      <c r="L2797" s="250"/>
      <c r="M2797" s="249"/>
      <c r="N2797" s="330"/>
      <c r="O2797" s="250"/>
      <c r="P2797" s="249"/>
      <c r="Q2797" s="330"/>
      <c r="R2797" s="250"/>
      <c r="S2797" s="249"/>
      <c r="T2797" s="330"/>
      <c r="U2797" s="250"/>
      <c r="V2797" s="249"/>
      <c r="W2797" s="330"/>
      <c r="X2797" s="343"/>
      <c r="Y2797" s="249"/>
      <c r="Z2797" s="330"/>
      <c r="AA2797" s="343"/>
      <c r="AB2797" s="249"/>
      <c r="AC2797" s="330"/>
      <c r="AD2797" s="343"/>
      <c r="AE2797" s="249"/>
      <c r="AF2797" s="330"/>
      <c r="AG2797" s="343"/>
      <c r="AH2797" s="249"/>
      <c r="AI2797" s="330"/>
      <c r="AJ2797" s="343"/>
      <c r="AK2797" s="249"/>
      <c r="AL2797" s="330"/>
      <c r="AM2797" s="343"/>
      <c r="AN2797" s="249"/>
      <c r="AO2797" s="330"/>
      <c r="AP2797" s="343"/>
      <c r="AQ2797" s="249"/>
      <c r="AR2797" s="330"/>
      <c r="AS2797" s="343"/>
      <c r="AT2797" s="249"/>
      <c r="AU2797" s="330"/>
    </row>
    <row r="2798" spans="2:47">
      <c r="B2798" s="247">
        <f>'Table S2 Compound Identifiers'!C2800</f>
        <v>0</v>
      </c>
      <c r="C2798" s="247">
        <f>COUNTIF($D$6:D2798,"&lt;&gt;"&amp;"")</f>
        <v>2793</v>
      </c>
      <c r="D2798" s="247">
        <f>'Table S2 Compound Identifiers'!B2800</f>
        <v>0</v>
      </c>
      <c r="E2798" s="247"/>
      <c r="F2798" s="248"/>
      <c r="G2798" s="249"/>
      <c r="H2798" s="330"/>
      <c r="I2798" s="328"/>
      <c r="J2798" s="249"/>
      <c r="K2798" s="330"/>
      <c r="L2798" s="250"/>
      <c r="M2798" s="249"/>
      <c r="N2798" s="330"/>
      <c r="O2798" s="250"/>
      <c r="P2798" s="249"/>
      <c r="Q2798" s="330"/>
      <c r="R2798" s="250"/>
      <c r="S2798" s="249"/>
      <c r="T2798" s="330"/>
      <c r="U2798" s="250"/>
      <c r="V2798" s="249"/>
      <c r="W2798" s="330"/>
      <c r="X2798" s="343"/>
      <c r="Y2798" s="249"/>
      <c r="Z2798" s="330"/>
      <c r="AA2798" s="343"/>
      <c r="AB2798" s="249"/>
      <c r="AC2798" s="330"/>
      <c r="AD2798" s="343"/>
      <c r="AE2798" s="249"/>
      <c r="AF2798" s="330"/>
      <c r="AG2798" s="343"/>
      <c r="AH2798" s="249"/>
      <c r="AI2798" s="330"/>
      <c r="AJ2798" s="343"/>
      <c r="AK2798" s="249"/>
      <c r="AL2798" s="330"/>
      <c r="AM2798" s="343"/>
      <c r="AN2798" s="249"/>
      <c r="AO2798" s="330"/>
      <c r="AP2798" s="343"/>
      <c r="AQ2798" s="249"/>
      <c r="AR2798" s="330"/>
      <c r="AS2798" s="343"/>
      <c r="AT2798" s="249"/>
      <c r="AU2798" s="330"/>
    </row>
    <row r="2799" spans="2:47">
      <c r="B2799" s="247">
        <f>'Table S2 Compound Identifiers'!C2801</f>
        <v>0</v>
      </c>
      <c r="C2799" s="247">
        <f>COUNTIF($D$6:D2799,"&lt;&gt;"&amp;"")</f>
        <v>2794</v>
      </c>
      <c r="D2799" s="247">
        <f>'Table S2 Compound Identifiers'!B2801</f>
        <v>0</v>
      </c>
      <c r="E2799" s="247"/>
      <c r="F2799" s="248"/>
      <c r="G2799" s="249"/>
      <c r="H2799" s="330"/>
      <c r="I2799" s="328"/>
      <c r="J2799" s="249"/>
      <c r="K2799" s="330"/>
      <c r="L2799" s="250"/>
      <c r="M2799" s="249"/>
      <c r="N2799" s="330"/>
      <c r="O2799" s="250"/>
      <c r="P2799" s="249"/>
      <c r="Q2799" s="330"/>
      <c r="R2799" s="250"/>
      <c r="S2799" s="249"/>
      <c r="T2799" s="330"/>
      <c r="U2799" s="250"/>
      <c r="V2799" s="249"/>
      <c r="W2799" s="330"/>
      <c r="X2799" s="343"/>
      <c r="Y2799" s="249"/>
      <c r="Z2799" s="330"/>
      <c r="AA2799" s="343"/>
      <c r="AB2799" s="249"/>
      <c r="AC2799" s="330"/>
      <c r="AD2799" s="343"/>
      <c r="AE2799" s="249"/>
      <c r="AF2799" s="330"/>
      <c r="AG2799" s="343"/>
      <c r="AH2799" s="249"/>
      <c r="AI2799" s="330"/>
      <c r="AJ2799" s="343"/>
      <c r="AK2799" s="249"/>
      <c r="AL2799" s="330"/>
      <c r="AM2799" s="343"/>
      <c r="AN2799" s="249"/>
      <c r="AO2799" s="330"/>
      <c r="AP2799" s="343"/>
      <c r="AQ2799" s="249"/>
      <c r="AR2799" s="330"/>
      <c r="AS2799" s="343"/>
      <c r="AT2799" s="249"/>
      <c r="AU2799" s="330"/>
    </row>
    <row r="2800" spans="2:47">
      <c r="B2800" s="247">
        <f>'Table S2 Compound Identifiers'!C2802</f>
        <v>0</v>
      </c>
      <c r="C2800" s="247">
        <f>COUNTIF($D$6:D2800,"&lt;&gt;"&amp;"")</f>
        <v>2795</v>
      </c>
      <c r="D2800" s="432">
        <f>'Table S2 Compound Identifiers'!B2802</f>
        <v>0</v>
      </c>
      <c r="E2800" s="247"/>
      <c r="F2800" s="248"/>
      <c r="G2800" s="249"/>
      <c r="H2800" s="330"/>
      <c r="I2800" s="328"/>
      <c r="J2800" s="249"/>
      <c r="K2800" s="330"/>
      <c r="L2800" s="250"/>
      <c r="M2800" s="249"/>
      <c r="N2800" s="330"/>
      <c r="O2800" s="250"/>
      <c r="P2800" s="249"/>
      <c r="Q2800" s="330"/>
      <c r="R2800" s="250"/>
      <c r="S2800" s="249"/>
      <c r="T2800" s="330"/>
      <c r="U2800" s="250"/>
      <c r="V2800" s="249"/>
      <c r="W2800" s="330"/>
      <c r="X2800" s="343"/>
      <c r="Y2800" s="249"/>
      <c r="Z2800" s="330"/>
      <c r="AA2800" s="343"/>
      <c r="AB2800" s="249"/>
      <c r="AC2800" s="330"/>
      <c r="AD2800" s="343"/>
      <c r="AE2800" s="249"/>
      <c r="AF2800" s="330"/>
      <c r="AG2800" s="343"/>
      <c r="AH2800" s="249"/>
      <c r="AI2800" s="330"/>
      <c r="AJ2800" s="343"/>
      <c r="AK2800" s="249"/>
      <c r="AL2800" s="330"/>
      <c r="AM2800" s="343"/>
      <c r="AN2800" s="249"/>
      <c r="AO2800" s="330"/>
      <c r="AP2800" s="343"/>
      <c r="AQ2800" s="249"/>
      <c r="AR2800" s="330"/>
      <c r="AS2800" s="343"/>
      <c r="AT2800" s="249"/>
      <c r="AU2800" s="330"/>
    </row>
    <row r="2801" spans="2:47">
      <c r="B2801" s="247">
        <f>'Table S2 Compound Identifiers'!C2803</f>
        <v>0</v>
      </c>
      <c r="C2801" s="247">
        <f>COUNTIF($D$6:D2801,"&lt;&gt;"&amp;"")</f>
        <v>2796</v>
      </c>
      <c r="D2801" s="432">
        <f>'Table S2 Compound Identifiers'!B2803</f>
        <v>0</v>
      </c>
      <c r="E2801" s="247"/>
      <c r="F2801" s="248"/>
      <c r="G2801" s="249"/>
      <c r="H2801" s="330"/>
      <c r="I2801" s="328"/>
      <c r="J2801" s="249"/>
      <c r="K2801" s="330"/>
      <c r="L2801" s="250"/>
      <c r="M2801" s="249"/>
      <c r="N2801" s="330"/>
      <c r="O2801" s="250"/>
      <c r="P2801" s="249"/>
      <c r="Q2801" s="330"/>
      <c r="R2801" s="250"/>
      <c r="S2801" s="249"/>
      <c r="T2801" s="330"/>
      <c r="U2801" s="250"/>
      <c r="V2801" s="249"/>
      <c r="W2801" s="330"/>
      <c r="X2801" s="343"/>
      <c r="Y2801" s="249"/>
      <c r="Z2801" s="330"/>
      <c r="AA2801" s="343"/>
      <c r="AB2801" s="249"/>
      <c r="AC2801" s="330"/>
      <c r="AD2801" s="343"/>
      <c r="AE2801" s="249"/>
      <c r="AF2801" s="330"/>
      <c r="AG2801" s="343"/>
      <c r="AH2801" s="249"/>
      <c r="AI2801" s="330"/>
      <c r="AJ2801" s="343"/>
      <c r="AK2801" s="249"/>
      <c r="AL2801" s="330"/>
      <c r="AM2801" s="343"/>
      <c r="AN2801" s="249"/>
      <c r="AO2801" s="330"/>
      <c r="AP2801" s="343"/>
      <c r="AQ2801" s="249"/>
      <c r="AR2801" s="330"/>
      <c r="AS2801" s="343"/>
      <c r="AT2801" s="249"/>
      <c r="AU2801" s="330"/>
    </row>
    <row r="2802" spans="2:47">
      <c r="B2802" s="247">
        <f>'Table S2 Compound Identifiers'!C2804</f>
        <v>0</v>
      </c>
      <c r="C2802" s="247">
        <f>COUNTIF($D$6:D2802,"&lt;&gt;"&amp;"")</f>
        <v>2797</v>
      </c>
      <c r="D2802" s="432">
        <f>'Table S2 Compound Identifiers'!B2804</f>
        <v>0</v>
      </c>
      <c r="E2802" s="247"/>
      <c r="F2802" s="248"/>
      <c r="G2802" s="249"/>
      <c r="H2802" s="330"/>
      <c r="I2802" s="328"/>
      <c r="J2802" s="249"/>
      <c r="K2802" s="330"/>
      <c r="L2802" s="250"/>
      <c r="M2802" s="249"/>
      <c r="N2802" s="330"/>
      <c r="O2802" s="250"/>
      <c r="P2802" s="249"/>
      <c r="Q2802" s="330"/>
      <c r="R2802" s="250"/>
      <c r="S2802" s="249"/>
      <c r="T2802" s="330"/>
      <c r="U2802" s="250"/>
      <c r="V2802" s="249"/>
      <c r="W2802" s="330"/>
      <c r="X2802" s="343"/>
      <c r="Y2802" s="249"/>
      <c r="Z2802" s="330"/>
      <c r="AA2802" s="343"/>
      <c r="AB2802" s="249"/>
      <c r="AC2802" s="330"/>
      <c r="AD2802" s="343"/>
      <c r="AE2802" s="249"/>
      <c r="AF2802" s="330"/>
      <c r="AG2802" s="343"/>
      <c r="AH2802" s="249"/>
      <c r="AI2802" s="330"/>
      <c r="AJ2802" s="343"/>
      <c r="AK2802" s="249"/>
      <c r="AL2802" s="330"/>
      <c r="AM2802" s="343"/>
      <c r="AN2802" s="249"/>
      <c r="AO2802" s="330"/>
      <c r="AP2802" s="343"/>
      <c r="AQ2802" s="249"/>
      <c r="AR2802" s="330"/>
      <c r="AS2802" s="343"/>
      <c r="AT2802" s="249"/>
      <c r="AU2802" s="330"/>
    </row>
    <row r="2803" spans="2:47">
      <c r="B2803" s="247">
        <f>'Table S2 Compound Identifiers'!C2805</f>
        <v>0</v>
      </c>
      <c r="C2803" s="247">
        <f>COUNTIF($D$6:D2803,"&lt;&gt;"&amp;"")</f>
        <v>2798</v>
      </c>
      <c r="D2803" s="432">
        <f>'Table S2 Compound Identifiers'!B2805</f>
        <v>0</v>
      </c>
      <c r="E2803" s="247"/>
      <c r="F2803" s="248"/>
      <c r="G2803" s="249"/>
      <c r="H2803" s="330"/>
      <c r="I2803" s="328"/>
      <c r="J2803" s="249"/>
      <c r="K2803" s="330"/>
      <c r="L2803" s="250"/>
      <c r="M2803" s="249"/>
      <c r="N2803" s="330"/>
      <c r="O2803" s="250"/>
      <c r="P2803" s="249"/>
      <c r="Q2803" s="330"/>
      <c r="R2803" s="250"/>
      <c r="S2803" s="249"/>
      <c r="T2803" s="330"/>
      <c r="U2803" s="250"/>
      <c r="V2803" s="249"/>
      <c r="W2803" s="330"/>
      <c r="X2803" s="343"/>
      <c r="Y2803" s="249"/>
      <c r="Z2803" s="330"/>
      <c r="AA2803" s="343"/>
      <c r="AB2803" s="249"/>
      <c r="AC2803" s="330"/>
      <c r="AD2803" s="343"/>
      <c r="AE2803" s="249"/>
      <c r="AF2803" s="330"/>
      <c r="AG2803" s="343"/>
      <c r="AH2803" s="249"/>
      <c r="AI2803" s="330"/>
      <c r="AJ2803" s="343"/>
      <c r="AK2803" s="249"/>
      <c r="AL2803" s="330"/>
      <c r="AM2803" s="343"/>
      <c r="AN2803" s="249"/>
      <c r="AO2803" s="330"/>
      <c r="AP2803" s="343"/>
      <c r="AQ2803" s="249"/>
      <c r="AR2803" s="330"/>
      <c r="AS2803" s="343"/>
      <c r="AT2803" s="249"/>
      <c r="AU2803" s="330"/>
    </row>
    <row r="2804" spans="2:47">
      <c r="B2804" s="247">
        <f>'Table S2 Compound Identifiers'!C2806</f>
        <v>0</v>
      </c>
      <c r="C2804" s="247">
        <f>COUNTIF($D$6:D2804,"&lt;&gt;"&amp;"")</f>
        <v>2799</v>
      </c>
      <c r="D2804" s="432">
        <f>'Table S2 Compound Identifiers'!B2806</f>
        <v>0</v>
      </c>
      <c r="E2804" s="247"/>
      <c r="F2804" s="248"/>
      <c r="G2804" s="249"/>
      <c r="H2804" s="330"/>
      <c r="I2804" s="328"/>
      <c r="J2804" s="249"/>
      <c r="K2804" s="330"/>
      <c r="L2804" s="250"/>
      <c r="M2804" s="249"/>
      <c r="N2804" s="330"/>
      <c r="O2804" s="250"/>
      <c r="P2804" s="249"/>
      <c r="Q2804" s="330"/>
      <c r="R2804" s="250"/>
      <c r="S2804" s="249"/>
      <c r="T2804" s="330"/>
      <c r="U2804" s="250"/>
      <c r="V2804" s="249"/>
      <c r="W2804" s="330"/>
      <c r="X2804" s="343"/>
      <c r="Y2804" s="249"/>
      <c r="Z2804" s="330"/>
      <c r="AA2804" s="343"/>
      <c r="AB2804" s="249"/>
      <c r="AC2804" s="330"/>
      <c r="AD2804" s="343"/>
      <c r="AE2804" s="249"/>
      <c r="AF2804" s="330"/>
      <c r="AG2804" s="343"/>
      <c r="AH2804" s="249"/>
      <c r="AI2804" s="330"/>
      <c r="AJ2804" s="343"/>
      <c r="AK2804" s="249"/>
      <c r="AL2804" s="330"/>
      <c r="AM2804" s="343"/>
      <c r="AN2804" s="249"/>
      <c r="AO2804" s="330"/>
      <c r="AP2804" s="343"/>
      <c r="AQ2804" s="249"/>
      <c r="AR2804" s="330"/>
      <c r="AS2804" s="343"/>
      <c r="AT2804" s="249"/>
      <c r="AU2804" s="330"/>
    </row>
    <row r="2805" spans="2:47">
      <c r="B2805" s="247">
        <f>'Table S2 Compound Identifiers'!C2807</f>
        <v>0</v>
      </c>
      <c r="C2805" s="247">
        <f>COUNTIF($D$6:D2805,"&lt;&gt;"&amp;"")</f>
        <v>2800</v>
      </c>
      <c r="D2805" s="432">
        <f>'Table S2 Compound Identifiers'!B2807</f>
        <v>0</v>
      </c>
      <c r="E2805" s="247"/>
      <c r="F2805" s="248"/>
      <c r="G2805" s="249"/>
      <c r="H2805" s="330"/>
      <c r="I2805" s="328"/>
      <c r="J2805" s="249"/>
      <c r="K2805" s="330"/>
      <c r="L2805" s="250"/>
      <c r="M2805" s="249"/>
      <c r="N2805" s="330"/>
      <c r="O2805" s="250"/>
      <c r="P2805" s="249"/>
      <c r="Q2805" s="330"/>
      <c r="R2805" s="250"/>
      <c r="S2805" s="249"/>
      <c r="T2805" s="330"/>
      <c r="U2805" s="250"/>
      <c r="V2805" s="249"/>
      <c r="W2805" s="330"/>
      <c r="X2805" s="343"/>
      <c r="Y2805" s="249"/>
      <c r="Z2805" s="330"/>
      <c r="AA2805" s="343"/>
      <c r="AB2805" s="249"/>
      <c r="AC2805" s="330"/>
      <c r="AD2805" s="343"/>
      <c r="AE2805" s="249"/>
      <c r="AF2805" s="330"/>
      <c r="AG2805" s="343"/>
      <c r="AH2805" s="249"/>
      <c r="AI2805" s="330"/>
      <c r="AJ2805" s="343"/>
      <c r="AK2805" s="249"/>
      <c r="AL2805" s="330"/>
      <c r="AM2805" s="343"/>
      <c r="AN2805" s="249"/>
      <c r="AO2805" s="330"/>
      <c r="AP2805" s="343"/>
      <c r="AQ2805" s="249"/>
      <c r="AR2805" s="330"/>
      <c r="AS2805" s="343"/>
      <c r="AT2805" s="249"/>
      <c r="AU2805" s="330"/>
    </row>
    <row r="2806" spans="2:47">
      <c r="B2806" s="247">
        <f>'Table S2 Compound Identifiers'!C2808</f>
        <v>0</v>
      </c>
      <c r="C2806" s="247">
        <f>COUNTIF($D$6:D2806,"&lt;&gt;"&amp;"")</f>
        <v>2801</v>
      </c>
      <c r="D2806" s="432">
        <f>'Table S2 Compound Identifiers'!B2808</f>
        <v>0</v>
      </c>
      <c r="E2806" s="247"/>
      <c r="F2806" s="248"/>
      <c r="G2806" s="249"/>
      <c r="H2806" s="330"/>
      <c r="I2806" s="328"/>
      <c r="J2806" s="249"/>
      <c r="K2806" s="330"/>
      <c r="L2806" s="250"/>
      <c r="M2806" s="249"/>
      <c r="N2806" s="330"/>
      <c r="O2806" s="250"/>
      <c r="P2806" s="249"/>
      <c r="Q2806" s="330"/>
      <c r="R2806" s="250"/>
      <c r="S2806" s="249"/>
      <c r="T2806" s="330"/>
      <c r="U2806" s="250"/>
      <c r="V2806" s="249"/>
      <c r="W2806" s="330"/>
      <c r="X2806" s="343"/>
      <c r="Y2806" s="249"/>
      <c r="Z2806" s="330"/>
      <c r="AA2806" s="343"/>
      <c r="AB2806" s="249"/>
      <c r="AC2806" s="330"/>
      <c r="AD2806" s="343"/>
      <c r="AE2806" s="249"/>
      <c r="AF2806" s="330"/>
      <c r="AG2806" s="343"/>
      <c r="AH2806" s="249"/>
      <c r="AI2806" s="330"/>
      <c r="AJ2806" s="343"/>
      <c r="AK2806" s="249"/>
      <c r="AL2806" s="330"/>
      <c r="AM2806" s="343"/>
      <c r="AN2806" s="249"/>
      <c r="AO2806" s="330"/>
      <c r="AP2806" s="343"/>
      <c r="AQ2806" s="249"/>
      <c r="AR2806" s="330"/>
      <c r="AS2806" s="343"/>
      <c r="AT2806" s="249"/>
      <c r="AU2806" s="330"/>
    </row>
    <row r="2807" spans="2:47">
      <c r="B2807" s="247">
        <f>'Table S2 Compound Identifiers'!C2809</f>
        <v>0</v>
      </c>
      <c r="C2807" s="247">
        <f>COUNTIF($D$6:D2807,"&lt;&gt;"&amp;"")</f>
        <v>2802</v>
      </c>
      <c r="D2807" s="432">
        <f>'Table S2 Compound Identifiers'!B2809</f>
        <v>0</v>
      </c>
      <c r="E2807" s="247"/>
      <c r="F2807" s="248"/>
      <c r="G2807" s="249"/>
      <c r="H2807" s="330"/>
      <c r="I2807" s="328"/>
      <c r="J2807" s="249"/>
      <c r="K2807" s="330"/>
      <c r="L2807" s="250"/>
      <c r="M2807" s="249"/>
      <c r="N2807" s="330"/>
      <c r="O2807" s="250"/>
      <c r="P2807" s="249"/>
      <c r="Q2807" s="330"/>
      <c r="R2807" s="250"/>
      <c r="S2807" s="249"/>
      <c r="T2807" s="330"/>
      <c r="U2807" s="250"/>
      <c r="V2807" s="249"/>
      <c r="W2807" s="330"/>
      <c r="X2807" s="343"/>
      <c r="Y2807" s="249"/>
      <c r="Z2807" s="330"/>
      <c r="AA2807" s="343"/>
      <c r="AB2807" s="249"/>
      <c r="AC2807" s="330"/>
      <c r="AD2807" s="343"/>
      <c r="AE2807" s="249"/>
      <c r="AF2807" s="330"/>
      <c r="AG2807" s="343"/>
      <c r="AH2807" s="249"/>
      <c r="AI2807" s="330"/>
      <c r="AJ2807" s="343"/>
      <c r="AK2807" s="249"/>
      <c r="AL2807" s="330"/>
      <c r="AM2807" s="343"/>
      <c r="AN2807" s="249"/>
      <c r="AO2807" s="330"/>
      <c r="AP2807" s="343"/>
      <c r="AQ2807" s="249"/>
      <c r="AR2807" s="330"/>
      <c r="AS2807" s="343"/>
      <c r="AT2807" s="249"/>
      <c r="AU2807" s="330"/>
    </row>
    <row r="2808" spans="2:47">
      <c r="B2808" s="247">
        <f>'Table S2 Compound Identifiers'!C2810</f>
        <v>0</v>
      </c>
      <c r="C2808" s="247">
        <f>COUNTIF($D$6:D2808,"&lt;&gt;"&amp;"")</f>
        <v>2803</v>
      </c>
      <c r="D2808" s="432">
        <f>'Table S2 Compound Identifiers'!B2810</f>
        <v>0</v>
      </c>
      <c r="E2808" s="247"/>
      <c r="F2808" s="248"/>
      <c r="G2808" s="249"/>
      <c r="H2808" s="330"/>
      <c r="I2808" s="328"/>
      <c r="J2808" s="249"/>
      <c r="K2808" s="330"/>
      <c r="L2808" s="250"/>
      <c r="M2808" s="249"/>
      <c r="N2808" s="330"/>
      <c r="O2808" s="250"/>
      <c r="P2808" s="249"/>
      <c r="Q2808" s="330"/>
      <c r="R2808" s="250"/>
      <c r="S2808" s="249"/>
      <c r="T2808" s="330"/>
      <c r="U2808" s="250"/>
      <c r="V2808" s="249"/>
      <c r="W2808" s="330"/>
      <c r="X2808" s="343"/>
      <c r="Y2808" s="249"/>
      <c r="Z2808" s="330"/>
      <c r="AA2808" s="343"/>
      <c r="AB2808" s="249"/>
      <c r="AC2808" s="330"/>
      <c r="AD2808" s="343"/>
      <c r="AE2808" s="249"/>
      <c r="AF2808" s="330"/>
      <c r="AG2808" s="343"/>
      <c r="AH2808" s="249"/>
      <c r="AI2808" s="330"/>
      <c r="AJ2808" s="343"/>
      <c r="AK2808" s="249"/>
      <c r="AL2808" s="330"/>
      <c r="AM2808" s="343"/>
      <c r="AN2808" s="249"/>
      <c r="AO2808" s="330"/>
      <c r="AP2808" s="343"/>
      <c r="AQ2808" s="249"/>
      <c r="AR2808" s="330"/>
      <c r="AS2808" s="343"/>
      <c r="AT2808" s="249"/>
      <c r="AU2808" s="330"/>
    </row>
    <row r="2809" spans="2:47">
      <c r="B2809" s="247">
        <f>'Table S2 Compound Identifiers'!C2811</f>
        <v>0</v>
      </c>
      <c r="C2809" s="247">
        <f>COUNTIF($D$6:D2809,"&lt;&gt;"&amp;"")</f>
        <v>2804</v>
      </c>
      <c r="D2809" s="432">
        <f>'Table S2 Compound Identifiers'!B2811</f>
        <v>0</v>
      </c>
      <c r="E2809" s="247"/>
      <c r="F2809" s="248"/>
      <c r="G2809" s="249"/>
      <c r="H2809" s="330"/>
      <c r="I2809" s="328"/>
      <c r="J2809" s="249"/>
      <c r="K2809" s="330"/>
      <c r="L2809" s="250"/>
      <c r="M2809" s="249"/>
      <c r="N2809" s="330"/>
      <c r="O2809" s="250"/>
      <c r="P2809" s="249"/>
      <c r="Q2809" s="330"/>
      <c r="R2809" s="250"/>
      <c r="S2809" s="249"/>
      <c r="T2809" s="330"/>
      <c r="U2809" s="250"/>
      <c r="V2809" s="249"/>
      <c r="W2809" s="330"/>
      <c r="X2809" s="343"/>
      <c r="Y2809" s="249"/>
      <c r="Z2809" s="330"/>
      <c r="AA2809" s="343"/>
      <c r="AB2809" s="249"/>
      <c r="AC2809" s="330"/>
      <c r="AD2809" s="343"/>
      <c r="AE2809" s="249"/>
      <c r="AF2809" s="330"/>
      <c r="AG2809" s="343"/>
      <c r="AH2809" s="249"/>
      <c r="AI2809" s="330"/>
      <c r="AJ2809" s="343"/>
      <c r="AK2809" s="249"/>
      <c r="AL2809" s="330"/>
      <c r="AM2809" s="343"/>
      <c r="AN2809" s="249"/>
      <c r="AO2809" s="330"/>
      <c r="AP2809" s="343"/>
      <c r="AQ2809" s="249"/>
      <c r="AR2809" s="330"/>
      <c r="AS2809" s="343"/>
      <c r="AT2809" s="249"/>
      <c r="AU2809" s="330"/>
    </row>
    <row r="2810" spans="2:47">
      <c r="B2810" s="247">
        <f>'Table S2 Compound Identifiers'!C2812</f>
        <v>0</v>
      </c>
      <c r="C2810" s="247">
        <f>COUNTIF($D$6:D2810,"&lt;&gt;"&amp;"")</f>
        <v>2805</v>
      </c>
      <c r="D2810" s="247">
        <f>'Table S2 Compound Identifiers'!B2812</f>
        <v>0</v>
      </c>
      <c r="E2810" s="247"/>
      <c r="F2810" s="248"/>
      <c r="G2810" s="249"/>
      <c r="H2810" s="330"/>
      <c r="I2810" s="328"/>
      <c r="J2810" s="249"/>
      <c r="K2810" s="330"/>
      <c r="L2810" s="250"/>
      <c r="M2810" s="249"/>
      <c r="N2810" s="330"/>
      <c r="O2810" s="250"/>
      <c r="P2810" s="249"/>
      <c r="Q2810" s="330"/>
      <c r="R2810" s="250"/>
      <c r="S2810" s="249"/>
      <c r="T2810" s="330"/>
      <c r="U2810" s="250"/>
      <c r="V2810" s="249"/>
      <c r="W2810" s="330"/>
      <c r="X2810" s="343"/>
      <c r="Y2810" s="249"/>
      <c r="Z2810" s="330"/>
      <c r="AA2810" s="343"/>
      <c r="AB2810" s="249"/>
      <c r="AC2810" s="330"/>
      <c r="AD2810" s="343"/>
      <c r="AE2810" s="249"/>
      <c r="AF2810" s="330"/>
      <c r="AG2810" s="343"/>
      <c r="AH2810" s="249"/>
      <c r="AI2810" s="330"/>
      <c r="AJ2810" s="343"/>
      <c r="AK2810" s="249"/>
      <c r="AL2810" s="330"/>
      <c r="AM2810" s="343"/>
      <c r="AN2810" s="249"/>
      <c r="AO2810" s="330"/>
      <c r="AP2810" s="343"/>
      <c r="AQ2810" s="249"/>
      <c r="AR2810" s="330"/>
      <c r="AS2810" s="343"/>
      <c r="AT2810" s="249"/>
      <c r="AU2810" s="330"/>
    </row>
    <row r="2811" spans="2:47">
      <c r="B2811" s="247">
        <f>'Table S2 Compound Identifiers'!C2813</f>
        <v>0</v>
      </c>
      <c r="C2811" s="247">
        <f>COUNTIF($D$6:D2811,"&lt;&gt;"&amp;"")</f>
        <v>2806</v>
      </c>
      <c r="D2811" s="247">
        <f>'Table S2 Compound Identifiers'!B2813</f>
        <v>0</v>
      </c>
      <c r="E2811" s="247"/>
      <c r="F2811" s="248"/>
      <c r="G2811" s="249"/>
      <c r="H2811" s="330"/>
      <c r="I2811" s="328"/>
      <c r="J2811" s="249"/>
      <c r="K2811" s="330"/>
      <c r="L2811" s="250"/>
      <c r="M2811" s="249"/>
      <c r="N2811" s="330"/>
      <c r="O2811" s="250"/>
      <c r="P2811" s="249"/>
      <c r="Q2811" s="330"/>
      <c r="R2811" s="250"/>
      <c r="S2811" s="249"/>
      <c r="T2811" s="330"/>
      <c r="U2811" s="250"/>
      <c r="V2811" s="249"/>
      <c r="W2811" s="330"/>
      <c r="X2811" s="343"/>
      <c r="Y2811" s="249"/>
      <c r="Z2811" s="330"/>
      <c r="AA2811" s="343"/>
      <c r="AB2811" s="249"/>
      <c r="AC2811" s="330"/>
      <c r="AD2811" s="343"/>
      <c r="AE2811" s="249"/>
      <c r="AF2811" s="330"/>
      <c r="AG2811" s="343"/>
      <c r="AH2811" s="249"/>
      <c r="AI2811" s="330"/>
      <c r="AJ2811" s="343"/>
      <c r="AK2811" s="249"/>
      <c r="AL2811" s="330"/>
      <c r="AM2811" s="343"/>
      <c r="AN2811" s="249"/>
      <c r="AO2811" s="330"/>
      <c r="AP2811" s="343"/>
      <c r="AQ2811" s="249"/>
      <c r="AR2811" s="330"/>
      <c r="AS2811" s="343"/>
      <c r="AT2811" s="249"/>
      <c r="AU2811" s="330"/>
    </row>
    <row r="2812" spans="2:47">
      <c r="B2812" s="247">
        <f>'Table S2 Compound Identifiers'!C2814</f>
        <v>0</v>
      </c>
      <c r="C2812" s="247">
        <f>COUNTIF($D$6:D2812,"&lt;&gt;"&amp;"")</f>
        <v>2807</v>
      </c>
      <c r="D2812" s="247">
        <f>'Table S2 Compound Identifiers'!B2814</f>
        <v>0</v>
      </c>
      <c r="E2812" s="247"/>
      <c r="F2812" s="248"/>
      <c r="G2812" s="249"/>
      <c r="H2812" s="330"/>
      <c r="I2812" s="328"/>
      <c r="J2812" s="249"/>
      <c r="K2812" s="330"/>
      <c r="L2812" s="250"/>
      <c r="M2812" s="249"/>
      <c r="N2812" s="330"/>
      <c r="O2812" s="250"/>
      <c r="P2812" s="249"/>
      <c r="Q2812" s="330"/>
      <c r="R2812" s="250"/>
      <c r="S2812" s="249"/>
      <c r="T2812" s="330"/>
      <c r="U2812" s="250"/>
      <c r="V2812" s="249"/>
      <c r="W2812" s="330"/>
      <c r="X2812" s="343"/>
      <c r="Y2812" s="249"/>
      <c r="Z2812" s="330"/>
      <c r="AA2812" s="343"/>
      <c r="AB2812" s="249"/>
      <c r="AC2812" s="330"/>
      <c r="AD2812" s="343"/>
      <c r="AE2812" s="249"/>
      <c r="AF2812" s="330"/>
      <c r="AG2812" s="343"/>
      <c r="AH2812" s="249"/>
      <c r="AI2812" s="330"/>
      <c r="AJ2812" s="343"/>
      <c r="AK2812" s="249"/>
      <c r="AL2812" s="330"/>
      <c r="AM2812" s="343"/>
      <c r="AN2812" s="249"/>
      <c r="AO2812" s="330"/>
      <c r="AP2812" s="343"/>
      <c r="AQ2812" s="249"/>
      <c r="AR2812" s="330"/>
      <c r="AS2812" s="343"/>
      <c r="AT2812" s="249"/>
      <c r="AU2812" s="330"/>
    </row>
    <row r="2813" spans="2:47">
      <c r="B2813" s="247">
        <f>'Table S2 Compound Identifiers'!C2815</f>
        <v>0</v>
      </c>
      <c r="C2813" s="247">
        <f>COUNTIF($D$6:D2813,"&lt;&gt;"&amp;"")</f>
        <v>2808</v>
      </c>
      <c r="D2813" s="247">
        <f>'Table S2 Compound Identifiers'!B2815</f>
        <v>0</v>
      </c>
      <c r="E2813" s="247"/>
      <c r="F2813" s="248"/>
      <c r="G2813" s="249"/>
      <c r="H2813" s="330"/>
      <c r="I2813" s="328"/>
      <c r="J2813" s="249"/>
      <c r="K2813" s="330"/>
      <c r="L2813" s="250"/>
      <c r="M2813" s="249"/>
      <c r="N2813" s="330"/>
      <c r="O2813" s="250"/>
      <c r="P2813" s="249"/>
      <c r="Q2813" s="330"/>
      <c r="R2813" s="250"/>
      <c r="S2813" s="249"/>
      <c r="T2813" s="330"/>
      <c r="U2813" s="250"/>
      <c r="V2813" s="249"/>
      <c r="W2813" s="330"/>
      <c r="X2813" s="343"/>
      <c r="Y2813" s="249"/>
      <c r="Z2813" s="330"/>
      <c r="AA2813" s="343"/>
      <c r="AB2813" s="249"/>
      <c r="AC2813" s="330"/>
      <c r="AD2813" s="343"/>
      <c r="AE2813" s="249"/>
      <c r="AF2813" s="330"/>
      <c r="AG2813" s="343"/>
      <c r="AH2813" s="249"/>
      <c r="AI2813" s="330"/>
      <c r="AJ2813" s="343"/>
      <c r="AK2813" s="249"/>
      <c r="AL2813" s="330"/>
      <c r="AM2813" s="343"/>
      <c r="AN2813" s="249"/>
      <c r="AO2813" s="330"/>
      <c r="AP2813" s="343"/>
      <c r="AQ2813" s="249"/>
      <c r="AR2813" s="330"/>
      <c r="AS2813" s="343"/>
      <c r="AT2813" s="249"/>
      <c r="AU2813" s="330"/>
    </row>
    <row r="2814" spans="2:47">
      <c r="B2814" s="247">
        <f>'Table S2 Compound Identifiers'!C2816</f>
        <v>0</v>
      </c>
      <c r="C2814" s="247">
        <f>COUNTIF($D$6:D2814,"&lt;&gt;"&amp;"")</f>
        <v>2809</v>
      </c>
      <c r="D2814" s="247">
        <f>'Table S2 Compound Identifiers'!B2816</f>
        <v>0</v>
      </c>
      <c r="E2814" s="247"/>
      <c r="F2814" s="248"/>
      <c r="G2814" s="249"/>
      <c r="H2814" s="330"/>
      <c r="I2814" s="328"/>
      <c r="J2814" s="249"/>
      <c r="K2814" s="330"/>
      <c r="L2814" s="250"/>
      <c r="M2814" s="249"/>
      <c r="N2814" s="330"/>
      <c r="O2814" s="250"/>
      <c r="P2814" s="249"/>
      <c r="Q2814" s="330"/>
      <c r="R2814" s="250"/>
      <c r="S2814" s="249"/>
      <c r="T2814" s="330"/>
      <c r="U2814" s="250"/>
      <c r="V2814" s="249"/>
      <c r="W2814" s="330"/>
      <c r="X2814" s="343"/>
      <c r="Y2814" s="249"/>
      <c r="Z2814" s="330"/>
      <c r="AA2814" s="343"/>
      <c r="AB2814" s="249"/>
      <c r="AC2814" s="330"/>
      <c r="AD2814" s="343"/>
      <c r="AE2814" s="249"/>
      <c r="AF2814" s="330"/>
      <c r="AG2814" s="343"/>
      <c r="AH2814" s="249"/>
      <c r="AI2814" s="330"/>
      <c r="AJ2814" s="343"/>
      <c r="AK2814" s="249"/>
      <c r="AL2814" s="330"/>
      <c r="AM2814" s="343"/>
      <c r="AN2814" s="249"/>
      <c r="AO2814" s="330"/>
      <c r="AP2814" s="343"/>
      <c r="AQ2814" s="249"/>
      <c r="AR2814" s="330"/>
      <c r="AS2814" s="343"/>
      <c r="AT2814" s="249"/>
      <c r="AU2814" s="330"/>
    </row>
    <row r="2815" spans="2:47">
      <c r="B2815" s="247">
        <f>'Table S2 Compound Identifiers'!C2817</f>
        <v>0</v>
      </c>
      <c r="C2815" s="247">
        <f>COUNTIF($D$6:D2815,"&lt;&gt;"&amp;"")</f>
        <v>2810</v>
      </c>
      <c r="D2815" s="247">
        <f>'Table S2 Compound Identifiers'!B2817</f>
        <v>0</v>
      </c>
      <c r="E2815" s="247"/>
      <c r="F2815" s="248"/>
      <c r="G2815" s="249"/>
      <c r="H2815" s="330"/>
      <c r="I2815" s="328"/>
      <c r="J2815" s="249"/>
      <c r="K2815" s="330"/>
      <c r="L2815" s="250"/>
      <c r="M2815" s="249"/>
      <c r="N2815" s="330"/>
      <c r="O2815" s="250"/>
      <c r="P2815" s="249"/>
      <c r="Q2815" s="330"/>
      <c r="R2815" s="250"/>
      <c r="S2815" s="249"/>
      <c r="T2815" s="330"/>
      <c r="U2815" s="250"/>
      <c r="V2815" s="249"/>
      <c r="W2815" s="330"/>
      <c r="X2815" s="343"/>
      <c r="Y2815" s="249"/>
      <c r="Z2815" s="330"/>
      <c r="AA2815" s="343"/>
      <c r="AB2815" s="249"/>
      <c r="AC2815" s="330"/>
      <c r="AD2815" s="343"/>
      <c r="AE2815" s="249"/>
      <c r="AF2815" s="330"/>
      <c r="AG2815" s="343"/>
      <c r="AH2815" s="249"/>
      <c r="AI2815" s="330"/>
      <c r="AJ2815" s="343"/>
      <c r="AK2815" s="249"/>
      <c r="AL2815" s="330"/>
      <c r="AM2815" s="343"/>
      <c r="AN2815" s="249"/>
      <c r="AO2815" s="330"/>
      <c r="AP2815" s="343"/>
      <c r="AQ2815" s="249"/>
      <c r="AR2815" s="330"/>
      <c r="AS2815" s="343"/>
      <c r="AT2815" s="249"/>
      <c r="AU2815" s="330"/>
    </row>
    <row r="2816" spans="2:47">
      <c r="B2816" s="247">
        <f>'Table S2 Compound Identifiers'!C2818</f>
        <v>0</v>
      </c>
      <c r="C2816" s="247">
        <f>COUNTIF($D$6:D2816,"&lt;&gt;"&amp;"")</f>
        <v>2811</v>
      </c>
      <c r="D2816" s="247">
        <f>'Table S2 Compound Identifiers'!B2818</f>
        <v>0</v>
      </c>
      <c r="E2816" s="247"/>
      <c r="F2816" s="248"/>
      <c r="G2816" s="249"/>
      <c r="H2816" s="330"/>
      <c r="I2816" s="328"/>
      <c r="J2816" s="249"/>
      <c r="K2816" s="330"/>
      <c r="L2816" s="250"/>
      <c r="M2816" s="249"/>
      <c r="N2816" s="330"/>
      <c r="O2816" s="251"/>
      <c r="P2816" s="252"/>
      <c r="Q2816" s="330"/>
      <c r="R2816" s="251"/>
      <c r="S2816" s="252"/>
      <c r="T2816" s="330"/>
      <c r="U2816" s="251"/>
      <c r="V2816" s="252"/>
      <c r="W2816" s="330"/>
      <c r="X2816" s="343"/>
      <c r="Y2816" s="249"/>
      <c r="Z2816" s="330"/>
      <c r="AA2816" s="343"/>
      <c r="AB2816" s="249"/>
      <c r="AC2816" s="330"/>
      <c r="AD2816" s="343"/>
      <c r="AE2816" s="249"/>
      <c r="AF2816" s="330"/>
      <c r="AG2816" s="343"/>
      <c r="AH2816" s="249"/>
      <c r="AI2816" s="330"/>
      <c r="AJ2816" s="343"/>
      <c r="AK2816" s="249"/>
      <c r="AL2816" s="330"/>
      <c r="AM2816" s="343"/>
      <c r="AN2816" s="249"/>
      <c r="AO2816" s="330"/>
      <c r="AP2816" s="343"/>
      <c r="AQ2816" s="249"/>
      <c r="AR2816" s="330"/>
      <c r="AS2816" s="343"/>
      <c r="AT2816" s="249"/>
      <c r="AU2816" s="330"/>
    </row>
    <row r="2817" spans="2:47">
      <c r="B2817" s="247">
        <f>'Table S2 Compound Identifiers'!C2819</f>
        <v>0</v>
      </c>
      <c r="C2817" s="253">
        <f>COUNTIF($D$6:D2817,"&lt;&gt;"&amp;"")</f>
        <v>2812</v>
      </c>
      <c r="D2817" s="253">
        <f>'Table S2 Compound Identifiers'!B2819</f>
        <v>0</v>
      </c>
      <c r="E2817" s="253"/>
      <c r="F2817" s="254"/>
      <c r="G2817" s="252"/>
      <c r="H2817" s="330"/>
      <c r="I2817" s="333"/>
      <c r="J2817" s="252"/>
      <c r="K2817" s="330"/>
      <c r="L2817" s="251"/>
      <c r="M2817" s="252"/>
      <c r="N2817" s="330"/>
      <c r="O2817" s="251"/>
      <c r="P2817" s="252"/>
      <c r="Q2817" s="330"/>
      <c r="R2817" s="251"/>
      <c r="S2817" s="252"/>
      <c r="T2817" s="330"/>
      <c r="U2817" s="251"/>
      <c r="V2817" s="252"/>
      <c r="W2817" s="330"/>
      <c r="X2817" s="343"/>
      <c r="Y2817" s="249"/>
      <c r="Z2817" s="330"/>
      <c r="AA2817" s="343"/>
      <c r="AB2817" s="249"/>
      <c r="AC2817" s="330"/>
      <c r="AD2817" s="343"/>
      <c r="AE2817" s="249"/>
      <c r="AF2817" s="330"/>
      <c r="AG2817" s="343"/>
      <c r="AH2817" s="249"/>
      <c r="AI2817" s="330"/>
      <c r="AJ2817" s="343"/>
      <c r="AK2817" s="249"/>
      <c r="AL2817" s="330"/>
      <c r="AM2817" s="343"/>
      <c r="AN2817" s="249"/>
      <c r="AO2817" s="330"/>
      <c r="AP2817" s="343"/>
      <c r="AQ2817" s="249"/>
      <c r="AR2817" s="330"/>
      <c r="AS2817" s="343"/>
      <c r="AT2817" s="249"/>
      <c r="AU2817" s="330"/>
    </row>
    <row r="2818" spans="2:47">
      <c r="B2818" s="247">
        <f>'Table S2 Compound Identifiers'!C2820</f>
        <v>0</v>
      </c>
      <c r="C2818" s="247">
        <f>COUNTIF($D$6:D2818,"&lt;&gt;"&amp;"")</f>
        <v>2813</v>
      </c>
      <c r="D2818" s="247">
        <f>'Table S2 Compound Identifiers'!B2820</f>
        <v>0</v>
      </c>
      <c r="E2818" s="247"/>
      <c r="F2818" s="248"/>
      <c r="G2818" s="250"/>
      <c r="H2818" s="330"/>
      <c r="I2818" s="343"/>
      <c r="J2818" s="249"/>
      <c r="K2818" s="327"/>
      <c r="L2818" s="343"/>
      <c r="M2818" s="249"/>
      <c r="N2818" s="327"/>
      <c r="O2818" s="343"/>
      <c r="P2818" s="249"/>
      <c r="Q2818" s="327"/>
      <c r="R2818" s="343"/>
      <c r="S2818" s="249"/>
      <c r="T2818" s="327"/>
      <c r="U2818" s="343"/>
      <c r="V2818" s="249"/>
      <c r="W2818" s="327"/>
      <c r="X2818" s="343"/>
      <c r="Y2818" s="249"/>
      <c r="Z2818" s="327"/>
      <c r="AA2818" s="343"/>
      <c r="AB2818" s="249"/>
      <c r="AC2818" s="343"/>
      <c r="AD2818" s="343"/>
      <c r="AE2818" s="249"/>
      <c r="AF2818" s="249"/>
      <c r="AG2818" s="343"/>
      <c r="AH2818" s="249"/>
      <c r="AI2818" s="343"/>
      <c r="AJ2818" s="343"/>
      <c r="AK2818" s="249"/>
      <c r="AL2818" s="249"/>
      <c r="AM2818" s="343"/>
      <c r="AN2818" s="249"/>
      <c r="AO2818" s="343"/>
      <c r="AP2818" s="343"/>
      <c r="AQ2818" s="249"/>
      <c r="AR2818" s="249"/>
      <c r="AS2818" s="343"/>
      <c r="AT2818" s="249"/>
      <c r="AU2818" s="343"/>
    </row>
    <row r="2819" spans="2:47">
      <c r="B2819" s="247">
        <f>'Table S2 Compound Identifiers'!C2821</f>
        <v>0</v>
      </c>
      <c r="C2819" s="247">
        <f>COUNTIF($D$6:D2819,"&lt;&gt;"&amp;"")</f>
        <v>2814</v>
      </c>
      <c r="D2819" s="247">
        <f>'Table S2 Compound Identifiers'!B2821</f>
        <v>0</v>
      </c>
      <c r="E2819" s="247"/>
      <c r="F2819" s="248"/>
      <c r="G2819" s="249"/>
      <c r="H2819" s="330"/>
      <c r="I2819" s="332"/>
      <c r="J2819" s="330"/>
      <c r="K2819" s="330"/>
      <c r="L2819" s="330"/>
      <c r="M2819" s="330"/>
      <c r="N2819" s="330"/>
      <c r="O2819" s="330"/>
      <c r="P2819" s="330"/>
      <c r="Q2819" s="330"/>
      <c r="R2819" s="330"/>
      <c r="S2819" s="330"/>
      <c r="T2819" s="330"/>
      <c r="U2819" s="330"/>
      <c r="V2819" s="330"/>
      <c r="W2819" s="330"/>
      <c r="X2819" s="343"/>
      <c r="Y2819" s="249"/>
      <c r="Z2819" s="330"/>
      <c r="AA2819" s="343"/>
      <c r="AB2819" s="249"/>
      <c r="AC2819" s="330"/>
      <c r="AD2819" s="343"/>
      <c r="AE2819" s="249"/>
      <c r="AF2819" s="330"/>
      <c r="AG2819" s="343"/>
      <c r="AH2819" s="249"/>
      <c r="AI2819" s="330"/>
      <c r="AJ2819" s="343"/>
      <c r="AK2819" s="249"/>
      <c r="AL2819" s="330"/>
      <c r="AM2819" s="343"/>
      <c r="AN2819" s="249"/>
      <c r="AO2819" s="330"/>
      <c r="AP2819" s="343"/>
      <c r="AQ2819" s="249"/>
      <c r="AR2819" s="330"/>
      <c r="AS2819" s="343"/>
      <c r="AT2819" s="249"/>
      <c r="AU2819" s="330"/>
    </row>
    <row r="2820" spans="2:47">
      <c r="B2820" s="247">
        <f>'Table S2 Compound Identifiers'!C2822</f>
        <v>0</v>
      </c>
      <c r="C2820" s="247">
        <f>COUNTIF($D$6:D2820,"&lt;&gt;"&amp;"")</f>
        <v>2815</v>
      </c>
      <c r="D2820" s="247">
        <f>'Table S2 Compound Identifiers'!B2822</f>
        <v>0</v>
      </c>
      <c r="E2820" s="247"/>
      <c r="F2820" s="248"/>
      <c r="G2820" s="249"/>
      <c r="H2820" s="330"/>
      <c r="I2820" s="332"/>
      <c r="J2820" s="330"/>
      <c r="K2820" s="330"/>
      <c r="L2820" s="330"/>
      <c r="M2820" s="330"/>
      <c r="N2820" s="330"/>
      <c r="O2820" s="330"/>
      <c r="P2820" s="330"/>
      <c r="Q2820" s="330"/>
      <c r="R2820" s="330"/>
      <c r="S2820" s="330"/>
      <c r="T2820" s="330"/>
      <c r="U2820" s="330"/>
      <c r="V2820" s="330"/>
      <c r="W2820" s="330"/>
      <c r="X2820" s="343"/>
      <c r="Y2820" s="249"/>
      <c r="Z2820" s="330"/>
      <c r="AA2820" s="343"/>
      <c r="AB2820" s="249"/>
      <c r="AC2820" s="330"/>
      <c r="AD2820" s="343"/>
      <c r="AE2820" s="249"/>
      <c r="AF2820" s="330"/>
      <c r="AG2820" s="343"/>
      <c r="AH2820" s="249"/>
      <c r="AI2820" s="330"/>
      <c r="AJ2820" s="343"/>
      <c r="AK2820" s="249"/>
      <c r="AL2820" s="330"/>
      <c r="AM2820" s="343"/>
      <c r="AN2820" s="249"/>
      <c r="AO2820" s="330"/>
      <c r="AP2820" s="343"/>
      <c r="AQ2820" s="249"/>
      <c r="AR2820" s="330"/>
      <c r="AS2820" s="343"/>
      <c r="AT2820" s="249"/>
      <c r="AU2820" s="330"/>
    </row>
    <row r="2821" spans="2:47">
      <c r="B2821" s="247">
        <f>'Table S2 Compound Identifiers'!C2823</f>
        <v>0</v>
      </c>
      <c r="C2821" s="247">
        <f>COUNTIF($D$6:D2821,"&lt;&gt;"&amp;"")</f>
        <v>2816</v>
      </c>
      <c r="D2821" s="247">
        <f>'Table S2 Compound Identifiers'!B2823</f>
        <v>0</v>
      </c>
      <c r="E2821" s="247"/>
      <c r="F2821" s="248"/>
      <c r="G2821" s="249"/>
      <c r="H2821" s="330"/>
      <c r="I2821" s="332"/>
      <c r="J2821" s="330"/>
      <c r="K2821" s="330"/>
      <c r="L2821" s="330"/>
      <c r="M2821" s="330"/>
      <c r="N2821" s="330"/>
      <c r="O2821" s="330"/>
      <c r="P2821" s="330"/>
      <c r="Q2821" s="330"/>
      <c r="R2821" s="330"/>
      <c r="S2821" s="330"/>
      <c r="T2821" s="330"/>
      <c r="U2821" s="330"/>
      <c r="V2821" s="330"/>
      <c r="W2821" s="330"/>
      <c r="X2821" s="343"/>
      <c r="Y2821" s="249"/>
      <c r="Z2821" s="330"/>
      <c r="AA2821" s="343"/>
      <c r="AB2821" s="249"/>
      <c r="AC2821" s="330"/>
      <c r="AD2821" s="343"/>
      <c r="AE2821" s="249"/>
      <c r="AF2821" s="330"/>
      <c r="AG2821" s="343"/>
      <c r="AH2821" s="249"/>
      <c r="AI2821" s="330"/>
      <c r="AJ2821" s="343"/>
      <c r="AK2821" s="249"/>
      <c r="AL2821" s="330"/>
      <c r="AM2821" s="343"/>
      <c r="AN2821" s="249"/>
      <c r="AO2821" s="330"/>
      <c r="AP2821" s="343"/>
      <c r="AQ2821" s="249"/>
      <c r="AR2821" s="330"/>
      <c r="AS2821" s="343"/>
      <c r="AT2821" s="249"/>
      <c r="AU2821" s="330"/>
    </row>
    <row r="2822" spans="2:47">
      <c r="B2822" s="247">
        <f>'Table S2 Compound Identifiers'!C2824</f>
        <v>0</v>
      </c>
      <c r="C2822" s="247">
        <f>COUNTIF($D$6:D2822,"&lt;&gt;"&amp;"")</f>
        <v>2817</v>
      </c>
      <c r="D2822" s="247">
        <f>'Table S2 Compound Identifiers'!B2824</f>
        <v>0</v>
      </c>
      <c r="E2822" s="247"/>
      <c r="F2822" s="248"/>
      <c r="G2822" s="249"/>
      <c r="H2822" s="330"/>
      <c r="I2822" s="328"/>
      <c r="J2822" s="249"/>
      <c r="K2822" s="330"/>
      <c r="L2822" s="250"/>
      <c r="M2822" s="249"/>
      <c r="N2822" s="330"/>
      <c r="O2822" s="250"/>
      <c r="P2822" s="249"/>
      <c r="Q2822" s="330"/>
      <c r="R2822" s="250"/>
      <c r="S2822" s="249"/>
      <c r="T2822" s="330"/>
      <c r="U2822" s="250"/>
      <c r="V2822" s="249"/>
      <c r="W2822" s="330"/>
      <c r="X2822" s="343"/>
      <c r="Y2822" s="249"/>
      <c r="Z2822" s="330"/>
      <c r="AA2822" s="343"/>
      <c r="AB2822" s="249"/>
      <c r="AC2822" s="330"/>
      <c r="AD2822" s="343"/>
      <c r="AE2822" s="249"/>
      <c r="AF2822" s="330"/>
      <c r="AG2822" s="343"/>
      <c r="AH2822" s="249"/>
      <c r="AI2822" s="330"/>
      <c r="AJ2822" s="343"/>
      <c r="AK2822" s="249"/>
      <c r="AL2822" s="330"/>
      <c r="AM2822" s="343"/>
      <c r="AN2822" s="249"/>
      <c r="AO2822" s="330"/>
      <c r="AP2822" s="343"/>
      <c r="AQ2822" s="249"/>
      <c r="AR2822" s="330"/>
      <c r="AS2822" s="343"/>
      <c r="AT2822" s="249"/>
      <c r="AU2822" s="330"/>
    </row>
    <row r="2823" spans="2:47">
      <c r="B2823" s="247">
        <f>'Table S2 Compound Identifiers'!C2825</f>
        <v>0</v>
      </c>
      <c r="C2823" s="247">
        <f>COUNTIF($D$6:D2823,"&lt;&gt;"&amp;"")</f>
        <v>2818</v>
      </c>
      <c r="D2823" s="247">
        <f>'Table S2 Compound Identifiers'!B2825</f>
        <v>0</v>
      </c>
      <c r="E2823" s="247"/>
      <c r="F2823" s="248"/>
      <c r="G2823" s="249"/>
      <c r="H2823" s="330"/>
      <c r="I2823" s="328"/>
      <c r="J2823" s="249"/>
      <c r="K2823" s="330"/>
      <c r="L2823" s="250"/>
      <c r="M2823" s="249"/>
      <c r="N2823" s="330"/>
      <c r="O2823" s="250"/>
      <c r="P2823" s="249"/>
      <c r="Q2823" s="330"/>
      <c r="R2823" s="250"/>
      <c r="S2823" s="249"/>
      <c r="T2823" s="330"/>
      <c r="U2823" s="250"/>
      <c r="V2823" s="249"/>
      <c r="W2823" s="330"/>
      <c r="X2823" s="343"/>
      <c r="Y2823" s="249"/>
      <c r="Z2823" s="330"/>
      <c r="AA2823" s="343"/>
      <c r="AB2823" s="249"/>
      <c r="AC2823" s="330"/>
      <c r="AD2823" s="343"/>
      <c r="AE2823" s="249"/>
      <c r="AF2823" s="330"/>
      <c r="AG2823" s="343"/>
      <c r="AH2823" s="249"/>
      <c r="AI2823" s="330"/>
      <c r="AJ2823" s="343"/>
      <c r="AK2823" s="249"/>
      <c r="AL2823" s="330"/>
      <c r="AM2823" s="343"/>
      <c r="AN2823" s="249"/>
      <c r="AO2823" s="330"/>
      <c r="AP2823" s="343"/>
      <c r="AQ2823" s="249"/>
      <c r="AR2823" s="330"/>
      <c r="AS2823" s="343"/>
      <c r="AT2823" s="249"/>
      <c r="AU2823" s="330"/>
    </row>
    <row r="2824" spans="2:47">
      <c r="B2824" s="247">
        <f>'Table S2 Compound Identifiers'!C2826</f>
        <v>0</v>
      </c>
      <c r="C2824" s="247">
        <f>COUNTIF($D$6:D2824,"&lt;&gt;"&amp;"")</f>
        <v>2819</v>
      </c>
      <c r="D2824" s="247">
        <f>'Table S2 Compound Identifiers'!B2826</f>
        <v>0</v>
      </c>
      <c r="E2824" s="247"/>
      <c r="F2824" s="248"/>
      <c r="G2824" s="249"/>
      <c r="H2824" s="330"/>
      <c r="I2824" s="328"/>
      <c r="J2824" s="249"/>
      <c r="K2824" s="330"/>
      <c r="L2824" s="250"/>
      <c r="M2824" s="249"/>
      <c r="N2824" s="330"/>
      <c r="O2824" s="250"/>
      <c r="P2824" s="249"/>
      <c r="Q2824" s="330"/>
      <c r="R2824" s="250"/>
      <c r="S2824" s="249"/>
      <c r="T2824" s="330"/>
      <c r="U2824" s="250"/>
      <c r="V2824" s="249"/>
      <c r="W2824" s="330"/>
      <c r="X2824" s="343"/>
      <c r="Y2824" s="249"/>
      <c r="Z2824" s="330"/>
      <c r="AA2824" s="343"/>
      <c r="AB2824" s="249"/>
      <c r="AC2824" s="330"/>
      <c r="AD2824" s="343"/>
      <c r="AE2824" s="249"/>
      <c r="AF2824" s="330"/>
      <c r="AG2824" s="343"/>
      <c r="AH2824" s="249"/>
      <c r="AI2824" s="330"/>
      <c r="AJ2824" s="343"/>
      <c r="AK2824" s="249"/>
      <c r="AL2824" s="330"/>
      <c r="AM2824" s="343"/>
      <c r="AN2824" s="249"/>
      <c r="AO2824" s="330"/>
      <c r="AP2824" s="343"/>
      <c r="AQ2824" s="249"/>
      <c r="AR2824" s="330"/>
      <c r="AS2824" s="343"/>
      <c r="AT2824" s="249"/>
      <c r="AU2824" s="330"/>
    </row>
    <row r="2825" spans="2:47">
      <c r="B2825" s="247">
        <f>'Table S2 Compound Identifiers'!C2827</f>
        <v>0</v>
      </c>
      <c r="C2825" s="247">
        <f>COUNTIF($D$6:D2825,"&lt;&gt;"&amp;"")</f>
        <v>2820</v>
      </c>
      <c r="D2825" s="247">
        <f>'Table S2 Compound Identifiers'!B2827</f>
        <v>0</v>
      </c>
      <c r="E2825" s="247"/>
      <c r="F2825" s="248"/>
      <c r="G2825" s="249"/>
      <c r="H2825" s="330"/>
      <c r="I2825" s="328"/>
      <c r="J2825" s="249"/>
      <c r="K2825" s="330"/>
      <c r="L2825" s="250"/>
      <c r="M2825" s="249"/>
      <c r="N2825" s="330"/>
      <c r="O2825" s="250"/>
      <c r="P2825" s="249"/>
      <c r="Q2825" s="330"/>
      <c r="R2825" s="250"/>
      <c r="S2825" s="249"/>
      <c r="T2825" s="330"/>
      <c r="U2825" s="250"/>
      <c r="V2825" s="249"/>
      <c r="W2825" s="330"/>
      <c r="X2825" s="343"/>
      <c r="Y2825" s="249"/>
      <c r="Z2825" s="330"/>
      <c r="AA2825" s="343"/>
      <c r="AB2825" s="249"/>
      <c r="AC2825" s="330"/>
      <c r="AD2825" s="343"/>
      <c r="AE2825" s="249"/>
      <c r="AF2825" s="330"/>
      <c r="AG2825" s="343"/>
      <c r="AH2825" s="249"/>
      <c r="AI2825" s="330"/>
      <c r="AJ2825" s="343"/>
      <c r="AK2825" s="249"/>
      <c r="AL2825" s="330"/>
      <c r="AM2825" s="343"/>
      <c r="AN2825" s="249"/>
      <c r="AO2825" s="330"/>
      <c r="AP2825" s="343"/>
      <c r="AQ2825" s="249"/>
      <c r="AR2825" s="330"/>
      <c r="AS2825" s="343"/>
      <c r="AT2825" s="249"/>
      <c r="AU2825" s="330"/>
    </row>
    <row r="2826" spans="2:47">
      <c r="B2826" s="247">
        <f>'Table S2 Compound Identifiers'!C2828</f>
        <v>0</v>
      </c>
      <c r="C2826" s="247">
        <f>COUNTIF($D$6:D2826,"&lt;&gt;"&amp;"")</f>
        <v>2821</v>
      </c>
      <c r="D2826" s="247">
        <f>'Table S2 Compound Identifiers'!B2828</f>
        <v>0</v>
      </c>
      <c r="E2826" s="247"/>
      <c r="F2826" s="248"/>
      <c r="G2826" s="249"/>
      <c r="H2826" s="330"/>
      <c r="I2826" s="328"/>
      <c r="J2826" s="249"/>
      <c r="K2826" s="330"/>
      <c r="L2826" s="250"/>
      <c r="M2826" s="249"/>
      <c r="N2826" s="330"/>
      <c r="O2826" s="250"/>
      <c r="P2826" s="249"/>
      <c r="Q2826" s="330"/>
      <c r="R2826" s="250"/>
      <c r="S2826" s="249"/>
      <c r="T2826" s="330"/>
      <c r="U2826" s="250"/>
      <c r="V2826" s="249"/>
      <c r="W2826" s="330"/>
      <c r="X2826" s="343"/>
      <c r="Y2826" s="249"/>
      <c r="Z2826" s="330"/>
      <c r="AA2826" s="343"/>
      <c r="AB2826" s="249"/>
      <c r="AC2826" s="330"/>
      <c r="AD2826" s="343"/>
      <c r="AE2826" s="249"/>
      <c r="AF2826" s="330"/>
      <c r="AG2826" s="343"/>
      <c r="AH2826" s="249"/>
      <c r="AI2826" s="330"/>
      <c r="AJ2826" s="343"/>
      <c r="AK2826" s="249"/>
      <c r="AL2826" s="330"/>
      <c r="AM2826" s="343"/>
      <c r="AN2826" s="249"/>
      <c r="AO2826" s="330"/>
      <c r="AP2826" s="343"/>
      <c r="AQ2826" s="249"/>
      <c r="AR2826" s="330"/>
      <c r="AS2826" s="343"/>
      <c r="AT2826" s="249"/>
      <c r="AU2826" s="330"/>
    </row>
    <row r="2827" spans="2:47">
      <c r="B2827" s="247">
        <f>'Table S2 Compound Identifiers'!C2829</f>
        <v>0</v>
      </c>
      <c r="C2827" s="247">
        <f>COUNTIF($D$6:D2827,"&lt;&gt;"&amp;"")</f>
        <v>2822</v>
      </c>
      <c r="D2827" s="247">
        <f>'Table S2 Compound Identifiers'!B2829</f>
        <v>0</v>
      </c>
      <c r="E2827" s="247"/>
      <c r="F2827" s="248"/>
      <c r="G2827" s="249"/>
      <c r="H2827" s="330"/>
      <c r="I2827" s="328"/>
      <c r="J2827" s="249"/>
      <c r="K2827" s="330"/>
      <c r="L2827" s="250"/>
      <c r="M2827" s="249"/>
      <c r="N2827" s="330"/>
      <c r="O2827" s="250"/>
      <c r="P2827" s="249"/>
      <c r="Q2827" s="330"/>
      <c r="R2827" s="250"/>
      <c r="S2827" s="249"/>
      <c r="T2827" s="330"/>
      <c r="U2827" s="250"/>
      <c r="V2827" s="249"/>
      <c r="W2827" s="330"/>
      <c r="X2827" s="343"/>
      <c r="Y2827" s="249"/>
      <c r="Z2827" s="330"/>
      <c r="AA2827" s="343"/>
      <c r="AB2827" s="249"/>
      <c r="AC2827" s="330"/>
      <c r="AD2827" s="343"/>
      <c r="AE2827" s="249"/>
      <c r="AF2827" s="330"/>
      <c r="AG2827" s="343"/>
      <c r="AH2827" s="249"/>
      <c r="AI2827" s="330"/>
      <c r="AJ2827" s="343"/>
      <c r="AK2827" s="249"/>
      <c r="AL2827" s="330"/>
      <c r="AM2827" s="343"/>
      <c r="AN2827" s="249"/>
      <c r="AO2827" s="330"/>
      <c r="AP2827" s="343"/>
      <c r="AQ2827" s="249"/>
      <c r="AR2827" s="330"/>
      <c r="AS2827" s="343"/>
      <c r="AT2827" s="249"/>
      <c r="AU2827" s="330"/>
    </row>
    <row r="2828" spans="2:47">
      <c r="B2828" s="247">
        <f>'Table S2 Compound Identifiers'!C2830</f>
        <v>0</v>
      </c>
      <c r="C2828" s="247">
        <f>COUNTIF($D$6:D2828,"&lt;&gt;"&amp;"")</f>
        <v>2823</v>
      </c>
      <c r="D2828" s="247">
        <f>'Table S2 Compound Identifiers'!B2830</f>
        <v>0</v>
      </c>
      <c r="E2828" s="247"/>
      <c r="F2828" s="248"/>
      <c r="G2828" s="249"/>
      <c r="H2828" s="330"/>
      <c r="I2828" s="328"/>
      <c r="J2828" s="249"/>
      <c r="K2828" s="330"/>
      <c r="L2828" s="250"/>
      <c r="M2828" s="249"/>
      <c r="N2828" s="330"/>
      <c r="O2828" s="250"/>
      <c r="P2828" s="249"/>
      <c r="Q2828" s="330"/>
      <c r="R2828" s="250"/>
      <c r="S2828" s="249"/>
      <c r="T2828" s="330"/>
      <c r="U2828" s="250"/>
      <c r="V2828" s="249"/>
      <c r="W2828" s="330"/>
      <c r="X2828" s="343"/>
      <c r="Y2828" s="249"/>
      <c r="Z2828" s="330"/>
      <c r="AA2828" s="343"/>
      <c r="AB2828" s="249"/>
      <c r="AC2828" s="330"/>
      <c r="AD2828" s="343"/>
      <c r="AE2828" s="249"/>
      <c r="AF2828" s="330"/>
      <c r="AG2828" s="343"/>
      <c r="AH2828" s="249"/>
      <c r="AI2828" s="330"/>
      <c r="AJ2828" s="343"/>
      <c r="AK2828" s="249"/>
      <c r="AL2828" s="330"/>
      <c r="AM2828" s="343"/>
      <c r="AN2828" s="249"/>
      <c r="AO2828" s="330"/>
      <c r="AP2828" s="343"/>
      <c r="AQ2828" s="249"/>
      <c r="AR2828" s="330"/>
      <c r="AS2828" s="343"/>
      <c r="AT2828" s="249"/>
      <c r="AU2828" s="330"/>
    </row>
    <row r="2829" spans="2:47">
      <c r="B2829" s="247">
        <f>'Table S2 Compound Identifiers'!C2831</f>
        <v>0</v>
      </c>
      <c r="C2829" s="247">
        <f>COUNTIF($D$6:D2829,"&lt;&gt;"&amp;"")</f>
        <v>2824</v>
      </c>
      <c r="D2829" s="247">
        <f>'Table S2 Compound Identifiers'!B2831</f>
        <v>0</v>
      </c>
      <c r="E2829" s="247"/>
      <c r="F2829" s="248"/>
      <c r="G2829" s="249"/>
      <c r="H2829" s="330"/>
      <c r="I2829" s="328"/>
      <c r="J2829" s="249"/>
      <c r="K2829" s="330"/>
      <c r="L2829" s="250"/>
      <c r="M2829" s="249"/>
      <c r="N2829" s="330"/>
      <c r="O2829" s="250"/>
      <c r="P2829" s="249"/>
      <c r="Q2829" s="330"/>
      <c r="R2829" s="250"/>
      <c r="S2829" s="249"/>
      <c r="T2829" s="330"/>
      <c r="U2829" s="250"/>
      <c r="V2829" s="249"/>
      <c r="W2829" s="330"/>
      <c r="X2829" s="343"/>
      <c r="Y2829" s="249"/>
      <c r="Z2829" s="330"/>
      <c r="AA2829" s="343"/>
      <c r="AB2829" s="249"/>
      <c r="AC2829" s="330"/>
      <c r="AD2829" s="343"/>
      <c r="AE2829" s="249"/>
      <c r="AF2829" s="330"/>
      <c r="AG2829" s="343"/>
      <c r="AH2829" s="249"/>
      <c r="AI2829" s="330"/>
      <c r="AJ2829" s="343"/>
      <c r="AK2829" s="249"/>
      <c r="AL2829" s="330"/>
      <c r="AM2829" s="343"/>
      <c r="AN2829" s="249"/>
      <c r="AO2829" s="330"/>
      <c r="AP2829" s="343"/>
      <c r="AQ2829" s="249"/>
      <c r="AR2829" s="330"/>
      <c r="AS2829" s="343"/>
      <c r="AT2829" s="249"/>
      <c r="AU2829" s="330"/>
    </row>
    <row r="2830" spans="2:47">
      <c r="B2830" s="247">
        <f>'Table S2 Compound Identifiers'!C2832</f>
        <v>0</v>
      </c>
      <c r="C2830" s="247">
        <f>COUNTIF($D$6:D2830,"&lt;&gt;"&amp;"")</f>
        <v>2825</v>
      </c>
      <c r="D2830" s="247">
        <f>'Table S2 Compound Identifiers'!B2832</f>
        <v>0</v>
      </c>
      <c r="E2830" s="247"/>
      <c r="F2830" s="248"/>
      <c r="G2830" s="249"/>
      <c r="H2830" s="330"/>
      <c r="I2830" s="328"/>
      <c r="J2830" s="249"/>
      <c r="K2830" s="330"/>
      <c r="L2830" s="250"/>
      <c r="M2830" s="249"/>
      <c r="N2830" s="330"/>
      <c r="O2830" s="250"/>
      <c r="P2830" s="249"/>
      <c r="Q2830" s="330"/>
      <c r="R2830" s="250"/>
      <c r="S2830" s="249"/>
      <c r="T2830" s="330"/>
      <c r="U2830" s="250"/>
      <c r="V2830" s="249"/>
      <c r="W2830" s="330"/>
      <c r="X2830" s="343"/>
      <c r="Y2830" s="249"/>
      <c r="Z2830" s="330"/>
      <c r="AA2830" s="343"/>
      <c r="AB2830" s="249"/>
      <c r="AC2830" s="330"/>
      <c r="AD2830" s="343"/>
      <c r="AE2830" s="249"/>
      <c r="AF2830" s="330"/>
      <c r="AG2830" s="343"/>
      <c r="AH2830" s="249"/>
      <c r="AI2830" s="330"/>
      <c r="AJ2830" s="343"/>
      <c r="AK2830" s="249"/>
      <c r="AL2830" s="330"/>
      <c r="AM2830" s="343"/>
      <c r="AN2830" s="249"/>
      <c r="AO2830" s="330"/>
      <c r="AP2830" s="343"/>
      <c r="AQ2830" s="249"/>
      <c r="AR2830" s="330"/>
      <c r="AS2830" s="343"/>
      <c r="AT2830" s="249"/>
      <c r="AU2830" s="330"/>
    </row>
    <row r="2831" spans="2:47">
      <c r="B2831" s="247">
        <f>'Table S2 Compound Identifiers'!C2833</f>
        <v>0</v>
      </c>
      <c r="C2831" s="247">
        <f>COUNTIF($D$6:D2831,"&lt;&gt;"&amp;"")</f>
        <v>2826</v>
      </c>
      <c r="D2831" s="247">
        <f>'Table S2 Compound Identifiers'!B2833</f>
        <v>0</v>
      </c>
      <c r="E2831" s="247"/>
      <c r="F2831" s="248"/>
      <c r="G2831" s="249"/>
      <c r="H2831" s="330"/>
      <c r="I2831" s="328"/>
      <c r="J2831" s="249"/>
      <c r="K2831" s="330"/>
      <c r="L2831" s="250"/>
      <c r="M2831" s="249"/>
      <c r="N2831" s="330"/>
      <c r="O2831" s="250"/>
      <c r="P2831" s="249"/>
      <c r="Q2831" s="330"/>
      <c r="R2831" s="250"/>
      <c r="S2831" s="249"/>
      <c r="T2831" s="330"/>
      <c r="U2831" s="250"/>
      <c r="V2831" s="249"/>
      <c r="W2831" s="330"/>
      <c r="X2831" s="343"/>
      <c r="Y2831" s="249"/>
      <c r="Z2831" s="330"/>
      <c r="AA2831" s="343"/>
      <c r="AB2831" s="249"/>
      <c r="AC2831" s="330"/>
      <c r="AD2831" s="343"/>
      <c r="AE2831" s="249"/>
      <c r="AF2831" s="330"/>
      <c r="AG2831" s="343"/>
      <c r="AH2831" s="249"/>
      <c r="AI2831" s="330"/>
      <c r="AJ2831" s="343"/>
      <c r="AK2831" s="249"/>
      <c r="AL2831" s="330"/>
      <c r="AM2831" s="343"/>
      <c r="AN2831" s="249"/>
      <c r="AO2831" s="330"/>
      <c r="AP2831" s="343"/>
      <c r="AQ2831" s="249"/>
      <c r="AR2831" s="330"/>
      <c r="AS2831" s="343"/>
      <c r="AT2831" s="249"/>
      <c r="AU2831" s="330"/>
    </row>
    <row r="2832" spans="2:47">
      <c r="B2832" s="247">
        <f>'Table S2 Compound Identifiers'!C2834</f>
        <v>0</v>
      </c>
      <c r="C2832" s="247">
        <f>COUNTIF($D$6:D2832,"&lt;&gt;"&amp;"")</f>
        <v>2827</v>
      </c>
      <c r="D2832" s="247">
        <f>'Table S2 Compound Identifiers'!B2834</f>
        <v>0</v>
      </c>
      <c r="E2832" s="247"/>
      <c r="F2832" s="248"/>
      <c r="G2832" s="249"/>
      <c r="H2832" s="330"/>
      <c r="I2832" s="328"/>
      <c r="J2832" s="249"/>
      <c r="K2832" s="330"/>
      <c r="L2832" s="250"/>
      <c r="M2832" s="249"/>
      <c r="N2832" s="330"/>
      <c r="O2832" s="250"/>
      <c r="P2832" s="249"/>
      <c r="Q2832" s="330"/>
      <c r="R2832" s="250"/>
      <c r="S2832" s="249"/>
      <c r="T2832" s="330"/>
      <c r="U2832" s="250"/>
      <c r="V2832" s="249"/>
      <c r="W2832" s="330"/>
      <c r="X2832" s="343"/>
      <c r="Y2832" s="249"/>
      <c r="Z2832" s="330"/>
      <c r="AA2832" s="343"/>
      <c r="AB2832" s="249"/>
      <c r="AC2832" s="330"/>
      <c r="AD2832" s="343"/>
      <c r="AE2832" s="249"/>
      <c r="AF2832" s="330"/>
      <c r="AG2832" s="343"/>
      <c r="AH2832" s="249"/>
      <c r="AI2832" s="330"/>
      <c r="AJ2832" s="343"/>
      <c r="AK2832" s="249"/>
      <c r="AL2832" s="330"/>
      <c r="AM2832" s="343"/>
      <c r="AN2832" s="249"/>
      <c r="AO2832" s="330"/>
      <c r="AP2832" s="343"/>
      <c r="AQ2832" s="249"/>
      <c r="AR2832" s="330"/>
      <c r="AS2832" s="343"/>
      <c r="AT2832" s="249"/>
      <c r="AU2832" s="330"/>
    </row>
    <row r="2833" spans="2:47">
      <c r="B2833" s="247">
        <f>'Table S2 Compound Identifiers'!C2835</f>
        <v>0</v>
      </c>
      <c r="C2833" s="247">
        <f>COUNTIF($D$6:D2833,"&lt;&gt;"&amp;"")</f>
        <v>2828</v>
      </c>
      <c r="D2833" s="247">
        <f>'Table S2 Compound Identifiers'!B2835</f>
        <v>0</v>
      </c>
      <c r="E2833" s="247"/>
      <c r="F2833" s="248"/>
      <c r="G2833" s="249"/>
      <c r="H2833" s="330"/>
      <c r="I2833" s="328"/>
      <c r="J2833" s="249"/>
      <c r="K2833" s="330"/>
      <c r="L2833" s="250"/>
      <c r="M2833" s="249"/>
      <c r="N2833" s="330"/>
      <c r="O2833" s="250"/>
      <c r="P2833" s="249"/>
      <c r="Q2833" s="330"/>
      <c r="R2833" s="250"/>
      <c r="S2833" s="249"/>
      <c r="T2833" s="330"/>
      <c r="U2833" s="250"/>
      <c r="V2833" s="249"/>
      <c r="W2833" s="330"/>
      <c r="X2833" s="343"/>
      <c r="Y2833" s="249"/>
      <c r="Z2833" s="330"/>
      <c r="AA2833" s="343"/>
      <c r="AB2833" s="249"/>
      <c r="AC2833" s="330"/>
      <c r="AD2833" s="343"/>
      <c r="AE2833" s="249"/>
      <c r="AF2833" s="330"/>
      <c r="AG2833" s="343"/>
      <c r="AH2833" s="249"/>
      <c r="AI2833" s="330"/>
      <c r="AJ2833" s="343"/>
      <c r="AK2833" s="249"/>
      <c r="AL2833" s="330"/>
      <c r="AM2833" s="343"/>
      <c r="AN2833" s="249"/>
      <c r="AO2833" s="330"/>
      <c r="AP2833" s="343"/>
      <c r="AQ2833" s="249"/>
      <c r="AR2833" s="330"/>
      <c r="AS2833" s="343"/>
      <c r="AT2833" s="249"/>
      <c r="AU2833" s="330"/>
    </row>
    <row r="2834" spans="2:47">
      <c r="B2834" s="247">
        <f>'Table S2 Compound Identifiers'!C2836</f>
        <v>0</v>
      </c>
      <c r="C2834" s="247">
        <f>COUNTIF($D$6:D2834,"&lt;&gt;"&amp;"")</f>
        <v>2829</v>
      </c>
      <c r="D2834" s="247">
        <f>'Table S2 Compound Identifiers'!B2836</f>
        <v>0</v>
      </c>
      <c r="E2834" s="247"/>
      <c r="F2834" s="248"/>
      <c r="G2834" s="249"/>
      <c r="H2834" s="330"/>
      <c r="I2834" s="328"/>
      <c r="J2834" s="249"/>
      <c r="K2834" s="330"/>
      <c r="L2834" s="250"/>
      <c r="M2834" s="249"/>
      <c r="N2834" s="330"/>
      <c r="O2834" s="250"/>
      <c r="P2834" s="249"/>
      <c r="Q2834" s="330"/>
      <c r="R2834" s="250"/>
      <c r="S2834" s="249"/>
      <c r="T2834" s="330"/>
      <c r="U2834" s="250"/>
      <c r="V2834" s="249"/>
      <c r="W2834" s="330"/>
      <c r="X2834" s="343"/>
      <c r="Y2834" s="249"/>
      <c r="Z2834" s="330"/>
      <c r="AA2834" s="343"/>
      <c r="AB2834" s="249"/>
      <c r="AC2834" s="330"/>
      <c r="AD2834" s="343"/>
      <c r="AE2834" s="249"/>
      <c r="AF2834" s="330"/>
      <c r="AG2834" s="343"/>
      <c r="AH2834" s="249"/>
      <c r="AI2834" s="330"/>
      <c r="AJ2834" s="343"/>
      <c r="AK2834" s="249"/>
      <c r="AL2834" s="330"/>
      <c r="AM2834" s="343"/>
      <c r="AN2834" s="249"/>
      <c r="AO2834" s="330"/>
      <c r="AP2834" s="343"/>
      <c r="AQ2834" s="249"/>
      <c r="AR2834" s="330"/>
      <c r="AS2834" s="343"/>
      <c r="AT2834" s="249"/>
      <c r="AU2834" s="330"/>
    </row>
    <row r="2835" spans="2:47">
      <c r="B2835" s="247">
        <f>'Table S2 Compound Identifiers'!C2837</f>
        <v>0</v>
      </c>
      <c r="C2835" s="247">
        <f>COUNTIF($D$6:D2835,"&lt;&gt;"&amp;"")</f>
        <v>2830</v>
      </c>
      <c r="D2835" s="247">
        <f>'Table S2 Compound Identifiers'!B2837</f>
        <v>0</v>
      </c>
      <c r="E2835" s="247"/>
      <c r="F2835" s="248"/>
      <c r="G2835" s="249"/>
      <c r="H2835" s="330"/>
      <c r="I2835" s="328"/>
      <c r="J2835" s="249"/>
      <c r="K2835" s="330"/>
      <c r="L2835" s="250"/>
      <c r="M2835" s="249"/>
      <c r="N2835" s="330"/>
      <c r="O2835" s="250"/>
      <c r="P2835" s="249"/>
      <c r="Q2835" s="330"/>
      <c r="R2835" s="250"/>
      <c r="S2835" s="249"/>
      <c r="T2835" s="330"/>
      <c r="U2835" s="250"/>
      <c r="V2835" s="249"/>
      <c r="W2835" s="330"/>
      <c r="X2835" s="343"/>
      <c r="Y2835" s="249"/>
      <c r="Z2835" s="330"/>
      <c r="AA2835" s="343"/>
      <c r="AB2835" s="249"/>
      <c r="AC2835" s="330"/>
      <c r="AD2835" s="343"/>
      <c r="AE2835" s="249"/>
      <c r="AF2835" s="330"/>
      <c r="AG2835" s="343"/>
      <c r="AH2835" s="249"/>
      <c r="AI2835" s="330"/>
      <c r="AJ2835" s="343"/>
      <c r="AK2835" s="249"/>
      <c r="AL2835" s="330"/>
      <c r="AM2835" s="343"/>
      <c r="AN2835" s="249"/>
      <c r="AO2835" s="330"/>
      <c r="AP2835" s="343"/>
      <c r="AQ2835" s="249"/>
      <c r="AR2835" s="330"/>
      <c r="AS2835" s="343"/>
      <c r="AT2835" s="249"/>
      <c r="AU2835" s="330"/>
    </row>
    <row r="2836" spans="2:47">
      <c r="B2836" s="247">
        <f>'Table S2 Compound Identifiers'!C2838</f>
        <v>0</v>
      </c>
      <c r="C2836" s="247">
        <f>COUNTIF($D$6:D2836,"&lt;&gt;"&amp;"")</f>
        <v>2831</v>
      </c>
      <c r="D2836" s="247">
        <f>'Table S2 Compound Identifiers'!B2838</f>
        <v>0</v>
      </c>
      <c r="E2836" s="247"/>
      <c r="F2836" s="248"/>
      <c r="G2836" s="249"/>
      <c r="H2836" s="330"/>
      <c r="I2836" s="328"/>
      <c r="J2836" s="249"/>
      <c r="K2836" s="330"/>
      <c r="L2836" s="250"/>
      <c r="M2836" s="249"/>
      <c r="N2836" s="330"/>
      <c r="O2836" s="250"/>
      <c r="P2836" s="249"/>
      <c r="Q2836" s="330"/>
      <c r="R2836" s="250"/>
      <c r="S2836" s="249"/>
      <c r="T2836" s="330"/>
      <c r="U2836" s="250"/>
      <c r="V2836" s="249"/>
      <c r="W2836" s="330"/>
      <c r="X2836" s="343"/>
      <c r="Y2836" s="249"/>
      <c r="Z2836" s="330"/>
      <c r="AA2836" s="343"/>
      <c r="AB2836" s="249"/>
      <c r="AC2836" s="330"/>
      <c r="AD2836" s="343"/>
      <c r="AE2836" s="249"/>
      <c r="AF2836" s="330"/>
      <c r="AG2836" s="343"/>
      <c r="AH2836" s="249"/>
      <c r="AI2836" s="330"/>
      <c r="AJ2836" s="343"/>
      <c r="AK2836" s="249"/>
      <c r="AL2836" s="330"/>
      <c r="AM2836" s="343"/>
      <c r="AN2836" s="249"/>
      <c r="AO2836" s="330"/>
      <c r="AP2836" s="343"/>
      <c r="AQ2836" s="249"/>
      <c r="AR2836" s="330"/>
      <c r="AS2836" s="343"/>
      <c r="AT2836" s="249"/>
      <c r="AU2836" s="330"/>
    </row>
    <row r="2837" spans="2:47">
      <c r="B2837" s="247">
        <f>'Table S2 Compound Identifiers'!C2839</f>
        <v>0</v>
      </c>
      <c r="C2837" s="247">
        <f>COUNTIF($D$6:D2837,"&lt;&gt;"&amp;"")</f>
        <v>2832</v>
      </c>
      <c r="D2837" s="247">
        <f>'Table S2 Compound Identifiers'!B2839</f>
        <v>0</v>
      </c>
      <c r="E2837" s="247"/>
      <c r="F2837" s="248"/>
      <c r="G2837" s="249"/>
      <c r="H2837" s="330"/>
      <c r="I2837" s="328"/>
      <c r="J2837" s="249"/>
      <c r="K2837" s="330"/>
      <c r="L2837" s="250"/>
      <c r="M2837" s="249"/>
      <c r="N2837" s="330"/>
      <c r="O2837" s="250"/>
      <c r="P2837" s="249"/>
      <c r="Q2837" s="330"/>
      <c r="R2837" s="250"/>
      <c r="S2837" s="249"/>
      <c r="T2837" s="330"/>
      <c r="U2837" s="250"/>
      <c r="V2837" s="249"/>
      <c r="W2837" s="330"/>
      <c r="X2837" s="343"/>
      <c r="Y2837" s="249"/>
      <c r="Z2837" s="330"/>
      <c r="AA2837" s="343"/>
      <c r="AB2837" s="249"/>
      <c r="AC2837" s="330"/>
      <c r="AD2837" s="343"/>
      <c r="AE2837" s="249"/>
      <c r="AF2837" s="330"/>
      <c r="AG2837" s="343"/>
      <c r="AH2837" s="249"/>
      <c r="AI2837" s="330"/>
      <c r="AJ2837" s="343"/>
      <c r="AK2837" s="249"/>
      <c r="AL2837" s="330"/>
      <c r="AM2837" s="343"/>
      <c r="AN2837" s="249"/>
      <c r="AO2837" s="330"/>
      <c r="AP2837" s="343"/>
      <c r="AQ2837" s="249"/>
      <c r="AR2837" s="330"/>
      <c r="AS2837" s="343"/>
      <c r="AT2837" s="249"/>
      <c r="AU2837" s="330"/>
    </row>
    <row r="2838" spans="2:47">
      <c r="B2838" s="247">
        <f>'Table S2 Compound Identifiers'!C2840</f>
        <v>0</v>
      </c>
      <c r="C2838" s="247">
        <f>COUNTIF($D$6:D2838,"&lt;&gt;"&amp;"")</f>
        <v>2833</v>
      </c>
      <c r="D2838" s="247">
        <f>'Table S2 Compound Identifiers'!B2840</f>
        <v>0</v>
      </c>
      <c r="E2838" s="247"/>
      <c r="F2838" s="248"/>
      <c r="G2838" s="249"/>
      <c r="H2838" s="330"/>
      <c r="I2838" s="328"/>
      <c r="J2838" s="249"/>
      <c r="K2838" s="330"/>
      <c r="L2838" s="250"/>
      <c r="M2838" s="249"/>
      <c r="N2838" s="330"/>
      <c r="O2838" s="250"/>
      <c r="P2838" s="249"/>
      <c r="Q2838" s="330"/>
      <c r="R2838" s="250"/>
      <c r="S2838" s="249"/>
      <c r="T2838" s="330"/>
      <c r="U2838" s="250"/>
      <c r="V2838" s="249"/>
      <c r="W2838" s="330"/>
      <c r="X2838" s="343"/>
      <c r="Y2838" s="249"/>
      <c r="Z2838" s="330"/>
      <c r="AA2838" s="343"/>
      <c r="AB2838" s="249"/>
      <c r="AC2838" s="330"/>
      <c r="AD2838" s="343"/>
      <c r="AE2838" s="249"/>
      <c r="AF2838" s="330"/>
      <c r="AG2838" s="343"/>
      <c r="AH2838" s="249"/>
      <c r="AI2838" s="330"/>
      <c r="AJ2838" s="343"/>
      <c r="AK2838" s="249"/>
      <c r="AL2838" s="330"/>
      <c r="AM2838" s="343"/>
      <c r="AN2838" s="249"/>
      <c r="AO2838" s="330"/>
      <c r="AP2838" s="343"/>
      <c r="AQ2838" s="249"/>
      <c r="AR2838" s="330"/>
      <c r="AS2838" s="343"/>
      <c r="AT2838" s="249"/>
      <c r="AU2838" s="330"/>
    </row>
    <row r="2839" spans="2:47">
      <c r="B2839" s="247">
        <f>'Table S2 Compound Identifiers'!C2841</f>
        <v>0</v>
      </c>
      <c r="C2839" s="247">
        <f>COUNTIF($D$6:D2839,"&lt;&gt;"&amp;"")</f>
        <v>2834</v>
      </c>
      <c r="D2839" s="247">
        <f>'Table S2 Compound Identifiers'!B2841</f>
        <v>0</v>
      </c>
      <c r="E2839" s="247"/>
      <c r="F2839" s="248"/>
      <c r="G2839" s="249"/>
      <c r="H2839" s="330"/>
      <c r="I2839" s="328"/>
      <c r="J2839" s="249"/>
      <c r="K2839" s="330"/>
      <c r="L2839" s="250"/>
      <c r="M2839" s="249"/>
      <c r="N2839" s="330"/>
      <c r="O2839" s="250"/>
      <c r="P2839" s="249"/>
      <c r="Q2839" s="330"/>
      <c r="R2839" s="250"/>
      <c r="S2839" s="249"/>
      <c r="T2839" s="330"/>
      <c r="U2839" s="250"/>
      <c r="V2839" s="249"/>
      <c r="W2839" s="330"/>
      <c r="X2839" s="343"/>
      <c r="Y2839" s="249"/>
      <c r="Z2839" s="330"/>
      <c r="AA2839" s="343"/>
      <c r="AB2839" s="249"/>
      <c r="AC2839" s="330"/>
      <c r="AD2839" s="343"/>
      <c r="AE2839" s="249"/>
      <c r="AF2839" s="330"/>
      <c r="AG2839" s="343"/>
      <c r="AH2839" s="249"/>
      <c r="AI2839" s="330"/>
      <c r="AJ2839" s="343"/>
      <c r="AK2839" s="249"/>
      <c r="AL2839" s="330"/>
      <c r="AM2839" s="343"/>
      <c r="AN2839" s="249"/>
      <c r="AO2839" s="330"/>
      <c r="AP2839" s="343"/>
      <c r="AQ2839" s="249"/>
      <c r="AR2839" s="330"/>
      <c r="AS2839" s="343"/>
      <c r="AT2839" s="249"/>
      <c r="AU2839" s="330"/>
    </row>
    <row r="2840" spans="2:47">
      <c r="B2840" s="247">
        <f>'Table S2 Compound Identifiers'!C2842</f>
        <v>0</v>
      </c>
      <c r="C2840" s="247">
        <f>COUNTIF($D$6:D2840,"&lt;&gt;"&amp;"")</f>
        <v>2835</v>
      </c>
      <c r="D2840" s="247">
        <f>'Table S2 Compound Identifiers'!B2842</f>
        <v>0</v>
      </c>
      <c r="E2840" s="247"/>
      <c r="F2840" s="248"/>
      <c r="G2840" s="249"/>
      <c r="H2840" s="330"/>
      <c r="I2840" s="328"/>
      <c r="J2840" s="249"/>
      <c r="K2840" s="330"/>
      <c r="L2840" s="250"/>
      <c r="M2840" s="249"/>
      <c r="N2840" s="330"/>
      <c r="O2840" s="250"/>
      <c r="P2840" s="249"/>
      <c r="Q2840" s="330"/>
      <c r="R2840" s="250"/>
      <c r="S2840" s="249"/>
      <c r="T2840" s="330"/>
      <c r="U2840" s="250"/>
      <c r="V2840" s="249"/>
      <c r="W2840" s="330"/>
      <c r="X2840" s="343"/>
      <c r="Y2840" s="249"/>
      <c r="Z2840" s="330"/>
      <c r="AA2840" s="343"/>
      <c r="AB2840" s="249"/>
      <c r="AC2840" s="330"/>
      <c r="AD2840" s="343"/>
      <c r="AE2840" s="249"/>
      <c r="AF2840" s="330"/>
      <c r="AG2840" s="343"/>
      <c r="AH2840" s="249"/>
      <c r="AI2840" s="330"/>
      <c r="AJ2840" s="343"/>
      <c r="AK2840" s="249"/>
      <c r="AL2840" s="330"/>
      <c r="AM2840" s="343"/>
      <c r="AN2840" s="249"/>
      <c r="AO2840" s="330"/>
      <c r="AP2840" s="343"/>
      <c r="AQ2840" s="249"/>
      <c r="AR2840" s="330"/>
      <c r="AS2840" s="343"/>
      <c r="AT2840" s="249"/>
      <c r="AU2840" s="330"/>
    </row>
    <row r="2841" spans="2:47">
      <c r="B2841" s="247">
        <f>'Table S2 Compound Identifiers'!C2843</f>
        <v>0</v>
      </c>
      <c r="C2841" s="247">
        <f>COUNTIF($D$6:D2841,"&lt;&gt;"&amp;"")</f>
        <v>2836</v>
      </c>
      <c r="D2841" s="247">
        <f>'Table S2 Compound Identifiers'!B2843</f>
        <v>0</v>
      </c>
      <c r="E2841" s="247"/>
      <c r="F2841" s="248"/>
      <c r="G2841" s="249"/>
      <c r="H2841" s="330"/>
      <c r="I2841" s="328"/>
      <c r="J2841" s="249"/>
      <c r="K2841" s="330"/>
      <c r="L2841" s="250"/>
      <c r="M2841" s="249"/>
      <c r="N2841" s="330"/>
      <c r="O2841" s="250"/>
      <c r="P2841" s="249"/>
      <c r="Q2841" s="330"/>
      <c r="R2841" s="250"/>
      <c r="S2841" s="249"/>
      <c r="T2841" s="330"/>
      <c r="U2841" s="250"/>
      <c r="V2841" s="249"/>
      <c r="W2841" s="330"/>
      <c r="X2841" s="343"/>
      <c r="Y2841" s="249"/>
      <c r="Z2841" s="330"/>
      <c r="AA2841" s="343"/>
      <c r="AB2841" s="249"/>
      <c r="AC2841" s="330"/>
      <c r="AD2841" s="343"/>
      <c r="AE2841" s="249"/>
      <c r="AF2841" s="330"/>
      <c r="AG2841" s="343"/>
      <c r="AH2841" s="249"/>
      <c r="AI2841" s="330"/>
      <c r="AJ2841" s="343"/>
      <c r="AK2841" s="249"/>
      <c r="AL2841" s="330"/>
      <c r="AM2841" s="343"/>
      <c r="AN2841" s="249"/>
      <c r="AO2841" s="330"/>
      <c r="AP2841" s="343"/>
      <c r="AQ2841" s="249"/>
      <c r="AR2841" s="330"/>
      <c r="AS2841" s="343"/>
      <c r="AT2841" s="249"/>
      <c r="AU2841" s="330"/>
    </row>
    <row r="2842" spans="2:47">
      <c r="B2842" s="247">
        <f>'Table S2 Compound Identifiers'!C2844</f>
        <v>0</v>
      </c>
      <c r="C2842" s="247">
        <f>COUNTIF($D$6:D2842,"&lt;&gt;"&amp;"")</f>
        <v>2837</v>
      </c>
      <c r="D2842" s="247">
        <f>'Table S2 Compound Identifiers'!B2844</f>
        <v>0</v>
      </c>
      <c r="E2842" s="247"/>
      <c r="F2842" s="248"/>
      <c r="G2842" s="249"/>
      <c r="H2842" s="330"/>
      <c r="I2842" s="328"/>
      <c r="J2842" s="249"/>
      <c r="K2842" s="330"/>
      <c r="L2842" s="250"/>
      <c r="M2842" s="249"/>
      <c r="N2842" s="330"/>
      <c r="O2842" s="250"/>
      <c r="P2842" s="249"/>
      <c r="Q2842" s="330"/>
      <c r="R2842" s="250"/>
      <c r="S2842" s="249"/>
      <c r="T2842" s="330"/>
      <c r="U2842" s="250"/>
      <c r="V2842" s="249"/>
      <c r="W2842" s="330"/>
      <c r="X2842" s="343"/>
      <c r="Y2842" s="249"/>
      <c r="Z2842" s="330"/>
      <c r="AA2842" s="343"/>
      <c r="AB2842" s="249"/>
      <c r="AC2842" s="330"/>
      <c r="AD2842" s="343"/>
      <c r="AE2842" s="249"/>
      <c r="AF2842" s="330"/>
      <c r="AG2842" s="343"/>
      <c r="AH2842" s="249"/>
      <c r="AI2842" s="330"/>
      <c r="AJ2842" s="343"/>
      <c r="AK2842" s="249"/>
      <c r="AL2842" s="330"/>
      <c r="AM2842" s="343"/>
      <c r="AN2842" s="249"/>
      <c r="AO2842" s="330"/>
      <c r="AP2842" s="343"/>
      <c r="AQ2842" s="249"/>
      <c r="AR2842" s="330"/>
      <c r="AS2842" s="343"/>
      <c r="AT2842" s="249"/>
      <c r="AU2842" s="330"/>
    </row>
    <row r="2843" spans="2:47">
      <c r="B2843" s="247">
        <f>'Table S2 Compound Identifiers'!C2845</f>
        <v>0</v>
      </c>
      <c r="C2843" s="247">
        <f>COUNTIF($D$6:D2843,"&lt;&gt;"&amp;"")</f>
        <v>2838</v>
      </c>
      <c r="D2843" s="247">
        <f>'Table S2 Compound Identifiers'!B2845</f>
        <v>0</v>
      </c>
      <c r="E2843" s="247"/>
      <c r="F2843" s="248"/>
      <c r="G2843" s="249"/>
      <c r="H2843" s="330"/>
      <c r="I2843" s="328"/>
      <c r="J2843" s="249"/>
      <c r="K2843" s="330"/>
      <c r="L2843" s="250"/>
      <c r="M2843" s="249"/>
      <c r="N2843" s="330"/>
      <c r="O2843" s="250"/>
      <c r="P2843" s="249"/>
      <c r="Q2843" s="330"/>
      <c r="R2843" s="250"/>
      <c r="S2843" s="249"/>
      <c r="T2843" s="330"/>
      <c r="U2843" s="250"/>
      <c r="V2843" s="249"/>
      <c r="W2843" s="330"/>
      <c r="X2843" s="343"/>
      <c r="Y2843" s="249"/>
      <c r="Z2843" s="330"/>
      <c r="AA2843" s="343"/>
      <c r="AB2843" s="249"/>
      <c r="AC2843" s="330"/>
      <c r="AD2843" s="343"/>
      <c r="AE2843" s="249"/>
      <c r="AF2843" s="330"/>
      <c r="AG2843" s="343"/>
      <c r="AH2843" s="249"/>
      <c r="AI2843" s="330"/>
      <c r="AJ2843" s="343"/>
      <c r="AK2843" s="249"/>
      <c r="AL2843" s="330"/>
      <c r="AM2843" s="343"/>
      <c r="AN2843" s="249"/>
      <c r="AO2843" s="330"/>
      <c r="AP2843" s="343"/>
      <c r="AQ2843" s="249"/>
      <c r="AR2843" s="330"/>
      <c r="AS2843" s="343"/>
      <c r="AT2843" s="249"/>
      <c r="AU2843" s="330"/>
    </row>
    <row r="2844" spans="2:47">
      <c r="B2844" s="247">
        <f>'Table S2 Compound Identifiers'!C2846</f>
        <v>0</v>
      </c>
      <c r="C2844" s="247">
        <f>COUNTIF($D$6:D2844,"&lt;&gt;"&amp;"")</f>
        <v>2839</v>
      </c>
      <c r="D2844" s="247">
        <f>'Table S2 Compound Identifiers'!B2846</f>
        <v>0</v>
      </c>
      <c r="E2844" s="247"/>
      <c r="F2844" s="248"/>
      <c r="G2844" s="249"/>
      <c r="H2844" s="330"/>
      <c r="I2844" s="328"/>
      <c r="J2844" s="249"/>
      <c r="K2844" s="330"/>
      <c r="L2844" s="250"/>
      <c r="M2844" s="249"/>
      <c r="N2844" s="330"/>
      <c r="O2844" s="250"/>
      <c r="P2844" s="249"/>
      <c r="Q2844" s="330"/>
      <c r="R2844" s="250"/>
      <c r="S2844" s="249"/>
      <c r="T2844" s="330"/>
      <c r="U2844" s="250"/>
      <c r="V2844" s="249"/>
      <c r="W2844" s="330"/>
      <c r="X2844" s="343"/>
      <c r="Y2844" s="249"/>
      <c r="Z2844" s="330"/>
      <c r="AA2844" s="343"/>
      <c r="AB2844" s="249"/>
      <c r="AC2844" s="330"/>
      <c r="AD2844" s="343"/>
      <c r="AE2844" s="249"/>
      <c r="AF2844" s="330"/>
      <c r="AG2844" s="343"/>
      <c r="AH2844" s="249"/>
      <c r="AI2844" s="330"/>
      <c r="AJ2844" s="343"/>
      <c r="AK2844" s="249"/>
      <c r="AL2844" s="330"/>
      <c r="AM2844" s="343"/>
      <c r="AN2844" s="249"/>
      <c r="AO2844" s="330"/>
      <c r="AP2844" s="343"/>
      <c r="AQ2844" s="249"/>
      <c r="AR2844" s="330"/>
      <c r="AS2844" s="343"/>
      <c r="AT2844" s="249"/>
      <c r="AU2844" s="330"/>
    </row>
    <row r="2845" spans="2:47">
      <c r="B2845" s="247">
        <f>'Table S2 Compound Identifiers'!C2847</f>
        <v>0</v>
      </c>
      <c r="C2845" s="247">
        <f>COUNTIF($D$6:D2845,"&lt;&gt;"&amp;"")</f>
        <v>2840</v>
      </c>
      <c r="D2845" s="247">
        <f>'Table S2 Compound Identifiers'!B2847</f>
        <v>0</v>
      </c>
      <c r="E2845" s="247"/>
      <c r="F2845" s="248"/>
      <c r="G2845" s="249"/>
      <c r="H2845" s="330"/>
      <c r="I2845" s="328"/>
      <c r="J2845" s="249"/>
      <c r="K2845" s="330"/>
      <c r="L2845" s="250"/>
      <c r="M2845" s="249"/>
      <c r="N2845" s="330"/>
      <c r="O2845" s="250"/>
      <c r="P2845" s="249"/>
      <c r="Q2845" s="330"/>
      <c r="R2845" s="250"/>
      <c r="S2845" s="249"/>
      <c r="T2845" s="330"/>
      <c r="U2845" s="250"/>
      <c r="V2845" s="249"/>
      <c r="W2845" s="330"/>
      <c r="X2845" s="343"/>
      <c r="Y2845" s="249"/>
      <c r="Z2845" s="330"/>
      <c r="AA2845" s="343"/>
      <c r="AB2845" s="249"/>
      <c r="AC2845" s="330"/>
      <c r="AD2845" s="343"/>
      <c r="AE2845" s="249"/>
      <c r="AF2845" s="330"/>
      <c r="AG2845" s="343"/>
      <c r="AH2845" s="249"/>
      <c r="AI2845" s="330"/>
      <c r="AJ2845" s="343"/>
      <c r="AK2845" s="249"/>
      <c r="AL2845" s="330"/>
      <c r="AM2845" s="343"/>
      <c r="AN2845" s="249"/>
      <c r="AO2845" s="330"/>
      <c r="AP2845" s="343"/>
      <c r="AQ2845" s="249"/>
      <c r="AR2845" s="330"/>
      <c r="AS2845" s="343"/>
      <c r="AT2845" s="249"/>
      <c r="AU2845" s="330"/>
    </row>
    <row r="2846" spans="2:47">
      <c r="B2846" s="247">
        <f>'Table S2 Compound Identifiers'!C2848</f>
        <v>0</v>
      </c>
      <c r="C2846" s="247">
        <f>COUNTIF($D$6:D2846,"&lt;&gt;"&amp;"")</f>
        <v>2841</v>
      </c>
      <c r="D2846" s="247">
        <f>'Table S2 Compound Identifiers'!B2848</f>
        <v>0</v>
      </c>
      <c r="E2846" s="247"/>
      <c r="F2846" s="248"/>
      <c r="G2846" s="249"/>
      <c r="H2846" s="330"/>
      <c r="I2846" s="328"/>
      <c r="J2846" s="249"/>
      <c r="K2846" s="330"/>
      <c r="L2846" s="250"/>
      <c r="M2846" s="249"/>
      <c r="N2846" s="330"/>
      <c r="O2846" s="250"/>
      <c r="P2846" s="249"/>
      <c r="Q2846" s="330"/>
      <c r="R2846" s="250"/>
      <c r="S2846" s="249"/>
      <c r="T2846" s="330"/>
      <c r="U2846" s="250"/>
      <c r="V2846" s="249"/>
      <c r="W2846" s="330"/>
      <c r="X2846" s="343"/>
      <c r="Y2846" s="249"/>
      <c r="Z2846" s="330"/>
      <c r="AA2846" s="343"/>
      <c r="AB2846" s="249"/>
      <c r="AC2846" s="330"/>
      <c r="AD2846" s="343"/>
      <c r="AE2846" s="249"/>
      <c r="AF2846" s="330"/>
      <c r="AG2846" s="343"/>
      <c r="AH2846" s="249"/>
      <c r="AI2846" s="330"/>
      <c r="AJ2846" s="343"/>
      <c r="AK2846" s="249"/>
      <c r="AL2846" s="330"/>
      <c r="AM2846" s="343"/>
      <c r="AN2846" s="249"/>
      <c r="AO2846" s="330"/>
      <c r="AP2846" s="343"/>
      <c r="AQ2846" s="249"/>
      <c r="AR2846" s="330"/>
      <c r="AS2846" s="343"/>
      <c r="AT2846" s="249"/>
      <c r="AU2846" s="330"/>
    </row>
    <row r="2847" spans="2:47">
      <c r="B2847" s="247">
        <f>'Table S2 Compound Identifiers'!C2849</f>
        <v>0</v>
      </c>
      <c r="C2847" s="247">
        <f>COUNTIF($D$6:D2847,"&lt;&gt;"&amp;"")</f>
        <v>2842</v>
      </c>
      <c r="D2847" s="247">
        <f>'Table S2 Compound Identifiers'!B2849</f>
        <v>0</v>
      </c>
      <c r="E2847" s="247"/>
      <c r="F2847" s="248"/>
      <c r="G2847" s="249"/>
      <c r="H2847" s="330"/>
      <c r="I2847" s="328"/>
      <c r="J2847" s="249"/>
      <c r="K2847" s="330"/>
      <c r="L2847" s="250"/>
      <c r="M2847" s="249"/>
      <c r="N2847" s="330"/>
      <c r="O2847" s="250"/>
      <c r="P2847" s="249"/>
      <c r="Q2847" s="330"/>
      <c r="R2847" s="250"/>
      <c r="S2847" s="249"/>
      <c r="T2847" s="330"/>
      <c r="U2847" s="250"/>
      <c r="V2847" s="249"/>
      <c r="W2847" s="330"/>
      <c r="X2847" s="343"/>
      <c r="Y2847" s="249"/>
      <c r="Z2847" s="330"/>
      <c r="AA2847" s="343"/>
      <c r="AB2847" s="249"/>
      <c r="AC2847" s="330"/>
      <c r="AD2847" s="343"/>
      <c r="AE2847" s="249"/>
      <c r="AF2847" s="330"/>
      <c r="AG2847" s="343"/>
      <c r="AH2847" s="249"/>
      <c r="AI2847" s="330"/>
      <c r="AJ2847" s="343"/>
      <c r="AK2847" s="249"/>
      <c r="AL2847" s="330"/>
      <c r="AM2847" s="343"/>
      <c r="AN2847" s="249"/>
      <c r="AO2847" s="330"/>
      <c r="AP2847" s="343"/>
      <c r="AQ2847" s="249"/>
      <c r="AR2847" s="330"/>
      <c r="AS2847" s="343"/>
      <c r="AT2847" s="249"/>
      <c r="AU2847" s="330"/>
    </row>
    <row r="2848" spans="2:47">
      <c r="B2848" s="247">
        <f>'Table S2 Compound Identifiers'!C2850</f>
        <v>0</v>
      </c>
      <c r="C2848" s="247">
        <f>COUNTIF($D$6:D2848,"&lt;&gt;"&amp;"")</f>
        <v>2843</v>
      </c>
      <c r="D2848" s="247">
        <f>'Table S2 Compound Identifiers'!B2850</f>
        <v>0</v>
      </c>
      <c r="E2848" s="247"/>
      <c r="F2848" s="248"/>
      <c r="G2848" s="249"/>
      <c r="H2848" s="330"/>
      <c r="I2848" s="328"/>
      <c r="J2848" s="249"/>
      <c r="K2848" s="330"/>
      <c r="L2848" s="250"/>
      <c r="M2848" s="249"/>
      <c r="N2848" s="330"/>
      <c r="O2848" s="250"/>
      <c r="P2848" s="249"/>
      <c r="Q2848" s="330"/>
      <c r="R2848" s="250"/>
      <c r="S2848" s="249"/>
      <c r="T2848" s="330"/>
      <c r="U2848" s="250"/>
      <c r="V2848" s="249"/>
      <c r="W2848" s="330"/>
      <c r="X2848" s="343"/>
      <c r="Y2848" s="249"/>
      <c r="Z2848" s="330"/>
      <c r="AA2848" s="343"/>
      <c r="AB2848" s="249"/>
      <c r="AC2848" s="330"/>
      <c r="AD2848" s="343"/>
      <c r="AE2848" s="249"/>
      <c r="AF2848" s="330"/>
      <c r="AG2848" s="343"/>
      <c r="AH2848" s="249"/>
      <c r="AI2848" s="330"/>
      <c r="AJ2848" s="343"/>
      <c r="AK2848" s="249"/>
      <c r="AL2848" s="330"/>
      <c r="AM2848" s="343"/>
      <c r="AN2848" s="249"/>
      <c r="AO2848" s="330"/>
      <c r="AP2848" s="343"/>
      <c r="AQ2848" s="249"/>
      <c r="AR2848" s="330"/>
      <c r="AS2848" s="343"/>
      <c r="AT2848" s="249"/>
      <c r="AU2848" s="330"/>
    </row>
    <row r="2849" spans="2:47">
      <c r="B2849" s="247">
        <f>'Table S2 Compound Identifiers'!C2851</f>
        <v>0</v>
      </c>
      <c r="C2849" s="247">
        <f>COUNTIF($D$6:D2849,"&lt;&gt;"&amp;"")</f>
        <v>2844</v>
      </c>
      <c r="D2849" s="247">
        <f>'Table S2 Compound Identifiers'!B2851</f>
        <v>0</v>
      </c>
      <c r="E2849" s="247"/>
      <c r="F2849" s="248"/>
      <c r="G2849" s="249"/>
      <c r="H2849" s="330"/>
      <c r="I2849" s="328"/>
      <c r="J2849" s="249"/>
      <c r="K2849" s="330"/>
      <c r="L2849" s="250"/>
      <c r="M2849" s="249"/>
      <c r="N2849" s="330"/>
      <c r="O2849" s="250"/>
      <c r="P2849" s="249"/>
      <c r="Q2849" s="330"/>
      <c r="R2849" s="250"/>
      <c r="S2849" s="249"/>
      <c r="T2849" s="330"/>
      <c r="U2849" s="250"/>
      <c r="V2849" s="249"/>
      <c r="W2849" s="330"/>
      <c r="X2849" s="343"/>
      <c r="Y2849" s="249"/>
      <c r="Z2849" s="330"/>
      <c r="AA2849" s="343"/>
      <c r="AB2849" s="249"/>
      <c r="AC2849" s="330"/>
      <c r="AD2849" s="343"/>
      <c r="AE2849" s="249"/>
      <c r="AF2849" s="330"/>
      <c r="AG2849" s="343"/>
      <c r="AH2849" s="249"/>
      <c r="AI2849" s="330"/>
      <c r="AJ2849" s="343"/>
      <c r="AK2849" s="249"/>
      <c r="AL2849" s="330"/>
      <c r="AM2849" s="343"/>
      <c r="AN2849" s="249"/>
      <c r="AO2849" s="330"/>
      <c r="AP2849" s="343"/>
      <c r="AQ2849" s="249"/>
      <c r="AR2849" s="330"/>
      <c r="AS2849" s="343"/>
      <c r="AT2849" s="249"/>
      <c r="AU2849" s="330"/>
    </row>
    <row r="2850" spans="2:47">
      <c r="B2850" s="247">
        <f>'Table S2 Compound Identifiers'!C2852</f>
        <v>0</v>
      </c>
      <c r="C2850" s="247">
        <f>COUNTIF($D$6:D2850,"&lt;&gt;"&amp;"")</f>
        <v>2845</v>
      </c>
      <c r="D2850" s="247">
        <f>'Table S2 Compound Identifiers'!B2852</f>
        <v>0</v>
      </c>
      <c r="E2850" s="247"/>
      <c r="F2850" s="248"/>
      <c r="G2850" s="249"/>
      <c r="H2850" s="330"/>
      <c r="I2850" s="328"/>
      <c r="J2850" s="249"/>
      <c r="K2850" s="330"/>
      <c r="L2850" s="250"/>
      <c r="M2850" s="249"/>
      <c r="N2850" s="330"/>
      <c r="O2850" s="250"/>
      <c r="P2850" s="249"/>
      <c r="Q2850" s="330"/>
      <c r="R2850" s="250"/>
      <c r="S2850" s="249"/>
      <c r="T2850" s="330"/>
      <c r="U2850" s="250"/>
      <c r="V2850" s="249"/>
      <c r="W2850" s="330"/>
      <c r="X2850" s="343"/>
      <c r="Y2850" s="249"/>
      <c r="Z2850" s="330"/>
      <c r="AA2850" s="343"/>
      <c r="AB2850" s="249"/>
      <c r="AC2850" s="330"/>
      <c r="AD2850" s="343"/>
      <c r="AE2850" s="249"/>
      <c r="AF2850" s="330"/>
      <c r="AG2850" s="343"/>
      <c r="AH2850" s="249"/>
      <c r="AI2850" s="330"/>
      <c r="AJ2850" s="343"/>
      <c r="AK2850" s="249"/>
      <c r="AL2850" s="330"/>
      <c r="AM2850" s="343"/>
      <c r="AN2850" s="249"/>
      <c r="AO2850" s="330"/>
      <c r="AP2850" s="343"/>
      <c r="AQ2850" s="249"/>
      <c r="AR2850" s="330"/>
      <c r="AS2850" s="343"/>
      <c r="AT2850" s="249"/>
      <c r="AU2850" s="330"/>
    </row>
    <row r="2851" spans="2:47">
      <c r="B2851" s="247">
        <f>'Table S2 Compound Identifiers'!C2853</f>
        <v>0</v>
      </c>
      <c r="C2851" s="247">
        <f>COUNTIF($D$6:D2851,"&lt;&gt;"&amp;"")</f>
        <v>2846</v>
      </c>
      <c r="D2851" s="247">
        <f>'Table S2 Compound Identifiers'!B2853</f>
        <v>0</v>
      </c>
      <c r="E2851" s="247"/>
      <c r="F2851" s="248"/>
      <c r="G2851" s="249"/>
      <c r="H2851" s="330"/>
      <c r="I2851" s="328"/>
      <c r="J2851" s="249"/>
      <c r="K2851" s="330"/>
      <c r="L2851" s="250"/>
      <c r="M2851" s="249"/>
      <c r="N2851" s="330"/>
      <c r="O2851" s="250"/>
      <c r="P2851" s="249"/>
      <c r="Q2851" s="330"/>
      <c r="R2851" s="250"/>
      <c r="S2851" s="249"/>
      <c r="T2851" s="330"/>
      <c r="U2851" s="250"/>
      <c r="V2851" s="249"/>
      <c r="W2851" s="330"/>
      <c r="X2851" s="343"/>
      <c r="Y2851" s="249"/>
      <c r="Z2851" s="330"/>
      <c r="AA2851" s="343"/>
      <c r="AB2851" s="249"/>
      <c r="AC2851" s="330"/>
      <c r="AD2851" s="343"/>
      <c r="AE2851" s="249"/>
      <c r="AF2851" s="330"/>
      <c r="AG2851" s="343"/>
      <c r="AH2851" s="249"/>
      <c r="AI2851" s="330"/>
      <c r="AJ2851" s="343"/>
      <c r="AK2851" s="249"/>
      <c r="AL2851" s="330"/>
      <c r="AM2851" s="343"/>
      <c r="AN2851" s="249"/>
      <c r="AO2851" s="330"/>
      <c r="AP2851" s="343"/>
      <c r="AQ2851" s="249"/>
      <c r="AR2851" s="330"/>
      <c r="AS2851" s="343"/>
      <c r="AT2851" s="249"/>
      <c r="AU2851" s="330"/>
    </row>
    <row r="2852" spans="2:47">
      <c r="B2852" s="247">
        <f>'Table S2 Compound Identifiers'!C2854</f>
        <v>0</v>
      </c>
      <c r="C2852" s="247">
        <f>COUNTIF($D$6:D2852,"&lt;&gt;"&amp;"")</f>
        <v>2847</v>
      </c>
      <c r="D2852" s="247">
        <f>'Table S2 Compound Identifiers'!B2854</f>
        <v>0</v>
      </c>
      <c r="E2852" s="247"/>
      <c r="F2852" s="248"/>
      <c r="G2852" s="249"/>
      <c r="H2852" s="330"/>
      <c r="I2852" s="328"/>
      <c r="J2852" s="249"/>
      <c r="K2852" s="330"/>
      <c r="L2852" s="250"/>
      <c r="M2852" s="249"/>
      <c r="N2852" s="330"/>
      <c r="O2852" s="250"/>
      <c r="P2852" s="249"/>
      <c r="Q2852" s="330"/>
      <c r="R2852" s="250"/>
      <c r="S2852" s="249"/>
      <c r="T2852" s="330"/>
      <c r="U2852" s="250"/>
      <c r="V2852" s="249"/>
      <c r="W2852" s="330"/>
      <c r="X2852" s="343"/>
      <c r="Y2852" s="249"/>
      <c r="Z2852" s="330"/>
      <c r="AA2852" s="343"/>
      <c r="AB2852" s="249"/>
      <c r="AC2852" s="330"/>
      <c r="AD2852" s="343"/>
      <c r="AE2852" s="249"/>
      <c r="AF2852" s="330"/>
      <c r="AG2852" s="343"/>
      <c r="AH2852" s="249"/>
      <c r="AI2852" s="330"/>
      <c r="AJ2852" s="343"/>
      <c r="AK2852" s="249"/>
      <c r="AL2852" s="330"/>
      <c r="AM2852" s="343"/>
      <c r="AN2852" s="249"/>
      <c r="AO2852" s="330"/>
      <c r="AP2852" s="343"/>
      <c r="AQ2852" s="249"/>
      <c r="AR2852" s="330"/>
      <c r="AS2852" s="343"/>
      <c r="AT2852" s="249"/>
      <c r="AU2852" s="330"/>
    </row>
    <row r="2853" spans="2:47">
      <c r="B2853" s="247">
        <f>'Table S2 Compound Identifiers'!C2855</f>
        <v>0</v>
      </c>
      <c r="C2853" s="247">
        <f>COUNTIF($D$6:D2853,"&lt;&gt;"&amp;"")</f>
        <v>2848</v>
      </c>
      <c r="D2853" s="247">
        <f>'Table S2 Compound Identifiers'!B2855</f>
        <v>0</v>
      </c>
      <c r="E2853" s="247"/>
      <c r="F2853" s="248"/>
      <c r="G2853" s="249"/>
      <c r="H2853" s="330"/>
      <c r="I2853" s="328"/>
      <c r="J2853" s="249"/>
      <c r="K2853" s="330"/>
      <c r="L2853" s="250"/>
      <c r="M2853" s="249"/>
      <c r="N2853" s="330"/>
      <c r="O2853" s="250"/>
      <c r="P2853" s="249"/>
      <c r="Q2853" s="330"/>
      <c r="R2853" s="250"/>
      <c r="S2853" s="249"/>
      <c r="T2853" s="330"/>
      <c r="U2853" s="250"/>
      <c r="V2853" s="249"/>
      <c r="W2853" s="330"/>
      <c r="X2853" s="343"/>
      <c r="Y2853" s="249"/>
      <c r="Z2853" s="330"/>
      <c r="AA2853" s="343"/>
      <c r="AB2853" s="249"/>
      <c r="AC2853" s="330"/>
      <c r="AD2853" s="343"/>
      <c r="AE2853" s="249"/>
      <c r="AF2853" s="330"/>
      <c r="AG2853" s="343"/>
      <c r="AH2853" s="249"/>
      <c r="AI2853" s="330"/>
      <c r="AJ2853" s="343"/>
      <c r="AK2853" s="249"/>
      <c r="AL2853" s="330"/>
      <c r="AM2853" s="343"/>
      <c r="AN2853" s="249"/>
      <c r="AO2853" s="330"/>
      <c r="AP2853" s="343"/>
      <c r="AQ2853" s="249"/>
      <c r="AR2853" s="330"/>
      <c r="AS2853" s="343"/>
      <c r="AT2853" s="249"/>
      <c r="AU2853" s="330"/>
    </row>
    <row r="2854" spans="2:47">
      <c r="B2854" s="247">
        <f>'Table S2 Compound Identifiers'!C2856</f>
        <v>0</v>
      </c>
      <c r="C2854" s="247">
        <f>COUNTIF($D$6:D2854,"&lt;&gt;"&amp;"")</f>
        <v>2849</v>
      </c>
      <c r="D2854" s="247">
        <f>'Table S2 Compound Identifiers'!B2856</f>
        <v>0</v>
      </c>
      <c r="E2854" s="247"/>
      <c r="F2854" s="248"/>
      <c r="G2854" s="249"/>
      <c r="H2854" s="330"/>
      <c r="I2854" s="328"/>
      <c r="J2854" s="249"/>
      <c r="K2854" s="330"/>
      <c r="L2854" s="250"/>
      <c r="M2854" s="249"/>
      <c r="N2854" s="330"/>
      <c r="O2854" s="250"/>
      <c r="P2854" s="249"/>
      <c r="Q2854" s="330"/>
      <c r="R2854" s="250"/>
      <c r="S2854" s="249"/>
      <c r="T2854" s="330"/>
      <c r="U2854" s="250"/>
      <c r="V2854" s="249"/>
      <c r="W2854" s="330"/>
      <c r="X2854" s="343"/>
      <c r="Y2854" s="249"/>
      <c r="Z2854" s="330"/>
      <c r="AA2854" s="343"/>
      <c r="AB2854" s="249"/>
      <c r="AC2854" s="330"/>
      <c r="AD2854" s="343"/>
      <c r="AE2854" s="249"/>
      <c r="AF2854" s="330"/>
      <c r="AG2854" s="343"/>
      <c r="AH2854" s="249"/>
      <c r="AI2854" s="330"/>
      <c r="AJ2854" s="343"/>
      <c r="AK2854" s="249"/>
      <c r="AL2854" s="330"/>
      <c r="AM2854" s="343"/>
      <c r="AN2854" s="249"/>
      <c r="AO2854" s="330"/>
      <c r="AP2854" s="343"/>
      <c r="AQ2854" s="249"/>
      <c r="AR2854" s="330"/>
      <c r="AS2854" s="343"/>
      <c r="AT2854" s="249"/>
      <c r="AU2854" s="330"/>
    </row>
    <row r="2855" spans="2:47">
      <c r="B2855" s="247">
        <f>'Table S2 Compound Identifiers'!C2857</f>
        <v>0</v>
      </c>
      <c r="C2855" s="247">
        <f>COUNTIF($D$6:D2855,"&lt;&gt;"&amp;"")</f>
        <v>2850</v>
      </c>
      <c r="D2855" s="247">
        <f>'Table S2 Compound Identifiers'!B2857</f>
        <v>0</v>
      </c>
      <c r="E2855" s="247"/>
      <c r="F2855" s="248"/>
      <c r="G2855" s="249"/>
      <c r="H2855" s="330"/>
      <c r="I2855" s="328"/>
      <c r="J2855" s="249"/>
      <c r="K2855" s="330"/>
      <c r="L2855" s="250"/>
      <c r="M2855" s="249"/>
      <c r="N2855" s="330"/>
      <c r="O2855" s="250"/>
      <c r="P2855" s="249"/>
      <c r="Q2855" s="330"/>
      <c r="R2855" s="250"/>
      <c r="S2855" s="249"/>
      <c r="T2855" s="330"/>
      <c r="U2855" s="250"/>
      <c r="V2855" s="249"/>
      <c r="W2855" s="330"/>
      <c r="X2855" s="343"/>
      <c r="Y2855" s="249"/>
      <c r="Z2855" s="330"/>
      <c r="AA2855" s="343"/>
      <c r="AB2855" s="249"/>
      <c r="AC2855" s="330"/>
      <c r="AD2855" s="343"/>
      <c r="AE2855" s="249"/>
      <c r="AF2855" s="330"/>
      <c r="AG2855" s="343"/>
      <c r="AH2855" s="249"/>
      <c r="AI2855" s="330"/>
      <c r="AJ2855" s="343"/>
      <c r="AK2855" s="249"/>
      <c r="AL2855" s="330"/>
      <c r="AM2855" s="343"/>
      <c r="AN2855" s="249"/>
      <c r="AO2855" s="330"/>
      <c r="AP2855" s="343"/>
      <c r="AQ2855" s="249"/>
      <c r="AR2855" s="330"/>
      <c r="AS2855" s="343"/>
      <c r="AT2855" s="249"/>
      <c r="AU2855" s="330"/>
    </row>
    <row r="2856" spans="2:47">
      <c r="B2856" s="247">
        <f>'Table S2 Compound Identifiers'!C2858</f>
        <v>0</v>
      </c>
      <c r="C2856" s="247">
        <f>COUNTIF($D$6:D2856,"&lt;&gt;"&amp;"")</f>
        <v>2851</v>
      </c>
      <c r="D2856" s="247">
        <f>'Table S2 Compound Identifiers'!B2858</f>
        <v>0</v>
      </c>
      <c r="E2856" s="247"/>
      <c r="F2856" s="248"/>
      <c r="G2856" s="249"/>
      <c r="H2856" s="330"/>
      <c r="I2856" s="328"/>
      <c r="J2856" s="249"/>
      <c r="K2856" s="330"/>
      <c r="L2856" s="250"/>
      <c r="M2856" s="249"/>
      <c r="N2856" s="330"/>
      <c r="O2856" s="250"/>
      <c r="P2856" s="249"/>
      <c r="Q2856" s="330"/>
      <c r="R2856" s="250"/>
      <c r="S2856" s="249"/>
      <c r="T2856" s="330"/>
      <c r="U2856" s="250"/>
      <c r="V2856" s="249"/>
      <c r="W2856" s="330"/>
      <c r="X2856" s="343"/>
      <c r="Y2856" s="249"/>
      <c r="Z2856" s="330"/>
      <c r="AA2856" s="343"/>
      <c r="AB2856" s="249"/>
      <c r="AC2856" s="330"/>
      <c r="AD2856" s="343"/>
      <c r="AE2856" s="249"/>
      <c r="AF2856" s="330"/>
      <c r="AG2856" s="343"/>
      <c r="AH2856" s="249"/>
      <c r="AI2856" s="330"/>
      <c r="AJ2856" s="343"/>
      <c r="AK2856" s="249"/>
      <c r="AL2856" s="330"/>
      <c r="AM2856" s="343"/>
      <c r="AN2856" s="249"/>
      <c r="AO2856" s="330"/>
      <c r="AP2856" s="343"/>
      <c r="AQ2856" s="249"/>
      <c r="AR2856" s="330"/>
      <c r="AS2856" s="343"/>
      <c r="AT2856" s="249"/>
      <c r="AU2856" s="330"/>
    </row>
    <row r="2857" spans="2:47">
      <c r="B2857" s="247">
        <f>'Table S2 Compound Identifiers'!C2859</f>
        <v>0</v>
      </c>
      <c r="C2857" s="247">
        <f>COUNTIF($D$6:D2857,"&lt;&gt;"&amp;"")</f>
        <v>2852</v>
      </c>
      <c r="D2857" s="247">
        <f>'Table S2 Compound Identifiers'!B2859</f>
        <v>0</v>
      </c>
      <c r="E2857" s="247"/>
      <c r="F2857" s="248"/>
      <c r="G2857" s="249"/>
      <c r="H2857" s="330"/>
      <c r="I2857" s="328"/>
      <c r="J2857" s="249"/>
      <c r="K2857" s="330"/>
      <c r="L2857" s="250"/>
      <c r="M2857" s="249"/>
      <c r="N2857" s="330"/>
      <c r="O2857" s="250"/>
      <c r="P2857" s="249"/>
      <c r="Q2857" s="330"/>
      <c r="R2857" s="250"/>
      <c r="S2857" s="249"/>
      <c r="T2857" s="330"/>
      <c r="U2857" s="250"/>
      <c r="V2857" s="249"/>
      <c r="W2857" s="330"/>
      <c r="X2857" s="343"/>
      <c r="Y2857" s="249"/>
      <c r="Z2857" s="330"/>
      <c r="AA2857" s="343"/>
      <c r="AB2857" s="249"/>
      <c r="AC2857" s="330"/>
      <c r="AD2857" s="343"/>
      <c r="AE2857" s="249"/>
      <c r="AF2857" s="330"/>
      <c r="AG2857" s="343"/>
      <c r="AH2857" s="249"/>
      <c r="AI2857" s="330"/>
      <c r="AJ2857" s="343"/>
      <c r="AK2857" s="249"/>
      <c r="AL2857" s="330"/>
      <c r="AM2857" s="343"/>
      <c r="AN2857" s="249"/>
      <c r="AO2857" s="330"/>
      <c r="AP2857" s="343"/>
      <c r="AQ2857" s="249"/>
      <c r="AR2857" s="330"/>
      <c r="AS2857" s="343"/>
      <c r="AT2857" s="249"/>
      <c r="AU2857" s="330"/>
    </row>
    <row r="2858" spans="2:47">
      <c r="B2858" s="247">
        <f>'Table S2 Compound Identifiers'!C2860</f>
        <v>0</v>
      </c>
      <c r="C2858" s="247">
        <f>COUNTIF($D$6:D2858,"&lt;&gt;"&amp;"")</f>
        <v>2853</v>
      </c>
      <c r="D2858" s="247">
        <f>'Table S2 Compound Identifiers'!B2860</f>
        <v>0</v>
      </c>
      <c r="E2858" s="247"/>
      <c r="F2858" s="248"/>
      <c r="G2858" s="249"/>
      <c r="H2858" s="330"/>
      <c r="I2858" s="328"/>
      <c r="J2858" s="249"/>
      <c r="K2858" s="330"/>
      <c r="L2858" s="250"/>
      <c r="M2858" s="249"/>
      <c r="N2858" s="330"/>
      <c r="O2858" s="250"/>
      <c r="P2858" s="249"/>
      <c r="Q2858" s="330"/>
      <c r="R2858" s="250"/>
      <c r="S2858" s="249"/>
      <c r="T2858" s="330"/>
      <c r="U2858" s="250"/>
      <c r="V2858" s="249"/>
      <c r="W2858" s="330"/>
      <c r="X2858" s="343"/>
      <c r="Y2858" s="249"/>
      <c r="Z2858" s="330"/>
      <c r="AA2858" s="343"/>
      <c r="AB2858" s="249"/>
      <c r="AC2858" s="330"/>
      <c r="AD2858" s="343"/>
      <c r="AE2858" s="249"/>
      <c r="AF2858" s="330"/>
      <c r="AG2858" s="343"/>
      <c r="AH2858" s="249"/>
      <c r="AI2858" s="330"/>
      <c r="AJ2858" s="343"/>
      <c r="AK2858" s="249"/>
      <c r="AL2858" s="330"/>
      <c r="AM2858" s="343"/>
      <c r="AN2858" s="249"/>
      <c r="AO2858" s="330"/>
      <c r="AP2858" s="343"/>
      <c r="AQ2858" s="249"/>
      <c r="AR2858" s="330"/>
      <c r="AS2858" s="343"/>
      <c r="AT2858" s="249"/>
      <c r="AU2858" s="330"/>
    </row>
    <row r="2859" spans="2:47">
      <c r="B2859" s="247">
        <f>'Table S2 Compound Identifiers'!C2861</f>
        <v>0</v>
      </c>
      <c r="C2859" s="247">
        <f>COUNTIF($D$6:D2859,"&lt;&gt;"&amp;"")</f>
        <v>2854</v>
      </c>
      <c r="D2859" s="247">
        <f>'Table S2 Compound Identifiers'!B2861</f>
        <v>0</v>
      </c>
      <c r="E2859" s="247"/>
      <c r="F2859" s="248"/>
      <c r="G2859" s="249"/>
      <c r="H2859" s="330"/>
      <c r="I2859" s="328"/>
      <c r="J2859" s="249"/>
      <c r="K2859" s="330"/>
      <c r="L2859" s="250"/>
      <c r="M2859" s="249"/>
      <c r="N2859" s="330"/>
      <c r="O2859" s="250"/>
      <c r="P2859" s="249"/>
      <c r="Q2859" s="330"/>
      <c r="R2859" s="250"/>
      <c r="S2859" s="249"/>
      <c r="T2859" s="330"/>
      <c r="U2859" s="250"/>
      <c r="V2859" s="249"/>
      <c r="W2859" s="330"/>
      <c r="X2859" s="343"/>
      <c r="Y2859" s="249"/>
      <c r="Z2859" s="330"/>
      <c r="AA2859" s="343"/>
      <c r="AB2859" s="249"/>
      <c r="AC2859" s="330"/>
      <c r="AD2859" s="343"/>
      <c r="AE2859" s="249"/>
      <c r="AF2859" s="330"/>
      <c r="AG2859" s="343"/>
      <c r="AH2859" s="249"/>
      <c r="AI2859" s="330"/>
      <c r="AJ2859" s="343"/>
      <c r="AK2859" s="249"/>
      <c r="AL2859" s="330"/>
      <c r="AM2859" s="343"/>
      <c r="AN2859" s="249"/>
      <c r="AO2859" s="330"/>
      <c r="AP2859" s="343"/>
      <c r="AQ2859" s="249"/>
      <c r="AR2859" s="330"/>
      <c r="AS2859" s="343"/>
      <c r="AT2859" s="249"/>
      <c r="AU2859" s="330"/>
    </row>
    <row r="2860" spans="2:47">
      <c r="B2860" s="247">
        <f>'Table S2 Compound Identifiers'!C2862</f>
        <v>0</v>
      </c>
      <c r="C2860" s="247">
        <f>COUNTIF($D$6:D2860,"&lt;&gt;"&amp;"")</f>
        <v>2855</v>
      </c>
      <c r="D2860" s="247">
        <f>'Table S2 Compound Identifiers'!B2862</f>
        <v>0</v>
      </c>
      <c r="E2860" s="247"/>
      <c r="F2860" s="248"/>
      <c r="G2860" s="249"/>
      <c r="H2860" s="330"/>
      <c r="I2860" s="328"/>
      <c r="J2860" s="249"/>
      <c r="K2860" s="330"/>
      <c r="L2860" s="250"/>
      <c r="M2860" s="249"/>
      <c r="N2860" s="330"/>
      <c r="O2860" s="250"/>
      <c r="P2860" s="249"/>
      <c r="Q2860" s="330"/>
      <c r="R2860" s="250"/>
      <c r="S2860" s="249"/>
      <c r="T2860" s="330"/>
      <c r="U2860" s="250"/>
      <c r="V2860" s="249"/>
      <c r="W2860" s="330"/>
      <c r="X2860" s="343"/>
      <c r="Y2860" s="249"/>
      <c r="Z2860" s="330"/>
      <c r="AA2860" s="343"/>
      <c r="AB2860" s="249"/>
      <c r="AC2860" s="330"/>
      <c r="AD2860" s="343"/>
      <c r="AE2860" s="249"/>
      <c r="AF2860" s="330"/>
      <c r="AG2860" s="343"/>
      <c r="AH2860" s="249"/>
      <c r="AI2860" s="330"/>
      <c r="AJ2860" s="343"/>
      <c r="AK2860" s="249"/>
      <c r="AL2860" s="330"/>
      <c r="AM2860" s="343"/>
      <c r="AN2860" s="249"/>
      <c r="AO2860" s="330"/>
      <c r="AP2860" s="343"/>
      <c r="AQ2860" s="249"/>
      <c r="AR2860" s="330"/>
      <c r="AS2860" s="343"/>
      <c r="AT2860" s="249"/>
      <c r="AU2860" s="330"/>
    </row>
    <row r="2861" spans="2:47">
      <c r="B2861" s="247">
        <f>'Table S2 Compound Identifiers'!C2863</f>
        <v>0</v>
      </c>
      <c r="C2861" s="247">
        <f>COUNTIF($D$6:D2861,"&lt;&gt;"&amp;"")</f>
        <v>2856</v>
      </c>
      <c r="D2861" s="247">
        <f>'Table S2 Compound Identifiers'!B2863</f>
        <v>0</v>
      </c>
      <c r="E2861" s="247"/>
      <c r="F2861" s="248"/>
      <c r="G2861" s="249"/>
      <c r="H2861" s="330"/>
      <c r="I2861" s="328"/>
      <c r="J2861" s="249"/>
      <c r="K2861" s="330"/>
      <c r="L2861" s="250"/>
      <c r="M2861" s="249"/>
      <c r="N2861" s="330"/>
      <c r="O2861" s="250"/>
      <c r="P2861" s="249"/>
      <c r="Q2861" s="330"/>
      <c r="R2861" s="250"/>
      <c r="S2861" s="249"/>
      <c r="T2861" s="330"/>
      <c r="U2861" s="250"/>
      <c r="V2861" s="249"/>
      <c r="W2861" s="330"/>
      <c r="X2861" s="343"/>
      <c r="Y2861" s="249"/>
      <c r="Z2861" s="330"/>
      <c r="AA2861" s="343"/>
      <c r="AB2861" s="249"/>
      <c r="AC2861" s="330"/>
      <c r="AD2861" s="343"/>
      <c r="AE2861" s="249"/>
      <c r="AF2861" s="330"/>
      <c r="AG2861" s="343"/>
      <c r="AH2861" s="249"/>
      <c r="AI2861" s="330"/>
      <c r="AJ2861" s="343"/>
      <c r="AK2861" s="249"/>
      <c r="AL2861" s="330"/>
      <c r="AM2861" s="343"/>
      <c r="AN2861" s="249"/>
      <c r="AO2861" s="330"/>
      <c r="AP2861" s="343"/>
      <c r="AQ2861" s="249"/>
      <c r="AR2861" s="330"/>
      <c r="AS2861" s="343"/>
      <c r="AT2861" s="249"/>
      <c r="AU2861" s="330"/>
    </row>
    <row r="2862" spans="2:47">
      <c r="B2862" s="247">
        <f>'Table S2 Compound Identifiers'!C2864</f>
        <v>0</v>
      </c>
      <c r="C2862" s="247">
        <f>COUNTIF($D$6:D2862,"&lt;&gt;"&amp;"")</f>
        <v>2857</v>
      </c>
      <c r="D2862" s="247">
        <f>'Table S2 Compound Identifiers'!B2864</f>
        <v>0</v>
      </c>
      <c r="E2862" s="247"/>
      <c r="F2862" s="248"/>
      <c r="G2862" s="249"/>
      <c r="H2862" s="330"/>
      <c r="I2862" s="328"/>
      <c r="J2862" s="249"/>
      <c r="K2862" s="330"/>
      <c r="L2862" s="250"/>
      <c r="M2862" s="249"/>
      <c r="N2862" s="330"/>
      <c r="O2862" s="250"/>
      <c r="P2862" s="249"/>
      <c r="Q2862" s="330"/>
      <c r="R2862" s="250"/>
      <c r="S2862" s="249"/>
      <c r="T2862" s="330"/>
      <c r="U2862" s="250"/>
      <c r="V2862" s="249"/>
      <c r="W2862" s="330"/>
      <c r="X2862" s="343"/>
      <c r="Y2862" s="249"/>
      <c r="Z2862" s="330"/>
      <c r="AA2862" s="343"/>
      <c r="AB2862" s="249"/>
      <c r="AC2862" s="330"/>
      <c r="AD2862" s="343"/>
      <c r="AE2862" s="249"/>
      <c r="AF2862" s="330"/>
      <c r="AG2862" s="343"/>
      <c r="AH2862" s="249"/>
      <c r="AI2862" s="330"/>
      <c r="AJ2862" s="343"/>
      <c r="AK2862" s="249"/>
      <c r="AL2862" s="330"/>
      <c r="AM2862" s="343"/>
      <c r="AN2862" s="249"/>
      <c r="AO2862" s="330"/>
      <c r="AP2862" s="343"/>
      <c r="AQ2862" s="249"/>
      <c r="AR2862" s="330"/>
      <c r="AS2862" s="343"/>
      <c r="AT2862" s="249"/>
      <c r="AU2862" s="330"/>
    </row>
    <row r="2863" spans="2:47">
      <c r="B2863" s="247">
        <f>'Table S2 Compound Identifiers'!C2865</f>
        <v>0</v>
      </c>
      <c r="C2863" s="247">
        <f>COUNTIF($D$6:D2863,"&lt;&gt;"&amp;"")</f>
        <v>2858</v>
      </c>
      <c r="D2863" s="247">
        <f>'Table S2 Compound Identifiers'!B2865</f>
        <v>0</v>
      </c>
      <c r="E2863" s="247"/>
      <c r="F2863" s="248"/>
      <c r="G2863" s="249"/>
      <c r="H2863" s="330"/>
      <c r="I2863" s="328"/>
      <c r="J2863" s="249"/>
      <c r="K2863" s="330"/>
      <c r="L2863" s="250"/>
      <c r="M2863" s="249"/>
      <c r="N2863" s="330"/>
      <c r="O2863" s="250"/>
      <c r="P2863" s="249"/>
      <c r="Q2863" s="330"/>
      <c r="R2863" s="250"/>
      <c r="S2863" s="249"/>
      <c r="T2863" s="330"/>
      <c r="U2863" s="250"/>
      <c r="V2863" s="249"/>
      <c r="W2863" s="330"/>
      <c r="X2863" s="343"/>
      <c r="Y2863" s="249"/>
      <c r="Z2863" s="330"/>
      <c r="AA2863" s="343"/>
      <c r="AB2863" s="249"/>
      <c r="AC2863" s="330"/>
      <c r="AD2863" s="343"/>
      <c r="AE2863" s="249"/>
      <c r="AF2863" s="330"/>
      <c r="AG2863" s="343"/>
      <c r="AH2863" s="249"/>
      <c r="AI2863" s="330"/>
      <c r="AJ2863" s="343"/>
      <c r="AK2863" s="249"/>
      <c r="AL2863" s="330"/>
      <c r="AM2863" s="343"/>
      <c r="AN2863" s="249"/>
      <c r="AO2863" s="330"/>
      <c r="AP2863" s="343"/>
      <c r="AQ2863" s="249"/>
      <c r="AR2863" s="330"/>
      <c r="AS2863" s="343"/>
      <c r="AT2863" s="249"/>
      <c r="AU2863" s="330"/>
    </row>
    <row r="2864" spans="2:47">
      <c r="B2864" s="247">
        <f>'Table S2 Compound Identifiers'!C2866</f>
        <v>0</v>
      </c>
      <c r="C2864" s="247">
        <f>COUNTIF($D$6:D2864,"&lt;&gt;"&amp;"")</f>
        <v>2859</v>
      </c>
      <c r="D2864" s="247">
        <f>'Table S2 Compound Identifiers'!B2866</f>
        <v>0</v>
      </c>
      <c r="E2864" s="247"/>
      <c r="F2864" s="248"/>
      <c r="G2864" s="249"/>
      <c r="H2864" s="330"/>
      <c r="I2864" s="328"/>
      <c r="J2864" s="249"/>
      <c r="K2864" s="330"/>
      <c r="L2864" s="250"/>
      <c r="M2864" s="249"/>
      <c r="N2864" s="330"/>
      <c r="O2864" s="250"/>
      <c r="P2864" s="249"/>
      <c r="Q2864" s="330"/>
      <c r="R2864" s="250"/>
      <c r="S2864" s="249"/>
      <c r="T2864" s="330"/>
      <c r="U2864" s="250"/>
      <c r="V2864" s="249"/>
      <c r="W2864" s="330"/>
      <c r="X2864" s="343"/>
      <c r="Y2864" s="249"/>
      <c r="Z2864" s="330"/>
      <c r="AA2864" s="343"/>
      <c r="AB2864" s="249"/>
      <c r="AC2864" s="330"/>
      <c r="AD2864" s="343"/>
      <c r="AE2864" s="249"/>
      <c r="AF2864" s="330"/>
      <c r="AG2864" s="343"/>
      <c r="AH2864" s="249"/>
      <c r="AI2864" s="330"/>
      <c r="AJ2864" s="343"/>
      <c r="AK2864" s="249"/>
      <c r="AL2864" s="330"/>
      <c r="AM2864" s="343"/>
      <c r="AN2864" s="249"/>
      <c r="AO2864" s="330"/>
      <c r="AP2864" s="343"/>
      <c r="AQ2864" s="249"/>
      <c r="AR2864" s="330"/>
      <c r="AS2864" s="343"/>
      <c r="AT2864" s="249"/>
      <c r="AU2864" s="330"/>
    </row>
    <row r="2865" spans="2:47">
      <c r="B2865" s="247">
        <f>'Table S2 Compound Identifiers'!C2867</f>
        <v>0</v>
      </c>
      <c r="C2865" s="247">
        <f>COUNTIF($D$6:D2865,"&lt;&gt;"&amp;"")</f>
        <v>2860</v>
      </c>
      <c r="D2865" s="247">
        <f>'Table S2 Compound Identifiers'!B2867</f>
        <v>0</v>
      </c>
      <c r="E2865" s="247"/>
      <c r="F2865" s="248"/>
      <c r="G2865" s="249"/>
      <c r="H2865" s="330"/>
      <c r="I2865" s="328"/>
      <c r="J2865" s="249"/>
      <c r="K2865" s="330"/>
      <c r="L2865" s="250"/>
      <c r="M2865" s="249"/>
      <c r="N2865" s="330"/>
      <c r="O2865" s="250"/>
      <c r="P2865" s="249"/>
      <c r="Q2865" s="330"/>
      <c r="R2865" s="250"/>
      <c r="S2865" s="249"/>
      <c r="T2865" s="330"/>
      <c r="U2865" s="250"/>
      <c r="V2865" s="249"/>
      <c r="W2865" s="330"/>
      <c r="X2865" s="343"/>
      <c r="Y2865" s="249"/>
      <c r="Z2865" s="330"/>
      <c r="AA2865" s="343"/>
      <c r="AB2865" s="249"/>
      <c r="AC2865" s="330"/>
      <c r="AD2865" s="343"/>
      <c r="AE2865" s="249"/>
      <c r="AF2865" s="330"/>
      <c r="AG2865" s="343"/>
      <c r="AH2865" s="249"/>
      <c r="AI2865" s="330"/>
      <c r="AJ2865" s="343"/>
      <c r="AK2865" s="249"/>
      <c r="AL2865" s="330"/>
      <c r="AM2865" s="343"/>
      <c r="AN2865" s="249"/>
      <c r="AO2865" s="330"/>
      <c r="AP2865" s="343"/>
      <c r="AQ2865" s="249"/>
      <c r="AR2865" s="330"/>
      <c r="AS2865" s="343"/>
      <c r="AT2865" s="249"/>
      <c r="AU2865" s="330"/>
    </row>
    <row r="2866" spans="2:47">
      <c r="B2866" s="247">
        <f>'Table S2 Compound Identifiers'!C2868</f>
        <v>0</v>
      </c>
      <c r="C2866" s="247">
        <f>COUNTIF($D$6:D2866,"&lt;&gt;"&amp;"")</f>
        <v>2861</v>
      </c>
      <c r="D2866" s="247">
        <f>'Table S2 Compound Identifiers'!B2868</f>
        <v>0</v>
      </c>
      <c r="E2866" s="247"/>
      <c r="F2866" s="248"/>
      <c r="G2866" s="249"/>
      <c r="H2866" s="330"/>
      <c r="I2866" s="328"/>
      <c r="J2866" s="249"/>
      <c r="K2866" s="330"/>
      <c r="L2866" s="250"/>
      <c r="M2866" s="249"/>
      <c r="N2866" s="330"/>
      <c r="O2866" s="250"/>
      <c r="P2866" s="249"/>
      <c r="Q2866" s="330"/>
      <c r="R2866" s="250"/>
      <c r="S2866" s="249"/>
      <c r="T2866" s="330"/>
      <c r="U2866" s="250"/>
      <c r="V2866" s="249"/>
      <c r="W2866" s="330"/>
      <c r="X2866" s="343"/>
      <c r="Y2866" s="249"/>
      <c r="Z2866" s="330"/>
      <c r="AA2866" s="343"/>
      <c r="AB2866" s="249"/>
      <c r="AC2866" s="330"/>
      <c r="AD2866" s="343"/>
      <c r="AE2866" s="249"/>
      <c r="AF2866" s="330"/>
      <c r="AG2866" s="343"/>
      <c r="AH2866" s="249"/>
      <c r="AI2866" s="330"/>
      <c r="AJ2866" s="343"/>
      <c r="AK2866" s="249"/>
      <c r="AL2866" s="330"/>
      <c r="AM2866" s="343"/>
      <c r="AN2866" s="249"/>
      <c r="AO2866" s="330"/>
      <c r="AP2866" s="343"/>
      <c r="AQ2866" s="249"/>
      <c r="AR2866" s="330"/>
      <c r="AS2866" s="343"/>
      <c r="AT2866" s="249"/>
      <c r="AU2866" s="330"/>
    </row>
    <row r="2867" spans="2:47">
      <c r="B2867" s="247">
        <f>'Table S2 Compound Identifiers'!C2869</f>
        <v>0</v>
      </c>
      <c r="C2867" s="247">
        <f>COUNTIF($D$6:D2867,"&lt;&gt;"&amp;"")</f>
        <v>2862</v>
      </c>
      <c r="D2867" s="247">
        <f>'Table S2 Compound Identifiers'!B2869</f>
        <v>0</v>
      </c>
      <c r="E2867" s="247"/>
      <c r="F2867" s="248"/>
      <c r="G2867" s="249"/>
      <c r="H2867" s="330"/>
      <c r="I2867" s="328"/>
      <c r="J2867" s="249"/>
      <c r="K2867" s="330"/>
      <c r="L2867" s="250"/>
      <c r="M2867" s="249"/>
      <c r="N2867" s="330"/>
      <c r="O2867" s="250"/>
      <c r="P2867" s="249"/>
      <c r="Q2867" s="330"/>
      <c r="R2867" s="250"/>
      <c r="S2867" s="249"/>
      <c r="T2867" s="330"/>
      <c r="U2867" s="250"/>
      <c r="V2867" s="249"/>
      <c r="W2867" s="330"/>
      <c r="X2867" s="343"/>
      <c r="Y2867" s="249"/>
      <c r="Z2867" s="330"/>
      <c r="AA2867" s="343"/>
      <c r="AB2867" s="249"/>
      <c r="AC2867" s="330"/>
      <c r="AD2867" s="343"/>
      <c r="AE2867" s="249"/>
      <c r="AF2867" s="330"/>
      <c r="AG2867" s="343"/>
      <c r="AH2867" s="249"/>
      <c r="AI2867" s="330"/>
      <c r="AJ2867" s="343"/>
      <c r="AK2867" s="249"/>
      <c r="AL2867" s="330"/>
      <c r="AM2867" s="343"/>
      <c r="AN2867" s="249"/>
      <c r="AO2867" s="330"/>
      <c r="AP2867" s="343"/>
      <c r="AQ2867" s="249"/>
      <c r="AR2867" s="330"/>
      <c r="AS2867" s="343"/>
      <c r="AT2867" s="249"/>
      <c r="AU2867" s="330"/>
    </row>
    <row r="2868" spans="2:47">
      <c r="B2868" s="247">
        <f>'Table S2 Compound Identifiers'!C2870</f>
        <v>0</v>
      </c>
      <c r="C2868" s="247">
        <f>COUNTIF($D$6:D2868,"&lt;&gt;"&amp;"")</f>
        <v>2863</v>
      </c>
      <c r="D2868" s="247">
        <f>'Table S2 Compound Identifiers'!B2870</f>
        <v>0</v>
      </c>
      <c r="E2868" s="247"/>
      <c r="F2868" s="248"/>
      <c r="G2868" s="249"/>
      <c r="H2868" s="330"/>
      <c r="I2868" s="328"/>
      <c r="J2868" s="249"/>
      <c r="K2868" s="330"/>
      <c r="L2868" s="250"/>
      <c r="M2868" s="249"/>
      <c r="N2868" s="330"/>
      <c r="O2868" s="250"/>
      <c r="P2868" s="249"/>
      <c r="Q2868" s="330"/>
      <c r="R2868" s="250"/>
      <c r="S2868" s="249"/>
      <c r="T2868" s="330"/>
      <c r="U2868" s="250"/>
      <c r="V2868" s="249"/>
      <c r="W2868" s="330"/>
      <c r="X2868" s="343"/>
      <c r="Y2868" s="249"/>
      <c r="Z2868" s="330"/>
      <c r="AA2868" s="343"/>
      <c r="AB2868" s="249"/>
      <c r="AC2868" s="330"/>
      <c r="AD2868" s="343"/>
      <c r="AE2868" s="249"/>
      <c r="AF2868" s="330"/>
      <c r="AG2868" s="343"/>
      <c r="AH2868" s="249"/>
      <c r="AI2868" s="330"/>
      <c r="AJ2868" s="343"/>
      <c r="AK2868" s="249"/>
      <c r="AL2868" s="330"/>
      <c r="AM2868" s="343"/>
      <c r="AN2868" s="249"/>
      <c r="AO2868" s="330"/>
      <c r="AP2868" s="343"/>
      <c r="AQ2868" s="249"/>
      <c r="AR2868" s="330"/>
      <c r="AS2868" s="343"/>
      <c r="AT2868" s="249"/>
      <c r="AU2868" s="330"/>
    </row>
    <row r="2869" spans="2:47">
      <c r="B2869" s="247">
        <f>'Table S2 Compound Identifiers'!C2871</f>
        <v>0</v>
      </c>
      <c r="C2869" s="247">
        <f>COUNTIF($D$6:D2869,"&lt;&gt;"&amp;"")</f>
        <v>2864</v>
      </c>
      <c r="D2869" s="247">
        <f>'Table S2 Compound Identifiers'!B2871</f>
        <v>0</v>
      </c>
      <c r="E2869" s="247"/>
      <c r="F2869" s="248"/>
      <c r="G2869" s="249"/>
      <c r="H2869" s="330"/>
      <c r="I2869" s="328"/>
      <c r="J2869" s="249"/>
      <c r="K2869" s="330"/>
      <c r="L2869" s="250"/>
      <c r="M2869" s="249"/>
      <c r="N2869" s="330"/>
      <c r="O2869" s="250"/>
      <c r="P2869" s="249"/>
      <c r="Q2869" s="330"/>
      <c r="R2869" s="250"/>
      <c r="S2869" s="249"/>
      <c r="T2869" s="330"/>
      <c r="U2869" s="250"/>
      <c r="V2869" s="249"/>
      <c r="W2869" s="330"/>
      <c r="X2869" s="343"/>
      <c r="Y2869" s="249"/>
      <c r="Z2869" s="330"/>
      <c r="AA2869" s="343"/>
      <c r="AB2869" s="249"/>
      <c r="AC2869" s="330"/>
      <c r="AD2869" s="343"/>
      <c r="AE2869" s="249"/>
      <c r="AF2869" s="330"/>
      <c r="AG2869" s="343"/>
      <c r="AH2869" s="249"/>
      <c r="AI2869" s="330"/>
      <c r="AJ2869" s="343"/>
      <c r="AK2869" s="249"/>
      <c r="AL2869" s="330"/>
      <c r="AM2869" s="343"/>
      <c r="AN2869" s="249"/>
      <c r="AO2869" s="330"/>
      <c r="AP2869" s="343"/>
      <c r="AQ2869" s="249"/>
      <c r="AR2869" s="330"/>
      <c r="AS2869" s="343"/>
      <c r="AT2869" s="249"/>
      <c r="AU2869" s="330"/>
    </row>
    <row r="2870" spans="2:47">
      <c r="B2870" s="247">
        <f>'Table S2 Compound Identifiers'!C2872</f>
        <v>0</v>
      </c>
      <c r="C2870" s="247">
        <f>COUNTIF($D$6:D2870,"&lt;&gt;"&amp;"")</f>
        <v>2865</v>
      </c>
      <c r="D2870" s="247">
        <f>'Table S2 Compound Identifiers'!B2872</f>
        <v>0</v>
      </c>
      <c r="E2870" s="247"/>
      <c r="F2870" s="248"/>
      <c r="G2870" s="249"/>
      <c r="H2870" s="330"/>
      <c r="I2870" s="328"/>
      <c r="J2870" s="249"/>
      <c r="K2870" s="330"/>
      <c r="L2870" s="250"/>
      <c r="M2870" s="249"/>
      <c r="N2870" s="330"/>
      <c r="O2870" s="250"/>
      <c r="P2870" s="249"/>
      <c r="Q2870" s="330"/>
      <c r="R2870" s="250"/>
      <c r="S2870" s="249"/>
      <c r="T2870" s="330"/>
      <c r="U2870" s="250"/>
      <c r="V2870" s="249"/>
      <c r="W2870" s="330"/>
      <c r="X2870" s="343"/>
      <c r="Y2870" s="249"/>
      <c r="Z2870" s="330"/>
      <c r="AA2870" s="343"/>
      <c r="AB2870" s="249"/>
      <c r="AC2870" s="330"/>
      <c r="AD2870" s="343"/>
      <c r="AE2870" s="249"/>
      <c r="AF2870" s="330"/>
      <c r="AG2870" s="343"/>
      <c r="AH2870" s="249"/>
      <c r="AI2870" s="330"/>
      <c r="AJ2870" s="343"/>
      <c r="AK2870" s="249"/>
      <c r="AL2870" s="330"/>
      <c r="AM2870" s="343"/>
      <c r="AN2870" s="249"/>
      <c r="AO2870" s="330"/>
      <c r="AP2870" s="343"/>
      <c r="AQ2870" s="249"/>
      <c r="AR2870" s="330"/>
      <c r="AS2870" s="343"/>
      <c r="AT2870" s="249"/>
      <c r="AU2870" s="330"/>
    </row>
    <row r="2871" spans="2:47">
      <c r="B2871" s="247">
        <f>'Table S2 Compound Identifiers'!C2873</f>
        <v>0</v>
      </c>
      <c r="C2871" s="247">
        <f>COUNTIF($D$6:D2871,"&lt;&gt;"&amp;"")</f>
        <v>2866</v>
      </c>
      <c r="D2871" s="247">
        <f>'Table S2 Compound Identifiers'!B2873</f>
        <v>0</v>
      </c>
      <c r="E2871" s="247"/>
      <c r="F2871" s="248"/>
      <c r="G2871" s="249"/>
      <c r="H2871" s="330"/>
      <c r="I2871" s="328"/>
      <c r="J2871" s="249"/>
      <c r="K2871" s="330"/>
      <c r="L2871" s="250"/>
      <c r="M2871" s="249"/>
      <c r="N2871" s="330"/>
      <c r="O2871" s="250"/>
      <c r="P2871" s="249"/>
      <c r="Q2871" s="330"/>
      <c r="R2871" s="250"/>
      <c r="S2871" s="249"/>
      <c r="T2871" s="330"/>
      <c r="U2871" s="250"/>
      <c r="V2871" s="249"/>
      <c r="W2871" s="330"/>
      <c r="X2871" s="343"/>
      <c r="Y2871" s="249"/>
      <c r="Z2871" s="330"/>
      <c r="AA2871" s="343"/>
      <c r="AB2871" s="249"/>
      <c r="AC2871" s="330"/>
      <c r="AD2871" s="343"/>
      <c r="AE2871" s="249"/>
      <c r="AF2871" s="330"/>
      <c r="AG2871" s="343"/>
      <c r="AH2871" s="249"/>
      <c r="AI2871" s="330"/>
      <c r="AJ2871" s="343"/>
      <c r="AK2871" s="249"/>
      <c r="AL2871" s="330"/>
      <c r="AM2871" s="343"/>
      <c r="AN2871" s="249"/>
      <c r="AO2871" s="330"/>
      <c r="AP2871" s="343"/>
      <c r="AQ2871" s="249"/>
      <c r="AR2871" s="330"/>
      <c r="AS2871" s="343"/>
      <c r="AT2871" s="249"/>
      <c r="AU2871" s="330"/>
    </row>
    <row r="2872" spans="2:47">
      <c r="B2872" s="247">
        <f>'Table S2 Compound Identifiers'!C2874</f>
        <v>0</v>
      </c>
      <c r="C2872" s="247">
        <f>COUNTIF($D$6:D2872,"&lt;&gt;"&amp;"")</f>
        <v>2867</v>
      </c>
      <c r="D2872" s="247">
        <f>'Table S2 Compound Identifiers'!B2874</f>
        <v>0</v>
      </c>
      <c r="E2872" s="247"/>
      <c r="F2872" s="248"/>
      <c r="G2872" s="249"/>
      <c r="H2872" s="330"/>
      <c r="I2872" s="328"/>
      <c r="J2872" s="249"/>
      <c r="K2872" s="330"/>
      <c r="L2872" s="250"/>
      <c r="M2872" s="249"/>
      <c r="N2872" s="330"/>
      <c r="O2872" s="250"/>
      <c r="P2872" s="249"/>
      <c r="Q2872" s="330"/>
      <c r="R2872" s="250"/>
      <c r="S2872" s="249"/>
      <c r="T2872" s="330"/>
      <c r="U2872" s="250"/>
      <c r="V2872" s="249"/>
      <c r="W2872" s="330"/>
      <c r="X2872" s="343"/>
      <c r="Y2872" s="249"/>
      <c r="Z2872" s="330"/>
      <c r="AA2872" s="343"/>
      <c r="AB2872" s="249"/>
      <c r="AC2872" s="330"/>
      <c r="AD2872" s="343"/>
      <c r="AE2872" s="249"/>
      <c r="AF2872" s="330"/>
      <c r="AG2872" s="343"/>
      <c r="AH2872" s="249"/>
      <c r="AI2872" s="330"/>
      <c r="AJ2872" s="343"/>
      <c r="AK2872" s="249"/>
      <c r="AL2872" s="330"/>
      <c r="AM2872" s="343"/>
      <c r="AN2872" s="249"/>
      <c r="AO2872" s="330"/>
      <c r="AP2872" s="343"/>
      <c r="AQ2872" s="249"/>
      <c r="AR2872" s="330"/>
      <c r="AS2872" s="343"/>
      <c r="AT2872" s="249"/>
      <c r="AU2872" s="330"/>
    </row>
    <row r="2873" spans="2:47">
      <c r="B2873" s="247">
        <f>'Table S2 Compound Identifiers'!C2875</f>
        <v>0</v>
      </c>
      <c r="C2873" s="247">
        <f>COUNTIF($D$6:D2873,"&lt;&gt;"&amp;"")</f>
        <v>2868</v>
      </c>
      <c r="D2873" s="247">
        <f>'Table S2 Compound Identifiers'!B2875</f>
        <v>0</v>
      </c>
      <c r="E2873" s="247"/>
      <c r="F2873" s="248"/>
      <c r="G2873" s="249"/>
      <c r="H2873" s="330"/>
      <c r="I2873" s="328"/>
      <c r="J2873" s="249"/>
      <c r="K2873" s="330"/>
      <c r="L2873" s="250"/>
      <c r="M2873" s="249"/>
      <c r="N2873" s="330"/>
      <c r="O2873" s="250"/>
      <c r="P2873" s="249"/>
      <c r="Q2873" s="330"/>
      <c r="R2873" s="250"/>
      <c r="S2873" s="249"/>
      <c r="T2873" s="330"/>
      <c r="U2873" s="250"/>
      <c r="V2873" s="249"/>
      <c r="W2873" s="330"/>
      <c r="X2873" s="343"/>
      <c r="Y2873" s="249"/>
      <c r="Z2873" s="330"/>
      <c r="AA2873" s="343"/>
      <c r="AB2873" s="249"/>
      <c r="AC2873" s="330"/>
      <c r="AD2873" s="343"/>
      <c r="AE2873" s="249"/>
      <c r="AF2873" s="330"/>
      <c r="AG2873" s="343"/>
      <c r="AH2873" s="249"/>
      <c r="AI2873" s="330"/>
      <c r="AJ2873" s="343"/>
      <c r="AK2873" s="249"/>
      <c r="AL2873" s="330"/>
      <c r="AM2873" s="343"/>
      <c r="AN2873" s="249"/>
      <c r="AO2873" s="330"/>
      <c r="AP2873" s="343"/>
      <c r="AQ2873" s="249"/>
      <c r="AR2873" s="330"/>
      <c r="AS2873" s="343"/>
      <c r="AT2873" s="249"/>
      <c r="AU2873" s="330"/>
    </row>
    <row r="2874" spans="2:47">
      <c r="B2874" s="247">
        <f>'Table S2 Compound Identifiers'!C2876</f>
        <v>0</v>
      </c>
      <c r="C2874" s="247">
        <f>COUNTIF($D$6:D2874,"&lt;&gt;"&amp;"")</f>
        <v>2869</v>
      </c>
      <c r="D2874" s="432">
        <f>'Table S2 Compound Identifiers'!B2876</f>
        <v>0</v>
      </c>
      <c r="E2874" s="247"/>
      <c r="F2874" s="248"/>
      <c r="G2874" s="249"/>
      <c r="H2874" s="330"/>
      <c r="I2874" s="328"/>
      <c r="J2874" s="249"/>
      <c r="K2874" s="330"/>
      <c r="L2874" s="250"/>
      <c r="M2874" s="249"/>
      <c r="N2874" s="330"/>
      <c r="O2874" s="250"/>
      <c r="P2874" s="249"/>
      <c r="Q2874" s="330"/>
      <c r="R2874" s="250"/>
      <c r="S2874" s="249"/>
      <c r="T2874" s="330"/>
      <c r="U2874" s="250"/>
      <c r="V2874" s="249"/>
      <c r="W2874" s="330"/>
      <c r="X2874" s="343"/>
      <c r="Y2874" s="249"/>
      <c r="Z2874" s="330"/>
      <c r="AA2874" s="343"/>
      <c r="AB2874" s="249"/>
      <c r="AC2874" s="330"/>
      <c r="AD2874" s="343"/>
      <c r="AE2874" s="249"/>
      <c r="AF2874" s="330"/>
      <c r="AG2874" s="343"/>
      <c r="AH2874" s="249"/>
      <c r="AI2874" s="330"/>
      <c r="AJ2874" s="343"/>
      <c r="AK2874" s="249"/>
      <c r="AL2874" s="330"/>
      <c r="AM2874" s="343"/>
      <c r="AN2874" s="249"/>
      <c r="AO2874" s="330"/>
      <c r="AP2874" s="343"/>
      <c r="AQ2874" s="249"/>
      <c r="AR2874" s="330"/>
      <c r="AS2874" s="343"/>
      <c r="AT2874" s="249"/>
      <c r="AU2874" s="330"/>
    </row>
    <row r="2875" spans="2:47">
      <c r="B2875" s="247">
        <f>'Table S2 Compound Identifiers'!C2877</f>
        <v>0</v>
      </c>
      <c r="C2875" s="247">
        <f>COUNTIF($D$6:D2875,"&lt;&gt;"&amp;"")</f>
        <v>2870</v>
      </c>
      <c r="D2875" s="432">
        <f>'Table S2 Compound Identifiers'!B2877</f>
        <v>0</v>
      </c>
      <c r="E2875" s="247"/>
      <c r="F2875" s="248"/>
      <c r="G2875" s="249"/>
      <c r="H2875" s="330"/>
      <c r="I2875" s="328"/>
      <c r="J2875" s="249"/>
      <c r="K2875" s="330"/>
      <c r="L2875" s="250"/>
      <c r="M2875" s="249"/>
      <c r="N2875" s="330"/>
      <c r="O2875" s="250"/>
      <c r="P2875" s="249"/>
      <c r="Q2875" s="330"/>
      <c r="R2875" s="250"/>
      <c r="S2875" s="249"/>
      <c r="T2875" s="330"/>
      <c r="U2875" s="250"/>
      <c r="V2875" s="249"/>
      <c r="W2875" s="330"/>
      <c r="X2875" s="343"/>
      <c r="Y2875" s="249"/>
      <c r="Z2875" s="330"/>
      <c r="AA2875" s="343"/>
      <c r="AB2875" s="249"/>
      <c r="AC2875" s="330"/>
      <c r="AD2875" s="343"/>
      <c r="AE2875" s="249"/>
      <c r="AF2875" s="330"/>
      <c r="AG2875" s="343"/>
      <c r="AH2875" s="249"/>
      <c r="AI2875" s="330"/>
      <c r="AJ2875" s="343"/>
      <c r="AK2875" s="249"/>
      <c r="AL2875" s="330"/>
      <c r="AM2875" s="343"/>
      <c r="AN2875" s="249"/>
      <c r="AO2875" s="330"/>
      <c r="AP2875" s="343"/>
      <c r="AQ2875" s="249"/>
      <c r="AR2875" s="330"/>
      <c r="AS2875" s="343"/>
      <c r="AT2875" s="249"/>
      <c r="AU2875" s="330"/>
    </row>
    <row r="2876" spans="2:47">
      <c r="B2876" s="247">
        <f>'Table S2 Compound Identifiers'!C2878</f>
        <v>0</v>
      </c>
      <c r="C2876" s="247">
        <f>COUNTIF($D$6:D2876,"&lt;&gt;"&amp;"")</f>
        <v>2871</v>
      </c>
      <c r="D2876" s="432">
        <f>'Table S2 Compound Identifiers'!B2878</f>
        <v>0</v>
      </c>
      <c r="E2876" s="247"/>
      <c r="F2876" s="248"/>
      <c r="G2876" s="249"/>
      <c r="H2876" s="330"/>
      <c r="I2876" s="328"/>
      <c r="J2876" s="249"/>
      <c r="K2876" s="330"/>
      <c r="L2876" s="250"/>
      <c r="M2876" s="249"/>
      <c r="N2876" s="330"/>
      <c r="O2876" s="250"/>
      <c r="P2876" s="249"/>
      <c r="Q2876" s="330"/>
      <c r="R2876" s="250"/>
      <c r="S2876" s="249"/>
      <c r="T2876" s="330"/>
      <c r="U2876" s="250"/>
      <c r="V2876" s="249"/>
      <c r="W2876" s="330"/>
      <c r="X2876" s="343"/>
      <c r="Y2876" s="249"/>
      <c r="Z2876" s="330"/>
      <c r="AA2876" s="343"/>
      <c r="AB2876" s="249"/>
      <c r="AC2876" s="330"/>
      <c r="AD2876" s="343"/>
      <c r="AE2876" s="249"/>
      <c r="AF2876" s="330"/>
      <c r="AG2876" s="343"/>
      <c r="AH2876" s="249"/>
      <c r="AI2876" s="330"/>
      <c r="AJ2876" s="343"/>
      <c r="AK2876" s="249"/>
      <c r="AL2876" s="330"/>
      <c r="AM2876" s="343"/>
      <c r="AN2876" s="249"/>
      <c r="AO2876" s="330"/>
      <c r="AP2876" s="343"/>
      <c r="AQ2876" s="249"/>
      <c r="AR2876" s="330"/>
      <c r="AS2876" s="343"/>
      <c r="AT2876" s="249"/>
      <c r="AU2876" s="330"/>
    </row>
    <row r="2877" spans="2:47">
      <c r="B2877" s="247">
        <f>'Table S2 Compound Identifiers'!C2879</f>
        <v>0</v>
      </c>
      <c r="C2877" s="247">
        <f>COUNTIF($D$6:D2877,"&lt;&gt;"&amp;"")</f>
        <v>2872</v>
      </c>
      <c r="D2877" s="432">
        <f>'Table S2 Compound Identifiers'!B2879</f>
        <v>0</v>
      </c>
      <c r="E2877" s="247"/>
      <c r="F2877" s="248"/>
      <c r="G2877" s="249"/>
      <c r="H2877" s="330"/>
      <c r="I2877" s="328"/>
      <c r="J2877" s="249"/>
      <c r="K2877" s="330"/>
      <c r="L2877" s="250"/>
      <c r="M2877" s="249"/>
      <c r="N2877" s="330"/>
      <c r="O2877" s="250"/>
      <c r="P2877" s="249"/>
      <c r="Q2877" s="330"/>
      <c r="R2877" s="250"/>
      <c r="S2877" s="249"/>
      <c r="T2877" s="330"/>
      <c r="U2877" s="250"/>
      <c r="V2877" s="249"/>
      <c r="W2877" s="330"/>
      <c r="X2877" s="343"/>
      <c r="Y2877" s="249"/>
      <c r="Z2877" s="330"/>
      <c r="AA2877" s="343"/>
      <c r="AB2877" s="249"/>
      <c r="AC2877" s="330"/>
      <c r="AD2877" s="343"/>
      <c r="AE2877" s="249"/>
      <c r="AF2877" s="330"/>
      <c r="AG2877" s="343"/>
      <c r="AH2877" s="249"/>
      <c r="AI2877" s="330"/>
      <c r="AJ2877" s="343"/>
      <c r="AK2877" s="249"/>
      <c r="AL2877" s="330"/>
      <c r="AM2877" s="343"/>
      <c r="AN2877" s="249"/>
      <c r="AO2877" s="330"/>
      <c r="AP2877" s="343"/>
      <c r="AQ2877" s="249"/>
      <c r="AR2877" s="330"/>
      <c r="AS2877" s="343"/>
      <c r="AT2877" s="249"/>
      <c r="AU2877" s="330"/>
    </row>
    <row r="2878" spans="2:47">
      <c r="B2878" s="247">
        <f>'Table S2 Compound Identifiers'!C2880</f>
        <v>0</v>
      </c>
      <c r="C2878" s="247">
        <f>COUNTIF($D$6:D2878,"&lt;&gt;"&amp;"")</f>
        <v>2873</v>
      </c>
      <c r="D2878" s="432">
        <f>'Table S2 Compound Identifiers'!B2880</f>
        <v>0</v>
      </c>
      <c r="E2878" s="247"/>
      <c r="F2878" s="248"/>
      <c r="G2878" s="249"/>
      <c r="H2878" s="330"/>
      <c r="I2878" s="328"/>
      <c r="J2878" s="249"/>
      <c r="K2878" s="330"/>
      <c r="L2878" s="250"/>
      <c r="M2878" s="249"/>
      <c r="N2878" s="330"/>
      <c r="O2878" s="250"/>
      <c r="P2878" s="249"/>
      <c r="Q2878" s="330"/>
      <c r="R2878" s="250"/>
      <c r="S2878" s="249"/>
      <c r="T2878" s="330"/>
      <c r="U2878" s="250"/>
      <c r="V2878" s="249"/>
      <c r="W2878" s="330"/>
      <c r="X2878" s="343"/>
      <c r="Y2878" s="249"/>
      <c r="Z2878" s="330"/>
      <c r="AA2878" s="343"/>
      <c r="AB2878" s="249"/>
      <c r="AC2878" s="330"/>
      <c r="AD2878" s="343"/>
      <c r="AE2878" s="249"/>
      <c r="AF2878" s="330"/>
      <c r="AG2878" s="343"/>
      <c r="AH2878" s="249"/>
      <c r="AI2878" s="330"/>
      <c r="AJ2878" s="343"/>
      <c r="AK2878" s="249"/>
      <c r="AL2878" s="330"/>
      <c r="AM2878" s="343"/>
      <c r="AN2878" s="249"/>
      <c r="AO2878" s="330"/>
      <c r="AP2878" s="343"/>
      <c r="AQ2878" s="249"/>
      <c r="AR2878" s="330"/>
      <c r="AS2878" s="343"/>
      <c r="AT2878" s="249"/>
      <c r="AU2878" s="330"/>
    </row>
    <row r="2879" spans="2:47">
      <c r="B2879" s="247">
        <f>'Table S2 Compound Identifiers'!C2881</f>
        <v>0</v>
      </c>
      <c r="C2879" s="247">
        <f>COUNTIF($D$6:D2879,"&lt;&gt;"&amp;"")</f>
        <v>2874</v>
      </c>
      <c r="D2879" s="432">
        <f>'Table S2 Compound Identifiers'!B2881</f>
        <v>0</v>
      </c>
      <c r="E2879" s="247"/>
      <c r="F2879" s="248"/>
      <c r="G2879" s="249"/>
      <c r="H2879" s="330"/>
      <c r="I2879" s="328"/>
      <c r="J2879" s="249"/>
      <c r="K2879" s="330"/>
      <c r="L2879" s="250"/>
      <c r="M2879" s="249"/>
      <c r="N2879" s="330"/>
      <c r="O2879" s="250"/>
      <c r="P2879" s="249"/>
      <c r="Q2879" s="330"/>
      <c r="R2879" s="250"/>
      <c r="S2879" s="249"/>
      <c r="T2879" s="330"/>
      <c r="U2879" s="250"/>
      <c r="V2879" s="249"/>
      <c r="W2879" s="330"/>
      <c r="X2879" s="343"/>
      <c r="Y2879" s="249"/>
      <c r="Z2879" s="330"/>
      <c r="AA2879" s="343"/>
      <c r="AB2879" s="249"/>
      <c r="AC2879" s="330"/>
      <c r="AD2879" s="343"/>
      <c r="AE2879" s="249"/>
      <c r="AF2879" s="330"/>
      <c r="AG2879" s="343"/>
      <c r="AH2879" s="249"/>
      <c r="AI2879" s="330"/>
      <c r="AJ2879" s="343"/>
      <c r="AK2879" s="249"/>
      <c r="AL2879" s="330"/>
      <c r="AM2879" s="343"/>
      <c r="AN2879" s="249"/>
      <c r="AO2879" s="330"/>
      <c r="AP2879" s="343"/>
      <c r="AQ2879" s="249"/>
      <c r="AR2879" s="330"/>
      <c r="AS2879" s="343"/>
      <c r="AT2879" s="249"/>
      <c r="AU2879" s="330"/>
    </row>
    <row r="2880" spans="2:47">
      <c r="B2880" s="247">
        <f>'Table S2 Compound Identifiers'!C2882</f>
        <v>0</v>
      </c>
      <c r="C2880" s="247">
        <f>COUNTIF($D$6:D2880,"&lt;&gt;"&amp;"")</f>
        <v>2875</v>
      </c>
      <c r="D2880" s="432">
        <f>'Table S2 Compound Identifiers'!B2882</f>
        <v>0</v>
      </c>
      <c r="E2880" s="247"/>
      <c r="F2880" s="248"/>
      <c r="G2880" s="249"/>
      <c r="H2880" s="330"/>
      <c r="I2880" s="328"/>
      <c r="J2880" s="249"/>
      <c r="K2880" s="330"/>
      <c r="L2880" s="250"/>
      <c r="M2880" s="249"/>
      <c r="N2880" s="330"/>
      <c r="O2880" s="250"/>
      <c r="P2880" s="249"/>
      <c r="Q2880" s="330"/>
      <c r="R2880" s="250"/>
      <c r="S2880" s="249"/>
      <c r="T2880" s="330"/>
      <c r="U2880" s="250"/>
      <c r="V2880" s="249"/>
      <c r="W2880" s="330"/>
      <c r="X2880" s="343"/>
      <c r="Y2880" s="249"/>
      <c r="Z2880" s="330"/>
      <c r="AA2880" s="343"/>
      <c r="AB2880" s="249"/>
      <c r="AC2880" s="330"/>
      <c r="AD2880" s="343"/>
      <c r="AE2880" s="249"/>
      <c r="AF2880" s="330"/>
      <c r="AG2880" s="343"/>
      <c r="AH2880" s="249"/>
      <c r="AI2880" s="330"/>
      <c r="AJ2880" s="343"/>
      <c r="AK2880" s="249"/>
      <c r="AL2880" s="330"/>
      <c r="AM2880" s="343"/>
      <c r="AN2880" s="249"/>
      <c r="AO2880" s="330"/>
      <c r="AP2880" s="343"/>
      <c r="AQ2880" s="249"/>
      <c r="AR2880" s="330"/>
      <c r="AS2880" s="343"/>
      <c r="AT2880" s="249"/>
      <c r="AU2880" s="330"/>
    </row>
    <row r="2881" spans="2:47">
      <c r="B2881" s="247">
        <f>'Table S2 Compound Identifiers'!C2883</f>
        <v>0</v>
      </c>
      <c r="C2881" s="247">
        <f>COUNTIF($D$6:D2881,"&lt;&gt;"&amp;"")</f>
        <v>2876</v>
      </c>
      <c r="D2881" s="432">
        <f>'Table S2 Compound Identifiers'!B2883</f>
        <v>0</v>
      </c>
      <c r="E2881" s="247"/>
      <c r="F2881" s="248"/>
      <c r="G2881" s="249"/>
      <c r="H2881" s="330"/>
      <c r="I2881" s="328"/>
      <c r="J2881" s="249"/>
      <c r="K2881" s="330"/>
      <c r="L2881" s="250"/>
      <c r="M2881" s="249"/>
      <c r="N2881" s="330"/>
      <c r="O2881" s="250"/>
      <c r="P2881" s="249"/>
      <c r="Q2881" s="330"/>
      <c r="R2881" s="250"/>
      <c r="S2881" s="249"/>
      <c r="T2881" s="330"/>
      <c r="U2881" s="250"/>
      <c r="V2881" s="249"/>
      <c r="W2881" s="330"/>
      <c r="X2881" s="343"/>
      <c r="Y2881" s="249"/>
      <c r="Z2881" s="330"/>
      <c r="AA2881" s="343"/>
      <c r="AB2881" s="249"/>
      <c r="AC2881" s="330"/>
      <c r="AD2881" s="343"/>
      <c r="AE2881" s="249"/>
      <c r="AF2881" s="330"/>
      <c r="AG2881" s="343"/>
      <c r="AH2881" s="249"/>
      <c r="AI2881" s="330"/>
      <c r="AJ2881" s="343"/>
      <c r="AK2881" s="249"/>
      <c r="AL2881" s="330"/>
      <c r="AM2881" s="343"/>
      <c r="AN2881" s="249"/>
      <c r="AO2881" s="330"/>
      <c r="AP2881" s="343"/>
      <c r="AQ2881" s="249"/>
      <c r="AR2881" s="330"/>
      <c r="AS2881" s="343"/>
      <c r="AT2881" s="249"/>
      <c r="AU2881" s="330"/>
    </row>
    <row r="2882" spans="2:47">
      <c r="B2882" s="247">
        <f>'Table S2 Compound Identifiers'!C2884</f>
        <v>0</v>
      </c>
      <c r="C2882" s="247">
        <f>COUNTIF($D$6:D2882,"&lt;&gt;"&amp;"")</f>
        <v>2877</v>
      </c>
      <c r="D2882" s="432">
        <f>'Table S2 Compound Identifiers'!B2884</f>
        <v>0</v>
      </c>
      <c r="E2882" s="247"/>
      <c r="F2882" s="248"/>
      <c r="G2882" s="249"/>
      <c r="H2882" s="330"/>
      <c r="I2882" s="328"/>
      <c r="J2882" s="249"/>
      <c r="K2882" s="330"/>
      <c r="L2882" s="250"/>
      <c r="M2882" s="249"/>
      <c r="N2882" s="330"/>
      <c r="O2882" s="250"/>
      <c r="P2882" s="249"/>
      <c r="Q2882" s="330"/>
      <c r="R2882" s="250"/>
      <c r="S2882" s="249"/>
      <c r="T2882" s="330"/>
      <c r="U2882" s="250"/>
      <c r="V2882" s="249"/>
      <c r="W2882" s="330"/>
      <c r="X2882" s="343"/>
      <c r="Y2882" s="249"/>
      <c r="Z2882" s="330"/>
      <c r="AA2882" s="343"/>
      <c r="AB2882" s="249"/>
      <c r="AC2882" s="330"/>
      <c r="AD2882" s="343"/>
      <c r="AE2882" s="249"/>
      <c r="AF2882" s="330"/>
      <c r="AG2882" s="343"/>
      <c r="AH2882" s="249"/>
      <c r="AI2882" s="330"/>
      <c r="AJ2882" s="343"/>
      <c r="AK2882" s="249"/>
      <c r="AL2882" s="330"/>
      <c r="AM2882" s="343"/>
      <c r="AN2882" s="249"/>
      <c r="AO2882" s="330"/>
      <c r="AP2882" s="343"/>
      <c r="AQ2882" s="249"/>
      <c r="AR2882" s="330"/>
      <c r="AS2882" s="343"/>
      <c r="AT2882" s="249"/>
      <c r="AU2882" s="330"/>
    </row>
    <row r="2883" spans="2:47">
      <c r="B2883" s="247">
        <f>'Table S2 Compound Identifiers'!C2885</f>
        <v>0</v>
      </c>
      <c r="C2883" s="247">
        <f>COUNTIF($D$6:D2883,"&lt;&gt;"&amp;"")</f>
        <v>2878</v>
      </c>
      <c r="D2883" s="432">
        <f>'Table S2 Compound Identifiers'!B2885</f>
        <v>0</v>
      </c>
      <c r="E2883" s="247"/>
      <c r="F2883" s="248"/>
      <c r="G2883" s="249"/>
      <c r="H2883" s="330"/>
      <c r="I2883" s="328"/>
      <c r="J2883" s="249"/>
      <c r="K2883" s="330"/>
      <c r="L2883" s="250"/>
      <c r="M2883" s="249"/>
      <c r="N2883" s="330"/>
      <c r="O2883" s="250"/>
      <c r="P2883" s="249"/>
      <c r="Q2883" s="330"/>
      <c r="R2883" s="250"/>
      <c r="S2883" s="249"/>
      <c r="T2883" s="330"/>
      <c r="U2883" s="250"/>
      <c r="V2883" s="249"/>
      <c r="W2883" s="330"/>
      <c r="X2883" s="343"/>
      <c r="Y2883" s="249"/>
      <c r="Z2883" s="330"/>
      <c r="AA2883" s="343"/>
      <c r="AB2883" s="249"/>
      <c r="AC2883" s="330"/>
      <c r="AD2883" s="343"/>
      <c r="AE2883" s="249"/>
      <c r="AF2883" s="330"/>
      <c r="AG2883" s="343"/>
      <c r="AH2883" s="249"/>
      <c r="AI2883" s="330"/>
      <c r="AJ2883" s="343"/>
      <c r="AK2883" s="249"/>
      <c r="AL2883" s="330"/>
      <c r="AM2883" s="343"/>
      <c r="AN2883" s="249"/>
      <c r="AO2883" s="330"/>
      <c r="AP2883" s="343"/>
      <c r="AQ2883" s="249"/>
      <c r="AR2883" s="330"/>
      <c r="AS2883" s="343"/>
      <c r="AT2883" s="249"/>
      <c r="AU2883" s="330"/>
    </row>
    <row r="2884" spans="2:47">
      <c r="B2884" s="247">
        <f>'Table S2 Compound Identifiers'!C2886</f>
        <v>0</v>
      </c>
      <c r="C2884" s="247">
        <f>COUNTIF($D$6:D2884,"&lt;&gt;"&amp;"")</f>
        <v>2879</v>
      </c>
      <c r="D2884" s="247">
        <f>'Table S2 Compound Identifiers'!B2886</f>
        <v>0</v>
      </c>
      <c r="E2884" s="247"/>
      <c r="F2884" s="248"/>
      <c r="G2884" s="249"/>
      <c r="H2884" s="330"/>
      <c r="I2884" s="328"/>
      <c r="J2884" s="249"/>
      <c r="K2884" s="330"/>
      <c r="L2884" s="250"/>
      <c r="M2884" s="249"/>
      <c r="N2884" s="330"/>
      <c r="O2884" s="250"/>
      <c r="P2884" s="249"/>
      <c r="Q2884" s="330"/>
      <c r="R2884" s="250"/>
      <c r="S2884" s="249"/>
      <c r="T2884" s="330"/>
      <c r="U2884" s="250"/>
      <c r="V2884" s="249"/>
      <c r="W2884" s="330"/>
      <c r="X2884" s="343"/>
      <c r="Y2884" s="249"/>
      <c r="Z2884" s="330"/>
      <c r="AA2884" s="343"/>
      <c r="AB2884" s="249"/>
      <c r="AC2884" s="330"/>
      <c r="AD2884" s="343"/>
      <c r="AE2884" s="249"/>
      <c r="AF2884" s="330"/>
      <c r="AG2884" s="343"/>
      <c r="AH2884" s="249"/>
      <c r="AI2884" s="330"/>
      <c r="AJ2884" s="343"/>
      <c r="AK2884" s="249"/>
      <c r="AL2884" s="330"/>
      <c r="AM2884" s="343"/>
      <c r="AN2884" s="249"/>
      <c r="AO2884" s="330"/>
      <c r="AP2884" s="343"/>
      <c r="AQ2884" s="249"/>
      <c r="AR2884" s="330"/>
      <c r="AS2884" s="343"/>
      <c r="AT2884" s="249"/>
      <c r="AU2884" s="330"/>
    </row>
    <row r="2885" spans="2:47">
      <c r="B2885" s="247">
        <f>'Table S2 Compound Identifiers'!C2887</f>
        <v>0</v>
      </c>
      <c r="C2885" s="247">
        <f>COUNTIF($D$6:D2885,"&lt;&gt;"&amp;"")</f>
        <v>2880</v>
      </c>
      <c r="D2885" s="247">
        <f>'Table S2 Compound Identifiers'!B2887</f>
        <v>0</v>
      </c>
      <c r="E2885" s="247"/>
      <c r="F2885" s="248"/>
      <c r="G2885" s="249"/>
      <c r="H2885" s="330"/>
      <c r="I2885" s="328"/>
      <c r="J2885" s="249"/>
      <c r="K2885" s="330"/>
      <c r="L2885" s="250"/>
      <c r="M2885" s="249"/>
      <c r="N2885" s="330"/>
      <c r="O2885" s="250"/>
      <c r="P2885" s="249"/>
      <c r="Q2885" s="330"/>
      <c r="R2885" s="250"/>
      <c r="S2885" s="249"/>
      <c r="T2885" s="330"/>
      <c r="U2885" s="250"/>
      <c r="V2885" s="249"/>
      <c r="W2885" s="330"/>
      <c r="X2885" s="343"/>
      <c r="Y2885" s="249"/>
      <c r="Z2885" s="330"/>
      <c r="AA2885" s="343"/>
      <c r="AB2885" s="249"/>
      <c r="AC2885" s="330"/>
      <c r="AD2885" s="343"/>
      <c r="AE2885" s="249"/>
      <c r="AF2885" s="330"/>
      <c r="AG2885" s="343"/>
      <c r="AH2885" s="249"/>
      <c r="AI2885" s="330"/>
      <c r="AJ2885" s="343"/>
      <c r="AK2885" s="249"/>
      <c r="AL2885" s="330"/>
      <c r="AM2885" s="343"/>
      <c r="AN2885" s="249"/>
      <c r="AO2885" s="330"/>
      <c r="AP2885" s="343"/>
      <c r="AQ2885" s="249"/>
      <c r="AR2885" s="330"/>
      <c r="AS2885" s="343"/>
      <c r="AT2885" s="249"/>
      <c r="AU2885" s="330"/>
    </row>
    <row r="2886" spans="2:47">
      <c r="B2886" s="247">
        <f>'Table S2 Compound Identifiers'!C2888</f>
        <v>0</v>
      </c>
      <c r="C2886" s="247">
        <f>COUNTIF($D$6:D2886,"&lt;&gt;"&amp;"")</f>
        <v>2881</v>
      </c>
      <c r="D2886" s="247">
        <f>'Table S2 Compound Identifiers'!B2888</f>
        <v>0</v>
      </c>
      <c r="E2886" s="247"/>
      <c r="F2886" s="248"/>
      <c r="G2886" s="249"/>
      <c r="H2886" s="330"/>
      <c r="I2886" s="328"/>
      <c r="J2886" s="249"/>
      <c r="K2886" s="330"/>
      <c r="L2886" s="250"/>
      <c r="M2886" s="249"/>
      <c r="N2886" s="330"/>
      <c r="O2886" s="250"/>
      <c r="P2886" s="249"/>
      <c r="Q2886" s="330"/>
      <c r="R2886" s="250"/>
      <c r="S2886" s="249"/>
      <c r="T2886" s="330"/>
      <c r="U2886" s="250"/>
      <c r="V2886" s="249"/>
      <c r="W2886" s="330"/>
      <c r="X2886" s="343"/>
      <c r="Y2886" s="249"/>
      <c r="Z2886" s="330"/>
      <c r="AA2886" s="343"/>
      <c r="AB2886" s="249"/>
      <c r="AC2886" s="330"/>
      <c r="AD2886" s="343"/>
      <c r="AE2886" s="249"/>
      <c r="AF2886" s="330"/>
      <c r="AG2886" s="343"/>
      <c r="AH2886" s="249"/>
      <c r="AI2886" s="330"/>
      <c r="AJ2886" s="343"/>
      <c r="AK2886" s="249"/>
      <c r="AL2886" s="330"/>
      <c r="AM2886" s="343"/>
      <c r="AN2886" s="249"/>
      <c r="AO2886" s="330"/>
      <c r="AP2886" s="343"/>
      <c r="AQ2886" s="249"/>
      <c r="AR2886" s="330"/>
      <c r="AS2886" s="343"/>
      <c r="AT2886" s="249"/>
      <c r="AU2886" s="330"/>
    </row>
    <row r="2887" spans="2:47">
      <c r="B2887" s="247">
        <f>'Table S2 Compound Identifiers'!C2889</f>
        <v>0</v>
      </c>
      <c r="C2887" s="247">
        <f>COUNTIF($D$6:D2887,"&lt;&gt;"&amp;"")</f>
        <v>2882</v>
      </c>
      <c r="D2887" s="247">
        <f>'Table S2 Compound Identifiers'!B2889</f>
        <v>0</v>
      </c>
      <c r="E2887" s="247"/>
      <c r="F2887" s="248"/>
      <c r="G2887" s="249"/>
      <c r="H2887" s="330"/>
      <c r="I2887" s="328"/>
      <c r="J2887" s="249"/>
      <c r="K2887" s="330"/>
      <c r="L2887" s="250"/>
      <c r="M2887" s="249"/>
      <c r="N2887" s="330"/>
      <c r="O2887" s="250"/>
      <c r="P2887" s="249"/>
      <c r="Q2887" s="330"/>
      <c r="R2887" s="250"/>
      <c r="S2887" s="249"/>
      <c r="T2887" s="330"/>
      <c r="U2887" s="250"/>
      <c r="V2887" s="249"/>
      <c r="W2887" s="330"/>
      <c r="X2887" s="343"/>
      <c r="Y2887" s="249"/>
      <c r="Z2887" s="330"/>
      <c r="AA2887" s="343"/>
      <c r="AB2887" s="249"/>
      <c r="AC2887" s="330"/>
      <c r="AD2887" s="343"/>
      <c r="AE2887" s="249"/>
      <c r="AF2887" s="330"/>
      <c r="AG2887" s="343"/>
      <c r="AH2887" s="249"/>
      <c r="AI2887" s="330"/>
      <c r="AJ2887" s="343"/>
      <c r="AK2887" s="249"/>
      <c r="AL2887" s="330"/>
      <c r="AM2887" s="343"/>
      <c r="AN2887" s="249"/>
      <c r="AO2887" s="330"/>
      <c r="AP2887" s="343"/>
      <c r="AQ2887" s="249"/>
      <c r="AR2887" s="330"/>
      <c r="AS2887" s="343"/>
      <c r="AT2887" s="249"/>
      <c r="AU2887" s="330"/>
    </row>
    <row r="2888" spans="2:47">
      <c r="B2888" s="247">
        <f>'Table S2 Compound Identifiers'!C2890</f>
        <v>0</v>
      </c>
      <c r="C2888" s="247">
        <f>COUNTIF($D$6:D2888,"&lt;&gt;"&amp;"")</f>
        <v>2883</v>
      </c>
      <c r="D2888" s="247">
        <f>'Table S2 Compound Identifiers'!B2890</f>
        <v>0</v>
      </c>
      <c r="E2888" s="247"/>
      <c r="F2888" s="248"/>
      <c r="G2888" s="249"/>
      <c r="H2888" s="330"/>
      <c r="I2888" s="328"/>
      <c r="J2888" s="249"/>
      <c r="K2888" s="330"/>
      <c r="L2888" s="250"/>
      <c r="M2888" s="249"/>
      <c r="N2888" s="330"/>
      <c r="O2888" s="250"/>
      <c r="P2888" s="249"/>
      <c r="Q2888" s="330"/>
      <c r="R2888" s="250"/>
      <c r="S2888" s="249"/>
      <c r="T2888" s="330"/>
      <c r="U2888" s="250"/>
      <c r="V2888" s="249"/>
      <c r="W2888" s="330"/>
      <c r="X2888" s="343"/>
      <c r="Y2888" s="249"/>
      <c r="Z2888" s="330"/>
      <c r="AA2888" s="343"/>
      <c r="AB2888" s="249"/>
      <c r="AC2888" s="330"/>
      <c r="AD2888" s="343"/>
      <c r="AE2888" s="249"/>
      <c r="AF2888" s="330"/>
      <c r="AG2888" s="343"/>
      <c r="AH2888" s="249"/>
      <c r="AI2888" s="330"/>
      <c r="AJ2888" s="343"/>
      <c r="AK2888" s="249"/>
      <c r="AL2888" s="330"/>
      <c r="AM2888" s="343"/>
      <c r="AN2888" s="249"/>
      <c r="AO2888" s="330"/>
      <c r="AP2888" s="343"/>
      <c r="AQ2888" s="249"/>
      <c r="AR2888" s="330"/>
      <c r="AS2888" s="343"/>
      <c r="AT2888" s="249"/>
      <c r="AU2888" s="330"/>
    </row>
    <row r="2889" spans="2:47">
      <c r="B2889" s="247">
        <f>'Table S2 Compound Identifiers'!C2891</f>
        <v>0</v>
      </c>
      <c r="C2889" s="247">
        <f>COUNTIF($D$6:D2889,"&lt;&gt;"&amp;"")</f>
        <v>2884</v>
      </c>
      <c r="D2889" s="247">
        <f>'Table S2 Compound Identifiers'!B2891</f>
        <v>0</v>
      </c>
      <c r="E2889" s="247"/>
      <c r="F2889" s="248"/>
      <c r="G2889" s="249"/>
      <c r="H2889" s="330"/>
      <c r="I2889" s="328"/>
      <c r="J2889" s="249"/>
      <c r="K2889" s="330"/>
      <c r="L2889" s="250"/>
      <c r="M2889" s="249"/>
      <c r="N2889" s="330"/>
      <c r="O2889" s="250"/>
      <c r="P2889" s="249"/>
      <c r="Q2889" s="330"/>
      <c r="R2889" s="250"/>
      <c r="S2889" s="249"/>
      <c r="T2889" s="330"/>
      <c r="U2889" s="250"/>
      <c r="V2889" s="249"/>
      <c r="W2889" s="330"/>
      <c r="X2889" s="343"/>
      <c r="Y2889" s="249"/>
      <c r="Z2889" s="330"/>
      <c r="AA2889" s="343"/>
      <c r="AB2889" s="249"/>
      <c r="AC2889" s="330"/>
      <c r="AD2889" s="343"/>
      <c r="AE2889" s="249"/>
      <c r="AF2889" s="330"/>
      <c r="AG2889" s="343"/>
      <c r="AH2889" s="249"/>
      <c r="AI2889" s="330"/>
      <c r="AJ2889" s="343"/>
      <c r="AK2889" s="249"/>
      <c r="AL2889" s="330"/>
      <c r="AM2889" s="343"/>
      <c r="AN2889" s="249"/>
      <c r="AO2889" s="330"/>
      <c r="AP2889" s="343"/>
      <c r="AQ2889" s="249"/>
      <c r="AR2889" s="330"/>
      <c r="AS2889" s="343"/>
      <c r="AT2889" s="249"/>
      <c r="AU2889" s="330"/>
    </row>
    <row r="2890" spans="2:47">
      <c r="B2890" s="247">
        <f>'Table S2 Compound Identifiers'!C2892</f>
        <v>0</v>
      </c>
      <c r="C2890" s="247">
        <f>COUNTIF($D$6:D2890,"&lt;&gt;"&amp;"")</f>
        <v>2885</v>
      </c>
      <c r="D2890" s="247">
        <f>'Table S2 Compound Identifiers'!B2892</f>
        <v>0</v>
      </c>
      <c r="E2890" s="247"/>
      <c r="F2890" s="248"/>
      <c r="G2890" s="249"/>
      <c r="H2890" s="330"/>
      <c r="I2890" s="328"/>
      <c r="J2890" s="249"/>
      <c r="K2890" s="330"/>
      <c r="L2890" s="250"/>
      <c r="M2890" s="249"/>
      <c r="N2890" s="330"/>
      <c r="O2890" s="251"/>
      <c r="P2890" s="252"/>
      <c r="Q2890" s="330"/>
      <c r="R2890" s="251"/>
      <c r="S2890" s="252"/>
      <c r="T2890" s="330"/>
      <c r="U2890" s="251"/>
      <c r="V2890" s="252"/>
      <c r="W2890" s="330"/>
      <c r="X2890" s="343"/>
      <c r="Y2890" s="249"/>
      <c r="Z2890" s="330"/>
      <c r="AA2890" s="343"/>
      <c r="AB2890" s="249"/>
      <c r="AC2890" s="330"/>
      <c r="AD2890" s="343"/>
      <c r="AE2890" s="249"/>
      <c r="AF2890" s="330"/>
      <c r="AG2890" s="343"/>
      <c r="AH2890" s="249"/>
      <c r="AI2890" s="330"/>
      <c r="AJ2890" s="343"/>
      <c r="AK2890" s="249"/>
      <c r="AL2890" s="330"/>
      <c r="AM2890" s="343"/>
      <c r="AN2890" s="249"/>
      <c r="AO2890" s="330"/>
      <c r="AP2890" s="343"/>
      <c r="AQ2890" s="249"/>
      <c r="AR2890" s="330"/>
      <c r="AS2890" s="343"/>
      <c r="AT2890" s="249"/>
      <c r="AU2890" s="330"/>
    </row>
    <row r="2891" spans="2:47">
      <c r="B2891" s="247">
        <f>'Table S2 Compound Identifiers'!C2893</f>
        <v>0</v>
      </c>
      <c r="C2891" s="253">
        <f>COUNTIF($D$6:D2891,"&lt;&gt;"&amp;"")</f>
        <v>2886</v>
      </c>
      <c r="D2891" s="253">
        <f>'Table S2 Compound Identifiers'!B2893</f>
        <v>0</v>
      </c>
      <c r="E2891" s="253"/>
      <c r="F2891" s="254"/>
      <c r="G2891" s="252"/>
      <c r="H2891" s="330"/>
      <c r="I2891" s="333"/>
      <c r="J2891" s="252"/>
      <c r="K2891" s="330"/>
      <c r="L2891" s="251"/>
      <c r="M2891" s="252"/>
      <c r="N2891" s="330"/>
      <c r="O2891" s="251"/>
      <c r="P2891" s="252"/>
      <c r="Q2891" s="330"/>
      <c r="R2891" s="251"/>
      <c r="S2891" s="252"/>
      <c r="T2891" s="330"/>
      <c r="U2891" s="251"/>
      <c r="V2891" s="252"/>
      <c r="W2891" s="330"/>
      <c r="X2891" s="343"/>
      <c r="Y2891" s="249"/>
      <c r="Z2891" s="330"/>
      <c r="AA2891" s="343"/>
      <c r="AB2891" s="249"/>
      <c r="AC2891" s="330"/>
      <c r="AD2891" s="343"/>
      <c r="AE2891" s="249"/>
      <c r="AF2891" s="330"/>
      <c r="AG2891" s="343"/>
      <c r="AH2891" s="249"/>
      <c r="AI2891" s="330"/>
      <c r="AJ2891" s="343"/>
      <c r="AK2891" s="249"/>
      <c r="AL2891" s="330"/>
      <c r="AM2891" s="343"/>
      <c r="AN2891" s="249"/>
      <c r="AO2891" s="330"/>
      <c r="AP2891" s="343"/>
      <c r="AQ2891" s="249"/>
      <c r="AR2891" s="330"/>
      <c r="AS2891" s="343"/>
      <c r="AT2891" s="249"/>
      <c r="AU2891" s="330"/>
    </row>
    <row r="2892" spans="2:47">
      <c r="B2892" s="247">
        <f>'Table S2 Compound Identifiers'!C2894</f>
        <v>0</v>
      </c>
      <c r="C2892" s="247">
        <f>COUNTIF($D$6:D2892,"&lt;&gt;"&amp;"")</f>
        <v>2887</v>
      </c>
      <c r="D2892" s="247">
        <f>'Table S2 Compound Identifiers'!B2894</f>
        <v>0</v>
      </c>
      <c r="E2892" s="247"/>
      <c r="F2892" s="248"/>
      <c r="G2892" s="250"/>
      <c r="H2892" s="330"/>
      <c r="I2892" s="343"/>
      <c r="J2892" s="249"/>
      <c r="K2892" s="327"/>
      <c r="L2892" s="343"/>
      <c r="M2892" s="249"/>
      <c r="N2892" s="327"/>
      <c r="O2892" s="343"/>
      <c r="P2892" s="249"/>
      <c r="Q2892" s="327"/>
      <c r="R2892" s="343"/>
      <c r="S2892" s="249"/>
      <c r="T2892" s="327"/>
      <c r="U2892" s="343"/>
      <c r="V2892" s="249"/>
      <c r="W2892" s="327"/>
      <c r="X2892" s="343"/>
      <c r="Y2892" s="249"/>
      <c r="Z2892" s="327"/>
      <c r="AA2892" s="343"/>
      <c r="AB2892" s="249"/>
      <c r="AC2892" s="343"/>
      <c r="AD2892" s="343"/>
      <c r="AE2892" s="249"/>
      <c r="AF2892" s="249"/>
      <c r="AG2892" s="343"/>
      <c r="AH2892" s="249"/>
      <c r="AI2892" s="343"/>
      <c r="AJ2892" s="343"/>
      <c r="AK2892" s="249"/>
      <c r="AL2892" s="249"/>
      <c r="AM2892" s="343"/>
      <c r="AN2892" s="249"/>
      <c r="AO2892" s="343"/>
      <c r="AP2892" s="343"/>
      <c r="AQ2892" s="249"/>
      <c r="AR2892" s="249"/>
      <c r="AS2892" s="343"/>
      <c r="AT2892" s="249"/>
      <c r="AU2892" s="343"/>
    </row>
    <row r="2893" spans="2:47">
      <c r="B2893" s="247">
        <f>'Table S2 Compound Identifiers'!C2895</f>
        <v>0</v>
      </c>
      <c r="C2893" s="247">
        <f>COUNTIF($D$6:D2893,"&lt;&gt;"&amp;"")</f>
        <v>2888</v>
      </c>
      <c r="D2893" s="247">
        <f>'Table S2 Compound Identifiers'!B2895</f>
        <v>0</v>
      </c>
      <c r="E2893" s="247"/>
      <c r="F2893" s="248"/>
      <c r="G2893" s="249"/>
      <c r="H2893" s="330"/>
      <c r="I2893" s="332"/>
      <c r="J2893" s="330"/>
      <c r="K2893" s="330"/>
      <c r="L2893" s="330"/>
      <c r="M2893" s="330"/>
      <c r="N2893" s="330"/>
      <c r="O2893" s="330"/>
      <c r="P2893" s="330"/>
      <c r="Q2893" s="330"/>
      <c r="R2893" s="330"/>
      <c r="S2893" s="330"/>
      <c r="T2893" s="330"/>
      <c r="U2893" s="330"/>
      <c r="V2893" s="330"/>
      <c r="W2893" s="330"/>
      <c r="X2893" s="343"/>
      <c r="Y2893" s="249"/>
      <c r="Z2893" s="330"/>
      <c r="AA2893" s="343"/>
      <c r="AB2893" s="249"/>
      <c r="AC2893" s="330"/>
      <c r="AD2893" s="343"/>
      <c r="AE2893" s="249"/>
      <c r="AF2893" s="330"/>
      <c r="AG2893" s="343"/>
      <c r="AH2893" s="249"/>
      <c r="AI2893" s="330"/>
      <c r="AJ2893" s="343"/>
      <c r="AK2893" s="249"/>
      <c r="AL2893" s="330"/>
      <c r="AM2893" s="343"/>
      <c r="AN2893" s="249"/>
      <c r="AO2893" s="330"/>
      <c r="AP2893" s="343"/>
      <c r="AQ2893" s="249"/>
      <c r="AR2893" s="330"/>
      <c r="AS2893" s="343"/>
      <c r="AT2893" s="249"/>
      <c r="AU2893" s="330"/>
    </row>
    <row r="2894" spans="2:47">
      <c r="B2894" s="247">
        <f>'Table S2 Compound Identifiers'!C2896</f>
        <v>0</v>
      </c>
      <c r="C2894" s="247">
        <f>COUNTIF($D$6:D2894,"&lt;&gt;"&amp;"")</f>
        <v>2889</v>
      </c>
      <c r="D2894" s="247">
        <f>'Table S2 Compound Identifiers'!B2896</f>
        <v>0</v>
      </c>
      <c r="E2894" s="247"/>
      <c r="F2894" s="248"/>
      <c r="G2894" s="249"/>
      <c r="H2894" s="330"/>
      <c r="I2894" s="332"/>
      <c r="J2894" s="330"/>
      <c r="K2894" s="330"/>
      <c r="L2894" s="330"/>
      <c r="M2894" s="330"/>
      <c r="N2894" s="330"/>
      <c r="O2894" s="330"/>
      <c r="P2894" s="330"/>
      <c r="Q2894" s="330"/>
      <c r="R2894" s="330"/>
      <c r="S2894" s="330"/>
      <c r="T2894" s="330"/>
      <c r="U2894" s="330"/>
      <c r="V2894" s="330"/>
      <c r="W2894" s="330"/>
      <c r="X2894" s="343"/>
      <c r="Y2894" s="249"/>
      <c r="Z2894" s="330"/>
      <c r="AA2894" s="343"/>
      <c r="AB2894" s="249"/>
      <c r="AC2894" s="330"/>
      <c r="AD2894" s="343"/>
      <c r="AE2894" s="249"/>
      <c r="AF2894" s="330"/>
      <c r="AG2894" s="343"/>
      <c r="AH2894" s="249"/>
      <c r="AI2894" s="330"/>
      <c r="AJ2894" s="343"/>
      <c r="AK2894" s="249"/>
      <c r="AL2894" s="330"/>
      <c r="AM2894" s="343"/>
      <c r="AN2894" s="249"/>
      <c r="AO2894" s="330"/>
      <c r="AP2894" s="343"/>
      <c r="AQ2894" s="249"/>
      <c r="AR2894" s="330"/>
      <c r="AS2894" s="343"/>
      <c r="AT2894" s="249"/>
      <c r="AU2894" s="330"/>
    </row>
    <row r="2895" spans="2:47">
      <c r="B2895" s="247">
        <f>'Table S2 Compound Identifiers'!C2897</f>
        <v>0</v>
      </c>
      <c r="C2895" s="247">
        <f>COUNTIF($D$6:D2895,"&lt;&gt;"&amp;"")</f>
        <v>2890</v>
      </c>
      <c r="D2895" s="247">
        <f>'Table S2 Compound Identifiers'!B2897</f>
        <v>0</v>
      </c>
      <c r="E2895" s="247"/>
      <c r="F2895" s="248"/>
      <c r="G2895" s="249"/>
      <c r="H2895" s="330"/>
      <c r="I2895" s="332"/>
      <c r="J2895" s="330"/>
      <c r="K2895" s="330"/>
      <c r="L2895" s="330"/>
      <c r="M2895" s="330"/>
      <c r="N2895" s="330"/>
      <c r="O2895" s="330"/>
      <c r="P2895" s="330"/>
      <c r="Q2895" s="330"/>
      <c r="R2895" s="330"/>
      <c r="S2895" s="330"/>
      <c r="T2895" s="330"/>
      <c r="U2895" s="330"/>
      <c r="V2895" s="330"/>
      <c r="W2895" s="330"/>
      <c r="X2895" s="343"/>
      <c r="Y2895" s="249"/>
      <c r="Z2895" s="330"/>
      <c r="AA2895" s="343"/>
      <c r="AB2895" s="249"/>
      <c r="AC2895" s="330"/>
      <c r="AD2895" s="343"/>
      <c r="AE2895" s="249"/>
      <c r="AF2895" s="330"/>
      <c r="AG2895" s="343"/>
      <c r="AH2895" s="249"/>
      <c r="AI2895" s="330"/>
      <c r="AJ2895" s="343"/>
      <c r="AK2895" s="249"/>
      <c r="AL2895" s="330"/>
      <c r="AM2895" s="343"/>
      <c r="AN2895" s="249"/>
      <c r="AO2895" s="330"/>
      <c r="AP2895" s="343"/>
      <c r="AQ2895" s="249"/>
      <c r="AR2895" s="330"/>
      <c r="AS2895" s="343"/>
      <c r="AT2895" s="249"/>
      <c r="AU2895" s="330"/>
    </row>
    <row r="2896" spans="2:47">
      <c r="B2896" s="247">
        <f>'Table S2 Compound Identifiers'!C2898</f>
        <v>0</v>
      </c>
      <c r="C2896" s="247">
        <f>COUNTIF($D$6:D2896,"&lt;&gt;"&amp;"")</f>
        <v>2891</v>
      </c>
      <c r="D2896" s="247">
        <f>'Table S2 Compound Identifiers'!B2898</f>
        <v>0</v>
      </c>
      <c r="E2896" s="247"/>
      <c r="F2896" s="248"/>
      <c r="G2896" s="249"/>
      <c r="H2896" s="330"/>
      <c r="I2896" s="328"/>
      <c r="J2896" s="249"/>
      <c r="K2896" s="330"/>
      <c r="L2896" s="250"/>
      <c r="M2896" s="249"/>
      <c r="N2896" s="330"/>
      <c r="O2896" s="250"/>
      <c r="P2896" s="249"/>
      <c r="Q2896" s="330"/>
      <c r="R2896" s="250"/>
      <c r="S2896" s="249"/>
      <c r="T2896" s="330"/>
      <c r="U2896" s="250"/>
      <c r="V2896" s="249"/>
      <c r="W2896" s="330"/>
      <c r="X2896" s="343"/>
      <c r="Y2896" s="249"/>
      <c r="Z2896" s="330"/>
      <c r="AA2896" s="343"/>
      <c r="AB2896" s="249"/>
      <c r="AC2896" s="330"/>
      <c r="AD2896" s="343"/>
      <c r="AE2896" s="249"/>
      <c r="AF2896" s="330"/>
      <c r="AG2896" s="343"/>
      <c r="AH2896" s="249"/>
      <c r="AI2896" s="330"/>
      <c r="AJ2896" s="343"/>
      <c r="AK2896" s="249"/>
      <c r="AL2896" s="330"/>
      <c r="AM2896" s="343"/>
      <c r="AN2896" s="249"/>
      <c r="AO2896" s="330"/>
      <c r="AP2896" s="343"/>
      <c r="AQ2896" s="249"/>
      <c r="AR2896" s="330"/>
      <c r="AS2896" s="343"/>
      <c r="AT2896" s="249"/>
      <c r="AU2896" s="330"/>
    </row>
    <row r="2897" spans="2:47">
      <c r="B2897" s="247">
        <f>'Table S2 Compound Identifiers'!C2899</f>
        <v>0</v>
      </c>
      <c r="C2897" s="247">
        <f>COUNTIF($D$6:D2897,"&lt;&gt;"&amp;"")</f>
        <v>2892</v>
      </c>
      <c r="D2897" s="247">
        <f>'Table S2 Compound Identifiers'!B2899</f>
        <v>0</v>
      </c>
      <c r="E2897" s="247"/>
      <c r="F2897" s="248"/>
      <c r="G2897" s="249"/>
      <c r="H2897" s="330"/>
      <c r="I2897" s="328"/>
      <c r="J2897" s="249"/>
      <c r="K2897" s="330"/>
      <c r="L2897" s="250"/>
      <c r="M2897" s="249"/>
      <c r="N2897" s="330"/>
      <c r="O2897" s="250"/>
      <c r="P2897" s="249"/>
      <c r="Q2897" s="330"/>
      <c r="R2897" s="250"/>
      <c r="S2897" s="249"/>
      <c r="T2897" s="330"/>
      <c r="U2897" s="250"/>
      <c r="V2897" s="249"/>
      <c r="W2897" s="330"/>
      <c r="X2897" s="343"/>
      <c r="Y2897" s="249"/>
      <c r="Z2897" s="330"/>
      <c r="AA2897" s="343"/>
      <c r="AB2897" s="249"/>
      <c r="AC2897" s="330"/>
      <c r="AD2897" s="343"/>
      <c r="AE2897" s="249"/>
      <c r="AF2897" s="330"/>
      <c r="AG2897" s="343"/>
      <c r="AH2897" s="249"/>
      <c r="AI2897" s="330"/>
      <c r="AJ2897" s="343"/>
      <c r="AK2897" s="249"/>
      <c r="AL2897" s="330"/>
      <c r="AM2897" s="343"/>
      <c r="AN2897" s="249"/>
      <c r="AO2897" s="330"/>
      <c r="AP2897" s="343"/>
      <c r="AQ2897" s="249"/>
      <c r="AR2897" s="330"/>
      <c r="AS2897" s="343"/>
      <c r="AT2897" s="249"/>
      <c r="AU2897" s="330"/>
    </row>
    <row r="2898" spans="2:47">
      <c r="B2898" s="247">
        <f>'Table S2 Compound Identifiers'!C2900</f>
        <v>0</v>
      </c>
      <c r="C2898" s="247">
        <f>COUNTIF($D$6:D2898,"&lt;&gt;"&amp;"")</f>
        <v>2893</v>
      </c>
      <c r="D2898" s="247">
        <f>'Table S2 Compound Identifiers'!B2900</f>
        <v>0</v>
      </c>
      <c r="E2898" s="247"/>
      <c r="F2898" s="248"/>
      <c r="G2898" s="249"/>
      <c r="H2898" s="330"/>
      <c r="I2898" s="328"/>
      <c r="J2898" s="249"/>
      <c r="K2898" s="330"/>
      <c r="L2898" s="250"/>
      <c r="M2898" s="249"/>
      <c r="N2898" s="330"/>
      <c r="O2898" s="250"/>
      <c r="P2898" s="249"/>
      <c r="Q2898" s="330"/>
      <c r="R2898" s="250"/>
      <c r="S2898" s="249"/>
      <c r="T2898" s="330"/>
      <c r="U2898" s="250"/>
      <c r="V2898" s="249"/>
      <c r="W2898" s="330"/>
      <c r="X2898" s="343"/>
      <c r="Y2898" s="249"/>
      <c r="Z2898" s="330"/>
      <c r="AA2898" s="343"/>
      <c r="AB2898" s="249"/>
      <c r="AC2898" s="330"/>
      <c r="AD2898" s="343"/>
      <c r="AE2898" s="249"/>
      <c r="AF2898" s="330"/>
      <c r="AG2898" s="343"/>
      <c r="AH2898" s="249"/>
      <c r="AI2898" s="330"/>
      <c r="AJ2898" s="343"/>
      <c r="AK2898" s="249"/>
      <c r="AL2898" s="330"/>
      <c r="AM2898" s="343"/>
      <c r="AN2898" s="249"/>
      <c r="AO2898" s="330"/>
      <c r="AP2898" s="343"/>
      <c r="AQ2898" s="249"/>
      <c r="AR2898" s="330"/>
      <c r="AS2898" s="343"/>
      <c r="AT2898" s="249"/>
      <c r="AU2898" s="330"/>
    </row>
    <row r="2899" spans="2:47">
      <c r="B2899" s="247">
        <f>'Table S2 Compound Identifiers'!C2901</f>
        <v>0</v>
      </c>
      <c r="C2899" s="247">
        <f>COUNTIF($D$6:D2899,"&lt;&gt;"&amp;"")</f>
        <v>2894</v>
      </c>
      <c r="D2899" s="247">
        <f>'Table S2 Compound Identifiers'!B2901</f>
        <v>0</v>
      </c>
      <c r="E2899" s="247"/>
      <c r="F2899" s="248"/>
      <c r="G2899" s="249"/>
      <c r="H2899" s="330"/>
      <c r="I2899" s="328"/>
      <c r="J2899" s="249"/>
      <c r="K2899" s="330"/>
      <c r="L2899" s="250"/>
      <c r="M2899" s="249"/>
      <c r="N2899" s="330"/>
      <c r="O2899" s="250"/>
      <c r="P2899" s="249"/>
      <c r="Q2899" s="330"/>
      <c r="R2899" s="250"/>
      <c r="S2899" s="249"/>
      <c r="T2899" s="330"/>
      <c r="U2899" s="250"/>
      <c r="V2899" s="249"/>
      <c r="W2899" s="330"/>
      <c r="X2899" s="343"/>
      <c r="Y2899" s="249"/>
      <c r="Z2899" s="330"/>
      <c r="AA2899" s="343"/>
      <c r="AB2899" s="249"/>
      <c r="AC2899" s="330"/>
      <c r="AD2899" s="343"/>
      <c r="AE2899" s="249"/>
      <c r="AF2899" s="330"/>
      <c r="AG2899" s="343"/>
      <c r="AH2899" s="249"/>
      <c r="AI2899" s="330"/>
      <c r="AJ2899" s="343"/>
      <c r="AK2899" s="249"/>
      <c r="AL2899" s="330"/>
      <c r="AM2899" s="343"/>
      <c r="AN2899" s="249"/>
      <c r="AO2899" s="330"/>
      <c r="AP2899" s="343"/>
      <c r="AQ2899" s="249"/>
      <c r="AR2899" s="330"/>
      <c r="AS2899" s="343"/>
      <c r="AT2899" s="249"/>
      <c r="AU2899" s="330"/>
    </row>
    <row r="2900" spans="2:47">
      <c r="B2900" s="247">
        <f>'Table S2 Compound Identifiers'!C2902</f>
        <v>0</v>
      </c>
      <c r="C2900" s="247">
        <f>COUNTIF($D$6:D2900,"&lt;&gt;"&amp;"")</f>
        <v>2895</v>
      </c>
      <c r="D2900" s="247">
        <f>'Table S2 Compound Identifiers'!B2902</f>
        <v>0</v>
      </c>
      <c r="E2900" s="247"/>
      <c r="F2900" s="248"/>
      <c r="G2900" s="249"/>
      <c r="H2900" s="330"/>
      <c r="I2900" s="328"/>
      <c r="J2900" s="249"/>
      <c r="K2900" s="330"/>
      <c r="L2900" s="250"/>
      <c r="M2900" s="249"/>
      <c r="N2900" s="330"/>
      <c r="O2900" s="250"/>
      <c r="P2900" s="249"/>
      <c r="Q2900" s="330"/>
      <c r="R2900" s="250"/>
      <c r="S2900" s="249"/>
      <c r="T2900" s="330"/>
      <c r="U2900" s="250"/>
      <c r="V2900" s="249"/>
      <c r="W2900" s="330"/>
      <c r="X2900" s="343"/>
      <c r="Y2900" s="249"/>
      <c r="Z2900" s="330"/>
      <c r="AA2900" s="343"/>
      <c r="AB2900" s="249"/>
      <c r="AC2900" s="330"/>
      <c r="AD2900" s="343"/>
      <c r="AE2900" s="249"/>
      <c r="AF2900" s="330"/>
      <c r="AG2900" s="343"/>
      <c r="AH2900" s="249"/>
      <c r="AI2900" s="330"/>
      <c r="AJ2900" s="343"/>
      <c r="AK2900" s="249"/>
      <c r="AL2900" s="330"/>
      <c r="AM2900" s="343"/>
      <c r="AN2900" s="249"/>
      <c r="AO2900" s="330"/>
      <c r="AP2900" s="343"/>
      <c r="AQ2900" s="249"/>
      <c r="AR2900" s="330"/>
      <c r="AS2900" s="343"/>
      <c r="AT2900" s="249"/>
      <c r="AU2900" s="330"/>
    </row>
    <row r="2901" spans="2:47">
      <c r="B2901" s="247">
        <f>'Table S2 Compound Identifiers'!C2903</f>
        <v>0</v>
      </c>
      <c r="C2901" s="247">
        <f>COUNTIF($D$6:D2901,"&lt;&gt;"&amp;"")</f>
        <v>2896</v>
      </c>
      <c r="D2901" s="247">
        <f>'Table S2 Compound Identifiers'!B2903</f>
        <v>0</v>
      </c>
      <c r="E2901" s="247"/>
      <c r="F2901" s="248"/>
      <c r="G2901" s="249"/>
      <c r="H2901" s="330"/>
      <c r="I2901" s="328"/>
      <c r="J2901" s="249"/>
      <c r="K2901" s="330"/>
      <c r="L2901" s="250"/>
      <c r="M2901" s="249"/>
      <c r="N2901" s="330"/>
      <c r="O2901" s="250"/>
      <c r="P2901" s="249"/>
      <c r="Q2901" s="330"/>
      <c r="R2901" s="250"/>
      <c r="S2901" s="249"/>
      <c r="T2901" s="330"/>
      <c r="U2901" s="250"/>
      <c r="V2901" s="249"/>
      <c r="W2901" s="330"/>
      <c r="X2901" s="343"/>
      <c r="Y2901" s="249"/>
      <c r="Z2901" s="330"/>
      <c r="AA2901" s="343"/>
      <c r="AB2901" s="249"/>
      <c r="AC2901" s="330"/>
      <c r="AD2901" s="343"/>
      <c r="AE2901" s="249"/>
      <c r="AF2901" s="330"/>
      <c r="AG2901" s="343"/>
      <c r="AH2901" s="249"/>
      <c r="AI2901" s="330"/>
      <c r="AJ2901" s="343"/>
      <c r="AK2901" s="249"/>
      <c r="AL2901" s="330"/>
      <c r="AM2901" s="343"/>
      <c r="AN2901" s="249"/>
      <c r="AO2901" s="330"/>
      <c r="AP2901" s="343"/>
      <c r="AQ2901" s="249"/>
      <c r="AR2901" s="330"/>
      <c r="AS2901" s="343"/>
      <c r="AT2901" s="249"/>
      <c r="AU2901" s="330"/>
    </row>
    <row r="2902" spans="2:47">
      <c r="B2902" s="247">
        <f>'Table S2 Compound Identifiers'!C2904</f>
        <v>0</v>
      </c>
      <c r="C2902" s="247">
        <f>COUNTIF($D$6:D2902,"&lt;&gt;"&amp;"")</f>
        <v>2897</v>
      </c>
      <c r="D2902" s="247">
        <f>'Table S2 Compound Identifiers'!B2904</f>
        <v>0</v>
      </c>
      <c r="E2902" s="247"/>
      <c r="F2902" s="248"/>
      <c r="G2902" s="249"/>
      <c r="H2902" s="330"/>
      <c r="I2902" s="328"/>
      <c r="J2902" s="249"/>
      <c r="K2902" s="330"/>
      <c r="L2902" s="250"/>
      <c r="M2902" s="249"/>
      <c r="N2902" s="330"/>
      <c r="O2902" s="250"/>
      <c r="P2902" s="249"/>
      <c r="Q2902" s="330"/>
      <c r="R2902" s="250"/>
      <c r="S2902" s="249"/>
      <c r="T2902" s="330"/>
      <c r="U2902" s="250"/>
      <c r="V2902" s="249"/>
      <c r="W2902" s="330"/>
      <c r="X2902" s="343"/>
      <c r="Y2902" s="249"/>
      <c r="Z2902" s="330"/>
      <c r="AA2902" s="343"/>
      <c r="AB2902" s="249"/>
      <c r="AC2902" s="330"/>
      <c r="AD2902" s="343"/>
      <c r="AE2902" s="249"/>
      <c r="AF2902" s="330"/>
      <c r="AG2902" s="343"/>
      <c r="AH2902" s="249"/>
      <c r="AI2902" s="330"/>
      <c r="AJ2902" s="343"/>
      <c r="AK2902" s="249"/>
      <c r="AL2902" s="330"/>
      <c r="AM2902" s="343"/>
      <c r="AN2902" s="249"/>
      <c r="AO2902" s="330"/>
      <c r="AP2902" s="343"/>
      <c r="AQ2902" s="249"/>
      <c r="AR2902" s="330"/>
      <c r="AS2902" s="343"/>
      <c r="AT2902" s="249"/>
      <c r="AU2902" s="330"/>
    </row>
    <row r="2903" spans="2:47">
      <c r="B2903" s="247">
        <f>'Table S2 Compound Identifiers'!C2905</f>
        <v>0</v>
      </c>
      <c r="C2903" s="247">
        <f>COUNTIF($D$6:D2903,"&lt;&gt;"&amp;"")</f>
        <v>2898</v>
      </c>
      <c r="D2903" s="247">
        <f>'Table S2 Compound Identifiers'!B2905</f>
        <v>0</v>
      </c>
      <c r="E2903" s="247"/>
      <c r="F2903" s="248"/>
      <c r="G2903" s="249"/>
      <c r="H2903" s="330"/>
      <c r="I2903" s="328"/>
      <c r="J2903" s="249"/>
      <c r="K2903" s="330"/>
      <c r="L2903" s="250"/>
      <c r="M2903" s="249"/>
      <c r="N2903" s="330"/>
      <c r="O2903" s="250"/>
      <c r="P2903" s="249"/>
      <c r="Q2903" s="330"/>
      <c r="R2903" s="250"/>
      <c r="S2903" s="249"/>
      <c r="T2903" s="330"/>
      <c r="U2903" s="250"/>
      <c r="V2903" s="249"/>
      <c r="W2903" s="330"/>
      <c r="X2903" s="343"/>
      <c r="Y2903" s="249"/>
      <c r="Z2903" s="330"/>
      <c r="AA2903" s="343"/>
      <c r="AB2903" s="249"/>
      <c r="AC2903" s="330"/>
      <c r="AD2903" s="343"/>
      <c r="AE2903" s="249"/>
      <c r="AF2903" s="330"/>
      <c r="AG2903" s="343"/>
      <c r="AH2903" s="249"/>
      <c r="AI2903" s="330"/>
      <c r="AJ2903" s="343"/>
      <c r="AK2903" s="249"/>
      <c r="AL2903" s="330"/>
      <c r="AM2903" s="343"/>
      <c r="AN2903" s="249"/>
      <c r="AO2903" s="330"/>
      <c r="AP2903" s="343"/>
      <c r="AQ2903" s="249"/>
      <c r="AR2903" s="330"/>
      <c r="AS2903" s="343"/>
      <c r="AT2903" s="249"/>
      <c r="AU2903" s="330"/>
    </row>
    <row r="2904" spans="2:47">
      <c r="B2904" s="247">
        <f>'Table S2 Compound Identifiers'!C2906</f>
        <v>0</v>
      </c>
      <c r="C2904" s="247">
        <f>COUNTIF($D$6:D2904,"&lt;&gt;"&amp;"")</f>
        <v>2899</v>
      </c>
      <c r="D2904" s="247">
        <f>'Table S2 Compound Identifiers'!B2906</f>
        <v>0</v>
      </c>
      <c r="E2904" s="247"/>
      <c r="F2904" s="248"/>
      <c r="G2904" s="249"/>
      <c r="H2904" s="330"/>
      <c r="I2904" s="328"/>
      <c r="J2904" s="249"/>
      <c r="K2904" s="330"/>
      <c r="L2904" s="250"/>
      <c r="M2904" s="249"/>
      <c r="N2904" s="330"/>
      <c r="O2904" s="250"/>
      <c r="P2904" s="249"/>
      <c r="Q2904" s="330"/>
      <c r="R2904" s="250"/>
      <c r="S2904" s="249"/>
      <c r="T2904" s="330"/>
      <c r="U2904" s="250"/>
      <c r="V2904" s="249"/>
      <c r="W2904" s="330"/>
      <c r="X2904" s="343"/>
      <c r="Y2904" s="249"/>
      <c r="Z2904" s="330"/>
      <c r="AA2904" s="343"/>
      <c r="AB2904" s="249"/>
      <c r="AC2904" s="330"/>
      <c r="AD2904" s="343"/>
      <c r="AE2904" s="249"/>
      <c r="AF2904" s="330"/>
      <c r="AG2904" s="343"/>
      <c r="AH2904" s="249"/>
      <c r="AI2904" s="330"/>
      <c r="AJ2904" s="343"/>
      <c r="AK2904" s="249"/>
      <c r="AL2904" s="330"/>
      <c r="AM2904" s="343"/>
      <c r="AN2904" s="249"/>
      <c r="AO2904" s="330"/>
      <c r="AP2904" s="343"/>
      <c r="AQ2904" s="249"/>
      <c r="AR2904" s="330"/>
      <c r="AS2904" s="343"/>
      <c r="AT2904" s="249"/>
      <c r="AU2904" s="330"/>
    </row>
    <row r="2905" spans="2:47">
      <c r="B2905" s="247">
        <f>'Table S2 Compound Identifiers'!C2907</f>
        <v>0</v>
      </c>
      <c r="C2905" s="247">
        <f>COUNTIF($D$6:D2905,"&lt;&gt;"&amp;"")</f>
        <v>2900</v>
      </c>
      <c r="D2905" s="247">
        <f>'Table S2 Compound Identifiers'!B2907</f>
        <v>0</v>
      </c>
      <c r="E2905" s="247"/>
      <c r="F2905" s="248"/>
      <c r="G2905" s="249"/>
      <c r="H2905" s="330"/>
      <c r="I2905" s="328"/>
      <c r="J2905" s="249"/>
      <c r="K2905" s="330"/>
      <c r="L2905" s="250"/>
      <c r="M2905" s="249"/>
      <c r="N2905" s="330"/>
      <c r="O2905" s="250"/>
      <c r="P2905" s="249"/>
      <c r="Q2905" s="330"/>
      <c r="R2905" s="250"/>
      <c r="S2905" s="249"/>
      <c r="T2905" s="330"/>
      <c r="U2905" s="250"/>
      <c r="V2905" s="249"/>
      <c r="W2905" s="330"/>
      <c r="X2905" s="343"/>
      <c r="Y2905" s="249"/>
      <c r="Z2905" s="330"/>
      <c r="AA2905" s="343"/>
      <c r="AB2905" s="249"/>
      <c r="AC2905" s="330"/>
      <c r="AD2905" s="343"/>
      <c r="AE2905" s="249"/>
      <c r="AF2905" s="330"/>
      <c r="AG2905" s="343"/>
      <c r="AH2905" s="249"/>
      <c r="AI2905" s="330"/>
      <c r="AJ2905" s="343"/>
      <c r="AK2905" s="249"/>
      <c r="AL2905" s="330"/>
      <c r="AM2905" s="343"/>
      <c r="AN2905" s="249"/>
      <c r="AO2905" s="330"/>
      <c r="AP2905" s="343"/>
      <c r="AQ2905" s="249"/>
      <c r="AR2905" s="330"/>
      <c r="AS2905" s="343"/>
      <c r="AT2905" s="249"/>
      <c r="AU2905" s="330"/>
    </row>
    <row r="2906" spans="2:47">
      <c r="B2906" s="247">
        <f>'Table S2 Compound Identifiers'!C2908</f>
        <v>0</v>
      </c>
      <c r="C2906" s="247">
        <f>COUNTIF($D$6:D2906,"&lt;&gt;"&amp;"")</f>
        <v>2901</v>
      </c>
      <c r="D2906" s="247">
        <f>'Table S2 Compound Identifiers'!B2908</f>
        <v>0</v>
      </c>
      <c r="E2906" s="247"/>
      <c r="F2906" s="248"/>
      <c r="G2906" s="249"/>
      <c r="H2906" s="330"/>
      <c r="I2906" s="328"/>
      <c r="J2906" s="249"/>
      <c r="K2906" s="330"/>
      <c r="L2906" s="250"/>
      <c r="M2906" s="249"/>
      <c r="N2906" s="330"/>
      <c r="O2906" s="250"/>
      <c r="P2906" s="249"/>
      <c r="Q2906" s="330"/>
      <c r="R2906" s="250"/>
      <c r="S2906" s="249"/>
      <c r="T2906" s="330"/>
      <c r="U2906" s="250"/>
      <c r="V2906" s="249"/>
      <c r="W2906" s="330"/>
      <c r="X2906" s="343"/>
      <c r="Y2906" s="249"/>
      <c r="Z2906" s="330"/>
      <c r="AA2906" s="343"/>
      <c r="AB2906" s="249"/>
      <c r="AC2906" s="330"/>
      <c r="AD2906" s="343"/>
      <c r="AE2906" s="249"/>
      <c r="AF2906" s="330"/>
      <c r="AG2906" s="343"/>
      <c r="AH2906" s="249"/>
      <c r="AI2906" s="330"/>
      <c r="AJ2906" s="343"/>
      <c r="AK2906" s="249"/>
      <c r="AL2906" s="330"/>
      <c r="AM2906" s="343"/>
      <c r="AN2906" s="249"/>
      <c r="AO2906" s="330"/>
      <c r="AP2906" s="343"/>
      <c r="AQ2906" s="249"/>
      <c r="AR2906" s="330"/>
      <c r="AS2906" s="343"/>
      <c r="AT2906" s="249"/>
      <c r="AU2906" s="330"/>
    </row>
    <row r="2907" spans="2:47">
      <c r="B2907" s="247">
        <f>'Table S2 Compound Identifiers'!C2909</f>
        <v>0</v>
      </c>
      <c r="C2907" s="247">
        <f>COUNTIF($D$6:D2907,"&lt;&gt;"&amp;"")</f>
        <v>2902</v>
      </c>
      <c r="D2907" s="247">
        <f>'Table S2 Compound Identifiers'!B2909</f>
        <v>0</v>
      </c>
      <c r="E2907" s="247"/>
      <c r="F2907" s="248"/>
      <c r="G2907" s="249"/>
      <c r="H2907" s="330"/>
      <c r="I2907" s="328"/>
      <c r="J2907" s="249"/>
      <c r="K2907" s="330"/>
      <c r="L2907" s="250"/>
      <c r="M2907" s="249"/>
      <c r="N2907" s="330"/>
      <c r="O2907" s="250"/>
      <c r="P2907" s="249"/>
      <c r="Q2907" s="330"/>
      <c r="R2907" s="250"/>
      <c r="S2907" s="249"/>
      <c r="T2907" s="330"/>
      <c r="U2907" s="250"/>
      <c r="V2907" s="249"/>
      <c r="W2907" s="330"/>
      <c r="X2907" s="343"/>
      <c r="Y2907" s="249"/>
      <c r="Z2907" s="330"/>
      <c r="AA2907" s="343"/>
      <c r="AB2907" s="249"/>
      <c r="AC2907" s="330"/>
      <c r="AD2907" s="343"/>
      <c r="AE2907" s="249"/>
      <c r="AF2907" s="330"/>
      <c r="AG2907" s="343"/>
      <c r="AH2907" s="249"/>
      <c r="AI2907" s="330"/>
      <c r="AJ2907" s="343"/>
      <c r="AK2907" s="249"/>
      <c r="AL2907" s="330"/>
      <c r="AM2907" s="343"/>
      <c r="AN2907" s="249"/>
      <c r="AO2907" s="330"/>
      <c r="AP2907" s="343"/>
      <c r="AQ2907" s="249"/>
      <c r="AR2907" s="330"/>
      <c r="AS2907" s="343"/>
      <c r="AT2907" s="249"/>
      <c r="AU2907" s="330"/>
    </row>
    <row r="2908" spans="2:47">
      <c r="B2908" s="247">
        <f>'Table S2 Compound Identifiers'!C2910</f>
        <v>0</v>
      </c>
      <c r="C2908" s="247">
        <f>COUNTIF($D$6:D2908,"&lt;&gt;"&amp;"")</f>
        <v>2903</v>
      </c>
      <c r="D2908" s="247">
        <f>'Table S2 Compound Identifiers'!B2910</f>
        <v>0</v>
      </c>
      <c r="E2908" s="247"/>
      <c r="F2908" s="248"/>
      <c r="G2908" s="249"/>
      <c r="H2908" s="330"/>
      <c r="I2908" s="328"/>
      <c r="J2908" s="249"/>
      <c r="K2908" s="330"/>
      <c r="L2908" s="250"/>
      <c r="M2908" s="249"/>
      <c r="N2908" s="330"/>
      <c r="O2908" s="250"/>
      <c r="P2908" s="249"/>
      <c r="Q2908" s="330"/>
      <c r="R2908" s="250"/>
      <c r="S2908" s="249"/>
      <c r="T2908" s="330"/>
      <c r="U2908" s="250"/>
      <c r="V2908" s="249"/>
      <c r="W2908" s="330"/>
      <c r="X2908" s="343"/>
      <c r="Y2908" s="249"/>
      <c r="Z2908" s="330"/>
      <c r="AA2908" s="343"/>
      <c r="AB2908" s="249"/>
      <c r="AC2908" s="330"/>
      <c r="AD2908" s="343"/>
      <c r="AE2908" s="249"/>
      <c r="AF2908" s="330"/>
      <c r="AG2908" s="343"/>
      <c r="AH2908" s="249"/>
      <c r="AI2908" s="330"/>
      <c r="AJ2908" s="343"/>
      <c r="AK2908" s="249"/>
      <c r="AL2908" s="330"/>
      <c r="AM2908" s="343"/>
      <c r="AN2908" s="249"/>
      <c r="AO2908" s="330"/>
      <c r="AP2908" s="343"/>
      <c r="AQ2908" s="249"/>
      <c r="AR2908" s="330"/>
      <c r="AS2908" s="343"/>
      <c r="AT2908" s="249"/>
      <c r="AU2908" s="330"/>
    </row>
    <row r="2909" spans="2:47">
      <c r="B2909" s="247">
        <f>'Table S2 Compound Identifiers'!C2911</f>
        <v>0</v>
      </c>
      <c r="C2909" s="247">
        <f>COUNTIF($D$6:D2909,"&lt;&gt;"&amp;"")</f>
        <v>2904</v>
      </c>
      <c r="D2909" s="247">
        <f>'Table S2 Compound Identifiers'!B2911</f>
        <v>0</v>
      </c>
      <c r="E2909" s="247"/>
      <c r="F2909" s="248"/>
      <c r="G2909" s="249"/>
      <c r="H2909" s="330"/>
      <c r="I2909" s="328"/>
      <c r="J2909" s="249"/>
      <c r="K2909" s="330"/>
      <c r="L2909" s="250"/>
      <c r="M2909" s="249"/>
      <c r="N2909" s="330"/>
      <c r="O2909" s="250"/>
      <c r="P2909" s="249"/>
      <c r="Q2909" s="330"/>
      <c r="R2909" s="250"/>
      <c r="S2909" s="249"/>
      <c r="T2909" s="330"/>
      <c r="U2909" s="250"/>
      <c r="V2909" s="249"/>
      <c r="W2909" s="330"/>
      <c r="X2909" s="343"/>
      <c r="Y2909" s="249"/>
      <c r="Z2909" s="330"/>
      <c r="AA2909" s="343"/>
      <c r="AB2909" s="249"/>
      <c r="AC2909" s="330"/>
      <c r="AD2909" s="343"/>
      <c r="AE2909" s="249"/>
      <c r="AF2909" s="330"/>
      <c r="AG2909" s="343"/>
      <c r="AH2909" s="249"/>
      <c r="AI2909" s="330"/>
      <c r="AJ2909" s="343"/>
      <c r="AK2909" s="249"/>
      <c r="AL2909" s="330"/>
      <c r="AM2909" s="343"/>
      <c r="AN2909" s="249"/>
      <c r="AO2909" s="330"/>
      <c r="AP2909" s="343"/>
      <c r="AQ2909" s="249"/>
      <c r="AR2909" s="330"/>
      <c r="AS2909" s="343"/>
      <c r="AT2909" s="249"/>
      <c r="AU2909" s="330"/>
    </row>
    <row r="2910" spans="2:47">
      <c r="B2910" s="247">
        <f>'Table S2 Compound Identifiers'!C2912</f>
        <v>0</v>
      </c>
      <c r="C2910" s="247">
        <f>COUNTIF($D$6:D2910,"&lt;&gt;"&amp;"")</f>
        <v>2905</v>
      </c>
      <c r="D2910" s="247">
        <f>'Table S2 Compound Identifiers'!B2912</f>
        <v>0</v>
      </c>
      <c r="E2910" s="247"/>
      <c r="F2910" s="248"/>
      <c r="G2910" s="249"/>
      <c r="H2910" s="330"/>
      <c r="I2910" s="328"/>
      <c r="J2910" s="249"/>
      <c r="K2910" s="330"/>
      <c r="L2910" s="250"/>
      <c r="M2910" s="249"/>
      <c r="N2910" s="330"/>
      <c r="O2910" s="250"/>
      <c r="P2910" s="249"/>
      <c r="Q2910" s="330"/>
      <c r="R2910" s="250"/>
      <c r="S2910" s="249"/>
      <c r="T2910" s="330"/>
      <c r="U2910" s="250"/>
      <c r="V2910" s="249"/>
      <c r="W2910" s="330"/>
      <c r="X2910" s="343"/>
      <c r="Y2910" s="249"/>
      <c r="Z2910" s="330"/>
      <c r="AA2910" s="343"/>
      <c r="AB2910" s="249"/>
      <c r="AC2910" s="330"/>
      <c r="AD2910" s="343"/>
      <c r="AE2910" s="249"/>
      <c r="AF2910" s="330"/>
      <c r="AG2910" s="343"/>
      <c r="AH2910" s="249"/>
      <c r="AI2910" s="330"/>
      <c r="AJ2910" s="343"/>
      <c r="AK2910" s="249"/>
      <c r="AL2910" s="330"/>
      <c r="AM2910" s="343"/>
      <c r="AN2910" s="249"/>
      <c r="AO2910" s="330"/>
      <c r="AP2910" s="343"/>
      <c r="AQ2910" s="249"/>
      <c r="AR2910" s="330"/>
      <c r="AS2910" s="343"/>
      <c r="AT2910" s="249"/>
      <c r="AU2910" s="330"/>
    </row>
    <row r="2911" spans="2:47">
      <c r="B2911" s="247">
        <f>'Table S2 Compound Identifiers'!C2913</f>
        <v>0</v>
      </c>
      <c r="C2911" s="247">
        <f>COUNTIF($D$6:D2911,"&lt;&gt;"&amp;"")</f>
        <v>2906</v>
      </c>
      <c r="D2911" s="247">
        <f>'Table S2 Compound Identifiers'!B2913</f>
        <v>0</v>
      </c>
      <c r="E2911" s="247"/>
      <c r="F2911" s="248"/>
      <c r="G2911" s="249"/>
      <c r="H2911" s="330"/>
      <c r="I2911" s="328"/>
      <c r="J2911" s="249"/>
      <c r="K2911" s="330"/>
      <c r="L2911" s="250"/>
      <c r="M2911" s="249"/>
      <c r="N2911" s="330"/>
      <c r="O2911" s="250"/>
      <c r="P2911" s="249"/>
      <c r="Q2911" s="330"/>
      <c r="R2911" s="250"/>
      <c r="S2911" s="249"/>
      <c r="T2911" s="330"/>
      <c r="U2911" s="250"/>
      <c r="V2911" s="249"/>
      <c r="W2911" s="330"/>
      <c r="X2911" s="343"/>
      <c r="Y2911" s="249"/>
      <c r="Z2911" s="330"/>
      <c r="AA2911" s="343"/>
      <c r="AB2911" s="249"/>
      <c r="AC2911" s="330"/>
      <c r="AD2911" s="343"/>
      <c r="AE2911" s="249"/>
      <c r="AF2911" s="330"/>
      <c r="AG2911" s="343"/>
      <c r="AH2911" s="249"/>
      <c r="AI2911" s="330"/>
      <c r="AJ2911" s="343"/>
      <c r="AK2911" s="249"/>
      <c r="AL2911" s="330"/>
      <c r="AM2911" s="343"/>
      <c r="AN2911" s="249"/>
      <c r="AO2911" s="330"/>
      <c r="AP2911" s="343"/>
      <c r="AQ2911" s="249"/>
      <c r="AR2911" s="330"/>
      <c r="AS2911" s="343"/>
      <c r="AT2911" s="249"/>
      <c r="AU2911" s="330"/>
    </row>
    <row r="2912" spans="2:47">
      <c r="B2912" s="247">
        <f>'Table S2 Compound Identifiers'!C2914</f>
        <v>0</v>
      </c>
      <c r="C2912" s="247">
        <f>COUNTIF($D$6:D2912,"&lt;&gt;"&amp;"")</f>
        <v>2907</v>
      </c>
      <c r="D2912" s="247">
        <f>'Table S2 Compound Identifiers'!B2914</f>
        <v>0</v>
      </c>
      <c r="E2912" s="247"/>
      <c r="F2912" s="248"/>
      <c r="G2912" s="249"/>
      <c r="H2912" s="330"/>
      <c r="I2912" s="328"/>
      <c r="J2912" s="249"/>
      <c r="K2912" s="330"/>
      <c r="L2912" s="250"/>
      <c r="M2912" s="249"/>
      <c r="N2912" s="330"/>
      <c r="O2912" s="250"/>
      <c r="P2912" s="249"/>
      <c r="Q2912" s="330"/>
      <c r="R2912" s="250"/>
      <c r="S2912" s="249"/>
      <c r="T2912" s="330"/>
      <c r="U2912" s="250"/>
      <c r="V2912" s="249"/>
      <c r="W2912" s="330"/>
      <c r="X2912" s="343"/>
      <c r="Y2912" s="249"/>
      <c r="Z2912" s="330"/>
      <c r="AA2912" s="343"/>
      <c r="AB2912" s="249"/>
      <c r="AC2912" s="330"/>
      <c r="AD2912" s="343"/>
      <c r="AE2912" s="249"/>
      <c r="AF2912" s="330"/>
      <c r="AG2912" s="343"/>
      <c r="AH2912" s="249"/>
      <c r="AI2912" s="330"/>
      <c r="AJ2912" s="343"/>
      <c r="AK2912" s="249"/>
      <c r="AL2912" s="330"/>
      <c r="AM2912" s="343"/>
      <c r="AN2912" s="249"/>
      <c r="AO2912" s="330"/>
      <c r="AP2912" s="343"/>
      <c r="AQ2912" s="249"/>
      <c r="AR2912" s="330"/>
      <c r="AS2912" s="343"/>
      <c r="AT2912" s="249"/>
      <c r="AU2912" s="330"/>
    </row>
    <row r="2913" spans="2:47">
      <c r="B2913" s="247">
        <f>'Table S2 Compound Identifiers'!C2915</f>
        <v>0</v>
      </c>
      <c r="C2913" s="247">
        <f>COUNTIF($D$6:D2913,"&lt;&gt;"&amp;"")</f>
        <v>2908</v>
      </c>
      <c r="D2913" s="247">
        <f>'Table S2 Compound Identifiers'!B2915</f>
        <v>0</v>
      </c>
      <c r="E2913" s="247"/>
      <c r="F2913" s="248"/>
      <c r="G2913" s="249"/>
      <c r="H2913" s="330"/>
      <c r="I2913" s="328"/>
      <c r="J2913" s="249"/>
      <c r="K2913" s="330"/>
      <c r="L2913" s="250"/>
      <c r="M2913" s="249"/>
      <c r="N2913" s="330"/>
      <c r="O2913" s="250"/>
      <c r="P2913" s="249"/>
      <c r="Q2913" s="330"/>
      <c r="R2913" s="250"/>
      <c r="S2913" s="249"/>
      <c r="T2913" s="330"/>
      <c r="U2913" s="250"/>
      <c r="V2913" s="249"/>
      <c r="W2913" s="330"/>
      <c r="X2913" s="343"/>
      <c r="Y2913" s="249"/>
      <c r="Z2913" s="330"/>
      <c r="AA2913" s="343"/>
      <c r="AB2913" s="249"/>
      <c r="AC2913" s="330"/>
      <c r="AD2913" s="343"/>
      <c r="AE2913" s="249"/>
      <c r="AF2913" s="330"/>
      <c r="AG2913" s="343"/>
      <c r="AH2913" s="249"/>
      <c r="AI2913" s="330"/>
      <c r="AJ2913" s="343"/>
      <c r="AK2913" s="249"/>
      <c r="AL2913" s="330"/>
      <c r="AM2913" s="343"/>
      <c r="AN2913" s="249"/>
      <c r="AO2913" s="330"/>
      <c r="AP2913" s="343"/>
      <c r="AQ2913" s="249"/>
      <c r="AR2913" s="330"/>
      <c r="AS2913" s="343"/>
      <c r="AT2913" s="249"/>
      <c r="AU2913" s="330"/>
    </row>
    <row r="2914" spans="2:47">
      <c r="B2914" s="247">
        <f>'Table S2 Compound Identifiers'!C2916</f>
        <v>0</v>
      </c>
      <c r="C2914" s="247">
        <f>COUNTIF($D$6:D2914,"&lt;&gt;"&amp;"")</f>
        <v>2909</v>
      </c>
      <c r="D2914" s="247">
        <f>'Table S2 Compound Identifiers'!B2916</f>
        <v>0</v>
      </c>
      <c r="E2914" s="247"/>
      <c r="F2914" s="248"/>
      <c r="G2914" s="249"/>
      <c r="H2914" s="330"/>
      <c r="I2914" s="328"/>
      <c r="J2914" s="249"/>
      <c r="K2914" s="330"/>
      <c r="L2914" s="250"/>
      <c r="M2914" s="249"/>
      <c r="N2914" s="330"/>
      <c r="O2914" s="250"/>
      <c r="P2914" s="249"/>
      <c r="Q2914" s="330"/>
      <c r="R2914" s="250"/>
      <c r="S2914" s="249"/>
      <c r="T2914" s="330"/>
      <c r="U2914" s="250"/>
      <c r="V2914" s="249"/>
      <c r="W2914" s="330"/>
      <c r="X2914" s="343"/>
      <c r="Y2914" s="249"/>
      <c r="Z2914" s="330"/>
      <c r="AA2914" s="343"/>
      <c r="AB2914" s="249"/>
      <c r="AC2914" s="330"/>
      <c r="AD2914" s="343"/>
      <c r="AE2914" s="249"/>
      <c r="AF2914" s="330"/>
      <c r="AG2914" s="343"/>
      <c r="AH2914" s="249"/>
      <c r="AI2914" s="330"/>
      <c r="AJ2914" s="343"/>
      <c r="AK2914" s="249"/>
      <c r="AL2914" s="330"/>
      <c r="AM2914" s="343"/>
      <c r="AN2914" s="249"/>
      <c r="AO2914" s="330"/>
      <c r="AP2914" s="343"/>
      <c r="AQ2914" s="249"/>
      <c r="AR2914" s="330"/>
      <c r="AS2914" s="343"/>
      <c r="AT2914" s="249"/>
      <c r="AU2914" s="330"/>
    </row>
    <row r="2915" spans="2:47">
      <c r="B2915" s="247">
        <f>'Table S2 Compound Identifiers'!C2917</f>
        <v>0</v>
      </c>
      <c r="C2915" s="247">
        <f>COUNTIF($D$6:D2915,"&lt;&gt;"&amp;"")</f>
        <v>2910</v>
      </c>
      <c r="D2915" s="247">
        <f>'Table S2 Compound Identifiers'!B2917</f>
        <v>0</v>
      </c>
      <c r="E2915" s="247"/>
      <c r="F2915" s="248"/>
      <c r="G2915" s="249"/>
      <c r="H2915" s="330"/>
      <c r="I2915" s="328"/>
      <c r="J2915" s="249"/>
      <c r="K2915" s="330"/>
      <c r="L2915" s="250"/>
      <c r="M2915" s="249"/>
      <c r="N2915" s="330"/>
      <c r="O2915" s="250"/>
      <c r="P2915" s="249"/>
      <c r="Q2915" s="330"/>
      <c r="R2915" s="250"/>
      <c r="S2915" s="249"/>
      <c r="T2915" s="330"/>
      <c r="U2915" s="250"/>
      <c r="V2915" s="249"/>
      <c r="W2915" s="330"/>
      <c r="X2915" s="343"/>
      <c r="Y2915" s="249"/>
      <c r="Z2915" s="330"/>
      <c r="AA2915" s="343"/>
      <c r="AB2915" s="249"/>
      <c r="AC2915" s="330"/>
      <c r="AD2915" s="343"/>
      <c r="AE2915" s="249"/>
      <c r="AF2915" s="330"/>
      <c r="AG2915" s="343"/>
      <c r="AH2915" s="249"/>
      <c r="AI2915" s="330"/>
      <c r="AJ2915" s="343"/>
      <c r="AK2915" s="249"/>
      <c r="AL2915" s="330"/>
      <c r="AM2915" s="343"/>
      <c r="AN2915" s="249"/>
      <c r="AO2915" s="330"/>
      <c r="AP2915" s="343"/>
      <c r="AQ2915" s="249"/>
      <c r="AR2915" s="330"/>
      <c r="AS2915" s="343"/>
      <c r="AT2915" s="249"/>
      <c r="AU2915" s="330"/>
    </row>
    <row r="2916" spans="2:47">
      <c r="B2916" s="247">
        <f>'Table S2 Compound Identifiers'!C2918</f>
        <v>0</v>
      </c>
      <c r="C2916" s="247">
        <f>COUNTIF($D$6:D2916,"&lt;&gt;"&amp;"")</f>
        <v>2911</v>
      </c>
      <c r="D2916" s="247">
        <f>'Table S2 Compound Identifiers'!B2918</f>
        <v>0</v>
      </c>
      <c r="E2916" s="247"/>
      <c r="F2916" s="248"/>
      <c r="G2916" s="249"/>
      <c r="H2916" s="330"/>
      <c r="I2916" s="328"/>
      <c r="J2916" s="249"/>
      <c r="K2916" s="330"/>
      <c r="L2916" s="250"/>
      <c r="M2916" s="249"/>
      <c r="N2916" s="330"/>
      <c r="O2916" s="250"/>
      <c r="P2916" s="249"/>
      <c r="Q2916" s="330"/>
      <c r="R2916" s="250"/>
      <c r="S2916" s="249"/>
      <c r="T2916" s="330"/>
      <c r="U2916" s="250"/>
      <c r="V2916" s="249"/>
      <c r="W2916" s="330"/>
      <c r="X2916" s="343"/>
      <c r="Y2916" s="249"/>
      <c r="Z2916" s="330"/>
      <c r="AA2916" s="343"/>
      <c r="AB2916" s="249"/>
      <c r="AC2916" s="330"/>
      <c r="AD2916" s="343"/>
      <c r="AE2916" s="249"/>
      <c r="AF2916" s="330"/>
      <c r="AG2916" s="343"/>
      <c r="AH2916" s="249"/>
      <c r="AI2916" s="330"/>
      <c r="AJ2916" s="343"/>
      <c r="AK2916" s="249"/>
      <c r="AL2916" s="330"/>
      <c r="AM2916" s="343"/>
      <c r="AN2916" s="249"/>
      <c r="AO2916" s="330"/>
      <c r="AP2916" s="343"/>
      <c r="AQ2916" s="249"/>
      <c r="AR2916" s="330"/>
      <c r="AS2916" s="343"/>
      <c r="AT2916" s="249"/>
      <c r="AU2916" s="330"/>
    </row>
    <row r="2917" spans="2:47">
      <c r="B2917" s="247">
        <f>'Table S2 Compound Identifiers'!C2919</f>
        <v>0</v>
      </c>
      <c r="C2917" s="247">
        <f>COUNTIF($D$6:D2917,"&lt;&gt;"&amp;"")</f>
        <v>2912</v>
      </c>
      <c r="D2917" s="247">
        <f>'Table S2 Compound Identifiers'!B2919</f>
        <v>0</v>
      </c>
      <c r="E2917" s="247"/>
      <c r="F2917" s="248"/>
      <c r="G2917" s="249"/>
      <c r="H2917" s="330"/>
      <c r="I2917" s="328"/>
      <c r="J2917" s="249"/>
      <c r="K2917" s="330"/>
      <c r="L2917" s="250"/>
      <c r="M2917" s="249"/>
      <c r="N2917" s="330"/>
      <c r="O2917" s="250"/>
      <c r="P2917" s="249"/>
      <c r="Q2917" s="330"/>
      <c r="R2917" s="250"/>
      <c r="S2917" s="249"/>
      <c r="T2917" s="330"/>
      <c r="U2917" s="250"/>
      <c r="V2917" s="249"/>
      <c r="W2917" s="330"/>
      <c r="X2917" s="343"/>
      <c r="Y2917" s="249"/>
      <c r="Z2917" s="330"/>
      <c r="AA2917" s="343"/>
      <c r="AB2917" s="249"/>
      <c r="AC2917" s="330"/>
      <c r="AD2917" s="343"/>
      <c r="AE2917" s="249"/>
      <c r="AF2917" s="330"/>
      <c r="AG2917" s="343"/>
      <c r="AH2917" s="249"/>
      <c r="AI2917" s="330"/>
      <c r="AJ2917" s="343"/>
      <c r="AK2917" s="249"/>
      <c r="AL2917" s="330"/>
      <c r="AM2917" s="343"/>
      <c r="AN2917" s="249"/>
      <c r="AO2917" s="330"/>
      <c r="AP2917" s="343"/>
      <c r="AQ2917" s="249"/>
      <c r="AR2917" s="330"/>
      <c r="AS2917" s="343"/>
      <c r="AT2917" s="249"/>
      <c r="AU2917" s="330"/>
    </row>
    <row r="2918" spans="2:47">
      <c r="B2918" s="247">
        <f>'Table S2 Compound Identifiers'!C2920</f>
        <v>0</v>
      </c>
      <c r="C2918" s="247">
        <f>COUNTIF($D$6:D2918,"&lt;&gt;"&amp;"")</f>
        <v>2913</v>
      </c>
      <c r="D2918" s="247">
        <f>'Table S2 Compound Identifiers'!B2920</f>
        <v>0</v>
      </c>
      <c r="E2918" s="247"/>
      <c r="F2918" s="248"/>
      <c r="G2918" s="249"/>
      <c r="H2918" s="330"/>
      <c r="I2918" s="328"/>
      <c r="J2918" s="249"/>
      <c r="K2918" s="330"/>
      <c r="L2918" s="250"/>
      <c r="M2918" s="249"/>
      <c r="N2918" s="330"/>
      <c r="O2918" s="250"/>
      <c r="P2918" s="249"/>
      <c r="Q2918" s="330"/>
      <c r="R2918" s="250"/>
      <c r="S2918" s="249"/>
      <c r="T2918" s="330"/>
      <c r="U2918" s="250"/>
      <c r="V2918" s="249"/>
      <c r="W2918" s="330"/>
      <c r="X2918" s="343"/>
      <c r="Y2918" s="249"/>
      <c r="Z2918" s="330"/>
      <c r="AA2918" s="343"/>
      <c r="AB2918" s="249"/>
      <c r="AC2918" s="330"/>
      <c r="AD2918" s="343"/>
      <c r="AE2918" s="249"/>
      <c r="AF2918" s="330"/>
      <c r="AG2918" s="343"/>
      <c r="AH2918" s="249"/>
      <c r="AI2918" s="330"/>
      <c r="AJ2918" s="343"/>
      <c r="AK2918" s="249"/>
      <c r="AL2918" s="330"/>
      <c r="AM2918" s="343"/>
      <c r="AN2918" s="249"/>
      <c r="AO2918" s="330"/>
      <c r="AP2918" s="343"/>
      <c r="AQ2918" s="249"/>
      <c r="AR2918" s="330"/>
      <c r="AS2918" s="343"/>
      <c r="AT2918" s="249"/>
      <c r="AU2918" s="330"/>
    </row>
    <row r="2919" spans="2:47">
      <c r="B2919" s="247">
        <f>'Table S2 Compound Identifiers'!C2921</f>
        <v>0</v>
      </c>
      <c r="C2919" s="247">
        <f>COUNTIF($D$6:D2919,"&lt;&gt;"&amp;"")</f>
        <v>2914</v>
      </c>
      <c r="D2919" s="247">
        <f>'Table S2 Compound Identifiers'!B2921</f>
        <v>0</v>
      </c>
      <c r="E2919" s="247"/>
      <c r="F2919" s="248"/>
      <c r="G2919" s="249"/>
      <c r="H2919" s="330"/>
      <c r="I2919" s="328"/>
      <c r="J2919" s="249"/>
      <c r="K2919" s="330"/>
      <c r="L2919" s="250"/>
      <c r="M2919" s="249"/>
      <c r="N2919" s="330"/>
      <c r="O2919" s="250"/>
      <c r="P2919" s="249"/>
      <c r="Q2919" s="330"/>
      <c r="R2919" s="250"/>
      <c r="S2919" s="249"/>
      <c r="T2919" s="330"/>
      <c r="U2919" s="250"/>
      <c r="V2919" s="249"/>
      <c r="W2919" s="330"/>
      <c r="X2919" s="343"/>
      <c r="Y2919" s="249"/>
      <c r="Z2919" s="330"/>
      <c r="AA2919" s="343"/>
      <c r="AB2919" s="249"/>
      <c r="AC2919" s="330"/>
      <c r="AD2919" s="343"/>
      <c r="AE2919" s="249"/>
      <c r="AF2919" s="330"/>
      <c r="AG2919" s="343"/>
      <c r="AH2919" s="249"/>
      <c r="AI2919" s="330"/>
      <c r="AJ2919" s="343"/>
      <c r="AK2919" s="249"/>
      <c r="AL2919" s="330"/>
      <c r="AM2919" s="343"/>
      <c r="AN2919" s="249"/>
      <c r="AO2919" s="330"/>
      <c r="AP2919" s="343"/>
      <c r="AQ2919" s="249"/>
      <c r="AR2919" s="330"/>
      <c r="AS2919" s="343"/>
      <c r="AT2919" s="249"/>
      <c r="AU2919" s="330"/>
    </row>
    <row r="2920" spans="2:47">
      <c r="B2920" s="247">
        <f>'Table S2 Compound Identifiers'!C2922</f>
        <v>0</v>
      </c>
      <c r="C2920" s="247">
        <f>COUNTIF($D$6:D2920,"&lt;&gt;"&amp;"")</f>
        <v>2915</v>
      </c>
      <c r="D2920" s="247">
        <f>'Table S2 Compound Identifiers'!B2922</f>
        <v>0</v>
      </c>
      <c r="E2920" s="247"/>
      <c r="F2920" s="248"/>
      <c r="G2920" s="249"/>
      <c r="H2920" s="330"/>
      <c r="I2920" s="328"/>
      <c r="J2920" s="249"/>
      <c r="K2920" s="330"/>
      <c r="L2920" s="250"/>
      <c r="M2920" s="249"/>
      <c r="N2920" s="330"/>
      <c r="O2920" s="250"/>
      <c r="P2920" s="249"/>
      <c r="Q2920" s="330"/>
      <c r="R2920" s="250"/>
      <c r="S2920" s="249"/>
      <c r="T2920" s="330"/>
      <c r="U2920" s="250"/>
      <c r="V2920" s="249"/>
      <c r="W2920" s="330"/>
      <c r="X2920" s="343"/>
      <c r="Y2920" s="249"/>
      <c r="Z2920" s="330"/>
      <c r="AA2920" s="343"/>
      <c r="AB2920" s="249"/>
      <c r="AC2920" s="330"/>
      <c r="AD2920" s="343"/>
      <c r="AE2920" s="249"/>
      <c r="AF2920" s="330"/>
      <c r="AG2920" s="343"/>
      <c r="AH2920" s="249"/>
      <c r="AI2920" s="330"/>
      <c r="AJ2920" s="343"/>
      <c r="AK2920" s="249"/>
      <c r="AL2920" s="330"/>
      <c r="AM2920" s="343"/>
      <c r="AN2920" s="249"/>
      <c r="AO2920" s="330"/>
      <c r="AP2920" s="343"/>
      <c r="AQ2920" s="249"/>
      <c r="AR2920" s="330"/>
      <c r="AS2920" s="343"/>
      <c r="AT2920" s="249"/>
      <c r="AU2920" s="330"/>
    </row>
    <row r="2921" spans="2:47">
      <c r="B2921" s="247">
        <f>'Table S2 Compound Identifiers'!C2923</f>
        <v>0</v>
      </c>
      <c r="C2921" s="247">
        <f>COUNTIF($D$6:D2921,"&lt;&gt;"&amp;"")</f>
        <v>2916</v>
      </c>
      <c r="D2921" s="247">
        <f>'Table S2 Compound Identifiers'!B2923</f>
        <v>0</v>
      </c>
      <c r="E2921" s="247"/>
      <c r="F2921" s="248"/>
      <c r="G2921" s="249"/>
      <c r="H2921" s="330"/>
      <c r="I2921" s="328"/>
      <c r="J2921" s="249"/>
      <c r="K2921" s="330"/>
      <c r="L2921" s="250"/>
      <c r="M2921" s="249"/>
      <c r="N2921" s="330"/>
      <c r="O2921" s="250"/>
      <c r="P2921" s="249"/>
      <c r="Q2921" s="330"/>
      <c r="R2921" s="250"/>
      <c r="S2921" s="249"/>
      <c r="T2921" s="330"/>
      <c r="U2921" s="250"/>
      <c r="V2921" s="249"/>
      <c r="W2921" s="330"/>
      <c r="X2921" s="343"/>
      <c r="Y2921" s="249"/>
      <c r="Z2921" s="330"/>
      <c r="AA2921" s="343"/>
      <c r="AB2921" s="249"/>
      <c r="AC2921" s="330"/>
      <c r="AD2921" s="343"/>
      <c r="AE2921" s="249"/>
      <c r="AF2921" s="330"/>
      <c r="AG2921" s="343"/>
      <c r="AH2921" s="249"/>
      <c r="AI2921" s="330"/>
      <c r="AJ2921" s="343"/>
      <c r="AK2921" s="249"/>
      <c r="AL2921" s="330"/>
      <c r="AM2921" s="343"/>
      <c r="AN2921" s="249"/>
      <c r="AO2921" s="330"/>
      <c r="AP2921" s="343"/>
      <c r="AQ2921" s="249"/>
      <c r="AR2921" s="330"/>
      <c r="AS2921" s="343"/>
      <c r="AT2921" s="249"/>
      <c r="AU2921" s="330"/>
    </row>
    <row r="2922" spans="2:47">
      <c r="B2922" s="247">
        <f>'Table S2 Compound Identifiers'!C2924</f>
        <v>0</v>
      </c>
      <c r="C2922" s="247">
        <f>COUNTIF($D$6:D2922,"&lt;&gt;"&amp;"")</f>
        <v>2917</v>
      </c>
      <c r="D2922" s="247">
        <f>'Table S2 Compound Identifiers'!B2924</f>
        <v>0</v>
      </c>
      <c r="E2922" s="247"/>
      <c r="F2922" s="248"/>
      <c r="G2922" s="249"/>
      <c r="H2922" s="330"/>
      <c r="I2922" s="328"/>
      <c r="J2922" s="249"/>
      <c r="K2922" s="330"/>
      <c r="L2922" s="250"/>
      <c r="M2922" s="249"/>
      <c r="N2922" s="330"/>
      <c r="O2922" s="250"/>
      <c r="P2922" s="249"/>
      <c r="Q2922" s="330"/>
      <c r="R2922" s="250"/>
      <c r="S2922" s="249"/>
      <c r="T2922" s="330"/>
      <c r="U2922" s="250"/>
      <c r="V2922" s="249"/>
      <c r="W2922" s="330"/>
      <c r="X2922" s="343"/>
      <c r="Y2922" s="249"/>
      <c r="Z2922" s="330"/>
      <c r="AA2922" s="343"/>
      <c r="AB2922" s="249"/>
      <c r="AC2922" s="330"/>
      <c r="AD2922" s="343"/>
      <c r="AE2922" s="249"/>
      <c r="AF2922" s="330"/>
      <c r="AG2922" s="343"/>
      <c r="AH2922" s="249"/>
      <c r="AI2922" s="330"/>
      <c r="AJ2922" s="343"/>
      <c r="AK2922" s="249"/>
      <c r="AL2922" s="330"/>
      <c r="AM2922" s="343"/>
      <c r="AN2922" s="249"/>
      <c r="AO2922" s="330"/>
      <c r="AP2922" s="343"/>
      <c r="AQ2922" s="249"/>
      <c r="AR2922" s="330"/>
      <c r="AS2922" s="343"/>
      <c r="AT2922" s="249"/>
      <c r="AU2922" s="330"/>
    </row>
    <row r="2923" spans="2:47">
      <c r="B2923" s="247">
        <f>'Table S2 Compound Identifiers'!C2925</f>
        <v>0</v>
      </c>
      <c r="C2923" s="247">
        <f>COUNTIF($D$6:D2923,"&lt;&gt;"&amp;"")</f>
        <v>2918</v>
      </c>
      <c r="D2923" s="247">
        <f>'Table S2 Compound Identifiers'!B2925</f>
        <v>0</v>
      </c>
      <c r="E2923" s="247"/>
      <c r="F2923" s="248"/>
      <c r="G2923" s="249"/>
      <c r="H2923" s="330"/>
      <c r="I2923" s="328"/>
      <c r="J2923" s="249"/>
      <c r="K2923" s="330"/>
      <c r="L2923" s="250"/>
      <c r="M2923" s="249"/>
      <c r="N2923" s="330"/>
      <c r="O2923" s="250"/>
      <c r="P2923" s="249"/>
      <c r="Q2923" s="330"/>
      <c r="R2923" s="250"/>
      <c r="S2923" s="249"/>
      <c r="T2923" s="330"/>
      <c r="U2923" s="250"/>
      <c r="V2923" s="249"/>
      <c r="W2923" s="330"/>
      <c r="X2923" s="343"/>
      <c r="Y2923" s="249"/>
      <c r="Z2923" s="330"/>
      <c r="AA2923" s="343"/>
      <c r="AB2923" s="249"/>
      <c r="AC2923" s="330"/>
      <c r="AD2923" s="343"/>
      <c r="AE2923" s="249"/>
      <c r="AF2923" s="330"/>
      <c r="AG2923" s="343"/>
      <c r="AH2923" s="249"/>
      <c r="AI2923" s="330"/>
      <c r="AJ2923" s="343"/>
      <c r="AK2923" s="249"/>
      <c r="AL2923" s="330"/>
      <c r="AM2923" s="343"/>
      <c r="AN2923" s="249"/>
      <c r="AO2923" s="330"/>
      <c r="AP2923" s="343"/>
      <c r="AQ2923" s="249"/>
      <c r="AR2923" s="330"/>
      <c r="AS2923" s="343"/>
      <c r="AT2923" s="249"/>
      <c r="AU2923" s="330"/>
    </row>
    <row r="2924" spans="2:47">
      <c r="B2924" s="247">
        <f>'Table S2 Compound Identifiers'!C2926</f>
        <v>0</v>
      </c>
      <c r="C2924" s="247">
        <f>COUNTIF($D$6:D2924,"&lt;&gt;"&amp;"")</f>
        <v>2919</v>
      </c>
      <c r="D2924" s="247">
        <f>'Table S2 Compound Identifiers'!B2926</f>
        <v>0</v>
      </c>
      <c r="E2924" s="247"/>
      <c r="F2924" s="248"/>
      <c r="G2924" s="249"/>
      <c r="H2924" s="330"/>
      <c r="I2924" s="328"/>
      <c r="J2924" s="249"/>
      <c r="K2924" s="330"/>
      <c r="L2924" s="250"/>
      <c r="M2924" s="249"/>
      <c r="N2924" s="330"/>
      <c r="O2924" s="250"/>
      <c r="P2924" s="249"/>
      <c r="Q2924" s="330"/>
      <c r="R2924" s="250"/>
      <c r="S2924" s="249"/>
      <c r="T2924" s="330"/>
      <c r="U2924" s="250"/>
      <c r="V2924" s="249"/>
      <c r="W2924" s="330"/>
      <c r="X2924" s="343"/>
      <c r="Y2924" s="249"/>
      <c r="Z2924" s="330"/>
      <c r="AA2924" s="343"/>
      <c r="AB2924" s="249"/>
      <c r="AC2924" s="330"/>
      <c r="AD2924" s="343"/>
      <c r="AE2924" s="249"/>
      <c r="AF2924" s="330"/>
      <c r="AG2924" s="343"/>
      <c r="AH2924" s="249"/>
      <c r="AI2924" s="330"/>
      <c r="AJ2924" s="343"/>
      <c r="AK2924" s="249"/>
      <c r="AL2924" s="330"/>
      <c r="AM2924" s="343"/>
      <c r="AN2924" s="249"/>
      <c r="AO2924" s="330"/>
      <c r="AP2924" s="343"/>
      <c r="AQ2924" s="249"/>
      <c r="AR2924" s="330"/>
      <c r="AS2924" s="343"/>
      <c r="AT2924" s="249"/>
      <c r="AU2924" s="330"/>
    </row>
    <row r="2925" spans="2:47">
      <c r="B2925" s="247">
        <f>'Table S2 Compound Identifiers'!C2927</f>
        <v>0</v>
      </c>
      <c r="C2925" s="247">
        <f>COUNTIF($D$6:D2925,"&lt;&gt;"&amp;"")</f>
        <v>2920</v>
      </c>
      <c r="D2925" s="247">
        <f>'Table S2 Compound Identifiers'!B2927</f>
        <v>0</v>
      </c>
      <c r="E2925" s="247"/>
      <c r="F2925" s="248"/>
      <c r="G2925" s="249"/>
      <c r="H2925" s="330"/>
      <c r="I2925" s="328"/>
      <c r="J2925" s="249"/>
      <c r="K2925" s="330"/>
      <c r="L2925" s="250"/>
      <c r="M2925" s="249"/>
      <c r="N2925" s="330"/>
      <c r="O2925" s="250"/>
      <c r="P2925" s="249"/>
      <c r="Q2925" s="330"/>
      <c r="R2925" s="250"/>
      <c r="S2925" s="249"/>
      <c r="T2925" s="330"/>
      <c r="U2925" s="250"/>
      <c r="V2925" s="249"/>
      <c r="W2925" s="330"/>
      <c r="X2925" s="343"/>
      <c r="Y2925" s="249"/>
      <c r="Z2925" s="330"/>
      <c r="AA2925" s="343"/>
      <c r="AB2925" s="249"/>
      <c r="AC2925" s="330"/>
      <c r="AD2925" s="343"/>
      <c r="AE2925" s="249"/>
      <c r="AF2925" s="330"/>
      <c r="AG2925" s="343"/>
      <c r="AH2925" s="249"/>
      <c r="AI2925" s="330"/>
      <c r="AJ2925" s="343"/>
      <c r="AK2925" s="249"/>
      <c r="AL2925" s="330"/>
      <c r="AM2925" s="343"/>
      <c r="AN2925" s="249"/>
      <c r="AO2925" s="330"/>
      <c r="AP2925" s="343"/>
      <c r="AQ2925" s="249"/>
      <c r="AR2925" s="330"/>
      <c r="AS2925" s="343"/>
      <c r="AT2925" s="249"/>
      <c r="AU2925" s="330"/>
    </row>
    <row r="2926" spans="2:47">
      <c r="B2926" s="247">
        <f>'Table S2 Compound Identifiers'!C2928</f>
        <v>0</v>
      </c>
      <c r="C2926" s="247">
        <f>COUNTIF($D$6:D2926,"&lt;&gt;"&amp;"")</f>
        <v>2921</v>
      </c>
      <c r="D2926" s="247">
        <f>'Table S2 Compound Identifiers'!B2928</f>
        <v>0</v>
      </c>
      <c r="E2926" s="247"/>
      <c r="F2926" s="248"/>
      <c r="G2926" s="249"/>
      <c r="H2926" s="330"/>
      <c r="I2926" s="328"/>
      <c r="J2926" s="249"/>
      <c r="K2926" s="330"/>
      <c r="L2926" s="250"/>
      <c r="M2926" s="249"/>
      <c r="N2926" s="330"/>
      <c r="O2926" s="250"/>
      <c r="P2926" s="249"/>
      <c r="Q2926" s="330"/>
      <c r="R2926" s="250"/>
      <c r="S2926" s="249"/>
      <c r="T2926" s="330"/>
      <c r="U2926" s="250"/>
      <c r="V2926" s="249"/>
      <c r="W2926" s="330"/>
      <c r="X2926" s="343"/>
      <c r="Y2926" s="249"/>
      <c r="Z2926" s="330"/>
      <c r="AA2926" s="343"/>
      <c r="AB2926" s="249"/>
      <c r="AC2926" s="330"/>
      <c r="AD2926" s="343"/>
      <c r="AE2926" s="249"/>
      <c r="AF2926" s="330"/>
      <c r="AG2926" s="343"/>
      <c r="AH2926" s="249"/>
      <c r="AI2926" s="330"/>
      <c r="AJ2926" s="343"/>
      <c r="AK2926" s="249"/>
      <c r="AL2926" s="330"/>
      <c r="AM2926" s="343"/>
      <c r="AN2926" s="249"/>
      <c r="AO2926" s="330"/>
      <c r="AP2926" s="343"/>
      <c r="AQ2926" s="249"/>
      <c r="AR2926" s="330"/>
      <c r="AS2926" s="343"/>
      <c r="AT2926" s="249"/>
      <c r="AU2926" s="330"/>
    </row>
    <row r="2927" spans="2:47">
      <c r="B2927" s="247">
        <f>'Table S2 Compound Identifiers'!C2929</f>
        <v>0</v>
      </c>
      <c r="C2927" s="247">
        <f>COUNTIF($D$6:D2927,"&lt;&gt;"&amp;"")</f>
        <v>2922</v>
      </c>
      <c r="D2927" s="247">
        <f>'Table S2 Compound Identifiers'!B2929</f>
        <v>0</v>
      </c>
      <c r="E2927" s="247"/>
      <c r="F2927" s="248"/>
      <c r="G2927" s="249"/>
      <c r="H2927" s="330"/>
      <c r="I2927" s="328"/>
      <c r="J2927" s="249"/>
      <c r="K2927" s="330"/>
      <c r="L2927" s="250"/>
      <c r="M2927" s="249"/>
      <c r="N2927" s="330"/>
      <c r="O2927" s="250"/>
      <c r="P2927" s="249"/>
      <c r="Q2927" s="330"/>
      <c r="R2927" s="250"/>
      <c r="S2927" s="249"/>
      <c r="T2927" s="330"/>
      <c r="U2927" s="250"/>
      <c r="V2927" s="249"/>
      <c r="W2927" s="330"/>
      <c r="X2927" s="343"/>
      <c r="Y2927" s="249"/>
      <c r="Z2927" s="330"/>
      <c r="AA2927" s="343"/>
      <c r="AB2927" s="249"/>
      <c r="AC2927" s="330"/>
      <c r="AD2927" s="343"/>
      <c r="AE2927" s="249"/>
      <c r="AF2927" s="330"/>
      <c r="AG2927" s="343"/>
      <c r="AH2927" s="249"/>
      <c r="AI2927" s="330"/>
      <c r="AJ2927" s="343"/>
      <c r="AK2927" s="249"/>
      <c r="AL2927" s="330"/>
      <c r="AM2927" s="343"/>
      <c r="AN2927" s="249"/>
      <c r="AO2927" s="330"/>
      <c r="AP2927" s="343"/>
      <c r="AQ2927" s="249"/>
      <c r="AR2927" s="330"/>
      <c r="AS2927" s="343"/>
      <c r="AT2927" s="249"/>
      <c r="AU2927" s="330"/>
    </row>
    <row r="2928" spans="2:47">
      <c r="B2928" s="247">
        <f>'Table S2 Compound Identifiers'!C2930</f>
        <v>0</v>
      </c>
      <c r="C2928" s="247">
        <f>COUNTIF($D$6:D2928,"&lt;&gt;"&amp;"")</f>
        <v>2923</v>
      </c>
      <c r="D2928" s="247">
        <f>'Table S2 Compound Identifiers'!B2930</f>
        <v>0</v>
      </c>
      <c r="E2928" s="247"/>
      <c r="F2928" s="248"/>
      <c r="G2928" s="249"/>
      <c r="H2928" s="330"/>
      <c r="I2928" s="328"/>
      <c r="J2928" s="249"/>
      <c r="K2928" s="330"/>
      <c r="L2928" s="250"/>
      <c r="M2928" s="249"/>
      <c r="N2928" s="330"/>
      <c r="O2928" s="250"/>
      <c r="P2928" s="249"/>
      <c r="Q2928" s="330"/>
      <c r="R2928" s="250"/>
      <c r="S2928" s="249"/>
      <c r="T2928" s="330"/>
      <c r="U2928" s="250"/>
      <c r="V2928" s="249"/>
      <c r="W2928" s="330"/>
      <c r="X2928" s="343"/>
      <c r="Y2928" s="249"/>
      <c r="Z2928" s="330"/>
      <c r="AA2928" s="343"/>
      <c r="AB2928" s="249"/>
      <c r="AC2928" s="330"/>
      <c r="AD2928" s="343"/>
      <c r="AE2928" s="249"/>
      <c r="AF2928" s="330"/>
      <c r="AG2928" s="343"/>
      <c r="AH2928" s="249"/>
      <c r="AI2928" s="330"/>
      <c r="AJ2928" s="343"/>
      <c r="AK2928" s="249"/>
      <c r="AL2928" s="330"/>
      <c r="AM2928" s="343"/>
      <c r="AN2928" s="249"/>
      <c r="AO2928" s="330"/>
      <c r="AP2928" s="343"/>
      <c r="AQ2928" s="249"/>
      <c r="AR2928" s="330"/>
      <c r="AS2928" s="343"/>
      <c r="AT2928" s="249"/>
      <c r="AU2928" s="330"/>
    </row>
    <row r="2929" spans="2:47">
      <c r="B2929" s="247">
        <f>'Table S2 Compound Identifiers'!C2931</f>
        <v>0</v>
      </c>
      <c r="C2929" s="247">
        <f>COUNTIF($D$6:D2929,"&lt;&gt;"&amp;"")</f>
        <v>2924</v>
      </c>
      <c r="D2929" s="247">
        <f>'Table S2 Compound Identifiers'!B2931</f>
        <v>0</v>
      </c>
      <c r="E2929" s="247"/>
      <c r="F2929" s="248"/>
      <c r="G2929" s="249"/>
      <c r="H2929" s="330"/>
      <c r="I2929" s="328"/>
      <c r="J2929" s="249"/>
      <c r="K2929" s="330"/>
      <c r="L2929" s="250"/>
      <c r="M2929" s="249"/>
      <c r="N2929" s="330"/>
      <c r="O2929" s="250"/>
      <c r="P2929" s="249"/>
      <c r="Q2929" s="330"/>
      <c r="R2929" s="250"/>
      <c r="S2929" s="249"/>
      <c r="T2929" s="330"/>
      <c r="U2929" s="250"/>
      <c r="V2929" s="249"/>
      <c r="W2929" s="330"/>
      <c r="X2929" s="343"/>
      <c r="Y2929" s="249"/>
      <c r="Z2929" s="330"/>
      <c r="AA2929" s="343"/>
      <c r="AB2929" s="249"/>
      <c r="AC2929" s="330"/>
      <c r="AD2929" s="343"/>
      <c r="AE2929" s="249"/>
      <c r="AF2929" s="330"/>
      <c r="AG2929" s="343"/>
      <c r="AH2929" s="249"/>
      <c r="AI2929" s="330"/>
      <c r="AJ2929" s="343"/>
      <c r="AK2929" s="249"/>
      <c r="AL2929" s="330"/>
      <c r="AM2929" s="343"/>
      <c r="AN2929" s="249"/>
      <c r="AO2929" s="330"/>
      <c r="AP2929" s="343"/>
      <c r="AQ2929" s="249"/>
      <c r="AR2929" s="330"/>
      <c r="AS2929" s="343"/>
      <c r="AT2929" s="249"/>
      <c r="AU2929" s="330"/>
    </row>
    <row r="2930" spans="2:47">
      <c r="B2930" s="247">
        <f>'Table S2 Compound Identifiers'!C2932</f>
        <v>0</v>
      </c>
      <c r="C2930" s="247">
        <f>COUNTIF($D$6:D2930,"&lt;&gt;"&amp;"")</f>
        <v>2925</v>
      </c>
      <c r="D2930" s="247">
        <f>'Table S2 Compound Identifiers'!B2932</f>
        <v>0</v>
      </c>
      <c r="E2930" s="247"/>
      <c r="F2930" s="248"/>
      <c r="G2930" s="249"/>
      <c r="H2930" s="330"/>
      <c r="I2930" s="328"/>
      <c r="J2930" s="249"/>
      <c r="K2930" s="330"/>
      <c r="L2930" s="250"/>
      <c r="M2930" s="249"/>
      <c r="N2930" s="330"/>
      <c r="O2930" s="250"/>
      <c r="P2930" s="249"/>
      <c r="Q2930" s="330"/>
      <c r="R2930" s="250"/>
      <c r="S2930" s="249"/>
      <c r="T2930" s="330"/>
      <c r="U2930" s="250"/>
      <c r="V2930" s="249"/>
      <c r="W2930" s="330"/>
      <c r="X2930" s="343"/>
      <c r="Y2930" s="249"/>
      <c r="Z2930" s="330"/>
      <c r="AA2930" s="343"/>
      <c r="AB2930" s="249"/>
      <c r="AC2930" s="330"/>
      <c r="AD2930" s="343"/>
      <c r="AE2930" s="249"/>
      <c r="AF2930" s="330"/>
      <c r="AG2930" s="343"/>
      <c r="AH2930" s="249"/>
      <c r="AI2930" s="330"/>
      <c r="AJ2930" s="343"/>
      <c r="AK2930" s="249"/>
      <c r="AL2930" s="330"/>
      <c r="AM2930" s="343"/>
      <c r="AN2930" s="249"/>
      <c r="AO2930" s="330"/>
      <c r="AP2930" s="343"/>
      <c r="AQ2930" s="249"/>
      <c r="AR2930" s="330"/>
      <c r="AS2930" s="343"/>
      <c r="AT2930" s="249"/>
      <c r="AU2930" s="330"/>
    </row>
    <row r="2931" spans="2:47">
      <c r="B2931" s="247">
        <f>'Table S2 Compound Identifiers'!C2933</f>
        <v>0</v>
      </c>
      <c r="C2931" s="247">
        <f>COUNTIF($D$6:D2931,"&lt;&gt;"&amp;"")</f>
        <v>2926</v>
      </c>
      <c r="D2931" s="247">
        <f>'Table S2 Compound Identifiers'!B2933</f>
        <v>0</v>
      </c>
      <c r="E2931" s="247"/>
      <c r="F2931" s="248"/>
      <c r="G2931" s="249"/>
      <c r="H2931" s="330"/>
      <c r="I2931" s="328"/>
      <c r="J2931" s="249"/>
      <c r="K2931" s="330"/>
      <c r="L2931" s="250"/>
      <c r="M2931" s="249"/>
      <c r="N2931" s="330"/>
      <c r="O2931" s="250"/>
      <c r="P2931" s="249"/>
      <c r="Q2931" s="330"/>
      <c r="R2931" s="250"/>
      <c r="S2931" s="249"/>
      <c r="T2931" s="330"/>
      <c r="U2931" s="250"/>
      <c r="V2931" s="249"/>
      <c r="W2931" s="330"/>
      <c r="X2931" s="343"/>
      <c r="Y2931" s="249"/>
      <c r="Z2931" s="330"/>
      <c r="AA2931" s="343"/>
      <c r="AB2931" s="249"/>
      <c r="AC2931" s="330"/>
      <c r="AD2931" s="343"/>
      <c r="AE2931" s="249"/>
      <c r="AF2931" s="330"/>
      <c r="AG2931" s="343"/>
      <c r="AH2931" s="249"/>
      <c r="AI2931" s="330"/>
      <c r="AJ2931" s="343"/>
      <c r="AK2931" s="249"/>
      <c r="AL2931" s="330"/>
      <c r="AM2931" s="343"/>
      <c r="AN2931" s="249"/>
      <c r="AO2931" s="330"/>
      <c r="AP2931" s="343"/>
      <c r="AQ2931" s="249"/>
      <c r="AR2931" s="330"/>
      <c r="AS2931" s="343"/>
      <c r="AT2931" s="249"/>
      <c r="AU2931" s="330"/>
    </row>
    <row r="2932" spans="2:47">
      <c r="B2932" s="247">
        <f>'Table S2 Compound Identifiers'!C2934</f>
        <v>0</v>
      </c>
      <c r="C2932" s="247">
        <f>COUNTIF($D$6:D2932,"&lt;&gt;"&amp;"")</f>
        <v>2927</v>
      </c>
      <c r="D2932" s="247">
        <f>'Table S2 Compound Identifiers'!B2934</f>
        <v>0</v>
      </c>
      <c r="E2932" s="247"/>
      <c r="F2932" s="248"/>
      <c r="G2932" s="249"/>
      <c r="H2932" s="330"/>
      <c r="I2932" s="328"/>
      <c r="J2932" s="249"/>
      <c r="K2932" s="330"/>
      <c r="L2932" s="250"/>
      <c r="M2932" s="249"/>
      <c r="N2932" s="330"/>
      <c r="O2932" s="250"/>
      <c r="P2932" s="249"/>
      <c r="Q2932" s="330"/>
      <c r="R2932" s="250"/>
      <c r="S2932" s="249"/>
      <c r="T2932" s="330"/>
      <c r="U2932" s="250"/>
      <c r="V2932" s="249"/>
      <c r="W2932" s="330"/>
      <c r="X2932" s="343"/>
      <c r="Y2932" s="249"/>
      <c r="Z2932" s="330"/>
      <c r="AA2932" s="343"/>
      <c r="AB2932" s="249"/>
      <c r="AC2932" s="330"/>
      <c r="AD2932" s="343"/>
      <c r="AE2932" s="249"/>
      <c r="AF2932" s="330"/>
      <c r="AG2932" s="343"/>
      <c r="AH2932" s="249"/>
      <c r="AI2932" s="330"/>
      <c r="AJ2932" s="343"/>
      <c r="AK2932" s="249"/>
      <c r="AL2932" s="330"/>
      <c r="AM2932" s="343"/>
      <c r="AN2932" s="249"/>
      <c r="AO2932" s="330"/>
      <c r="AP2932" s="343"/>
      <c r="AQ2932" s="249"/>
      <c r="AR2932" s="330"/>
      <c r="AS2932" s="343"/>
      <c r="AT2932" s="249"/>
      <c r="AU2932" s="330"/>
    </row>
    <row r="2933" spans="2:47">
      <c r="B2933" s="247">
        <f>'Table S2 Compound Identifiers'!C2935</f>
        <v>0</v>
      </c>
      <c r="C2933" s="247">
        <f>COUNTIF($D$6:D2933,"&lt;&gt;"&amp;"")</f>
        <v>2928</v>
      </c>
      <c r="D2933" s="247">
        <f>'Table S2 Compound Identifiers'!B2935</f>
        <v>0</v>
      </c>
      <c r="E2933" s="247"/>
      <c r="F2933" s="248"/>
      <c r="G2933" s="249"/>
      <c r="H2933" s="330"/>
      <c r="I2933" s="328"/>
      <c r="J2933" s="249"/>
      <c r="K2933" s="330"/>
      <c r="L2933" s="250"/>
      <c r="M2933" s="249"/>
      <c r="N2933" s="330"/>
      <c r="O2933" s="250"/>
      <c r="P2933" s="249"/>
      <c r="Q2933" s="330"/>
      <c r="R2933" s="250"/>
      <c r="S2933" s="249"/>
      <c r="T2933" s="330"/>
      <c r="U2933" s="250"/>
      <c r="V2933" s="249"/>
      <c r="W2933" s="330"/>
      <c r="X2933" s="343"/>
      <c r="Y2933" s="249"/>
      <c r="Z2933" s="330"/>
      <c r="AA2933" s="343"/>
      <c r="AB2933" s="249"/>
      <c r="AC2933" s="330"/>
      <c r="AD2933" s="343"/>
      <c r="AE2933" s="249"/>
      <c r="AF2933" s="330"/>
      <c r="AG2933" s="343"/>
      <c r="AH2933" s="249"/>
      <c r="AI2933" s="330"/>
      <c r="AJ2933" s="343"/>
      <c r="AK2933" s="249"/>
      <c r="AL2933" s="330"/>
      <c r="AM2933" s="343"/>
      <c r="AN2933" s="249"/>
      <c r="AO2933" s="330"/>
      <c r="AP2933" s="343"/>
      <c r="AQ2933" s="249"/>
      <c r="AR2933" s="330"/>
      <c r="AS2933" s="343"/>
      <c r="AT2933" s="249"/>
      <c r="AU2933" s="330"/>
    </row>
    <row r="2934" spans="2:47">
      <c r="B2934" s="247">
        <f>'Table S2 Compound Identifiers'!C2936</f>
        <v>0</v>
      </c>
      <c r="C2934" s="247">
        <f>COUNTIF($D$6:D2934,"&lt;&gt;"&amp;"")</f>
        <v>2929</v>
      </c>
      <c r="D2934" s="247">
        <f>'Table S2 Compound Identifiers'!B2936</f>
        <v>0</v>
      </c>
      <c r="E2934" s="247"/>
      <c r="F2934" s="248"/>
      <c r="G2934" s="249"/>
      <c r="H2934" s="330"/>
      <c r="I2934" s="328"/>
      <c r="J2934" s="249"/>
      <c r="K2934" s="330"/>
      <c r="L2934" s="250"/>
      <c r="M2934" s="249"/>
      <c r="N2934" s="330"/>
      <c r="O2934" s="250"/>
      <c r="P2934" s="249"/>
      <c r="Q2934" s="330"/>
      <c r="R2934" s="250"/>
      <c r="S2934" s="249"/>
      <c r="T2934" s="330"/>
      <c r="U2934" s="250"/>
      <c r="V2934" s="249"/>
      <c r="W2934" s="330"/>
      <c r="X2934" s="343"/>
      <c r="Y2934" s="249"/>
      <c r="Z2934" s="330"/>
      <c r="AA2934" s="343"/>
      <c r="AB2934" s="249"/>
      <c r="AC2934" s="330"/>
      <c r="AD2934" s="343"/>
      <c r="AE2934" s="249"/>
      <c r="AF2934" s="330"/>
      <c r="AG2934" s="343"/>
      <c r="AH2934" s="249"/>
      <c r="AI2934" s="330"/>
      <c r="AJ2934" s="343"/>
      <c r="AK2934" s="249"/>
      <c r="AL2934" s="330"/>
      <c r="AM2934" s="343"/>
      <c r="AN2934" s="249"/>
      <c r="AO2934" s="330"/>
      <c r="AP2934" s="343"/>
      <c r="AQ2934" s="249"/>
      <c r="AR2934" s="330"/>
      <c r="AS2934" s="343"/>
      <c r="AT2934" s="249"/>
      <c r="AU2934" s="330"/>
    </row>
    <row r="2935" spans="2:47">
      <c r="B2935" s="247">
        <f>'Table S2 Compound Identifiers'!C2937</f>
        <v>0</v>
      </c>
      <c r="C2935" s="247">
        <f>COUNTIF($D$6:D2935,"&lt;&gt;"&amp;"")</f>
        <v>2930</v>
      </c>
      <c r="D2935" s="247">
        <f>'Table S2 Compound Identifiers'!B2937</f>
        <v>0</v>
      </c>
      <c r="E2935" s="247"/>
      <c r="F2935" s="248"/>
      <c r="G2935" s="249"/>
      <c r="H2935" s="330"/>
      <c r="I2935" s="328"/>
      <c r="J2935" s="249"/>
      <c r="K2935" s="330"/>
      <c r="L2935" s="250"/>
      <c r="M2935" s="249"/>
      <c r="N2935" s="330"/>
      <c r="O2935" s="250"/>
      <c r="P2935" s="249"/>
      <c r="Q2935" s="330"/>
      <c r="R2935" s="250"/>
      <c r="S2935" s="249"/>
      <c r="T2935" s="330"/>
      <c r="U2935" s="250"/>
      <c r="V2935" s="249"/>
      <c r="W2935" s="330"/>
      <c r="X2935" s="343"/>
      <c r="Y2935" s="249"/>
      <c r="Z2935" s="330"/>
      <c r="AA2935" s="343"/>
      <c r="AB2935" s="249"/>
      <c r="AC2935" s="330"/>
      <c r="AD2935" s="343"/>
      <c r="AE2935" s="249"/>
      <c r="AF2935" s="330"/>
      <c r="AG2935" s="343"/>
      <c r="AH2935" s="249"/>
      <c r="AI2935" s="330"/>
      <c r="AJ2935" s="343"/>
      <c r="AK2935" s="249"/>
      <c r="AL2935" s="330"/>
      <c r="AM2935" s="343"/>
      <c r="AN2935" s="249"/>
      <c r="AO2935" s="330"/>
      <c r="AP2935" s="343"/>
      <c r="AQ2935" s="249"/>
      <c r="AR2935" s="330"/>
      <c r="AS2935" s="343"/>
      <c r="AT2935" s="249"/>
      <c r="AU2935" s="330"/>
    </row>
    <row r="2936" spans="2:47">
      <c r="B2936" s="247">
        <f>'Table S2 Compound Identifiers'!C2938</f>
        <v>0</v>
      </c>
      <c r="C2936" s="247">
        <f>COUNTIF($D$6:D2936,"&lt;&gt;"&amp;"")</f>
        <v>2931</v>
      </c>
      <c r="D2936" s="247">
        <f>'Table S2 Compound Identifiers'!B2938</f>
        <v>0</v>
      </c>
      <c r="E2936" s="247"/>
      <c r="F2936" s="248"/>
      <c r="G2936" s="249"/>
      <c r="H2936" s="330"/>
      <c r="I2936" s="328"/>
      <c r="J2936" s="249"/>
      <c r="K2936" s="330"/>
      <c r="L2936" s="250"/>
      <c r="M2936" s="249"/>
      <c r="N2936" s="330"/>
      <c r="O2936" s="250"/>
      <c r="P2936" s="249"/>
      <c r="Q2936" s="330"/>
      <c r="R2936" s="250"/>
      <c r="S2936" s="249"/>
      <c r="T2936" s="330"/>
      <c r="U2936" s="250"/>
      <c r="V2936" s="249"/>
      <c r="W2936" s="330"/>
      <c r="X2936" s="343"/>
      <c r="Y2936" s="249"/>
      <c r="Z2936" s="330"/>
      <c r="AA2936" s="343"/>
      <c r="AB2936" s="249"/>
      <c r="AC2936" s="330"/>
      <c r="AD2936" s="343"/>
      <c r="AE2936" s="249"/>
      <c r="AF2936" s="330"/>
      <c r="AG2936" s="343"/>
      <c r="AH2936" s="249"/>
      <c r="AI2936" s="330"/>
      <c r="AJ2936" s="343"/>
      <c r="AK2936" s="249"/>
      <c r="AL2936" s="330"/>
      <c r="AM2936" s="343"/>
      <c r="AN2936" s="249"/>
      <c r="AO2936" s="330"/>
      <c r="AP2936" s="343"/>
      <c r="AQ2936" s="249"/>
      <c r="AR2936" s="330"/>
      <c r="AS2936" s="343"/>
      <c r="AT2936" s="249"/>
      <c r="AU2936" s="330"/>
    </row>
    <row r="2937" spans="2:47">
      <c r="B2937" s="247">
        <f>'Table S2 Compound Identifiers'!C2939</f>
        <v>0</v>
      </c>
      <c r="C2937" s="247">
        <f>COUNTIF($D$6:D2937,"&lt;&gt;"&amp;"")</f>
        <v>2932</v>
      </c>
      <c r="D2937" s="247">
        <f>'Table S2 Compound Identifiers'!B2939</f>
        <v>0</v>
      </c>
      <c r="E2937" s="247"/>
      <c r="F2937" s="248"/>
      <c r="G2937" s="249"/>
      <c r="H2937" s="330"/>
      <c r="I2937" s="328"/>
      <c r="J2937" s="249"/>
      <c r="K2937" s="330"/>
      <c r="L2937" s="250"/>
      <c r="M2937" s="249"/>
      <c r="N2937" s="330"/>
      <c r="O2937" s="250"/>
      <c r="P2937" s="249"/>
      <c r="Q2937" s="330"/>
      <c r="R2937" s="250"/>
      <c r="S2937" s="249"/>
      <c r="T2937" s="330"/>
      <c r="U2937" s="250"/>
      <c r="V2937" s="249"/>
      <c r="W2937" s="330"/>
      <c r="X2937" s="343"/>
      <c r="Y2937" s="249"/>
      <c r="Z2937" s="330"/>
      <c r="AA2937" s="343"/>
      <c r="AB2937" s="249"/>
      <c r="AC2937" s="330"/>
      <c r="AD2937" s="343"/>
      <c r="AE2937" s="249"/>
      <c r="AF2937" s="330"/>
      <c r="AG2937" s="343"/>
      <c r="AH2937" s="249"/>
      <c r="AI2937" s="330"/>
      <c r="AJ2937" s="343"/>
      <c r="AK2937" s="249"/>
      <c r="AL2937" s="330"/>
      <c r="AM2937" s="343"/>
      <c r="AN2937" s="249"/>
      <c r="AO2937" s="330"/>
      <c r="AP2937" s="343"/>
      <c r="AQ2937" s="249"/>
      <c r="AR2937" s="330"/>
      <c r="AS2937" s="343"/>
      <c r="AT2937" s="249"/>
      <c r="AU2937" s="330"/>
    </row>
    <row r="2938" spans="2:47">
      <c r="B2938" s="247">
        <f>'Table S2 Compound Identifiers'!C2940</f>
        <v>0</v>
      </c>
      <c r="C2938" s="247">
        <f>COUNTIF($D$6:D2938,"&lt;&gt;"&amp;"")</f>
        <v>2933</v>
      </c>
      <c r="D2938" s="247">
        <f>'Table S2 Compound Identifiers'!B2940</f>
        <v>0</v>
      </c>
      <c r="E2938" s="247"/>
      <c r="F2938" s="248"/>
      <c r="G2938" s="249"/>
      <c r="H2938" s="330"/>
      <c r="I2938" s="328"/>
      <c r="J2938" s="249"/>
      <c r="K2938" s="330"/>
      <c r="L2938" s="250"/>
      <c r="M2938" s="249"/>
      <c r="N2938" s="330"/>
      <c r="O2938" s="250"/>
      <c r="P2938" s="249"/>
      <c r="Q2938" s="330"/>
      <c r="R2938" s="250"/>
      <c r="S2938" s="249"/>
      <c r="T2938" s="330"/>
      <c r="U2938" s="250"/>
      <c r="V2938" s="249"/>
      <c r="W2938" s="330"/>
      <c r="X2938" s="343"/>
      <c r="Y2938" s="249"/>
      <c r="Z2938" s="330"/>
      <c r="AA2938" s="343"/>
      <c r="AB2938" s="249"/>
      <c r="AC2938" s="330"/>
      <c r="AD2938" s="343"/>
      <c r="AE2938" s="249"/>
      <c r="AF2938" s="330"/>
      <c r="AG2938" s="343"/>
      <c r="AH2938" s="249"/>
      <c r="AI2938" s="330"/>
      <c r="AJ2938" s="343"/>
      <c r="AK2938" s="249"/>
      <c r="AL2938" s="330"/>
      <c r="AM2938" s="343"/>
      <c r="AN2938" s="249"/>
      <c r="AO2938" s="330"/>
      <c r="AP2938" s="343"/>
      <c r="AQ2938" s="249"/>
      <c r="AR2938" s="330"/>
      <c r="AS2938" s="343"/>
      <c r="AT2938" s="249"/>
      <c r="AU2938" s="330"/>
    </row>
    <row r="2939" spans="2:47">
      <c r="B2939" s="247">
        <f>'Table S2 Compound Identifiers'!C2941</f>
        <v>0</v>
      </c>
      <c r="C2939" s="247">
        <f>COUNTIF($D$6:D2939,"&lt;&gt;"&amp;"")</f>
        <v>2934</v>
      </c>
      <c r="D2939" s="247">
        <f>'Table S2 Compound Identifiers'!B2941</f>
        <v>0</v>
      </c>
      <c r="E2939" s="247"/>
      <c r="F2939" s="248"/>
      <c r="G2939" s="249"/>
      <c r="H2939" s="330"/>
      <c r="I2939" s="328"/>
      <c r="J2939" s="249"/>
      <c r="K2939" s="330"/>
      <c r="L2939" s="250"/>
      <c r="M2939" s="249"/>
      <c r="N2939" s="330"/>
      <c r="O2939" s="250"/>
      <c r="P2939" s="249"/>
      <c r="Q2939" s="330"/>
      <c r="R2939" s="250"/>
      <c r="S2939" s="249"/>
      <c r="T2939" s="330"/>
      <c r="U2939" s="250"/>
      <c r="V2939" s="249"/>
      <c r="W2939" s="330"/>
      <c r="X2939" s="343"/>
      <c r="Y2939" s="249"/>
      <c r="Z2939" s="330"/>
      <c r="AA2939" s="343"/>
      <c r="AB2939" s="249"/>
      <c r="AC2939" s="330"/>
      <c r="AD2939" s="343"/>
      <c r="AE2939" s="249"/>
      <c r="AF2939" s="330"/>
      <c r="AG2939" s="343"/>
      <c r="AH2939" s="249"/>
      <c r="AI2939" s="330"/>
      <c r="AJ2939" s="343"/>
      <c r="AK2939" s="249"/>
      <c r="AL2939" s="330"/>
      <c r="AM2939" s="343"/>
      <c r="AN2939" s="249"/>
      <c r="AO2939" s="330"/>
      <c r="AP2939" s="343"/>
      <c r="AQ2939" s="249"/>
      <c r="AR2939" s="330"/>
      <c r="AS2939" s="343"/>
      <c r="AT2939" s="249"/>
      <c r="AU2939" s="330"/>
    </row>
    <row r="2940" spans="2:47">
      <c r="B2940" s="247">
        <f>'Table S2 Compound Identifiers'!C2942</f>
        <v>0</v>
      </c>
      <c r="C2940" s="247">
        <f>COUNTIF($D$6:D2940,"&lt;&gt;"&amp;"")</f>
        <v>2935</v>
      </c>
      <c r="D2940" s="247">
        <f>'Table S2 Compound Identifiers'!B2942</f>
        <v>0</v>
      </c>
      <c r="E2940" s="247"/>
      <c r="F2940" s="248"/>
      <c r="G2940" s="249"/>
      <c r="H2940" s="330"/>
      <c r="I2940" s="328"/>
      <c r="J2940" s="249"/>
      <c r="K2940" s="330"/>
      <c r="L2940" s="250"/>
      <c r="M2940" s="249"/>
      <c r="N2940" s="330"/>
      <c r="O2940" s="250"/>
      <c r="P2940" s="249"/>
      <c r="Q2940" s="330"/>
      <c r="R2940" s="250"/>
      <c r="S2940" s="249"/>
      <c r="T2940" s="330"/>
      <c r="U2940" s="250"/>
      <c r="V2940" s="249"/>
      <c r="W2940" s="330"/>
      <c r="X2940" s="343"/>
      <c r="Y2940" s="249"/>
      <c r="Z2940" s="330"/>
      <c r="AA2940" s="343"/>
      <c r="AB2940" s="249"/>
      <c r="AC2940" s="330"/>
      <c r="AD2940" s="343"/>
      <c r="AE2940" s="249"/>
      <c r="AF2940" s="330"/>
      <c r="AG2940" s="343"/>
      <c r="AH2940" s="249"/>
      <c r="AI2940" s="330"/>
      <c r="AJ2940" s="343"/>
      <c r="AK2940" s="249"/>
      <c r="AL2940" s="330"/>
      <c r="AM2940" s="343"/>
      <c r="AN2940" s="249"/>
      <c r="AO2940" s="330"/>
      <c r="AP2940" s="343"/>
      <c r="AQ2940" s="249"/>
      <c r="AR2940" s="330"/>
      <c r="AS2940" s="343"/>
      <c r="AT2940" s="249"/>
      <c r="AU2940" s="330"/>
    </row>
    <row r="2941" spans="2:47">
      <c r="B2941" s="247">
        <f>'Table S2 Compound Identifiers'!C2943</f>
        <v>0</v>
      </c>
      <c r="C2941" s="247">
        <f>COUNTIF($D$6:D2941,"&lt;&gt;"&amp;"")</f>
        <v>2936</v>
      </c>
      <c r="D2941" s="247">
        <f>'Table S2 Compound Identifiers'!B2943</f>
        <v>0</v>
      </c>
      <c r="E2941" s="247"/>
      <c r="F2941" s="248"/>
      <c r="G2941" s="249"/>
      <c r="H2941" s="330"/>
      <c r="I2941" s="328"/>
      <c r="J2941" s="249"/>
      <c r="K2941" s="330"/>
      <c r="L2941" s="250"/>
      <c r="M2941" s="249"/>
      <c r="N2941" s="330"/>
      <c r="O2941" s="250"/>
      <c r="P2941" s="249"/>
      <c r="Q2941" s="330"/>
      <c r="R2941" s="250"/>
      <c r="S2941" s="249"/>
      <c r="T2941" s="330"/>
      <c r="U2941" s="250"/>
      <c r="V2941" s="249"/>
      <c r="W2941" s="330"/>
      <c r="X2941" s="343"/>
      <c r="Y2941" s="249"/>
      <c r="Z2941" s="330"/>
      <c r="AA2941" s="343"/>
      <c r="AB2941" s="249"/>
      <c r="AC2941" s="330"/>
      <c r="AD2941" s="343"/>
      <c r="AE2941" s="249"/>
      <c r="AF2941" s="330"/>
      <c r="AG2941" s="343"/>
      <c r="AH2941" s="249"/>
      <c r="AI2941" s="330"/>
      <c r="AJ2941" s="343"/>
      <c r="AK2941" s="249"/>
      <c r="AL2941" s="330"/>
      <c r="AM2941" s="343"/>
      <c r="AN2941" s="249"/>
      <c r="AO2941" s="330"/>
      <c r="AP2941" s="343"/>
      <c r="AQ2941" s="249"/>
      <c r="AR2941" s="330"/>
      <c r="AS2941" s="343"/>
      <c r="AT2941" s="249"/>
      <c r="AU2941" s="330"/>
    </row>
    <row r="2942" spans="2:47">
      <c r="B2942" s="247">
        <f>'Table S2 Compound Identifiers'!C2944</f>
        <v>0</v>
      </c>
      <c r="C2942" s="247">
        <f>COUNTIF($D$6:D2942,"&lt;&gt;"&amp;"")</f>
        <v>2937</v>
      </c>
      <c r="D2942" s="247">
        <f>'Table S2 Compound Identifiers'!B2944</f>
        <v>0</v>
      </c>
      <c r="E2942" s="247"/>
      <c r="F2942" s="248"/>
      <c r="G2942" s="249"/>
      <c r="H2942" s="330"/>
      <c r="I2942" s="328"/>
      <c r="J2942" s="249"/>
      <c r="K2942" s="330"/>
      <c r="L2942" s="250"/>
      <c r="M2942" s="249"/>
      <c r="N2942" s="330"/>
      <c r="O2942" s="250"/>
      <c r="P2942" s="249"/>
      <c r="Q2942" s="330"/>
      <c r="R2942" s="250"/>
      <c r="S2942" s="249"/>
      <c r="T2942" s="330"/>
      <c r="U2942" s="250"/>
      <c r="V2942" s="249"/>
      <c r="W2942" s="330"/>
      <c r="X2942" s="343"/>
      <c r="Y2942" s="249"/>
      <c r="Z2942" s="330"/>
      <c r="AA2942" s="343"/>
      <c r="AB2942" s="249"/>
      <c r="AC2942" s="330"/>
      <c r="AD2942" s="343"/>
      <c r="AE2942" s="249"/>
      <c r="AF2942" s="330"/>
      <c r="AG2942" s="343"/>
      <c r="AH2942" s="249"/>
      <c r="AI2942" s="330"/>
      <c r="AJ2942" s="343"/>
      <c r="AK2942" s="249"/>
      <c r="AL2942" s="330"/>
      <c r="AM2942" s="343"/>
      <c r="AN2942" s="249"/>
      <c r="AO2942" s="330"/>
      <c r="AP2942" s="343"/>
      <c r="AQ2942" s="249"/>
      <c r="AR2942" s="330"/>
      <c r="AS2942" s="343"/>
      <c r="AT2942" s="249"/>
      <c r="AU2942" s="330"/>
    </row>
    <row r="2943" spans="2:47">
      <c r="B2943" s="247">
        <f>'Table S2 Compound Identifiers'!C2945</f>
        <v>0</v>
      </c>
      <c r="C2943" s="247">
        <f>COUNTIF($D$6:D2943,"&lt;&gt;"&amp;"")</f>
        <v>2938</v>
      </c>
      <c r="D2943" s="247">
        <f>'Table S2 Compound Identifiers'!B2945</f>
        <v>0</v>
      </c>
      <c r="E2943" s="247"/>
      <c r="F2943" s="248"/>
      <c r="G2943" s="249"/>
      <c r="H2943" s="330"/>
      <c r="I2943" s="328"/>
      <c r="J2943" s="249"/>
      <c r="K2943" s="330"/>
      <c r="L2943" s="250"/>
      <c r="M2943" s="249"/>
      <c r="N2943" s="330"/>
      <c r="O2943" s="250"/>
      <c r="P2943" s="249"/>
      <c r="Q2943" s="330"/>
      <c r="R2943" s="250"/>
      <c r="S2943" s="249"/>
      <c r="T2943" s="330"/>
      <c r="U2943" s="250"/>
      <c r="V2943" s="249"/>
      <c r="W2943" s="330"/>
      <c r="X2943" s="343"/>
      <c r="Y2943" s="249"/>
      <c r="Z2943" s="330"/>
      <c r="AA2943" s="343"/>
      <c r="AB2943" s="249"/>
      <c r="AC2943" s="330"/>
      <c r="AD2943" s="343"/>
      <c r="AE2943" s="249"/>
      <c r="AF2943" s="330"/>
      <c r="AG2943" s="343"/>
      <c r="AH2943" s="249"/>
      <c r="AI2943" s="330"/>
      <c r="AJ2943" s="343"/>
      <c r="AK2943" s="249"/>
      <c r="AL2943" s="330"/>
      <c r="AM2943" s="343"/>
      <c r="AN2943" s="249"/>
      <c r="AO2943" s="330"/>
      <c r="AP2943" s="343"/>
      <c r="AQ2943" s="249"/>
      <c r="AR2943" s="330"/>
      <c r="AS2943" s="343"/>
      <c r="AT2943" s="249"/>
      <c r="AU2943" s="330"/>
    </row>
    <row r="2944" spans="2:47">
      <c r="B2944" s="247">
        <f>'Table S2 Compound Identifiers'!C2946</f>
        <v>0</v>
      </c>
      <c r="C2944" s="247">
        <f>COUNTIF($D$6:D2944,"&lt;&gt;"&amp;"")</f>
        <v>2939</v>
      </c>
      <c r="D2944" s="247">
        <f>'Table S2 Compound Identifiers'!B2946</f>
        <v>0</v>
      </c>
      <c r="E2944" s="247"/>
      <c r="F2944" s="248"/>
      <c r="G2944" s="249"/>
      <c r="H2944" s="330"/>
      <c r="I2944" s="328"/>
      <c r="J2944" s="249"/>
      <c r="K2944" s="330"/>
      <c r="L2944" s="250"/>
      <c r="M2944" s="249"/>
      <c r="N2944" s="330"/>
      <c r="O2944" s="250"/>
      <c r="P2944" s="249"/>
      <c r="Q2944" s="330"/>
      <c r="R2944" s="250"/>
      <c r="S2944" s="249"/>
      <c r="T2944" s="330"/>
      <c r="U2944" s="250"/>
      <c r="V2944" s="249"/>
      <c r="W2944" s="330"/>
      <c r="X2944" s="343"/>
      <c r="Y2944" s="249"/>
      <c r="Z2944" s="330"/>
      <c r="AA2944" s="343"/>
      <c r="AB2944" s="249"/>
      <c r="AC2944" s="330"/>
      <c r="AD2944" s="343"/>
      <c r="AE2944" s="249"/>
      <c r="AF2944" s="330"/>
      <c r="AG2944" s="343"/>
      <c r="AH2944" s="249"/>
      <c r="AI2944" s="330"/>
      <c r="AJ2944" s="343"/>
      <c r="AK2944" s="249"/>
      <c r="AL2944" s="330"/>
      <c r="AM2944" s="343"/>
      <c r="AN2944" s="249"/>
      <c r="AO2944" s="330"/>
      <c r="AP2944" s="343"/>
      <c r="AQ2944" s="249"/>
      <c r="AR2944" s="330"/>
      <c r="AS2944" s="343"/>
      <c r="AT2944" s="249"/>
      <c r="AU2944" s="330"/>
    </row>
    <row r="2945" spans="2:47">
      <c r="B2945" s="247">
        <f>'Table S2 Compound Identifiers'!C2947</f>
        <v>0</v>
      </c>
      <c r="C2945" s="247">
        <f>COUNTIF($D$6:D2945,"&lt;&gt;"&amp;"")</f>
        <v>2940</v>
      </c>
      <c r="D2945" s="247">
        <f>'Table S2 Compound Identifiers'!B2947</f>
        <v>0</v>
      </c>
      <c r="E2945" s="247"/>
      <c r="F2945" s="248"/>
      <c r="G2945" s="249"/>
      <c r="H2945" s="330"/>
      <c r="I2945" s="328"/>
      <c r="J2945" s="249"/>
      <c r="K2945" s="330"/>
      <c r="L2945" s="250"/>
      <c r="M2945" s="249"/>
      <c r="N2945" s="330"/>
      <c r="O2945" s="250"/>
      <c r="P2945" s="249"/>
      <c r="Q2945" s="330"/>
      <c r="R2945" s="250"/>
      <c r="S2945" s="249"/>
      <c r="T2945" s="330"/>
      <c r="U2945" s="250"/>
      <c r="V2945" s="249"/>
      <c r="W2945" s="330"/>
      <c r="X2945" s="343"/>
      <c r="Y2945" s="249"/>
      <c r="Z2945" s="330"/>
      <c r="AA2945" s="343"/>
      <c r="AB2945" s="249"/>
      <c r="AC2945" s="330"/>
      <c r="AD2945" s="343"/>
      <c r="AE2945" s="249"/>
      <c r="AF2945" s="330"/>
      <c r="AG2945" s="343"/>
      <c r="AH2945" s="249"/>
      <c r="AI2945" s="330"/>
      <c r="AJ2945" s="343"/>
      <c r="AK2945" s="249"/>
      <c r="AL2945" s="330"/>
      <c r="AM2945" s="343"/>
      <c r="AN2945" s="249"/>
      <c r="AO2945" s="330"/>
      <c r="AP2945" s="343"/>
      <c r="AQ2945" s="249"/>
      <c r="AR2945" s="330"/>
      <c r="AS2945" s="343"/>
      <c r="AT2945" s="249"/>
      <c r="AU2945" s="330"/>
    </row>
    <row r="2946" spans="2:47">
      <c r="B2946" s="247">
        <f>'Table S2 Compound Identifiers'!C2948</f>
        <v>0</v>
      </c>
      <c r="C2946" s="247">
        <f>COUNTIF($D$6:D2946,"&lt;&gt;"&amp;"")</f>
        <v>2941</v>
      </c>
      <c r="D2946" s="247">
        <f>'Table S2 Compound Identifiers'!B2948</f>
        <v>0</v>
      </c>
      <c r="E2946" s="247"/>
      <c r="F2946" s="248"/>
      <c r="G2946" s="249"/>
      <c r="H2946" s="330"/>
      <c r="I2946" s="328"/>
      <c r="J2946" s="249"/>
      <c r="K2946" s="330"/>
      <c r="L2946" s="250"/>
      <c r="M2946" s="249"/>
      <c r="N2946" s="330"/>
      <c r="O2946" s="250"/>
      <c r="P2946" s="249"/>
      <c r="Q2946" s="330"/>
      <c r="R2946" s="250"/>
      <c r="S2946" s="249"/>
      <c r="T2946" s="330"/>
      <c r="U2946" s="250"/>
      <c r="V2946" s="249"/>
      <c r="W2946" s="330"/>
      <c r="X2946" s="343"/>
      <c r="Y2946" s="249"/>
      <c r="Z2946" s="330"/>
      <c r="AA2946" s="343"/>
      <c r="AB2946" s="249"/>
      <c r="AC2946" s="330"/>
      <c r="AD2946" s="343"/>
      <c r="AE2946" s="249"/>
      <c r="AF2946" s="330"/>
      <c r="AG2946" s="343"/>
      <c r="AH2946" s="249"/>
      <c r="AI2946" s="330"/>
      <c r="AJ2946" s="343"/>
      <c r="AK2946" s="249"/>
      <c r="AL2946" s="330"/>
      <c r="AM2946" s="343"/>
      <c r="AN2946" s="249"/>
      <c r="AO2946" s="330"/>
      <c r="AP2946" s="343"/>
      <c r="AQ2946" s="249"/>
      <c r="AR2946" s="330"/>
      <c r="AS2946" s="343"/>
      <c r="AT2946" s="249"/>
      <c r="AU2946" s="330"/>
    </row>
    <row r="2947" spans="2:47">
      <c r="B2947" s="247">
        <f>'Table S2 Compound Identifiers'!C2949</f>
        <v>0</v>
      </c>
      <c r="C2947" s="247">
        <f>COUNTIF($D$6:D2947,"&lt;&gt;"&amp;"")</f>
        <v>2942</v>
      </c>
      <c r="D2947" s="247">
        <f>'Table S2 Compound Identifiers'!B2949</f>
        <v>0</v>
      </c>
      <c r="E2947" s="247"/>
      <c r="F2947" s="248"/>
      <c r="G2947" s="249"/>
      <c r="H2947" s="330"/>
      <c r="I2947" s="328"/>
      <c r="J2947" s="249"/>
      <c r="K2947" s="330"/>
      <c r="L2947" s="250"/>
      <c r="M2947" s="249"/>
      <c r="N2947" s="330"/>
      <c r="O2947" s="250"/>
      <c r="P2947" s="249"/>
      <c r="Q2947" s="330"/>
      <c r="R2947" s="250"/>
      <c r="S2947" s="249"/>
      <c r="T2947" s="330"/>
      <c r="U2947" s="250"/>
      <c r="V2947" s="249"/>
      <c r="W2947" s="330"/>
      <c r="X2947" s="343"/>
      <c r="Y2947" s="249"/>
      <c r="Z2947" s="330"/>
      <c r="AA2947" s="343"/>
      <c r="AB2947" s="249"/>
      <c r="AC2947" s="330"/>
      <c r="AD2947" s="343"/>
      <c r="AE2947" s="249"/>
      <c r="AF2947" s="330"/>
      <c r="AG2947" s="343"/>
      <c r="AH2947" s="249"/>
      <c r="AI2947" s="330"/>
      <c r="AJ2947" s="343"/>
      <c r="AK2947" s="249"/>
      <c r="AL2947" s="330"/>
      <c r="AM2947" s="343"/>
      <c r="AN2947" s="249"/>
      <c r="AO2947" s="330"/>
      <c r="AP2947" s="343"/>
      <c r="AQ2947" s="249"/>
      <c r="AR2947" s="330"/>
      <c r="AS2947" s="343"/>
      <c r="AT2947" s="249"/>
      <c r="AU2947" s="330"/>
    </row>
    <row r="2948" spans="2:47">
      <c r="B2948" s="247">
        <f>'Table S2 Compound Identifiers'!C2950</f>
        <v>0</v>
      </c>
      <c r="C2948" s="247">
        <f>COUNTIF($D$6:D2948,"&lt;&gt;"&amp;"")</f>
        <v>2943</v>
      </c>
      <c r="D2948" s="432">
        <f>'Table S2 Compound Identifiers'!B2950</f>
        <v>0</v>
      </c>
      <c r="E2948" s="247"/>
      <c r="F2948" s="248"/>
      <c r="G2948" s="249"/>
      <c r="H2948" s="330"/>
      <c r="I2948" s="328"/>
      <c r="J2948" s="249"/>
      <c r="K2948" s="330"/>
      <c r="L2948" s="250"/>
      <c r="M2948" s="249"/>
      <c r="N2948" s="330"/>
      <c r="O2948" s="250"/>
      <c r="P2948" s="249"/>
      <c r="Q2948" s="330"/>
      <c r="R2948" s="250"/>
      <c r="S2948" s="249"/>
      <c r="T2948" s="330"/>
      <c r="U2948" s="250"/>
      <c r="V2948" s="249"/>
      <c r="W2948" s="330"/>
      <c r="X2948" s="343"/>
      <c r="Y2948" s="249"/>
      <c r="Z2948" s="330"/>
      <c r="AA2948" s="343"/>
      <c r="AB2948" s="249"/>
      <c r="AC2948" s="330"/>
      <c r="AD2948" s="343"/>
      <c r="AE2948" s="249"/>
      <c r="AF2948" s="330"/>
      <c r="AG2948" s="343"/>
      <c r="AH2948" s="249"/>
      <c r="AI2948" s="330"/>
      <c r="AJ2948" s="343"/>
      <c r="AK2948" s="249"/>
      <c r="AL2948" s="330"/>
      <c r="AM2948" s="343"/>
      <c r="AN2948" s="249"/>
      <c r="AO2948" s="330"/>
      <c r="AP2948" s="343"/>
      <c r="AQ2948" s="249"/>
      <c r="AR2948" s="330"/>
      <c r="AS2948" s="343"/>
      <c r="AT2948" s="249"/>
      <c r="AU2948" s="330"/>
    </row>
    <row r="2949" spans="2:47">
      <c r="B2949" s="247">
        <f>'Table S2 Compound Identifiers'!C2951</f>
        <v>0</v>
      </c>
      <c r="C2949" s="247">
        <f>COUNTIF($D$6:D2949,"&lt;&gt;"&amp;"")</f>
        <v>2944</v>
      </c>
      <c r="D2949" s="432">
        <f>'Table S2 Compound Identifiers'!B2951</f>
        <v>0</v>
      </c>
      <c r="E2949" s="247"/>
      <c r="F2949" s="248"/>
      <c r="G2949" s="249"/>
      <c r="H2949" s="330"/>
      <c r="I2949" s="328"/>
      <c r="J2949" s="249"/>
      <c r="K2949" s="330"/>
      <c r="L2949" s="250"/>
      <c r="M2949" s="249"/>
      <c r="N2949" s="330"/>
      <c r="O2949" s="250"/>
      <c r="P2949" s="249"/>
      <c r="Q2949" s="330"/>
      <c r="R2949" s="250"/>
      <c r="S2949" s="249"/>
      <c r="T2949" s="330"/>
      <c r="U2949" s="250"/>
      <c r="V2949" s="249"/>
      <c r="W2949" s="330"/>
      <c r="X2949" s="343"/>
      <c r="Y2949" s="249"/>
      <c r="Z2949" s="330"/>
      <c r="AA2949" s="343"/>
      <c r="AB2949" s="249"/>
      <c r="AC2949" s="330"/>
      <c r="AD2949" s="343"/>
      <c r="AE2949" s="249"/>
      <c r="AF2949" s="330"/>
      <c r="AG2949" s="343"/>
      <c r="AH2949" s="249"/>
      <c r="AI2949" s="330"/>
      <c r="AJ2949" s="343"/>
      <c r="AK2949" s="249"/>
      <c r="AL2949" s="330"/>
      <c r="AM2949" s="343"/>
      <c r="AN2949" s="249"/>
      <c r="AO2949" s="330"/>
      <c r="AP2949" s="343"/>
      <c r="AQ2949" s="249"/>
      <c r="AR2949" s="330"/>
      <c r="AS2949" s="343"/>
      <c r="AT2949" s="249"/>
      <c r="AU2949" s="330"/>
    </row>
    <row r="2950" spans="2:47">
      <c r="B2950" s="247">
        <f>'Table S2 Compound Identifiers'!C2952</f>
        <v>0</v>
      </c>
      <c r="C2950" s="247">
        <f>COUNTIF($D$6:D2950,"&lt;&gt;"&amp;"")</f>
        <v>2945</v>
      </c>
      <c r="D2950" s="432">
        <f>'Table S2 Compound Identifiers'!B2952</f>
        <v>0</v>
      </c>
      <c r="E2950" s="247"/>
      <c r="F2950" s="248"/>
      <c r="G2950" s="249"/>
      <c r="H2950" s="330"/>
      <c r="I2950" s="328"/>
      <c r="J2950" s="249"/>
      <c r="K2950" s="330"/>
      <c r="L2950" s="250"/>
      <c r="M2950" s="249"/>
      <c r="N2950" s="330"/>
      <c r="O2950" s="250"/>
      <c r="P2950" s="249"/>
      <c r="Q2950" s="330"/>
      <c r="R2950" s="250"/>
      <c r="S2950" s="249"/>
      <c r="T2950" s="330"/>
      <c r="U2950" s="250"/>
      <c r="V2950" s="249"/>
      <c r="W2950" s="330"/>
      <c r="X2950" s="343"/>
      <c r="Y2950" s="249"/>
      <c r="Z2950" s="330"/>
      <c r="AA2950" s="343"/>
      <c r="AB2950" s="249"/>
      <c r="AC2950" s="330"/>
      <c r="AD2950" s="343"/>
      <c r="AE2950" s="249"/>
      <c r="AF2950" s="330"/>
      <c r="AG2950" s="343"/>
      <c r="AH2950" s="249"/>
      <c r="AI2950" s="330"/>
      <c r="AJ2950" s="343"/>
      <c r="AK2950" s="249"/>
      <c r="AL2950" s="330"/>
      <c r="AM2950" s="343"/>
      <c r="AN2950" s="249"/>
      <c r="AO2950" s="330"/>
      <c r="AP2950" s="343"/>
      <c r="AQ2950" s="249"/>
      <c r="AR2950" s="330"/>
      <c r="AS2950" s="343"/>
      <c r="AT2950" s="249"/>
      <c r="AU2950" s="330"/>
    </row>
    <row r="2951" spans="2:47">
      <c r="B2951" s="247">
        <f>'Table S2 Compound Identifiers'!C2953</f>
        <v>0</v>
      </c>
      <c r="C2951" s="247">
        <f>COUNTIF($D$6:D2951,"&lt;&gt;"&amp;"")</f>
        <v>2946</v>
      </c>
      <c r="D2951" s="432">
        <f>'Table S2 Compound Identifiers'!B2953</f>
        <v>0</v>
      </c>
      <c r="E2951" s="247"/>
      <c r="F2951" s="248"/>
      <c r="G2951" s="249"/>
      <c r="H2951" s="330"/>
      <c r="I2951" s="328"/>
      <c r="J2951" s="249"/>
      <c r="K2951" s="330"/>
      <c r="L2951" s="250"/>
      <c r="M2951" s="249"/>
      <c r="N2951" s="330"/>
      <c r="O2951" s="250"/>
      <c r="P2951" s="249"/>
      <c r="Q2951" s="330"/>
      <c r="R2951" s="250"/>
      <c r="S2951" s="249"/>
      <c r="T2951" s="330"/>
      <c r="U2951" s="250"/>
      <c r="V2951" s="249"/>
      <c r="W2951" s="330"/>
      <c r="X2951" s="343"/>
      <c r="Y2951" s="249"/>
      <c r="Z2951" s="330"/>
      <c r="AA2951" s="343"/>
      <c r="AB2951" s="249"/>
      <c r="AC2951" s="330"/>
      <c r="AD2951" s="343"/>
      <c r="AE2951" s="249"/>
      <c r="AF2951" s="330"/>
      <c r="AG2951" s="343"/>
      <c r="AH2951" s="249"/>
      <c r="AI2951" s="330"/>
      <c r="AJ2951" s="343"/>
      <c r="AK2951" s="249"/>
      <c r="AL2951" s="330"/>
      <c r="AM2951" s="343"/>
      <c r="AN2951" s="249"/>
      <c r="AO2951" s="330"/>
      <c r="AP2951" s="343"/>
      <c r="AQ2951" s="249"/>
      <c r="AR2951" s="330"/>
      <c r="AS2951" s="343"/>
      <c r="AT2951" s="249"/>
      <c r="AU2951" s="330"/>
    </row>
    <row r="2952" spans="2:47">
      <c r="B2952" s="247">
        <f>'Table S2 Compound Identifiers'!C2954</f>
        <v>0</v>
      </c>
      <c r="C2952" s="247">
        <f>COUNTIF($D$6:D2952,"&lt;&gt;"&amp;"")</f>
        <v>2947</v>
      </c>
      <c r="D2952" s="432">
        <f>'Table S2 Compound Identifiers'!B2954</f>
        <v>0</v>
      </c>
      <c r="E2952" s="247"/>
      <c r="F2952" s="248"/>
      <c r="G2952" s="249"/>
      <c r="H2952" s="330"/>
      <c r="I2952" s="328"/>
      <c r="J2952" s="249"/>
      <c r="K2952" s="330"/>
      <c r="L2952" s="250"/>
      <c r="M2952" s="249"/>
      <c r="N2952" s="330"/>
      <c r="O2952" s="250"/>
      <c r="P2952" s="249"/>
      <c r="Q2952" s="330"/>
      <c r="R2952" s="250"/>
      <c r="S2952" s="249"/>
      <c r="T2952" s="330"/>
      <c r="U2952" s="250"/>
      <c r="V2952" s="249"/>
      <c r="W2952" s="330"/>
      <c r="X2952" s="343"/>
      <c r="Y2952" s="249"/>
      <c r="Z2952" s="330"/>
      <c r="AA2952" s="343"/>
      <c r="AB2952" s="249"/>
      <c r="AC2952" s="330"/>
      <c r="AD2952" s="343"/>
      <c r="AE2952" s="249"/>
      <c r="AF2952" s="330"/>
      <c r="AG2952" s="343"/>
      <c r="AH2952" s="249"/>
      <c r="AI2952" s="330"/>
      <c r="AJ2952" s="343"/>
      <c r="AK2952" s="249"/>
      <c r="AL2952" s="330"/>
      <c r="AM2952" s="343"/>
      <c r="AN2952" s="249"/>
      <c r="AO2952" s="330"/>
      <c r="AP2952" s="343"/>
      <c r="AQ2952" s="249"/>
      <c r="AR2952" s="330"/>
      <c r="AS2952" s="343"/>
      <c r="AT2952" s="249"/>
      <c r="AU2952" s="330"/>
    </row>
    <row r="2953" spans="2:47">
      <c r="B2953" s="247">
        <f>'Table S2 Compound Identifiers'!C2955</f>
        <v>0</v>
      </c>
      <c r="C2953" s="247">
        <f>COUNTIF($D$6:D2953,"&lt;&gt;"&amp;"")</f>
        <v>2948</v>
      </c>
      <c r="D2953" s="432">
        <f>'Table S2 Compound Identifiers'!B2955</f>
        <v>0</v>
      </c>
      <c r="E2953" s="247"/>
      <c r="F2953" s="248"/>
      <c r="G2953" s="249"/>
      <c r="H2953" s="330"/>
      <c r="I2953" s="328"/>
      <c r="J2953" s="249"/>
      <c r="K2953" s="330"/>
      <c r="L2953" s="250"/>
      <c r="M2953" s="249"/>
      <c r="N2953" s="330"/>
      <c r="O2953" s="250"/>
      <c r="P2953" s="249"/>
      <c r="Q2953" s="330"/>
      <c r="R2953" s="250"/>
      <c r="S2953" s="249"/>
      <c r="T2953" s="330"/>
      <c r="U2953" s="250"/>
      <c r="V2953" s="249"/>
      <c r="W2953" s="330"/>
      <c r="X2953" s="343"/>
      <c r="Y2953" s="249"/>
      <c r="Z2953" s="330"/>
      <c r="AA2953" s="343"/>
      <c r="AB2953" s="249"/>
      <c r="AC2953" s="330"/>
      <c r="AD2953" s="343"/>
      <c r="AE2953" s="249"/>
      <c r="AF2953" s="330"/>
      <c r="AG2953" s="343"/>
      <c r="AH2953" s="249"/>
      <c r="AI2953" s="330"/>
      <c r="AJ2953" s="343"/>
      <c r="AK2953" s="249"/>
      <c r="AL2953" s="330"/>
      <c r="AM2953" s="343"/>
      <c r="AN2953" s="249"/>
      <c r="AO2953" s="330"/>
      <c r="AP2953" s="343"/>
      <c r="AQ2953" s="249"/>
      <c r="AR2953" s="330"/>
      <c r="AS2953" s="343"/>
      <c r="AT2953" s="249"/>
      <c r="AU2953" s="330"/>
    </row>
    <row r="2954" spans="2:47">
      <c r="B2954" s="247">
        <f>'Table S2 Compound Identifiers'!C2956</f>
        <v>0</v>
      </c>
      <c r="C2954" s="247">
        <f>COUNTIF($D$6:D2954,"&lt;&gt;"&amp;"")</f>
        <v>2949</v>
      </c>
      <c r="D2954" s="432">
        <f>'Table S2 Compound Identifiers'!B2956</f>
        <v>0</v>
      </c>
      <c r="E2954" s="247"/>
      <c r="F2954" s="248"/>
      <c r="G2954" s="249"/>
      <c r="H2954" s="330"/>
      <c r="I2954" s="328"/>
      <c r="J2954" s="249"/>
      <c r="K2954" s="330"/>
      <c r="L2954" s="250"/>
      <c r="M2954" s="249"/>
      <c r="N2954" s="330"/>
      <c r="O2954" s="250"/>
      <c r="P2954" s="249"/>
      <c r="Q2954" s="330"/>
      <c r="R2954" s="250"/>
      <c r="S2954" s="249"/>
      <c r="T2954" s="330"/>
      <c r="U2954" s="250"/>
      <c r="V2954" s="249"/>
      <c r="W2954" s="330"/>
      <c r="X2954" s="343"/>
      <c r="Y2954" s="249"/>
      <c r="Z2954" s="330"/>
      <c r="AA2954" s="343"/>
      <c r="AB2954" s="249"/>
      <c r="AC2954" s="330"/>
      <c r="AD2954" s="343"/>
      <c r="AE2954" s="249"/>
      <c r="AF2954" s="330"/>
      <c r="AG2954" s="343"/>
      <c r="AH2954" s="249"/>
      <c r="AI2954" s="330"/>
      <c r="AJ2954" s="343"/>
      <c r="AK2954" s="249"/>
      <c r="AL2954" s="330"/>
      <c r="AM2954" s="343"/>
      <c r="AN2954" s="249"/>
      <c r="AO2954" s="330"/>
      <c r="AP2954" s="343"/>
      <c r="AQ2954" s="249"/>
      <c r="AR2954" s="330"/>
      <c r="AS2954" s="343"/>
      <c r="AT2954" s="249"/>
      <c r="AU2954" s="330"/>
    </row>
    <row r="2955" spans="2:47">
      <c r="B2955" s="247">
        <f>'Table S2 Compound Identifiers'!C2957</f>
        <v>0</v>
      </c>
      <c r="C2955" s="247">
        <f>COUNTIF($D$6:D2955,"&lt;&gt;"&amp;"")</f>
        <v>2950</v>
      </c>
      <c r="D2955" s="432">
        <f>'Table S2 Compound Identifiers'!B2957</f>
        <v>0</v>
      </c>
      <c r="E2955" s="247"/>
      <c r="F2955" s="248"/>
      <c r="G2955" s="249"/>
      <c r="H2955" s="330"/>
      <c r="I2955" s="328"/>
      <c r="J2955" s="249"/>
      <c r="K2955" s="330"/>
      <c r="L2955" s="250"/>
      <c r="M2955" s="249"/>
      <c r="N2955" s="330"/>
      <c r="O2955" s="250"/>
      <c r="P2955" s="249"/>
      <c r="Q2955" s="330"/>
      <c r="R2955" s="250"/>
      <c r="S2955" s="249"/>
      <c r="T2955" s="330"/>
      <c r="U2955" s="250"/>
      <c r="V2955" s="249"/>
      <c r="W2955" s="330"/>
      <c r="X2955" s="343"/>
      <c r="Y2955" s="249"/>
      <c r="Z2955" s="330"/>
      <c r="AA2955" s="343"/>
      <c r="AB2955" s="249"/>
      <c r="AC2955" s="330"/>
      <c r="AD2955" s="343"/>
      <c r="AE2955" s="249"/>
      <c r="AF2955" s="330"/>
      <c r="AG2955" s="343"/>
      <c r="AH2955" s="249"/>
      <c r="AI2955" s="330"/>
      <c r="AJ2955" s="343"/>
      <c r="AK2955" s="249"/>
      <c r="AL2955" s="330"/>
      <c r="AM2955" s="343"/>
      <c r="AN2955" s="249"/>
      <c r="AO2955" s="330"/>
      <c r="AP2955" s="343"/>
      <c r="AQ2955" s="249"/>
      <c r="AR2955" s="330"/>
      <c r="AS2955" s="343"/>
      <c r="AT2955" s="249"/>
      <c r="AU2955" s="330"/>
    </row>
    <row r="2956" spans="2:47">
      <c r="B2956" s="247">
        <f>'Table S2 Compound Identifiers'!C2958</f>
        <v>0</v>
      </c>
      <c r="C2956" s="247">
        <f>COUNTIF($D$6:D2956,"&lt;&gt;"&amp;"")</f>
        <v>2951</v>
      </c>
      <c r="D2956" s="432">
        <f>'Table S2 Compound Identifiers'!B2958</f>
        <v>0</v>
      </c>
      <c r="E2956" s="247"/>
      <c r="F2956" s="248"/>
      <c r="G2956" s="249"/>
      <c r="H2956" s="330"/>
      <c r="I2956" s="328"/>
      <c r="J2956" s="249"/>
      <c r="K2956" s="330"/>
      <c r="L2956" s="250"/>
      <c r="M2956" s="249"/>
      <c r="N2956" s="330"/>
      <c r="O2956" s="250"/>
      <c r="P2956" s="249"/>
      <c r="Q2956" s="330"/>
      <c r="R2956" s="250"/>
      <c r="S2956" s="249"/>
      <c r="T2956" s="330"/>
      <c r="U2956" s="250"/>
      <c r="V2956" s="249"/>
      <c r="W2956" s="330"/>
      <c r="X2956" s="343"/>
      <c r="Y2956" s="249"/>
      <c r="Z2956" s="330"/>
      <c r="AA2956" s="343"/>
      <c r="AB2956" s="249"/>
      <c r="AC2956" s="330"/>
      <c r="AD2956" s="343"/>
      <c r="AE2956" s="249"/>
      <c r="AF2956" s="330"/>
      <c r="AG2956" s="343"/>
      <c r="AH2956" s="249"/>
      <c r="AI2956" s="330"/>
      <c r="AJ2956" s="343"/>
      <c r="AK2956" s="249"/>
      <c r="AL2956" s="330"/>
      <c r="AM2956" s="343"/>
      <c r="AN2956" s="249"/>
      <c r="AO2956" s="330"/>
      <c r="AP2956" s="343"/>
      <c r="AQ2956" s="249"/>
      <c r="AR2956" s="330"/>
      <c r="AS2956" s="343"/>
      <c r="AT2956" s="249"/>
      <c r="AU2956" s="330"/>
    </row>
    <row r="2957" spans="2:47">
      <c r="B2957" s="247">
        <f>'Table S2 Compound Identifiers'!C2959</f>
        <v>0</v>
      </c>
      <c r="C2957" s="247">
        <f>COUNTIF($D$6:D2957,"&lt;&gt;"&amp;"")</f>
        <v>2952</v>
      </c>
      <c r="D2957" s="432">
        <f>'Table S2 Compound Identifiers'!B2959</f>
        <v>0</v>
      </c>
      <c r="E2957" s="247"/>
      <c r="F2957" s="248"/>
      <c r="G2957" s="249"/>
      <c r="H2957" s="330"/>
      <c r="I2957" s="328"/>
      <c r="J2957" s="249"/>
      <c r="K2957" s="330"/>
      <c r="L2957" s="250"/>
      <c r="M2957" s="249"/>
      <c r="N2957" s="330"/>
      <c r="O2957" s="250"/>
      <c r="P2957" s="249"/>
      <c r="Q2957" s="330"/>
      <c r="R2957" s="250"/>
      <c r="S2957" s="249"/>
      <c r="T2957" s="330"/>
      <c r="U2957" s="250"/>
      <c r="V2957" s="249"/>
      <c r="W2957" s="330"/>
      <c r="X2957" s="343"/>
      <c r="Y2957" s="249"/>
      <c r="Z2957" s="330"/>
      <c r="AA2957" s="343"/>
      <c r="AB2957" s="249"/>
      <c r="AC2957" s="330"/>
      <c r="AD2957" s="343"/>
      <c r="AE2957" s="249"/>
      <c r="AF2957" s="330"/>
      <c r="AG2957" s="343"/>
      <c r="AH2957" s="249"/>
      <c r="AI2957" s="330"/>
      <c r="AJ2957" s="343"/>
      <c r="AK2957" s="249"/>
      <c r="AL2957" s="330"/>
      <c r="AM2957" s="343"/>
      <c r="AN2957" s="249"/>
      <c r="AO2957" s="330"/>
      <c r="AP2957" s="343"/>
      <c r="AQ2957" s="249"/>
      <c r="AR2957" s="330"/>
      <c r="AS2957" s="343"/>
      <c r="AT2957" s="249"/>
      <c r="AU2957" s="330"/>
    </row>
    <row r="2958" spans="2:47">
      <c r="B2958" s="247">
        <f>'Table S2 Compound Identifiers'!C2960</f>
        <v>0</v>
      </c>
      <c r="C2958" s="247">
        <f>COUNTIF($D$6:D2958,"&lt;&gt;"&amp;"")</f>
        <v>2953</v>
      </c>
      <c r="D2958" s="247">
        <f>'Table S2 Compound Identifiers'!B2960</f>
        <v>0</v>
      </c>
      <c r="E2958" s="247"/>
      <c r="F2958" s="248"/>
      <c r="G2958" s="249"/>
      <c r="H2958" s="330"/>
      <c r="I2958" s="328"/>
      <c r="J2958" s="249"/>
      <c r="K2958" s="330"/>
      <c r="L2958" s="250"/>
      <c r="M2958" s="249"/>
      <c r="N2958" s="330"/>
      <c r="O2958" s="250"/>
      <c r="P2958" s="249"/>
      <c r="Q2958" s="330"/>
      <c r="R2958" s="250"/>
      <c r="S2958" s="249"/>
      <c r="T2958" s="330"/>
      <c r="U2958" s="250"/>
      <c r="V2958" s="249"/>
      <c r="W2958" s="330"/>
      <c r="X2958" s="343"/>
      <c r="Y2958" s="249"/>
      <c r="Z2958" s="330"/>
      <c r="AA2958" s="343"/>
      <c r="AB2958" s="249"/>
      <c r="AC2958" s="330"/>
      <c r="AD2958" s="343"/>
      <c r="AE2958" s="249"/>
      <c r="AF2958" s="330"/>
      <c r="AG2958" s="343"/>
      <c r="AH2958" s="249"/>
      <c r="AI2958" s="330"/>
      <c r="AJ2958" s="343"/>
      <c r="AK2958" s="249"/>
      <c r="AL2958" s="330"/>
      <c r="AM2958" s="343"/>
      <c r="AN2958" s="249"/>
      <c r="AO2958" s="330"/>
      <c r="AP2958" s="343"/>
      <c r="AQ2958" s="249"/>
      <c r="AR2958" s="330"/>
      <c r="AS2958" s="343"/>
      <c r="AT2958" s="249"/>
      <c r="AU2958" s="330"/>
    </row>
    <row r="2959" spans="2:47">
      <c r="B2959" s="247">
        <f>'Table S2 Compound Identifiers'!C2961</f>
        <v>0</v>
      </c>
      <c r="C2959" s="247">
        <f>COUNTIF($D$6:D2959,"&lt;&gt;"&amp;"")</f>
        <v>2954</v>
      </c>
      <c r="D2959" s="247">
        <f>'Table S2 Compound Identifiers'!B2961</f>
        <v>0</v>
      </c>
      <c r="E2959" s="247"/>
      <c r="F2959" s="248"/>
      <c r="G2959" s="249"/>
      <c r="H2959" s="330"/>
      <c r="I2959" s="328"/>
      <c r="J2959" s="249"/>
      <c r="K2959" s="330"/>
      <c r="L2959" s="250"/>
      <c r="M2959" s="249"/>
      <c r="N2959" s="330"/>
      <c r="O2959" s="250"/>
      <c r="P2959" s="249"/>
      <c r="Q2959" s="330"/>
      <c r="R2959" s="250"/>
      <c r="S2959" s="249"/>
      <c r="T2959" s="330"/>
      <c r="U2959" s="250"/>
      <c r="V2959" s="249"/>
      <c r="W2959" s="330"/>
      <c r="X2959" s="343"/>
      <c r="Y2959" s="249"/>
      <c r="Z2959" s="330"/>
      <c r="AA2959" s="343"/>
      <c r="AB2959" s="249"/>
      <c r="AC2959" s="330"/>
      <c r="AD2959" s="343"/>
      <c r="AE2959" s="249"/>
      <c r="AF2959" s="330"/>
      <c r="AG2959" s="343"/>
      <c r="AH2959" s="249"/>
      <c r="AI2959" s="330"/>
      <c r="AJ2959" s="343"/>
      <c r="AK2959" s="249"/>
      <c r="AL2959" s="330"/>
      <c r="AM2959" s="343"/>
      <c r="AN2959" s="249"/>
      <c r="AO2959" s="330"/>
      <c r="AP2959" s="343"/>
      <c r="AQ2959" s="249"/>
      <c r="AR2959" s="330"/>
      <c r="AS2959" s="343"/>
      <c r="AT2959" s="249"/>
      <c r="AU2959" s="330"/>
    </row>
    <row r="2960" spans="2:47">
      <c r="B2960" s="247">
        <f>'Table S2 Compound Identifiers'!C2962</f>
        <v>0</v>
      </c>
      <c r="C2960" s="247">
        <f>COUNTIF($D$6:D2960,"&lt;&gt;"&amp;"")</f>
        <v>2955</v>
      </c>
      <c r="D2960" s="247">
        <f>'Table S2 Compound Identifiers'!B2962</f>
        <v>0</v>
      </c>
      <c r="E2960" s="247"/>
      <c r="F2960" s="248"/>
      <c r="G2960" s="249"/>
      <c r="H2960" s="330"/>
      <c r="I2960" s="328"/>
      <c r="J2960" s="249"/>
      <c r="K2960" s="330"/>
      <c r="L2960" s="250"/>
      <c r="M2960" s="249"/>
      <c r="N2960" s="330"/>
      <c r="O2960" s="250"/>
      <c r="P2960" s="249"/>
      <c r="Q2960" s="330"/>
      <c r="R2960" s="250"/>
      <c r="S2960" s="249"/>
      <c r="T2960" s="330"/>
      <c r="U2960" s="250"/>
      <c r="V2960" s="249"/>
      <c r="W2960" s="330"/>
      <c r="X2960" s="343"/>
      <c r="Y2960" s="249"/>
      <c r="Z2960" s="330"/>
      <c r="AA2960" s="343"/>
      <c r="AB2960" s="249"/>
      <c r="AC2960" s="330"/>
      <c r="AD2960" s="343"/>
      <c r="AE2960" s="249"/>
      <c r="AF2960" s="330"/>
      <c r="AG2960" s="343"/>
      <c r="AH2960" s="249"/>
      <c r="AI2960" s="330"/>
      <c r="AJ2960" s="343"/>
      <c r="AK2960" s="249"/>
      <c r="AL2960" s="330"/>
      <c r="AM2960" s="343"/>
      <c r="AN2960" s="249"/>
      <c r="AO2960" s="330"/>
      <c r="AP2960" s="343"/>
      <c r="AQ2960" s="249"/>
      <c r="AR2960" s="330"/>
      <c r="AS2960" s="343"/>
      <c r="AT2960" s="249"/>
      <c r="AU2960" s="330"/>
    </row>
    <row r="2961" spans="2:47">
      <c r="B2961" s="247">
        <f>'Table S2 Compound Identifiers'!C2963</f>
        <v>0</v>
      </c>
      <c r="C2961" s="247">
        <f>COUNTIF($D$6:D2961,"&lt;&gt;"&amp;"")</f>
        <v>2956</v>
      </c>
      <c r="D2961" s="247">
        <f>'Table S2 Compound Identifiers'!B2963</f>
        <v>0</v>
      </c>
      <c r="E2961" s="247"/>
      <c r="F2961" s="248"/>
      <c r="G2961" s="249"/>
      <c r="H2961" s="330"/>
      <c r="I2961" s="328"/>
      <c r="J2961" s="249"/>
      <c r="K2961" s="330"/>
      <c r="L2961" s="250"/>
      <c r="M2961" s="249"/>
      <c r="N2961" s="330"/>
      <c r="O2961" s="250"/>
      <c r="P2961" s="249"/>
      <c r="Q2961" s="330"/>
      <c r="R2961" s="250"/>
      <c r="S2961" s="249"/>
      <c r="T2961" s="330"/>
      <c r="U2961" s="250"/>
      <c r="V2961" s="249"/>
      <c r="W2961" s="330"/>
      <c r="X2961" s="343"/>
      <c r="Y2961" s="249"/>
      <c r="Z2961" s="330"/>
      <c r="AA2961" s="343"/>
      <c r="AB2961" s="249"/>
      <c r="AC2961" s="330"/>
      <c r="AD2961" s="343"/>
      <c r="AE2961" s="249"/>
      <c r="AF2961" s="330"/>
      <c r="AG2961" s="343"/>
      <c r="AH2961" s="249"/>
      <c r="AI2961" s="330"/>
      <c r="AJ2961" s="343"/>
      <c r="AK2961" s="249"/>
      <c r="AL2961" s="330"/>
      <c r="AM2961" s="343"/>
      <c r="AN2961" s="249"/>
      <c r="AO2961" s="330"/>
      <c r="AP2961" s="343"/>
      <c r="AQ2961" s="249"/>
      <c r="AR2961" s="330"/>
      <c r="AS2961" s="343"/>
      <c r="AT2961" s="249"/>
      <c r="AU2961" s="330"/>
    </row>
    <row r="2962" spans="2:47">
      <c r="B2962" s="247">
        <f>'Table S2 Compound Identifiers'!C2964</f>
        <v>0</v>
      </c>
      <c r="C2962" s="247">
        <f>COUNTIF($D$6:D2962,"&lt;&gt;"&amp;"")</f>
        <v>2957</v>
      </c>
      <c r="D2962" s="247">
        <f>'Table S2 Compound Identifiers'!B2964</f>
        <v>0</v>
      </c>
      <c r="E2962" s="247"/>
      <c r="F2962" s="248"/>
      <c r="G2962" s="249"/>
      <c r="H2962" s="330"/>
      <c r="I2962" s="328"/>
      <c r="J2962" s="249"/>
      <c r="K2962" s="330"/>
      <c r="L2962" s="250"/>
      <c r="M2962" s="249"/>
      <c r="N2962" s="330"/>
      <c r="O2962" s="250"/>
      <c r="P2962" s="249"/>
      <c r="Q2962" s="330"/>
      <c r="R2962" s="250"/>
      <c r="S2962" s="249"/>
      <c r="T2962" s="330"/>
      <c r="U2962" s="250"/>
      <c r="V2962" s="249"/>
      <c r="W2962" s="330"/>
      <c r="X2962" s="343"/>
      <c r="Y2962" s="249"/>
      <c r="Z2962" s="330"/>
      <c r="AA2962" s="343"/>
      <c r="AB2962" s="249"/>
      <c r="AC2962" s="330"/>
      <c r="AD2962" s="343"/>
      <c r="AE2962" s="249"/>
      <c r="AF2962" s="330"/>
      <c r="AG2962" s="343"/>
      <c r="AH2962" s="249"/>
      <c r="AI2962" s="330"/>
      <c r="AJ2962" s="343"/>
      <c r="AK2962" s="249"/>
      <c r="AL2962" s="330"/>
      <c r="AM2962" s="343"/>
      <c r="AN2962" s="249"/>
      <c r="AO2962" s="330"/>
      <c r="AP2962" s="343"/>
      <c r="AQ2962" s="249"/>
      <c r="AR2962" s="330"/>
      <c r="AS2962" s="343"/>
      <c r="AT2962" s="249"/>
      <c r="AU2962" s="330"/>
    </row>
    <row r="2963" spans="2:47">
      <c r="B2963" s="247">
        <f>'Table S2 Compound Identifiers'!C2965</f>
        <v>0</v>
      </c>
      <c r="C2963" s="247">
        <f>COUNTIF($D$6:D2963,"&lt;&gt;"&amp;"")</f>
        <v>2958</v>
      </c>
      <c r="D2963" s="247">
        <f>'Table S2 Compound Identifiers'!B2965</f>
        <v>0</v>
      </c>
      <c r="E2963" s="247"/>
      <c r="F2963" s="248"/>
      <c r="G2963" s="249"/>
      <c r="H2963" s="330"/>
      <c r="I2963" s="328"/>
      <c r="J2963" s="249"/>
      <c r="K2963" s="330"/>
      <c r="L2963" s="250"/>
      <c r="M2963" s="249"/>
      <c r="N2963" s="330"/>
      <c r="O2963" s="250"/>
      <c r="P2963" s="249"/>
      <c r="Q2963" s="330"/>
      <c r="R2963" s="250"/>
      <c r="S2963" s="249"/>
      <c r="T2963" s="330"/>
      <c r="U2963" s="250"/>
      <c r="V2963" s="249"/>
      <c r="W2963" s="330"/>
      <c r="X2963" s="343"/>
      <c r="Y2963" s="249"/>
      <c r="Z2963" s="330"/>
      <c r="AA2963" s="343"/>
      <c r="AB2963" s="249"/>
      <c r="AC2963" s="330"/>
      <c r="AD2963" s="343"/>
      <c r="AE2963" s="249"/>
      <c r="AF2963" s="330"/>
      <c r="AG2963" s="343"/>
      <c r="AH2963" s="249"/>
      <c r="AI2963" s="330"/>
      <c r="AJ2963" s="343"/>
      <c r="AK2963" s="249"/>
      <c r="AL2963" s="330"/>
      <c r="AM2963" s="343"/>
      <c r="AN2963" s="249"/>
      <c r="AO2963" s="330"/>
      <c r="AP2963" s="343"/>
      <c r="AQ2963" s="249"/>
      <c r="AR2963" s="330"/>
      <c r="AS2963" s="343"/>
      <c r="AT2963" s="249"/>
      <c r="AU2963" s="330"/>
    </row>
    <row r="2964" spans="2:47">
      <c r="B2964" s="247">
        <f>'Table S2 Compound Identifiers'!C2966</f>
        <v>0</v>
      </c>
      <c r="C2964" s="247">
        <f>COUNTIF($D$6:D2964,"&lt;&gt;"&amp;"")</f>
        <v>2959</v>
      </c>
      <c r="D2964" s="247">
        <f>'Table S2 Compound Identifiers'!B2966</f>
        <v>0</v>
      </c>
      <c r="E2964" s="247"/>
      <c r="F2964" s="248"/>
      <c r="G2964" s="249"/>
      <c r="H2964" s="330"/>
      <c r="I2964" s="328"/>
      <c r="J2964" s="249"/>
      <c r="K2964" s="330"/>
      <c r="L2964" s="250"/>
      <c r="M2964" s="249"/>
      <c r="N2964" s="330"/>
      <c r="O2964" s="251"/>
      <c r="P2964" s="252"/>
      <c r="Q2964" s="330"/>
      <c r="R2964" s="251"/>
      <c r="S2964" s="252"/>
      <c r="T2964" s="330"/>
      <c r="U2964" s="251"/>
      <c r="V2964" s="252"/>
      <c r="W2964" s="330"/>
      <c r="X2964" s="343"/>
      <c r="Y2964" s="249"/>
      <c r="Z2964" s="330"/>
      <c r="AA2964" s="343"/>
      <c r="AB2964" s="249"/>
      <c r="AC2964" s="330"/>
      <c r="AD2964" s="343"/>
      <c r="AE2964" s="249"/>
      <c r="AF2964" s="330"/>
      <c r="AG2964" s="343"/>
      <c r="AH2964" s="249"/>
      <c r="AI2964" s="330"/>
      <c r="AJ2964" s="343"/>
      <c r="AK2964" s="249"/>
      <c r="AL2964" s="330"/>
      <c r="AM2964" s="343"/>
      <c r="AN2964" s="249"/>
      <c r="AO2964" s="330"/>
      <c r="AP2964" s="343"/>
      <c r="AQ2964" s="249"/>
      <c r="AR2964" s="330"/>
      <c r="AS2964" s="343"/>
      <c r="AT2964" s="249"/>
      <c r="AU2964" s="330"/>
    </row>
    <row r="2965" spans="2:47">
      <c r="B2965" s="247">
        <f>'Table S2 Compound Identifiers'!C2967</f>
        <v>0</v>
      </c>
      <c r="C2965" s="253">
        <f>COUNTIF($D$6:D2965,"&lt;&gt;"&amp;"")</f>
        <v>2960</v>
      </c>
      <c r="D2965" s="253">
        <f>'Table S2 Compound Identifiers'!B2967</f>
        <v>0</v>
      </c>
      <c r="E2965" s="253"/>
      <c r="F2965" s="254"/>
      <c r="G2965" s="252"/>
      <c r="H2965" s="330"/>
      <c r="I2965" s="333"/>
      <c r="J2965" s="252"/>
      <c r="K2965" s="330"/>
      <c r="L2965" s="251"/>
      <c r="M2965" s="252"/>
      <c r="N2965" s="330"/>
      <c r="O2965" s="251"/>
      <c r="P2965" s="252"/>
      <c r="Q2965" s="330"/>
      <c r="R2965" s="251"/>
      <c r="S2965" s="252"/>
      <c r="T2965" s="330"/>
      <c r="U2965" s="251"/>
      <c r="V2965" s="252"/>
      <c r="W2965" s="330"/>
      <c r="X2965" s="343"/>
      <c r="Y2965" s="249"/>
      <c r="Z2965" s="330"/>
      <c r="AA2965" s="343"/>
      <c r="AB2965" s="249"/>
      <c r="AC2965" s="330"/>
      <c r="AD2965" s="343"/>
      <c r="AE2965" s="249"/>
      <c r="AF2965" s="330"/>
      <c r="AG2965" s="343"/>
      <c r="AH2965" s="249"/>
      <c r="AI2965" s="330"/>
      <c r="AJ2965" s="343"/>
      <c r="AK2965" s="249"/>
      <c r="AL2965" s="330"/>
      <c r="AM2965" s="343"/>
      <c r="AN2965" s="249"/>
      <c r="AO2965" s="330"/>
      <c r="AP2965" s="343"/>
      <c r="AQ2965" s="249"/>
      <c r="AR2965" s="330"/>
      <c r="AS2965" s="343"/>
      <c r="AT2965" s="249"/>
      <c r="AU2965" s="330"/>
    </row>
    <row r="2966" spans="2:47">
      <c r="B2966" s="247">
        <f>'Table S2 Compound Identifiers'!C2968</f>
        <v>0</v>
      </c>
      <c r="C2966" s="247">
        <f>COUNTIF($D$6:D2966,"&lt;&gt;"&amp;"")</f>
        <v>2961</v>
      </c>
      <c r="D2966" s="247">
        <f>'Table S2 Compound Identifiers'!B2968</f>
        <v>0</v>
      </c>
      <c r="E2966" s="247"/>
      <c r="F2966" s="248"/>
      <c r="G2966" s="250"/>
      <c r="H2966" s="330"/>
      <c r="I2966" s="343"/>
      <c r="J2966" s="249"/>
      <c r="K2966" s="327"/>
      <c r="L2966" s="343"/>
      <c r="M2966" s="249"/>
      <c r="N2966" s="327"/>
      <c r="O2966" s="343"/>
      <c r="P2966" s="249"/>
      <c r="Q2966" s="327"/>
      <c r="R2966" s="343"/>
      <c r="S2966" s="249"/>
      <c r="T2966" s="327"/>
      <c r="U2966" s="343"/>
      <c r="V2966" s="249"/>
      <c r="W2966" s="327"/>
      <c r="X2966" s="343"/>
      <c r="Y2966" s="249"/>
      <c r="Z2966" s="327"/>
      <c r="AA2966" s="343"/>
      <c r="AB2966" s="249"/>
      <c r="AC2966" s="343"/>
      <c r="AD2966" s="343"/>
      <c r="AE2966" s="249"/>
      <c r="AF2966" s="249"/>
      <c r="AG2966" s="343"/>
      <c r="AH2966" s="249"/>
      <c r="AI2966" s="343"/>
      <c r="AJ2966" s="343"/>
      <c r="AK2966" s="249"/>
      <c r="AL2966" s="249"/>
      <c r="AM2966" s="343"/>
      <c r="AN2966" s="249"/>
      <c r="AO2966" s="343"/>
      <c r="AP2966" s="343"/>
      <c r="AQ2966" s="249"/>
      <c r="AR2966" s="249"/>
      <c r="AS2966" s="343"/>
      <c r="AT2966" s="249"/>
      <c r="AU2966" s="343"/>
    </row>
    <row r="2967" spans="2:47">
      <c r="B2967" s="247">
        <f>'Table S2 Compound Identifiers'!C2969</f>
        <v>0</v>
      </c>
      <c r="C2967" s="247">
        <f>COUNTIF($D$6:D2967,"&lt;&gt;"&amp;"")</f>
        <v>2962</v>
      </c>
      <c r="D2967" s="247">
        <f>'Table S2 Compound Identifiers'!B2969</f>
        <v>0</v>
      </c>
      <c r="E2967" s="247"/>
      <c r="F2967" s="248"/>
      <c r="G2967" s="249"/>
      <c r="H2967" s="330"/>
      <c r="I2967" s="332"/>
      <c r="J2967" s="330"/>
      <c r="K2967" s="330"/>
      <c r="L2967" s="330"/>
      <c r="M2967" s="330"/>
      <c r="N2967" s="330"/>
      <c r="O2967" s="330"/>
      <c r="P2967" s="330"/>
      <c r="Q2967" s="330"/>
      <c r="R2967" s="330"/>
      <c r="S2967" s="330"/>
      <c r="T2967" s="330"/>
      <c r="U2967" s="330"/>
      <c r="V2967" s="330"/>
      <c r="W2967" s="330"/>
      <c r="X2967" s="343"/>
      <c r="Y2967" s="249"/>
      <c r="Z2967" s="330"/>
      <c r="AA2967" s="343"/>
      <c r="AB2967" s="249"/>
      <c r="AC2967" s="330"/>
      <c r="AD2967" s="343"/>
      <c r="AE2967" s="249"/>
      <c r="AF2967" s="330"/>
      <c r="AG2967" s="343"/>
      <c r="AH2967" s="249"/>
      <c r="AI2967" s="330"/>
      <c r="AJ2967" s="343"/>
      <c r="AK2967" s="249"/>
      <c r="AL2967" s="330"/>
      <c r="AM2967" s="343"/>
      <c r="AN2967" s="249"/>
      <c r="AO2967" s="330"/>
      <c r="AP2967" s="343"/>
      <c r="AQ2967" s="249"/>
      <c r="AR2967" s="330"/>
      <c r="AS2967" s="343"/>
      <c r="AT2967" s="249"/>
      <c r="AU2967" s="330"/>
    </row>
    <row r="2968" spans="2:47">
      <c r="B2968" s="247">
        <f>'Table S2 Compound Identifiers'!C2970</f>
        <v>0</v>
      </c>
      <c r="C2968" s="247">
        <f>COUNTIF($D$6:D2968,"&lt;&gt;"&amp;"")</f>
        <v>2963</v>
      </c>
      <c r="D2968" s="247">
        <f>'Table S2 Compound Identifiers'!B2970</f>
        <v>0</v>
      </c>
      <c r="E2968" s="247"/>
      <c r="F2968" s="248"/>
      <c r="G2968" s="249"/>
      <c r="H2968" s="330"/>
      <c r="I2968" s="332"/>
      <c r="J2968" s="330"/>
      <c r="K2968" s="330"/>
      <c r="L2968" s="330"/>
      <c r="M2968" s="330"/>
      <c r="N2968" s="330"/>
      <c r="O2968" s="330"/>
      <c r="P2968" s="330"/>
      <c r="Q2968" s="330"/>
      <c r="R2968" s="330"/>
      <c r="S2968" s="330"/>
      <c r="T2968" s="330"/>
      <c r="U2968" s="330"/>
      <c r="V2968" s="330"/>
      <c r="W2968" s="330"/>
      <c r="X2968" s="343"/>
      <c r="Y2968" s="249"/>
      <c r="Z2968" s="330"/>
      <c r="AA2968" s="343"/>
      <c r="AB2968" s="249"/>
      <c r="AC2968" s="330"/>
      <c r="AD2968" s="343"/>
      <c r="AE2968" s="249"/>
      <c r="AF2968" s="330"/>
      <c r="AG2968" s="343"/>
      <c r="AH2968" s="249"/>
      <c r="AI2968" s="330"/>
      <c r="AJ2968" s="343"/>
      <c r="AK2968" s="249"/>
      <c r="AL2968" s="330"/>
      <c r="AM2968" s="343"/>
      <c r="AN2968" s="249"/>
      <c r="AO2968" s="330"/>
      <c r="AP2968" s="343"/>
      <c r="AQ2968" s="249"/>
      <c r="AR2968" s="330"/>
      <c r="AS2968" s="343"/>
      <c r="AT2968" s="249"/>
      <c r="AU2968" s="330"/>
    </row>
    <row r="2969" spans="2:47">
      <c r="B2969" s="247">
        <f>'Table S2 Compound Identifiers'!C2971</f>
        <v>0</v>
      </c>
      <c r="C2969" s="247">
        <f>COUNTIF($D$6:D2969,"&lt;&gt;"&amp;"")</f>
        <v>2964</v>
      </c>
      <c r="D2969" s="247">
        <f>'Table S2 Compound Identifiers'!B2971</f>
        <v>0</v>
      </c>
      <c r="E2969" s="247"/>
      <c r="F2969" s="248"/>
      <c r="G2969" s="249"/>
      <c r="H2969" s="330"/>
      <c r="I2969" s="332"/>
      <c r="J2969" s="330"/>
      <c r="K2969" s="330"/>
      <c r="L2969" s="330"/>
      <c r="M2969" s="330"/>
      <c r="N2969" s="330"/>
      <c r="O2969" s="330"/>
      <c r="P2969" s="330"/>
      <c r="Q2969" s="330"/>
      <c r="R2969" s="330"/>
      <c r="S2969" s="330"/>
      <c r="T2969" s="330"/>
      <c r="U2969" s="330"/>
      <c r="V2969" s="330"/>
      <c r="W2969" s="330"/>
      <c r="X2969" s="343"/>
      <c r="Y2969" s="249"/>
      <c r="Z2969" s="330"/>
      <c r="AA2969" s="343"/>
      <c r="AB2969" s="249"/>
      <c r="AC2969" s="330"/>
      <c r="AD2969" s="343"/>
      <c r="AE2969" s="249"/>
      <c r="AF2969" s="330"/>
      <c r="AG2969" s="343"/>
      <c r="AH2969" s="249"/>
      <c r="AI2969" s="330"/>
      <c r="AJ2969" s="343"/>
      <c r="AK2969" s="249"/>
      <c r="AL2969" s="330"/>
      <c r="AM2969" s="343"/>
      <c r="AN2969" s="249"/>
      <c r="AO2969" s="330"/>
      <c r="AP2969" s="343"/>
      <c r="AQ2969" s="249"/>
      <c r="AR2969" s="330"/>
      <c r="AS2969" s="343"/>
      <c r="AT2969" s="249"/>
      <c r="AU2969" s="330"/>
    </row>
    <row r="2970" spans="2:47">
      <c r="B2970" s="247">
        <f>'Table S2 Compound Identifiers'!C2972</f>
        <v>0</v>
      </c>
      <c r="C2970" s="247">
        <f>COUNTIF($D$6:D2970,"&lt;&gt;"&amp;"")</f>
        <v>2965</v>
      </c>
      <c r="D2970" s="247">
        <f>'Table S2 Compound Identifiers'!B2972</f>
        <v>0</v>
      </c>
      <c r="E2970" s="247"/>
      <c r="F2970" s="248"/>
      <c r="G2970" s="249"/>
      <c r="H2970" s="330"/>
      <c r="I2970" s="328"/>
      <c r="J2970" s="249"/>
      <c r="K2970" s="330"/>
      <c r="L2970" s="250"/>
      <c r="M2970" s="249"/>
      <c r="N2970" s="330"/>
      <c r="O2970" s="250"/>
      <c r="P2970" s="249"/>
      <c r="Q2970" s="330"/>
      <c r="R2970" s="250"/>
      <c r="S2970" s="249"/>
      <c r="T2970" s="330"/>
      <c r="U2970" s="250"/>
      <c r="V2970" s="249"/>
      <c r="W2970" s="330"/>
      <c r="X2970" s="343"/>
      <c r="Y2970" s="249"/>
      <c r="Z2970" s="330"/>
      <c r="AA2970" s="343"/>
      <c r="AB2970" s="249"/>
      <c r="AC2970" s="330"/>
      <c r="AD2970" s="343"/>
      <c r="AE2970" s="249"/>
      <c r="AF2970" s="330"/>
      <c r="AG2970" s="343"/>
      <c r="AH2970" s="249"/>
      <c r="AI2970" s="330"/>
      <c r="AJ2970" s="343"/>
      <c r="AK2970" s="249"/>
      <c r="AL2970" s="330"/>
      <c r="AM2970" s="343"/>
      <c r="AN2970" s="249"/>
      <c r="AO2970" s="330"/>
      <c r="AP2970" s="343"/>
      <c r="AQ2970" s="249"/>
      <c r="AR2970" s="330"/>
      <c r="AS2970" s="343"/>
      <c r="AT2970" s="249"/>
      <c r="AU2970" s="330"/>
    </row>
    <row r="2971" spans="2:47">
      <c r="B2971" s="247">
        <f>'Table S2 Compound Identifiers'!C2973</f>
        <v>0</v>
      </c>
      <c r="C2971" s="247">
        <f>COUNTIF($D$6:D2971,"&lt;&gt;"&amp;"")</f>
        <v>2966</v>
      </c>
      <c r="D2971" s="247">
        <f>'Table S2 Compound Identifiers'!B2973</f>
        <v>0</v>
      </c>
      <c r="E2971" s="247"/>
      <c r="F2971" s="248"/>
      <c r="G2971" s="249"/>
      <c r="H2971" s="330"/>
      <c r="I2971" s="328"/>
      <c r="J2971" s="249"/>
      <c r="K2971" s="330"/>
      <c r="L2971" s="250"/>
      <c r="M2971" s="249"/>
      <c r="N2971" s="330"/>
      <c r="O2971" s="250"/>
      <c r="P2971" s="249"/>
      <c r="Q2971" s="330"/>
      <c r="R2971" s="250"/>
      <c r="S2971" s="249"/>
      <c r="T2971" s="330"/>
      <c r="U2971" s="250"/>
      <c r="V2971" s="249"/>
      <c r="W2971" s="330"/>
      <c r="X2971" s="343"/>
      <c r="Y2971" s="249"/>
      <c r="Z2971" s="330"/>
      <c r="AA2971" s="343"/>
      <c r="AB2971" s="249"/>
      <c r="AC2971" s="330"/>
      <c r="AD2971" s="343"/>
      <c r="AE2971" s="249"/>
      <c r="AF2971" s="330"/>
      <c r="AG2971" s="343"/>
      <c r="AH2971" s="249"/>
      <c r="AI2971" s="330"/>
      <c r="AJ2971" s="343"/>
      <c r="AK2971" s="249"/>
      <c r="AL2971" s="330"/>
      <c r="AM2971" s="343"/>
      <c r="AN2971" s="249"/>
      <c r="AO2971" s="330"/>
      <c r="AP2971" s="343"/>
      <c r="AQ2971" s="249"/>
      <c r="AR2971" s="330"/>
      <c r="AS2971" s="343"/>
      <c r="AT2971" s="249"/>
      <c r="AU2971" s="330"/>
    </row>
    <row r="2972" spans="2:47">
      <c r="B2972" s="247">
        <f>'Table S2 Compound Identifiers'!C2974</f>
        <v>0</v>
      </c>
      <c r="C2972" s="247">
        <f>COUNTIF($D$6:D2972,"&lt;&gt;"&amp;"")</f>
        <v>2967</v>
      </c>
      <c r="D2972" s="247">
        <f>'Table S2 Compound Identifiers'!B2974</f>
        <v>0</v>
      </c>
      <c r="E2972" s="247"/>
      <c r="F2972" s="248"/>
      <c r="G2972" s="249"/>
      <c r="H2972" s="330"/>
      <c r="I2972" s="328"/>
      <c r="J2972" s="249"/>
      <c r="K2972" s="330"/>
      <c r="L2972" s="250"/>
      <c r="M2972" s="249"/>
      <c r="N2972" s="330"/>
      <c r="O2972" s="250"/>
      <c r="P2972" s="249"/>
      <c r="Q2972" s="330"/>
      <c r="R2972" s="250"/>
      <c r="S2972" s="249"/>
      <c r="T2972" s="330"/>
      <c r="U2972" s="250"/>
      <c r="V2972" s="249"/>
      <c r="W2972" s="330"/>
      <c r="X2972" s="343"/>
      <c r="Y2972" s="249"/>
      <c r="Z2972" s="330"/>
      <c r="AA2972" s="343"/>
      <c r="AB2972" s="249"/>
      <c r="AC2972" s="330"/>
      <c r="AD2972" s="343"/>
      <c r="AE2972" s="249"/>
      <c r="AF2972" s="330"/>
      <c r="AG2972" s="343"/>
      <c r="AH2972" s="249"/>
      <c r="AI2972" s="330"/>
      <c r="AJ2972" s="343"/>
      <c r="AK2972" s="249"/>
      <c r="AL2972" s="330"/>
      <c r="AM2972" s="343"/>
      <c r="AN2972" s="249"/>
      <c r="AO2972" s="330"/>
      <c r="AP2972" s="343"/>
      <c r="AQ2972" s="249"/>
      <c r="AR2972" s="330"/>
      <c r="AS2972" s="343"/>
      <c r="AT2972" s="249"/>
      <c r="AU2972" s="330"/>
    </row>
    <row r="2973" spans="2:47">
      <c r="B2973" s="247">
        <f>'Table S2 Compound Identifiers'!C2975</f>
        <v>0</v>
      </c>
      <c r="C2973" s="247">
        <f>COUNTIF($D$6:D2973,"&lt;&gt;"&amp;"")</f>
        <v>2968</v>
      </c>
      <c r="D2973" s="247">
        <f>'Table S2 Compound Identifiers'!B2975</f>
        <v>0</v>
      </c>
      <c r="E2973" s="247"/>
      <c r="F2973" s="248"/>
      <c r="G2973" s="249"/>
      <c r="H2973" s="330"/>
      <c r="I2973" s="328"/>
      <c r="J2973" s="249"/>
      <c r="K2973" s="330"/>
      <c r="L2973" s="250"/>
      <c r="M2973" s="249"/>
      <c r="N2973" s="330"/>
      <c r="O2973" s="250"/>
      <c r="P2973" s="249"/>
      <c r="Q2973" s="330"/>
      <c r="R2973" s="250"/>
      <c r="S2973" s="249"/>
      <c r="T2973" s="330"/>
      <c r="U2973" s="250"/>
      <c r="V2973" s="249"/>
      <c r="W2973" s="330"/>
      <c r="X2973" s="343"/>
      <c r="Y2973" s="249"/>
      <c r="Z2973" s="330"/>
      <c r="AA2973" s="343"/>
      <c r="AB2973" s="249"/>
      <c r="AC2973" s="330"/>
      <c r="AD2973" s="343"/>
      <c r="AE2973" s="249"/>
      <c r="AF2973" s="330"/>
      <c r="AG2973" s="343"/>
      <c r="AH2973" s="249"/>
      <c r="AI2973" s="330"/>
      <c r="AJ2973" s="343"/>
      <c r="AK2973" s="249"/>
      <c r="AL2973" s="330"/>
      <c r="AM2973" s="343"/>
      <c r="AN2973" s="249"/>
      <c r="AO2973" s="330"/>
      <c r="AP2973" s="343"/>
      <c r="AQ2973" s="249"/>
      <c r="AR2973" s="330"/>
      <c r="AS2973" s="343"/>
      <c r="AT2973" s="249"/>
      <c r="AU2973" s="330"/>
    </row>
    <row r="2974" spans="2:47">
      <c r="B2974" s="247">
        <f>'Table S2 Compound Identifiers'!C2976</f>
        <v>0</v>
      </c>
      <c r="C2974" s="247">
        <f>COUNTIF($D$6:D2974,"&lt;&gt;"&amp;"")</f>
        <v>2969</v>
      </c>
      <c r="D2974" s="247">
        <f>'Table S2 Compound Identifiers'!B2976</f>
        <v>0</v>
      </c>
      <c r="E2974" s="247"/>
      <c r="F2974" s="248"/>
      <c r="G2974" s="249"/>
      <c r="H2974" s="330"/>
      <c r="I2974" s="328"/>
      <c r="J2974" s="249"/>
      <c r="K2974" s="330"/>
      <c r="L2974" s="250"/>
      <c r="M2974" s="249"/>
      <c r="N2974" s="330"/>
      <c r="O2974" s="250"/>
      <c r="P2974" s="249"/>
      <c r="Q2974" s="330"/>
      <c r="R2974" s="250"/>
      <c r="S2974" s="249"/>
      <c r="T2974" s="330"/>
      <c r="U2974" s="250"/>
      <c r="V2974" s="249"/>
      <c r="W2974" s="330"/>
      <c r="X2974" s="343"/>
      <c r="Y2974" s="249"/>
      <c r="Z2974" s="330"/>
      <c r="AA2974" s="343"/>
      <c r="AB2974" s="249"/>
      <c r="AC2974" s="330"/>
      <c r="AD2974" s="343"/>
      <c r="AE2974" s="249"/>
      <c r="AF2974" s="330"/>
      <c r="AG2974" s="343"/>
      <c r="AH2974" s="249"/>
      <c r="AI2974" s="330"/>
      <c r="AJ2974" s="343"/>
      <c r="AK2974" s="249"/>
      <c r="AL2974" s="330"/>
      <c r="AM2974" s="343"/>
      <c r="AN2974" s="249"/>
      <c r="AO2974" s="330"/>
      <c r="AP2974" s="343"/>
      <c r="AQ2974" s="249"/>
      <c r="AR2974" s="330"/>
      <c r="AS2974" s="343"/>
      <c r="AT2974" s="249"/>
      <c r="AU2974" s="330"/>
    </row>
    <row r="2975" spans="2:47">
      <c r="B2975" s="247">
        <f>'Table S2 Compound Identifiers'!C2977</f>
        <v>0</v>
      </c>
      <c r="C2975" s="247">
        <f>COUNTIF($D$6:D2975,"&lt;&gt;"&amp;"")</f>
        <v>2970</v>
      </c>
      <c r="D2975" s="247">
        <f>'Table S2 Compound Identifiers'!B2977</f>
        <v>0</v>
      </c>
      <c r="E2975" s="247"/>
      <c r="F2975" s="248"/>
      <c r="G2975" s="249"/>
      <c r="H2975" s="330"/>
      <c r="I2975" s="328"/>
      <c r="J2975" s="249"/>
      <c r="K2975" s="330"/>
      <c r="L2975" s="250"/>
      <c r="M2975" s="249"/>
      <c r="N2975" s="330"/>
      <c r="O2975" s="250"/>
      <c r="P2975" s="249"/>
      <c r="Q2975" s="330"/>
      <c r="R2975" s="250"/>
      <c r="S2975" s="249"/>
      <c r="T2975" s="330"/>
      <c r="U2975" s="250"/>
      <c r="V2975" s="249"/>
      <c r="W2975" s="330"/>
      <c r="X2975" s="343"/>
      <c r="Y2975" s="249"/>
      <c r="Z2975" s="330"/>
      <c r="AA2975" s="343"/>
      <c r="AB2975" s="249"/>
      <c r="AC2975" s="330"/>
      <c r="AD2975" s="343"/>
      <c r="AE2975" s="249"/>
      <c r="AF2975" s="330"/>
      <c r="AG2975" s="343"/>
      <c r="AH2975" s="249"/>
      <c r="AI2975" s="330"/>
      <c r="AJ2975" s="343"/>
      <c r="AK2975" s="249"/>
      <c r="AL2975" s="330"/>
      <c r="AM2975" s="343"/>
      <c r="AN2975" s="249"/>
      <c r="AO2975" s="330"/>
      <c r="AP2975" s="343"/>
      <c r="AQ2975" s="249"/>
      <c r="AR2975" s="330"/>
      <c r="AS2975" s="343"/>
      <c r="AT2975" s="249"/>
      <c r="AU2975" s="330"/>
    </row>
    <row r="2976" spans="2:47">
      <c r="B2976" s="247">
        <f>'Table S2 Compound Identifiers'!C2978</f>
        <v>0</v>
      </c>
      <c r="C2976" s="247">
        <f>COUNTIF($D$6:D2976,"&lt;&gt;"&amp;"")</f>
        <v>2971</v>
      </c>
      <c r="D2976" s="247">
        <f>'Table S2 Compound Identifiers'!B2978</f>
        <v>0</v>
      </c>
      <c r="E2976" s="247"/>
      <c r="F2976" s="248"/>
      <c r="G2976" s="249"/>
      <c r="H2976" s="330"/>
      <c r="I2976" s="328"/>
      <c r="J2976" s="249"/>
      <c r="K2976" s="330"/>
      <c r="L2976" s="250"/>
      <c r="M2976" s="249"/>
      <c r="N2976" s="330"/>
      <c r="O2976" s="250"/>
      <c r="P2976" s="249"/>
      <c r="Q2976" s="330"/>
      <c r="R2976" s="250"/>
      <c r="S2976" s="249"/>
      <c r="T2976" s="330"/>
      <c r="U2976" s="250"/>
      <c r="V2976" s="249"/>
      <c r="W2976" s="330"/>
      <c r="X2976" s="343"/>
      <c r="Y2976" s="249"/>
      <c r="Z2976" s="330"/>
      <c r="AA2976" s="343"/>
      <c r="AB2976" s="249"/>
      <c r="AC2976" s="330"/>
      <c r="AD2976" s="343"/>
      <c r="AE2976" s="249"/>
      <c r="AF2976" s="330"/>
      <c r="AG2976" s="343"/>
      <c r="AH2976" s="249"/>
      <c r="AI2976" s="330"/>
      <c r="AJ2976" s="343"/>
      <c r="AK2976" s="249"/>
      <c r="AL2976" s="330"/>
      <c r="AM2976" s="343"/>
      <c r="AN2976" s="249"/>
      <c r="AO2976" s="330"/>
      <c r="AP2976" s="343"/>
      <c r="AQ2976" s="249"/>
      <c r="AR2976" s="330"/>
      <c r="AS2976" s="343"/>
      <c r="AT2976" s="249"/>
      <c r="AU2976" s="330"/>
    </row>
    <row r="2977" spans="2:47">
      <c r="B2977" s="247">
        <f>'Table S2 Compound Identifiers'!C2979</f>
        <v>0</v>
      </c>
      <c r="C2977" s="247">
        <f>COUNTIF($D$6:D2977,"&lt;&gt;"&amp;"")</f>
        <v>2972</v>
      </c>
      <c r="D2977" s="247">
        <f>'Table S2 Compound Identifiers'!B2979</f>
        <v>0</v>
      </c>
      <c r="E2977" s="247"/>
      <c r="F2977" s="248"/>
      <c r="G2977" s="249"/>
      <c r="H2977" s="330"/>
      <c r="I2977" s="328"/>
      <c r="J2977" s="249"/>
      <c r="K2977" s="330"/>
      <c r="L2977" s="250"/>
      <c r="M2977" s="249"/>
      <c r="N2977" s="330"/>
      <c r="O2977" s="250"/>
      <c r="P2977" s="249"/>
      <c r="Q2977" s="330"/>
      <c r="R2977" s="250"/>
      <c r="S2977" s="249"/>
      <c r="T2977" s="330"/>
      <c r="U2977" s="250"/>
      <c r="V2977" s="249"/>
      <c r="W2977" s="330"/>
      <c r="X2977" s="343"/>
      <c r="Y2977" s="249"/>
      <c r="Z2977" s="330"/>
      <c r="AA2977" s="343"/>
      <c r="AB2977" s="249"/>
      <c r="AC2977" s="330"/>
      <c r="AD2977" s="343"/>
      <c r="AE2977" s="249"/>
      <c r="AF2977" s="330"/>
      <c r="AG2977" s="343"/>
      <c r="AH2977" s="249"/>
      <c r="AI2977" s="330"/>
      <c r="AJ2977" s="343"/>
      <c r="AK2977" s="249"/>
      <c r="AL2977" s="330"/>
      <c r="AM2977" s="343"/>
      <c r="AN2977" s="249"/>
      <c r="AO2977" s="330"/>
      <c r="AP2977" s="343"/>
      <c r="AQ2977" s="249"/>
      <c r="AR2977" s="330"/>
      <c r="AS2977" s="343"/>
      <c r="AT2977" s="249"/>
      <c r="AU2977" s="330"/>
    </row>
    <row r="2978" spans="2:47">
      <c r="B2978" s="247">
        <f>'Table S2 Compound Identifiers'!C2980</f>
        <v>0</v>
      </c>
      <c r="C2978" s="247">
        <f>COUNTIF($D$6:D2978,"&lt;&gt;"&amp;"")</f>
        <v>2973</v>
      </c>
      <c r="D2978" s="247">
        <f>'Table S2 Compound Identifiers'!B2980</f>
        <v>0</v>
      </c>
      <c r="E2978" s="247"/>
      <c r="F2978" s="248"/>
      <c r="G2978" s="249"/>
      <c r="H2978" s="330"/>
      <c r="I2978" s="328"/>
      <c r="J2978" s="249"/>
      <c r="K2978" s="330"/>
      <c r="L2978" s="250"/>
      <c r="M2978" s="249"/>
      <c r="N2978" s="330"/>
      <c r="O2978" s="250"/>
      <c r="P2978" s="249"/>
      <c r="Q2978" s="330"/>
      <c r="R2978" s="250"/>
      <c r="S2978" s="249"/>
      <c r="T2978" s="330"/>
      <c r="U2978" s="250"/>
      <c r="V2978" s="249"/>
      <c r="W2978" s="330"/>
      <c r="X2978" s="343"/>
      <c r="Y2978" s="249"/>
      <c r="Z2978" s="330"/>
      <c r="AA2978" s="343"/>
      <c r="AB2978" s="249"/>
      <c r="AC2978" s="330"/>
      <c r="AD2978" s="343"/>
      <c r="AE2978" s="249"/>
      <c r="AF2978" s="330"/>
      <c r="AG2978" s="343"/>
      <c r="AH2978" s="249"/>
      <c r="AI2978" s="330"/>
      <c r="AJ2978" s="343"/>
      <c r="AK2978" s="249"/>
      <c r="AL2978" s="330"/>
      <c r="AM2978" s="343"/>
      <c r="AN2978" s="249"/>
      <c r="AO2978" s="330"/>
      <c r="AP2978" s="343"/>
      <c r="AQ2978" s="249"/>
      <c r="AR2978" s="330"/>
      <c r="AS2978" s="343"/>
      <c r="AT2978" s="249"/>
      <c r="AU2978" s="330"/>
    </row>
    <row r="2979" spans="2:47">
      <c r="B2979" s="247">
        <f>'Table S2 Compound Identifiers'!C2981</f>
        <v>0</v>
      </c>
      <c r="C2979" s="247">
        <f>COUNTIF($D$6:D2979,"&lt;&gt;"&amp;"")</f>
        <v>2974</v>
      </c>
      <c r="D2979" s="247">
        <f>'Table S2 Compound Identifiers'!B2981</f>
        <v>0</v>
      </c>
      <c r="E2979" s="247"/>
      <c r="F2979" s="248"/>
      <c r="G2979" s="249"/>
      <c r="H2979" s="330"/>
      <c r="I2979" s="328"/>
      <c r="J2979" s="249"/>
      <c r="K2979" s="330"/>
      <c r="L2979" s="250"/>
      <c r="M2979" s="249"/>
      <c r="N2979" s="330"/>
      <c r="O2979" s="250"/>
      <c r="P2979" s="249"/>
      <c r="Q2979" s="330"/>
      <c r="R2979" s="250"/>
      <c r="S2979" s="249"/>
      <c r="T2979" s="330"/>
      <c r="U2979" s="250"/>
      <c r="V2979" s="249"/>
      <c r="W2979" s="330"/>
      <c r="X2979" s="343"/>
      <c r="Y2979" s="249"/>
      <c r="Z2979" s="330"/>
      <c r="AA2979" s="343"/>
      <c r="AB2979" s="249"/>
      <c r="AC2979" s="330"/>
      <c r="AD2979" s="343"/>
      <c r="AE2979" s="249"/>
      <c r="AF2979" s="330"/>
      <c r="AG2979" s="343"/>
      <c r="AH2979" s="249"/>
      <c r="AI2979" s="330"/>
      <c r="AJ2979" s="343"/>
      <c r="AK2979" s="249"/>
      <c r="AL2979" s="330"/>
      <c r="AM2979" s="343"/>
      <c r="AN2979" s="249"/>
      <c r="AO2979" s="330"/>
      <c r="AP2979" s="343"/>
      <c r="AQ2979" s="249"/>
      <c r="AR2979" s="330"/>
      <c r="AS2979" s="343"/>
      <c r="AT2979" s="249"/>
      <c r="AU2979" s="330"/>
    </row>
    <row r="2980" spans="2:47">
      <c r="B2980" s="247">
        <f>'Table S2 Compound Identifiers'!C2982</f>
        <v>0</v>
      </c>
      <c r="C2980" s="247">
        <f>COUNTIF($D$6:D2980,"&lt;&gt;"&amp;"")</f>
        <v>2975</v>
      </c>
      <c r="D2980" s="247">
        <f>'Table S2 Compound Identifiers'!B2982</f>
        <v>0</v>
      </c>
      <c r="E2980" s="247"/>
      <c r="F2980" s="248"/>
      <c r="G2980" s="249"/>
      <c r="H2980" s="330"/>
      <c r="I2980" s="328"/>
      <c r="J2980" s="249"/>
      <c r="K2980" s="330"/>
      <c r="L2980" s="250"/>
      <c r="M2980" s="249"/>
      <c r="N2980" s="330"/>
      <c r="O2980" s="250"/>
      <c r="P2980" s="249"/>
      <c r="Q2980" s="330"/>
      <c r="R2980" s="250"/>
      <c r="S2980" s="249"/>
      <c r="T2980" s="330"/>
      <c r="U2980" s="250"/>
      <c r="V2980" s="249"/>
      <c r="W2980" s="330"/>
      <c r="X2980" s="343"/>
      <c r="Y2980" s="249"/>
      <c r="Z2980" s="330"/>
      <c r="AA2980" s="343"/>
      <c r="AB2980" s="249"/>
      <c r="AC2980" s="330"/>
      <c r="AD2980" s="343"/>
      <c r="AE2980" s="249"/>
      <c r="AF2980" s="330"/>
      <c r="AG2980" s="343"/>
      <c r="AH2980" s="249"/>
      <c r="AI2980" s="330"/>
      <c r="AJ2980" s="343"/>
      <c r="AK2980" s="249"/>
      <c r="AL2980" s="330"/>
      <c r="AM2980" s="343"/>
      <c r="AN2980" s="249"/>
      <c r="AO2980" s="330"/>
      <c r="AP2980" s="343"/>
      <c r="AQ2980" s="249"/>
      <c r="AR2980" s="330"/>
      <c r="AS2980" s="343"/>
      <c r="AT2980" s="249"/>
      <c r="AU2980" s="330"/>
    </row>
    <row r="2981" spans="2:47">
      <c r="B2981" s="247">
        <f>'Table S2 Compound Identifiers'!C2983</f>
        <v>0</v>
      </c>
      <c r="C2981" s="247">
        <f>COUNTIF($D$6:D2981,"&lt;&gt;"&amp;"")</f>
        <v>2976</v>
      </c>
      <c r="D2981" s="247">
        <f>'Table S2 Compound Identifiers'!B2983</f>
        <v>0</v>
      </c>
      <c r="E2981" s="247"/>
      <c r="F2981" s="248"/>
      <c r="G2981" s="249"/>
      <c r="H2981" s="330"/>
      <c r="I2981" s="328"/>
      <c r="J2981" s="249"/>
      <c r="K2981" s="330"/>
      <c r="L2981" s="250"/>
      <c r="M2981" s="249"/>
      <c r="N2981" s="330"/>
      <c r="O2981" s="250"/>
      <c r="P2981" s="249"/>
      <c r="Q2981" s="330"/>
      <c r="R2981" s="250"/>
      <c r="S2981" s="249"/>
      <c r="T2981" s="330"/>
      <c r="U2981" s="250"/>
      <c r="V2981" s="249"/>
      <c r="W2981" s="330"/>
      <c r="X2981" s="343"/>
      <c r="Y2981" s="249"/>
      <c r="Z2981" s="330"/>
      <c r="AA2981" s="343"/>
      <c r="AB2981" s="249"/>
      <c r="AC2981" s="330"/>
      <c r="AD2981" s="343"/>
      <c r="AE2981" s="249"/>
      <c r="AF2981" s="330"/>
      <c r="AG2981" s="343"/>
      <c r="AH2981" s="249"/>
      <c r="AI2981" s="330"/>
      <c r="AJ2981" s="343"/>
      <c r="AK2981" s="249"/>
      <c r="AL2981" s="330"/>
      <c r="AM2981" s="343"/>
      <c r="AN2981" s="249"/>
      <c r="AO2981" s="330"/>
      <c r="AP2981" s="343"/>
      <c r="AQ2981" s="249"/>
      <c r="AR2981" s="330"/>
      <c r="AS2981" s="343"/>
      <c r="AT2981" s="249"/>
      <c r="AU2981" s="330"/>
    </row>
    <row r="2982" spans="2:47">
      <c r="B2982" s="247">
        <f>'Table S2 Compound Identifiers'!C2984</f>
        <v>0</v>
      </c>
      <c r="C2982" s="247">
        <f>COUNTIF($D$6:D2982,"&lt;&gt;"&amp;"")</f>
        <v>2977</v>
      </c>
      <c r="D2982" s="247">
        <f>'Table S2 Compound Identifiers'!B2984</f>
        <v>0</v>
      </c>
      <c r="E2982" s="247"/>
      <c r="F2982" s="248"/>
      <c r="G2982" s="249"/>
      <c r="H2982" s="330"/>
      <c r="I2982" s="328"/>
      <c r="J2982" s="249"/>
      <c r="K2982" s="330"/>
      <c r="L2982" s="250"/>
      <c r="M2982" s="249"/>
      <c r="N2982" s="330"/>
      <c r="O2982" s="250"/>
      <c r="P2982" s="249"/>
      <c r="Q2982" s="330"/>
      <c r="R2982" s="250"/>
      <c r="S2982" s="249"/>
      <c r="T2982" s="330"/>
      <c r="U2982" s="250"/>
      <c r="V2982" s="249"/>
      <c r="W2982" s="330"/>
      <c r="X2982" s="343"/>
      <c r="Y2982" s="249"/>
      <c r="Z2982" s="330"/>
      <c r="AA2982" s="343"/>
      <c r="AB2982" s="249"/>
      <c r="AC2982" s="330"/>
      <c r="AD2982" s="343"/>
      <c r="AE2982" s="249"/>
      <c r="AF2982" s="330"/>
      <c r="AG2982" s="343"/>
      <c r="AH2982" s="249"/>
      <c r="AI2982" s="330"/>
      <c r="AJ2982" s="343"/>
      <c r="AK2982" s="249"/>
      <c r="AL2982" s="330"/>
      <c r="AM2982" s="343"/>
      <c r="AN2982" s="249"/>
      <c r="AO2982" s="330"/>
      <c r="AP2982" s="343"/>
      <c r="AQ2982" s="249"/>
      <c r="AR2982" s="330"/>
      <c r="AS2982" s="343"/>
      <c r="AT2982" s="249"/>
      <c r="AU2982" s="330"/>
    </row>
    <row r="2983" spans="2:47">
      <c r="B2983" s="247">
        <f>'Table S2 Compound Identifiers'!C2985</f>
        <v>0</v>
      </c>
      <c r="C2983" s="247">
        <f>COUNTIF($D$6:D2983,"&lt;&gt;"&amp;"")</f>
        <v>2978</v>
      </c>
      <c r="D2983" s="247">
        <f>'Table S2 Compound Identifiers'!B2985</f>
        <v>0</v>
      </c>
      <c r="E2983" s="247"/>
      <c r="F2983" s="248"/>
      <c r="G2983" s="249"/>
      <c r="H2983" s="330"/>
      <c r="I2983" s="328"/>
      <c r="J2983" s="249"/>
      <c r="K2983" s="330"/>
      <c r="L2983" s="250"/>
      <c r="M2983" s="249"/>
      <c r="N2983" s="330"/>
      <c r="O2983" s="250"/>
      <c r="P2983" s="249"/>
      <c r="Q2983" s="330"/>
      <c r="R2983" s="250"/>
      <c r="S2983" s="249"/>
      <c r="T2983" s="330"/>
      <c r="U2983" s="250"/>
      <c r="V2983" s="249"/>
      <c r="W2983" s="330"/>
      <c r="X2983" s="343"/>
      <c r="Y2983" s="249"/>
      <c r="Z2983" s="330"/>
      <c r="AA2983" s="343"/>
      <c r="AB2983" s="249"/>
      <c r="AC2983" s="330"/>
      <c r="AD2983" s="343"/>
      <c r="AE2983" s="249"/>
      <c r="AF2983" s="330"/>
      <c r="AG2983" s="343"/>
      <c r="AH2983" s="249"/>
      <c r="AI2983" s="330"/>
      <c r="AJ2983" s="343"/>
      <c r="AK2983" s="249"/>
      <c r="AL2983" s="330"/>
      <c r="AM2983" s="343"/>
      <c r="AN2983" s="249"/>
      <c r="AO2983" s="330"/>
      <c r="AP2983" s="343"/>
      <c r="AQ2983" s="249"/>
      <c r="AR2983" s="330"/>
      <c r="AS2983" s="343"/>
      <c r="AT2983" s="249"/>
      <c r="AU2983" s="330"/>
    </row>
    <row r="2984" spans="2:47">
      <c r="B2984" s="247">
        <f>'Table S2 Compound Identifiers'!C2986</f>
        <v>0</v>
      </c>
      <c r="C2984" s="247">
        <f>COUNTIF($D$6:D2984,"&lt;&gt;"&amp;"")</f>
        <v>2979</v>
      </c>
      <c r="D2984" s="247">
        <f>'Table S2 Compound Identifiers'!B2986</f>
        <v>0</v>
      </c>
      <c r="E2984" s="247"/>
      <c r="F2984" s="248"/>
      <c r="G2984" s="249"/>
      <c r="H2984" s="330"/>
      <c r="I2984" s="328"/>
      <c r="J2984" s="249"/>
      <c r="K2984" s="330"/>
      <c r="L2984" s="250"/>
      <c r="M2984" s="249"/>
      <c r="N2984" s="330"/>
      <c r="O2984" s="250"/>
      <c r="P2984" s="249"/>
      <c r="Q2984" s="330"/>
      <c r="R2984" s="250"/>
      <c r="S2984" s="249"/>
      <c r="T2984" s="330"/>
      <c r="U2984" s="250"/>
      <c r="V2984" s="249"/>
      <c r="W2984" s="330"/>
      <c r="X2984" s="343"/>
      <c r="Y2984" s="249"/>
      <c r="Z2984" s="330"/>
      <c r="AA2984" s="343"/>
      <c r="AB2984" s="249"/>
      <c r="AC2984" s="330"/>
      <c r="AD2984" s="343"/>
      <c r="AE2984" s="249"/>
      <c r="AF2984" s="330"/>
      <c r="AG2984" s="343"/>
      <c r="AH2984" s="249"/>
      <c r="AI2984" s="330"/>
      <c r="AJ2984" s="343"/>
      <c r="AK2984" s="249"/>
      <c r="AL2984" s="330"/>
      <c r="AM2984" s="343"/>
      <c r="AN2984" s="249"/>
      <c r="AO2984" s="330"/>
      <c r="AP2984" s="343"/>
      <c r="AQ2984" s="249"/>
      <c r="AR2984" s="330"/>
      <c r="AS2984" s="343"/>
      <c r="AT2984" s="249"/>
      <c r="AU2984" s="330"/>
    </row>
    <row r="2985" spans="2:47">
      <c r="B2985" s="247">
        <f>'Table S2 Compound Identifiers'!C2987</f>
        <v>0</v>
      </c>
      <c r="C2985" s="247">
        <f>COUNTIF($D$6:D2985,"&lt;&gt;"&amp;"")</f>
        <v>2980</v>
      </c>
      <c r="D2985" s="247">
        <f>'Table S2 Compound Identifiers'!B2987</f>
        <v>0</v>
      </c>
      <c r="E2985" s="247"/>
      <c r="F2985" s="248"/>
      <c r="G2985" s="249"/>
      <c r="H2985" s="330"/>
      <c r="I2985" s="328"/>
      <c r="J2985" s="249"/>
      <c r="K2985" s="330"/>
      <c r="L2985" s="250"/>
      <c r="M2985" s="249"/>
      <c r="N2985" s="330"/>
      <c r="O2985" s="250"/>
      <c r="P2985" s="249"/>
      <c r="Q2985" s="330"/>
      <c r="R2985" s="250"/>
      <c r="S2985" s="249"/>
      <c r="T2985" s="330"/>
      <c r="U2985" s="250"/>
      <c r="V2985" s="249"/>
      <c r="W2985" s="330"/>
      <c r="X2985" s="343"/>
      <c r="Y2985" s="249"/>
      <c r="Z2985" s="330"/>
      <c r="AA2985" s="343"/>
      <c r="AB2985" s="249"/>
      <c r="AC2985" s="330"/>
      <c r="AD2985" s="343"/>
      <c r="AE2985" s="249"/>
      <c r="AF2985" s="330"/>
      <c r="AG2985" s="343"/>
      <c r="AH2985" s="249"/>
      <c r="AI2985" s="330"/>
      <c r="AJ2985" s="343"/>
      <c r="AK2985" s="249"/>
      <c r="AL2985" s="330"/>
      <c r="AM2985" s="343"/>
      <c r="AN2985" s="249"/>
      <c r="AO2985" s="330"/>
      <c r="AP2985" s="343"/>
      <c r="AQ2985" s="249"/>
      <c r="AR2985" s="330"/>
      <c r="AS2985" s="343"/>
      <c r="AT2985" s="249"/>
      <c r="AU2985" s="330"/>
    </row>
    <row r="2986" spans="2:47">
      <c r="B2986" s="247">
        <f>'Table S2 Compound Identifiers'!C2988</f>
        <v>0</v>
      </c>
      <c r="C2986" s="247">
        <f>COUNTIF($D$6:D2986,"&lt;&gt;"&amp;"")</f>
        <v>2981</v>
      </c>
      <c r="D2986" s="247">
        <f>'Table S2 Compound Identifiers'!B2988</f>
        <v>0</v>
      </c>
      <c r="E2986" s="247"/>
      <c r="F2986" s="248"/>
      <c r="G2986" s="249"/>
      <c r="H2986" s="330"/>
      <c r="I2986" s="328"/>
      <c r="J2986" s="249"/>
      <c r="K2986" s="330"/>
      <c r="L2986" s="250"/>
      <c r="M2986" s="249"/>
      <c r="N2986" s="330"/>
      <c r="O2986" s="250"/>
      <c r="P2986" s="249"/>
      <c r="Q2986" s="330"/>
      <c r="R2986" s="250"/>
      <c r="S2986" s="249"/>
      <c r="T2986" s="330"/>
      <c r="U2986" s="250"/>
      <c r="V2986" s="249"/>
      <c r="W2986" s="330"/>
      <c r="X2986" s="343"/>
      <c r="Y2986" s="249"/>
      <c r="Z2986" s="330"/>
      <c r="AA2986" s="343"/>
      <c r="AB2986" s="249"/>
      <c r="AC2986" s="330"/>
      <c r="AD2986" s="343"/>
      <c r="AE2986" s="249"/>
      <c r="AF2986" s="330"/>
      <c r="AG2986" s="343"/>
      <c r="AH2986" s="249"/>
      <c r="AI2986" s="330"/>
      <c r="AJ2986" s="343"/>
      <c r="AK2986" s="249"/>
      <c r="AL2986" s="330"/>
      <c r="AM2986" s="343"/>
      <c r="AN2986" s="249"/>
      <c r="AO2986" s="330"/>
      <c r="AP2986" s="343"/>
      <c r="AQ2986" s="249"/>
      <c r="AR2986" s="330"/>
      <c r="AS2986" s="343"/>
      <c r="AT2986" s="249"/>
      <c r="AU2986" s="330"/>
    </row>
    <row r="2987" spans="2:47">
      <c r="B2987" s="247">
        <f>'Table S2 Compound Identifiers'!C2989</f>
        <v>0</v>
      </c>
      <c r="C2987" s="247">
        <f>COUNTIF($D$6:D2987,"&lt;&gt;"&amp;"")</f>
        <v>2982</v>
      </c>
      <c r="D2987" s="247">
        <f>'Table S2 Compound Identifiers'!B2989</f>
        <v>0</v>
      </c>
      <c r="E2987" s="247"/>
      <c r="F2987" s="248"/>
      <c r="G2987" s="249"/>
      <c r="H2987" s="330"/>
      <c r="I2987" s="328"/>
      <c r="J2987" s="249"/>
      <c r="K2987" s="330"/>
      <c r="L2987" s="250"/>
      <c r="M2987" s="249"/>
      <c r="N2987" s="330"/>
      <c r="O2987" s="250"/>
      <c r="P2987" s="249"/>
      <c r="Q2987" s="330"/>
      <c r="R2987" s="250"/>
      <c r="S2987" s="249"/>
      <c r="T2987" s="330"/>
      <c r="U2987" s="250"/>
      <c r="V2987" s="249"/>
      <c r="W2987" s="330"/>
      <c r="X2987" s="343"/>
      <c r="Y2987" s="249"/>
      <c r="Z2987" s="330"/>
      <c r="AA2987" s="343"/>
      <c r="AB2987" s="249"/>
      <c r="AC2987" s="330"/>
      <c r="AD2987" s="343"/>
      <c r="AE2987" s="249"/>
      <c r="AF2987" s="330"/>
      <c r="AG2987" s="343"/>
      <c r="AH2987" s="249"/>
      <c r="AI2987" s="330"/>
      <c r="AJ2987" s="343"/>
      <c r="AK2987" s="249"/>
      <c r="AL2987" s="330"/>
      <c r="AM2987" s="343"/>
      <c r="AN2987" s="249"/>
      <c r="AO2987" s="330"/>
      <c r="AP2987" s="343"/>
      <c r="AQ2987" s="249"/>
      <c r="AR2987" s="330"/>
      <c r="AS2987" s="343"/>
      <c r="AT2987" s="249"/>
      <c r="AU2987" s="330"/>
    </row>
    <row r="2988" spans="2:47">
      <c r="B2988" s="247">
        <f>'Table S2 Compound Identifiers'!C2990</f>
        <v>0</v>
      </c>
      <c r="C2988" s="247">
        <f>COUNTIF($D$6:D2988,"&lt;&gt;"&amp;"")</f>
        <v>2983</v>
      </c>
      <c r="D2988" s="247">
        <f>'Table S2 Compound Identifiers'!B2990</f>
        <v>0</v>
      </c>
      <c r="E2988" s="247"/>
      <c r="F2988" s="248"/>
      <c r="G2988" s="249"/>
      <c r="H2988" s="330"/>
      <c r="I2988" s="328"/>
      <c r="J2988" s="249"/>
      <c r="K2988" s="330"/>
      <c r="L2988" s="250"/>
      <c r="M2988" s="249"/>
      <c r="N2988" s="330"/>
      <c r="O2988" s="250"/>
      <c r="P2988" s="249"/>
      <c r="Q2988" s="330"/>
      <c r="R2988" s="250"/>
      <c r="S2988" s="249"/>
      <c r="T2988" s="330"/>
      <c r="U2988" s="250"/>
      <c r="V2988" s="249"/>
      <c r="W2988" s="330"/>
      <c r="X2988" s="343"/>
      <c r="Y2988" s="249"/>
      <c r="Z2988" s="330"/>
      <c r="AA2988" s="343"/>
      <c r="AB2988" s="249"/>
      <c r="AC2988" s="330"/>
      <c r="AD2988" s="343"/>
      <c r="AE2988" s="249"/>
      <c r="AF2988" s="330"/>
      <c r="AG2988" s="343"/>
      <c r="AH2988" s="249"/>
      <c r="AI2988" s="330"/>
      <c r="AJ2988" s="343"/>
      <c r="AK2988" s="249"/>
      <c r="AL2988" s="330"/>
      <c r="AM2988" s="343"/>
      <c r="AN2988" s="249"/>
      <c r="AO2988" s="330"/>
      <c r="AP2988" s="343"/>
      <c r="AQ2988" s="249"/>
      <c r="AR2988" s="330"/>
      <c r="AS2988" s="343"/>
      <c r="AT2988" s="249"/>
      <c r="AU2988" s="330"/>
    </row>
    <row r="2989" spans="2:47">
      <c r="B2989" s="247">
        <f>'Table S2 Compound Identifiers'!C2991</f>
        <v>0</v>
      </c>
      <c r="C2989" s="247">
        <f>COUNTIF($D$6:D2989,"&lt;&gt;"&amp;"")</f>
        <v>2984</v>
      </c>
      <c r="D2989" s="247">
        <f>'Table S2 Compound Identifiers'!B2991</f>
        <v>0</v>
      </c>
      <c r="E2989" s="247"/>
      <c r="F2989" s="248"/>
      <c r="G2989" s="249"/>
      <c r="H2989" s="330"/>
      <c r="I2989" s="328"/>
      <c r="J2989" s="249"/>
      <c r="K2989" s="330"/>
      <c r="L2989" s="250"/>
      <c r="M2989" s="249"/>
      <c r="N2989" s="330"/>
      <c r="O2989" s="250"/>
      <c r="P2989" s="249"/>
      <c r="Q2989" s="330"/>
      <c r="R2989" s="250"/>
      <c r="S2989" s="249"/>
      <c r="T2989" s="330"/>
      <c r="U2989" s="250"/>
      <c r="V2989" s="249"/>
      <c r="W2989" s="330"/>
      <c r="X2989" s="343"/>
      <c r="Y2989" s="249"/>
      <c r="Z2989" s="330"/>
      <c r="AA2989" s="343"/>
      <c r="AB2989" s="249"/>
      <c r="AC2989" s="330"/>
      <c r="AD2989" s="343"/>
      <c r="AE2989" s="249"/>
      <c r="AF2989" s="330"/>
      <c r="AG2989" s="343"/>
      <c r="AH2989" s="249"/>
      <c r="AI2989" s="330"/>
      <c r="AJ2989" s="343"/>
      <c r="AK2989" s="249"/>
      <c r="AL2989" s="330"/>
      <c r="AM2989" s="343"/>
      <c r="AN2989" s="249"/>
      <c r="AO2989" s="330"/>
      <c r="AP2989" s="343"/>
      <c r="AQ2989" s="249"/>
      <c r="AR2989" s="330"/>
      <c r="AS2989" s="343"/>
      <c r="AT2989" s="249"/>
      <c r="AU2989" s="330"/>
    </row>
    <row r="2990" spans="2:47">
      <c r="B2990" s="247">
        <f>'Table S2 Compound Identifiers'!C2992</f>
        <v>0</v>
      </c>
      <c r="C2990" s="247">
        <f>COUNTIF($D$6:D2990,"&lt;&gt;"&amp;"")</f>
        <v>2985</v>
      </c>
      <c r="D2990" s="247">
        <f>'Table S2 Compound Identifiers'!B2992</f>
        <v>0</v>
      </c>
      <c r="E2990" s="247"/>
      <c r="F2990" s="248"/>
      <c r="G2990" s="249"/>
      <c r="H2990" s="330"/>
      <c r="I2990" s="328"/>
      <c r="J2990" s="249"/>
      <c r="K2990" s="330"/>
      <c r="L2990" s="250"/>
      <c r="M2990" s="249"/>
      <c r="N2990" s="330"/>
      <c r="O2990" s="250"/>
      <c r="P2990" s="249"/>
      <c r="Q2990" s="330"/>
      <c r="R2990" s="250"/>
      <c r="S2990" s="249"/>
      <c r="T2990" s="330"/>
      <c r="U2990" s="250"/>
      <c r="V2990" s="249"/>
      <c r="W2990" s="330"/>
      <c r="X2990" s="343"/>
      <c r="Y2990" s="249"/>
      <c r="Z2990" s="330"/>
      <c r="AA2990" s="343"/>
      <c r="AB2990" s="249"/>
      <c r="AC2990" s="330"/>
      <c r="AD2990" s="343"/>
      <c r="AE2990" s="249"/>
      <c r="AF2990" s="330"/>
      <c r="AG2990" s="343"/>
      <c r="AH2990" s="249"/>
      <c r="AI2990" s="330"/>
      <c r="AJ2990" s="343"/>
      <c r="AK2990" s="249"/>
      <c r="AL2990" s="330"/>
      <c r="AM2990" s="343"/>
      <c r="AN2990" s="249"/>
      <c r="AO2990" s="330"/>
      <c r="AP2990" s="343"/>
      <c r="AQ2990" s="249"/>
      <c r="AR2990" s="330"/>
      <c r="AS2990" s="343"/>
      <c r="AT2990" s="249"/>
      <c r="AU2990" s="330"/>
    </row>
    <row r="2991" spans="2:47">
      <c r="B2991" s="247">
        <f>'Table S2 Compound Identifiers'!C2993</f>
        <v>0</v>
      </c>
      <c r="C2991" s="247">
        <f>COUNTIF($D$6:D2991,"&lt;&gt;"&amp;"")</f>
        <v>2986</v>
      </c>
      <c r="D2991" s="247">
        <f>'Table S2 Compound Identifiers'!B2993</f>
        <v>0</v>
      </c>
      <c r="E2991" s="247"/>
      <c r="F2991" s="248"/>
      <c r="G2991" s="249"/>
      <c r="H2991" s="330"/>
      <c r="I2991" s="328"/>
      <c r="J2991" s="249"/>
      <c r="K2991" s="330"/>
      <c r="L2991" s="250"/>
      <c r="M2991" s="249"/>
      <c r="N2991" s="330"/>
      <c r="O2991" s="250"/>
      <c r="P2991" s="249"/>
      <c r="Q2991" s="330"/>
      <c r="R2991" s="250"/>
      <c r="S2991" s="249"/>
      <c r="T2991" s="330"/>
      <c r="U2991" s="250"/>
      <c r="V2991" s="249"/>
      <c r="W2991" s="330"/>
      <c r="X2991" s="343"/>
      <c r="Y2991" s="249"/>
      <c r="Z2991" s="330"/>
      <c r="AA2991" s="343"/>
      <c r="AB2991" s="249"/>
      <c r="AC2991" s="330"/>
      <c r="AD2991" s="343"/>
      <c r="AE2991" s="249"/>
      <c r="AF2991" s="330"/>
      <c r="AG2991" s="343"/>
      <c r="AH2991" s="249"/>
      <c r="AI2991" s="330"/>
      <c r="AJ2991" s="343"/>
      <c r="AK2991" s="249"/>
      <c r="AL2991" s="330"/>
      <c r="AM2991" s="343"/>
      <c r="AN2991" s="249"/>
      <c r="AO2991" s="330"/>
      <c r="AP2991" s="343"/>
      <c r="AQ2991" s="249"/>
      <c r="AR2991" s="330"/>
      <c r="AS2991" s="343"/>
      <c r="AT2991" s="249"/>
      <c r="AU2991" s="330"/>
    </row>
    <row r="2992" spans="2:47">
      <c r="B2992" s="247">
        <f>'Table S2 Compound Identifiers'!C2994</f>
        <v>0</v>
      </c>
      <c r="C2992" s="247">
        <f>COUNTIF($D$6:D2992,"&lt;&gt;"&amp;"")</f>
        <v>2987</v>
      </c>
      <c r="D2992" s="247">
        <f>'Table S2 Compound Identifiers'!B2994</f>
        <v>0</v>
      </c>
      <c r="E2992" s="247"/>
      <c r="F2992" s="248"/>
      <c r="G2992" s="249"/>
      <c r="H2992" s="330"/>
      <c r="I2992" s="328"/>
      <c r="J2992" s="249"/>
      <c r="K2992" s="330"/>
      <c r="L2992" s="250"/>
      <c r="M2992" s="249"/>
      <c r="N2992" s="330"/>
      <c r="O2992" s="250"/>
      <c r="P2992" s="249"/>
      <c r="Q2992" s="330"/>
      <c r="R2992" s="250"/>
      <c r="S2992" s="249"/>
      <c r="T2992" s="330"/>
      <c r="U2992" s="250"/>
      <c r="V2992" s="249"/>
      <c r="W2992" s="330"/>
      <c r="X2992" s="343"/>
      <c r="Y2992" s="249"/>
      <c r="Z2992" s="330"/>
      <c r="AA2992" s="343"/>
      <c r="AB2992" s="249"/>
      <c r="AC2992" s="330"/>
      <c r="AD2992" s="343"/>
      <c r="AE2992" s="249"/>
      <c r="AF2992" s="330"/>
      <c r="AG2992" s="343"/>
      <c r="AH2992" s="249"/>
      <c r="AI2992" s="330"/>
      <c r="AJ2992" s="343"/>
      <c r="AK2992" s="249"/>
      <c r="AL2992" s="330"/>
      <c r="AM2992" s="343"/>
      <c r="AN2992" s="249"/>
      <c r="AO2992" s="330"/>
      <c r="AP2992" s="343"/>
      <c r="AQ2992" s="249"/>
      <c r="AR2992" s="330"/>
      <c r="AS2992" s="343"/>
      <c r="AT2992" s="249"/>
      <c r="AU2992" s="330"/>
    </row>
    <row r="2993" spans="2:47">
      <c r="B2993" s="247">
        <f>'Table S2 Compound Identifiers'!C2995</f>
        <v>0</v>
      </c>
      <c r="C2993" s="247">
        <f>COUNTIF($D$6:D2993,"&lt;&gt;"&amp;"")</f>
        <v>2988</v>
      </c>
      <c r="D2993" s="247">
        <f>'Table S2 Compound Identifiers'!B2995</f>
        <v>0</v>
      </c>
      <c r="E2993" s="247"/>
      <c r="F2993" s="248"/>
      <c r="G2993" s="249"/>
      <c r="H2993" s="330"/>
      <c r="I2993" s="328"/>
      <c r="J2993" s="249"/>
      <c r="K2993" s="330"/>
      <c r="L2993" s="250"/>
      <c r="M2993" s="249"/>
      <c r="N2993" s="330"/>
      <c r="O2993" s="250"/>
      <c r="P2993" s="249"/>
      <c r="Q2993" s="330"/>
      <c r="R2993" s="250"/>
      <c r="S2993" s="249"/>
      <c r="T2993" s="330"/>
      <c r="U2993" s="250"/>
      <c r="V2993" s="249"/>
      <c r="W2993" s="330"/>
      <c r="X2993" s="343"/>
      <c r="Y2993" s="249"/>
      <c r="Z2993" s="330"/>
      <c r="AA2993" s="343"/>
      <c r="AB2993" s="249"/>
      <c r="AC2993" s="330"/>
      <c r="AD2993" s="343"/>
      <c r="AE2993" s="249"/>
      <c r="AF2993" s="330"/>
      <c r="AG2993" s="343"/>
      <c r="AH2993" s="249"/>
      <c r="AI2993" s="330"/>
      <c r="AJ2993" s="343"/>
      <c r="AK2993" s="249"/>
      <c r="AL2993" s="330"/>
      <c r="AM2993" s="343"/>
      <c r="AN2993" s="249"/>
      <c r="AO2993" s="330"/>
      <c r="AP2993" s="343"/>
      <c r="AQ2993" s="249"/>
      <c r="AR2993" s="330"/>
      <c r="AS2993" s="343"/>
      <c r="AT2993" s="249"/>
      <c r="AU2993" s="330"/>
    </row>
    <row r="2994" spans="2:47">
      <c r="B2994" s="247">
        <f>'Table S2 Compound Identifiers'!C2996</f>
        <v>0</v>
      </c>
      <c r="C2994" s="247">
        <f>COUNTIF($D$6:D2994,"&lt;&gt;"&amp;"")</f>
        <v>2989</v>
      </c>
      <c r="D2994" s="247">
        <f>'Table S2 Compound Identifiers'!B2996</f>
        <v>0</v>
      </c>
      <c r="E2994" s="247"/>
      <c r="F2994" s="248"/>
      <c r="G2994" s="249"/>
      <c r="H2994" s="330"/>
      <c r="I2994" s="328"/>
      <c r="J2994" s="249"/>
      <c r="K2994" s="330"/>
      <c r="L2994" s="250"/>
      <c r="M2994" s="249"/>
      <c r="N2994" s="330"/>
      <c r="O2994" s="250"/>
      <c r="P2994" s="249"/>
      <c r="Q2994" s="330"/>
      <c r="R2994" s="250"/>
      <c r="S2994" s="249"/>
      <c r="T2994" s="330"/>
      <c r="U2994" s="250"/>
      <c r="V2994" s="249"/>
      <c r="W2994" s="330"/>
      <c r="X2994" s="343"/>
      <c r="Y2994" s="249"/>
      <c r="Z2994" s="330"/>
      <c r="AA2994" s="343"/>
      <c r="AB2994" s="249"/>
      <c r="AC2994" s="330"/>
      <c r="AD2994" s="343"/>
      <c r="AE2994" s="249"/>
      <c r="AF2994" s="330"/>
      <c r="AG2994" s="343"/>
      <c r="AH2994" s="249"/>
      <c r="AI2994" s="330"/>
      <c r="AJ2994" s="343"/>
      <c r="AK2994" s="249"/>
      <c r="AL2994" s="330"/>
      <c r="AM2994" s="343"/>
      <c r="AN2994" s="249"/>
      <c r="AO2994" s="330"/>
      <c r="AP2994" s="343"/>
      <c r="AQ2994" s="249"/>
      <c r="AR2994" s="330"/>
      <c r="AS2994" s="343"/>
      <c r="AT2994" s="249"/>
      <c r="AU2994" s="330"/>
    </row>
    <row r="2995" spans="2:47">
      <c r="B2995" s="247">
        <f>'Table S2 Compound Identifiers'!C2997</f>
        <v>0</v>
      </c>
      <c r="C2995" s="247">
        <f>COUNTIF($D$6:D2995,"&lt;&gt;"&amp;"")</f>
        <v>2990</v>
      </c>
      <c r="D2995" s="247">
        <f>'Table S2 Compound Identifiers'!B2997</f>
        <v>0</v>
      </c>
      <c r="E2995" s="247"/>
      <c r="F2995" s="248"/>
      <c r="G2995" s="249"/>
      <c r="H2995" s="330"/>
      <c r="I2995" s="328"/>
      <c r="J2995" s="249"/>
      <c r="K2995" s="330"/>
      <c r="L2995" s="250"/>
      <c r="M2995" s="249"/>
      <c r="N2995" s="330"/>
      <c r="O2995" s="250"/>
      <c r="P2995" s="249"/>
      <c r="Q2995" s="330"/>
      <c r="R2995" s="250"/>
      <c r="S2995" s="249"/>
      <c r="T2995" s="330"/>
      <c r="U2995" s="250"/>
      <c r="V2995" s="249"/>
      <c r="W2995" s="330"/>
      <c r="X2995" s="343"/>
      <c r="Y2995" s="249"/>
      <c r="Z2995" s="330"/>
      <c r="AA2995" s="343"/>
      <c r="AB2995" s="249"/>
      <c r="AC2995" s="330"/>
      <c r="AD2995" s="343"/>
      <c r="AE2995" s="249"/>
      <c r="AF2995" s="330"/>
      <c r="AG2995" s="343"/>
      <c r="AH2995" s="249"/>
      <c r="AI2995" s="330"/>
      <c r="AJ2995" s="343"/>
      <c r="AK2995" s="249"/>
      <c r="AL2995" s="330"/>
      <c r="AM2995" s="343"/>
      <c r="AN2995" s="249"/>
      <c r="AO2995" s="330"/>
      <c r="AP2995" s="343"/>
      <c r="AQ2995" s="249"/>
      <c r="AR2995" s="330"/>
      <c r="AS2995" s="343"/>
      <c r="AT2995" s="249"/>
      <c r="AU2995" s="330"/>
    </row>
    <row r="2996" spans="2:47">
      <c r="B2996" s="247">
        <f>'Table S2 Compound Identifiers'!C2998</f>
        <v>0</v>
      </c>
      <c r="C2996" s="247">
        <f>COUNTIF($D$6:D2996,"&lt;&gt;"&amp;"")</f>
        <v>2991</v>
      </c>
      <c r="D2996" s="247">
        <f>'Table S2 Compound Identifiers'!B2998</f>
        <v>0</v>
      </c>
      <c r="E2996" s="247"/>
      <c r="F2996" s="248"/>
      <c r="G2996" s="249"/>
      <c r="H2996" s="330"/>
      <c r="I2996" s="328"/>
      <c r="J2996" s="249"/>
      <c r="K2996" s="330"/>
      <c r="L2996" s="250"/>
      <c r="M2996" s="249"/>
      <c r="N2996" s="330"/>
      <c r="O2996" s="250"/>
      <c r="P2996" s="249"/>
      <c r="Q2996" s="330"/>
      <c r="R2996" s="250"/>
      <c r="S2996" s="249"/>
      <c r="T2996" s="330"/>
      <c r="U2996" s="250"/>
      <c r="V2996" s="249"/>
      <c r="W2996" s="330"/>
      <c r="X2996" s="343"/>
      <c r="Y2996" s="249"/>
      <c r="Z2996" s="330"/>
      <c r="AA2996" s="343"/>
      <c r="AB2996" s="249"/>
      <c r="AC2996" s="330"/>
      <c r="AD2996" s="343"/>
      <c r="AE2996" s="249"/>
      <c r="AF2996" s="330"/>
      <c r="AG2996" s="343"/>
      <c r="AH2996" s="249"/>
      <c r="AI2996" s="330"/>
      <c r="AJ2996" s="343"/>
      <c r="AK2996" s="249"/>
      <c r="AL2996" s="330"/>
      <c r="AM2996" s="343"/>
      <c r="AN2996" s="249"/>
      <c r="AO2996" s="330"/>
      <c r="AP2996" s="343"/>
      <c r="AQ2996" s="249"/>
      <c r="AR2996" s="330"/>
      <c r="AS2996" s="343"/>
      <c r="AT2996" s="249"/>
      <c r="AU2996" s="330"/>
    </row>
    <row r="2997" spans="2:47">
      <c r="B2997" s="247">
        <f>'Table S2 Compound Identifiers'!C2999</f>
        <v>0</v>
      </c>
      <c r="C2997" s="247">
        <f>COUNTIF($D$6:D2997,"&lt;&gt;"&amp;"")</f>
        <v>2992</v>
      </c>
      <c r="D2997" s="247">
        <f>'Table S2 Compound Identifiers'!B2999</f>
        <v>0</v>
      </c>
      <c r="E2997" s="247"/>
      <c r="F2997" s="248"/>
      <c r="G2997" s="249"/>
      <c r="H2997" s="330"/>
      <c r="I2997" s="328"/>
      <c r="J2997" s="249"/>
      <c r="K2997" s="330"/>
      <c r="L2997" s="250"/>
      <c r="M2997" s="249"/>
      <c r="N2997" s="330"/>
      <c r="O2997" s="250"/>
      <c r="P2997" s="249"/>
      <c r="Q2997" s="330"/>
      <c r="R2997" s="250"/>
      <c r="S2997" s="249"/>
      <c r="T2997" s="330"/>
      <c r="U2997" s="250"/>
      <c r="V2997" s="249"/>
      <c r="W2997" s="330"/>
      <c r="X2997" s="343"/>
      <c r="Y2997" s="249"/>
      <c r="Z2997" s="330"/>
      <c r="AA2997" s="343"/>
      <c r="AB2997" s="249"/>
      <c r="AC2997" s="330"/>
      <c r="AD2997" s="343"/>
      <c r="AE2997" s="249"/>
      <c r="AF2997" s="330"/>
      <c r="AG2997" s="343"/>
      <c r="AH2997" s="249"/>
      <c r="AI2997" s="330"/>
      <c r="AJ2997" s="343"/>
      <c r="AK2997" s="249"/>
      <c r="AL2997" s="330"/>
      <c r="AM2997" s="343"/>
      <c r="AN2997" s="249"/>
      <c r="AO2997" s="330"/>
      <c r="AP2997" s="343"/>
      <c r="AQ2997" s="249"/>
      <c r="AR2997" s="330"/>
      <c r="AS2997" s="343"/>
      <c r="AT2997" s="249"/>
      <c r="AU2997" s="330"/>
    </row>
    <row r="2998" spans="2:47">
      <c r="B2998" s="247">
        <f>'Table S2 Compound Identifiers'!C3000</f>
        <v>0</v>
      </c>
      <c r="C2998" s="247">
        <f>COUNTIF($D$6:D2998,"&lt;&gt;"&amp;"")</f>
        <v>2993</v>
      </c>
      <c r="D2998" s="247">
        <f>'Table S2 Compound Identifiers'!B3000</f>
        <v>0</v>
      </c>
      <c r="E2998" s="247"/>
      <c r="F2998" s="248"/>
      <c r="G2998" s="249"/>
      <c r="H2998" s="330"/>
      <c r="I2998" s="328"/>
      <c r="J2998" s="249"/>
      <c r="K2998" s="330"/>
      <c r="L2998" s="250"/>
      <c r="M2998" s="249"/>
      <c r="N2998" s="330"/>
      <c r="O2998" s="250"/>
      <c r="P2998" s="249"/>
      <c r="Q2998" s="330"/>
      <c r="R2998" s="250"/>
      <c r="S2998" s="249"/>
      <c r="T2998" s="330"/>
      <c r="U2998" s="250"/>
      <c r="V2998" s="249"/>
      <c r="W2998" s="330"/>
      <c r="X2998" s="343"/>
      <c r="Y2998" s="249"/>
      <c r="Z2998" s="330"/>
      <c r="AA2998" s="343"/>
      <c r="AB2998" s="249"/>
      <c r="AC2998" s="330"/>
      <c r="AD2998" s="343"/>
      <c r="AE2998" s="249"/>
      <c r="AF2998" s="330"/>
      <c r="AG2998" s="343"/>
      <c r="AH2998" s="249"/>
      <c r="AI2998" s="330"/>
      <c r="AJ2998" s="343"/>
      <c r="AK2998" s="249"/>
      <c r="AL2998" s="330"/>
      <c r="AM2998" s="343"/>
      <c r="AN2998" s="249"/>
      <c r="AO2998" s="330"/>
      <c r="AP2998" s="343"/>
      <c r="AQ2998" s="249"/>
      <c r="AR2998" s="330"/>
      <c r="AS2998" s="343"/>
      <c r="AT2998" s="249"/>
      <c r="AU2998" s="330"/>
    </row>
    <row r="2999" spans="2:47">
      <c r="B2999" s="247">
        <f>'Table S2 Compound Identifiers'!C3001</f>
        <v>0</v>
      </c>
      <c r="C2999" s="247">
        <f>COUNTIF($D$6:D2999,"&lt;&gt;"&amp;"")</f>
        <v>2994</v>
      </c>
      <c r="D2999" s="247">
        <f>'Table S2 Compound Identifiers'!B3001</f>
        <v>0</v>
      </c>
      <c r="E2999" s="247"/>
      <c r="F2999" s="248"/>
      <c r="G2999" s="249"/>
      <c r="H2999" s="330"/>
      <c r="I2999" s="328"/>
      <c r="J2999" s="249"/>
      <c r="K2999" s="330"/>
      <c r="L2999" s="250"/>
      <c r="M2999" s="249"/>
      <c r="N2999" s="330"/>
      <c r="O2999" s="250"/>
      <c r="P2999" s="249"/>
      <c r="Q2999" s="330"/>
      <c r="R2999" s="250"/>
      <c r="S2999" s="249"/>
      <c r="T2999" s="330"/>
      <c r="U2999" s="250"/>
      <c r="V2999" s="249"/>
      <c r="W2999" s="330"/>
      <c r="X2999" s="343"/>
      <c r="Y2999" s="249"/>
      <c r="Z2999" s="330"/>
      <c r="AA2999" s="343"/>
      <c r="AB2999" s="249"/>
      <c r="AC2999" s="330"/>
      <c r="AD2999" s="343"/>
      <c r="AE2999" s="249"/>
      <c r="AF2999" s="330"/>
      <c r="AG2999" s="343"/>
      <c r="AH2999" s="249"/>
      <c r="AI2999" s="330"/>
      <c r="AJ2999" s="343"/>
      <c r="AK2999" s="249"/>
      <c r="AL2999" s="330"/>
      <c r="AM2999" s="343"/>
      <c r="AN2999" s="249"/>
      <c r="AO2999" s="330"/>
      <c r="AP2999" s="343"/>
      <c r="AQ2999" s="249"/>
      <c r="AR2999" s="330"/>
      <c r="AS2999" s="343"/>
      <c r="AT2999" s="249"/>
      <c r="AU2999" s="330"/>
    </row>
    <row r="3000" spans="2:47">
      <c r="B3000" s="247">
        <f>'Table S2 Compound Identifiers'!C3002</f>
        <v>0</v>
      </c>
      <c r="C3000" s="247">
        <f>COUNTIF($D$6:D3000,"&lt;&gt;"&amp;"")</f>
        <v>2995</v>
      </c>
      <c r="D3000" s="247">
        <f>'Table S2 Compound Identifiers'!B3002</f>
        <v>0</v>
      </c>
      <c r="E3000" s="247"/>
      <c r="F3000" s="248"/>
      <c r="G3000" s="249"/>
      <c r="H3000" s="330"/>
      <c r="I3000" s="328"/>
      <c r="J3000" s="249"/>
      <c r="K3000" s="330"/>
      <c r="L3000" s="250"/>
      <c r="M3000" s="249"/>
      <c r="N3000" s="330"/>
      <c r="O3000" s="250"/>
      <c r="P3000" s="249"/>
      <c r="Q3000" s="330"/>
      <c r="R3000" s="250"/>
      <c r="S3000" s="249"/>
      <c r="T3000" s="330"/>
      <c r="U3000" s="250"/>
      <c r="V3000" s="249"/>
      <c r="W3000" s="330"/>
      <c r="X3000" s="343"/>
      <c r="Y3000" s="249"/>
      <c r="Z3000" s="330"/>
      <c r="AA3000" s="343"/>
      <c r="AB3000" s="249"/>
      <c r="AC3000" s="330"/>
      <c r="AD3000" s="343"/>
      <c r="AE3000" s="249"/>
      <c r="AF3000" s="330"/>
      <c r="AG3000" s="343"/>
      <c r="AH3000" s="249"/>
      <c r="AI3000" s="330"/>
      <c r="AJ3000" s="343"/>
      <c r="AK3000" s="249"/>
      <c r="AL3000" s="330"/>
      <c r="AM3000" s="343"/>
      <c r="AN3000" s="249"/>
      <c r="AO3000" s="330"/>
      <c r="AP3000" s="343"/>
      <c r="AQ3000" s="249"/>
      <c r="AR3000" s="330"/>
      <c r="AS3000" s="343"/>
      <c r="AT3000" s="249"/>
      <c r="AU3000" s="330"/>
    </row>
    <row r="3001" spans="2:47">
      <c r="B3001" s="247">
        <f>'Table S2 Compound Identifiers'!C3003</f>
        <v>0</v>
      </c>
      <c r="C3001" s="247">
        <f>COUNTIF($D$6:D3001,"&lt;&gt;"&amp;"")</f>
        <v>2996</v>
      </c>
      <c r="D3001" s="247">
        <f>'Table S2 Compound Identifiers'!B3003</f>
        <v>0</v>
      </c>
      <c r="E3001" s="247"/>
      <c r="F3001" s="248"/>
      <c r="G3001" s="249"/>
      <c r="H3001" s="330"/>
      <c r="I3001" s="328"/>
      <c r="J3001" s="249"/>
      <c r="K3001" s="330"/>
      <c r="L3001" s="250"/>
      <c r="M3001" s="249"/>
      <c r="N3001" s="330"/>
      <c r="O3001" s="250"/>
      <c r="P3001" s="249"/>
      <c r="Q3001" s="330"/>
      <c r="R3001" s="250"/>
      <c r="S3001" s="249"/>
      <c r="T3001" s="330"/>
      <c r="U3001" s="250"/>
      <c r="V3001" s="249"/>
      <c r="W3001" s="330"/>
      <c r="X3001" s="343"/>
      <c r="Y3001" s="249"/>
      <c r="Z3001" s="330"/>
      <c r="AA3001" s="343"/>
      <c r="AB3001" s="249"/>
      <c r="AC3001" s="330"/>
      <c r="AD3001" s="343"/>
      <c r="AE3001" s="249"/>
      <c r="AF3001" s="330"/>
      <c r="AG3001" s="343"/>
      <c r="AH3001" s="249"/>
      <c r="AI3001" s="330"/>
      <c r="AJ3001" s="343"/>
      <c r="AK3001" s="249"/>
      <c r="AL3001" s="330"/>
      <c r="AM3001" s="343"/>
      <c r="AN3001" s="249"/>
      <c r="AO3001" s="330"/>
      <c r="AP3001" s="343"/>
      <c r="AQ3001" s="249"/>
      <c r="AR3001" s="330"/>
      <c r="AS3001" s="343"/>
      <c r="AT3001" s="249"/>
      <c r="AU3001" s="330"/>
    </row>
    <row r="3002" spans="2:47">
      <c r="B3002" s="247">
        <f>'Table S2 Compound Identifiers'!C3004</f>
        <v>0</v>
      </c>
      <c r="C3002" s="247">
        <f>COUNTIF($D$6:D3002,"&lt;&gt;"&amp;"")</f>
        <v>2997</v>
      </c>
      <c r="D3002" s="247">
        <f>'Table S2 Compound Identifiers'!B3004</f>
        <v>0</v>
      </c>
      <c r="E3002" s="247"/>
      <c r="F3002" s="248"/>
      <c r="G3002" s="249"/>
      <c r="H3002" s="330"/>
      <c r="I3002" s="328"/>
      <c r="J3002" s="249"/>
      <c r="K3002" s="330"/>
      <c r="L3002" s="250"/>
      <c r="M3002" s="249"/>
      <c r="N3002" s="330"/>
      <c r="O3002" s="250"/>
      <c r="P3002" s="249"/>
      <c r="Q3002" s="330"/>
      <c r="R3002" s="250"/>
      <c r="S3002" s="249"/>
      <c r="T3002" s="330"/>
      <c r="U3002" s="250"/>
      <c r="V3002" s="249"/>
      <c r="W3002" s="330"/>
      <c r="X3002" s="343"/>
      <c r="Y3002" s="249"/>
      <c r="Z3002" s="330"/>
      <c r="AA3002" s="343"/>
      <c r="AB3002" s="249"/>
      <c r="AC3002" s="330"/>
      <c r="AD3002" s="343"/>
      <c r="AE3002" s="249"/>
      <c r="AF3002" s="330"/>
      <c r="AG3002" s="343"/>
      <c r="AH3002" s="249"/>
      <c r="AI3002" s="330"/>
      <c r="AJ3002" s="343"/>
      <c r="AK3002" s="249"/>
      <c r="AL3002" s="330"/>
      <c r="AM3002" s="343"/>
      <c r="AN3002" s="249"/>
      <c r="AO3002" s="330"/>
      <c r="AP3002" s="343"/>
      <c r="AQ3002" s="249"/>
      <c r="AR3002" s="330"/>
      <c r="AS3002" s="343"/>
      <c r="AT3002" s="249"/>
      <c r="AU3002" s="330"/>
    </row>
    <row r="3003" spans="2:47">
      <c r="B3003" s="247">
        <f>'Table S2 Compound Identifiers'!C3005</f>
        <v>0</v>
      </c>
      <c r="C3003" s="247">
        <f>COUNTIF($D$6:D3003,"&lt;&gt;"&amp;"")</f>
        <v>2998</v>
      </c>
      <c r="D3003" s="247">
        <f>'Table S2 Compound Identifiers'!B3005</f>
        <v>0</v>
      </c>
      <c r="E3003" s="247"/>
      <c r="F3003" s="248"/>
      <c r="G3003" s="249"/>
      <c r="H3003" s="330"/>
      <c r="I3003" s="328"/>
      <c r="J3003" s="249"/>
      <c r="K3003" s="330"/>
      <c r="L3003" s="250"/>
      <c r="M3003" s="249"/>
      <c r="N3003" s="330"/>
      <c r="O3003" s="250"/>
      <c r="P3003" s="249"/>
      <c r="Q3003" s="330"/>
      <c r="R3003" s="250"/>
      <c r="S3003" s="249"/>
      <c r="T3003" s="330"/>
      <c r="U3003" s="250"/>
      <c r="V3003" s="249"/>
      <c r="W3003" s="330"/>
      <c r="X3003" s="343"/>
      <c r="Y3003" s="249"/>
      <c r="Z3003" s="330"/>
      <c r="AA3003" s="343"/>
      <c r="AB3003" s="249"/>
      <c r="AC3003" s="330"/>
      <c r="AD3003" s="343"/>
      <c r="AE3003" s="249"/>
      <c r="AF3003" s="330"/>
      <c r="AG3003" s="343"/>
      <c r="AH3003" s="249"/>
      <c r="AI3003" s="330"/>
      <c r="AJ3003" s="343"/>
      <c r="AK3003" s="249"/>
      <c r="AL3003" s="330"/>
      <c r="AM3003" s="343"/>
      <c r="AN3003" s="249"/>
      <c r="AO3003" s="330"/>
      <c r="AP3003" s="343"/>
      <c r="AQ3003" s="249"/>
      <c r="AR3003" s="330"/>
      <c r="AS3003" s="343"/>
      <c r="AT3003" s="249"/>
      <c r="AU3003" s="330"/>
    </row>
    <row r="3004" spans="2:47">
      <c r="B3004" s="247">
        <f>'Table S2 Compound Identifiers'!C3006</f>
        <v>0</v>
      </c>
      <c r="C3004" s="247">
        <f>COUNTIF($D$6:D3004,"&lt;&gt;"&amp;"")</f>
        <v>2999</v>
      </c>
      <c r="D3004" s="247">
        <f>'Table S2 Compound Identifiers'!B3006</f>
        <v>0</v>
      </c>
      <c r="E3004" s="247"/>
      <c r="F3004" s="248"/>
      <c r="G3004" s="249"/>
      <c r="H3004" s="330"/>
      <c r="I3004" s="328"/>
      <c r="J3004" s="249"/>
      <c r="K3004" s="330"/>
      <c r="L3004" s="250"/>
      <c r="M3004" s="249"/>
      <c r="N3004" s="330"/>
      <c r="O3004" s="250"/>
      <c r="P3004" s="249"/>
      <c r="Q3004" s="330"/>
      <c r="R3004" s="250"/>
      <c r="S3004" s="249"/>
      <c r="T3004" s="330"/>
      <c r="U3004" s="250"/>
      <c r="V3004" s="249"/>
      <c r="W3004" s="330"/>
      <c r="X3004" s="343"/>
      <c r="Y3004" s="249"/>
      <c r="Z3004" s="330"/>
      <c r="AA3004" s="343"/>
      <c r="AB3004" s="249"/>
      <c r="AC3004" s="330"/>
      <c r="AD3004" s="343"/>
      <c r="AE3004" s="249"/>
      <c r="AF3004" s="330"/>
      <c r="AG3004" s="343"/>
      <c r="AH3004" s="249"/>
      <c r="AI3004" s="330"/>
      <c r="AJ3004" s="343"/>
      <c r="AK3004" s="249"/>
      <c r="AL3004" s="330"/>
      <c r="AM3004" s="343"/>
      <c r="AN3004" s="249"/>
      <c r="AO3004" s="330"/>
      <c r="AP3004" s="343"/>
      <c r="AQ3004" s="249"/>
      <c r="AR3004" s="330"/>
      <c r="AS3004" s="343"/>
      <c r="AT3004" s="249"/>
      <c r="AU3004" s="330"/>
    </row>
    <row r="3005" spans="2:47">
      <c r="B3005" s="247">
        <f>'Table S2 Compound Identifiers'!C3007</f>
        <v>0</v>
      </c>
      <c r="C3005" s="247">
        <f>COUNTIF($D$6:D3005,"&lt;&gt;"&amp;"")</f>
        <v>3000</v>
      </c>
      <c r="D3005" s="247">
        <f>'Table S2 Compound Identifiers'!B3007</f>
        <v>0</v>
      </c>
      <c r="E3005" s="247"/>
      <c r="F3005" s="248"/>
      <c r="G3005" s="249"/>
      <c r="H3005" s="330"/>
      <c r="I3005" s="328"/>
      <c r="J3005" s="249"/>
      <c r="K3005" s="330"/>
      <c r="L3005" s="250"/>
      <c r="M3005" s="249"/>
      <c r="N3005" s="330"/>
      <c r="O3005" s="250"/>
      <c r="P3005" s="249"/>
      <c r="Q3005" s="330"/>
      <c r="R3005" s="250"/>
      <c r="S3005" s="249"/>
      <c r="T3005" s="330"/>
      <c r="U3005" s="250"/>
      <c r="V3005" s="249"/>
      <c r="W3005" s="330"/>
      <c r="X3005" s="343"/>
      <c r="Y3005" s="249"/>
      <c r="Z3005" s="330"/>
      <c r="AA3005" s="343"/>
      <c r="AB3005" s="249"/>
      <c r="AC3005" s="330"/>
      <c r="AD3005" s="343"/>
      <c r="AE3005" s="249"/>
      <c r="AF3005" s="330"/>
      <c r="AG3005" s="343"/>
      <c r="AH3005" s="249"/>
      <c r="AI3005" s="330"/>
      <c r="AJ3005" s="343"/>
      <c r="AK3005" s="249"/>
      <c r="AL3005" s="330"/>
      <c r="AM3005" s="343"/>
      <c r="AN3005" s="249"/>
      <c r="AO3005" s="330"/>
      <c r="AP3005" s="343"/>
      <c r="AQ3005" s="249"/>
      <c r="AR3005" s="330"/>
      <c r="AS3005" s="343"/>
      <c r="AT3005" s="249"/>
      <c r="AU3005" s="330"/>
    </row>
    <row r="3006" spans="2:47">
      <c r="B3006" s="247">
        <f>'Table S2 Compound Identifiers'!C3008</f>
        <v>0</v>
      </c>
      <c r="C3006" s="247">
        <f>COUNTIF($D$6:D3006,"&lt;&gt;"&amp;"")</f>
        <v>3001</v>
      </c>
      <c r="D3006" s="247">
        <f>'Table S2 Compound Identifiers'!B3008</f>
        <v>0</v>
      </c>
      <c r="E3006" s="247"/>
      <c r="F3006" s="248"/>
      <c r="G3006" s="249"/>
      <c r="H3006" s="330"/>
      <c r="I3006" s="328"/>
      <c r="J3006" s="249"/>
      <c r="K3006" s="330"/>
      <c r="L3006" s="250"/>
      <c r="M3006" s="249"/>
      <c r="N3006" s="330"/>
      <c r="O3006" s="250"/>
      <c r="P3006" s="249"/>
      <c r="Q3006" s="330"/>
      <c r="R3006" s="250"/>
      <c r="S3006" s="249"/>
      <c r="T3006" s="330"/>
      <c r="U3006" s="250"/>
      <c r="V3006" s="249"/>
      <c r="W3006" s="330"/>
      <c r="X3006" s="343"/>
      <c r="Y3006" s="249"/>
      <c r="Z3006" s="330"/>
      <c r="AA3006" s="343"/>
      <c r="AB3006" s="249"/>
      <c r="AC3006" s="330"/>
      <c r="AD3006" s="343"/>
      <c r="AE3006" s="249"/>
      <c r="AF3006" s="330"/>
      <c r="AG3006" s="343"/>
      <c r="AH3006" s="249"/>
      <c r="AI3006" s="330"/>
      <c r="AJ3006" s="343"/>
      <c r="AK3006" s="249"/>
      <c r="AL3006" s="330"/>
      <c r="AM3006" s="343"/>
      <c r="AN3006" s="249"/>
      <c r="AO3006" s="330"/>
      <c r="AP3006" s="343"/>
      <c r="AQ3006" s="249"/>
      <c r="AR3006" s="330"/>
      <c r="AS3006" s="343"/>
      <c r="AT3006" s="249"/>
      <c r="AU3006" s="330"/>
    </row>
    <row r="3007" spans="2:47">
      <c r="B3007" s="247">
        <f>'Table S2 Compound Identifiers'!C3009</f>
        <v>0</v>
      </c>
      <c r="C3007" s="247">
        <f>COUNTIF($D$6:D3007,"&lt;&gt;"&amp;"")</f>
        <v>3002</v>
      </c>
      <c r="D3007" s="247">
        <f>'Table S2 Compound Identifiers'!B3009</f>
        <v>0</v>
      </c>
      <c r="E3007" s="247"/>
      <c r="F3007" s="248"/>
      <c r="G3007" s="249"/>
      <c r="H3007" s="330"/>
      <c r="I3007" s="328"/>
      <c r="J3007" s="249"/>
      <c r="K3007" s="330"/>
      <c r="L3007" s="250"/>
      <c r="M3007" s="249"/>
      <c r="N3007" s="330"/>
      <c r="O3007" s="250"/>
      <c r="P3007" s="249"/>
      <c r="Q3007" s="330"/>
      <c r="R3007" s="250"/>
      <c r="S3007" s="249"/>
      <c r="T3007" s="330"/>
      <c r="U3007" s="250"/>
      <c r="V3007" s="249"/>
      <c r="W3007" s="330"/>
      <c r="X3007" s="343"/>
      <c r="Y3007" s="249"/>
      <c r="Z3007" s="330"/>
      <c r="AA3007" s="343"/>
      <c r="AB3007" s="249"/>
      <c r="AC3007" s="330"/>
      <c r="AD3007" s="343"/>
      <c r="AE3007" s="249"/>
      <c r="AF3007" s="330"/>
      <c r="AG3007" s="343"/>
      <c r="AH3007" s="249"/>
      <c r="AI3007" s="330"/>
      <c r="AJ3007" s="343"/>
      <c r="AK3007" s="249"/>
      <c r="AL3007" s="330"/>
      <c r="AM3007" s="343"/>
      <c r="AN3007" s="249"/>
      <c r="AO3007" s="330"/>
      <c r="AP3007" s="343"/>
      <c r="AQ3007" s="249"/>
      <c r="AR3007" s="330"/>
      <c r="AS3007" s="343"/>
      <c r="AT3007" s="249"/>
      <c r="AU3007" s="330"/>
    </row>
    <row r="3008" spans="2:47">
      <c r="B3008" s="247">
        <f>'Table S2 Compound Identifiers'!C3010</f>
        <v>0</v>
      </c>
      <c r="C3008" s="247">
        <f>COUNTIF($D$6:D3008,"&lt;&gt;"&amp;"")</f>
        <v>3003</v>
      </c>
      <c r="D3008" s="247">
        <f>'Table S2 Compound Identifiers'!B3010</f>
        <v>0</v>
      </c>
      <c r="E3008" s="247"/>
      <c r="F3008" s="248"/>
      <c r="G3008" s="249"/>
      <c r="H3008" s="330"/>
      <c r="I3008" s="328"/>
      <c r="J3008" s="249"/>
      <c r="K3008" s="330"/>
      <c r="L3008" s="250"/>
      <c r="M3008" s="249"/>
      <c r="N3008" s="330"/>
      <c r="O3008" s="250"/>
      <c r="P3008" s="249"/>
      <c r="Q3008" s="330"/>
      <c r="R3008" s="250"/>
      <c r="S3008" s="249"/>
      <c r="T3008" s="330"/>
      <c r="U3008" s="250"/>
      <c r="V3008" s="249"/>
      <c r="W3008" s="330"/>
      <c r="X3008" s="343"/>
      <c r="Y3008" s="249"/>
      <c r="Z3008" s="330"/>
      <c r="AA3008" s="343"/>
      <c r="AB3008" s="249"/>
      <c r="AC3008" s="330"/>
      <c r="AD3008" s="343"/>
      <c r="AE3008" s="249"/>
      <c r="AF3008" s="330"/>
      <c r="AG3008" s="343"/>
      <c r="AH3008" s="249"/>
      <c r="AI3008" s="330"/>
      <c r="AJ3008" s="343"/>
      <c r="AK3008" s="249"/>
      <c r="AL3008" s="330"/>
      <c r="AM3008" s="343"/>
      <c r="AN3008" s="249"/>
      <c r="AO3008" s="330"/>
      <c r="AP3008" s="343"/>
      <c r="AQ3008" s="249"/>
      <c r="AR3008" s="330"/>
      <c r="AS3008" s="343"/>
      <c r="AT3008" s="249"/>
      <c r="AU3008" s="330"/>
    </row>
    <row r="3009" spans="2:47">
      <c r="B3009" s="247">
        <f>'Table S2 Compound Identifiers'!C3011</f>
        <v>0</v>
      </c>
      <c r="C3009" s="247">
        <f>COUNTIF($D$6:D3009,"&lt;&gt;"&amp;"")</f>
        <v>3004</v>
      </c>
      <c r="D3009" s="247">
        <f>'Table S2 Compound Identifiers'!B3011</f>
        <v>0</v>
      </c>
      <c r="E3009" s="247"/>
      <c r="F3009" s="248"/>
      <c r="G3009" s="249"/>
      <c r="H3009" s="330"/>
      <c r="I3009" s="328"/>
      <c r="J3009" s="249"/>
      <c r="K3009" s="330"/>
      <c r="L3009" s="250"/>
      <c r="M3009" s="249"/>
      <c r="N3009" s="330"/>
      <c r="O3009" s="250"/>
      <c r="P3009" s="249"/>
      <c r="Q3009" s="330"/>
      <c r="R3009" s="250"/>
      <c r="S3009" s="249"/>
      <c r="T3009" s="330"/>
      <c r="U3009" s="250"/>
      <c r="V3009" s="249"/>
      <c r="W3009" s="330"/>
      <c r="X3009" s="343"/>
      <c r="Y3009" s="249"/>
      <c r="Z3009" s="330"/>
      <c r="AA3009" s="343"/>
      <c r="AB3009" s="249"/>
      <c r="AC3009" s="330"/>
      <c r="AD3009" s="343"/>
      <c r="AE3009" s="249"/>
      <c r="AF3009" s="330"/>
      <c r="AG3009" s="343"/>
      <c r="AH3009" s="249"/>
      <c r="AI3009" s="330"/>
      <c r="AJ3009" s="343"/>
      <c r="AK3009" s="249"/>
      <c r="AL3009" s="330"/>
      <c r="AM3009" s="343"/>
      <c r="AN3009" s="249"/>
      <c r="AO3009" s="330"/>
      <c r="AP3009" s="343"/>
      <c r="AQ3009" s="249"/>
      <c r="AR3009" s="330"/>
      <c r="AS3009" s="343"/>
      <c r="AT3009" s="249"/>
      <c r="AU3009" s="330"/>
    </row>
    <row r="3010" spans="2:47">
      <c r="B3010" s="247">
        <f>'Table S2 Compound Identifiers'!C3012</f>
        <v>0</v>
      </c>
      <c r="C3010" s="247">
        <f>COUNTIF($D$6:D3010,"&lt;&gt;"&amp;"")</f>
        <v>3005</v>
      </c>
      <c r="D3010" s="247">
        <f>'Table S2 Compound Identifiers'!B3012</f>
        <v>0</v>
      </c>
      <c r="E3010" s="247"/>
      <c r="F3010" s="248"/>
      <c r="G3010" s="249"/>
      <c r="H3010" s="330"/>
      <c r="I3010" s="328"/>
      <c r="J3010" s="249"/>
      <c r="K3010" s="330"/>
      <c r="L3010" s="250"/>
      <c r="M3010" s="249"/>
      <c r="N3010" s="330"/>
      <c r="O3010" s="250"/>
      <c r="P3010" s="249"/>
      <c r="Q3010" s="330"/>
      <c r="R3010" s="250"/>
      <c r="S3010" s="249"/>
      <c r="T3010" s="330"/>
      <c r="U3010" s="250"/>
      <c r="V3010" s="249"/>
      <c r="W3010" s="330"/>
      <c r="X3010" s="343"/>
      <c r="Y3010" s="249"/>
      <c r="Z3010" s="330"/>
      <c r="AA3010" s="343"/>
      <c r="AB3010" s="249"/>
      <c r="AC3010" s="330"/>
      <c r="AD3010" s="343"/>
      <c r="AE3010" s="249"/>
      <c r="AF3010" s="330"/>
      <c r="AG3010" s="343"/>
      <c r="AH3010" s="249"/>
      <c r="AI3010" s="330"/>
      <c r="AJ3010" s="343"/>
      <c r="AK3010" s="249"/>
      <c r="AL3010" s="330"/>
      <c r="AM3010" s="343"/>
      <c r="AN3010" s="249"/>
      <c r="AO3010" s="330"/>
      <c r="AP3010" s="343"/>
      <c r="AQ3010" s="249"/>
      <c r="AR3010" s="330"/>
      <c r="AS3010" s="343"/>
      <c r="AT3010" s="249"/>
      <c r="AU3010" s="330"/>
    </row>
    <row r="3011" spans="2:47">
      <c r="B3011" s="247">
        <f>'Table S2 Compound Identifiers'!C3013</f>
        <v>0</v>
      </c>
      <c r="C3011" s="247">
        <f>COUNTIF($D$6:D3011,"&lt;&gt;"&amp;"")</f>
        <v>3006</v>
      </c>
      <c r="D3011" s="247">
        <f>'Table S2 Compound Identifiers'!B3013</f>
        <v>0</v>
      </c>
      <c r="E3011" s="247"/>
      <c r="F3011" s="248"/>
      <c r="G3011" s="249"/>
      <c r="H3011" s="330"/>
      <c r="I3011" s="328"/>
      <c r="J3011" s="249"/>
      <c r="K3011" s="330"/>
      <c r="L3011" s="250"/>
      <c r="M3011" s="249"/>
      <c r="N3011" s="330"/>
      <c r="O3011" s="250"/>
      <c r="P3011" s="249"/>
      <c r="Q3011" s="330"/>
      <c r="R3011" s="250"/>
      <c r="S3011" s="249"/>
      <c r="T3011" s="330"/>
      <c r="U3011" s="250"/>
      <c r="V3011" s="249"/>
      <c r="W3011" s="330"/>
      <c r="X3011" s="343"/>
      <c r="Y3011" s="249"/>
      <c r="Z3011" s="330"/>
      <c r="AA3011" s="343"/>
      <c r="AB3011" s="249"/>
      <c r="AC3011" s="330"/>
      <c r="AD3011" s="343"/>
      <c r="AE3011" s="249"/>
      <c r="AF3011" s="330"/>
      <c r="AG3011" s="343"/>
      <c r="AH3011" s="249"/>
      <c r="AI3011" s="330"/>
      <c r="AJ3011" s="343"/>
      <c r="AK3011" s="249"/>
      <c r="AL3011" s="330"/>
      <c r="AM3011" s="343"/>
      <c r="AN3011" s="249"/>
      <c r="AO3011" s="330"/>
      <c r="AP3011" s="343"/>
      <c r="AQ3011" s="249"/>
      <c r="AR3011" s="330"/>
      <c r="AS3011" s="343"/>
      <c r="AT3011" s="249"/>
      <c r="AU3011" s="330"/>
    </row>
    <row r="3012" spans="2:47">
      <c r="B3012" s="247">
        <f>'Table S2 Compound Identifiers'!C3014</f>
        <v>0</v>
      </c>
      <c r="C3012" s="247">
        <f>COUNTIF($D$6:D3012,"&lt;&gt;"&amp;"")</f>
        <v>3007</v>
      </c>
      <c r="D3012" s="247">
        <f>'Table S2 Compound Identifiers'!B3014</f>
        <v>0</v>
      </c>
      <c r="E3012" s="247"/>
      <c r="F3012" s="248"/>
      <c r="G3012" s="249"/>
      <c r="H3012" s="330"/>
      <c r="I3012" s="328"/>
      <c r="J3012" s="249"/>
      <c r="K3012" s="330"/>
      <c r="L3012" s="250"/>
      <c r="M3012" s="249"/>
      <c r="N3012" s="330"/>
      <c r="O3012" s="250"/>
      <c r="P3012" s="249"/>
      <c r="Q3012" s="330"/>
      <c r="R3012" s="250"/>
      <c r="S3012" s="249"/>
      <c r="T3012" s="330"/>
      <c r="U3012" s="250"/>
      <c r="V3012" s="249"/>
      <c r="W3012" s="330"/>
      <c r="X3012" s="343"/>
      <c r="Y3012" s="249"/>
      <c r="Z3012" s="330"/>
      <c r="AA3012" s="343"/>
      <c r="AB3012" s="249"/>
      <c r="AC3012" s="330"/>
      <c r="AD3012" s="343"/>
      <c r="AE3012" s="249"/>
      <c r="AF3012" s="330"/>
      <c r="AG3012" s="343"/>
      <c r="AH3012" s="249"/>
      <c r="AI3012" s="330"/>
      <c r="AJ3012" s="343"/>
      <c r="AK3012" s="249"/>
      <c r="AL3012" s="330"/>
      <c r="AM3012" s="343"/>
      <c r="AN3012" s="249"/>
      <c r="AO3012" s="330"/>
      <c r="AP3012" s="343"/>
      <c r="AQ3012" s="249"/>
      <c r="AR3012" s="330"/>
      <c r="AS3012" s="343"/>
      <c r="AT3012" s="249"/>
      <c r="AU3012" s="330"/>
    </row>
    <row r="3013" spans="2:47">
      <c r="B3013" s="247">
        <f>'Table S2 Compound Identifiers'!C3015</f>
        <v>0</v>
      </c>
      <c r="C3013" s="247">
        <f>COUNTIF($D$6:D3013,"&lt;&gt;"&amp;"")</f>
        <v>3008</v>
      </c>
      <c r="D3013" s="247">
        <f>'Table S2 Compound Identifiers'!B3015</f>
        <v>0</v>
      </c>
      <c r="E3013" s="247"/>
      <c r="F3013" s="248"/>
      <c r="G3013" s="249"/>
      <c r="H3013" s="330"/>
      <c r="I3013" s="328"/>
      <c r="J3013" s="249"/>
      <c r="K3013" s="330"/>
      <c r="L3013" s="250"/>
      <c r="M3013" s="249"/>
      <c r="N3013" s="330"/>
      <c r="O3013" s="250"/>
      <c r="P3013" s="249"/>
      <c r="Q3013" s="330"/>
      <c r="R3013" s="250"/>
      <c r="S3013" s="249"/>
      <c r="T3013" s="330"/>
      <c r="U3013" s="250"/>
      <c r="V3013" s="249"/>
      <c r="W3013" s="330"/>
      <c r="X3013" s="343"/>
      <c r="Y3013" s="249"/>
      <c r="Z3013" s="330"/>
      <c r="AA3013" s="343"/>
      <c r="AB3013" s="249"/>
      <c r="AC3013" s="330"/>
      <c r="AD3013" s="343"/>
      <c r="AE3013" s="249"/>
      <c r="AF3013" s="330"/>
      <c r="AG3013" s="343"/>
      <c r="AH3013" s="249"/>
      <c r="AI3013" s="330"/>
      <c r="AJ3013" s="343"/>
      <c r="AK3013" s="249"/>
      <c r="AL3013" s="330"/>
      <c r="AM3013" s="343"/>
      <c r="AN3013" s="249"/>
      <c r="AO3013" s="330"/>
      <c r="AP3013" s="343"/>
      <c r="AQ3013" s="249"/>
      <c r="AR3013" s="330"/>
      <c r="AS3013" s="343"/>
      <c r="AT3013" s="249"/>
      <c r="AU3013" s="330"/>
    </row>
    <row r="3014" spans="2:47">
      <c r="B3014" s="247">
        <f>'Table S2 Compound Identifiers'!C3016</f>
        <v>0</v>
      </c>
      <c r="C3014" s="247">
        <f>COUNTIF($D$6:D3014,"&lt;&gt;"&amp;"")</f>
        <v>3009</v>
      </c>
      <c r="D3014" s="247">
        <f>'Table S2 Compound Identifiers'!B3016</f>
        <v>0</v>
      </c>
      <c r="E3014" s="247"/>
      <c r="F3014" s="248"/>
      <c r="G3014" s="249"/>
      <c r="H3014" s="330"/>
      <c r="I3014" s="328"/>
      <c r="J3014" s="249"/>
      <c r="K3014" s="330"/>
      <c r="L3014" s="250"/>
      <c r="M3014" s="249"/>
      <c r="N3014" s="330"/>
      <c r="O3014" s="250"/>
      <c r="P3014" s="249"/>
      <c r="Q3014" s="330"/>
      <c r="R3014" s="250"/>
      <c r="S3014" s="249"/>
      <c r="T3014" s="330"/>
      <c r="U3014" s="250"/>
      <c r="V3014" s="249"/>
      <c r="W3014" s="330"/>
      <c r="X3014" s="343"/>
      <c r="Y3014" s="249"/>
      <c r="Z3014" s="330"/>
      <c r="AA3014" s="343"/>
      <c r="AB3014" s="249"/>
      <c r="AC3014" s="330"/>
      <c r="AD3014" s="343"/>
      <c r="AE3014" s="249"/>
      <c r="AF3014" s="330"/>
      <c r="AG3014" s="343"/>
      <c r="AH3014" s="249"/>
      <c r="AI3014" s="330"/>
      <c r="AJ3014" s="343"/>
      <c r="AK3014" s="249"/>
      <c r="AL3014" s="330"/>
      <c r="AM3014" s="343"/>
      <c r="AN3014" s="249"/>
      <c r="AO3014" s="330"/>
      <c r="AP3014" s="343"/>
      <c r="AQ3014" s="249"/>
      <c r="AR3014" s="330"/>
      <c r="AS3014" s="343"/>
      <c r="AT3014" s="249"/>
      <c r="AU3014" s="330"/>
    </row>
    <row r="3015" spans="2:47">
      <c r="B3015" s="247">
        <f>'Table S2 Compound Identifiers'!C3017</f>
        <v>0</v>
      </c>
      <c r="C3015" s="247">
        <f>COUNTIF($D$6:D3015,"&lt;&gt;"&amp;"")</f>
        <v>3010</v>
      </c>
      <c r="D3015" s="247">
        <f>'Table S2 Compound Identifiers'!B3017</f>
        <v>0</v>
      </c>
      <c r="E3015" s="247"/>
      <c r="F3015" s="248"/>
      <c r="G3015" s="249"/>
      <c r="H3015" s="330"/>
      <c r="I3015" s="328"/>
      <c r="J3015" s="249"/>
      <c r="K3015" s="330"/>
      <c r="L3015" s="250"/>
      <c r="M3015" s="249"/>
      <c r="N3015" s="330"/>
      <c r="O3015" s="250"/>
      <c r="P3015" s="249"/>
      <c r="Q3015" s="330"/>
      <c r="R3015" s="250"/>
      <c r="S3015" s="249"/>
      <c r="T3015" s="330"/>
      <c r="U3015" s="250"/>
      <c r="V3015" s="249"/>
      <c r="W3015" s="330"/>
      <c r="X3015" s="343"/>
      <c r="Y3015" s="249"/>
      <c r="Z3015" s="330"/>
      <c r="AA3015" s="343"/>
      <c r="AB3015" s="249"/>
      <c r="AC3015" s="330"/>
      <c r="AD3015" s="343"/>
      <c r="AE3015" s="249"/>
      <c r="AF3015" s="330"/>
      <c r="AG3015" s="343"/>
      <c r="AH3015" s="249"/>
      <c r="AI3015" s="330"/>
      <c r="AJ3015" s="343"/>
      <c r="AK3015" s="249"/>
      <c r="AL3015" s="330"/>
      <c r="AM3015" s="343"/>
      <c r="AN3015" s="249"/>
      <c r="AO3015" s="330"/>
      <c r="AP3015" s="343"/>
      <c r="AQ3015" s="249"/>
      <c r="AR3015" s="330"/>
      <c r="AS3015" s="343"/>
      <c r="AT3015" s="249"/>
      <c r="AU3015" s="330"/>
    </row>
    <row r="3016" spans="2:47">
      <c r="B3016" s="247">
        <f>'Table S2 Compound Identifiers'!C3018</f>
        <v>0</v>
      </c>
      <c r="C3016" s="247">
        <f>COUNTIF($D$6:D3016,"&lt;&gt;"&amp;"")</f>
        <v>3011</v>
      </c>
      <c r="D3016" s="247">
        <f>'Table S2 Compound Identifiers'!B3018</f>
        <v>0</v>
      </c>
      <c r="E3016" s="247"/>
      <c r="F3016" s="248"/>
      <c r="G3016" s="249"/>
      <c r="H3016" s="330"/>
      <c r="I3016" s="328"/>
      <c r="J3016" s="249"/>
      <c r="K3016" s="330"/>
      <c r="L3016" s="250"/>
      <c r="M3016" s="249"/>
      <c r="N3016" s="330"/>
      <c r="O3016" s="250"/>
      <c r="P3016" s="249"/>
      <c r="Q3016" s="330"/>
      <c r="R3016" s="250"/>
      <c r="S3016" s="249"/>
      <c r="T3016" s="330"/>
      <c r="U3016" s="250"/>
      <c r="V3016" s="249"/>
      <c r="W3016" s="330"/>
      <c r="X3016" s="343"/>
      <c r="Y3016" s="249"/>
      <c r="Z3016" s="330"/>
      <c r="AA3016" s="343"/>
      <c r="AB3016" s="249"/>
      <c r="AC3016" s="330"/>
      <c r="AD3016" s="343"/>
      <c r="AE3016" s="249"/>
      <c r="AF3016" s="330"/>
      <c r="AG3016" s="343"/>
      <c r="AH3016" s="249"/>
      <c r="AI3016" s="330"/>
      <c r="AJ3016" s="343"/>
      <c r="AK3016" s="249"/>
      <c r="AL3016" s="330"/>
      <c r="AM3016" s="343"/>
      <c r="AN3016" s="249"/>
      <c r="AO3016" s="330"/>
      <c r="AP3016" s="343"/>
      <c r="AQ3016" s="249"/>
      <c r="AR3016" s="330"/>
      <c r="AS3016" s="343"/>
      <c r="AT3016" s="249"/>
      <c r="AU3016" s="330"/>
    </row>
    <row r="3017" spans="2:47">
      <c r="B3017" s="247">
        <f>'Table S2 Compound Identifiers'!C3019</f>
        <v>0</v>
      </c>
      <c r="C3017" s="247">
        <f>COUNTIF($D$6:D3017,"&lt;&gt;"&amp;"")</f>
        <v>3012</v>
      </c>
      <c r="D3017" s="247">
        <f>'Table S2 Compound Identifiers'!B3019</f>
        <v>0</v>
      </c>
      <c r="E3017" s="247"/>
      <c r="F3017" s="248"/>
      <c r="G3017" s="249"/>
      <c r="H3017" s="330"/>
      <c r="I3017" s="328"/>
      <c r="J3017" s="249"/>
      <c r="K3017" s="330"/>
      <c r="L3017" s="250"/>
      <c r="M3017" s="249"/>
      <c r="N3017" s="330"/>
      <c r="O3017" s="250"/>
      <c r="P3017" s="249"/>
      <c r="Q3017" s="330"/>
      <c r="R3017" s="250"/>
      <c r="S3017" s="249"/>
      <c r="T3017" s="330"/>
      <c r="U3017" s="250"/>
      <c r="V3017" s="249"/>
      <c r="W3017" s="330"/>
      <c r="X3017" s="343"/>
      <c r="Y3017" s="249"/>
      <c r="Z3017" s="330"/>
      <c r="AA3017" s="343"/>
      <c r="AB3017" s="249"/>
      <c r="AC3017" s="330"/>
      <c r="AD3017" s="343"/>
      <c r="AE3017" s="249"/>
      <c r="AF3017" s="330"/>
      <c r="AG3017" s="343"/>
      <c r="AH3017" s="249"/>
      <c r="AI3017" s="330"/>
      <c r="AJ3017" s="343"/>
      <c r="AK3017" s="249"/>
      <c r="AL3017" s="330"/>
      <c r="AM3017" s="343"/>
      <c r="AN3017" s="249"/>
      <c r="AO3017" s="330"/>
      <c r="AP3017" s="343"/>
      <c r="AQ3017" s="249"/>
      <c r="AR3017" s="330"/>
      <c r="AS3017" s="343"/>
      <c r="AT3017" s="249"/>
      <c r="AU3017" s="330"/>
    </row>
    <row r="3018" spans="2:47">
      <c r="B3018" s="247">
        <f>'Table S2 Compound Identifiers'!C3020</f>
        <v>0</v>
      </c>
      <c r="C3018" s="247">
        <f>COUNTIF($D$6:D3018,"&lt;&gt;"&amp;"")</f>
        <v>3013</v>
      </c>
      <c r="D3018" s="247">
        <f>'Table S2 Compound Identifiers'!B3020</f>
        <v>0</v>
      </c>
      <c r="E3018" s="247"/>
      <c r="F3018" s="248"/>
      <c r="G3018" s="249"/>
      <c r="H3018" s="330"/>
      <c r="I3018" s="328"/>
      <c r="J3018" s="249"/>
      <c r="K3018" s="330"/>
      <c r="L3018" s="250"/>
      <c r="M3018" s="249"/>
      <c r="N3018" s="330"/>
      <c r="O3018" s="250"/>
      <c r="P3018" s="249"/>
      <c r="Q3018" s="330"/>
      <c r="R3018" s="250"/>
      <c r="S3018" s="249"/>
      <c r="T3018" s="330"/>
      <c r="U3018" s="250"/>
      <c r="V3018" s="249"/>
      <c r="W3018" s="330"/>
      <c r="X3018" s="343"/>
      <c r="Y3018" s="249"/>
      <c r="Z3018" s="330"/>
      <c r="AA3018" s="343"/>
      <c r="AB3018" s="249"/>
      <c r="AC3018" s="330"/>
      <c r="AD3018" s="343"/>
      <c r="AE3018" s="249"/>
      <c r="AF3018" s="330"/>
      <c r="AG3018" s="343"/>
      <c r="AH3018" s="249"/>
      <c r="AI3018" s="330"/>
      <c r="AJ3018" s="343"/>
      <c r="AK3018" s="249"/>
      <c r="AL3018" s="330"/>
      <c r="AM3018" s="343"/>
      <c r="AN3018" s="249"/>
      <c r="AO3018" s="330"/>
      <c r="AP3018" s="343"/>
      <c r="AQ3018" s="249"/>
      <c r="AR3018" s="330"/>
      <c r="AS3018" s="343"/>
      <c r="AT3018" s="249"/>
      <c r="AU3018" s="330"/>
    </row>
    <row r="3019" spans="2:47">
      <c r="B3019" s="247">
        <f>'Table S2 Compound Identifiers'!C3021</f>
        <v>0</v>
      </c>
      <c r="C3019" s="247">
        <f>COUNTIF($D$6:D3019,"&lt;&gt;"&amp;"")</f>
        <v>3014</v>
      </c>
      <c r="D3019" s="247">
        <f>'Table S2 Compound Identifiers'!B3021</f>
        <v>0</v>
      </c>
      <c r="E3019" s="247"/>
      <c r="F3019" s="248"/>
      <c r="G3019" s="249"/>
      <c r="H3019" s="330"/>
      <c r="I3019" s="328"/>
      <c r="J3019" s="249"/>
      <c r="K3019" s="330"/>
      <c r="L3019" s="250"/>
      <c r="M3019" s="249"/>
      <c r="N3019" s="330"/>
      <c r="O3019" s="250"/>
      <c r="P3019" s="249"/>
      <c r="Q3019" s="330"/>
      <c r="R3019" s="250"/>
      <c r="S3019" s="249"/>
      <c r="T3019" s="330"/>
      <c r="U3019" s="250"/>
      <c r="V3019" s="249"/>
      <c r="W3019" s="330"/>
      <c r="X3019" s="343"/>
      <c r="Y3019" s="249"/>
      <c r="Z3019" s="330"/>
      <c r="AA3019" s="343"/>
      <c r="AB3019" s="249"/>
      <c r="AC3019" s="330"/>
      <c r="AD3019" s="343"/>
      <c r="AE3019" s="249"/>
      <c r="AF3019" s="330"/>
      <c r="AG3019" s="343"/>
      <c r="AH3019" s="249"/>
      <c r="AI3019" s="330"/>
      <c r="AJ3019" s="343"/>
      <c r="AK3019" s="249"/>
      <c r="AL3019" s="330"/>
      <c r="AM3019" s="343"/>
      <c r="AN3019" s="249"/>
      <c r="AO3019" s="330"/>
      <c r="AP3019" s="343"/>
      <c r="AQ3019" s="249"/>
      <c r="AR3019" s="330"/>
      <c r="AS3019" s="343"/>
      <c r="AT3019" s="249"/>
      <c r="AU3019" s="330"/>
    </row>
    <row r="3020" spans="2:47">
      <c r="B3020" s="247">
        <f>'Table S2 Compound Identifiers'!C3022</f>
        <v>0</v>
      </c>
      <c r="C3020" s="247">
        <f>COUNTIF($D$6:D3020,"&lt;&gt;"&amp;"")</f>
        <v>3015</v>
      </c>
      <c r="D3020" s="247">
        <f>'Table S2 Compound Identifiers'!B3022</f>
        <v>0</v>
      </c>
      <c r="E3020" s="247"/>
      <c r="F3020" s="248"/>
      <c r="G3020" s="249"/>
      <c r="H3020" s="330"/>
      <c r="I3020" s="328"/>
      <c r="J3020" s="249"/>
      <c r="K3020" s="330"/>
      <c r="L3020" s="250"/>
      <c r="M3020" s="249"/>
      <c r="N3020" s="330"/>
      <c r="O3020" s="250"/>
      <c r="P3020" s="249"/>
      <c r="Q3020" s="330"/>
      <c r="R3020" s="250"/>
      <c r="S3020" s="249"/>
      <c r="T3020" s="330"/>
      <c r="U3020" s="250"/>
      <c r="V3020" s="249"/>
      <c r="W3020" s="330"/>
      <c r="X3020" s="343"/>
      <c r="Y3020" s="249"/>
      <c r="Z3020" s="330"/>
      <c r="AA3020" s="343"/>
      <c r="AB3020" s="249"/>
      <c r="AC3020" s="330"/>
      <c r="AD3020" s="343"/>
      <c r="AE3020" s="249"/>
      <c r="AF3020" s="330"/>
      <c r="AG3020" s="343"/>
      <c r="AH3020" s="249"/>
      <c r="AI3020" s="330"/>
      <c r="AJ3020" s="343"/>
      <c r="AK3020" s="249"/>
      <c r="AL3020" s="330"/>
      <c r="AM3020" s="343"/>
      <c r="AN3020" s="249"/>
      <c r="AO3020" s="330"/>
      <c r="AP3020" s="343"/>
      <c r="AQ3020" s="249"/>
      <c r="AR3020" s="330"/>
      <c r="AS3020" s="343"/>
      <c r="AT3020" s="249"/>
      <c r="AU3020" s="330"/>
    </row>
    <row r="3021" spans="2:47">
      <c r="B3021" s="247">
        <f>'Table S2 Compound Identifiers'!C3023</f>
        <v>0</v>
      </c>
      <c r="C3021" s="247">
        <f>COUNTIF($D$6:D3021,"&lt;&gt;"&amp;"")</f>
        <v>3016</v>
      </c>
      <c r="D3021" s="247">
        <f>'Table S2 Compound Identifiers'!B3023</f>
        <v>0</v>
      </c>
      <c r="E3021" s="247"/>
      <c r="F3021" s="248"/>
      <c r="G3021" s="249"/>
      <c r="H3021" s="330"/>
      <c r="I3021" s="328"/>
      <c r="J3021" s="249"/>
      <c r="K3021" s="330"/>
      <c r="L3021" s="250"/>
      <c r="M3021" s="249"/>
      <c r="N3021" s="330"/>
      <c r="O3021" s="250"/>
      <c r="P3021" s="249"/>
      <c r="Q3021" s="330"/>
      <c r="R3021" s="250"/>
      <c r="S3021" s="249"/>
      <c r="T3021" s="330"/>
      <c r="U3021" s="250"/>
      <c r="V3021" s="249"/>
      <c r="W3021" s="330"/>
      <c r="X3021" s="343"/>
      <c r="Y3021" s="249"/>
      <c r="Z3021" s="330"/>
      <c r="AA3021" s="343"/>
      <c r="AB3021" s="249"/>
      <c r="AC3021" s="330"/>
      <c r="AD3021" s="343"/>
      <c r="AE3021" s="249"/>
      <c r="AF3021" s="330"/>
      <c r="AG3021" s="343"/>
      <c r="AH3021" s="249"/>
      <c r="AI3021" s="330"/>
      <c r="AJ3021" s="343"/>
      <c r="AK3021" s="249"/>
      <c r="AL3021" s="330"/>
      <c r="AM3021" s="343"/>
      <c r="AN3021" s="249"/>
      <c r="AO3021" s="330"/>
      <c r="AP3021" s="343"/>
      <c r="AQ3021" s="249"/>
      <c r="AR3021" s="330"/>
      <c r="AS3021" s="343"/>
      <c r="AT3021" s="249"/>
      <c r="AU3021" s="330"/>
    </row>
    <row r="3022" spans="2:47">
      <c r="B3022" s="247">
        <f>'Table S2 Compound Identifiers'!C3024</f>
        <v>0</v>
      </c>
      <c r="C3022" s="247">
        <f>COUNTIF($D$6:D3022,"&lt;&gt;"&amp;"")</f>
        <v>3017</v>
      </c>
      <c r="D3022" s="432">
        <f>'Table S2 Compound Identifiers'!B3024</f>
        <v>0</v>
      </c>
      <c r="E3022" s="247"/>
      <c r="F3022" s="248"/>
      <c r="G3022" s="249"/>
      <c r="H3022" s="330"/>
      <c r="I3022" s="328"/>
      <c r="J3022" s="249"/>
      <c r="K3022" s="330"/>
      <c r="L3022" s="250"/>
      <c r="M3022" s="249"/>
      <c r="N3022" s="330"/>
      <c r="O3022" s="250"/>
      <c r="P3022" s="249"/>
      <c r="Q3022" s="330"/>
      <c r="R3022" s="250"/>
      <c r="S3022" s="249"/>
      <c r="T3022" s="330"/>
      <c r="U3022" s="250"/>
      <c r="V3022" s="249"/>
      <c r="W3022" s="330"/>
      <c r="X3022" s="343"/>
      <c r="Y3022" s="249"/>
      <c r="Z3022" s="330"/>
      <c r="AA3022" s="343"/>
      <c r="AB3022" s="249"/>
      <c r="AC3022" s="330"/>
      <c r="AD3022" s="343"/>
      <c r="AE3022" s="249"/>
      <c r="AF3022" s="330"/>
      <c r="AG3022" s="343"/>
      <c r="AH3022" s="249"/>
      <c r="AI3022" s="330"/>
      <c r="AJ3022" s="343"/>
      <c r="AK3022" s="249"/>
      <c r="AL3022" s="330"/>
      <c r="AM3022" s="343"/>
      <c r="AN3022" s="249"/>
      <c r="AO3022" s="330"/>
      <c r="AP3022" s="343"/>
      <c r="AQ3022" s="249"/>
      <c r="AR3022" s="330"/>
      <c r="AS3022" s="343"/>
      <c r="AT3022" s="249"/>
      <c r="AU3022" s="330"/>
    </row>
    <row r="3023" spans="2:47">
      <c r="B3023" s="247">
        <f>'Table S2 Compound Identifiers'!C3025</f>
        <v>0</v>
      </c>
      <c r="C3023" s="247">
        <f>COUNTIF($D$6:D3023,"&lt;&gt;"&amp;"")</f>
        <v>3018</v>
      </c>
      <c r="D3023" s="432">
        <f>'Table S2 Compound Identifiers'!B3025</f>
        <v>0</v>
      </c>
      <c r="E3023" s="247"/>
      <c r="F3023" s="248"/>
      <c r="G3023" s="249"/>
      <c r="H3023" s="330"/>
      <c r="I3023" s="328"/>
      <c r="J3023" s="249"/>
      <c r="K3023" s="330"/>
      <c r="L3023" s="250"/>
      <c r="M3023" s="249"/>
      <c r="N3023" s="330"/>
      <c r="O3023" s="250"/>
      <c r="P3023" s="249"/>
      <c r="Q3023" s="330"/>
      <c r="R3023" s="250"/>
      <c r="S3023" s="249"/>
      <c r="T3023" s="330"/>
      <c r="U3023" s="250"/>
      <c r="V3023" s="249"/>
      <c r="W3023" s="330"/>
      <c r="X3023" s="343"/>
      <c r="Y3023" s="249"/>
      <c r="Z3023" s="330"/>
      <c r="AA3023" s="343"/>
      <c r="AB3023" s="249"/>
      <c r="AC3023" s="330"/>
      <c r="AD3023" s="343"/>
      <c r="AE3023" s="249"/>
      <c r="AF3023" s="330"/>
      <c r="AG3023" s="343"/>
      <c r="AH3023" s="249"/>
      <c r="AI3023" s="330"/>
      <c r="AJ3023" s="343"/>
      <c r="AK3023" s="249"/>
      <c r="AL3023" s="330"/>
      <c r="AM3023" s="343"/>
      <c r="AN3023" s="249"/>
      <c r="AO3023" s="330"/>
      <c r="AP3023" s="343"/>
      <c r="AQ3023" s="249"/>
      <c r="AR3023" s="330"/>
      <c r="AS3023" s="343"/>
      <c r="AT3023" s="249"/>
      <c r="AU3023" s="330"/>
    </row>
    <row r="3024" spans="2:47">
      <c r="B3024" s="247">
        <f>'Table S2 Compound Identifiers'!C3026</f>
        <v>0</v>
      </c>
      <c r="C3024" s="247">
        <f>COUNTIF($D$6:D3024,"&lt;&gt;"&amp;"")</f>
        <v>3019</v>
      </c>
      <c r="D3024" s="432">
        <f>'Table S2 Compound Identifiers'!B3026</f>
        <v>0</v>
      </c>
      <c r="E3024" s="247"/>
      <c r="F3024" s="248"/>
      <c r="G3024" s="249"/>
      <c r="H3024" s="330"/>
      <c r="I3024" s="328"/>
      <c r="J3024" s="249"/>
      <c r="K3024" s="330"/>
      <c r="L3024" s="250"/>
      <c r="M3024" s="249"/>
      <c r="N3024" s="330"/>
      <c r="O3024" s="250"/>
      <c r="P3024" s="249"/>
      <c r="Q3024" s="330"/>
      <c r="R3024" s="250"/>
      <c r="S3024" s="249"/>
      <c r="T3024" s="330"/>
      <c r="U3024" s="250"/>
      <c r="V3024" s="249"/>
      <c r="W3024" s="330"/>
      <c r="X3024" s="343"/>
      <c r="Y3024" s="249"/>
      <c r="Z3024" s="330"/>
      <c r="AA3024" s="343"/>
      <c r="AB3024" s="249"/>
      <c r="AC3024" s="330"/>
      <c r="AD3024" s="343"/>
      <c r="AE3024" s="249"/>
      <c r="AF3024" s="330"/>
      <c r="AG3024" s="343"/>
      <c r="AH3024" s="249"/>
      <c r="AI3024" s="330"/>
      <c r="AJ3024" s="343"/>
      <c r="AK3024" s="249"/>
      <c r="AL3024" s="330"/>
      <c r="AM3024" s="343"/>
      <c r="AN3024" s="249"/>
      <c r="AO3024" s="330"/>
      <c r="AP3024" s="343"/>
      <c r="AQ3024" s="249"/>
      <c r="AR3024" s="330"/>
      <c r="AS3024" s="343"/>
      <c r="AT3024" s="249"/>
      <c r="AU3024" s="330"/>
    </row>
    <row r="3025" spans="2:47">
      <c r="B3025" s="247">
        <f>'Table S2 Compound Identifiers'!C3027</f>
        <v>0</v>
      </c>
      <c r="C3025" s="247">
        <f>COUNTIF($D$6:D3025,"&lt;&gt;"&amp;"")</f>
        <v>3020</v>
      </c>
      <c r="D3025" s="432">
        <f>'Table S2 Compound Identifiers'!B3027</f>
        <v>0</v>
      </c>
      <c r="E3025" s="247"/>
      <c r="F3025" s="248"/>
      <c r="G3025" s="249"/>
      <c r="H3025" s="330"/>
      <c r="I3025" s="328"/>
      <c r="J3025" s="249"/>
      <c r="K3025" s="330"/>
      <c r="L3025" s="250"/>
      <c r="M3025" s="249"/>
      <c r="N3025" s="330"/>
      <c r="O3025" s="250"/>
      <c r="P3025" s="249"/>
      <c r="Q3025" s="330"/>
      <c r="R3025" s="250"/>
      <c r="S3025" s="249"/>
      <c r="T3025" s="330"/>
      <c r="U3025" s="250"/>
      <c r="V3025" s="249"/>
      <c r="W3025" s="330"/>
      <c r="X3025" s="343"/>
      <c r="Y3025" s="249"/>
      <c r="Z3025" s="330"/>
      <c r="AA3025" s="343"/>
      <c r="AB3025" s="249"/>
      <c r="AC3025" s="330"/>
      <c r="AD3025" s="343"/>
      <c r="AE3025" s="249"/>
      <c r="AF3025" s="330"/>
      <c r="AG3025" s="343"/>
      <c r="AH3025" s="249"/>
      <c r="AI3025" s="330"/>
      <c r="AJ3025" s="343"/>
      <c r="AK3025" s="249"/>
      <c r="AL3025" s="330"/>
      <c r="AM3025" s="343"/>
      <c r="AN3025" s="249"/>
      <c r="AO3025" s="330"/>
      <c r="AP3025" s="343"/>
      <c r="AQ3025" s="249"/>
      <c r="AR3025" s="330"/>
      <c r="AS3025" s="343"/>
      <c r="AT3025" s="249"/>
      <c r="AU3025" s="330"/>
    </row>
    <row r="3026" spans="2:47">
      <c r="B3026" s="247">
        <f>'Table S2 Compound Identifiers'!C3028</f>
        <v>0</v>
      </c>
      <c r="C3026" s="247">
        <f>COUNTIF($D$6:D3026,"&lt;&gt;"&amp;"")</f>
        <v>3021</v>
      </c>
      <c r="D3026" s="432">
        <f>'Table S2 Compound Identifiers'!B3028</f>
        <v>0</v>
      </c>
      <c r="E3026" s="247"/>
      <c r="F3026" s="248"/>
      <c r="G3026" s="249"/>
      <c r="H3026" s="330"/>
      <c r="I3026" s="328"/>
      <c r="J3026" s="249"/>
      <c r="K3026" s="330"/>
      <c r="L3026" s="250"/>
      <c r="M3026" s="249"/>
      <c r="N3026" s="330"/>
      <c r="O3026" s="250"/>
      <c r="P3026" s="249"/>
      <c r="Q3026" s="330"/>
      <c r="R3026" s="250"/>
      <c r="S3026" s="249"/>
      <c r="T3026" s="330"/>
      <c r="U3026" s="250"/>
      <c r="V3026" s="249"/>
      <c r="W3026" s="330"/>
      <c r="X3026" s="343"/>
      <c r="Y3026" s="249"/>
      <c r="Z3026" s="330"/>
      <c r="AA3026" s="343"/>
      <c r="AB3026" s="249"/>
      <c r="AC3026" s="330"/>
      <c r="AD3026" s="343"/>
      <c r="AE3026" s="249"/>
      <c r="AF3026" s="330"/>
      <c r="AG3026" s="343"/>
      <c r="AH3026" s="249"/>
      <c r="AI3026" s="330"/>
      <c r="AJ3026" s="343"/>
      <c r="AK3026" s="249"/>
      <c r="AL3026" s="330"/>
      <c r="AM3026" s="343"/>
      <c r="AN3026" s="249"/>
      <c r="AO3026" s="330"/>
      <c r="AP3026" s="343"/>
      <c r="AQ3026" s="249"/>
      <c r="AR3026" s="330"/>
      <c r="AS3026" s="343"/>
      <c r="AT3026" s="249"/>
      <c r="AU3026" s="330"/>
    </row>
    <row r="3027" spans="2:47">
      <c r="B3027" s="247">
        <f>'Table S2 Compound Identifiers'!C3029</f>
        <v>0</v>
      </c>
      <c r="C3027" s="247">
        <f>COUNTIF($D$6:D3027,"&lt;&gt;"&amp;"")</f>
        <v>3022</v>
      </c>
      <c r="D3027" s="432">
        <f>'Table S2 Compound Identifiers'!B3029</f>
        <v>0</v>
      </c>
      <c r="E3027" s="247"/>
      <c r="F3027" s="248"/>
      <c r="G3027" s="249"/>
      <c r="H3027" s="330"/>
      <c r="I3027" s="328"/>
      <c r="J3027" s="249"/>
      <c r="K3027" s="330"/>
      <c r="L3027" s="250"/>
      <c r="M3027" s="249"/>
      <c r="N3027" s="330"/>
      <c r="O3027" s="250"/>
      <c r="P3027" s="249"/>
      <c r="Q3027" s="330"/>
      <c r="R3027" s="250"/>
      <c r="S3027" s="249"/>
      <c r="T3027" s="330"/>
      <c r="U3027" s="250"/>
      <c r="V3027" s="249"/>
      <c r="W3027" s="330"/>
      <c r="X3027" s="343"/>
      <c r="Y3027" s="249"/>
      <c r="Z3027" s="330"/>
      <c r="AA3027" s="343"/>
      <c r="AB3027" s="249"/>
      <c r="AC3027" s="330"/>
      <c r="AD3027" s="343"/>
      <c r="AE3027" s="249"/>
      <c r="AF3027" s="330"/>
      <c r="AG3027" s="343"/>
      <c r="AH3027" s="249"/>
      <c r="AI3027" s="330"/>
      <c r="AJ3027" s="343"/>
      <c r="AK3027" s="249"/>
      <c r="AL3027" s="330"/>
      <c r="AM3027" s="343"/>
      <c r="AN3027" s="249"/>
      <c r="AO3027" s="330"/>
      <c r="AP3027" s="343"/>
      <c r="AQ3027" s="249"/>
      <c r="AR3027" s="330"/>
      <c r="AS3027" s="343"/>
      <c r="AT3027" s="249"/>
      <c r="AU3027" s="330"/>
    </row>
    <row r="3028" spans="2:47">
      <c r="B3028" s="247">
        <f>'Table S2 Compound Identifiers'!C3030</f>
        <v>0</v>
      </c>
      <c r="C3028" s="247">
        <f>COUNTIF($D$6:D3028,"&lt;&gt;"&amp;"")</f>
        <v>3023</v>
      </c>
      <c r="D3028" s="432">
        <f>'Table S2 Compound Identifiers'!B3030</f>
        <v>0</v>
      </c>
      <c r="E3028" s="247"/>
      <c r="F3028" s="248"/>
      <c r="G3028" s="249"/>
      <c r="H3028" s="330"/>
      <c r="I3028" s="328"/>
      <c r="J3028" s="249"/>
      <c r="K3028" s="330"/>
      <c r="L3028" s="250"/>
      <c r="M3028" s="249"/>
      <c r="N3028" s="330"/>
      <c r="O3028" s="250"/>
      <c r="P3028" s="249"/>
      <c r="Q3028" s="330"/>
      <c r="R3028" s="250"/>
      <c r="S3028" s="249"/>
      <c r="T3028" s="330"/>
      <c r="U3028" s="250"/>
      <c r="V3028" s="249"/>
      <c r="W3028" s="330"/>
      <c r="X3028" s="343"/>
      <c r="Y3028" s="249"/>
      <c r="Z3028" s="330"/>
      <c r="AA3028" s="343"/>
      <c r="AB3028" s="249"/>
      <c r="AC3028" s="330"/>
      <c r="AD3028" s="343"/>
      <c r="AE3028" s="249"/>
      <c r="AF3028" s="330"/>
      <c r="AG3028" s="343"/>
      <c r="AH3028" s="249"/>
      <c r="AI3028" s="330"/>
      <c r="AJ3028" s="343"/>
      <c r="AK3028" s="249"/>
      <c r="AL3028" s="330"/>
      <c r="AM3028" s="343"/>
      <c r="AN3028" s="249"/>
      <c r="AO3028" s="330"/>
      <c r="AP3028" s="343"/>
      <c r="AQ3028" s="249"/>
      <c r="AR3028" s="330"/>
      <c r="AS3028" s="343"/>
      <c r="AT3028" s="249"/>
      <c r="AU3028" s="330"/>
    </row>
    <row r="3029" spans="2:47">
      <c r="B3029" s="247">
        <f>'Table S2 Compound Identifiers'!C3031</f>
        <v>0</v>
      </c>
      <c r="C3029" s="247">
        <f>COUNTIF($D$6:D3029,"&lt;&gt;"&amp;"")</f>
        <v>3024</v>
      </c>
      <c r="D3029" s="432">
        <f>'Table S2 Compound Identifiers'!B3031</f>
        <v>0</v>
      </c>
      <c r="E3029" s="247"/>
      <c r="F3029" s="248"/>
      <c r="G3029" s="249"/>
      <c r="H3029" s="330"/>
      <c r="I3029" s="328"/>
      <c r="J3029" s="249"/>
      <c r="K3029" s="330"/>
      <c r="L3029" s="250"/>
      <c r="M3029" s="249"/>
      <c r="N3029" s="330"/>
      <c r="O3029" s="250"/>
      <c r="P3029" s="249"/>
      <c r="Q3029" s="330"/>
      <c r="R3029" s="250"/>
      <c r="S3029" s="249"/>
      <c r="T3029" s="330"/>
      <c r="U3029" s="250"/>
      <c r="V3029" s="249"/>
      <c r="W3029" s="330"/>
      <c r="X3029" s="343"/>
      <c r="Y3029" s="249"/>
      <c r="Z3029" s="330"/>
      <c r="AA3029" s="343"/>
      <c r="AB3029" s="249"/>
      <c r="AC3029" s="330"/>
      <c r="AD3029" s="343"/>
      <c r="AE3029" s="249"/>
      <c r="AF3029" s="330"/>
      <c r="AG3029" s="343"/>
      <c r="AH3029" s="249"/>
      <c r="AI3029" s="330"/>
      <c r="AJ3029" s="343"/>
      <c r="AK3029" s="249"/>
      <c r="AL3029" s="330"/>
      <c r="AM3029" s="343"/>
      <c r="AN3029" s="249"/>
      <c r="AO3029" s="330"/>
      <c r="AP3029" s="343"/>
      <c r="AQ3029" s="249"/>
      <c r="AR3029" s="330"/>
      <c r="AS3029" s="343"/>
      <c r="AT3029" s="249"/>
      <c r="AU3029" s="330"/>
    </row>
    <row r="3030" spans="2:47">
      <c r="B3030" s="247">
        <f>'Table S2 Compound Identifiers'!C3032</f>
        <v>0</v>
      </c>
      <c r="C3030" s="247">
        <f>COUNTIF($D$6:D3030,"&lt;&gt;"&amp;"")</f>
        <v>3025</v>
      </c>
      <c r="D3030" s="432">
        <f>'Table S2 Compound Identifiers'!B3032</f>
        <v>0</v>
      </c>
      <c r="E3030" s="247"/>
      <c r="F3030" s="248"/>
      <c r="G3030" s="249"/>
      <c r="H3030" s="330"/>
      <c r="I3030" s="328"/>
      <c r="J3030" s="249"/>
      <c r="K3030" s="330"/>
      <c r="L3030" s="250"/>
      <c r="M3030" s="249"/>
      <c r="N3030" s="330"/>
      <c r="O3030" s="250"/>
      <c r="P3030" s="249"/>
      <c r="Q3030" s="330"/>
      <c r="R3030" s="250"/>
      <c r="S3030" s="249"/>
      <c r="T3030" s="330"/>
      <c r="U3030" s="250"/>
      <c r="V3030" s="249"/>
      <c r="W3030" s="330"/>
      <c r="X3030" s="343"/>
      <c r="Y3030" s="249"/>
      <c r="Z3030" s="330"/>
      <c r="AA3030" s="343"/>
      <c r="AB3030" s="249"/>
      <c r="AC3030" s="330"/>
      <c r="AD3030" s="343"/>
      <c r="AE3030" s="249"/>
      <c r="AF3030" s="330"/>
      <c r="AG3030" s="343"/>
      <c r="AH3030" s="249"/>
      <c r="AI3030" s="330"/>
      <c r="AJ3030" s="343"/>
      <c r="AK3030" s="249"/>
      <c r="AL3030" s="330"/>
      <c r="AM3030" s="343"/>
      <c r="AN3030" s="249"/>
      <c r="AO3030" s="330"/>
      <c r="AP3030" s="343"/>
      <c r="AQ3030" s="249"/>
      <c r="AR3030" s="330"/>
      <c r="AS3030" s="343"/>
      <c r="AT3030" s="249"/>
      <c r="AU3030" s="330"/>
    </row>
    <row r="3031" spans="2:47">
      <c r="B3031" s="247">
        <f>'Table S2 Compound Identifiers'!C3033</f>
        <v>0</v>
      </c>
      <c r="C3031" s="247">
        <f>COUNTIF($D$6:D3031,"&lt;&gt;"&amp;"")</f>
        <v>3026</v>
      </c>
      <c r="D3031" s="432">
        <f>'Table S2 Compound Identifiers'!B3033</f>
        <v>0</v>
      </c>
      <c r="E3031" s="247"/>
      <c r="F3031" s="248"/>
      <c r="G3031" s="249"/>
      <c r="H3031" s="330"/>
      <c r="I3031" s="328"/>
      <c r="J3031" s="249"/>
      <c r="K3031" s="330"/>
      <c r="L3031" s="250"/>
      <c r="M3031" s="249"/>
      <c r="N3031" s="330"/>
      <c r="O3031" s="250"/>
      <c r="P3031" s="249"/>
      <c r="Q3031" s="330"/>
      <c r="R3031" s="250"/>
      <c r="S3031" s="249"/>
      <c r="T3031" s="330"/>
      <c r="U3031" s="250"/>
      <c r="V3031" s="249"/>
      <c r="W3031" s="330"/>
      <c r="X3031" s="343"/>
      <c r="Y3031" s="249"/>
      <c r="Z3031" s="330"/>
      <c r="AA3031" s="343"/>
      <c r="AB3031" s="249"/>
      <c r="AC3031" s="330"/>
      <c r="AD3031" s="343"/>
      <c r="AE3031" s="249"/>
      <c r="AF3031" s="330"/>
      <c r="AG3031" s="343"/>
      <c r="AH3031" s="249"/>
      <c r="AI3031" s="330"/>
      <c r="AJ3031" s="343"/>
      <c r="AK3031" s="249"/>
      <c r="AL3031" s="330"/>
      <c r="AM3031" s="343"/>
      <c r="AN3031" s="249"/>
      <c r="AO3031" s="330"/>
      <c r="AP3031" s="343"/>
      <c r="AQ3031" s="249"/>
      <c r="AR3031" s="330"/>
      <c r="AS3031" s="343"/>
      <c r="AT3031" s="249"/>
      <c r="AU3031" s="330"/>
    </row>
    <row r="3032" spans="2:47">
      <c r="B3032" s="247">
        <f>'Table S2 Compound Identifiers'!C3034</f>
        <v>0</v>
      </c>
      <c r="C3032" s="247">
        <f>COUNTIF($D$6:D3032,"&lt;&gt;"&amp;"")</f>
        <v>3027</v>
      </c>
      <c r="D3032" s="247">
        <f>'Table S2 Compound Identifiers'!B3034</f>
        <v>0</v>
      </c>
      <c r="E3032" s="247"/>
      <c r="F3032" s="248"/>
      <c r="G3032" s="249"/>
      <c r="H3032" s="330"/>
      <c r="I3032" s="328"/>
      <c r="J3032" s="249"/>
      <c r="K3032" s="330"/>
      <c r="L3032" s="250"/>
      <c r="M3032" s="249"/>
      <c r="N3032" s="330"/>
      <c r="O3032" s="250"/>
      <c r="P3032" s="249"/>
      <c r="Q3032" s="330"/>
      <c r="R3032" s="250"/>
      <c r="S3032" s="249"/>
      <c r="T3032" s="330"/>
      <c r="U3032" s="250"/>
      <c r="V3032" s="249"/>
      <c r="W3032" s="330"/>
      <c r="X3032" s="343"/>
      <c r="Y3032" s="249"/>
      <c r="Z3032" s="330"/>
      <c r="AA3032" s="343"/>
      <c r="AB3032" s="249"/>
      <c r="AC3032" s="330"/>
      <c r="AD3032" s="343"/>
      <c r="AE3032" s="249"/>
      <c r="AF3032" s="330"/>
      <c r="AG3032" s="343"/>
      <c r="AH3032" s="249"/>
      <c r="AI3032" s="330"/>
      <c r="AJ3032" s="343"/>
      <c r="AK3032" s="249"/>
      <c r="AL3032" s="330"/>
      <c r="AM3032" s="343"/>
      <c r="AN3032" s="249"/>
      <c r="AO3032" s="330"/>
      <c r="AP3032" s="343"/>
      <c r="AQ3032" s="249"/>
      <c r="AR3032" s="330"/>
      <c r="AS3032" s="343"/>
      <c r="AT3032" s="249"/>
      <c r="AU3032" s="330"/>
    </row>
    <row r="3033" spans="2:47">
      <c r="B3033" s="247">
        <f>'Table S2 Compound Identifiers'!C3035</f>
        <v>0</v>
      </c>
      <c r="C3033" s="247">
        <f>COUNTIF($D$6:D3033,"&lt;&gt;"&amp;"")</f>
        <v>3028</v>
      </c>
      <c r="D3033" s="247">
        <f>'Table S2 Compound Identifiers'!B3035</f>
        <v>0</v>
      </c>
      <c r="E3033" s="247"/>
      <c r="F3033" s="248"/>
      <c r="G3033" s="249"/>
      <c r="H3033" s="330"/>
      <c r="I3033" s="328"/>
      <c r="J3033" s="249"/>
      <c r="K3033" s="330"/>
      <c r="L3033" s="250"/>
      <c r="M3033" s="249"/>
      <c r="N3033" s="330"/>
      <c r="O3033" s="250"/>
      <c r="P3033" s="249"/>
      <c r="Q3033" s="330"/>
      <c r="R3033" s="250"/>
      <c r="S3033" s="249"/>
      <c r="T3033" s="330"/>
      <c r="U3033" s="250"/>
      <c r="V3033" s="249"/>
      <c r="W3033" s="330"/>
      <c r="X3033" s="343"/>
      <c r="Y3033" s="249"/>
      <c r="Z3033" s="330"/>
      <c r="AA3033" s="343"/>
      <c r="AB3033" s="249"/>
      <c r="AC3033" s="330"/>
      <c r="AD3033" s="343"/>
      <c r="AE3033" s="249"/>
      <c r="AF3033" s="330"/>
      <c r="AG3033" s="343"/>
      <c r="AH3033" s="249"/>
      <c r="AI3033" s="330"/>
      <c r="AJ3033" s="343"/>
      <c r="AK3033" s="249"/>
      <c r="AL3033" s="330"/>
      <c r="AM3033" s="343"/>
      <c r="AN3033" s="249"/>
      <c r="AO3033" s="330"/>
      <c r="AP3033" s="343"/>
      <c r="AQ3033" s="249"/>
      <c r="AR3033" s="330"/>
      <c r="AS3033" s="343"/>
      <c r="AT3033" s="249"/>
      <c r="AU3033" s="330"/>
    </row>
    <row r="3034" spans="2:47">
      <c r="B3034" s="247">
        <f>'Table S2 Compound Identifiers'!C3036</f>
        <v>0</v>
      </c>
      <c r="C3034" s="247">
        <f>COUNTIF($D$6:D3034,"&lt;&gt;"&amp;"")</f>
        <v>3029</v>
      </c>
      <c r="D3034" s="247">
        <f>'Table S2 Compound Identifiers'!B3036</f>
        <v>0</v>
      </c>
      <c r="E3034" s="247"/>
      <c r="F3034" s="248"/>
      <c r="G3034" s="249"/>
      <c r="H3034" s="330"/>
      <c r="I3034" s="328"/>
      <c r="J3034" s="249"/>
      <c r="K3034" s="330"/>
      <c r="L3034" s="250"/>
      <c r="M3034" s="249"/>
      <c r="N3034" s="330"/>
      <c r="O3034" s="250"/>
      <c r="P3034" s="249"/>
      <c r="Q3034" s="330"/>
      <c r="R3034" s="250"/>
      <c r="S3034" s="249"/>
      <c r="T3034" s="330"/>
      <c r="U3034" s="250"/>
      <c r="V3034" s="249"/>
      <c r="W3034" s="330"/>
      <c r="X3034" s="343"/>
      <c r="Y3034" s="249"/>
      <c r="Z3034" s="330"/>
      <c r="AA3034" s="343"/>
      <c r="AB3034" s="249"/>
      <c r="AC3034" s="330"/>
      <c r="AD3034" s="343"/>
      <c r="AE3034" s="249"/>
      <c r="AF3034" s="330"/>
      <c r="AG3034" s="343"/>
      <c r="AH3034" s="249"/>
      <c r="AI3034" s="330"/>
      <c r="AJ3034" s="343"/>
      <c r="AK3034" s="249"/>
      <c r="AL3034" s="330"/>
      <c r="AM3034" s="343"/>
      <c r="AN3034" s="249"/>
      <c r="AO3034" s="330"/>
      <c r="AP3034" s="343"/>
      <c r="AQ3034" s="249"/>
      <c r="AR3034" s="330"/>
      <c r="AS3034" s="343"/>
      <c r="AT3034" s="249"/>
      <c r="AU3034" s="330"/>
    </row>
    <row r="3035" spans="2:47">
      <c r="B3035" s="247">
        <f>'Table S2 Compound Identifiers'!C3037</f>
        <v>0</v>
      </c>
      <c r="C3035" s="247">
        <f>COUNTIF($D$6:D3035,"&lt;&gt;"&amp;"")</f>
        <v>3030</v>
      </c>
      <c r="D3035" s="247">
        <f>'Table S2 Compound Identifiers'!B3037</f>
        <v>0</v>
      </c>
      <c r="E3035" s="247"/>
      <c r="F3035" s="248"/>
      <c r="G3035" s="249"/>
      <c r="H3035" s="330"/>
      <c r="I3035" s="328"/>
      <c r="J3035" s="249"/>
      <c r="K3035" s="330"/>
      <c r="L3035" s="250"/>
      <c r="M3035" s="249"/>
      <c r="N3035" s="330"/>
      <c r="O3035" s="250"/>
      <c r="P3035" s="249"/>
      <c r="Q3035" s="330"/>
      <c r="R3035" s="250"/>
      <c r="S3035" s="249"/>
      <c r="T3035" s="330"/>
      <c r="U3035" s="250"/>
      <c r="V3035" s="249"/>
      <c r="W3035" s="330"/>
      <c r="X3035" s="343"/>
      <c r="Y3035" s="249"/>
      <c r="Z3035" s="330"/>
      <c r="AA3035" s="343"/>
      <c r="AB3035" s="249"/>
      <c r="AC3035" s="330"/>
      <c r="AD3035" s="343"/>
      <c r="AE3035" s="249"/>
      <c r="AF3035" s="330"/>
      <c r="AG3035" s="343"/>
      <c r="AH3035" s="249"/>
      <c r="AI3035" s="330"/>
      <c r="AJ3035" s="343"/>
      <c r="AK3035" s="249"/>
      <c r="AL3035" s="330"/>
      <c r="AM3035" s="343"/>
      <c r="AN3035" s="249"/>
      <c r="AO3035" s="330"/>
      <c r="AP3035" s="343"/>
      <c r="AQ3035" s="249"/>
      <c r="AR3035" s="330"/>
      <c r="AS3035" s="343"/>
      <c r="AT3035" s="249"/>
      <c r="AU3035" s="330"/>
    </row>
    <row r="3036" spans="2:47">
      <c r="B3036" s="247">
        <f>'Table S2 Compound Identifiers'!C3038</f>
        <v>0</v>
      </c>
      <c r="C3036" s="247">
        <f>COUNTIF($D$6:D3036,"&lt;&gt;"&amp;"")</f>
        <v>3031</v>
      </c>
      <c r="D3036" s="247">
        <f>'Table S2 Compound Identifiers'!B3038</f>
        <v>0</v>
      </c>
      <c r="E3036" s="247"/>
      <c r="F3036" s="248"/>
      <c r="G3036" s="249"/>
      <c r="H3036" s="330"/>
      <c r="I3036" s="328"/>
      <c r="J3036" s="249"/>
      <c r="K3036" s="330"/>
      <c r="L3036" s="250"/>
      <c r="M3036" s="249"/>
      <c r="N3036" s="330"/>
      <c r="O3036" s="250"/>
      <c r="P3036" s="249"/>
      <c r="Q3036" s="330"/>
      <c r="R3036" s="250"/>
      <c r="S3036" s="249"/>
      <c r="T3036" s="330"/>
      <c r="U3036" s="250"/>
      <c r="V3036" s="249"/>
      <c r="W3036" s="330"/>
      <c r="X3036" s="343"/>
      <c r="Y3036" s="249"/>
      <c r="Z3036" s="330"/>
      <c r="AA3036" s="343"/>
      <c r="AB3036" s="249"/>
      <c r="AC3036" s="330"/>
      <c r="AD3036" s="343"/>
      <c r="AE3036" s="249"/>
      <c r="AF3036" s="330"/>
      <c r="AG3036" s="343"/>
      <c r="AH3036" s="249"/>
      <c r="AI3036" s="330"/>
      <c r="AJ3036" s="343"/>
      <c r="AK3036" s="249"/>
      <c r="AL3036" s="330"/>
      <c r="AM3036" s="343"/>
      <c r="AN3036" s="249"/>
      <c r="AO3036" s="330"/>
      <c r="AP3036" s="343"/>
      <c r="AQ3036" s="249"/>
      <c r="AR3036" s="330"/>
      <c r="AS3036" s="343"/>
      <c r="AT3036" s="249"/>
      <c r="AU3036" s="330"/>
    </row>
    <row r="3037" spans="2:47">
      <c r="B3037" s="247">
        <f>'Table S2 Compound Identifiers'!C3039</f>
        <v>0</v>
      </c>
      <c r="C3037" s="247">
        <f>COUNTIF($D$6:D3037,"&lt;&gt;"&amp;"")</f>
        <v>3032</v>
      </c>
      <c r="D3037" s="247">
        <f>'Table S2 Compound Identifiers'!B3039</f>
        <v>0</v>
      </c>
      <c r="E3037" s="247"/>
      <c r="F3037" s="248"/>
      <c r="G3037" s="249"/>
      <c r="H3037" s="330"/>
      <c r="I3037" s="328"/>
      <c r="J3037" s="249"/>
      <c r="K3037" s="330"/>
      <c r="L3037" s="250"/>
      <c r="M3037" s="249"/>
      <c r="N3037" s="330"/>
      <c r="O3037" s="250"/>
      <c r="P3037" s="249"/>
      <c r="Q3037" s="330"/>
      <c r="R3037" s="250"/>
      <c r="S3037" s="249"/>
      <c r="T3037" s="330"/>
      <c r="U3037" s="250"/>
      <c r="V3037" s="249"/>
      <c r="W3037" s="330"/>
      <c r="X3037" s="343"/>
      <c r="Y3037" s="249"/>
      <c r="Z3037" s="330"/>
      <c r="AA3037" s="343"/>
      <c r="AB3037" s="249"/>
      <c r="AC3037" s="330"/>
      <c r="AD3037" s="343"/>
      <c r="AE3037" s="249"/>
      <c r="AF3037" s="330"/>
      <c r="AG3037" s="343"/>
      <c r="AH3037" s="249"/>
      <c r="AI3037" s="330"/>
      <c r="AJ3037" s="343"/>
      <c r="AK3037" s="249"/>
      <c r="AL3037" s="330"/>
      <c r="AM3037" s="343"/>
      <c r="AN3037" s="249"/>
      <c r="AO3037" s="330"/>
      <c r="AP3037" s="343"/>
      <c r="AQ3037" s="249"/>
      <c r="AR3037" s="330"/>
      <c r="AS3037" s="343"/>
      <c r="AT3037" s="249"/>
      <c r="AU3037" s="330"/>
    </row>
    <row r="3038" spans="2:47">
      <c r="B3038" s="247">
        <f>'Table S2 Compound Identifiers'!C3040</f>
        <v>0</v>
      </c>
      <c r="C3038" s="247">
        <f>COUNTIF($D$6:D3038,"&lt;&gt;"&amp;"")</f>
        <v>3033</v>
      </c>
      <c r="D3038" s="247">
        <f>'Table S2 Compound Identifiers'!B3040</f>
        <v>0</v>
      </c>
      <c r="E3038" s="247"/>
      <c r="F3038" s="248"/>
      <c r="G3038" s="249"/>
      <c r="H3038" s="330"/>
      <c r="I3038" s="328"/>
      <c r="J3038" s="249"/>
      <c r="K3038" s="330"/>
      <c r="L3038" s="250"/>
      <c r="M3038" s="249"/>
      <c r="N3038" s="330"/>
      <c r="O3038" s="251"/>
      <c r="P3038" s="252"/>
      <c r="Q3038" s="330"/>
      <c r="R3038" s="251"/>
      <c r="S3038" s="252"/>
      <c r="T3038" s="330"/>
      <c r="U3038" s="251"/>
      <c r="V3038" s="252"/>
      <c r="W3038" s="330"/>
      <c r="X3038" s="343"/>
      <c r="Y3038" s="249"/>
      <c r="Z3038" s="330"/>
      <c r="AA3038" s="343"/>
      <c r="AB3038" s="249"/>
      <c r="AC3038" s="330"/>
      <c r="AD3038" s="343"/>
      <c r="AE3038" s="249"/>
      <c r="AF3038" s="330"/>
      <c r="AG3038" s="343"/>
      <c r="AH3038" s="249"/>
      <c r="AI3038" s="330"/>
      <c r="AJ3038" s="343"/>
      <c r="AK3038" s="249"/>
      <c r="AL3038" s="330"/>
      <c r="AM3038" s="343"/>
      <c r="AN3038" s="249"/>
      <c r="AO3038" s="330"/>
      <c r="AP3038" s="343"/>
      <c r="AQ3038" s="249"/>
      <c r="AR3038" s="330"/>
      <c r="AS3038" s="343"/>
      <c r="AT3038" s="249"/>
      <c r="AU3038" s="330"/>
    </row>
    <row r="3039" spans="2:47">
      <c r="B3039" s="247">
        <f>'Table S2 Compound Identifiers'!C3041</f>
        <v>0</v>
      </c>
      <c r="C3039" s="253">
        <f>COUNTIF($D$6:D3039,"&lt;&gt;"&amp;"")</f>
        <v>3034</v>
      </c>
      <c r="D3039" s="253">
        <f>'Table S2 Compound Identifiers'!B3041</f>
        <v>0</v>
      </c>
      <c r="E3039" s="253"/>
      <c r="F3039" s="254"/>
      <c r="G3039" s="252"/>
      <c r="H3039" s="330"/>
      <c r="I3039" s="333"/>
      <c r="J3039" s="252"/>
      <c r="K3039" s="330"/>
      <c r="L3039" s="251"/>
      <c r="M3039" s="252"/>
      <c r="N3039" s="330"/>
      <c r="O3039" s="251"/>
      <c r="P3039" s="252"/>
      <c r="Q3039" s="330"/>
      <c r="R3039" s="251"/>
      <c r="S3039" s="252"/>
      <c r="T3039" s="330"/>
      <c r="U3039" s="251"/>
      <c r="V3039" s="252"/>
      <c r="W3039" s="330"/>
      <c r="X3039" s="343"/>
      <c r="Y3039" s="249"/>
      <c r="Z3039" s="330"/>
      <c r="AA3039" s="343"/>
      <c r="AB3039" s="249"/>
      <c r="AC3039" s="330"/>
      <c r="AD3039" s="343"/>
      <c r="AE3039" s="249"/>
      <c r="AF3039" s="330"/>
      <c r="AG3039" s="343"/>
      <c r="AH3039" s="249"/>
      <c r="AI3039" s="330"/>
      <c r="AJ3039" s="343"/>
      <c r="AK3039" s="249"/>
      <c r="AL3039" s="330"/>
      <c r="AM3039" s="343"/>
      <c r="AN3039" s="249"/>
      <c r="AO3039" s="330"/>
      <c r="AP3039" s="343"/>
      <c r="AQ3039" s="249"/>
      <c r="AR3039" s="330"/>
      <c r="AS3039" s="343"/>
      <c r="AT3039" s="249"/>
      <c r="AU3039" s="330"/>
    </row>
    <row r="3040" spans="2:47">
      <c r="B3040" s="247">
        <f>'Table S2 Compound Identifiers'!C3042</f>
        <v>0</v>
      </c>
      <c r="C3040" s="247">
        <f>COUNTIF($D$6:D3040,"&lt;&gt;"&amp;"")</f>
        <v>3035</v>
      </c>
      <c r="D3040" s="247">
        <f>'Table S2 Compound Identifiers'!B3042</f>
        <v>0</v>
      </c>
      <c r="E3040" s="247"/>
      <c r="F3040" s="248"/>
      <c r="G3040" s="250"/>
      <c r="H3040" s="330"/>
      <c r="I3040" s="343"/>
      <c r="J3040" s="249"/>
      <c r="K3040" s="327"/>
      <c r="L3040" s="343"/>
      <c r="M3040" s="249"/>
      <c r="N3040" s="327"/>
      <c r="O3040" s="343"/>
      <c r="P3040" s="249"/>
      <c r="Q3040" s="327"/>
      <c r="R3040" s="343"/>
      <c r="S3040" s="249"/>
      <c r="T3040" s="327"/>
      <c r="U3040" s="343"/>
      <c r="V3040" s="249"/>
      <c r="W3040" s="327"/>
      <c r="X3040" s="343"/>
      <c r="Y3040" s="249"/>
      <c r="Z3040" s="327"/>
      <c r="AA3040" s="343"/>
      <c r="AB3040" s="249"/>
      <c r="AC3040" s="343"/>
      <c r="AD3040" s="343"/>
      <c r="AE3040" s="249"/>
      <c r="AF3040" s="249"/>
      <c r="AG3040" s="343"/>
      <c r="AH3040" s="249"/>
      <c r="AI3040" s="343"/>
      <c r="AJ3040" s="343"/>
      <c r="AK3040" s="249"/>
      <c r="AL3040" s="249"/>
      <c r="AM3040" s="343"/>
      <c r="AN3040" s="249"/>
      <c r="AO3040" s="343"/>
      <c r="AP3040" s="343"/>
      <c r="AQ3040" s="249"/>
      <c r="AR3040" s="249"/>
      <c r="AS3040" s="343"/>
      <c r="AT3040" s="249"/>
      <c r="AU3040" s="343"/>
    </row>
    <row r="3041" spans="2:47">
      <c r="B3041" s="247">
        <f>'Table S2 Compound Identifiers'!C3043</f>
        <v>0</v>
      </c>
      <c r="C3041" s="247">
        <f>COUNTIF($D$6:D3041,"&lt;&gt;"&amp;"")</f>
        <v>3036</v>
      </c>
      <c r="D3041" s="247">
        <f>'Table S2 Compound Identifiers'!B3043</f>
        <v>0</v>
      </c>
      <c r="E3041" s="247"/>
      <c r="F3041" s="248"/>
      <c r="G3041" s="249"/>
      <c r="H3041" s="330"/>
      <c r="I3041" s="332"/>
      <c r="J3041" s="330"/>
      <c r="K3041" s="330"/>
      <c r="L3041" s="330"/>
      <c r="M3041" s="330"/>
      <c r="N3041" s="330"/>
      <c r="O3041" s="330"/>
      <c r="P3041" s="330"/>
      <c r="Q3041" s="330"/>
      <c r="R3041" s="330"/>
      <c r="S3041" s="330"/>
      <c r="T3041" s="330"/>
      <c r="U3041" s="330"/>
      <c r="V3041" s="330"/>
      <c r="W3041" s="330"/>
      <c r="X3041" s="343"/>
      <c r="Y3041" s="249"/>
      <c r="Z3041" s="330"/>
      <c r="AA3041" s="343"/>
      <c r="AB3041" s="249"/>
      <c r="AC3041" s="330"/>
      <c r="AD3041" s="343"/>
      <c r="AE3041" s="249"/>
      <c r="AF3041" s="330"/>
      <c r="AG3041" s="343"/>
      <c r="AH3041" s="249"/>
      <c r="AI3041" s="330"/>
      <c r="AJ3041" s="343"/>
      <c r="AK3041" s="249"/>
      <c r="AL3041" s="330"/>
      <c r="AM3041" s="343"/>
      <c r="AN3041" s="249"/>
      <c r="AO3041" s="330"/>
      <c r="AP3041" s="343"/>
      <c r="AQ3041" s="249"/>
      <c r="AR3041" s="330"/>
      <c r="AS3041" s="343"/>
      <c r="AT3041" s="249"/>
      <c r="AU3041" s="330"/>
    </row>
    <row r="3042" spans="2:47">
      <c r="B3042" s="247">
        <f>'Table S2 Compound Identifiers'!C3044</f>
        <v>0</v>
      </c>
      <c r="C3042" s="247">
        <f>COUNTIF($D$6:D3042,"&lt;&gt;"&amp;"")</f>
        <v>3037</v>
      </c>
      <c r="D3042" s="247">
        <f>'Table S2 Compound Identifiers'!B3044</f>
        <v>0</v>
      </c>
      <c r="E3042" s="247"/>
      <c r="F3042" s="248"/>
      <c r="G3042" s="249"/>
      <c r="H3042" s="330"/>
      <c r="I3042" s="332"/>
      <c r="J3042" s="330"/>
      <c r="K3042" s="330"/>
      <c r="L3042" s="330"/>
      <c r="M3042" s="330"/>
      <c r="N3042" s="330"/>
      <c r="O3042" s="330"/>
      <c r="P3042" s="330"/>
      <c r="Q3042" s="330"/>
      <c r="R3042" s="330"/>
      <c r="S3042" s="330"/>
      <c r="T3042" s="330"/>
      <c r="U3042" s="330"/>
      <c r="V3042" s="330"/>
      <c r="W3042" s="330"/>
      <c r="X3042" s="343"/>
      <c r="Y3042" s="249"/>
      <c r="Z3042" s="330"/>
      <c r="AA3042" s="343"/>
      <c r="AB3042" s="249"/>
      <c r="AC3042" s="330"/>
      <c r="AD3042" s="343"/>
      <c r="AE3042" s="249"/>
      <c r="AF3042" s="330"/>
      <c r="AG3042" s="343"/>
      <c r="AH3042" s="249"/>
      <c r="AI3042" s="330"/>
      <c r="AJ3042" s="343"/>
      <c r="AK3042" s="249"/>
      <c r="AL3042" s="330"/>
      <c r="AM3042" s="343"/>
      <c r="AN3042" s="249"/>
      <c r="AO3042" s="330"/>
      <c r="AP3042" s="343"/>
      <c r="AQ3042" s="249"/>
      <c r="AR3042" s="330"/>
      <c r="AS3042" s="343"/>
      <c r="AT3042" s="249"/>
      <c r="AU3042" s="330"/>
    </row>
    <row r="3043" spans="2:47">
      <c r="B3043" s="247">
        <f>'Table S2 Compound Identifiers'!C3045</f>
        <v>0</v>
      </c>
      <c r="C3043" s="247">
        <f>COUNTIF($D$6:D3043,"&lt;&gt;"&amp;"")</f>
        <v>3038</v>
      </c>
      <c r="D3043" s="247">
        <f>'Table S2 Compound Identifiers'!B3045</f>
        <v>0</v>
      </c>
      <c r="E3043" s="247"/>
      <c r="F3043" s="248"/>
      <c r="G3043" s="249"/>
      <c r="H3043" s="330"/>
      <c r="I3043" s="332"/>
      <c r="J3043" s="330"/>
      <c r="K3043" s="330"/>
      <c r="L3043" s="330"/>
      <c r="M3043" s="330"/>
      <c r="N3043" s="330"/>
      <c r="O3043" s="330"/>
      <c r="P3043" s="330"/>
      <c r="Q3043" s="330"/>
      <c r="R3043" s="330"/>
      <c r="S3043" s="330"/>
      <c r="T3043" s="330"/>
      <c r="U3043" s="330"/>
      <c r="V3043" s="330"/>
      <c r="W3043" s="330"/>
      <c r="X3043" s="343"/>
      <c r="Y3043" s="249"/>
      <c r="Z3043" s="330"/>
      <c r="AA3043" s="343"/>
      <c r="AB3043" s="249"/>
      <c r="AC3043" s="330"/>
      <c r="AD3043" s="343"/>
      <c r="AE3043" s="249"/>
      <c r="AF3043" s="330"/>
      <c r="AG3043" s="343"/>
      <c r="AH3043" s="249"/>
      <c r="AI3043" s="330"/>
      <c r="AJ3043" s="343"/>
      <c r="AK3043" s="249"/>
      <c r="AL3043" s="330"/>
      <c r="AM3043" s="343"/>
      <c r="AN3043" s="249"/>
      <c r="AO3043" s="330"/>
      <c r="AP3043" s="343"/>
      <c r="AQ3043" s="249"/>
      <c r="AR3043" s="330"/>
      <c r="AS3043" s="343"/>
      <c r="AT3043" s="249"/>
      <c r="AU3043" s="330"/>
    </row>
    <row r="3044" spans="2:47">
      <c r="B3044" s="247">
        <f>'Table S2 Compound Identifiers'!C3046</f>
        <v>0</v>
      </c>
      <c r="C3044" s="247">
        <f>COUNTIF($D$6:D3044,"&lt;&gt;"&amp;"")</f>
        <v>3039</v>
      </c>
      <c r="D3044" s="247">
        <f>'Table S2 Compound Identifiers'!B3046</f>
        <v>0</v>
      </c>
      <c r="E3044" s="247"/>
      <c r="F3044" s="248"/>
      <c r="G3044" s="249"/>
      <c r="H3044" s="330"/>
      <c r="I3044" s="328"/>
      <c r="J3044" s="249"/>
      <c r="K3044" s="330"/>
      <c r="L3044" s="250"/>
      <c r="M3044" s="249"/>
      <c r="N3044" s="330"/>
      <c r="O3044" s="250"/>
      <c r="P3044" s="249"/>
      <c r="Q3044" s="330"/>
      <c r="R3044" s="250"/>
      <c r="S3044" s="249"/>
      <c r="T3044" s="330"/>
      <c r="U3044" s="250"/>
      <c r="V3044" s="249"/>
      <c r="W3044" s="330"/>
      <c r="X3044" s="343"/>
      <c r="Y3044" s="249"/>
      <c r="Z3044" s="330"/>
      <c r="AA3044" s="343"/>
      <c r="AB3044" s="249"/>
      <c r="AC3044" s="330"/>
      <c r="AD3044" s="343"/>
      <c r="AE3044" s="249"/>
      <c r="AF3044" s="330"/>
      <c r="AG3044" s="343"/>
      <c r="AH3044" s="249"/>
      <c r="AI3044" s="330"/>
      <c r="AJ3044" s="343"/>
      <c r="AK3044" s="249"/>
      <c r="AL3044" s="330"/>
      <c r="AM3044" s="343"/>
      <c r="AN3044" s="249"/>
      <c r="AO3044" s="330"/>
      <c r="AP3044" s="343"/>
      <c r="AQ3044" s="249"/>
      <c r="AR3044" s="330"/>
      <c r="AS3044" s="343"/>
      <c r="AT3044" s="249"/>
      <c r="AU3044" s="330"/>
    </row>
    <row r="3045" spans="2:47">
      <c r="B3045" s="247">
        <f>'Table S2 Compound Identifiers'!C3047</f>
        <v>0</v>
      </c>
      <c r="C3045" s="247">
        <f>COUNTIF($D$6:D3045,"&lt;&gt;"&amp;"")</f>
        <v>3040</v>
      </c>
      <c r="D3045" s="247">
        <f>'Table S2 Compound Identifiers'!B3047</f>
        <v>0</v>
      </c>
      <c r="E3045" s="247"/>
      <c r="F3045" s="248"/>
      <c r="G3045" s="249"/>
      <c r="H3045" s="330"/>
      <c r="I3045" s="328"/>
      <c r="J3045" s="249"/>
      <c r="K3045" s="330"/>
      <c r="L3045" s="250"/>
      <c r="M3045" s="249"/>
      <c r="N3045" s="330"/>
      <c r="O3045" s="250"/>
      <c r="P3045" s="249"/>
      <c r="Q3045" s="330"/>
      <c r="R3045" s="250"/>
      <c r="S3045" s="249"/>
      <c r="T3045" s="330"/>
      <c r="U3045" s="250"/>
      <c r="V3045" s="249"/>
      <c r="W3045" s="330"/>
      <c r="X3045" s="343"/>
      <c r="Y3045" s="249"/>
      <c r="Z3045" s="330"/>
      <c r="AA3045" s="343"/>
      <c r="AB3045" s="249"/>
      <c r="AC3045" s="330"/>
      <c r="AD3045" s="343"/>
      <c r="AE3045" s="249"/>
      <c r="AF3045" s="330"/>
      <c r="AG3045" s="343"/>
      <c r="AH3045" s="249"/>
      <c r="AI3045" s="330"/>
      <c r="AJ3045" s="343"/>
      <c r="AK3045" s="249"/>
      <c r="AL3045" s="330"/>
      <c r="AM3045" s="343"/>
      <c r="AN3045" s="249"/>
      <c r="AO3045" s="330"/>
      <c r="AP3045" s="343"/>
      <c r="AQ3045" s="249"/>
      <c r="AR3045" s="330"/>
      <c r="AS3045" s="343"/>
      <c r="AT3045" s="249"/>
      <c r="AU3045" s="330"/>
    </row>
    <row r="3046" spans="2:47">
      <c r="B3046" s="247">
        <f>'Table S2 Compound Identifiers'!C3048</f>
        <v>0</v>
      </c>
      <c r="C3046" s="247">
        <f>COUNTIF($D$6:D3046,"&lt;&gt;"&amp;"")</f>
        <v>3041</v>
      </c>
      <c r="D3046" s="247">
        <f>'Table S2 Compound Identifiers'!B3048</f>
        <v>0</v>
      </c>
      <c r="E3046" s="247"/>
      <c r="F3046" s="248"/>
      <c r="G3046" s="249"/>
      <c r="H3046" s="330"/>
      <c r="I3046" s="328"/>
      <c r="J3046" s="249"/>
      <c r="K3046" s="330"/>
      <c r="L3046" s="250"/>
      <c r="M3046" s="249"/>
      <c r="N3046" s="330"/>
      <c r="O3046" s="250"/>
      <c r="P3046" s="249"/>
      <c r="Q3046" s="330"/>
      <c r="R3046" s="250"/>
      <c r="S3046" s="249"/>
      <c r="T3046" s="330"/>
      <c r="U3046" s="250"/>
      <c r="V3046" s="249"/>
      <c r="W3046" s="330"/>
      <c r="X3046" s="343"/>
      <c r="Y3046" s="249"/>
      <c r="Z3046" s="330"/>
      <c r="AA3046" s="343"/>
      <c r="AB3046" s="249"/>
      <c r="AC3046" s="330"/>
      <c r="AD3046" s="343"/>
      <c r="AE3046" s="249"/>
      <c r="AF3046" s="330"/>
      <c r="AG3046" s="343"/>
      <c r="AH3046" s="249"/>
      <c r="AI3046" s="330"/>
      <c r="AJ3046" s="343"/>
      <c r="AK3046" s="249"/>
      <c r="AL3046" s="330"/>
      <c r="AM3046" s="343"/>
      <c r="AN3046" s="249"/>
      <c r="AO3046" s="330"/>
      <c r="AP3046" s="343"/>
      <c r="AQ3046" s="249"/>
      <c r="AR3046" s="330"/>
      <c r="AS3046" s="343"/>
      <c r="AT3046" s="249"/>
      <c r="AU3046" s="330"/>
    </row>
    <row r="3047" spans="2:47">
      <c r="B3047" s="247">
        <f>'Table S2 Compound Identifiers'!C3049</f>
        <v>0</v>
      </c>
      <c r="C3047" s="247">
        <f>COUNTIF($D$6:D3047,"&lt;&gt;"&amp;"")</f>
        <v>3042</v>
      </c>
      <c r="D3047" s="247">
        <f>'Table S2 Compound Identifiers'!B3049</f>
        <v>0</v>
      </c>
      <c r="E3047" s="247"/>
      <c r="F3047" s="248"/>
      <c r="G3047" s="249"/>
      <c r="H3047" s="330"/>
      <c r="I3047" s="328"/>
      <c r="J3047" s="249"/>
      <c r="K3047" s="330"/>
      <c r="L3047" s="250"/>
      <c r="M3047" s="249"/>
      <c r="N3047" s="330"/>
      <c r="O3047" s="250"/>
      <c r="P3047" s="249"/>
      <c r="Q3047" s="330"/>
      <c r="R3047" s="250"/>
      <c r="S3047" s="249"/>
      <c r="T3047" s="330"/>
      <c r="U3047" s="250"/>
      <c r="V3047" s="249"/>
      <c r="W3047" s="330"/>
      <c r="X3047" s="343"/>
      <c r="Y3047" s="249"/>
      <c r="Z3047" s="330"/>
      <c r="AA3047" s="343"/>
      <c r="AB3047" s="249"/>
      <c r="AC3047" s="330"/>
      <c r="AD3047" s="343"/>
      <c r="AE3047" s="249"/>
      <c r="AF3047" s="330"/>
      <c r="AG3047" s="343"/>
      <c r="AH3047" s="249"/>
      <c r="AI3047" s="330"/>
      <c r="AJ3047" s="343"/>
      <c r="AK3047" s="249"/>
      <c r="AL3047" s="330"/>
      <c r="AM3047" s="343"/>
      <c r="AN3047" s="249"/>
      <c r="AO3047" s="330"/>
      <c r="AP3047" s="343"/>
      <c r="AQ3047" s="249"/>
      <c r="AR3047" s="330"/>
      <c r="AS3047" s="343"/>
      <c r="AT3047" s="249"/>
      <c r="AU3047" s="330"/>
    </row>
    <row r="3048" spans="2:47">
      <c r="B3048" s="247">
        <f>'Table S2 Compound Identifiers'!C3050</f>
        <v>0</v>
      </c>
      <c r="C3048" s="247">
        <f>COUNTIF($D$6:D3048,"&lt;&gt;"&amp;"")</f>
        <v>3043</v>
      </c>
      <c r="D3048" s="247">
        <f>'Table S2 Compound Identifiers'!B3050</f>
        <v>0</v>
      </c>
      <c r="E3048" s="247"/>
      <c r="F3048" s="248"/>
      <c r="G3048" s="249"/>
      <c r="H3048" s="330"/>
      <c r="I3048" s="328"/>
      <c r="J3048" s="249"/>
      <c r="K3048" s="330"/>
      <c r="L3048" s="250"/>
      <c r="M3048" s="249"/>
      <c r="N3048" s="330"/>
      <c r="O3048" s="250"/>
      <c r="P3048" s="249"/>
      <c r="Q3048" s="330"/>
      <c r="R3048" s="250"/>
      <c r="S3048" s="249"/>
      <c r="T3048" s="330"/>
      <c r="U3048" s="250"/>
      <c r="V3048" s="249"/>
      <c r="W3048" s="330"/>
      <c r="X3048" s="343"/>
      <c r="Y3048" s="249"/>
      <c r="Z3048" s="330"/>
      <c r="AA3048" s="343"/>
      <c r="AB3048" s="249"/>
      <c r="AC3048" s="330"/>
      <c r="AD3048" s="343"/>
      <c r="AE3048" s="249"/>
      <c r="AF3048" s="330"/>
      <c r="AG3048" s="343"/>
      <c r="AH3048" s="249"/>
      <c r="AI3048" s="330"/>
      <c r="AJ3048" s="343"/>
      <c r="AK3048" s="249"/>
      <c r="AL3048" s="330"/>
      <c r="AM3048" s="343"/>
      <c r="AN3048" s="249"/>
      <c r="AO3048" s="330"/>
      <c r="AP3048" s="343"/>
      <c r="AQ3048" s="249"/>
      <c r="AR3048" s="330"/>
      <c r="AS3048" s="343"/>
      <c r="AT3048" s="249"/>
      <c r="AU3048" s="330"/>
    </row>
    <row r="3049" spans="2:47">
      <c r="B3049" s="247">
        <f>'Table S2 Compound Identifiers'!C3051</f>
        <v>0</v>
      </c>
      <c r="C3049" s="247">
        <f>COUNTIF($D$6:D3049,"&lt;&gt;"&amp;"")</f>
        <v>3044</v>
      </c>
      <c r="D3049" s="247">
        <f>'Table S2 Compound Identifiers'!B3051</f>
        <v>0</v>
      </c>
      <c r="E3049" s="247"/>
      <c r="F3049" s="248"/>
      <c r="G3049" s="249"/>
      <c r="H3049" s="330"/>
      <c r="I3049" s="328"/>
      <c r="J3049" s="249"/>
      <c r="K3049" s="330"/>
      <c r="L3049" s="250"/>
      <c r="M3049" s="249"/>
      <c r="N3049" s="330"/>
      <c r="O3049" s="250"/>
      <c r="P3049" s="249"/>
      <c r="Q3049" s="330"/>
      <c r="R3049" s="250"/>
      <c r="S3049" s="249"/>
      <c r="T3049" s="330"/>
      <c r="U3049" s="250"/>
      <c r="V3049" s="249"/>
      <c r="W3049" s="330"/>
      <c r="X3049" s="343"/>
      <c r="Y3049" s="249"/>
      <c r="Z3049" s="330"/>
      <c r="AA3049" s="343"/>
      <c r="AB3049" s="249"/>
      <c r="AC3049" s="330"/>
      <c r="AD3049" s="343"/>
      <c r="AE3049" s="249"/>
      <c r="AF3049" s="330"/>
      <c r="AG3049" s="343"/>
      <c r="AH3049" s="249"/>
      <c r="AI3049" s="330"/>
      <c r="AJ3049" s="343"/>
      <c r="AK3049" s="249"/>
      <c r="AL3049" s="330"/>
      <c r="AM3049" s="343"/>
      <c r="AN3049" s="249"/>
      <c r="AO3049" s="330"/>
      <c r="AP3049" s="343"/>
      <c r="AQ3049" s="249"/>
      <c r="AR3049" s="330"/>
      <c r="AS3049" s="343"/>
      <c r="AT3049" s="249"/>
      <c r="AU3049" s="330"/>
    </row>
    <row r="3050" spans="2:47">
      <c r="B3050" s="247">
        <f>'Table S2 Compound Identifiers'!C3052</f>
        <v>0</v>
      </c>
      <c r="C3050" s="247">
        <f>COUNTIF($D$6:D3050,"&lt;&gt;"&amp;"")</f>
        <v>3045</v>
      </c>
      <c r="D3050" s="247">
        <f>'Table S2 Compound Identifiers'!B3052</f>
        <v>0</v>
      </c>
      <c r="E3050" s="247"/>
      <c r="F3050" s="248"/>
      <c r="G3050" s="249"/>
      <c r="H3050" s="330"/>
      <c r="I3050" s="328"/>
      <c r="J3050" s="249"/>
      <c r="K3050" s="330"/>
      <c r="L3050" s="250"/>
      <c r="M3050" s="249"/>
      <c r="N3050" s="330"/>
      <c r="O3050" s="250"/>
      <c r="P3050" s="249"/>
      <c r="Q3050" s="330"/>
      <c r="R3050" s="250"/>
      <c r="S3050" s="249"/>
      <c r="T3050" s="330"/>
      <c r="U3050" s="250"/>
      <c r="V3050" s="249"/>
      <c r="W3050" s="330"/>
      <c r="X3050" s="343"/>
      <c r="Y3050" s="249"/>
      <c r="Z3050" s="330"/>
      <c r="AA3050" s="343"/>
      <c r="AB3050" s="249"/>
      <c r="AC3050" s="330"/>
      <c r="AD3050" s="343"/>
      <c r="AE3050" s="249"/>
      <c r="AF3050" s="330"/>
      <c r="AG3050" s="343"/>
      <c r="AH3050" s="249"/>
      <c r="AI3050" s="330"/>
      <c r="AJ3050" s="343"/>
      <c r="AK3050" s="249"/>
      <c r="AL3050" s="330"/>
      <c r="AM3050" s="343"/>
      <c r="AN3050" s="249"/>
      <c r="AO3050" s="330"/>
      <c r="AP3050" s="343"/>
      <c r="AQ3050" s="249"/>
      <c r="AR3050" s="330"/>
      <c r="AS3050" s="343"/>
      <c r="AT3050" s="249"/>
      <c r="AU3050" s="330"/>
    </row>
    <row r="3051" spans="2:47">
      <c r="B3051" s="247">
        <f>'Table S2 Compound Identifiers'!C3053</f>
        <v>0</v>
      </c>
      <c r="C3051" s="247">
        <f>COUNTIF($D$6:D3051,"&lt;&gt;"&amp;"")</f>
        <v>3046</v>
      </c>
      <c r="D3051" s="247">
        <f>'Table S2 Compound Identifiers'!B3053</f>
        <v>0</v>
      </c>
      <c r="E3051" s="247"/>
      <c r="F3051" s="248"/>
      <c r="G3051" s="249"/>
      <c r="H3051" s="330"/>
      <c r="I3051" s="328"/>
      <c r="J3051" s="249"/>
      <c r="K3051" s="330"/>
      <c r="L3051" s="250"/>
      <c r="M3051" s="249"/>
      <c r="N3051" s="330"/>
      <c r="O3051" s="250"/>
      <c r="P3051" s="249"/>
      <c r="Q3051" s="330"/>
      <c r="R3051" s="250"/>
      <c r="S3051" s="249"/>
      <c r="T3051" s="330"/>
      <c r="U3051" s="250"/>
      <c r="V3051" s="249"/>
      <c r="W3051" s="330"/>
      <c r="X3051" s="343"/>
      <c r="Y3051" s="249"/>
      <c r="Z3051" s="330"/>
      <c r="AA3051" s="343"/>
      <c r="AB3051" s="249"/>
      <c r="AC3051" s="330"/>
      <c r="AD3051" s="343"/>
      <c r="AE3051" s="249"/>
      <c r="AF3051" s="330"/>
      <c r="AG3051" s="343"/>
      <c r="AH3051" s="249"/>
      <c r="AI3051" s="330"/>
      <c r="AJ3051" s="343"/>
      <c r="AK3051" s="249"/>
      <c r="AL3051" s="330"/>
      <c r="AM3051" s="343"/>
      <c r="AN3051" s="249"/>
      <c r="AO3051" s="330"/>
      <c r="AP3051" s="343"/>
      <c r="AQ3051" s="249"/>
      <c r="AR3051" s="330"/>
      <c r="AS3051" s="343"/>
      <c r="AT3051" s="249"/>
      <c r="AU3051" s="330"/>
    </row>
    <row r="3052" spans="2:47">
      <c r="B3052" s="247">
        <f>'Table S2 Compound Identifiers'!C3054</f>
        <v>0</v>
      </c>
      <c r="C3052" s="247">
        <f>COUNTIF($D$6:D3052,"&lt;&gt;"&amp;"")</f>
        <v>3047</v>
      </c>
      <c r="D3052" s="247">
        <f>'Table S2 Compound Identifiers'!B3054</f>
        <v>0</v>
      </c>
      <c r="E3052" s="247"/>
      <c r="F3052" s="248"/>
      <c r="G3052" s="249"/>
      <c r="H3052" s="330"/>
      <c r="I3052" s="328"/>
      <c r="J3052" s="249"/>
      <c r="K3052" s="330"/>
      <c r="L3052" s="250"/>
      <c r="M3052" s="249"/>
      <c r="N3052" s="330"/>
      <c r="O3052" s="250"/>
      <c r="P3052" s="249"/>
      <c r="Q3052" s="330"/>
      <c r="R3052" s="250"/>
      <c r="S3052" s="249"/>
      <c r="T3052" s="330"/>
      <c r="U3052" s="250"/>
      <c r="V3052" s="249"/>
      <c r="W3052" s="330"/>
      <c r="X3052" s="343"/>
      <c r="Y3052" s="249"/>
      <c r="Z3052" s="330"/>
      <c r="AA3052" s="343"/>
      <c r="AB3052" s="249"/>
      <c r="AC3052" s="330"/>
      <c r="AD3052" s="343"/>
      <c r="AE3052" s="249"/>
      <c r="AF3052" s="330"/>
      <c r="AG3052" s="343"/>
      <c r="AH3052" s="249"/>
      <c r="AI3052" s="330"/>
      <c r="AJ3052" s="343"/>
      <c r="AK3052" s="249"/>
      <c r="AL3052" s="330"/>
      <c r="AM3052" s="343"/>
      <c r="AN3052" s="249"/>
      <c r="AO3052" s="330"/>
      <c r="AP3052" s="343"/>
      <c r="AQ3052" s="249"/>
      <c r="AR3052" s="330"/>
      <c r="AS3052" s="343"/>
      <c r="AT3052" s="249"/>
      <c r="AU3052" s="330"/>
    </row>
    <row r="3053" spans="2:47">
      <c r="B3053" s="247">
        <f>'Table S2 Compound Identifiers'!C3055</f>
        <v>0</v>
      </c>
      <c r="C3053" s="247">
        <f>COUNTIF($D$6:D3053,"&lt;&gt;"&amp;"")</f>
        <v>3048</v>
      </c>
      <c r="D3053" s="247">
        <f>'Table S2 Compound Identifiers'!B3055</f>
        <v>0</v>
      </c>
      <c r="E3053" s="247"/>
      <c r="F3053" s="248"/>
      <c r="G3053" s="249"/>
      <c r="H3053" s="330"/>
      <c r="I3053" s="328"/>
      <c r="J3053" s="249"/>
      <c r="K3053" s="330"/>
      <c r="L3053" s="250"/>
      <c r="M3053" s="249"/>
      <c r="N3053" s="330"/>
      <c r="O3053" s="250"/>
      <c r="P3053" s="249"/>
      <c r="Q3053" s="330"/>
      <c r="R3053" s="250"/>
      <c r="S3053" s="249"/>
      <c r="T3053" s="330"/>
      <c r="U3053" s="250"/>
      <c r="V3053" s="249"/>
      <c r="W3053" s="330"/>
      <c r="X3053" s="343"/>
      <c r="Y3053" s="249"/>
      <c r="Z3053" s="330"/>
      <c r="AA3053" s="343"/>
      <c r="AB3053" s="249"/>
      <c r="AC3053" s="330"/>
      <c r="AD3053" s="343"/>
      <c r="AE3053" s="249"/>
      <c r="AF3053" s="330"/>
      <c r="AG3053" s="343"/>
      <c r="AH3053" s="249"/>
      <c r="AI3053" s="330"/>
      <c r="AJ3053" s="343"/>
      <c r="AK3053" s="249"/>
      <c r="AL3053" s="330"/>
      <c r="AM3053" s="343"/>
      <c r="AN3053" s="249"/>
      <c r="AO3053" s="330"/>
      <c r="AP3053" s="343"/>
      <c r="AQ3053" s="249"/>
      <c r="AR3053" s="330"/>
      <c r="AS3053" s="343"/>
      <c r="AT3053" s="249"/>
      <c r="AU3053" s="330"/>
    </row>
    <row r="3054" spans="2:47">
      <c r="B3054" s="247">
        <f>'Table S2 Compound Identifiers'!C3056</f>
        <v>0</v>
      </c>
      <c r="C3054" s="247">
        <f>COUNTIF($D$6:D3054,"&lt;&gt;"&amp;"")</f>
        <v>3049</v>
      </c>
      <c r="D3054" s="247">
        <f>'Table S2 Compound Identifiers'!B3056</f>
        <v>0</v>
      </c>
      <c r="E3054" s="247"/>
      <c r="F3054" s="248"/>
      <c r="G3054" s="249"/>
      <c r="H3054" s="330"/>
      <c r="I3054" s="328"/>
      <c r="J3054" s="249"/>
      <c r="K3054" s="330"/>
      <c r="L3054" s="250"/>
      <c r="M3054" s="249"/>
      <c r="N3054" s="330"/>
      <c r="O3054" s="250"/>
      <c r="P3054" s="249"/>
      <c r="Q3054" s="330"/>
      <c r="R3054" s="250"/>
      <c r="S3054" s="249"/>
      <c r="T3054" s="330"/>
      <c r="U3054" s="250"/>
      <c r="V3054" s="249"/>
      <c r="W3054" s="330"/>
      <c r="X3054" s="343"/>
      <c r="Y3054" s="249"/>
      <c r="Z3054" s="330"/>
      <c r="AA3054" s="343"/>
      <c r="AB3054" s="249"/>
      <c r="AC3054" s="330"/>
      <c r="AD3054" s="343"/>
      <c r="AE3054" s="249"/>
      <c r="AF3054" s="330"/>
      <c r="AG3054" s="343"/>
      <c r="AH3054" s="249"/>
      <c r="AI3054" s="330"/>
      <c r="AJ3054" s="343"/>
      <c r="AK3054" s="249"/>
      <c r="AL3054" s="330"/>
      <c r="AM3054" s="343"/>
      <c r="AN3054" s="249"/>
      <c r="AO3054" s="330"/>
      <c r="AP3054" s="343"/>
      <c r="AQ3054" s="249"/>
      <c r="AR3054" s="330"/>
      <c r="AS3054" s="343"/>
      <c r="AT3054" s="249"/>
      <c r="AU3054" s="330"/>
    </row>
    <row r="3055" spans="2:47">
      <c r="B3055" s="247">
        <f>'Table S2 Compound Identifiers'!C3057</f>
        <v>0</v>
      </c>
      <c r="C3055" s="247">
        <f>COUNTIF($D$6:D3055,"&lt;&gt;"&amp;"")</f>
        <v>3050</v>
      </c>
      <c r="D3055" s="247">
        <f>'Table S2 Compound Identifiers'!B3057</f>
        <v>0</v>
      </c>
      <c r="E3055" s="247"/>
      <c r="F3055" s="248"/>
      <c r="G3055" s="249"/>
      <c r="H3055" s="330"/>
      <c r="I3055" s="328"/>
      <c r="J3055" s="249"/>
      <c r="K3055" s="330"/>
      <c r="L3055" s="250"/>
      <c r="M3055" s="249"/>
      <c r="N3055" s="330"/>
      <c r="O3055" s="250"/>
      <c r="P3055" s="249"/>
      <c r="Q3055" s="330"/>
      <c r="R3055" s="250"/>
      <c r="S3055" s="249"/>
      <c r="T3055" s="330"/>
      <c r="U3055" s="250"/>
      <c r="V3055" s="249"/>
      <c r="W3055" s="330"/>
      <c r="X3055" s="343"/>
      <c r="Y3055" s="249"/>
      <c r="Z3055" s="330"/>
      <c r="AA3055" s="343"/>
      <c r="AB3055" s="249"/>
      <c r="AC3055" s="330"/>
      <c r="AD3055" s="343"/>
      <c r="AE3055" s="249"/>
      <c r="AF3055" s="330"/>
      <c r="AG3055" s="343"/>
      <c r="AH3055" s="249"/>
      <c r="AI3055" s="330"/>
      <c r="AJ3055" s="343"/>
      <c r="AK3055" s="249"/>
      <c r="AL3055" s="330"/>
      <c r="AM3055" s="343"/>
      <c r="AN3055" s="249"/>
      <c r="AO3055" s="330"/>
      <c r="AP3055" s="343"/>
      <c r="AQ3055" s="249"/>
      <c r="AR3055" s="330"/>
      <c r="AS3055" s="343"/>
      <c r="AT3055" s="249"/>
      <c r="AU3055" s="330"/>
    </row>
    <row r="3056" spans="2:47">
      <c r="B3056" s="247">
        <f>'Table S2 Compound Identifiers'!C3058</f>
        <v>0</v>
      </c>
      <c r="C3056" s="247">
        <f>COUNTIF($D$6:D3056,"&lt;&gt;"&amp;"")</f>
        <v>3051</v>
      </c>
      <c r="D3056" s="247">
        <f>'Table S2 Compound Identifiers'!B3058</f>
        <v>0</v>
      </c>
      <c r="E3056" s="247"/>
      <c r="F3056" s="248"/>
      <c r="G3056" s="249"/>
      <c r="H3056" s="330"/>
      <c r="I3056" s="328"/>
      <c r="J3056" s="249"/>
      <c r="K3056" s="330"/>
      <c r="L3056" s="250"/>
      <c r="M3056" s="249"/>
      <c r="N3056" s="330"/>
      <c r="O3056" s="250"/>
      <c r="P3056" s="249"/>
      <c r="Q3056" s="330"/>
      <c r="R3056" s="250"/>
      <c r="S3056" s="249"/>
      <c r="T3056" s="330"/>
      <c r="U3056" s="250"/>
      <c r="V3056" s="249"/>
      <c r="W3056" s="330"/>
      <c r="X3056" s="343"/>
      <c r="Y3056" s="249"/>
      <c r="Z3056" s="330"/>
      <c r="AA3056" s="343"/>
      <c r="AB3056" s="249"/>
      <c r="AC3056" s="330"/>
      <c r="AD3056" s="343"/>
      <c r="AE3056" s="249"/>
      <c r="AF3056" s="330"/>
      <c r="AG3056" s="343"/>
      <c r="AH3056" s="249"/>
      <c r="AI3056" s="330"/>
      <c r="AJ3056" s="343"/>
      <c r="AK3056" s="249"/>
      <c r="AL3056" s="330"/>
      <c r="AM3056" s="343"/>
      <c r="AN3056" s="249"/>
      <c r="AO3056" s="330"/>
      <c r="AP3056" s="343"/>
      <c r="AQ3056" s="249"/>
      <c r="AR3056" s="330"/>
      <c r="AS3056" s="343"/>
      <c r="AT3056" s="249"/>
      <c r="AU3056" s="330"/>
    </row>
    <row r="3057" spans="2:47">
      <c r="B3057" s="247">
        <f>'Table S2 Compound Identifiers'!C3059</f>
        <v>0</v>
      </c>
      <c r="C3057" s="247">
        <f>COUNTIF($D$6:D3057,"&lt;&gt;"&amp;"")</f>
        <v>3052</v>
      </c>
      <c r="D3057" s="247">
        <f>'Table S2 Compound Identifiers'!B3059</f>
        <v>0</v>
      </c>
      <c r="E3057" s="247"/>
      <c r="F3057" s="248"/>
      <c r="G3057" s="249"/>
      <c r="H3057" s="330"/>
      <c r="I3057" s="328"/>
      <c r="J3057" s="249"/>
      <c r="K3057" s="330"/>
      <c r="L3057" s="250"/>
      <c r="M3057" s="249"/>
      <c r="N3057" s="330"/>
      <c r="O3057" s="250"/>
      <c r="P3057" s="249"/>
      <c r="Q3057" s="330"/>
      <c r="R3057" s="250"/>
      <c r="S3057" s="249"/>
      <c r="T3057" s="330"/>
      <c r="U3057" s="250"/>
      <c r="V3057" s="249"/>
      <c r="W3057" s="330"/>
      <c r="X3057" s="343"/>
      <c r="Y3057" s="249"/>
      <c r="Z3057" s="330"/>
      <c r="AA3057" s="343"/>
      <c r="AB3057" s="249"/>
      <c r="AC3057" s="330"/>
      <c r="AD3057" s="343"/>
      <c r="AE3057" s="249"/>
      <c r="AF3057" s="330"/>
      <c r="AG3057" s="343"/>
      <c r="AH3057" s="249"/>
      <c r="AI3057" s="330"/>
      <c r="AJ3057" s="343"/>
      <c r="AK3057" s="249"/>
      <c r="AL3057" s="330"/>
      <c r="AM3057" s="343"/>
      <c r="AN3057" s="249"/>
      <c r="AO3057" s="330"/>
      <c r="AP3057" s="343"/>
      <c r="AQ3057" s="249"/>
      <c r="AR3057" s="330"/>
      <c r="AS3057" s="343"/>
      <c r="AT3057" s="249"/>
      <c r="AU3057" s="330"/>
    </row>
    <row r="3058" spans="2:47">
      <c r="B3058" s="247">
        <f>'Table S2 Compound Identifiers'!C3060</f>
        <v>0</v>
      </c>
      <c r="C3058" s="247">
        <f>COUNTIF($D$6:D3058,"&lt;&gt;"&amp;"")</f>
        <v>3053</v>
      </c>
      <c r="D3058" s="247">
        <f>'Table S2 Compound Identifiers'!B3060</f>
        <v>0</v>
      </c>
      <c r="E3058" s="247"/>
      <c r="F3058" s="248"/>
      <c r="G3058" s="249"/>
      <c r="H3058" s="330"/>
      <c r="I3058" s="328"/>
      <c r="J3058" s="249"/>
      <c r="K3058" s="330"/>
      <c r="L3058" s="250"/>
      <c r="M3058" s="249"/>
      <c r="N3058" s="330"/>
      <c r="O3058" s="250"/>
      <c r="P3058" s="249"/>
      <c r="Q3058" s="330"/>
      <c r="R3058" s="250"/>
      <c r="S3058" s="249"/>
      <c r="T3058" s="330"/>
      <c r="U3058" s="250"/>
      <c r="V3058" s="249"/>
      <c r="W3058" s="330"/>
      <c r="X3058" s="343"/>
      <c r="Y3058" s="249"/>
      <c r="Z3058" s="330"/>
      <c r="AA3058" s="343"/>
      <c r="AB3058" s="249"/>
      <c r="AC3058" s="330"/>
      <c r="AD3058" s="343"/>
      <c r="AE3058" s="249"/>
      <c r="AF3058" s="330"/>
      <c r="AG3058" s="343"/>
      <c r="AH3058" s="249"/>
      <c r="AI3058" s="330"/>
      <c r="AJ3058" s="343"/>
      <c r="AK3058" s="249"/>
      <c r="AL3058" s="330"/>
      <c r="AM3058" s="343"/>
      <c r="AN3058" s="249"/>
      <c r="AO3058" s="330"/>
      <c r="AP3058" s="343"/>
      <c r="AQ3058" s="249"/>
      <c r="AR3058" s="330"/>
      <c r="AS3058" s="343"/>
      <c r="AT3058" s="249"/>
      <c r="AU3058" s="330"/>
    </row>
    <row r="3059" spans="2:47">
      <c r="B3059" s="247">
        <f>'Table S2 Compound Identifiers'!C3061</f>
        <v>0</v>
      </c>
      <c r="C3059" s="247">
        <f>COUNTIF($D$6:D3059,"&lt;&gt;"&amp;"")</f>
        <v>3054</v>
      </c>
      <c r="D3059" s="247">
        <f>'Table S2 Compound Identifiers'!B3061</f>
        <v>0</v>
      </c>
      <c r="E3059" s="247"/>
      <c r="F3059" s="248"/>
      <c r="G3059" s="249"/>
      <c r="H3059" s="330"/>
      <c r="I3059" s="328"/>
      <c r="J3059" s="249"/>
      <c r="K3059" s="330"/>
      <c r="L3059" s="250"/>
      <c r="M3059" s="249"/>
      <c r="N3059" s="330"/>
      <c r="O3059" s="250"/>
      <c r="P3059" s="249"/>
      <c r="Q3059" s="330"/>
      <c r="R3059" s="250"/>
      <c r="S3059" s="249"/>
      <c r="T3059" s="330"/>
      <c r="U3059" s="250"/>
      <c r="V3059" s="249"/>
      <c r="W3059" s="330"/>
      <c r="X3059" s="343"/>
      <c r="Y3059" s="249"/>
      <c r="Z3059" s="330"/>
      <c r="AA3059" s="343"/>
      <c r="AB3059" s="249"/>
      <c r="AC3059" s="330"/>
      <c r="AD3059" s="343"/>
      <c r="AE3059" s="249"/>
      <c r="AF3059" s="330"/>
      <c r="AG3059" s="343"/>
      <c r="AH3059" s="249"/>
      <c r="AI3059" s="330"/>
      <c r="AJ3059" s="343"/>
      <c r="AK3059" s="249"/>
      <c r="AL3059" s="330"/>
      <c r="AM3059" s="343"/>
      <c r="AN3059" s="249"/>
      <c r="AO3059" s="330"/>
      <c r="AP3059" s="343"/>
      <c r="AQ3059" s="249"/>
      <c r="AR3059" s="330"/>
      <c r="AS3059" s="343"/>
      <c r="AT3059" s="249"/>
      <c r="AU3059" s="330"/>
    </row>
    <row r="3060" spans="2:47">
      <c r="B3060" s="247">
        <f>'Table S2 Compound Identifiers'!C3062</f>
        <v>0</v>
      </c>
      <c r="C3060" s="247">
        <f>COUNTIF($D$6:D3060,"&lt;&gt;"&amp;"")</f>
        <v>3055</v>
      </c>
      <c r="D3060" s="247">
        <f>'Table S2 Compound Identifiers'!B3062</f>
        <v>0</v>
      </c>
      <c r="E3060" s="247"/>
      <c r="F3060" s="248"/>
      <c r="G3060" s="249"/>
      <c r="H3060" s="330"/>
      <c r="I3060" s="328"/>
      <c r="J3060" s="249"/>
      <c r="K3060" s="330"/>
      <c r="L3060" s="250"/>
      <c r="M3060" s="249"/>
      <c r="N3060" s="330"/>
      <c r="O3060" s="250"/>
      <c r="P3060" s="249"/>
      <c r="Q3060" s="330"/>
      <c r="R3060" s="250"/>
      <c r="S3060" s="249"/>
      <c r="T3060" s="330"/>
      <c r="U3060" s="250"/>
      <c r="V3060" s="249"/>
      <c r="W3060" s="330"/>
      <c r="X3060" s="343"/>
      <c r="Y3060" s="249"/>
      <c r="Z3060" s="330"/>
      <c r="AA3060" s="343"/>
      <c r="AB3060" s="249"/>
      <c r="AC3060" s="330"/>
      <c r="AD3060" s="343"/>
      <c r="AE3060" s="249"/>
      <c r="AF3060" s="330"/>
      <c r="AG3060" s="343"/>
      <c r="AH3060" s="249"/>
      <c r="AI3060" s="330"/>
      <c r="AJ3060" s="343"/>
      <c r="AK3060" s="249"/>
      <c r="AL3060" s="330"/>
      <c r="AM3060" s="343"/>
      <c r="AN3060" s="249"/>
      <c r="AO3060" s="330"/>
      <c r="AP3060" s="343"/>
      <c r="AQ3060" s="249"/>
      <c r="AR3060" s="330"/>
      <c r="AS3060" s="343"/>
      <c r="AT3060" s="249"/>
      <c r="AU3060" s="330"/>
    </row>
    <row r="3061" spans="2:47">
      <c r="B3061" s="247">
        <f>'Table S2 Compound Identifiers'!C3063</f>
        <v>0</v>
      </c>
      <c r="C3061" s="247">
        <f>COUNTIF($D$6:D3061,"&lt;&gt;"&amp;"")</f>
        <v>3056</v>
      </c>
      <c r="D3061" s="247">
        <f>'Table S2 Compound Identifiers'!B3063</f>
        <v>0</v>
      </c>
      <c r="E3061" s="247"/>
      <c r="F3061" s="248"/>
      <c r="G3061" s="249"/>
      <c r="H3061" s="330"/>
      <c r="I3061" s="328"/>
      <c r="J3061" s="249"/>
      <c r="K3061" s="330"/>
      <c r="L3061" s="250"/>
      <c r="M3061" s="249"/>
      <c r="N3061" s="330"/>
      <c r="O3061" s="250"/>
      <c r="P3061" s="249"/>
      <c r="Q3061" s="330"/>
      <c r="R3061" s="250"/>
      <c r="S3061" s="249"/>
      <c r="T3061" s="330"/>
      <c r="U3061" s="250"/>
      <c r="V3061" s="249"/>
      <c r="W3061" s="330"/>
      <c r="X3061" s="343"/>
      <c r="Y3061" s="249"/>
      <c r="Z3061" s="330"/>
      <c r="AA3061" s="343"/>
      <c r="AB3061" s="249"/>
      <c r="AC3061" s="330"/>
      <c r="AD3061" s="343"/>
      <c r="AE3061" s="249"/>
      <c r="AF3061" s="330"/>
      <c r="AG3061" s="343"/>
      <c r="AH3061" s="249"/>
      <c r="AI3061" s="330"/>
      <c r="AJ3061" s="343"/>
      <c r="AK3061" s="249"/>
      <c r="AL3061" s="330"/>
      <c r="AM3061" s="343"/>
      <c r="AN3061" s="249"/>
      <c r="AO3061" s="330"/>
      <c r="AP3061" s="343"/>
      <c r="AQ3061" s="249"/>
      <c r="AR3061" s="330"/>
      <c r="AS3061" s="343"/>
      <c r="AT3061" s="249"/>
      <c r="AU3061" s="330"/>
    </row>
    <row r="3062" spans="2:47">
      <c r="B3062" s="247">
        <f>'Table S2 Compound Identifiers'!C3064</f>
        <v>0</v>
      </c>
      <c r="C3062" s="247">
        <f>COUNTIF($D$6:D3062,"&lt;&gt;"&amp;"")</f>
        <v>3057</v>
      </c>
      <c r="D3062" s="247">
        <f>'Table S2 Compound Identifiers'!B3064</f>
        <v>0</v>
      </c>
      <c r="E3062" s="247"/>
      <c r="F3062" s="248"/>
      <c r="G3062" s="249"/>
      <c r="H3062" s="330"/>
      <c r="I3062" s="328"/>
      <c r="J3062" s="249"/>
      <c r="K3062" s="330"/>
      <c r="L3062" s="250"/>
      <c r="M3062" s="249"/>
      <c r="N3062" s="330"/>
      <c r="O3062" s="250"/>
      <c r="P3062" s="249"/>
      <c r="Q3062" s="330"/>
      <c r="R3062" s="250"/>
      <c r="S3062" s="249"/>
      <c r="T3062" s="330"/>
      <c r="U3062" s="250"/>
      <c r="V3062" s="249"/>
      <c r="W3062" s="330"/>
      <c r="X3062" s="343"/>
      <c r="Y3062" s="249"/>
      <c r="Z3062" s="330"/>
      <c r="AA3062" s="343"/>
      <c r="AB3062" s="249"/>
      <c r="AC3062" s="330"/>
      <c r="AD3062" s="343"/>
      <c r="AE3062" s="249"/>
      <c r="AF3062" s="330"/>
      <c r="AG3062" s="343"/>
      <c r="AH3062" s="249"/>
      <c r="AI3062" s="330"/>
      <c r="AJ3062" s="343"/>
      <c r="AK3062" s="249"/>
      <c r="AL3062" s="330"/>
      <c r="AM3062" s="343"/>
      <c r="AN3062" s="249"/>
      <c r="AO3062" s="330"/>
      <c r="AP3062" s="343"/>
      <c r="AQ3062" s="249"/>
      <c r="AR3062" s="330"/>
      <c r="AS3062" s="343"/>
      <c r="AT3062" s="249"/>
      <c r="AU3062" s="330"/>
    </row>
    <row r="3063" spans="2:47">
      <c r="B3063" s="247">
        <f>'Table S2 Compound Identifiers'!C3065</f>
        <v>0</v>
      </c>
      <c r="C3063" s="247">
        <f>COUNTIF($D$6:D3063,"&lt;&gt;"&amp;"")</f>
        <v>3058</v>
      </c>
      <c r="D3063" s="247">
        <f>'Table S2 Compound Identifiers'!B3065</f>
        <v>0</v>
      </c>
      <c r="E3063" s="247"/>
      <c r="F3063" s="248"/>
      <c r="G3063" s="249"/>
      <c r="H3063" s="330"/>
      <c r="I3063" s="328"/>
      <c r="J3063" s="249"/>
      <c r="K3063" s="330"/>
      <c r="L3063" s="250"/>
      <c r="M3063" s="249"/>
      <c r="N3063" s="330"/>
      <c r="O3063" s="250"/>
      <c r="P3063" s="249"/>
      <c r="Q3063" s="330"/>
      <c r="R3063" s="250"/>
      <c r="S3063" s="249"/>
      <c r="T3063" s="330"/>
      <c r="U3063" s="250"/>
      <c r="V3063" s="249"/>
      <c r="W3063" s="330"/>
      <c r="X3063" s="343"/>
      <c r="Y3063" s="249"/>
      <c r="Z3063" s="330"/>
      <c r="AA3063" s="343"/>
      <c r="AB3063" s="249"/>
      <c r="AC3063" s="330"/>
      <c r="AD3063" s="343"/>
      <c r="AE3063" s="249"/>
      <c r="AF3063" s="330"/>
      <c r="AG3063" s="343"/>
      <c r="AH3063" s="249"/>
      <c r="AI3063" s="330"/>
      <c r="AJ3063" s="343"/>
      <c r="AK3063" s="249"/>
      <c r="AL3063" s="330"/>
      <c r="AM3063" s="343"/>
      <c r="AN3063" s="249"/>
      <c r="AO3063" s="330"/>
      <c r="AP3063" s="343"/>
      <c r="AQ3063" s="249"/>
      <c r="AR3063" s="330"/>
      <c r="AS3063" s="343"/>
      <c r="AT3063" s="249"/>
      <c r="AU3063" s="330"/>
    </row>
    <row r="3064" spans="2:47">
      <c r="B3064" s="247">
        <f>'Table S2 Compound Identifiers'!C3066</f>
        <v>0</v>
      </c>
      <c r="C3064" s="247">
        <f>COUNTIF($D$6:D3064,"&lt;&gt;"&amp;"")</f>
        <v>3059</v>
      </c>
      <c r="D3064" s="247">
        <f>'Table S2 Compound Identifiers'!B3066</f>
        <v>0</v>
      </c>
      <c r="E3064" s="247"/>
      <c r="F3064" s="248"/>
      <c r="G3064" s="249"/>
      <c r="H3064" s="330"/>
      <c r="I3064" s="328"/>
      <c r="J3064" s="249"/>
      <c r="K3064" s="330"/>
      <c r="L3064" s="250"/>
      <c r="M3064" s="249"/>
      <c r="N3064" s="330"/>
      <c r="O3064" s="250"/>
      <c r="P3064" s="249"/>
      <c r="Q3064" s="330"/>
      <c r="R3064" s="250"/>
      <c r="S3064" s="249"/>
      <c r="T3064" s="330"/>
      <c r="U3064" s="250"/>
      <c r="V3064" s="249"/>
      <c r="W3064" s="330"/>
      <c r="X3064" s="343"/>
      <c r="Y3064" s="249"/>
      <c r="Z3064" s="330"/>
      <c r="AA3064" s="343"/>
      <c r="AB3064" s="249"/>
      <c r="AC3064" s="330"/>
      <c r="AD3064" s="343"/>
      <c r="AE3064" s="249"/>
      <c r="AF3064" s="330"/>
      <c r="AG3064" s="343"/>
      <c r="AH3064" s="249"/>
      <c r="AI3064" s="330"/>
      <c r="AJ3064" s="343"/>
      <c r="AK3064" s="249"/>
      <c r="AL3064" s="330"/>
      <c r="AM3064" s="343"/>
      <c r="AN3064" s="249"/>
      <c r="AO3064" s="330"/>
      <c r="AP3064" s="343"/>
      <c r="AQ3064" s="249"/>
      <c r="AR3064" s="330"/>
      <c r="AS3064" s="343"/>
      <c r="AT3064" s="249"/>
      <c r="AU3064" s="330"/>
    </row>
    <row r="3065" spans="2:47">
      <c r="B3065" s="247">
        <f>'Table S2 Compound Identifiers'!C3067</f>
        <v>0</v>
      </c>
      <c r="C3065" s="247">
        <f>COUNTIF($D$6:D3065,"&lt;&gt;"&amp;"")</f>
        <v>3060</v>
      </c>
      <c r="D3065" s="247">
        <f>'Table S2 Compound Identifiers'!B3067</f>
        <v>0</v>
      </c>
      <c r="E3065" s="247"/>
      <c r="F3065" s="248"/>
      <c r="G3065" s="249"/>
      <c r="H3065" s="330"/>
      <c r="I3065" s="328"/>
      <c r="J3065" s="249"/>
      <c r="K3065" s="330"/>
      <c r="L3065" s="250"/>
      <c r="M3065" s="249"/>
      <c r="N3065" s="330"/>
      <c r="O3065" s="250"/>
      <c r="P3065" s="249"/>
      <c r="Q3065" s="330"/>
      <c r="R3065" s="250"/>
      <c r="S3065" s="249"/>
      <c r="T3065" s="330"/>
      <c r="U3065" s="250"/>
      <c r="V3065" s="249"/>
      <c r="W3065" s="330"/>
      <c r="X3065" s="343"/>
      <c r="Y3065" s="249"/>
      <c r="Z3065" s="330"/>
      <c r="AA3065" s="343"/>
      <c r="AB3065" s="249"/>
      <c r="AC3065" s="330"/>
      <c r="AD3065" s="343"/>
      <c r="AE3065" s="249"/>
      <c r="AF3065" s="330"/>
      <c r="AG3065" s="343"/>
      <c r="AH3065" s="249"/>
      <c r="AI3065" s="330"/>
      <c r="AJ3065" s="343"/>
      <c r="AK3065" s="249"/>
      <c r="AL3065" s="330"/>
      <c r="AM3065" s="343"/>
      <c r="AN3065" s="249"/>
      <c r="AO3065" s="330"/>
      <c r="AP3065" s="343"/>
      <c r="AQ3065" s="249"/>
      <c r="AR3065" s="330"/>
      <c r="AS3065" s="343"/>
      <c r="AT3065" s="249"/>
      <c r="AU3065" s="330"/>
    </row>
    <row r="3066" spans="2:47">
      <c r="B3066" s="247">
        <f>'Table S2 Compound Identifiers'!C3068</f>
        <v>0</v>
      </c>
      <c r="C3066" s="247">
        <f>COUNTIF($D$6:D3066,"&lt;&gt;"&amp;"")</f>
        <v>3061</v>
      </c>
      <c r="D3066" s="247">
        <f>'Table S2 Compound Identifiers'!B3068</f>
        <v>0</v>
      </c>
      <c r="E3066" s="247"/>
      <c r="F3066" s="248"/>
      <c r="G3066" s="249"/>
      <c r="H3066" s="330"/>
      <c r="I3066" s="328"/>
      <c r="J3066" s="249"/>
      <c r="K3066" s="330"/>
      <c r="L3066" s="250"/>
      <c r="M3066" s="249"/>
      <c r="N3066" s="330"/>
      <c r="O3066" s="250"/>
      <c r="P3066" s="249"/>
      <c r="Q3066" s="330"/>
      <c r="R3066" s="250"/>
      <c r="S3066" s="249"/>
      <c r="T3066" s="330"/>
      <c r="U3066" s="250"/>
      <c r="V3066" s="249"/>
      <c r="W3066" s="330"/>
      <c r="X3066" s="343"/>
      <c r="Y3066" s="249"/>
      <c r="Z3066" s="330"/>
      <c r="AA3066" s="343"/>
      <c r="AB3066" s="249"/>
      <c r="AC3066" s="330"/>
      <c r="AD3066" s="343"/>
      <c r="AE3066" s="249"/>
      <c r="AF3066" s="330"/>
      <c r="AG3066" s="343"/>
      <c r="AH3066" s="249"/>
      <c r="AI3066" s="330"/>
      <c r="AJ3066" s="343"/>
      <c r="AK3066" s="249"/>
      <c r="AL3066" s="330"/>
      <c r="AM3066" s="343"/>
      <c r="AN3066" s="249"/>
      <c r="AO3066" s="330"/>
      <c r="AP3066" s="343"/>
      <c r="AQ3066" s="249"/>
      <c r="AR3066" s="330"/>
      <c r="AS3066" s="343"/>
      <c r="AT3066" s="249"/>
      <c r="AU3066" s="330"/>
    </row>
    <row r="3067" spans="2:47">
      <c r="B3067" s="247">
        <f>'Table S2 Compound Identifiers'!C3069</f>
        <v>0</v>
      </c>
      <c r="C3067" s="247">
        <f>COUNTIF($D$6:D3067,"&lt;&gt;"&amp;"")</f>
        <v>3062</v>
      </c>
      <c r="D3067" s="247">
        <f>'Table S2 Compound Identifiers'!B3069</f>
        <v>0</v>
      </c>
      <c r="E3067" s="247"/>
      <c r="F3067" s="248"/>
      <c r="G3067" s="249"/>
      <c r="H3067" s="330"/>
      <c r="I3067" s="328"/>
      <c r="J3067" s="249"/>
      <c r="K3067" s="330"/>
      <c r="L3067" s="250"/>
      <c r="M3067" s="249"/>
      <c r="N3067" s="330"/>
      <c r="O3067" s="250"/>
      <c r="P3067" s="249"/>
      <c r="Q3067" s="330"/>
      <c r="R3067" s="250"/>
      <c r="S3067" s="249"/>
      <c r="T3067" s="330"/>
      <c r="U3067" s="250"/>
      <c r="V3067" s="249"/>
      <c r="W3067" s="330"/>
      <c r="X3067" s="343"/>
      <c r="Y3067" s="249"/>
      <c r="Z3067" s="330"/>
      <c r="AA3067" s="343"/>
      <c r="AB3067" s="249"/>
      <c r="AC3067" s="330"/>
      <c r="AD3067" s="343"/>
      <c r="AE3067" s="249"/>
      <c r="AF3067" s="330"/>
      <c r="AG3067" s="343"/>
      <c r="AH3067" s="249"/>
      <c r="AI3067" s="330"/>
      <c r="AJ3067" s="343"/>
      <c r="AK3067" s="249"/>
      <c r="AL3067" s="330"/>
      <c r="AM3067" s="343"/>
      <c r="AN3067" s="249"/>
      <c r="AO3067" s="330"/>
      <c r="AP3067" s="343"/>
      <c r="AQ3067" s="249"/>
      <c r="AR3067" s="330"/>
      <c r="AS3067" s="343"/>
      <c r="AT3067" s="249"/>
      <c r="AU3067" s="330"/>
    </row>
    <row r="3068" spans="2:47">
      <c r="B3068" s="247">
        <f>'Table S2 Compound Identifiers'!C3070</f>
        <v>0</v>
      </c>
      <c r="C3068" s="247">
        <f>COUNTIF($D$6:D3068,"&lt;&gt;"&amp;"")</f>
        <v>3063</v>
      </c>
      <c r="D3068" s="247">
        <f>'Table S2 Compound Identifiers'!B3070</f>
        <v>0</v>
      </c>
      <c r="E3068" s="247"/>
      <c r="F3068" s="248"/>
      <c r="G3068" s="249"/>
      <c r="H3068" s="330"/>
      <c r="I3068" s="328"/>
      <c r="J3068" s="249"/>
      <c r="K3068" s="330"/>
      <c r="L3068" s="250"/>
      <c r="M3068" s="249"/>
      <c r="N3068" s="330"/>
      <c r="O3068" s="250"/>
      <c r="P3068" s="249"/>
      <c r="Q3068" s="330"/>
      <c r="R3068" s="250"/>
      <c r="S3068" s="249"/>
      <c r="T3068" s="330"/>
      <c r="U3068" s="250"/>
      <c r="V3068" s="249"/>
      <c r="W3068" s="330"/>
      <c r="X3068" s="343"/>
      <c r="Y3068" s="249"/>
      <c r="Z3068" s="330"/>
      <c r="AA3068" s="343"/>
      <c r="AB3068" s="249"/>
      <c r="AC3068" s="330"/>
      <c r="AD3068" s="343"/>
      <c r="AE3068" s="249"/>
      <c r="AF3068" s="330"/>
      <c r="AG3068" s="343"/>
      <c r="AH3068" s="249"/>
      <c r="AI3068" s="330"/>
      <c r="AJ3068" s="343"/>
      <c r="AK3068" s="249"/>
      <c r="AL3068" s="330"/>
      <c r="AM3068" s="343"/>
      <c r="AN3068" s="249"/>
      <c r="AO3068" s="330"/>
      <c r="AP3068" s="343"/>
      <c r="AQ3068" s="249"/>
      <c r="AR3068" s="330"/>
      <c r="AS3068" s="343"/>
      <c r="AT3068" s="249"/>
      <c r="AU3068" s="330"/>
    </row>
    <row r="3069" spans="2:47">
      <c r="B3069" s="247">
        <f>'Table S2 Compound Identifiers'!C3071</f>
        <v>0</v>
      </c>
      <c r="C3069" s="247">
        <f>COUNTIF($D$6:D3069,"&lt;&gt;"&amp;"")</f>
        <v>3064</v>
      </c>
      <c r="D3069" s="247">
        <f>'Table S2 Compound Identifiers'!B3071</f>
        <v>0</v>
      </c>
      <c r="E3069" s="247"/>
      <c r="F3069" s="248"/>
      <c r="G3069" s="249"/>
      <c r="H3069" s="330"/>
      <c r="I3069" s="328"/>
      <c r="J3069" s="249"/>
      <c r="K3069" s="330"/>
      <c r="L3069" s="250"/>
      <c r="M3069" s="249"/>
      <c r="N3069" s="330"/>
      <c r="O3069" s="250"/>
      <c r="P3069" s="249"/>
      <c r="Q3069" s="330"/>
      <c r="R3069" s="250"/>
      <c r="S3069" s="249"/>
      <c r="T3069" s="330"/>
      <c r="U3069" s="250"/>
      <c r="V3069" s="249"/>
      <c r="W3069" s="330"/>
      <c r="X3069" s="343"/>
      <c r="Y3069" s="249"/>
      <c r="Z3069" s="330"/>
      <c r="AA3069" s="343"/>
      <c r="AB3069" s="249"/>
      <c r="AC3069" s="330"/>
      <c r="AD3069" s="343"/>
      <c r="AE3069" s="249"/>
      <c r="AF3069" s="330"/>
      <c r="AG3069" s="343"/>
      <c r="AH3069" s="249"/>
      <c r="AI3069" s="330"/>
      <c r="AJ3069" s="343"/>
      <c r="AK3069" s="249"/>
      <c r="AL3069" s="330"/>
      <c r="AM3069" s="343"/>
      <c r="AN3069" s="249"/>
      <c r="AO3069" s="330"/>
      <c r="AP3069" s="343"/>
      <c r="AQ3069" s="249"/>
      <c r="AR3069" s="330"/>
      <c r="AS3069" s="343"/>
      <c r="AT3069" s="249"/>
      <c r="AU3069" s="330"/>
    </row>
    <row r="3070" spans="2:47">
      <c r="B3070" s="247">
        <f>'Table S2 Compound Identifiers'!C3072</f>
        <v>0</v>
      </c>
      <c r="C3070" s="247">
        <f>COUNTIF($D$6:D3070,"&lt;&gt;"&amp;"")</f>
        <v>3065</v>
      </c>
      <c r="D3070" s="247">
        <f>'Table S2 Compound Identifiers'!B3072</f>
        <v>0</v>
      </c>
      <c r="E3070" s="247"/>
      <c r="F3070" s="248"/>
      <c r="G3070" s="249"/>
      <c r="H3070" s="330"/>
      <c r="I3070" s="328"/>
      <c r="J3070" s="249"/>
      <c r="K3070" s="330"/>
      <c r="L3070" s="250"/>
      <c r="M3070" s="249"/>
      <c r="N3070" s="330"/>
      <c r="O3070" s="250"/>
      <c r="P3070" s="249"/>
      <c r="Q3070" s="330"/>
      <c r="R3070" s="250"/>
      <c r="S3070" s="249"/>
      <c r="T3070" s="330"/>
      <c r="U3070" s="250"/>
      <c r="V3070" s="249"/>
      <c r="W3070" s="330"/>
      <c r="X3070" s="343"/>
      <c r="Y3070" s="249"/>
      <c r="Z3070" s="330"/>
      <c r="AA3070" s="343"/>
      <c r="AB3070" s="249"/>
      <c r="AC3070" s="330"/>
      <c r="AD3070" s="343"/>
      <c r="AE3070" s="249"/>
      <c r="AF3070" s="330"/>
      <c r="AG3070" s="343"/>
      <c r="AH3070" s="249"/>
      <c r="AI3070" s="330"/>
      <c r="AJ3070" s="343"/>
      <c r="AK3070" s="249"/>
      <c r="AL3070" s="330"/>
      <c r="AM3070" s="343"/>
      <c r="AN3070" s="249"/>
      <c r="AO3070" s="330"/>
      <c r="AP3070" s="343"/>
      <c r="AQ3070" s="249"/>
      <c r="AR3070" s="330"/>
      <c r="AS3070" s="343"/>
      <c r="AT3070" s="249"/>
      <c r="AU3070" s="330"/>
    </row>
    <row r="3071" spans="2:47">
      <c r="B3071" s="247">
        <f>'Table S2 Compound Identifiers'!C3073</f>
        <v>0</v>
      </c>
      <c r="C3071" s="247">
        <f>COUNTIF($D$6:D3071,"&lt;&gt;"&amp;"")</f>
        <v>3066</v>
      </c>
      <c r="D3071" s="247">
        <f>'Table S2 Compound Identifiers'!B3073</f>
        <v>0</v>
      </c>
      <c r="E3071" s="247"/>
      <c r="F3071" s="248"/>
      <c r="G3071" s="249"/>
      <c r="H3071" s="330"/>
      <c r="I3071" s="328"/>
      <c r="J3071" s="249"/>
      <c r="K3071" s="330"/>
      <c r="L3071" s="250"/>
      <c r="M3071" s="249"/>
      <c r="N3071" s="330"/>
      <c r="O3071" s="250"/>
      <c r="P3071" s="249"/>
      <c r="Q3071" s="330"/>
      <c r="R3071" s="250"/>
      <c r="S3071" s="249"/>
      <c r="T3071" s="330"/>
      <c r="U3071" s="250"/>
      <c r="V3071" s="249"/>
      <c r="W3071" s="330"/>
      <c r="X3071" s="343"/>
      <c r="Y3071" s="249"/>
      <c r="Z3071" s="330"/>
      <c r="AA3071" s="343"/>
      <c r="AB3071" s="249"/>
      <c r="AC3071" s="330"/>
      <c r="AD3071" s="343"/>
      <c r="AE3071" s="249"/>
      <c r="AF3071" s="330"/>
      <c r="AG3071" s="343"/>
      <c r="AH3071" s="249"/>
      <c r="AI3071" s="330"/>
      <c r="AJ3071" s="343"/>
      <c r="AK3071" s="249"/>
      <c r="AL3071" s="330"/>
      <c r="AM3071" s="343"/>
      <c r="AN3071" s="249"/>
      <c r="AO3071" s="330"/>
      <c r="AP3071" s="343"/>
      <c r="AQ3071" s="249"/>
      <c r="AR3071" s="330"/>
      <c r="AS3071" s="343"/>
      <c r="AT3071" s="249"/>
      <c r="AU3071" s="330"/>
    </row>
    <row r="3072" spans="2:47">
      <c r="B3072" s="247">
        <f>'Table S2 Compound Identifiers'!C3074</f>
        <v>0</v>
      </c>
      <c r="C3072" s="247">
        <f>COUNTIF($D$6:D3072,"&lt;&gt;"&amp;"")</f>
        <v>3067</v>
      </c>
      <c r="D3072" s="247">
        <f>'Table S2 Compound Identifiers'!B3074</f>
        <v>0</v>
      </c>
      <c r="E3072" s="247"/>
      <c r="F3072" s="248"/>
      <c r="G3072" s="249"/>
      <c r="H3072" s="330"/>
      <c r="I3072" s="328"/>
      <c r="J3072" s="249"/>
      <c r="K3072" s="330"/>
      <c r="L3072" s="250"/>
      <c r="M3072" s="249"/>
      <c r="N3072" s="330"/>
      <c r="O3072" s="250"/>
      <c r="P3072" s="249"/>
      <c r="Q3072" s="330"/>
      <c r="R3072" s="250"/>
      <c r="S3072" s="249"/>
      <c r="T3072" s="330"/>
      <c r="U3072" s="250"/>
      <c r="V3072" s="249"/>
      <c r="W3072" s="330"/>
      <c r="X3072" s="343"/>
      <c r="Y3072" s="249"/>
      <c r="Z3072" s="330"/>
      <c r="AA3072" s="343"/>
      <c r="AB3072" s="249"/>
      <c r="AC3072" s="330"/>
      <c r="AD3072" s="343"/>
      <c r="AE3072" s="249"/>
      <c r="AF3072" s="330"/>
      <c r="AG3072" s="343"/>
      <c r="AH3072" s="249"/>
      <c r="AI3072" s="330"/>
      <c r="AJ3072" s="343"/>
      <c r="AK3072" s="249"/>
      <c r="AL3072" s="330"/>
      <c r="AM3072" s="343"/>
      <c r="AN3072" s="249"/>
      <c r="AO3072" s="330"/>
      <c r="AP3072" s="343"/>
      <c r="AQ3072" s="249"/>
      <c r="AR3072" s="330"/>
      <c r="AS3072" s="343"/>
      <c r="AT3072" s="249"/>
      <c r="AU3072" s="330"/>
    </row>
    <row r="3073" spans="2:47">
      <c r="B3073" s="247">
        <f>'Table S2 Compound Identifiers'!C3075</f>
        <v>0</v>
      </c>
      <c r="C3073" s="247">
        <f>COUNTIF($D$6:D3073,"&lt;&gt;"&amp;"")</f>
        <v>3068</v>
      </c>
      <c r="D3073" s="247">
        <f>'Table S2 Compound Identifiers'!B3075</f>
        <v>0</v>
      </c>
      <c r="E3073" s="247"/>
      <c r="F3073" s="248"/>
      <c r="G3073" s="249"/>
      <c r="H3073" s="330"/>
      <c r="I3073" s="328"/>
      <c r="J3073" s="249"/>
      <c r="K3073" s="330"/>
      <c r="L3073" s="250"/>
      <c r="M3073" s="249"/>
      <c r="N3073" s="330"/>
      <c r="O3073" s="250"/>
      <c r="P3073" s="249"/>
      <c r="Q3073" s="330"/>
      <c r="R3073" s="250"/>
      <c r="S3073" s="249"/>
      <c r="T3073" s="330"/>
      <c r="U3073" s="250"/>
      <c r="V3073" s="249"/>
      <c r="W3073" s="330"/>
      <c r="X3073" s="343"/>
      <c r="Y3073" s="249"/>
      <c r="Z3073" s="330"/>
      <c r="AA3073" s="343"/>
      <c r="AB3073" s="249"/>
      <c r="AC3073" s="330"/>
      <c r="AD3073" s="343"/>
      <c r="AE3073" s="249"/>
      <c r="AF3073" s="330"/>
      <c r="AG3073" s="343"/>
      <c r="AH3073" s="249"/>
      <c r="AI3073" s="330"/>
      <c r="AJ3073" s="343"/>
      <c r="AK3073" s="249"/>
      <c r="AL3073" s="330"/>
      <c r="AM3073" s="343"/>
      <c r="AN3073" s="249"/>
      <c r="AO3073" s="330"/>
      <c r="AP3073" s="343"/>
      <c r="AQ3073" s="249"/>
      <c r="AR3073" s="330"/>
      <c r="AS3073" s="343"/>
      <c r="AT3073" s="249"/>
      <c r="AU3073" s="330"/>
    </row>
    <row r="3074" spans="2:47">
      <c r="B3074" s="247">
        <f>'Table S2 Compound Identifiers'!C3076</f>
        <v>0</v>
      </c>
      <c r="C3074" s="247">
        <f>COUNTIF($D$6:D3074,"&lt;&gt;"&amp;"")</f>
        <v>3069</v>
      </c>
      <c r="D3074" s="247">
        <f>'Table S2 Compound Identifiers'!B3076</f>
        <v>0</v>
      </c>
      <c r="E3074" s="247"/>
      <c r="F3074" s="248"/>
      <c r="G3074" s="249"/>
      <c r="H3074" s="330"/>
      <c r="I3074" s="328"/>
      <c r="J3074" s="249"/>
      <c r="K3074" s="330"/>
      <c r="L3074" s="250"/>
      <c r="M3074" s="249"/>
      <c r="N3074" s="330"/>
      <c r="O3074" s="250"/>
      <c r="P3074" s="249"/>
      <c r="Q3074" s="330"/>
      <c r="R3074" s="250"/>
      <c r="S3074" s="249"/>
      <c r="T3074" s="330"/>
      <c r="U3074" s="250"/>
      <c r="V3074" s="249"/>
      <c r="W3074" s="330"/>
      <c r="X3074" s="343"/>
      <c r="Y3074" s="249"/>
      <c r="Z3074" s="330"/>
      <c r="AA3074" s="343"/>
      <c r="AB3074" s="249"/>
      <c r="AC3074" s="330"/>
      <c r="AD3074" s="343"/>
      <c r="AE3074" s="249"/>
      <c r="AF3074" s="330"/>
      <c r="AG3074" s="343"/>
      <c r="AH3074" s="249"/>
      <c r="AI3074" s="330"/>
      <c r="AJ3074" s="343"/>
      <c r="AK3074" s="249"/>
      <c r="AL3074" s="330"/>
      <c r="AM3074" s="343"/>
      <c r="AN3074" s="249"/>
      <c r="AO3074" s="330"/>
      <c r="AP3074" s="343"/>
      <c r="AQ3074" s="249"/>
      <c r="AR3074" s="330"/>
      <c r="AS3074" s="343"/>
      <c r="AT3074" s="249"/>
      <c r="AU3074" s="330"/>
    </row>
    <row r="3075" spans="2:47">
      <c r="B3075" s="247">
        <f>'Table S2 Compound Identifiers'!C3077</f>
        <v>0</v>
      </c>
      <c r="C3075" s="247">
        <f>COUNTIF($D$6:D3075,"&lt;&gt;"&amp;"")</f>
        <v>3070</v>
      </c>
      <c r="D3075" s="247">
        <f>'Table S2 Compound Identifiers'!B3077</f>
        <v>0</v>
      </c>
      <c r="E3075" s="247"/>
      <c r="F3075" s="248"/>
      <c r="G3075" s="249"/>
      <c r="H3075" s="330"/>
      <c r="I3075" s="328"/>
      <c r="J3075" s="249"/>
      <c r="K3075" s="330"/>
      <c r="L3075" s="250"/>
      <c r="M3075" s="249"/>
      <c r="N3075" s="330"/>
      <c r="O3075" s="250"/>
      <c r="P3075" s="249"/>
      <c r="Q3075" s="330"/>
      <c r="R3075" s="250"/>
      <c r="S3075" s="249"/>
      <c r="T3075" s="330"/>
      <c r="U3075" s="250"/>
      <c r="V3075" s="249"/>
      <c r="W3075" s="330"/>
      <c r="X3075" s="343"/>
      <c r="Y3075" s="249"/>
      <c r="Z3075" s="330"/>
      <c r="AA3075" s="343"/>
      <c r="AB3075" s="249"/>
      <c r="AC3075" s="330"/>
      <c r="AD3075" s="343"/>
      <c r="AE3075" s="249"/>
      <c r="AF3075" s="330"/>
      <c r="AG3075" s="343"/>
      <c r="AH3075" s="249"/>
      <c r="AI3075" s="330"/>
      <c r="AJ3075" s="343"/>
      <c r="AK3075" s="249"/>
      <c r="AL3075" s="330"/>
      <c r="AM3075" s="343"/>
      <c r="AN3075" s="249"/>
      <c r="AO3075" s="330"/>
      <c r="AP3075" s="343"/>
      <c r="AQ3075" s="249"/>
      <c r="AR3075" s="330"/>
      <c r="AS3075" s="343"/>
      <c r="AT3075" s="249"/>
      <c r="AU3075" s="330"/>
    </row>
    <row r="3076" spans="2:47">
      <c r="B3076" s="247">
        <f>'Table S2 Compound Identifiers'!C3078</f>
        <v>0</v>
      </c>
      <c r="C3076" s="247">
        <f>COUNTIF($D$6:D3076,"&lt;&gt;"&amp;"")</f>
        <v>3071</v>
      </c>
      <c r="D3076" s="247">
        <f>'Table S2 Compound Identifiers'!B3078</f>
        <v>0</v>
      </c>
      <c r="E3076" s="247"/>
      <c r="F3076" s="248"/>
      <c r="G3076" s="249"/>
      <c r="H3076" s="330"/>
      <c r="I3076" s="328"/>
      <c r="J3076" s="249"/>
      <c r="K3076" s="330"/>
      <c r="L3076" s="250"/>
      <c r="M3076" s="249"/>
      <c r="N3076" s="330"/>
      <c r="O3076" s="250"/>
      <c r="P3076" s="249"/>
      <c r="Q3076" s="330"/>
      <c r="R3076" s="250"/>
      <c r="S3076" s="249"/>
      <c r="T3076" s="330"/>
      <c r="U3076" s="250"/>
      <c r="V3076" s="249"/>
      <c r="W3076" s="330"/>
      <c r="X3076" s="343"/>
      <c r="Y3076" s="249"/>
      <c r="Z3076" s="330"/>
      <c r="AA3076" s="343"/>
      <c r="AB3076" s="249"/>
      <c r="AC3076" s="330"/>
      <c r="AD3076" s="343"/>
      <c r="AE3076" s="249"/>
      <c r="AF3076" s="330"/>
      <c r="AG3076" s="343"/>
      <c r="AH3076" s="249"/>
      <c r="AI3076" s="330"/>
      <c r="AJ3076" s="343"/>
      <c r="AK3076" s="249"/>
      <c r="AL3076" s="330"/>
      <c r="AM3076" s="343"/>
      <c r="AN3076" s="249"/>
      <c r="AO3076" s="330"/>
      <c r="AP3076" s="343"/>
      <c r="AQ3076" s="249"/>
      <c r="AR3076" s="330"/>
      <c r="AS3076" s="343"/>
      <c r="AT3076" s="249"/>
      <c r="AU3076" s="330"/>
    </row>
    <row r="3077" spans="2:47">
      <c r="B3077" s="247">
        <f>'Table S2 Compound Identifiers'!C3079</f>
        <v>0</v>
      </c>
      <c r="C3077" s="247">
        <f>COUNTIF($D$6:D3077,"&lt;&gt;"&amp;"")</f>
        <v>3072</v>
      </c>
      <c r="D3077" s="247">
        <f>'Table S2 Compound Identifiers'!B3079</f>
        <v>0</v>
      </c>
      <c r="E3077" s="247"/>
      <c r="F3077" s="248"/>
      <c r="G3077" s="249"/>
      <c r="H3077" s="330"/>
      <c r="I3077" s="328"/>
      <c r="J3077" s="249"/>
      <c r="K3077" s="330"/>
      <c r="L3077" s="250"/>
      <c r="M3077" s="249"/>
      <c r="N3077" s="330"/>
      <c r="O3077" s="250"/>
      <c r="P3077" s="249"/>
      <c r="Q3077" s="330"/>
      <c r="R3077" s="250"/>
      <c r="S3077" s="249"/>
      <c r="T3077" s="330"/>
      <c r="U3077" s="250"/>
      <c r="V3077" s="249"/>
      <c r="W3077" s="330"/>
      <c r="X3077" s="343"/>
      <c r="Y3077" s="249"/>
      <c r="Z3077" s="330"/>
      <c r="AA3077" s="343"/>
      <c r="AB3077" s="249"/>
      <c r="AC3077" s="330"/>
      <c r="AD3077" s="343"/>
      <c r="AE3077" s="249"/>
      <c r="AF3077" s="330"/>
      <c r="AG3077" s="343"/>
      <c r="AH3077" s="249"/>
      <c r="AI3077" s="330"/>
      <c r="AJ3077" s="343"/>
      <c r="AK3077" s="249"/>
      <c r="AL3077" s="330"/>
      <c r="AM3077" s="343"/>
      <c r="AN3077" s="249"/>
      <c r="AO3077" s="330"/>
      <c r="AP3077" s="343"/>
      <c r="AQ3077" s="249"/>
      <c r="AR3077" s="330"/>
      <c r="AS3077" s="343"/>
      <c r="AT3077" s="249"/>
      <c r="AU3077" s="330"/>
    </row>
    <row r="3078" spans="2:47">
      <c r="B3078" s="247">
        <f>'Table S2 Compound Identifiers'!C3080</f>
        <v>0</v>
      </c>
      <c r="C3078" s="247">
        <f>COUNTIF($D$6:D3078,"&lt;&gt;"&amp;"")</f>
        <v>3073</v>
      </c>
      <c r="D3078" s="247">
        <f>'Table S2 Compound Identifiers'!B3080</f>
        <v>0</v>
      </c>
      <c r="E3078" s="247"/>
      <c r="F3078" s="248"/>
      <c r="G3078" s="249"/>
      <c r="H3078" s="330"/>
      <c r="I3078" s="328"/>
      <c r="J3078" s="249"/>
      <c r="K3078" s="330"/>
      <c r="L3078" s="250"/>
      <c r="M3078" s="249"/>
      <c r="N3078" s="330"/>
      <c r="O3078" s="250"/>
      <c r="P3078" s="249"/>
      <c r="Q3078" s="330"/>
      <c r="R3078" s="250"/>
      <c r="S3078" s="249"/>
      <c r="T3078" s="330"/>
      <c r="U3078" s="250"/>
      <c r="V3078" s="249"/>
      <c r="W3078" s="330"/>
      <c r="X3078" s="343"/>
      <c r="Y3078" s="249"/>
      <c r="Z3078" s="330"/>
      <c r="AA3078" s="343"/>
      <c r="AB3078" s="249"/>
      <c r="AC3078" s="330"/>
      <c r="AD3078" s="343"/>
      <c r="AE3078" s="249"/>
      <c r="AF3078" s="330"/>
      <c r="AG3078" s="343"/>
      <c r="AH3078" s="249"/>
      <c r="AI3078" s="330"/>
      <c r="AJ3078" s="343"/>
      <c r="AK3078" s="249"/>
      <c r="AL3078" s="330"/>
      <c r="AM3078" s="343"/>
      <c r="AN3078" s="249"/>
      <c r="AO3078" s="330"/>
      <c r="AP3078" s="343"/>
      <c r="AQ3078" s="249"/>
      <c r="AR3078" s="330"/>
      <c r="AS3078" s="343"/>
      <c r="AT3078" s="249"/>
      <c r="AU3078" s="330"/>
    </row>
    <row r="3079" spans="2:47">
      <c r="B3079" s="247">
        <f>'Table S2 Compound Identifiers'!C3081</f>
        <v>0</v>
      </c>
      <c r="C3079" s="247">
        <f>COUNTIF($D$6:D3079,"&lt;&gt;"&amp;"")</f>
        <v>3074</v>
      </c>
      <c r="D3079" s="247">
        <f>'Table S2 Compound Identifiers'!B3081</f>
        <v>0</v>
      </c>
      <c r="E3079" s="247"/>
      <c r="F3079" s="248"/>
      <c r="G3079" s="249"/>
      <c r="H3079" s="330"/>
      <c r="I3079" s="328"/>
      <c r="J3079" s="249"/>
      <c r="K3079" s="330"/>
      <c r="L3079" s="250"/>
      <c r="M3079" s="249"/>
      <c r="N3079" s="330"/>
      <c r="O3079" s="250"/>
      <c r="P3079" s="249"/>
      <c r="Q3079" s="330"/>
      <c r="R3079" s="250"/>
      <c r="S3079" s="249"/>
      <c r="T3079" s="330"/>
      <c r="U3079" s="250"/>
      <c r="V3079" s="249"/>
      <c r="W3079" s="330"/>
      <c r="X3079" s="343"/>
      <c r="Y3079" s="249"/>
      <c r="Z3079" s="330"/>
      <c r="AA3079" s="343"/>
      <c r="AB3079" s="249"/>
      <c r="AC3079" s="330"/>
      <c r="AD3079" s="343"/>
      <c r="AE3079" s="249"/>
      <c r="AF3079" s="330"/>
      <c r="AG3079" s="343"/>
      <c r="AH3079" s="249"/>
      <c r="AI3079" s="330"/>
      <c r="AJ3079" s="343"/>
      <c r="AK3079" s="249"/>
      <c r="AL3079" s="330"/>
      <c r="AM3079" s="343"/>
      <c r="AN3079" s="249"/>
      <c r="AO3079" s="330"/>
      <c r="AP3079" s="343"/>
      <c r="AQ3079" s="249"/>
      <c r="AR3079" s="330"/>
      <c r="AS3079" s="343"/>
      <c r="AT3079" s="249"/>
      <c r="AU3079" s="330"/>
    </row>
    <row r="3080" spans="2:47">
      <c r="B3080" s="247">
        <f>'Table S2 Compound Identifiers'!C3082</f>
        <v>0</v>
      </c>
      <c r="C3080" s="247">
        <f>COUNTIF($D$6:D3080,"&lt;&gt;"&amp;"")</f>
        <v>3075</v>
      </c>
      <c r="D3080" s="247">
        <f>'Table S2 Compound Identifiers'!B3082</f>
        <v>0</v>
      </c>
      <c r="E3080" s="247"/>
      <c r="F3080" s="248"/>
      <c r="G3080" s="249"/>
      <c r="H3080" s="330"/>
      <c r="I3080" s="328"/>
      <c r="J3080" s="249"/>
      <c r="K3080" s="330"/>
      <c r="L3080" s="250"/>
      <c r="M3080" s="249"/>
      <c r="N3080" s="330"/>
      <c r="O3080" s="250"/>
      <c r="P3080" s="249"/>
      <c r="Q3080" s="330"/>
      <c r="R3080" s="250"/>
      <c r="S3080" s="249"/>
      <c r="T3080" s="330"/>
      <c r="U3080" s="250"/>
      <c r="V3080" s="249"/>
      <c r="W3080" s="330"/>
      <c r="X3080" s="343"/>
      <c r="Y3080" s="249"/>
      <c r="Z3080" s="330"/>
      <c r="AA3080" s="343"/>
      <c r="AB3080" s="249"/>
      <c r="AC3080" s="330"/>
      <c r="AD3080" s="343"/>
      <c r="AE3080" s="249"/>
      <c r="AF3080" s="330"/>
      <c r="AG3080" s="343"/>
      <c r="AH3080" s="249"/>
      <c r="AI3080" s="330"/>
      <c r="AJ3080" s="343"/>
      <c r="AK3080" s="249"/>
      <c r="AL3080" s="330"/>
      <c r="AM3080" s="343"/>
      <c r="AN3080" s="249"/>
      <c r="AO3080" s="330"/>
      <c r="AP3080" s="343"/>
      <c r="AQ3080" s="249"/>
      <c r="AR3080" s="330"/>
      <c r="AS3080" s="343"/>
      <c r="AT3080" s="249"/>
      <c r="AU3080" s="330"/>
    </row>
    <row r="3081" spans="2:47">
      <c r="B3081" s="247">
        <f>'Table S2 Compound Identifiers'!C3083</f>
        <v>0</v>
      </c>
      <c r="C3081" s="247">
        <f>COUNTIF($D$6:D3081,"&lt;&gt;"&amp;"")</f>
        <v>3076</v>
      </c>
      <c r="D3081" s="247">
        <f>'Table S2 Compound Identifiers'!B3083</f>
        <v>0</v>
      </c>
      <c r="E3081" s="247"/>
      <c r="F3081" s="248"/>
      <c r="G3081" s="249"/>
      <c r="H3081" s="330"/>
      <c r="I3081" s="328"/>
      <c r="J3081" s="249"/>
      <c r="K3081" s="330"/>
      <c r="L3081" s="250"/>
      <c r="M3081" s="249"/>
      <c r="N3081" s="330"/>
      <c r="O3081" s="250"/>
      <c r="P3081" s="249"/>
      <c r="Q3081" s="330"/>
      <c r="R3081" s="250"/>
      <c r="S3081" s="249"/>
      <c r="T3081" s="330"/>
      <c r="U3081" s="250"/>
      <c r="V3081" s="249"/>
      <c r="W3081" s="330"/>
      <c r="X3081" s="343"/>
      <c r="Y3081" s="249"/>
      <c r="Z3081" s="330"/>
      <c r="AA3081" s="343"/>
      <c r="AB3081" s="249"/>
      <c r="AC3081" s="330"/>
      <c r="AD3081" s="343"/>
      <c r="AE3081" s="249"/>
      <c r="AF3081" s="330"/>
      <c r="AG3081" s="343"/>
      <c r="AH3081" s="249"/>
      <c r="AI3081" s="330"/>
      <c r="AJ3081" s="343"/>
      <c r="AK3081" s="249"/>
      <c r="AL3081" s="330"/>
      <c r="AM3081" s="343"/>
      <c r="AN3081" s="249"/>
      <c r="AO3081" s="330"/>
      <c r="AP3081" s="343"/>
      <c r="AQ3081" s="249"/>
      <c r="AR3081" s="330"/>
      <c r="AS3081" s="343"/>
      <c r="AT3081" s="249"/>
      <c r="AU3081" s="330"/>
    </row>
    <row r="3082" spans="2:47">
      <c r="B3082" s="247">
        <f>'Table S2 Compound Identifiers'!C3084</f>
        <v>0</v>
      </c>
      <c r="C3082" s="247">
        <f>COUNTIF($D$6:D3082,"&lt;&gt;"&amp;"")</f>
        <v>3077</v>
      </c>
      <c r="D3082" s="247">
        <f>'Table S2 Compound Identifiers'!B3084</f>
        <v>0</v>
      </c>
      <c r="E3082" s="247"/>
      <c r="F3082" s="248"/>
      <c r="G3082" s="249"/>
      <c r="H3082" s="330"/>
      <c r="I3082" s="328"/>
      <c r="J3082" s="249"/>
      <c r="K3082" s="330"/>
      <c r="L3082" s="250"/>
      <c r="M3082" s="249"/>
      <c r="N3082" s="330"/>
      <c r="O3082" s="250"/>
      <c r="P3082" s="249"/>
      <c r="Q3082" s="330"/>
      <c r="R3082" s="250"/>
      <c r="S3082" s="249"/>
      <c r="T3082" s="330"/>
      <c r="U3082" s="250"/>
      <c r="V3082" s="249"/>
      <c r="W3082" s="330"/>
      <c r="X3082" s="343"/>
      <c r="Y3082" s="249"/>
      <c r="Z3082" s="330"/>
      <c r="AA3082" s="343"/>
      <c r="AB3082" s="249"/>
      <c r="AC3082" s="330"/>
      <c r="AD3082" s="343"/>
      <c r="AE3082" s="249"/>
      <c r="AF3082" s="330"/>
      <c r="AG3082" s="343"/>
      <c r="AH3082" s="249"/>
      <c r="AI3082" s="330"/>
      <c r="AJ3082" s="343"/>
      <c r="AK3082" s="249"/>
      <c r="AL3082" s="330"/>
      <c r="AM3082" s="343"/>
      <c r="AN3082" s="249"/>
      <c r="AO3082" s="330"/>
      <c r="AP3082" s="343"/>
      <c r="AQ3082" s="249"/>
      <c r="AR3082" s="330"/>
      <c r="AS3082" s="343"/>
      <c r="AT3082" s="249"/>
      <c r="AU3082" s="330"/>
    </row>
    <row r="3083" spans="2:47">
      <c r="B3083" s="247">
        <f>'Table S2 Compound Identifiers'!C3085</f>
        <v>0</v>
      </c>
      <c r="C3083" s="247">
        <f>COUNTIF($D$6:D3083,"&lt;&gt;"&amp;"")</f>
        <v>3078</v>
      </c>
      <c r="D3083" s="247">
        <f>'Table S2 Compound Identifiers'!B3085</f>
        <v>0</v>
      </c>
      <c r="E3083" s="247"/>
      <c r="F3083" s="248"/>
      <c r="G3083" s="249"/>
      <c r="H3083" s="330"/>
      <c r="I3083" s="328"/>
      <c r="J3083" s="249"/>
      <c r="K3083" s="330"/>
      <c r="L3083" s="250"/>
      <c r="M3083" s="249"/>
      <c r="N3083" s="330"/>
      <c r="O3083" s="250"/>
      <c r="P3083" s="249"/>
      <c r="Q3083" s="330"/>
      <c r="R3083" s="250"/>
      <c r="S3083" s="249"/>
      <c r="T3083" s="330"/>
      <c r="U3083" s="250"/>
      <c r="V3083" s="249"/>
      <c r="W3083" s="330"/>
      <c r="X3083" s="343"/>
      <c r="Y3083" s="249"/>
      <c r="Z3083" s="330"/>
      <c r="AA3083" s="343"/>
      <c r="AB3083" s="249"/>
      <c r="AC3083" s="330"/>
      <c r="AD3083" s="343"/>
      <c r="AE3083" s="249"/>
      <c r="AF3083" s="330"/>
      <c r="AG3083" s="343"/>
      <c r="AH3083" s="249"/>
      <c r="AI3083" s="330"/>
      <c r="AJ3083" s="343"/>
      <c r="AK3083" s="249"/>
      <c r="AL3083" s="330"/>
      <c r="AM3083" s="343"/>
      <c r="AN3083" s="249"/>
      <c r="AO3083" s="330"/>
      <c r="AP3083" s="343"/>
      <c r="AQ3083" s="249"/>
      <c r="AR3083" s="330"/>
      <c r="AS3083" s="343"/>
      <c r="AT3083" s="249"/>
      <c r="AU3083" s="330"/>
    </row>
    <row r="3084" spans="2:47">
      <c r="B3084" s="247">
        <f>'Table S2 Compound Identifiers'!C3086</f>
        <v>0</v>
      </c>
      <c r="C3084" s="247">
        <f>COUNTIF($D$6:D3084,"&lt;&gt;"&amp;"")</f>
        <v>3079</v>
      </c>
      <c r="D3084" s="247">
        <f>'Table S2 Compound Identifiers'!B3086</f>
        <v>0</v>
      </c>
      <c r="E3084" s="247"/>
      <c r="F3084" s="248"/>
      <c r="G3084" s="249"/>
      <c r="H3084" s="330"/>
      <c r="I3084" s="328"/>
      <c r="J3084" s="249"/>
      <c r="K3084" s="330"/>
      <c r="L3084" s="250"/>
      <c r="M3084" s="249"/>
      <c r="N3084" s="330"/>
      <c r="O3084" s="250"/>
      <c r="P3084" s="249"/>
      <c r="Q3084" s="330"/>
      <c r="R3084" s="250"/>
      <c r="S3084" s="249"/>
      <c r="T3084" s="330"/>
      <c r="U3084" s="250"/>
      <c r="V3084" s="249"/>
      <c r="W3084" s="330"/>
      <c r="X3084" s="343"/>
      <c r="Y3084" s="249"/>
      <c r="Z3084" s="330"/>
      <c r="AA3084" s="343"/>
      <c r="AB3084" s="249"/>
      <c r="AC3084" s="330"/>
      <c r="AD3084" s="343"/>
      <c r="AE3084" s="249"/>
      <c r="AF3084" s="330"/>
      <c r="AG3084" s="343"/>
      <c r="AH3084" s="249"/>
      <c r="AI3084" s="330"/>
      <c r="AJ3084" s="343"/>
      <c r="AK3084" s="249"/>
      <c r="AL3084" s="330"/>
      <c r="AM3084" s="343"/>
      <c r="AN3084" s="249"/>
      <c r="AO3084" s="330"/>
      <c r="AP3084" s="343"/>
      <c r="AQ3084" s="249"/>
      <c r="AR3084" s="330"/>
      <c r="AS3084" s="343"/>
      <c r="AT3084" s="249"/>
      <c r="AU3084" s="330"/>
    </row>
    <row r="3085" spans="2:47">
      <c r="B3085" s="247">
        <f>'Table S2 Compound Identifiers'!C3087</f>
        <v>0</v>
      </c>
      <c r="C3085" s="247">
        <f>COUNTIF($D$6:D3085,"&lt;&gt;"&amp;"")</f>
        <v>3080</v>
      </c>
      <c r="D3085" s="247">
        <f>'Table S2 Compound Identifiers'!B3087</f>
        <v>0</v>
      </c>
      <c r="E3085" s="247"/>
      <c r="F3085" s="248"/>
      <c r="G3085" s="249"/>
      <c r="H3085" s="330"/>
      <c r="I3085" s="328"/>
      <c r="J3085" s="249"/>
      <c r="K3085" s="330"/>
      <c r="L3085" s="250"/>
      <c r="M3085" s="249"/>
      <c r="N3085" s="330"/>
      <c r="O3085" s="250"/>
      <c r="P3085" s="249"/>
      <c r="Q3085" s="330"/>
      <c r="R3085" s="250"/>
      <c r="S3085" s="249"/>
      <c r="T3085" s="330"/>
      <c r="U3085" s="250"/>
      <c r="V3085" s="249"/>
      <c r="W3085" s="330"/>
      <c r="X3085" s="343"/>
      <c r="Y3085" s="249"/>
      <c r="Z3085" s="330"/>
      <c r="AA3085" s="343"/>
      <c r="AB3085" s="249"/>
      <c r="AC3085" s="330"/>
      <c r="AD3085" s="343"/>
      <c r="AE3085" s="249"/>
      <c r="AF3085" s="330"/>
      <c r="AG3085" s="343"/>
      <c r="AH3085" s="249"/>
      <c r="AI3085" s="330"/>
      <c r="AJ3085" s="343"/>
      <c r="AK3085" s="249"/>
      <c r="AL3085" s="330"/>
      <c r="AM3085" s="343"/>
      <c r="AN3085" s="249"/>
      <c r="AO3085" s="330"/>
      <c r="AP3085" s="343"/>
      <c r="AQ3085" s="249"/>
      <c r="AR3085" s="330"/>
      <c r="AS3085" s="343"/>
      <c r="AT3085" s="249"/>
      <c r="AU3085" s="330"/>
    </row>
    <row r="3086" spans="2:47">
      <c r="B3086" s="247">
        <f>'Table S2 Compound Identifiers'!C3088</f>
        <v>0</v>
      </c>
      <c r="C3086" s="247">
        <f>COUNTIF($D$6:D3086,"&lt;&gt;"&amp;"")</f>
        <v>3081</v>
      </c>
      <c r="D3086" s="247">
        <f>'Table S2 Compound Identifiers'!B3088</f>
        <v>0</v>
      </c>
      <c r="E3086" s="247"/>
      <c r="F3086" s="248"/>
      <c r="G3086" s="249"/>
      <c r="H3086" s="330"/>
      <c r="I3086" s="328"/>
      <c r="J3086" s="249"/>
      <c r="K3086" s="330"/>
      <c r="L3086" s="250"/>
      <c r="M3086" s="249"/>
      <c r="N3086" s="330"/>
      <c r="O3086" s="250"/>
      <c r="P3086" s="249"/>
      <c r="Q3086" s="330"/>
      <c r="R3086" s="250"/>
      <c r="S3086" s="249"/>
      <c r="T3086" s="330"/>
      <c r="U3086" s="250"/>
      <c r="V3086" s="249"/>
      <c r="W3086" s="330"/>
      <c r="X3086" s="343"/>
      <c r="Y3086" s="249"/>
      <c r="Z3086" s="330"/>
      <c r="AA3086" s="343"/>
      <c r="AB3086" s="249"/>
      <c r="AC3086" s="330"/>
      <c r="AD3086" s="343"/>
      <c r="AE3086" s="249"/>
      <c r="AF3086" s="330"/>
      <c r="AG3086" s="343"/>
      <c r="AH3086" s="249"/>
      <c r="AI3086" s="330"/>
      <c r="AJ3086" s="343"/>
      <c r="AK3086" s="249"/>
      <c r="AL3086" s="330"/>
      <c r="AM3086" s="343"/>
      <c r="AN3086" s="249"/>
      <c r="AO3086" s="330"/>
      <c r="AP3086" s="343"/>
      <c r="AQ3086" s="249"/>
      <c r="AR3086" s="330"/>
      <c r="AS3086" s="343"/>
      <c r="AT3086" s="249"/>
      <c r="AU3086" s="330"/>
    </row>
    <row r="3087" spans="2:47">
      <c r="B3087" s="247">
        <f>'Table S2 Compound Identifiers'!C3089</f>
        <v>0</v>
      </c>
      <c r="C3087" s="247">
        <f>COUNTIF($D$6:D3087,"&lt;&gt;"&amp;"")</f>
        <v>3082</v>
      </c>
      <c r="D3087" s="247">
        <f>'Table S2 Compound Identifiers'!B3089</f>
        <v>0</v>
      </c>
      <c r="E3087" s="247"/>
      <c r="F3087" s="248"/>
      <c r="G3087" s="249"/>
      <c r="H3087" s="330"/>
      <c r="I3087" s="328"/>
      <c r="J3087" s="249"/>
      <c r="K3087" s="330"/>
      <c r="L3087" s="250"/>
      <c r="M3087" s="249"/>
      <c r="N3087" s="330"/>
      <c r="O3087" s="250"/>
      <c r="P3087" s="249"/>
      <c r="Q3087" s="330"/>
      <c r="R3087" s="250"/>
      <c r="S3087" s="249"/>
      <c r="T3087" s="330"/>
      <c r="U3087" s="250"/>
      <c r="V3087" s="249"/>
      <c r="W3087" s="330"/>
      <c r="X3087" s="343"/>
      <c r="Y3087" s="249"/>
      <c r="Z3087" s="330"/>
      <c r="AA3087" s="343"/>
      <c r="AB3087" s="249"/>
      <c r="AC3087" s="330"/>
      <c r="AD3087" s="343"/>
      <c r="AE3087" s="249"/>
      <c r="AF3087" s="330"/>
      <c r="AG3087" s="343"/>
      <c r="AH3087" s="249"/>
      <c r="AI3087" s="330"/>
      <c r="AJ3087" s="343"/>
      <c r="AK3087" s="249"/>
      <c r="AL3087" s="330"/>
      <c r="AM3087" s="343"/>
      <c r="AN3087" s="249"/>
      <c r="AO3087" s="330"/>
      <c r="AP3087" s="343"/>
      <c r="AQ3087" s="249"/>
      <c r="AR3087" s="330"/>
      <c r="AS3087" s="343"/>
      <c r="AT3087" s="249"/>
      <c r="AU3087" s="330"/>
    </row>
    <row r="3088" spans="2:47">
      <c r="B3088" s="247">
        <f>'Table S2 Compound Identifiers'!C3090</f>
        <v>0</v>
      </c>
      <c r="C3088" s="247">
        <f>COUNTIF($D$6:D3088,"&lt;&gt;"&amp;"")</f>
        <v>3083</v>
      </c>
      <c r="D3088" s="247">
        <f>'Table S2 Compound Identifiers'!B3090</f>
        <v>0</v>
      </c>
      <c r="E3088" s="247"/>
      <c r="F3088" s="248"/>
      <c r="G3088" s="249"/>
      <c r="H3088" s="330"/>
      <c r="I3088" s="328"/>
      <c r="J3088" s="249"/>
      <c r="K3088" s="330"/>
      <c r="L3088" s="250"/>
      <c r="M3088" s="249"/>
      <c r="N3088" s="330"/>
      <c r="O3088" s="250"/>
      <c r="P3088" s="249"/>
      <c r="Q3088" s="330"/>
      <c r="R3088" s="250"/>
      <c r="S3088" s="249"/>
      <c r="T3088" s="330"/>
      <c r="U3088" s="250"/>
      <c r="V3088" s="249"/>
      <c r="W3088" s="330"/>
      <c r="X3088" s="343"/>
      <c r="Y3088" s="249"/>
      <c r="Z3088" s="330"/>
      <c r="AA3088" s="343"/>
      <c r="AB3088" s="249"/>
      <c r="AC3088" s="330"/>
      <c r="AD3088" s="343"/>
      <c r="AE3088" s="249"/>
      <c r="AF3088" s="330"/>
      <c r="AG3088" s="343"/>
      <c r="AH3088" s="249"/>
      <c r="AI3088" s="330"/>
      <c r="AJ3088" s="343"/>
      <c r="AK3088" s="249"/>
      <c r="AL3088" s="330"/>
      <c r="AM3088" s="343"/>
      <c r="AN3088" s="249"/>
      <c r="AO3088" s="330"/>
      <c r="AP3088" s="343"/>
      <c r="AQ3088" s="249"/>
      <c r="AR3088" s="330"/>
      <c r="AS3088" s="343"/>
      <c r="AT3088" s="249"/>
      <c r="AU3088" s="330"/>
    </row>
    <row r="3089" spans="2:47">
      <c r="B3089" s="247">
        <f>'Table S2 Compound Identifiers'!C3091</f>
        <v>0</v>
      </c>
      <c r="C3089" s="247">
        <f>COUNTIF($D$6:D3089,"&lt;&gt;"&amp;"")</f>
        <v>3084</v>
      </c>
      <c r="D3089" s="247">
        <f>'Table S2 Compound Identifiers'!B3091</f>
        <v>0</v>
      </c>
      <c r="E3089" s="247"/>
      <c r="F3089" s="248"/>
      <c r="G3089" s="249"/>
      <c r="H3089" s="330"/>
      <c r="I3089" s="328"/>
      <c r="J3089" s="249"/>
      <c r="K3089" s="330"/>
      <c r="L3089" s="250"/>
      <c r="M3089" s="249"/>
      <c r="N3089" s="330"/>
      <c r="O3089" s="250"/>
      <c r="P3089" s="249"/>
      <c r="Q3089" s="330"/>
      <c r="R3089" s="250"/>
      <c r="S3089" s="249"/>
      <c r="T3089" s="330"/>
      <c r="U3089" s="250"/>
      <c r="V3089" s="249"/>
      <c r="W3089" s="330"/>
      <c r="X3089" s="343"/>
      <c r="Y3089" s="249"/>
      <c r="Z3089" s="330"/>
      <c r="AA3089" s="343"/>
      <c r="AB3089" s="249"/>
      <c r="AC3089" s="330"/>
      <c r="AD3089" s="343"/>
      <c r="AE3089" s="249"/>
      <c r="AF3089" s="330"/>
      <c r="AG3089" s="343"/>
      <c r="AH3089" s="249"/>
      <c r="AI3089" s="330"/>
      <c r="AJ3089" s="343"/>
      <c r="AK3089" s="249"/>
      <c r="AL3089" s="330"/>
      <c r="AM3089" s="343"/>
      <c r="AN3089" s="249"/>
      <c r="AO3089" s="330"/>
      <c r="AP3089" s="343"/>
      <c r="AQ3089" s="249"/>
      <c r="AR3089" s="330"/>
      <c r="AS3089" s="343"/>
      <c r="AT3089" s="249"/>
      <c r="AU3089" s="330"/>
    </row>
    <row r="3090" spans="2:47">
      <c r="B3090" s="247">
        <f>'Table S2 Compound Identifiers'!C3092</f>
        <v>0</v>
      </c>
      <c r="C3090" s="247">
        <f>COUNTIF($D$6:D3090,"&lt;&gt;"&amp;"")</f>
        <v>3085</v>
      </c>
      <c r="D3090" s="247">
        <f>'Table S2 Compound Identifiers'!B3092</f>
        <v>0</v>
      </c>
      <c r="E3090" s="247"/>
      <c r="F3090" s="248"/>
      <c r="G3090" s="249"/>
      <c r="H3090" s="330"/>
      <c r="I3090" s="328"/>
      <c r="J3090" s="249"/>
      <c r="K3090" s="330"/>
      <c r="L3090" s="250"/>
      <c r="M3090" s="249"/>
      <c r="N3090" s="330"/>
      <c r="O3090" s="250"/>
      <c r="P3090" s="249"/>
      <c r="Q3090" s="330"/>
      <c r="R3090" s="250"/>
      <c r="S3090" s="249"/>
      <c r="T3090" s="330"/>
      <c r="U3090" s="250"/>
      <c r="V3090" s="249"/>
      <c r="W3090" s="330"/>
      <c r="X3090" s="343"/>
      <c r="Y3090" s="249"/>
      <c r="Z3090" s="330"/>
      <c r="AA3090" s="343"/>
      <c r="AB3090" s="249"/>
      <c r="AC3090" s="330"/>
      <c r="AD3090" s="343"/>
      <c r="AE3090" s="249"/>
      <c r="AF3090" s="330"/>
      <c r="AG3090" s="343"/>
      <c r="AH3090" s="249"/>
      <c r="AI3090" s="330"/>
      <c r="AJ3090" s="343"/>
      <c r="AK3090" s="249"/>
      <c r="AL3090" s="330"/>
      <c r="AM3090" s="343"/>
      <c r="AN3090" s="249"/>
      <c r="AO3090" s="330"/>
      <c r="AP3090" s="343"/>
      <c r="AQ3090" s="249"/>
      <c r="AR3090" s="330"/>
      <c r="AS3090" s="343"/>
      <c r="AT3090" s="249"/>
      <c r="AU3090" s="330"/>
    </row>
    <row r="3091" spans="2:47">
      <c r="B3091" s="247">
        <f>'Table S2 Compound Identifiers'!C3093</f>
        <v>0</v>
      </c>
      <c r="C3091" s="247">
        <f>COUNTIF($D$6:D3091,"&lt;&gt;"&amp;"")</f>
        <v>3086</v>
      </c>
      <c r="D3091" s="247">
        <f>'Table S2 Compound Identifiers'!B3093</f>
        <v>0</v>
      </c>
      <c r="E3091" s="247"/>
      <c r="F3091" s="248"/>
      <c r="G3091" s="249"/>
      <c r="H3091" s="330"/>
      <c r="I3091" s="328"/>
      <c r="J3091" s="249"/>
      <c r="K3091" s="330"/>
      <c r="L3091" s="250"/>
      <c r="M3091" s="249"/>
      <c r="N3091" s="330"/>
      <c r="O3091" s="250"/>
      <c r="P3091" s="249"/>
      <c r="Q3091" s="330"/>
      <c r="R3091" s="250"/>
      <c r="S3091" s="249"/>
      <c r="T3091" s="330"/>
      <c r="U3091" s="250"/>
      <c r="V3091" s="249"/>
      <c r="W3091" s="330"/>
      <c r="X3091" s="343"/>
      <c r="Y3091" s="249"/>
      <c r="Z3091" s="330"/>
      <c r="AA3091" s="343"/>
      <c r="AB3091" s="249"/>
      <c r="AC3091" s="330"/>
      <c r="AD3091" s="343"/>
      <c r="AE3091" s="249"/>
      <c r="AF3091" s="330"/>
      <c r="AG3091" s="343"/>
      <c r="AH3091" s="249"/>
      <c r="AI3091" s="330"/>
      <c r="AJ3091" s="343"/>
      <c r="AK3091" s="249"/>
      <c r="AL3091" s="330"/>
      <c r="AM3091" s="343"/>
      <c r="AN3091" s="249"/>
      <c r="AO3091" s="330"/>
      <c r="AP3091" s="343"/>
      <c r="AQ3091" s="249"/>
      <c r="AR3091" s="330"/>
      <c r="AS3091" s="343"/>
      <c r="AT3091" s="249"/>
      <c r="AU3091" s="330"/>
    </row>
    <row r="3092" spans="2:47">
      <c r="B3092" s="247">
        <f>'Table S2 Compound Identifiers'!C3094</f>
        <v>0</v>
      </c>
      <c r="C3092" s="247">
        <f>COUNTIF($D$6:D3092,"&lt;&gt;"&amp;"")</f>
        <v>3087</v>
      </c>
      <c r="D3092" s="247">
        <f>'Table S2 Compound Identifiers'!B3094</f>
        <v>0</v>
      </c>
      <c r="E3092" s="247"/>
      <c r="F3092" s="248"/>
      <c r="G3092" s="249"/>
      <c r="H3092" s="330"/>
      <c r="I3092" s="328"/>
      <c r="J3092" s="249"/>
      <c r="K3092" s="330"/>
      <c r="L3092" s="250"/>
      <c r="M3092" s="249"/>
      <c r="N3092" s="330"/>
      <c r="O3092" s="250"/>
      <c r="P3092" s="249"/>
      <c r="Q3092" s="330"/>
      <c r="R3092" s="250"/>
      <c r="S3092" s="249"/>
      <c r="T3092" s="330"/>
      <c r="U3092" s="250"/>
      <c r="V3092" s="249"/>
      <c r="W3092" s="330"/>
      <c r="X3092" s="343"/>
      <c r="Y3092" s="249"/>
      <c r="Z3092" s="330"/>
      <c r="AA3092" s="343"/>
      <c r="AB3092" s="249"/>
      <c r="AC3092" s="330"/>
      <c r="AD3092" s="343"/>
      <c r="AE3092" s="249"/>
      <c r="AF3092" s="330"/>
      <c r="AG3092" s="343"/>
      <c r="AH3092" s="249"/>
      <c r="AI3092" s="330"/>
      <c r="AJ3092" s="343"/>
      <c r="AK3092" s="249"/>
      <c r="AL3092" s="330"/>
      <c r="AM3092" s="343"/>
      <c r="AN3092" s="249"/>
      <c r="AO3092" s="330"/>
      <c r="AP3092" s="343"/>
      <c r="AQ3092" s="249"/>
      <c r="AR3092" s="330"/>
      <c r="AS3092" s="343"/>
      <c r="AT3092" s="249"/>
      <c r="AU3092" s="330"/>
    </row>
    <row r="3093" spans="2:47">
      <c r="B3093" s="247">
        <f>'Table S2 Compound Identifiers'!C3095</f>
        <v>0</v>
      </c>
      <c r="C3093" s="247">
        <f>COUNTIF($D$6:D3093,"&lt;&gt;"&amp;"")</f>
        <v>3088</v>
      </c>
      <c r="D3093" s="247">
        <f>'Table S2 Compound Identifiers'!B3095</f>
        <v>0</v>
      </c>
      <c r="E3093" s="247"/>
      <c r="F3093" s="248"/>
      <c r="G3093" s="249"/>
      <c r="H3093" s="330"/>
      <c r="I3093" s="328"/>
      <c r="J3093" s="249"/>
      <c r="K3093" s="330"/>
      <c r="L3093" s="250"/>
      <c r="M3093" s="249"/>
      <c r="N3093" s="330"/>
      <c r="O3093" s="250"/>
      <c r="P3093" s="249"/>
      <c r="Q3093" s="330"/>
      <c r="R3093" s="250"/>
      <c r="S3093" s="249"/>
      <c r="T3093" s="330"/>
      <c r="U3093" s="250"/>
      <c r="V3093" s="249"/>
      <c r="W3093" s="330"/>
      <c r="X3093" s="343"/>
      <c r="Y3093" s="249"/>
      <c r="Z3093" s="330"/>
      <c r="AA3093" s="343"/>
      <c r="AB3093" s="249"/>
      <c r="AC3093" s="330"/>
      <c r="AD3093" s="343"/>
      <c r="AE3093" s="249"/>
      <c r="AF3093" s="330"/>
      <c r="AG3093" s="343"/>
      <c r="AH3093" s="249"/>
      <c r="AI3093" s="330"/>
      <c r="AJ3093" s="343"/>
      <c r="AK3093" s="249"/>
      <c r="AL3093" s="330"/>
      <c r="AM3093" s="343"/>
      <c r="AN3093" s="249"/>
      <c r="AO3093" s="330"/>
      <c r="AP3093" s="343"/>
      <c r="AQ3093" s="249"/>
      <c r="AR3093" s="330"/>
      <c r="AS3093" s="343"/>
      <c r="AT3093" s="249"/>
      <c r="AU3093" s="330"/>
    </row>
    <row r="3094" spans="2:47">
      <c r="B3094" s="247">
        <f>'Table S2 Compound Identifiers'!C3096</f>
        <v>0</v>
      </c>
      <c r="C3094" s="247">
        <f>COUNTIF($D$6:D3094,"&lt;&gt;"&amp;"")</f>
        <v>3089</v>
      </c>
      <c r="D3094" s="247">
        <f>'Table S2 Compound Identifiers'!B3096</f>
        <v>0</v>
      </c>
      <c r="E3094" s="247"/>
      <c r="F3094" s="248"/>
      <c r="G3094" s="249"/>
      <c r="H3094" s="330"/>
      <c r="I3094" s="328"/>
      <c r="J3094" s="249"/>
      <c r="K3094" s="330"/>
      <c r="L3094" s="250"/>
      <c r="M3094" s="249"/>
      <c r="N3094" s="330"/>
      <c r="O3094" s="250"/>
      <c r="P3094" s="249"/>
      <c r="Q3094" s="330"/>
      <c r="R3094" s="250"/>
      <c r="S3094" s="249"/>
      <c r="T3094" s="330"/>
      <c r="U3094" s="250"/>
      <c r="V3094" s="249"/>
      <c r="W3094" s="330"/>
      <c r="X3094" s="343"/>
      <c r="Y3094" s="249"/>
      <c r="Z3094" s="330"/>
      <c r="AA3094" s="343"/>
      <c r="AB3094" s="249"/>
      <c r="AC3094" s="330"/>
      <c r="AD3094" s="343"/>
      <c r="AE3094" s="249"/>
      <c r="AF3094" s="330"/>
      <c r="AG3094" s="343"/>
      <c r="AH3094" s="249"/>
      <c r="AI3094" s="330"/>
      <c r="AJ3094" s="343"/>
      <c r="AK3094" s="249"/>
      <c r="AL3094" s="330"/>
      <c r="AM3094" s="343"/>
      <c r="AN3094" s="249"/>
      <c r="AO3094" s="330"/>
      <c r="AP3094" s="343"/>
      <c r="AQ3094" s="249"/>
      <c r="AR3094" s="330"/>
      <c r="AS3094" s="343"/>
      <c r="AT3094" s="249"/>
      <c r="AU3094" s="330"/>
    </row>
    <row r="3095" spans="2:47">
      <c r="B3095" s="247">
        <f>'Table S2 Compound Identifiers'!C3097</f>
        <v>0</v>
      </c>
      <c r="C3095" s="247">
        <f>COUNTIF($D$6:D3095,"&lt;&gt;"&amp;"")</f>
        <v>3090</v>
      </c>
      <c r="D3095" s="247">
        <f>'Table S2 Compound Identifiers'!B3097</f>
        <v>0</v>
      </c>
      <c r="E3095" s="247"/>
      <c r="F3095" s="248"/>
      <c r="G3095" s="249"/>
      <c r="H3095" s="330"/>
      <c r="I3095" s="328"/>
      <c r="J3095" s="249"/>
      <c r="K3095" s="330"/>
      <c r="L3095" s="250"/>
      <c r="M3095" s="249"/>
      <c r="N3095" s="330"/>
      <c r="O3095" s="250"/>
      <c r="P3095" s="249"/>
      <c r="Q3095" s="330"/>
      <c r="R3095" s="250"/>
      <c r="S3095" s="249"/>
      <c r="T3095" s="330"/>
      <c r="U3095" s="250"/>
      <c r="V3095" s="249"/>
      <c r="W3095" s="330"/>
      <c r="X3095" s="343"/>
      <c r="Y3095" s="249"/>
      <c r="Z3095" s="330"/>
      <c r="AA3095" s="343"/>
      <c r="AB3095" s="249"/>
      <c r="AC3095" s="330"/>
      <c r="AD3095" s="343"/>
      <c r="AE3095" s="249"/>
      <c r="AF3095" s="330"/>
      <c r="AG3095" s="343"/>
      <c r="AH3095" s="249"/>
      <c r="AI3095" s="330"/>
      <c r="AJ3095" s="343"/>
      <c r="AK3095" s="249"/>
      <c r="AL3095" s="330"/>
      <c r="AM3095" s="343"/>
      <c r="AN3095" s="249"/>
      <c r="AO3095" s="330"/>
      <c r="AP3095" s="343"/>
      <c r="AQ3095" s="249"/>
      <c r="AR3095" s="330"/>
      <c r="AS3095" s="343"/>
      <c r="AT3095" s="249"/>
      <c r="AU3095" s="330"/>
    </row>
    <row r="3096" spans="2:47">
      <c r="B3096" s="247">
        <f>'Table S2 Compound Identifiers'!C3098</f>
        <v>0</v>
      </c>
      <c r="C3096" s="247">
        <f>COUNTIF($D$6:D3096,"&lt;&gt;"&amp;"")</f>
        <v>3091</v>
      </c>
      <c r="D3096" s="432">
        <f>'Table S2 Compound Identifiers'!B3098</f>
        <v>0</v>
      </c>
      <c r="E3096" s="247"/>
      <c r="F3096" s="248"/>
      <c r="G3096" s="249"/>
      <c r="H3096" s="330"/>
      <c r="I3096" s="328"/>
      <c r="J3096" s="249"/>
      <c r="K3096" s="330"/>
      <c r="L3096" s="250"/>
      <c r="M3096" s="249"/>
      <c r="N3096" s="330"/>
      <c r="O3096" s="250"/>
      <c r="P3096" s="249"/>
      <c r="Q3096" s="330"/>
      <c r="R3096" s="250"/>
      <c r="S3096" s="249"/>
      <c r="T3096" s="330"/>
      <c r="U3096" s="250"/>
      <c r="V3096" s="249"/>
      <c r="W3096" s="330"/>
      <c r="X3096" s="343"/>
      <c r="Y3096" s="249"/>
      <c r="Z3096" s="330"/>
      <c r="AA3096" s="343"/>
      <c r="AB3096" s="249"/>
      <c r="AC3096" s="330"/>
      <c r="AD3096" s="343"/>
      <c r="AE3096" s="249"/>
      <c r="AF3096" s="330"/>
      <c r="AG3096" s="343"/>
      <c r="AH3096" s="249"/>
      <c r="AI3096" s="330"/>
      <c r="AJ3096" s="343"/>
      <c r="AK3096" s="249"/>
      <c r="AL3096" s="330"/>
      <c r="AM3096" s="343"/>
      <c r="AN3096" s="249"/>
      <c r="AO3096" s="330"/>
      <c r="AP3096" s="343"/>
      <c r="AQ3096" s="249"/>
      <c r="AR3096" s="330"/>
      <c r="AS3096" s="343"/>
      <c r="AT3096" s="249"/>
      <c r="AU3096" s="330"/>
    </row>
    <row r="3097" spans="2:47">
      <c r="B3097" s="247">
        <f>'Table S2 Compound Identifiers'!C3099</f>
        <v>0</v>
      </c>
      <c r="C3097" s="247">
        <f>COUNTIF($D$6:D3097,"&lt;&gt;"&amp;"")</f>
        <v>3092</v>
      </c>
      <c r="D3097" s="432">
        <f>'Table S2 Compound Identifiers'!B3099</f>
        <v>0</v>
      </c>
      <c r="E3097" s="247"/>
      <c r="F3097" s="248"/>
      <c r="G3097" s="249"/>
      <c r="H3097" s="330"/>
      <c r="I3097" s="328"/>
      <c r="J3097" s="249"/>
      <c r="K3097" s="330"/>
      <c r="L3097" s="250"/>
      <c r="M3097" s="249"/>
      <c r="N3097" s="330"/>
      <c r="O3097" s="250"/>
      <c r="P3097" s="249"/>
      <c r="Q3097" s="330"/>
      <c r="R3097" s="250"/>
      <c r="S3097" s="249"/>
      <c r="T3097" s="330"/>
      <c r="U3097" s="250"/>
      <c r="V3097" s="249"/>
      <c r="W3097" s="330"/>
      <c r="X3097" s="343"/>
      <c r="Y3097" s="249"/>
      <c r="Z3097" s="330"/>
      <c r="AA3097" s="343"/>
      <c r="AB3097" s="249"/>
      <c r="AC3097" s="330"/>
      <c r="AD3097" s="343"/>
      <c r="AE3097" s="249"/>
      <c r="AF3097" s="330"/>
      <c r="AG3097" s="343"/>
      <c r="AH3097" s="249"/>
      <c r="AI3097" s="330"/>
      <c r="AJ3097" s="343"/>
      <c r="AK3097" s="249"/>
      <c r="AL3097" s="330"/>
      <c r="AM3097" s="343"/>
      <c r="AN3097" s="249"/>
      <c r="AO3097" s="330"/>
      <c r="AP3097" s="343"/>
      <c r="AQ3097" s="249"/>
      <c r="AR3097" s="330"/>
      <c r="AS3097" s="343"/>
      <c r="AT3097" s="249"/>
      <c r="AU3097" s="330"/>
    </row>
    <row r="3098" spans="2:47">
      <c r="B3098" s="247">
        <f>'Table S2 Compound Identifiers'!C3100</f>
        <v>0</v>
      </c>
      <c r="C3098" s="247">
        <f>COUNTIF($D$6:D3098,"&lt;&gt;"&amp;"")</f>
        <v>3093</v>
      </c>
      <c r="D3098" s="432">
        <f>'Table S2 Compound Identifiers'!B3100</f>
        <v>0</v>
      </c>
      <c r="E3098" s="247"/>
      <c r="F3098" s="248"/>
      <c r="G3098" s="249"/>
      <c r="H3098" s="330"/>
      <c r="I3098" s="328"/>
      <c r="J3098" s="249"/>
      <c r="K3098" s="330"/>
      <c r="L3098" s="250"/>
      <c r="M3098" s="249"/>
      <c r="N3098" s="330"/>
      <c r="O3098" s="250"/>
      <c r="P3098" s="249"/>
      <c r="Q3098" s="330"/>
      <c r="R3098" s="250"/>
      <c r="S3098" s="249"/>
      <c r="T3098" s="330"/>
      <c r="U3098" s="250"/>
      <c r="V3098" s="249"/>
      <c r="W3098" s="330"/>
      <c r="X3098" s="343"/>
      <c r="Y3098" s="249"/>
      <c r="Z3098" s="330"/>
      <c r="AA3098" s="343"/>
      <c r="AB3098" s="249"/>
      <c r="AC3098" s="330"/>
      <c r="AD3098" s="343"/>
      <c r="AE3098" s="249"/>
      <c r="AF3098" s="330"/>
      <c r="AG3098" s="343"/>
      <c r="AH3098" s="249"/>
      <c r="AI3098" s="330"/>
      <c r="AJ3098" s="343"/>
      <c r="AK3098" s="249"/>
      <c r="AL3098" s="330"/>
      <c r="AM3098" s="343"/>
      <c r="AN3098" s="249"/>
      <c r="AO3098" s="330"/>
      <c r="AP3098" s="343"/>
      <c r="AQ3098" s="249"/>
      <c r="AR3098" s="330"/>
      <c r="AS3098" s="343"/>
      <c r="AT3098" s="249"/>
      <c r="AU3098" s="330"/>
    </row>
    <row r="3099" spans="2:47">
      <c r="B3099" s="247">
        <f>'Table S2 Compound Identifiers'!C3101</f>
        <v>0</v>
      </c>
      <c r="C3099" s="247">
        <f>COUNTIF($D$6:D3099,"&lt;&gt;"&amp;"")</f>
        <v>3094</v>
      </c>
      <c r="D3099" s="432">
        <f>'Table S2 Compound Identifiers'!B3101</f>
        <v>0</v>
      </c>
      <c r="E3099" s="247"/>
      <c r="F3099" s="248"/>
      <c r="G3099" s="249"/>
      <c r="H3099" s="330"/>
      <c r="I3099" s="328"/>
      <c r="J3099" s="249"/>
      <c r="K3099" s="330"/>
      <c r="L3099" s="250"/>
      <c r="M3099" s="249"/>
      <c r="N3099" s="330"/>
      <c r="O3099" s="250"/>
      <c r="P3099" s="249"/>
      <c r="Q3099" s="330"/>
      <c r="R3099" s="250"/>
      <c r="S3099" s="249"/>
      <c r="T3099" s="330"/>
      <c r="U3099" s="250"/>
      <c r="V3099" s="249"/>
      <c r="W3099" s="330"/>
      <c r="X3099" s="343"/>
      <c r="Y3099" s="249"/>
      <c r="Z3099" s="330"/>
      <c r="AA3099" s="343"/>
      <c r="AB3099" s="249"/>
      <c r="AC3099" s="330"/>
      <c r="AD3099" s="343"/>
      <c r="AE3099" s="249"/>
      <c r="AF3099" s="330"/>
      <c r="AG3099" s="343"/>
      <c r="AH3099" s="249"/>
      <c r="AI3099" s="330"/>
      <c r="AJ3099" s="343"/>
      <c r="AK3099" s="249"/>
      <c r="AL3099" s="330"/>
      <c r="AM3099" s="343"/>
      <c r="AN3099" s="249"/>
      <c r="AO3099" s="330"/>
      <c r="AP3099" s="343"/>
      <c r="AQ3099" s="249"/>
      <c r="AR3099" s="330"/>
      <c r="AS3099" s="343"/>
      <c r="AT3099" s="249"/>
      <c r="AU3099" s="330"/>
    </row>
    <row r="3100" spans="2:47">
      <c r="B3100" s="247">
        <f>'Table S2 Compound Identifiers'!C3102</f>
        <v>0</v>
      </c>
      <c r="C3100" s="247">
        <f>COUNTIF($D$6:D3100,"&lt;&gt;"&amp;"")</f>
        <v>3095</v>
      </c>
      <c r="D3100" s="432">
        <f>'Table S2 Compound Identifiers'!B3102</f>
        <v>0</v>
      </c>
      <c r="E3100" s="247"/>
      <c r="F3100" s="248"/>
      <c r="G3100" s="249"/>
      <c r="H3100" s="330"/>
      <c r="I3100" s="328"/>
      <c r="J3100" s="249"/>
      <c r="K3100" s="330"/>
      <c r="L3100" s="250"/>
      <c r="M3100" s="249"/>
      <c r="N3100" s="330"/>
      <c r="O3100" s="250"/>
      <c r="P3100" s="249"/>
      <c r="Q3100" s="330"/>
      <c r="R3100" s="250"/>
      <c r="S3100" s="249"/>
      <c r="T3100" s="330"/>
      <c r="U3100" s="250"/>
      <c r="V3100" s="249"/>
      <c r="W3100" s="330"/>
      <c r="X3100" s="343"/>
      <c r="Y3100" s="249"/>
      <c r="Z3100" s="330"/>
      <c r="AA3100" s="343"/>
      <c r="AB3100" s="249"/>
      <c r="AC3100" s="330"/>
      <c r="AD3100" s="343"/>
      <c r="AE3100" s="249"/>
      <c r="AF3100" s="330"/>
      <c r="AG3100" s="343"/>
      <c r="AH3100" s="249"/>
      <c r="AI3100" s="330"/>
      <c r="AJ3100" s="343"/>
      <c r="AK3100" s="249"/>
      <c r="AL3100" s="330"/>
      <c r="AM3100" s="343"/>
      <c r="AN3100" s="249"/>
      <c r="AO3100" s="330"/>
      <c r="AP3100" s="343"/>
      <c r="AQ3100" s="249"/>
      <c r="AR3100" s="330"/>
      <c r="AS3100" s="343"/>
      <c r="AT3100" s="249"/>
      <c r="AU3100" s="330"/>
    </row>
    <row r="3101" spans="2:47">
      <c r="B3101" s="247">
        <f>'Table S2 Compound Identifiers'!C3103</f>
        <v>0</v>
      </c>
      <c r="C3101" s="247">
        <f>COUNTIF($D$6:D3101,"&lt;&gt;"&amp;"")</f>
        <v>3096</v>
      </c>
      <c r="D3101" s="432">
        <f>'Table S2 Compound Identifiers'!B3103</f>
        <v>0</v>
      </c>
      <c r="E3101" s="247"/>
      <c r="F3101" s="248"/>
      <c r="G3101" s="249"/>
      <c r="H3101" s="330"/>
      <c r="I3101" s="328"/>
      <c r="J3101" s="249"/>
      <c r="K3101" s="330"/>
      <c r="L3101" s="250"/>
      <c r="M3101" s="249"/>
      <c r="N3101" s="330"/>
      <c r="O3101" s="250"/>
      <c r="P3101" s="249"/>
      <c r="Q3101" s="330"/>
      <c r="R3101" s="250"/>
      <c r="S3101" s="249"/>
      <c r="T3101" s="330"/>
      <c r="U3101" s="250"/>
      <c r="V3101" s="249"/>
      <c r="W3101" s="330"/>
      <c r="X3101" s="343"/>
      <c r="Y3101" s="249"/>
      <c r="Z3101" s="330"/>
      <c r="AA3101" s="343"/>
      <c r="AB3101" s="249"/>
      <c r="AC3101" s="330"/>
      <c r="AD3101" s="343"/>
      <c r="AE3101" s="249"/>
      <c r="AF3101" s="330"/>
      <c r="AG3101" s="343"/>
      <c r="AH3101" s="249"/>
      <c r="AI3101" s="330"/>
      <c r="AJ3101" s="343"/>
      <c r="AK3101" s="249"/>
      <c r="AL3101" s="330"/>
      <c r="AM3101" s="343"/>
      <c r="AN3101" s="249"/>
      <c r="AO3101" s="330"/>
      <c r="AP3101" s="343"/>
      <c r="AQ3101" s="249"/>
      <c r="AR3101" s="330"/>
      <c r="AS3101" s="343"/>
      <c r="AT3101" s="249"/>
      <c r="AU3101" s="330"/>
    </row>
    <row r="3102" spans="2:47">
      <c r="B3102" s="247">
        <f>'Table S2 Compound Identifiers'!C3104</f>
        <v>0</v>
      </c>
      <c r="C3102" s="247">
        <f>COUNTIF($D$6:D3102,"&lt;&gt;"&amp;"")</f>
        <v>3097</v>
      </c>
      <c r="D3102" s="432">
        <f>'Table S2 Compound Identifiers'!B3104</f>
        <v>0</v>
      </c>
      <c r="E3102" s="247"/>
      <c r="F3102" s="248"/>
      <c r="G3102" s="249"/>
      <c r="H3102" s="330"/>
      <c r="I3102" s="328"/>
      <c r="J3102" s="249"/>
      <c r="K3102" s="330"/>
      <c r="L3102" s="250"/>
      <c r="M3102" s="249"/>
      <c r="N3102" s="330"/>
      <c r="O3102" s="250"/>
      <c r="P3102" s="249"/>
      <c r="Q3102" s="330"/>
      <c r="R3102" s="250"/>
      <c r="S3102" s="249"/>
      <c r="T3102" s="330"/>
      <c r="U3102" s="250"/>
      <c r="V3102" s="249"/>
      <c r="W3102" s="330"/>
      <c r="X3102" s="343"/>
      <c r="Y3102" s="249"/>
      <c r="Z3102" s="330"/>
      <c r="AA3102" s="343"/>
      <c r="AB3102" s="249"/>
      <c r="AC3102" s="330"/>
      <c r="AD3102" s="343"/>
      <c r="AE3102" s="249"/>
      <c r="AF3102" s="330"/>
      <c r="AG3102" s="343"/>
      <c r="AH3102" s="249"/>
      <c r="AI3102" s="330"/>
      <c r="AJ3102" s="343"/>
      <c r="AK3102" s="249"/>
      <c r="AL3102" s="330"/>
      <c r="AM3102" s="343"/>
      <c r="AN3102" s="249"/>
      <c r="AO3102" s="330"/>
      <c r="AP3102" s="343"/>
      <c r="AQ3102" s="249"/>
      <c r="AR3102" s="330"/>
      <c r="AS3102" s="343"/>
      <c r="AT3102" s="249"/>
      <c r="AU3102" s="330"/>
    </row>
    <row r="3103" spans="2:47">
      <c r="B3103" s="247">
        <f>'Table S2 Compound Identifiers'!C3105</f>
        <v>0</v>
      </c>
      <c r="C3103" s="247">
        <f>COUNTIF($D$6:D3103,"&lt;&gt;"&amp;"")</f>
        <v>3098</v>
      </c>
      <c r="D3103" s="432">
        <f>'Table S2 Compound Identifiers'!B3105</f>
        <v>0</v>
      </c>
      <c r="E3103" s="247"/>
      <c r="F3103" s="248"/>
      <c r="G3103" s="249"/>
      <c r="H3103" s="330"/>
      <c r="I3103" s="328"/>
      <c r="J3103" s="249"/>
      <c r="K3103" s="330"/>
      <c r="L3103" s="250"/>
      <c r="M3103" s="249"/>
      <c r="N3103" s="330"/>
      <c r="O3103" s="250"/>
      <c r="P3103" s="249"/>
      <c r="Q3103" s="330"/>
      <c r="R3103" s="250"/>
      <c r="S3103" s="249"/>
      <c r="T3103" s="330"/>
      <c r="U3103" s="250"/>
      <c r="V3103" s="249"/>
      <c r="W3103" s="330"/>
      <c r="X3103" s="343"/>
      <c r="Y3103" s="249"/>
      <c r="Z3103" s="330"/>
      <c r="AA3103" s="343"/>
      <c r="AB3103" s="249"/>
      <c r="AC3103" s="330"/>
      <c r="AD3103" s="343"/>
      <c r="AE3103" s="249"/>
      <c r="AF3103" s="330"/>
      <c r="AG3103" s="343"/>
      <c r="AH3103" s="249"/>
      <c r="AI3103" s="330"/>
      <c r="AJ3103" s="343"/>
      <c r="AK3103" s="249"/>
      <c r="AL3103" s="330"/>
      <c r="AM3103" s="343"/>
      <c r="AN3103" s="249"/>
      <c r="AO3103" s="330"/>
      <c r="AP3103" s="343"/>
      <c r="AQ3103" s="249"/>
      <c r="AR3103" s="330"/>
      <c r="AS3103" s="343"/>
      <c r="AT3103" s="249"/>
      <c r="AU3103" s="330"/>
    </row>
    <row r="3104" spans="2:47">
      <c r="B3104" s="247">
        <f>'Table S2 Compound Identifiers'!C3106</f>
        <v>0</v>
      </c>
      <c r="C3104" s="247">
        <f>COUNTIF($D$6:D3104,"&lt;&gt;"&amp;"")</f>
        <v>3099</v>
      </c>
      <c r="D3104" s="432">
        <f>'Table S2 Compound Identifiers'!B3106</f>
        <v>0</v>
      </c>
      <c r="E3104" s="247"/>
      <c r="F3104" s="248"/>
      <c r="G3104" s="249"/>
      <c r="H3104" s="330"/>
      <c r="I3104" s="328"/>
      <c r="J3104" s="249"/>
      <c r="K3104" s="330"/>
      <c r="L3104" s="250"/>
      <c r="M3104" s="249"/>
      <c r="N3104" s="330"/>
      <c r="O3104" s="250"/>
      <c r="P3104" s="249"/>
      <c r="Q3104" s="330"/>
      <c r="R3104" s="250"/>
      <c r="S3104" s="249"/>
      <c r="T3104" s="330"/>
      <c r="U3104" s="250"/>
      <c r="V3104" s="249"/>
      <c r="W3104" s="330"/>
      <c r="X3104" s="343"/>
      <c r="Y3104" s="249"/>
      <c r="Z3104" s="330"/>
      <c r="AA3104" s="343"/>
      <c r="AB3104" s="249"/>
      <c r="AC3104" s="330"/>
      <c r="AD3104" s="343"/>
      <c r="AE3104" s="249"/>
      <c r="AF3104" s="330"/>
      <c r="AG3104" s="343"/>
      <c r="AH3104" s="249"/>
      <c r="AI3104" s="330"/>
      <c r="AJ3104" s="343"/>
      <c r="AK3104" s="249"/>
      <c r="AL3104" s="330"/>
      <c r="AM3104" s="343"/>
      <c r="AN3104" s="249"/>
      <c r="AO3104" s="330"/>
      <c r="AP3104" s="343"/>
      <c r="AQ3104" s="249"/>
      <c r="AR3104" s="330"/>
      <c r="AS3104" s="343"/>
      <c r="AT3104" s="249"/>
      <c r="AU3104" s="330"/>
    </row>
    <row r="3105" spans="2:47">
      <c r="B3105" s="247">
        <f>'Table S2 Compound Identifiers'!C3107</f>
        <v>0</v>
      </c>
      <c r="C3105" s="247">
        <f>COUNTIF($D$6:D3105,"&lt;&gt;"&amp;"")</f>
        <v>3100</v>
      </c>
      <c r="D3105" s="432">
        <f>'Table S2 Compound Identifiers'!B3107</f>
        <v>0</v>
      </c>
      <c r="E3105" s="247"/>
      <c r="F3105" s="248"/>
      <c r="G3105" s="249"/>
      <c r="H3105" s="330"/>
      <c r="I3105" s="328"/>
      <c r="J3105" s="249"/>
      <c r="K3105" s="330"/>
      <c r="L3105" s="250"/>
      <c r="M3105" s="249"/>
      <c r="N3105" s="330"/>
      <c r="O3105" s="250"/>
      <c r="P3105" s="249"/>
      <c r="Q3105" s="330"/>
      <c r="R3105" s="250"/>
      <c r="S3105" s="249"/>
      <c r="T3105" s="330"/>
      <c r="U3105" s="250"/>
      <c r="V3105" s="249"/>
      <c r="W3105" s="330"/>
      <c r="X3105" s="343"/>
      <c r="Y3105" s="249"/>
      <c r="Z3105" s="330"/>
      <c r="AA3105" s="343"/>
      <c r="AB3105" s="249"/>
      <c r="AC3105" s="330"/>
      <c r="AD3105" s="343"/>
      <c r="AE3105" s="249"/>
      <c r="AF3105" s="330"/>
      <c r="AG3105" s="343"/>
      <c r="AH3105" s="249"/>
      <c r="AI3105" s="330"/>
      <c r="AJ3105" s="343"/>
      <c r="AK3105" s="249"/>
      <c r="AL3105" s="330"/>
      <c r="AM3105" s="343"/>
      <c r="AN3105" s="249"/>
      <c r="AO3105" s="330"/>
      <c r="AP3105" s="343"/>
      <c r="AQ3105" s="249"/>
      <c r="AR3105" s="330"/>
      <c r="AS3105" s="343"/>
      <c r="AT3105" s="249"/>
      <c r="AU3105" s="330"/>
    </row>
    <row r="3106" spans="2:47">
      <c r="B3106" s="247">
        <f>'Table S2 Compound Identifiers'!C3108</f>
        <v>0</v>
      </c>
      <c r="C3106" s="247">
        <f>COUNTIF($D$6:D3106,"&lt;&gt;"&amp;"")</f>
        <v>3101</v>
      </c>
      <c r="D3106" s="247">
        <f>'Table S2 Compound Identifiers'!B3108</f>
        <v>0</v>
      </c>
      <c r="E3106" s="247"/>
      <c r="F3106" s="248"/>
      <c r="G3106" s="249"/>
      <c r="H3106" s="330"/>
      <c r="I3106" s="328"/>
      <c r="J3106" s="249"/>
      <c r="K3106" s="330"/>
      <c r="L3106" s="250"/>
      <c r="M3106" s="249"/>
      <c r="N3106" s="330"/>
      <c r="O3106" s="250"/>
      <c r="P3106" s="249"/>
      <c r="Q3106" s="330"/>
      <c r="R3106" s="250"/>
      <c r="S3106" s="249"/>
      <c r="T3106" s="330"/>
      <c r="U3106" s="250"/>
      <c r="V3106" s="249"/>
      <c r="W3106" s="330"/>
      <c r="X3106" s="343"/>
      <c r="Y3106" s="249"/>
      <c r="Z3106" s="330"/>
      <c r="AA3106" s="343"/>
      <c r="AB3106" s="249"/>
      <c r="AC3106" s="330"/>
      <c r="AD3106" s="343"/>
      <c r="AE3106" s="249"/>
      <c r="AF3106" s="330"/>
      <c r="AG3106" s="343"/>
      <c r="AH3106" s="249"/>
      <c r="AI3106" s="330"/>
      <c r="AJ3106" s="343"/>
      <c r="AK3106" s="249"/>
      <c r="AL3106" s="330"/>
      <c r="AM3106" s="343"/>
      <c r="AN3106" s="249"/>
      <c r="AO3106" s="330"/>
      <c r="AP3106" s="343"/>
      <c r="AQ3106" s="249"/>
      <c r="AR3106" s="330"/>
      <c r="AS3106" s="343"/>
      <c r="AT3106" s="249"/>
      <c r="AU3106" s="330"/>
    </row>
    <row r="3107" spans="2:47">
      <c r="B3107" s="247">
        <f>'Table S2 Compound Identifiers'!C3109</f>
        <v>0</v>
      </c>
      <c r="C3107" s="247">
        <f>COUNTIF($D$6:D3107,"&lt;&gt;"&amp;"")</f>
        <v>3102</v>
      </c>
      <c r="D3107" s="247">
        <f>'Table S2 Compound Identifiers'!B3109</f>
        <v>0</v>
      </c>
      <c r="E3107" s="247"/>
      <c r="F3107" s="248"/>
      <c r="G3107" s="249"/>
      <c r="H3107" s="330"/>
      <c r="I3107" s="328"/>
      <c r="J3107" s="249"/>
      <c r="K3107" s="330"/>
      <c r="L3107" s="250"/>
      <c r="M3107" s="249"/>
      <c r="N3107" s="330"/>
      <c r="O3107" s="250"/>
      <c r="P3107" s="249"/>
      <c r="Q3107" s="330"/>
      <c r="R3107" s="250"/>
      <c r="S3107" s="249"/>
      <c r="T3107" s="330"/>
      <c r="U3107" s="250"/>
      <c r="V3107" s="249"/>
      <c r="W3107" s="330"/>
      <c r="X3107" s="343"/>
      <c r="Y3107" s="249"/>
      <c r="Z3107" s="330"/>
      <c r="AA3107" s="343"/>
      <c r="AB3107" s="249"/>
      <c r="AC3107" s="330"/>
      <c r="AD3107" s="343"/>
      <c r="AE3107" s="249"/>
      <c r="AF3107" s="330"/>
      <c r="AG3107" s="343"/>
      <c r="AH3107" s="249"/>
      <c r="AI3107" s="330"/>
      <c r="AJ3107" s="343"/>
      <c r="AK3107" s="249"/>
      <c r="AL3107" s="330"/>
      <c r="AM3107" s="343"/>
      <c r="AN3107" s="249"/>
      <c r="AO3107" s="330"/>
      <c r="AP3107" s="343"/>
      <c r="AQ3107" s="249"/>
      <c r="AR3107" s="330"/>
      <c r="AS3107" s="343"/>
      <c r="AT3107" s="249"/>
      <c r="AU3107" s="330"/>
    </row>
    <row r="3108" spans="2:47">
      <c r="B3108" s="247">
        <f>'Table S2 Compound Identifiers'!C3110</f>
        <v>0</v>
      </c>
      <c r="C3108" s="247">
        <f>COUNTIF($D$6:D3108,"&lt;&gt;"&amp;"")</f>
        <v>3103</v>
      </c>
      <c r="D3108" s="247">
        <f>'Table S2 Compound Identifiers'!B3110</f>
        <v>0</v>
      </c>
      <c r="E3108" s="247"/>
      <c r="F3108" s="248"/>
      <c r="G3108" s="249"/>
      <c r="H3108" s="330"/>
      <c r="I3108" s="328"/>
      <c r="J3108" s="249"/>
      <c r="K3108" s="330"/>
      <c r="L3108" s="250"/>
      <c r="M3108" s="249"/>
      <c r="N3108" s="330"/>
      <c r="O3108" s="250"/>
      <c r="P3108" s="249"/>
      <c r="Q3108" s="330"/>
      <c r="R3108" s="250"/>
      <c r="S3108" s="249"/>
      <c r="T3108" s="330"/>
      <c r="U3108" s="250"/>
      <c r="V3108" s="249"/>
      <c r="W3108" s="330"/>
      <c r="X3108" s="343"/>
      <c r="Y3108" s="249"/>
      <c r="Z3108" s="330"/>
      <c r="AA3108" s="343"/>
      <c r="AB3108" s="249"/>
      <c r="AC3108" s="330"/>
      <c r="AD3108" s="343"/>
      <c r="AE3108" s="249"/>
      <c r="AF3108" s="330"/>
      <c r="AG3108" s="343"/>
      <c r="AH3108" s="249"/>
      <c r="AI3108" s="330"/>
      <c r="AJ3108" s="343"/>
      <c r="AK3108" s="249"/>
      <c r="AL3108" s="330"/>
      <c r="AM3108" s="343"/>
      <c r="AN3108" s="249"/>
      <c r="AO3108" s="330"/>
      <c r="AP3108" s="343"/>
      <c r="AQ3108" s="249"/>
      <c r="AR3108" s="330"/>
      <c r="AS3108" s="343"/>
      <c r="AT3108" s="249"/>
      <c r="AU3108" s="330"/>
    </row>
    <row r="3109" spans="2:47">
      <c r="B3109" s="247">
        <f>'Table S2 Compound Identifiers'!C3111</f>
        <v>0</v>
      </c>
      <c r="C3109" s="247">
        <f>COUNTIF($D$6:D3109,"&lt;&gt;"&amp;"")</f>
        <v>3104</v>
      </c>
      <c r="D3109" s="247">
        <f>'Table S2 Compound Identifiers'!B3111</f>
        <v>0</v>
      </c>
      <c r="E3109" s="247"/>
      <c r="F3109" s="248"/>
      <c r="G3109" s="249"/>
      <c r="H3109" s="330"/>
      <c r="I3109" s="328"/>
      <c r="J3109" s="249"/>
      <c r="K3109" s="330"/>
      <c r="L3109" s="250"/>
      <c r="M3109" s="249"/>
      <c r="N3109" s="330"/>
      <c r="O3109" s="250"/>
      <c r="P3109" s="249"/>
      <c r="Q3109" s="330"/>
      <c r="R3109" s="250"/>
      <c r="S3109" s="249"/>
      <c r="T3109" s="330"/>
      <c r="U3109" s="250"/>
      <c r="V3109" s="249"/>
      <c r="W3109" s="330"/>
      <c r="X3109" s="343"/>
      <c r="Y3109" s="249"/>
      <c r="Z3109" s="330"/>
      <c r="AA3109" s="343"/>
      <c r="AB3109" s="249"/>
      <c r="AC3109" s="330"/>
      <c r="AD3109" s="343"/>
      <c r="AE3109" s="249"/>
      <c r="AF3109" s="330"/>
      <c r="AG3109" s="343"/>
      <c r="AH3109" s="249"/>
      <c r="AI3109" s="330"/>
      <c r="AJ3109" s="343"/>
      <c r="AK3109" s="249"/>
      <c r="AL3109" s="330"/>
      <c r="AM3109" s="343"/>
      <c r="AN3109" s="249"/>
      <c r="AO3109" s="330"/>
      <c r="AP3109" s="343"/>
      <c r="AQ3109" s="249"/>
      <c r="AR3109" s="330"/>
      <c r="AS3109" s="343"/>
      <c r="AT3109" s="249"/>
      <c r="AU3109" s="330"/>
    </row>
    <row r="3110" spans="2:47">
      <c r="B3110" s="247">
        <f>'Table S2 Compound Identifiers'!C3112</f>
        <v>0</v>
      </c>
      <c r="C3110" s="247">
        <f>COUNTIF($D$6:D3110,"&lt;&gt;"&amp;"")</f>
        <v>3105</v>
      </c>
      <c r="D3110" s="247">
        <f>'Table S2 Compound Identifiers'!B3112</f>
        <v>0</v>
      </c>
      <c r="E3110" s="247"/>
      <c r="F3110" s="248"/>
      <c r="G3110" s="249"/>
      <c r="H3110" s="330"/>
      <c r="I3110" s="328"/>
      <c r="J3110" s="249"/>
      <c r="K3110" s="330"/>
      <c r="L3110" s="250"/>
      <c r="M3110" s="249"/>
      <c r="N3110" s="330"/>
      <c r="O3110" s="250"/>
      <c r="P3110" s="249"/>
      <c r="Q3110" s="330"/>
      <c r="R3110" s="250"/>
      <c r="S3110" s="249"/>
      <c r="T3110" s="330"/>
      <c r="U3110" s="250"/>
      <c r="V3110" s="249"/>
      <c r="W3110" s="330"/>
      <c r="X3110" s="343"/>
      <c r="Y3110" s="249"/>
      <c r="Z3110" s="330"/>
      <c r="AA3110" s="343"/>
      <c r="AB3110" s="249"/>
      <c r="AC3110" s="330"/>
      <c r="AD3110" s="343"/>
      <c r="AE3110" s="249"/>
      <c r="AF3110" s="330"/>
      <c r="AG3110" s="343"/>
      <c r="AH3110" s="249"/>
      <c r="AI3110" s="330"/>
      <c r="AJ3110" s="343"/>
      <c r="AK3110" s="249"/>
      <c r="AL3110" s="330"/>
      <c r="AM3110" s="343"/>
      <c r="AN3110" s="249"/>
      <c r="AO3110" s="330"/>
      <c r="AP3110" s="343"/>
      <c r="AQ3110" s="249"/>
      <c r="AR3110" s="330"/>
      <c r="AS3110" s="343"/>
      <c r="AT3110" s="249"/>
      <c r="AU3110" s="330"/>
    </row>
    <row r="3111" spans="2:47">
      <c r="B3111" s="247">
        <f>'Table S2 Compound Identifiers'!C3113</f>
        <v>0</v>
      </c>
      <c r="C3111" s="247">
        <f>COUNTIF($D$6:D3111,"&lt;&gt;"&amp;"")</f>
        <v>3106</v>
      </c>
      <c r="D3111" s="247">
        <f>'Table S2 Compound Identifiers'!B3113</f>
        <v>0</v>
      </c>
      <c r="E3111" s="247"/>
      <c r="F3111" s="248"/>
      <c r="G3111" s="249"/>
      <c r="H3111" s="330"/>
      <c r="I3111" s="328"/>
      <c r="J3111" s="249"/>
      <c r="K3111" s="330"/>
      <c r="L3111" s="250"/>
      <c r="M3111" s="249"/>
      <c r="N3111" s="330"/>
      <c r="O3111" s="250"/>
      <c r="P3111" s="249"/>
      <c r="Q3111" s="330"/>
      <c r="R3111" s="250"/>
      <c r="S3111" s="249"/>
      <c r="T3111" s="330"/>
      <c r="U3111" s="250"/>
      <c r="V3111" s="249"/>
      <c r="W3111" s="330"/>
      <c r="X3111" s="343"/>
      <c r="Y3111" s="249"/>
      <c r="Z3111" s="330"/>
      <c r="AA3111" s="343"/>
      <c r="AB3111" s="249"/>
      <c r="AC3111" s="330"/>
      <c r="AD3111" s="343"/>
      <c r="AE3111" s="249"/>
      <c r="AF3111" s="330"/>
      <c r="AG3111" s="343"/>
      <c r="AH3111" s="249"/>
      <c r="AI3111" s="330"/>
      <c r="AJ3111" s="343"/>
      <c r="AK3111" s="249"/>
      <c r="AL3111" s="330"/>
      <c r="AM3111" s="343"/>
      <c r="AN3111" s="249"/>
      <c r="AO3111" s="330"/>
      <c r="AP3111" s="343"/>
      <c r="AQ3111" s="249"/>
      <c r="AR3111" s="330"/>
      <c r="AS3111" s="343"/>
      <c r="AT3111" s="249"/>
      <c r="AU3111" s="330"/>
    </row>
    <row r="3112" spans="2:47">
      <c r="B3112" s="247">
        <f>'Table S2 Compound Identifiers'!C3114</f>
        <v>0</v>
      </c>
      <c r="C3112" s="247">
        <f>COUNTIF($D$6:D3112,"&lt;&gt;"&amp;"")</f>
        <v>3107</v>
      </c>
      <c r="D3112" s="247">
        <f>'Table S2 Compound Identifiers'!B3114</f>
        <v>0</v>
      </c>
      <c r="E3112" s="247"/>
      <c r="F3112" s="248"/>
      <c r="G3112" s="249"/>
      <c r="H3112" s="330"/>
      <c r="I3112" s="328"/>
      <c r="J3112" s="249"/>
      <c r="K3112" s="330"/>
      <c r="L3112" s="250"/>
      <c r="M3112" s="249"/>
      <c r="N3112" s="330"/>
      <c r="O3112" s="251"/>
      <c r="P3112" s="252"/>
      <c r="Q3112" s="330"/>
      <c r="R3112" s="251"/>
      <c r="S3112" s="252"/>
      <c r="T3112" s="330"/>
      <c r="U3112" s="251"/>
      <c r="V3112" s="252"/>
      <c r="W3112" s="330"/>
      <c r="X3112" s="343"/>
      <c r="Y3112" s="249"/>
      <c r="Z3112" s="330"/>
      <c r="AA3112" s="343"/>
      <c r="AB3112" s="249"/>
      <c r="AC3112" s="330"/>
      <c r="AD3112" s="343"/>
      <c r="AE3112" s="249"/>
      <c r="AF3112" s="330"/>
      <c r="AG3112" s="343"/>
      <c r="AH3112" s="249"/>
      <c r="AI3112" s="330"/>
      <c r="AJ3112" s="343"/>
      <c r="AK3112" s="249"/>
      <c r="AL3112" s="330"/>
      <c r="AM3112" s="343"/>
      <c r="AN3112" s="249"/>
      <c r="AO3112" s="330"/>
      <c r="AP3112" s="343"/>
      <c r="AQ3112" s="249"/>
      <c r="AR3112" s="330"/>
      <c r="AS3112" s="343"/>
      <c r="AT3112" s="249"/>
      <c r="AU3112" s="330"/>
    </row>
    <row r="3113" spans="2:47">
      <c r="B3113" s="247">
        <f>'Table S2 Compound Identifiers'!C3115</f>
        <v>0</v>
      </c>
      <c r="C3113" s="253">
        <f>COUNTIF($D$6:D3113,"&lt;&gt;"&amp;"")</f>
        <v>3108</v>
      </c>
      <c r="D3113" s="253">
        <f>'Table S2 Compound Identifiers'!B3115</f>
        <v>0</v>
      </c>
      <c r="E3113" s="253"/>
      <c r="F3113" s="254"/>
      <c r="G3113" s="252"/>
      <c r="H3113" s="330"/>
      <c r="I3113" s="333"/>
      <c r="J3113" s="252"/>
      <c r="K3113" s="330"/>
      <c r="L3113" s="251"/>
      <c r="M3113" s="252"/>
      <c r="N3113" s="330"/>
      <c r="O3113" s="251"/>
      <c r="P3113" s="252"/>
      <c r="Q3113" s="330"/>
      <c r="R3113" s="251"/>
      <c r="S3113" s="252"/>
      <c r="T3113" s="330"/>
      <c r="U3113" s="251"/>
      <c r="V3113" s="252"/>
      <c r="W3113" s="330"/>
      <c r="X3113" s="343"/>
      <c r="Y3113" s="249"/>
      <c r="Z3113" s="330"/>
      <c r="AA3113" s="343"/>
      <c r="AB3113" s="249"/>
      <c r="AC3113" s="330"/>
      <c r="AD3113" s="343"/>
      <c r="AE3113" s="249"/>
      <c r="AF3113" s="330"/>
      <c r="AG3113" s="343"/>
      <c r="AH3113" s="249"/>
      <c r="AI3113" s="330"/>
      <c r="AJ3113" s="343"/>
      <c r="AK3113" s="249"/>
      <c r="AL3113" s="330"/>
      <c r="AM3113" s="343"/>
      <c r="AN3113" s="249"/>
      <c r="AO3113" s="330"/>
      <c r="AP3113" s="343"/>
      <c r="AQ3113" s="249"/>
      <c r="AR3113" s="330"/>
      <c r="AS3113" s="343"/>
      <c r="AT3113" s="249"/>
      <c r="AU3113" s="330"/>
    </row>
    <row r="3114" spans="2:47">
      <c r="B3114" s="247">
        <f>'Table S2 Compound Identifiers'!C3116</f>
        <v>0</v>
      </c>
      <c r="C3114" s="247">
        <f>COUNTIF($D$6:D3114,"&lt;&gt;"&amp;"")</f>
        <v>3109</v>
      </c>
      <c r="D3114" s="247">
        <f>'Table S2 Compound Identifiers'!B3116</f>
        <v>0</v>
      </c>
      <c r="E3114" s="247"/>
      <c r="F3114" s="248"/>
      <c r="G3114" s="250"/>
      <c r="H3114" s="330"/>
      <c r="I3114" s="343"/>
      <c r="J3114" s="249"/>
      <c r="K3114" s="327"/>
      <c r="L3114" s="343"/>
      <c r="M3114" s="249"/>
      <c r="N3114" s="327"/>
      <c r="O3114" s="343"/>
      <c r="P3114" s="249"/>
      <c r="Q3114" s="327"/>
      <c r="R3114" s="343"/>
      <c r="S3114" s="249"/>
      <c r="T3114" s="327"/>
      <c r="U3114" s="343"/>
      <c r="V3114" s="249"/>
      <c r="W3114" s="327"/>
      <c r="X3114" s="343"/>
      <c r="Y3114" s="249"/>
      <c r="Z3114" s="327"/>
      <c r="AA3114" s="343"/>
      <c r="AB3114" s="249"/>
      <c r="AC3114" s="343"/>
      <c r="AD3114" s="343"/>
      <c r="AE3114" s="249"/>
      <c r="AF3114" s="249"/>
      <c r="AG3114" s="343"/>
      <c r="AH3114" s="249"/>
      <c r="AI3114" s="343"/>
      <c r="AJ3114" s="343"/>
      <c r="AK3114" s="249"/>
      <c r="AL3114" s="249"/>
      <c r="AM3114" s="343"/>
      <c r="AN3114" s="249"/>
      <c r="AO3114" s="343"/>
      <c r="AP3114" s="343"/>
      <c r="AQ3114" s="249"/>
      <c r="AR3114" s="249"/>
      <c r="AS3114" s="343"/>
      <c r="AT3114" s="249"/>
      <c r="AU3114" s="343"/>
    </row>
    <row r="3115" spans="2:47">
      <c r="B3115" s="247">
        <f>'Table S2 Compound Identifiers'!C3117</f>
        <v>0</v>
      </c>
      <c r="C3115" s="247">
        <f>COUNTIF($D$6:D3115,"&lt;&gt;"&amp;"")</f>
        <v>3110</v>
      </c>
      <c r="D3115" s="247">
        <f>'Table S2 Compound Identifiers'!B3117</f>
        <v>0</v>
      </c>
      <c r="E3115" s="247"/>
      <c r="F3115" s="248"/>
      <c r="G3115" s="249"/>
      <c r="H3115" s="330"/>
      <c r="I3115" s="332"/>
      <c r="J3115" s="330"/>
      <c r="K3115" s="330"/>
      <c r="L3115" s="330"/>
      <c r="M3115" s="330"/>
      <c r="N3115" s="330"/>
      <c r="O3115" s="330"/>
      <c r="P3115" s="330"/>
      <c r="Q3115" s="330"/>
      <c r="R3115" s="330"/>
      <c r="S3115" s="330"/>
      <c r="T3115" s="330"/>
      <c r="U3115" s="330"/>
      <c r="V3115" s="330"/>
      <c r="W3115" s="330"/>
      <c r="X3115" s="343"/>
      <c r="Y3115" s="249"/>
      <c r="Z3115" s="330"/>
      <c r="AA3115" s="343"/>
      <c r="AB3115" s="249"/>
      <c r="AC3115" s="330"/>
      <c r="AD3115" s="343"/>
      <c r="AE3115" s="249"/>
      <c r="AF3115" s="330"/>
      <c r="AG3115" s="343"/>
      <c r="AH3115" s="249"/>
      <c r="AI3115" s="330"/>
      <c r="AJ3115" s="343"/>
      <c r="AK3115" s="249"/>
      <c r="AL3115" s="330"/>
      <c r="AM3115" s="343"/>
      <c r="AN3115" s="249"/>
      <c r="AO3115" s="330"/>
      <c r="AP3115" s="343"/>
      <c r="AQ3115" s="249"/>
      <c r="AR3115" s="330"/>
      <c r="AS3115" s="343"/>
      <c r="AT3115" s="249"/>
      <c r="AU3115" s="330"/>
    </row>
    <row r="3116" spans="2:47">
      <c r="B3116" s="247">
        <f>'Table S2 Compound Identifiers'!C3118</f>
        <v>0</v>
      </c>
      <c r="C3116" s="247">
        <f>COUNTIF($D$6:D3116,"&lt;&gt;"&amp;"")</f>
        <v>3111</v>
      </c>
      <c r="D3116" s="247">
        <f>'Table S2 Compound Identifiers'!B3118</f>
        <v>0</v>
      </c>
      <c r="E3116" s="247"/>
      <c r="F3116" s="248"/>
      <c r="G3116" s="249"/>
      <c r="H3116" s="330"/>
      <c r="I3116" s="332"/>
      <c r="J3116" s="330"/>
      <c r="K3116" s="330"/>
      <c r="L3116" s="330"/>
      <c r="M3116" s="330"/>
      <c r="N3116" s="330"/>
      <c r="O3116" s="330"/>
      <c r="P3116" s="330"/>
      <c r="Q3116" s="330"/>
      <c r="R3116" s="330"/>
      <c r="S3116" s="330"/>
      <c r="T3116" s="330"/>
      <c r="U3116" s="330"/>
      <c r="V3116" s="330"/>
      <c r="W3116" s="330"/>
      <c r="X3116" s="343"/>
      <c r="Y3116" s="249"/>
      <c r="Z3116" s="330"/>
      <c r="AA3116" s="343"/>
      <c r="AB3116" s="249"/>
      <c r="AC3116" s="330"/>
      <c r="AD3116" s="343"/>
      <c r="AE3116" s="249"/>
      <c r="AF3116" s="330"/>
      <c r="AG3116" s="343"/>
      <c r="AH3116" s="249"/>
      <c r="AI3116" s="330"/>
      <c r="AJ3116" s="343"/>
      <c r="AK3116" s="249"/>
      <c r="AL3116" s="330"/>
      <c r="AM3116" s="343"/>
      <c r="AN3116" s="249"/>
      <c r="AO3116" s="330"/>
      <c r="AP3116" s="343"/>
      <c r="AQ3116" s="249"/>
      <c r="AR3116" s="330"/>
      <c r="AS3116" s="343"/>
      <c r="AT3116" s="249"/>
      <c r="AU3116" s="330"/>
    </row>
    <row r="3117" spans="2:47">
      <c r="B3117" s="247">
        <f>'Table S2 Compound Identifiers'!C3119</f>
        <v>0</v>
      </c>
      <c r="C3117" s="247">
        <f>COUNTIF($D$6:D3117,"&lt;&gt;"&amp;"")</f>
        <v>3112</v>
      </c>
      <c r="D3117" s="247">
        <f>'Table S2 Compound Identifiers'!B3119</f>
        <v>0</v>
      </c>
      <c r="E3117" s="247"/>
      <c r="F3117" s="248"/>
      <c r="G3117" s="249"/>
      <c r="H3117" s="330"/>
      <c r="I3117" s="332"/>
      <c r="J3117" s="330"/>
      <c r="K3117" s="330"/>
      <c r="L3117" s="330"/>
      <c r="M3117" s="330"/>
      <c r="N3117" s="330"/>
      <c r="O3117" s="330"/>
      <c r="P3117" s="330"/>
      <c r="Q3117" s="330"/>
      <c r="R3117" s="330"/>
      <c r="S3117" s="330"/>
      <c r="T3117" s="330"/>
      <c r="U3117" s="330"/>
      <c r="V3117" s="330"/>
      <c r="W3117" s="330"/>
      <c r="X3117" s="343"/>
      <c r="Y3117" s="249"/>
      <c r="Z3117" s="330"/>
      <c r="AA3117" s="343"/>
      <c r="AB3117" s="249"/>
      <c r="AC3117" s="330"/>
      <c r="AD3117" s="343"/>
      <c r="AE3117" s="249"/>
      <c r="AF3117" s="330"/>
      <c r="AG3117" s="343"/>
      <c r="AH3117" s="249"/>
      <c r="AI3117" s="330"/>
      <c r="AJ3117" s="343"/>
      <c r="AK3117" s="249"/>
      <c r="AL3117" s="330"/>
      <c r="AM3117" s="343"/>
      <c r="AN3117" s="249"/>
      <c r="AO3117" s="330"/>
      <c r="AP3117" s="343"/>
      <c r="AQ3117" s="249"/>
      <c r="AR3117" s="330"/>
      <c r="AS3117" s="343"/>
      <c r="AT3117" s="249"/>
      <c r="AU3117" s="330"/>
    </row>
    <row r="3118" spans="2:47">
      <c r="B3118" s="247">
        <f>'Table S2 Compound Identifiers'!C3120</f>
        <v>0</v>
      </c>
      <c r="C3118" s="247">
        <f>COUNTIF($D$6:D3118,"&lt;&gt;"&amp;"")</f>
        <v>3113</v>
      </c>
      <c r="D3118" s="247">
        <f>'Table S2 Compound Identifiers'!B3120</f>
        <v>0</v>
      </c>
      <c r="E3118" s="247"/>
      <c r="F3118" s="248"/>
      <c r="G3118" s="249"/>
      <c r="H3118" s="330"/>
      <c r="I3118" s="328"/>
      <c r="J3118" s="249"/>
      <c r="K3118" s="330"/>
      <c r="L3118" s="250"/>
      <c r="M3118" s="249"/>
      <c r="N3118" s="330"/>
      <c r="O3118" s="250"/>
      <c r="P3118" s="249"/>
      <c r="Q3118" s="330"/>
      <c r="R3118" s="250"/>
      <c r="S3118" s="249"/>
      <c r="T3118" s="330"/>
      <c r="U3118" s="250"/>
      <c r="V3118" s="249"/>
      <c r="W3118" s="330"/>
      <c r="X3118" s="343"/>
      <c r="Y3118" s="249"/>
      <c r="Z3118" s="330"/>
      <c r="AA3118" s="343"/>
      <c r="AB3118" s="249"/>
      <c r="AC3118" s="330"/>
      <c r="AD3118" s="343"/>
      <c r="AE3118" s="249"/>
      <c r="AF3118" s="330"/>
      <c r="AG3118" s="343"/>
      <c r="AH3118" s="249"/>
      <c r="AI3118" s="330"/>
      <c r="AJ3118" s="343"/>
      <c r="AK3118" s="249"/>
      <c r="AL3118" s="330"/>
      <c r="AM3118" s="343"/>
      <c r="AN3118" s="249"/>
      <c r="AO3118" s="330"/>
      <c r="AP3118" s="343"/>
      <c r="AQ3118" s="249"/>
      <c r="AR3118" s="330"/>
      <c r="AS3118" s="343"/>
      <c r="AT3118" s="249"/>
      <c r="AU3118" s="330"/>
    </row>
    <row r="3119" spans="2:47">
      <c r="B3119" s="247">
        <f>'Table S2 Compound Identifiers'!C3121</f>
        <v>0</v>
      </c>
      <c r="C3119" s="247">
        <f>COUNTIF($D$6:D3119,"&lt;&gt;"&amp;"")</f>
        <v>3114</v>
      </c>
      <c r="D3119" s="247">
        <f>'Table S2 Compound Identifiers'!B3121</f>
        <v>0</v>
      </c>
      <c r="E3119" s="247"/>
      <c r="F3119" s="248"/>
      <c r="G3119" s="249"/>
      <c r="H3119" s="330"/>
      <c r="I3119" s="328"/>
      <c r="J3119" s="249"/>
      <c r="K3119" s="330"/>
      <c r="L3119" s="250"/>
      <c r="M3119" s="249"/>
      <c r="N3119" s="330"/>
      <c r="O3119" s="250"/>
      <c r="P3119" s="249"/>
      <c r="Q3119" s="330"/>
      <c r="R3119" s="250"/>
      <c r="S3119" s="249"/>
      <c r="T3119" s="330"/>
      <c r="U3119" s="250"/>
      <c r="V3119" s="249"/>
      <c r="W3119" s="330"/>
      <c r="X3119" s="343"/>
      <c r="Y3119" s="249"/>
      <c r="Z3119" s="330"/>
      <c r="AA3119" s="343"/>
      <c r="AB3119" s="249"/>
      <c r="AC3119" s="330"/>
      <c r="AD3119" s="343"/>
      <c r="AE3119" s="249"/>
      <c r="AF3119" s="330"/>
      <c r="AG3119" s="343"/>
      <c r="AH3119" s="249"/>
      <c r="AI3119" s="330"/>
      <c r="AJ3119" s="343"/>
      <c r="AK3119" s="249"/>
      <c r="AL3119" s="330"/>
      <c r="AM3119" s="343"/>
      <c r="AN3119" s="249"/>
      <c r="AO3119" s="330"/>
      <c r="AP3119" s="343"/>
      <c r="AQ3119" s="249"/>
      <c r="AR3119" s="330"/>
      <c r="AS3119" s="343"/>
      <c r="AT3119" s="249"/>
      <c r="AU3119" s="330"/>
    </row>
    <row r="3120" spans="2:47">
      <c r="B3120" s="247">
        <f>'Table S2 Compound Identifiers'!C3122</f>
        <v>0</v>
      </c>
      <c r="C3120" s="247">
        <f>COUNTIF($D$6:D3120,"&lt;&gt;"&amp;"")</f>
        <v>3115</v>
      </c>
      <c r="D3120" s="247">
        <f>'Table S2 Compound Identifiers'!B3122</f>
        <v>0</v>
      </c>
      <c r="E3120" s="247"/>
      <c r="F3120" s="248"/>
      <c r="G3120" s="249"/>
      <c r="H3120" s="330"/>
      <c r="I3120" s="328"/>
      <c r="J3120" s="249"/>
      <c r="K3120" s="330"/>
      <c r="L3120" s="250"/>
      <c r="M3120" s="249"/>
      <c r="N3120" s="330"/>
      <c r="O3120" s="250"/>
      <c r="P3120" s="249"/>
      <c r="Q3120" s="330"/>
      <c r="R3120" s="250"/>
      <c r="S3120" s="249"/>
      <c r="T3120" s="330"/>
      <c r="U3120" s="250"/>
      <c r="V3120" s="249"/>
      <c r="W3120" s="330"/>
      <c r="X3120" s="343"/>
      <c r="Y3120" s="249"/>
      <c r="Z3120" s="330"/>
      <c r="AA3120" s="343"/>
      <c r="AB3120" s="249"/>
      <c r="AC3120" s="330"/>
      <c r="AD3120" s="343"/>
      <c r="AE3120" s="249"/>
      <c r="AF3120" s="330"/>
      <c r="AG3120" s="343"/>
      <c r="AH3120" s="249"/>
      <c r="AI3120" s="330"/>
      <c r="AJ3120" s="343"/>
      <c r="AK3120" s="249"/>
      <c r="AL3120" s="330"/>
      <c r="AM3120" s="343"/>
      <c r="AN3120" s="249"/>
      <c r="AO3120" s="330"/>
      <c r="AP3120" s="343"/>
      <c r="AQ3120" s="249"/>
      <c r="AR3120" s="330"/>
      <c r="AS3120" s="343"/>
      <c r="AT3120" s="249"/>
      <c r="AU3120" s="330"/>
    </row>
    <row r="3121" spans="2:47">
      <c r="B3121" s="247">
        <f>'Table S2 Compound Identifiers'!C3123</f>
        <v>0</v>
      </c>
      <c r="C3121" s="247">
        <f>COUNTIF($D$6:D3121,"&lt;&gt;"&amp;"")</f>
        <v>3116</v>
      </c>
      <c r="D3121" s="247">
        <f>'Table S2 Compound Identifiers'!B3123</f>
        <v>0</v>
      </c>
      <c r="E3121" s="247"/>
      <c r="F3121" s="248"/>
      <c r="G3121" s="249"/>
      <c r="H3121" s="330"/>
      <c r="I3121" s="328"/>
      <c r="J3121" s="249"/>
      <c r="K3121" s="330"/>
      <c r="L3121" s="250"/>
      <c r="M3121" s="249"/>
      <c r="N3121" s="330"/>
      <c r="O3121" s="250"/>
      <c r="P3121" s="249"/>
      <c r="Q3121" s="330"/>
      <c r="R3121" s="250"/>
      <c r="S3121" s="249"/>
      <c r="T3121" s="330"/>
      <c r="U3121" s="250"/>
      <c r="V3121" s="249"/>
      <c r="W3121" s="330"/>
      <c r="X3121" s="343"/>
      <c r="Y3121" s="249"/>
      <c r="Z3121" s="330"/>
      <c r="AA3121" s="343"/>
      <c r="AB3121" s="249"/>
      <c r="AC3121" s="330"/>
      <c r="AD3121" s="343"/>
      <c r="AE3121" s="249"/>
      <c r="AF3121" s="330"/>
      <c r="AG3121" s="343"/>
      <c r="AH3121" s="249"/>
      <c r="AI3121" s="330"/>
      <c r="AJ3121" s="343"/>
      <c r="AK3121" s="249"/>
      <c r="AL3121" s="330"/>
      <c r="AM3121" s="343"/>
      <c r="AN3121" s="249"/>
      <c r="AO3121" s="330"/>
      <c r="AP3121" s="343"/>
      <c r="AQ3121" s="249"/>
      <c r="AR3121" s="330"/>
      <c r="AS3121" s="343"/>
      <c r="AT3121" s="249"/>
      <c r="AU3121" s="330"/>
    </row>
    <row r="3122" spans="2:47">
      <c r="B3122" s="247">
        <f>'Table S2 Compound Identifiers'!C3124</f>
        <v>0</v>
      </c>
      <c r="C3122" s="247">
        <f>COUNTIF($D$6:D3122,"&lt;&gt;"&amp;"")</f>
        <v>3117</v>
      </c>
      <c r="D3122" s="247">
        <f>'Table S2 Compound Identifiers'!B3124</f>
        <v>0</v>
      </c>
      <c r="E3122" s="247"/>
      <c r="F3122" s="248"/>
      <c r="G3122" s="249"/>
      <c r="H3122" s="330"/>
      <c r="I3122" s="328"/>
      <c r="J3122" s="249"/>
      <c r="K3122" s="330"/>
      <c r="L3122" s="250"/>
      <c r="M3122" s="249"/>
      <c r="N3122" s="330"/>
      <c r="O3122" s="250"/>
      <c r="P3122" s="249"/>
      <c r="Q3122" s="330"/>
      <c r="R3122" s="250"/>
      <c r="S3122" s="249"/>
      <c r="T3122" s="330"/>
      <c r="U3122" s="250"/>
      <c r="V3122" s="249"/>
      <c r="W3122" s="330"/>
      <c r="X3122" s="343"/>
      <c r="Y3122" s="249"/>
      <c r="Z3122" s="330"/>
      <c r="AA3122" s="343"/>
      <c r="AB3122" s="249"/>
      <c r="AC3122" s="330"/>
      <c r="AD3122" s="343"/>
      <c r="AE3122" s="249"/>
      <c r="AF3122" s="330"/>
      <c r="AG3122" s="343"/>
      <c r="AH3122" s="249"/>
      <c r="AI3122" s="330"/>
      <c r="AJ3122" s="343"/>
      <c r="AK3122" s="249"/>
      <c r="AL3122" s="330"/>
      <c r="AM3122" s="343"/>
      <c r="AN3122" s="249"/>
      <c r="AO3122" s="330"/>
      <c r="AP3122" s="343"/>
      <c r="AQ3122" s="249"/>
      <c r="AR3122" s="330"/>
      <c r="AS3122" s="343"/>
      <c r="AT3122" s="249"/>
      <c r="AU3122" s="330"/>
    </row>
    <row r="3123" spans="2:47">
      <c r="B3123" s="247">
        <f>'Table S2 Compound Identifiers'!C3125</f>
        <v>0</v>
      </c>
      <c r="C3123" s="247">
        <f>COUNTIF($D$6:D3123,"&lt;&gt;"&amp;"")</f>
        <v>3118</v>
      </c>
      <c r="D3123" s="247">
        <f>'Table S2 Compound Identifiers'!B3125</f>
        <v>0</v>
      </c>
      <c r="E3123" s="247"/>
      <c r="F3123" s="248"/>
      <c r="G3123" s="249"/>
      <c r="H3123" s="330"/>
      <c r="I3123" s="328"/>
      <c r="J3123" s="249"/>
      <c r="K3123" s="330"/>
      <c r="L3123" s="250"/>
      <c r="M3123" s="249"/>
      <c r="N3123" s="330"/>
      <c r="O3123" s="250"/>
      <c r="P3123" s="249"/>
      <c r="Q3123" s="330"/>
      <c r="R3123" s="250"/>
      <c r="S3123" s="249"/>
      <c r="T3123" s="330"/>
      <c r="U3123" s="250"/>
      <c r="V3123" s="249"/>
      <c r="W3123" s="330"/>
      <c r="X3123" s="343"/>
      <c r="Y3123" s="249"/>
      <c r="Z3123" s="330"/>
      <c r="AA3123" s="343"/>
      <c r="AB3123" s="249"/>
      <c r="AC3123" s="330"/>
      <c r="AD3123" s="343"/>
      <c r="AE3123" s="249"/>
      <c r="AF3123" s="330"/>
      <c r="AG3123" s="343"/>
      <c r="AH3123" s="249"/>
      <c r="AI3123" s="330"/>
      <c r="AJ3123" s="343"/>
      <c r="AK3123" s="249"/>
      <c r="AL3123" s="330"/>
      <c r="AM3123" s="343"/>
      <c r="AN3123" s="249"/>
      <c r="AO3123" s="330"/>
      <c r="AP3123" s="343"/>
      <c r="AQ3123" s="249"/>
      <c r="AR3123" s="330"/>
      <c r="AS3123" s="343"/>
      <c r="AT3123" s="249"/>
      <c r="AU3123" s="330"/>
    </row>
    <row r="3124" spans="2:47">
      <c r="B3124" s="247">
        <f>'Table S2 Compound Identifiers'!C3126</f>
        <v>0</v>
      </c>
      <c r="C3124" s="247">
        <f>COUNTIF($D$6:D3124,"&lt;&gt;"&amp;"")</f>
        <v>3119</v>
      </c>
      <c r="D3124" s="247">
        <f>'Table S2 Compound Identifiers'!B3126</f>
        <v>0</v>
      </c>
      <c r="E3124" s="247"/>
      <c r="F3124" s="248"/>
      <c r="G3124" s="249"/>
      <c r="H3124" s="330"/>
      <c r="I3124" s="328"/>
      <c r="J3124" s="249"/>
      <c r="K3124" s="330"/>
      <c r="L3124" s="250"/>
      <c r="M3124" s="249"/>
      <c r="N3124" s="330"/>
      <c r="O3124" s="250"/>
      <c r="P3124" s="249"/>
      <c r="Q3124" s="330"/>
      <c r="R3124" s="250"/>
      <c r="S3124" s="249"/>
      <c r="T3124" s="330"/>
      <c r="U3124" s="250"/>
      <c r="V3124" s="249"/>
      <c r="W3124" s="330"/>
      <c r="X3124" s="343"/>
      <c r="Y3124" s="249"/>
      <c r="Z3124" s="330"/>
      <c r="AA3124" s="343"/>
      <c r="AB3124" s="249"/>
      <c r="AC3124" s="330"/>
      <c r="AD3124" s="343"/>
      <c r="AE3124" s="249"/>
      <c r="AF3124" s="330"/>
      <c r="AG3124" s="343"/>
      <c r="AH3124" s="249"/>
      <c r="AI3124" s="330"/>
      <c r="AJ3124" s="343"/>
      <c r="AK3124" s="249"/>
      <c r="AL3124" s="330"/>
      <c r="AM3124" s="343"/>
      <c r="AN3124" s="249"/>
      <c r="AO3124" s="330"/>
      <c r="AP3124" s="343"/>
      <c r="AQ3124" s="249"/>
      <c r="AR3124" s="330"/>
      <c r="AS3124" s="343"/>
      <c r="AT3124" s="249"/>
      <c r="AU3124" s="330"/>
    </row>
    <row r="3125" spans="2:47">
      <c r="B3125" s="247">
        <f>'Table S2 Compound Identifiers'!C3127</f>
        <v>0</v>
      </c>
      <c r="C3125" s="247">
        <f>COUNTIF($D$6:D3125,"&lt;&gt;"&amp;"")</f>
        <v>3120</v>
      </c>
      <c r="D3125" s="247">
        <f>'Table S2 Compound Identifiers'!B3127</f>
        <v>0</v>
      </c>
      <c r="E3125" s="247"/>
      <c r="F3125" s="248"/>
      <c r="G3125" s="249"/>
      <c r="H3125" s="330"/>
      <c r="I3125" s="328"/>
      <c r="J3125" s="249"/>
      <c r="K3125" s="330"/>
      <c r="L3125" s="250"/>
      <c r="M3125" s="249"/>
      <c r="N3125" s="330"/>
      <c r="O3125" s="250"/>
      <c r="P3125" s="249"/>
      <c r="Q3125" s="330"/>
      <c r="R3125" s="250"/>
      <c r="S3125" s="249"/>
      <c r="T3125" s="330"/>
      <c r="U3125" s="250"/>
      <c r="V3125" s="249"/>
      <c r="W3125" s="330"/>
      <c r="X3125" s="343"/>
      <c r="Y3125" s="249"/>
      <c r="Z3125" s="330"/>
      <c r="AA3125" s="343"/>
      <c r="AB3125" s="249"/>
      <c r="AC3125" s="330"/>
      <c r="AD3125" s="343"/>
      <c r="AE3125" s="249"/>
      <c r="AF3125" s="330"/>
      <c r="AG3125" s="343"/>
      <c r="AH3125" s="249"/>
      <c r="AI3125" s="330"/>
      <c r="AJ3125" s="343"/>
      <c r="AK3125" s="249"/>
      <c r="AL3125" s="330"/>
      <c r="AM3125" s="343"/>
      <c r="AN3125" s="249"/>
      <c r="AO3125" s="330"/>
      <c r="AP3125" s="343"/>
      <c r="AQ3125" s="249"/>
      <c r="AR3125" s="330"/>
      <c r="AS3125" s="343"/>
      <c r="AT3125" s="249"/>
      <c r="AU3125" s="330"/>
    </row>
    <row r="3126" spans="2:47">
      <c r="B3126" s="247">
        <f>'Table S2 Compound Identifiers'!C3128</f>
        <v>0</v>
      </c>
      <c r="C3126" s="247">
        <f>COUNTIF($D$6:D3126,"&lt;&gt;"&amp;"")</f>
        <v>3121</v>
      </c>
      <c r="D3126" s="247">
        <f>'Table S2 Compound Identifiers'!B3128</f>
        <v>0</v>
      </c>
      <c r="E3126" s="247"/>
      <c r="F3126" s="248"/>
      <c r="G3126" s="249"/>
      <c r="H3126" s="330"/>
      <c r="I3126" s="328"/>
      <c r="J3126" s="249"/>
      <c r="K3126" s="330"/>
      <c r="L3126" s="250"/>
      <c r="M3126" s="249"/>
      <c r="N3126" s="330"/>
      <c r="O3126" s="250"/>
      <c r="P3126" s="249"/>
      <c r="Q3126" s="330"/>
      <c r="R3126" s="250"/>
      <c r="S3126" s="249"/>
      <c r="T3126" s="330"/>
      <c r="U3126" s="250"/>
      <c r="V3126" s="249"/>
      <c r="W3126" s="330"/>
      <c r="X3126" s="343"/>
      <c r="Y3126" s="249"/>
      <c r="Z3126" s="330"/>
      <c r="AA3126" s="343"/>
      <c r="AB3126" s="249"/>
      <c r="AC3126" s="330"/>
      <c r="AD3126" s="343"/>
      <c r="AE3126" s="249"/>
      <c r="AF3126" s="330"/>
      <c r="AG3126" s="343"/>
      <c r="AH3126" s="249"/>
      <c r="AI3126" s="330"/>
      <c r="AJ3126" s="343"/>
      <c r="AK3126" s="249"/>
      <c r="AL3126" s="330"/>
      <c r="AM3126" s="343"/>
      <c r="AN3126" s="249"/>
      <c r="AO3126" s="330"/>
      <c r="AP3126" s="343"/>
      <c r="AQ3126" s="249"/>
      <c r="AR3126" s="330"/>
      <c r="AS3126" s="343"/>
      <c r="AT3126" s="249"/>
      <c r="AU3126" s="330"/>
    </row>
    <row r="3127" spans="2:47">
      <c r="B3127" s="247">
        <f>'Table S2 Compound Identifiers'!C3129</f>
        <v>0</v>
      </c>
      <c r="C3127" s="247">
        <f>COUNTIF($D$6:D3127,"&lt;&gt;"&amp;"")</f>
        <v>3122</v>
      </c>
      <c r="D3127" s="247">
        <f>'Table S2 Compound Identifiers'!B3129</f>
        <v>0</v>
      </c>
      <c r="E3127" s="247"/>
      <c r="F3127" s="248"/>
      <c r="G3127" s="249"/>
      <c r="H3127" s="330"/>
      <c r="I3127" s="328"/>
      <c r="J3127" s="249"/>
      <c r="K3127" s="330"/>
      <c r="L3127" s="250"/>
      <c r="M3127" s="249"/>
      <c r="N3127" s="330"/>
      <c r="O3127" s="250"/>
      <c r="P3127" s="249"/>
      <c r="Q3127" s="330"/>
      <c r="R3127" s="250"/>
      <c r="S3127" s="249"/>
      <c r="T3127" s="330"/>
      <c r="U3127" s="250"/>
      <c r="V3127" s="249"/>
      <c r="W3127" s="330"/>
      <c r="X3127" s="343"/>
      <c r="Y3127" s="249"/>
      <c r="Z3127" s="330"/>
      <c r="AA3127" s="343"/>
      <c r="AB3127" s="249"/>
      <c r="AC3127" s="330"/>
      <c r="AD3127" s="343"/>
      <c r="AE3127" s="249"/>
      <c r="AF3127" s="330"/>
      <c r="AG3127" s="343"/>
      <c r="AH3127" s="249"/>
      <c r="AI3127" s="330"/>
      <c r="AJ3127" s="343"/>
      <c r="AK3127" s="249"/>
      <c r="AL3127" s="330"/>
      <c r="AM3127" s="343"/>
      <c r="AN3127" s="249"/>
      <c r="AO3127" s="330"/>
      <c r="AP3127" s="343"/>
      <c r="AQ3127" s="249"/>
      <c r="AR3127" s="330"/>
      <c r="AS3127" s="343"/>
      <c r="AT3127" s="249"/>
      <c r="AU3127" s="330"/>
    </row>
    <row r="3128" spans="2:47">
      <c r="B3128" s="247">
        <f>'Table S2 Compound Identifiers'!C3130</f>
        <v>0</v>
      </c>
      <c r="C3128" s="247">
        <f>COUNTIF($D$6:D3128,"&lt;&gt;"&amp;"")</f>
        <v>3123</v>
      </c>
      <c r="D3128" s="247">
        <f>'Table S2 Compound Identifiers'!B3130</f>
        <v>0</v>
      </c>
      <c r="E3128" s="247"/>
      <c r="F3128" s="248"/>
      <c r="G3128" s="249"/>
      <c r="H3128" s="330"/>
      <c r="I3128" s="328"/>
      <c r="J3128" s="249"/>
      <c r="K3128" s="330"/>
      <c r="L3128" s="250"/>
      <c r="M3128" s="249"/>
      <c r="N3128" s="330"/>
      <c r="O3128" s="250"/>
      <c r="P3128" s="249"/>
      <c r="Q3128" s="330"/>
      <c r="R3128" s="250"/>
      <c r="S3128" s="249"/>
      <c r="T3128" s="330"/>
      <c r="U3128" s="250"/>
      <c r="V3128" s="249"/>
      <c r="W3128" s="330"/>
      <c r="X3128" s="343"/>
      <c r="Y3128" s="249"/>
      <c r="Z3128" s="330"/>
      <c r="AA3128" s="343"/>
      <c r="AB3128" s="249"/>
      <c r="AC3128" s="330"/>
      <c r="AD3128" s="343"/>
      <c r="AE3128" s="249"/>
      <c r="AF3128" s="330"/>
      <c r="AG3128" s="343"/>
      <c r="AH3128" s="249"/>
      <c r="AI3128" s="330"/>
      <c r="AJ3128" s="343"/>
      <c r="AK3128" s="249"/>
      <c r="AL3128" s="330"/>
      <c r="AM3128" s="343"/>
      <c r="AN3128" s="249"/>
      <c r="AO3128" s="330"/>
      <c r="AP3128" s="343"/>
      <c r="AQ3128" s="249"/>
      <c r="AR3128" s="330"/>
      <c r="AS3128" s="343"/>
      <c r="AT3128" s="249"/>
      <c r="AU3128" s="330"/>
    </row>
    <row r="3129" spans="2:47">
      <c r="B3129" s="247">
        <f>'Table S2 Compound Identifiers'!C3131</f>
        <v>0</v>
      </c>
      <c r="C3129" s="247">
        <f>COUNTIF($D$6:D3129,"&lt;&gt;"&amp;"")</f>
        <v>3124</v>
      </c>
      <c r="D3129" s="247">
        <f>'Table S2 Compound Identifiers'!B3131</f>
        <v>0</v>
      </c>
      <c r="E3129" s="247"/>
      <c r="F3129" s="248"/>
      <c r="G3129" s="249"/>
      <c r="H3129" s="330"/>
      <c r="I3129" s="328"/>
      <c r="J3129" s="249"/>
      <c r="K3129" s="330"/>
      <c r="L3129" s="250"/>
      <c r="M3129" s="249"/>
      <c r="N3129" s="330"/>
      <c r="O3129" s="250"/>
      <c r="P3129" s="249"/>
      <c r="Q3129" s="330"/>
      <c r="R3129" s="250"/>
      <c r="S3129" s="249"/>
      <c r="T3129" s="330"/>
      <c r="U3129" s="250"/>
      <c r="V3129" s="249"/>
      <c r="W3129" s="330"/>
      <c r="X3129" s="343"/>
      <c r="Y3129" s="249"/>
      <c r="Z3129" s="330"/>
      <c r="AA3129" s="343"/>
      <c r="AB3129" s="249"/>
      <c r="AC3129" s="330"/>
      <c r="AD3129" s="343"/>
      <c r="AE3129" s="249"/>
      <c r="AF3129" s="330"/>
      <c r="AG3129" s="343"/>
      <c r="AH3129" s="249"/>
      <c r="AI3129" s="330"/>
      <c r="AJ3129" s="343"/>
      <c r="AK3129" s="249"/>
      <c r="AL3129" s="330"/>
      <c r="AM3129" s="343"/>
      <c r="AN3129" s="249"/>
      <c r="AO3129" s="330"/>
      <c r="AP3129" s="343"/>
      <c r="AQ3129" s="249"/>
      <c r="AR3129" s="330"/>
      <c r="AS3129" s="343"/>
      <c r="AT3129" s="249"/>
      <c r="AU3129" s="330"/>
    </row>
    <row r="3130" spans="2:47">
      <c r="B3130" s="247">
        <f>'Table S2 Compound Identifiers'!C3132</f>
        <v>0</v>
      </c>
      <c r="C3130" s="247">
        <f>COUNTIF($D$6:D3130,"&lt;&gt;"&amp;"")</f>
        <v>3125</v>
      </c>
      <c r="D3130" s="247">
        <f>'Table S2 Compound Identifiers'!B3132</f>
        <v>0</v>
      </c>
      <c r="E3130" s="247"/>
      <c r="F3130" s="248"/>
      <c r="G3130" s="249"/>
      <c r="H3130" s="330"/>
      <c r="I3130" s="328"/>
      <c r="J3130" s="249"/>
      <c r="K3130" s="330"/>
      <c r="L3130" s="250"/>
      <c r="M3130" s="249"/>
      <c r="N3130" s="330"/>
      <c r="O3130" s="250"/>
      <c r="P3130" s="249"/>
      <c r="Q3130" s="330"/>
      <c r="R3130" s="250"/>
      <c r="S3130" s="249"/>
      <c r="T3130" s="330"/>
      <c r="U3130" s="250"/>
      <c r="V3130" s="249"/>
      <c r="W3130" s="330"/>
      <c r="X3130" s="343"/>
      <c r="Y3130" s="249"/>
      <c r="Z3130" s="330"/>
      <c r="AA3130" s="343"/>
      <c r="AB3130" s="249"/>
      <c r="AC3130" s="330"/>
      <c r="AD3130" s="343"/>
      <c r="AE3130" s="249"/>
      <c r="AF3130" s="330"/>
      <c r="AG3130" s="343"/>
      <c r="AH3130" s="249"/>
      <c r="AI3130" s="330"/>
      <c r="AJ3130" s="343"/>
      <c r="AK3130" s="249"/>
      <c r="AL3130" s="330"/>
      <c r="AM3130" s="343"/>
      <c r="AN3130" s="249"/>
      <c r="AO3130" s="330"/>
      <c r="AP3130" s="343"/>
      <c r="AQ3130" s="249"/>
      <c r="AR3130" s="330"/>
      <c r="AS3130" s="343"/>
      <c r="AT3130" s="249"/>
      <c r="AU3130" s="330"/>
    </row>
    <row r="3131" spans="2:47">
      <c r="B3131" s="247">
        <f>'Table S2 Compound Identifiers'!C3133</f>
        <v>0</v>
      </c>
      <c r="C3131" s="247">
        <f>COUNTIF($D$6:D3131,"&lt;&gt;"&amp;"")</f>
        <v>3126</v>
      </c>
      <c r="D3131" s="247">
        <f>'Table S2 Compound Identifiers'!B3133</f>
        <v>0</v>
      </c>
      <c r="E3131" s="247"/>
      <c r="F3131" s="248"/>
      <c r="G3131" s="249"/>
      <c r="H3131" s="330"/>
      <c r="I3131" s="328"/>
      <c r="J3131" s="249"/>
      <c r="K3131" s="330"/>
      <c r="L3131" s="250"/>
      <c r="M3131" s="249"/>
      <c r="N3131" s="330"/>
      <c r="O3131" s="250"/>
      <c r="P3131" s="249"/>
      <c r="Q3131" s="330"/>
      <c r="R3131" s="250"/>
      <c r="S3131" s="249"/>
      <c r="T3131" s="330"/>
      <c r="U3131" s="250"/>
      <c r="V3131" s="249"/>
      <c r="W3131" s="330"/>
      <c r="X3131" s="343"/>
      <c r="Y3131" s="249"/>
      <c r="Z3131" s="330"/>
      <c r="AA3131" s="343"/>
      <c r="AB3131" s="249"/>
      <c r="AC3131" s="330"/>
      <c r="AD3131" s="343"/>
      <c r="AE3131" s="249"/>
      <c r="AF3131" s="330"/>
      <c r="AG3131" s="343"/>
      <c r="AH3131" s="249"/>
      <c r="AI3131" s="330"/>
      <c r="AJ3131" s="343"/>
      <c r="AK3131" s="249"/>
      <c r="AL3131" s="330"/>
      <c r="AM3131" s="343"/>
      <c r="AN3131" s="249"/>
      <c r="AO3131" s="330"/>
      <c r="AP3131" s="343"/>
      <c r="AQ3131" s="249"/>
      <c r="AR3131" s="330"/>
      <c r="AS3131" s="343"/>
      <c r="AT3131" s="249"/>
      <c r="AU3131" s="330"/>
    </row>
    <row r="3132" spans="2:47">
      <c r="B3132" s="247">
        <f>'Table S2 Compound Identifiers'!C3134</f>
        <v>0</v>
      </c>
      <c r="C3132" s="247">
        <f>COUNTIF($D$6:D3132,"&lt;&gt;"&amp;"")</f>
        <v>3127</v>
      </c>
      <c r="D3132" s="247">
        <f>'Table S2 Compound Identifiers'!B3134</f>
        <v>0</v>
      </c>
      <c r="E3132" s="247"/>
      <c r="F3132" s="248"/>
      <c r="G3132" s="249"/>
      <c r="H3132" s="330"/>
      <c r="I3132" s="328"/>
      <c r="J3132" s="249"/>
      <c r="K3132" s="330"/>
      <c r="L3132" s="250"/>
      <c r="M3132" s="249"/>
      <c r="N3132" s="330"/>
      <c r="O3132" s="250"/>
      <c r="P3132" s="249"/>
      <c r="Q3132" s="330"/>
      <c r="R3132" s="250"/>
      <c r="S3132" s="249"/>
      <c r="T3132" s="330"/>
      <c r="U3132" s="250"/>
      <c r="V3132" s="249"/>
      <c r="W3132" s="330"/>
      <c r="X3132" s="343"/>
      <c r="Y3132" s="249"/>
      <c r="Z3132" s="330"/>
      <c r="AA3132" s="343"/>
      <c r="AB3132" s="249"/>
      <c r="AC3132" s="330"/>
      <c r="AD3132" s="343"/>
      <c r="AE3132" s="249"/>
      <c r="AF3132" s="330"/>
      <c r="AG3132" s="343"/>
      <c r="AH3132" s="249"/>
      <c r="AI3132" s="330"/>
      <c r="AJ3132" s="343"/>
      <c r="AK3132" s="249"/>
      <c r="AL3132" s="330"/>
      <c r="AM3132" s="343"/>
      <c r="AN3132" s="249"/>
      <c r="AO3132" s="330"/>
      <c r="AP3132" s="343"/>
      <c r="AQ3132" s="249"/>
      <c r="AR3132" s="330"/>
      <c r="AS3132" s="343"/>
      <c r="AT3132" s="249"/>
      <c r="AU3132" s="330"/>
    </row>
    <row r="3133" spans="2:47">
      <c r="B3133" s="247">
        <f>'Table S2 Compound Identifiers'!C3135</f>
        <v>0</v>
      </c>
      <c r="C3133" s="247">
        <f>COUNTIF($D$6:D3133,"&lt;&gt;"&amp;"")</f>
        <v>3128</v>
      </c>
      <c r="D3133" s="247">
        <f>'Table S2 Compound Identifiers'!B3135</f>
        <v>0</v>
      </c>
      <c r="E3133" s="247"/>
      <c r="F3133" s="248"/>
      <c r="G3133" s="249"/>
      <c r="H3133" s="330"/>
      <c r="I3133" s="328"/>
      <c r="J3133" s="249"/>
      <c r="K3133" s="330"/>
      <c r="L3133" s="250"/>
      <c r="M3133" s="249"/>
      <c r="N3133" s="330"/>
      <c r="O3133" s="250"/>
      <c r="P3133" s="249"/>
      <c r="Q3133" s="330"/>
      <c r="R3133" s="250"/>
      <c r="S3133" s="249"/>
      <c r="T3133" s="330"/>
      <c r="U3133" s="250"/>
      <c r="V3133" s="249"/>
      <c r="W3133" s="330"/>
      <c r="X3133" s="343"/>
      <c r="Y3133" s="249"/>
      <c r="Z3133" s="330"/>
      <c r="AA3133" s="343"/>
      <c r="AB3133" s="249"/>
      <c r="AC3133" s="330"/>
      <c r="AD3133" s="343"/>
      <c r="AE3133" s="249"/>
      <c r="AF3133" s="330"/>
      <c r="AG3133" s="343"/>
      <c r="AH3133" s="249"/>
      <c r="AI3133" s="330"/>
      <c r="AJ3133" s="343"/>
      <c r="AK3133" s="249"/>
      <c r="AL3133" s="330"/>
      <c r="AM3133" s="343"/>
      <c r="AN3133" s="249"/>
      <c r="AO3133" s="330"/>
      <c r="AP3133" s="343"/>
      <c r="AQ3133" s="249"/>
      <c r="AR3133" s="330"/>
      <c r="AS3133" s="343"/>
      <c r="AT3133" s="249"/>
      <c r="AU3133" s="330"/>
    </row>
    <row r="3134" spans="2:47">
      <c r="B3134" s="247">
        <f>'Table S2 Compound Identifiers'!C3136</f>
        <v>0</v>
      </c>
      <c r="C3134" s="247">
        <f>COUNTIF($D$6:D3134,"&lt;&gt;"&amp;"")</f>
        <v>3129</v>
      </c>
      <c r="D3134" s="247">
        <f>'Table S2 Compound Identifiers'!B3136</f>
        <v>0</v>
      </c>
      <c r="E3134" s="247"/>
      <c r="F3134" s="248"/>
      <c r="G3134" s="249"/>
      <c r="H3134" s="330"/>
      <c r="I3134" s="328"/>
      <c r="J3134" s="249"/>
      <c r="K3134" s="330"/>
      <c r="L3134" s="250"/>
      <c r="M3134" s="249"/>
      <c r="N3134" s="330"/>
      <c r="O3134" s="250"/>
      <c r="P3134" s="249"/>
      <c r="Q3134" s="330"/>
      <c r="R3134" s="250"/>
      <c r="S3134" s="249"/>
      <c r="T3134" s="330"/>
      <c r="U3134" s="250"/>
      <c r="V3134" s="249"/>
      <c r="W3134" s="330"/>
      <c r="X3134" s="343"/>
      <c r="Y3134" s="249"/>
      <c r="Z3134" s="330"/>
      <c r="AA3134" s="343"/>
      <c r="AB3134" s="249"/>
      <c r="AC3134" s="330"/>
      <c r="AD3134" s="343"/>
      <c r="AE3134" s="249"/>
      <c r="AF3134" s="330"/>
      <c r="AG3134" s="343"/>
      <c r="AH3134" s="249"/>
      <c r="AI3134" s="330"/>
      <c r="AJ3134" s="343"/>
      <c r="AK3134" s="249"/>
      <c r="AL3134" s="330"/>
      <c r="AM3134" s="343"/>
      <c r="AN3134" s="249"/>
      <c r="AO3134" s="330"/>
      <c r="AP3134" s="343"/>
      <c r="AQ3134" s="249"/>
      <c r="AR3134" s="330"/>
      <c r="AS3134" s="343"/>
      <c r="AT3134" s="249"/>
      <c r="AU3134" s="330"/>
    </row>
    <row r="3135" spans="2:47">
      <c r="B3135" s="247">
        <f>'Table S2 Compound Identifiers'!C3137</f>
        <v>0</v>
      </c>
      <c r="C3135" s="247">
        <f>COUNTIF($D$6:D3135,"&lt;&gt;"&amp;"")</f>
        <v>3130</v>
      </c>
      <c r="D3135" s="247">
        <f>'Table S2 Compound Identifiers'!B3137</f>
        <v>0</v>
      </c>
      <c r="E3135" s="247"/>
      <c r="F3135" s="248"/>
      <c r="G3135" s="249"/>
      <c r="H3135" s="330"/>
      <c r="I3135" s="328"/>
      <c r="J3135" s="249"/>
      <c r="K3135" s="330"/>
      <c r="L3135" s="250"/>
      <c r="M3135" s="249"/>
      <c r="N3135" s="330"/>
      <c r="O3135" s="250"/>
      <c r="P3135" s="249"/>
      <c r="Q3135" s="330"/>
      <c r="R3135" s="250"/>
      <c r="S3135" s="249"/>
      <c r="T3135" s="330"/>
      <c r="U3135" s="250"/>
      <c r="V3135" s="249"/>
      <c r="W3135" s="330"/>
      <c r="X3135" s="343"/>
      <c r="Y3135" s="249"/>
      <c r="Z3135" s="330"/>
      <c r="AA3135" s="343"/>
      <c r="AB3135" s="249"/>
      <c r="AC3135" s="330"/>
      <c r="AD3135" s="343"/>
      <c r="AE3135" s="249"/>
      <c r="AF3135" s="330"/>
      <c r="AG3135" s="343"/>
      <c r="AH3135" s="249"/>
      <c r="AI3135" s="330"/>
      <c r="AJ3135" s="343"/>
      <c r="AK3135" s="249"/>
      <c r="AL3135" s="330"/>
      <c r="AM3135" s="343"/>
      <c r="AN3135" s="249"/>
      <c r="AO3135" s="330"/>
      <c r="AP3135" s="343"/>
      <c r="AQ3135" s="249"/>
      <c r="AR3135" s="330"/>
      <c r="AS3135" s="343"/>
      <c r="AT3135" s="249"/>
      <c r="AU3135" s="330"/>
    </row>
    <row r="3136" spans="2:47">
      <c r="B3136" s="247">
        <f>'Table S2 Compound Identifiers'!C3138</f>
        <v>0</v>
      </c>
      <c r="C3136" s="247">
        <f>COUNTIF($D$6:D3136,"&lt;&gt;"&amp;"")</f>
        <v>3131</v>
      </c>
      <c r="D3136" s="247">
        <f>'Table S2 Compound Identifiers'!B3138</f>
        <v>0</v>
      </c>
      <c r="E3136" s="247"/>
      <c r="F3136" s="248"/>
      <c r="G3136" s="249"/>
      <c r="H3136" s="330"/>
      <c r="I3136" s="328"/>
      <c r="J3136" s="249"/>
      <c r="K3136" s="330"/>
      <c r="L3136" s="250"/>
      <c r="M3136" s="249"/>
      <c r="N3136" s="330"/>
      <c r="O3136" s="250"/>
      <c r="P3136" s="249"/>
      <c r="Q3136" s="330"/>
      <c r="R3136" s="250"/>
      <c r="S3136" s="249"/>
      <c r="T3136" s="330"/>
      <c r="U3136" s="250"/>
      <c r="V3136" s="249"/>
      <c r="W3136" s="330"/>
      <c r="X3136" s="343"/>
      <c r="Y3136" s="249"/>
      <c r="Z3136" s="330"/>
      <c r="AA3136" s="343"/>
      <c r="AB3136" s="249"/>
      <c r="AC3136" s="330"/>
      <c r="AD3136" s="343"/>
      <c r="AE3136" s="249"/>
      <c r="AF3136" s="330"/>
      <c r="AG3136" s="343"/>
      <c r="AH3136" s="249"/>
      <c r="AI3136" s="330"/>
      <c r="AJ3136" s="343"/>
      <c r="AK3136" s="249"/>
      <c r="AL3136" s="330"/>
      <c r="AM3136" s="343"/>
      <c r="AN3136" s="249"/>
      <c r="AO3136" s="330"/>
      <c r="AP3136" s="343"/>
      <c r="AQ3136" s="249"/>
      <c r="AR3136" s="330"/>
      <c r="AS3136" s="343"/>
      <c r="AT3136" s="249"/>
      <c r="AU3136" s="330"/>
    </row>
    <row r="3137" spans="2:47">
      <c r="B3137" s="247">
        <f>'Table S2 Compound Identifiers'!C3139</f>
        <v>0</v>
      </c>
      <c r="C3137" s="247">
        <f>COUNTIF($D$6:D3137,"&lt;&gt;"&amp;"")</f>
        <v>3132</v>
      </c>
      <c r="D3137" s="247">
        <f>'Table S2 Compound Identifiers'!B3139</f>
        <v>0</v>
      </c>
      <c r="E3137" s="247"/>
      <c r="F3137" s="248"/>
      <c r="G3137" s="249"/>
      <c r="H3137" s="330"/>
      <c r="I3137" s="328"/>
      <c r="J3137" s="249"/>
      <c r="K3137" s="330"/>
      <c r="L3137" s="250"/>
      <c r="M3137" s="249"/>
      <c r="N3137" s="330"/>
      <c r="O3137" s="250"/>
      <c r="P3137" s="249"/>
      <c r="Q3137" s="330"/>
      <c r="R3137" s="250"/>
      <c r="S3137" s="249"/>
      <c r="T3137" s="330"/>
      <c r="U3137" s="250"/>
      <c r="V3137" s="249"/>
      <c r="W3137" s="330"/>
      <c r="X3137" s="343"/>
      <c r="Y3137" s="249"/>
      <c r="Z3137" s="330"/>
      <c r="AA3137" s="343"/>
      <c r="AB3137" s="249"/>
      <c r="AC3137" s="330"/>
      <c r="AD3137" s="343"/>
      <c r="AE3137" s="249"/>
      <c r="AF3137" s="330"/>
      <c r="AG3137" s="343"/>
      <c r="AH3137" s="249"/>
      <c r="AI3137" s="330"/>
      <c r="AJ3137" s="343"/>
      <c r="AK3137" s="249"/>
      <c r="AL3137" s="330"/>
      <c r="AM3137" s="343"/>
      <c r="AN3137" s="249"/>
      <c r="AO3137" s="330"/>
      <c r="AP3137" s="343"/>
      <c r="AQ3137" s="249"/>
      <c r="AR3137" s="330"/>
      <c r="AS3137" s="343"/>
      <c r="AT3137" s="249"/>
      <c r="AU3137" s="330"/>
    </row>
    <row r="3138" spans="2:47">
      <c r="B3138" s="247">
        <f>'Table S2 Compound Identifiers'!C3140</f>
        <v>0</v>
      </c>
      <c r="C3138" s="247">
        <f>COUNTIF($D$6:D3138,"&lt;&gt;"&amp;"")</f>
        <v>3133</v>
      </c>
      <c r="D3138" s="247">
        <f>'Table S2 Compound Identifiers'!B3140</f>
        <v>0</v>
      </c>
      <c r="E3138" s="247"/>
      <c r="F3138" s="248"/>
      <c r="G3138" s="249"/>
      <c r="H3138" s="330"/>
      <c r="I3138" s="328"/>
      <c r="J3138" s="249"/>
      <c r="K3138" s="330"/>
      <c r="L3138" s="250"/>
      <c r="M3138" s="249"/>
      <c r="N3138" s="330"/>
      <c r="O3138" s="250"/>
      <c r="P3138" s="249"/>
      <c r="Q3138" s="330"/>
      <c r="R3138" s="250"/>
      <c r="S3138" s="249"/>
      <c r="T3138" s="330"/>
      <c r="U3138" s="250"/>
      <c r="V3138" s="249"/>
      <c r="W3138" s="330"/>
      <c r="X3138" s="343"/>
      <c r="Y3138" s="249"/>
      <c r="Z3138" s="330"/>
      <c r="AA3138" s="343"/>
      <c r="AB3138" s="249"/>
      <c r="AC3138" s="330"/>
      <c r="AD3138" s="343"/>
      <c r="AE3138" s="249"/>
      <c r="AF3138" s="330"/>
      <c r="AG3138" s="343"/>
      <c r="AH3138" s="249"/>
      <c r="AI3138" s="330"/>
      <c r="AJ3138" s="343"/>
      <c r="AK3138" s="249"/>
      <c r="AL3138" s="330"/>
      <c r="AM3138" s="343"/>
      <c r="AN3138" s="249"/>
      <c r="AO3138" s="330"/>
      <c r="AP3138" s="343"/>
      <c r="AQ3138" s="249"/>
      <c r="AR3138" s="330"/>
      <c r="AS3138" s="343"/>
      <c r="AT3138" s="249"/>
      <c r="AU3138" s="330"/>
    </row>
    <row r="3139" spans="2:47">
      <c r="B3139" s="247">
        <f>'Table S2 Compound Identifiers'!C3141</f>
        <v>0</v>
      </c>
      <c r="C3139" s="247">
        <f>COUNTIF($D$6:D3139,"&lt;&gt;"&amp;"")</f>
        <v>3134</v>
      </c>
      <c r="D3139" s="247">
        <f>'Table S2 Compound Identifiers'!B3141</f>
        <v>0</v>
      </c>
      <c r="E3139" s="247"/>
      <c r="F3139" s="248"/>
      <c r="G3139" s="249"/>
      <c r="H3139" s="330"/>
      <c r="I3139" s="328"/>
      <c r="J3139" s="249"/>
      <c r="K3139" s="330"/>
      <c r="L3139" s="250"/>
      <c r="M3139" s="249"/>
      <c r="N3139" s="330"/>
      <c r="O3139" s="250"/>
      <c r="P3139" s="249"/>
      <c r="Q3139" s="330"/>
      <c r="R3139" s="250"/>
      <c r="S3139" s="249"/>
      <c r="T3139" s="330"/>
      <c r="U3139" s="250"/>
      <c r="V3139" s="249"/>
      <c r="W3139" s="330"/>
      <c r="X3139" s="343"/>
      <c r="Y3139" s="249"/>
      <c r="Z3139" s="330"/>
      <c r="AA3139" s="343"/>
      <c r="AB3139" s="249"/>
      <c r="AC3139" s="330"/>
      <c r="AD3139" s="343"/>
      <c r="AE3139" s="249"/>
      <c r="AF3139" s="330"/>
      <c r="AG3139" s="343"/>
      <c r="AH3139" s="249"/>
      <c r="AI3139" s="330"/>
      <c r="AJ3139" s="343"/>
      <c r="AK3139" s="249"/>
      <c r="AL3139" s="330"/>
      <c r="AM3139" s="343"/>
      <c r="AN3139" s="249"/>
      <c r="AO3139" s="330"/>
      <c r="AP3139" s="343"/>
      <c r="AQ3139" s="249"/>
      <c r="AR3139" s="330"/>
      <c r="AS3139" s="343"/>
      <c r="AT3139" s="249"/>
      <c r="AU3139" s="330"/>
    </row>
    <row r="3140" spans="2:47">
      <c r="B3140" s="247">
        <f>'Table S2 Compound Identifiers'!C3142</f>
        <v>0</v>
      </c>
      <c r="C3140" s="247">
        <f>COUNTIF($D$6:D3140,"&lt;&gt;"&amp;"")</f>
        <v>3135</v>
      </c>
      <c r="D3140" s="247">
        <f>'Table S2 Compound Identifiers'!B3142</f>
        <v>0</v>
      </c>
      <c r="E3140" s="247"/>
      <c r="F3140" s="248"/>
      <c r="G3140" s="249"/>
      <c r="H3140" s="330"/>
      <c r="I3140" s="328"/>
      <c r="J3140" s="249"/>
      <c r="K3140" s="330"/>
      <c r="L3140" s="250"/>
      <c r="M3140" s="249"/>
      <c r="N3140" s="330"/>
      <c r="O3140" s="250"/>
      <c r="P3140" s="249"/>
      <c r="Q3140" s="330"/>
      <c r="R3140" s="250"/>
      <c r="S3140" s="249"/>
      <c r="T3140" s="330"/>
      <c r="U3140" s="250"/>
      <c r="V3140" s="249"/>
      <c r="W3140" s="330"/>
      <c r="X3140" s="343"/>
      <c r="Y3140" s="249"/>
      <c r="Z3140" s="330"/>
      <c r="AA3140" s="343"/>
      <c r="AB3140" s="249"/>
      <c r="AC3140" s="330"/>
      <c r="AD3140" s="343"/>
      <c r="AE3140" s="249"/>
      <c r="AF3140" s="330"/>
      <c r="AG3140" s="343"/>
      <c r="AH3140" s="249"/>
      <c r="AI3140" s="330"/>
      <c r="AJ3140" s="343"/>
      <c r="AK3140" s="249"/>
      <c r="AL3140" s="330"/>
      <c r="AM3140" s="343"/>
      <c r="AN3140" s="249"/>
      <c r="AO3140" s="330"/>
      <c r="AP3140" s="343"/>
      <c r="AQ3140" s="249"/>
      <c r="AR3140" s="330"/>
      <c r="AS3140" s="343"/>
      <c r="AT3140" s="249"/>
      <c r="AU3140" s="330"/>
    </row>
    <row r="3141" spans="2:47">
      <c r="B3141" s="247">
        <f>'Table S2 Compound Identifiers'!C3143</f>
        <v>0</v>
      </c>
      <c r="C3141" s="247">
        <f>COUNTIF($D$6:D3141,"&lt;&gt;"&amp;"")</f>
        <v>3136</v>
      </c>
      <c r="D3141" s="247">
        <f>'Table S2 Compound Identifiers'!B3143</f>
        <v>0</v>
      </c>
      <c r="E3141" s="247"/>
      <c r="F3141" s="248"/>
      <c r="G3141" s="249"/>
      <c r="H3141" s="330"/>
      <c r="I3141" s="328"/>
      <c r="J3141" s="249"/>
      <c r="K3141" s="330"/>
      <c r="L3141" s="250"/>
      <c r="M3141" s="249"/>
      <c r="N3141" s="330"/>
      <c r="O3141" s="250"/>
      <c r="P3141" s="249"/>
      <c r="Q3141" s="330"/>
      <c r="R3141" s="250"/>
      <c r="S3141" s="249"/>
      <c r="T3141" s="330"/>
      <c r="U3141" s="250"/>
      <c r="V3141" s="249"/>
      <c r="W3141" s="330"/>
      <c r="X3141" s="343"/>
      <c r="Y3141" s="249"/>
      <c r="Z3141" s="330"/>
      <c r="AA3141" s="343"/>
      <c r="AB3141" s="249"/>
      <c r="AC3141" s="330"/>
      <c r="AD3141" s="343"/>
      <c r="AE3141" s="249"/>
      <c r="AF3141" s="330"/>
      <c r="AG3141" s="343"/>
      <c r="AH3141" s="249"/>
      <c r="AI3141" s="330"/>
      <c r="AJ3141" s="343"/>
      <c r="AK3141" s="249"/>
      <c r="AL3141" s="330"/>
      <c r="AM3141" s="343"/>
      <c r="AN3141" s="249"/>
      <c r="AO3141" s="330"/>
      <c r="AP3141" s="343"/>
      <c r="AQ3141" s="249"/>
      <c r="AR3141" s="330"/>
      <c r="AS3141" s="343"/>
      <c r="AT3141" s="249"/>
      <c r="AU3141" s="330"/>
    </row>
    <row r="3142" spans="2:47">
      <c r="B3142" s="247">
        <f>'Table S2 Compound Identifiers'!C3144</f>
        <v>0</v>
      </c>
      <c r="C3142" s="247">
        <f>COUNTIF($D$6:D3142,"&lt;&gt;"&amp;"")</f>
        <v>3137</v>
      </c>
      <c r="D3142" s="247">
        <f>'Table S2 Compound Identifiers'!B3144</f>
        <v>0</v>
      </c>
      <c r="E3142" s="247"/>
      <c r="F3142" s="248"/>
      <c r="G3142" s="249"/>
      <c r="H3142" s="330"/>
      <c r="I3142" s="328"/>
      <c r="J3142" s="249"/>
      <c r="K3142" s="330"/>
      <c r="L3142" s="250"/>
      <c r="M3142" s="249"/>
      <c r="N3142" s="330"/>
      <c r="O3142" s="250"/>
      <c r="P3142" s="249"/>
      <c r="Q3142" s="330"/>
      <c r="R3142" s="250"/>
      <c r="S3142" s="249"/>
      <c r="T3142" s="330"/>
      <c r="U3142" s="250"/>
      <c r="V3142" s="249"/>
      <c r="W3142" s="330"/>
      <c r="X3142" s="343"/>
      <c r="Y3142" s="249"/>
      <c r="Z3142" s="330"/>
      <c r="AA3142" s="343"/>
      <c r="AB3142" s="249"/>
      <c r="AC3142" s="330"/>
      <c r="AD3142" s="343"/>
      <c r="AE3142" s="249"/>
      <c r="AF3142" s="330"/>
      <c r="AG3142" s="343"/>
      <c r="AH3142" s="249"/>
      <c r="AI3142" s="330"/>
      <c r="AJ3142" s="343"/>
      <c r="AK3142" s="249"/>
      <c r="AL3142" s="330"/>
      <c r="AM3142" s="343"/>
      <c r="AN3142" s="249"/>
      <c r="AO3142" s="330"/>
      <c r="AP3142" s="343"/>
      <c r="AQ3142" s="249"/>
      <c r="AR3142" s="330"/>
      <c r="AS3142" s="343"/>
      <c r="AT3142" s="249"/>
      <c r="AU3142" s="330"/>
    </row>
    <row r="3143" spans="2:47">
      <c r="B3143" s="247">
        <f>'Table S2 Compound Identifiers'!C3145</f>
        <v>0</v>
      </c>
      <c r="C3143" s="247">
        <f>COUNTIF($D$6:D3143,"&lt;&gt;"&amp;"")</f>
        <v>3138</v>
      </c>
      <c r="D3143" s="247">
        <f>'Table S2 Compound Identifiers'!B3145</f>
        <v>0</v>
      </c>
      <c r="E3143" s="247"/>
      <c r="F3143" s="248"/>
      <c r="G3143" s="249"/>
      <c r="H3143" s="330"/>
      <c r="I3143" s="328"/>
      <c r="J3143" s="249"/>
      <c r="K3143" s="330"/>
      <c r="L3143" s="250"/>
      <c r="M3143" s="249"/>
      <c r="N3143" s="330"/>
      <c r="O3143" s="250"/>
      <c r="P3143" s="249"/>
      <c r="Q3143" s="330"/>
      <c r="R3143" s="250"/>
      <c r="S3143" s="249"/>
      <c r="T3143" s="330"/>
      <c r="U3143" s="250"/>
      <c r="V3143" s="249"/>
      <c r="W3143" s="330"/>
      <c r="X3143" s="343"/>
      <c r="Y3143" s="249"/>
      <c r="Z3143" s="330"/>
      <c r="AA3143" s="343"/>
      <c r="AB3143" s="249"/>
      <c r="AC3143" s="330"/>
      <c r="AD3143" s="343"/>
      <c r="AE3143" s="249"/>
      <c r="AF3143" s="330"/>
      <c r="AG3143" s="343"/>
      <c r="AH3143" s="249"/>
      <c r="AI3143" s="330"/>
      <c r="AJ3143" s="343"/>
      <c r="AK3143" s="249"/>
      <c r="AL3143" s="330"/>
      <c r="AM3143" s="343"/>
      <c r="AN3143" s="249"/>
      <c r="AO3143" s="330"/>
      <c r="AP3143" s="343"/>
      <c r="AQ3143" s="249"/>
      <c r="AR3143" s="330"/>
      <c r="AS3143" s="343"/>
      <c r="AT3143" s="249"/>
      <c r="AU3143" s="330"/>
    </row>
    <row r="3144" spans="2:47">
      <c r="B3144" s="247">
        <f>'Table S2 Compound Identifiers'!C3146</f>
        <v>0</v>
      </c>
      <c r="C3144" s="247">
        <f>COUNTIF($D$6:D3144,"&lt;&gt;"&amp;"")</f>
        <v>3139</v>
      </c>
      <c r="D3144" s="247">
        <f>'Table S2 Compound Identifiers'!B3146</f>
        <v>0</v>
      </c>
      <c r="E3144" s="247"/>
      <c r="F3144" s="248"/>
      <c r="G3144" s="249"/>
      <c r="H3144" s="330"/>
      <c r="I3144" s="328"/>
      <c r="J3144" s="249"/>
      <c r="K3144" s="330"/>
      <c r="L3144" s="250"/>
      <c r="M3144" s="249"/>
      <c r="N3144" s="330"/>
      <c r="O3144" s="250"/>
      <c r="P3144" s="249"/>
      <c r="Q3144" s="330"/>
      <c r="R3144" s="250"/>
      <c r="S3144" s="249"/>
      <c r="T3144" s="330"/>
      <c r="U3144" s="250"/>
      <c r="V3144" s="249"/>
      <c r="W3144" s="330"/>
      <c r="X3144" s="343"/>
      <c r="Y3144" s="249"/>
      <c r="Z3144" s="330"/>
      <c r="AA3144" s="343"/>
      <c r="AB3144" s="249"/>
      <c r="AC3144" s="330"/>
      <c r="AD3144" s="343"/>
      <c r="AE3144" s="249"/>
      <c r="AF3144" s="330"/>
      <c r="AG3144" s="343"/>
      <c r="AH3144" s="249"/>
      <c r="AI3144" s="330"/>
      <c r="AJ3144" s="343"/>
      <c r="AK3144" s="249"/>
      <c r="AL3144" s="330"/>
      <c r="AM3144" s="343"/>
      <c r="AN3144" s="249"/>
      <c r="AO3144" s="330"/>
      <c r="AP3144" s="343"/>
      <c r="AQ3144" s="249"/>
      <c r="AR3144" s="330"/>
      <c r="AS3144" s="343"/>
      <c r="AT3144" s="249"/>
      <c r="AU3144" s="330"/>
    </row>
    <row r="3145" spans="2:47">
      <c r="B3145" s="247">
        <f>'Table S2 Compound Identifiers'!C3147</f>
        <v>0</v>
      </c>
      <c r="C3145" s="247">
        <f>COUNTIF($D$6:D3145,"&lt;&gt;"&amp;"")</f>
        <v>3140</v>
      </c>
      <c r="D3145" s="247">
        <f>'Table S2 Compound Identifiers'!B3147</f>
        <v>0</v>
      </c>
      <c r="E3145" s="247"/>
      <c r="F3145" s="248"/>
      <c r="G3145" s="249"/>
      <c r="H3145" s="330"/>
      <c r="I3145" s="328"/>
      <c r="J3145" s="249"/>
      <c r="K3145" s="330"/>
      <c r="L3145" s="250"/>
      <c r="M3145" s="249"/>
      <c r="N3145" s="330"/>
      <c r="O3145" s="250"/>
      <c r="P3145" s="249"/>
      <c r="Q3145" s="330"/>
      <c r="R3145" s="250"/>
      <c r="S3145" s="249"/>
      <c r="T3145" s="330"/>
      <c r="U3145" s="250"/>
      <c r="V3145" s="249"/>
      <c r="W3145" s="330"/>
      <c r="X3145" s="343"/>
      <c r="Y3145" s="249"/>
      <c r="Z3145" s="330"/>
      <c r="AA3145" s="343"/>
      <c r="AB3145" s="249"/>
      <c r="AC3145" s="330"/>
      <c r="AD3145" s="343"/>
      <c r="AE3145" s="249"/>
      <c r="AF3145" s="330"/>
      <c r="AG3145" s="343"/>
      <c r="AH3145" s="249"/>
      <c r="AI3145" s="330"/>
      <c r="AJ3145" s="343"/>
      <c r="AK3145" s="249"/>
      <c r="AL3145" s="330"/>
      <c r="AM3145" s="343"/>
      <c r="AN3145" s="249"/>
      <c r="AO3145" s="330"/>
      <c r="AP3145" s="343"/>
      <c r="AQ3145" s="249"/>
      <c r="AR3145" s="330"/>
      <c r="AS3145" s="343"/>
      <c r="AT3145" s="249"/>
      <c r="AU3145" s="330"/>
    </row>
    <row r="3146" spans="2:47">
      <c r="B3146" s="247">
        <f>'Table S2 Compound Identifiers'!C3148</f>
        <v>0</v>
      </c>
      <c r="C3146" s="247">
        <f>COUNTIF($D$6:D3146,"&lt;&gt;"&amp;"")</f>
        <v>3141</v>
      </c>
      <c r="D3146" s="247">
        <f>'Table S2 Compound Identifiers'!B3148</f>
        <v>0</v>
      </c>
      <c r="E3146" s="247"/>
      <c r="F3146" s="248"/>
      <c r="G3146" s="249"/>
      <c r="H3146" s="330"/>
      <c r="I3146" s="328"/>
      <c r="J3146" s="249"/>
      <c r="K3146" s="330"/>
      <c r="L3146" s="250"/>
      <c r="M3146" s="249"/>
      <c r="N3146" s="330"/>
      <c r="O3146" s="250"/>
      <c r="P3146" s="249"/>
      <c r="Q3146" s="330"/>
      <c r="R3146" s="250"/>
      <c r="S3146" s="249"/>
      <c r="T3146" s="330"/>
      <c r="U3146" s="250"/>
      <c r="V3146" s="249"/>
      <c r="W3146" s="330"/>
      <c r="X3146" s="343"/>
      <c r="Y3146" s="249"/>
      <c r="Z3146" s="330"/>
      <c r="AA3146" s="343"/>
      <c r="AB3146" s="249"/>
      <c r="AC3146" s="330"/>
      <c r="AD3146" s="343"/>
      <c r="AE3146" s="249"/>
      <c r="AF3146" s="330"/>
      <c r="AG3146" s="343"/>
      <c r="AH3146" s="249"/>
      <c r="AI3146" s="330"/>
      <c r="AJ3146" s="343"/>
      <c r="AK3146" s="249"/>
      <c r="AL3146" s="330"/>
      <c r="AM3146" s="343"/>
      <c r="AN3146" s="249"/>
      <c r="AO3146" s="330"/>
      <c r="AP3146" s="343"/>
      <c r="AQ3146" s="249"/>
      <c r="AR3146" s="330"/>
      <c r="AS3146" s="343"/>
      <c r="AT3146" s="249"/>
      <c r="AU3146" s="330"/>
    </row>
    <row r="3147" spans="2:47">
      <c r="B3147" s="247">
        <f>'Table S2 Compound Identifiers'!C3149</f>
        <v>0</v>
      </c>
      <c r="C3147" s="247">
        <f>COUNTIF($D$6:D3147,"&lt;&gt;"&amp;"")</f>
        <v>3142</v>
      </c>
      <c r="D3147" s="247">
        <f>'Table S2 Compound Identifiers'!B3149</f>
        <v>0</v>
      </c>
      <c r="E3147" s="247"/>
      <c r="F3147" s="248"/>
      <c r="G3147" s="249"/>
      <c r="H3147" s="330"/>
      <c r="I3147" s="328"/>
      <c r="J3147" s="249"/>
      <c r="K3147" s="330"/>
      <c r="L3147" s="250"/>
      <c r="M3147" s="249"/>
      <c r="N3147" s="330"/>
      <c r="O3147" s="250"/>
      <c r="P3147" s="249"/>
      <c r="Q3147" s="330"/>
      <c r="R3147" s="250"/>
      <c r="S3147" s="249"/>
      <c r="T3147" s="330"/>
      <c r="U3147" s="250"/>
      <c r="V3147" s="249"/>
      <c r="W3147" s="330"/>
      <c r="X3147" s="343"/>
      <c r="Y3147" s="249"/>
      <c r="Z3147" s="330"/>
      <c r="AA3147" s="343"/>
      <c r="AB3147" s="249"/>
      <c r="AC3147" s="330"/>
      <c r="AD3147" s="343"/>
      <c r="AE3147" s="249"/>
      <c r="AF3147" s="330"/>
      <c r="AG3147" s="343"/>
      <c r="AH3147" s="249"/>
      <c r="AI3147" s="330"/>
      <c r="AJ3147" s="343"/>
      <c r="AK3147" s="249"/>
      <c r="AL3147" s="330"/>
      <c r="AM3147" s="343"/>
      <c r="AN3147" s="249"/>
      <c r="AO3147" s="330"/>
      <c r="AP3147" s="343"/>
      <c r="AQ3147" s="249"/>
      <c r="AR3147" s="330"/>
      <c r="AS3147" s="343"/>
      <c r="AT3147" s="249"/>
      <c r="AU3147" s="330"/>
    </row>
    <row r="3148" spans="2:47">
      <c r="B3148" s="247">
        <f>'Table S2 Compound Identifiers'!C3150</f>
        <v>0</v>
      </c>
      <c r="C3148" s="247">
        <f>COUNTIF($D$6:D3148,"&lt;&gt;"&amp;"")</f>
        <v>3143</v>
      </c>
      <c r="D3148" s="247">
        <f>'Table S2 Compound Identifiers'!B3150</f>
        <v>0</v>
      </c>
      <c r="E3148" s="247"/>
      <c r="F3148" s="248"/>
      <c r="G3148" s="249"/>
      <c r="H3148" s="330"/>
      <c r="I3148" s="328"/>
      <c r="J3148" s="249"/>
      <c r="K3148" s="330"/>
      <c r="L3148" s="250"/>
      <c r="M3148" s="249"/>
      <c r="N3148" s="330"/>
      <c r="O3148" s="250"/>
      <c r="P3148" s="249"/>
      <c r="Q3148" s="330"/>
      <c r="R3148" s="250"/>
      <c r="S3148" s="249"/>
      <c r="T3148" s="330"/>
      <c r="U3148" s="250"/>
      <c r="V3148" s="249"/>
      <c r="W3148" s="330"/>
      <c r="X3148" s="343"/>
      <c r="Y3148" s="249"/>
      <c r="Z3148" s="330"/>
      <c r="AA3148" s="343"/>
      <c r="AB3148" s="249"/>
      <c r="AC3148" s="330"/>
      <c r="AD3148" s="343"/>
      <c r="AE3148" s="249"/>
      <c r="AF3148" s="330"/>
      <c r="AG3148" s="343"/>
      <c r="AH3148" s="249"/>
      <c r="AI3148" s="330"/>
      <c r="AJ3148" s="343"/>
      <c r="AK3148" s="249"/>
      <c r="AL3148" s="330"/>
      <c r="AM3148" s="343"/>
      <c r="AN3148" s="249"/>
      <c r="AO3148" s="330"/>
      <c r="AP3148" s="343"/>
      <c r="AQ3148" s="249"/>
      <c r="AR3148" s="330"/>
      <c r="AS3148" s="343"/>
      <c r="AT3148" s="249"/>
      <c r="AU3148" s="330"/>
    </row>
    <row r="3149" spans="2:47">
      <c r="B3149" s="247">
        <f>'Table S2 Compound Identifiers'!C3151</f>
        <v>0</v>
      </c>
      <c r="C3149" s="247">
        <f>COUNTIF($D$6:D3149,"&lt;&gt;"&amp;"")</f>
        <v>3144</v>
      </c>
      <c r="D3149" s="247">
        <f>'Table S2 Compound Identifiers'!B3151</f>
        <v>0</v>
      </c>
      <c r="E3149" s="247"/>
      <c r="F3149" s="248"/>
      <c r="G3149" s="249"/>
      <c r="H3149" s="330"/>
      <c r="I3149" s="328"/>
      <c r="J3149" s="249"/>
      <c r="K3149" s="330"/>
      <c r="L3149" s="250"/>
      <c r="M3149" s="249"/>
      <c r="N3149" s="330"/>
      <c r="O3149" s="250"/>
      <c r="P3149" s="249"/>
      <c r="Q3149" s="330"/>
      <c r="R3149" s="250"/>
      <c r="S3149" s="249"/>
      <c r="T3149" s="330"/>
      <c r="U3149" s="250"/>
      <c r="V3149" s="249"/>
      <c r="W3149" s="330"/>
      <c r="X3149" s="343"/>
      <c r="Y3149" s="249"/>
      <c r="Z3149" s="330"/>
      <c r="AA3149" s="343"/>
      <c r="AB3149" s="249"/>
      <c r="AC3149" s="330"/>
      <c r="AD3149" s="343"/>
      <c r="AE3149" s="249"/>
      <c r="AF3149" s="330"/>
      <c r="AG3149" s="343"/>
      <c r="AH3149" s="249"/>
      <c r="AI3149" s="330"/>
      <c r="AJ3149" s="343"/>
      <c r="AK3149" s="249"/>
      <c r="AL3149" s="330"/>
      <c r="AM3149" s="343"/>
      <c r="AN3149" s="249"/>
      <c r="AO3149" s="330"/>
      <c r="AP3149" s="343"/>
      <c r="AQ3149" s="249"/>
      <c r="AR3149" s="330"/>
      <c r="AS3149" s="343"/>
      <c r="AT3149" s="249"/>
      <c r="AU3149" s="330"/>
    </row>
    <row r="3150" spans="2:47">
      <c r="B3150" s="247">
        <f>'Table S2 Compound Identifiers'!C3152</f>
        <v>0</v>
      </c>
      <c r="C3150" s="247">
        <f>COUNTIF($D$6:D3150,"&lt;&gt;"&amp;"")</f>
        <v>3145</v>
      </c>
      <c r="D3150" s="247">
        <f>'Table S2 Compound Identifiers'!B3152</f>
        <v>0</v>
      </c>
      <c r="E3150" s="247"/>
      <c r="F3150" s="248"/>
      <c r="G3150" s="249"/>
      <c r="H3150" s="330"/>
      <c r="I3150" s="328"/>
      <c r="J3150" s="249"/>
      <c r="K3150" s="330"/>
      <c r="L3150" s="250"/>
      <c r="M3150" s="249"/>
      <c r="N3150" s="330"/>
      <c r="O3150" s="250"/>
      <c r="P3150" s="249"/>
      <c r="Q3150" s="330"/>
      <c r="R3150" s="250"/>
      <c r="S3150" s="249"/>
      <c r="T3150" s="330"/>
      <c r="U3150" s="250"/>
      <c r="V3150" s="249"/>
      <c r="W3150" s="330"/>
      <c r="X3150" s="343"/>
      <c r="Y3150" s="249"/>
      <c r="Z3150" s="330"/>
      <c r="AA3150" s="343"/>
      <c r="AB3150" s="249"/>
      <c r="AC3150" s="330"/>
      <c r="AD3150" s="343"/>
      <c r="AE3150" s="249"/>
      <c r="AF3150" s="330"/>
      <c r="AG3150" s="343"/>
      <c r="AH3150" s="249"/>
      <c r="AI3150" s="330"/>
      <c r="AJ3150" s="343"/>
      <c r="AK3150" s="249"/>
      <c r="AL3150" s="330"/>
      <c r="AM3150" s="343"/>
      <c r="AN3150" s="249"/>
      <c r="AO3150" s="330"/>
      <c r="AP3150" s="343"/>
      <c r="AQ3150" s="249"/>
      <c r="AR3150" s="330"/>
      <c r="AS3150" s="343"/>
      <c r="AT3150" s="249"/>
      <c r="AU3150" s="330"/>
    </row>
    <row r="3151" spans="2:47">
      <c r="B3151" s="247">
        <f>'Table S2 Compound Identifiers'!C3153</f>
        <v>0</v>
      </c>
      <c r="C3151" s="247">
        <f>COUNTIF($D$6:D3151,"&lt;&gt;"&amp;"")</f>
        <v>3146</v>
      </c>
      <c r="D3151" s="247">
        <f>'Table S2 Compound Identifiers'!B3153</f>
        <v>0</v>
      </c>
      <c r="E3151" s="247"/>
      <c r="F3151" s="248"/>
      <c r="G3151" s="249"/>
      <c r="H3151" s="330"/>
      <c r="I3151" s="328"/>
      <c r="J3151" s="249"/>
      <c r="K3151" s="330"/>
      <c r="L3151" s="250"/>
      <c r="M3151" s="249"/>
      <c r="N3151" s="330"/>
      <c r="O3151" s="250"/>
      <c r="P3151" s="249"/>
      <c r="Q3151" s="330"/>
      <c r="R3151" s="250"/>
      <c r="S3151" s="249"/>
      <c r="T3151" s="330"/>
      <c r="U3151" s="250"/>
      <c r="V3151" s="249"/>
      <c r="W3151" s="330"/>
      <c r="X3151" s="343"/>
      <c r="Y3151" s="249"/>
      <c r="Z3151" s="330"/>
      <c r="AA3151" s="343"/>
      <c r="AB3151" s="249"/>
      <c r="AC3151" s="330"/>
      <c r="AD3151" s="343"/>
      <c r="AE3151" s="249"/>
      <c r="AF3151" s="330"/>
      <c r="AG3151" s="343"/>
      <c r="AH3151" s="249"/>
      <c r="AI3151" s="330"/>
      <c r="AJ3151" s="343"/>
      <c r="AK3151" s="249"/>
      <c r="AL3151" s="330"/>
      <c r="AM3151" s="343"/>
      <c r="AN3151" s="249"/>
      <c r="AO3151" s="330"/>
      <c r="AP3151" s="343"/>
      <c r="AQ3151" s="249"/>
      <c r="AR3151" s="330"/>
      <c r="AS3151" s="343"/>
      <c r="AT3151" s="249"/>
      <c r="AU3151" s="330"/>
    </row>
    <row r="3152" spans="2:47">
      <c r="B3152" s="247">
        <f>'Table S2 Compound Identifiers'!C3154</f>
        <v>0</v>
      </c>
      <c r="C3152" s="247">
        <f>COUNTIF($D$6:D3152,"&lt;&gt;"&amp;"")</f>
        <v>3147</v>
      </c>
      <c r="D3152" s="247">
        <f>'Table S2 Compound Identifiers'!B3154</f>
        <v>0</v>
      </c>
      <c r="E3152" s="247"/>
      <c r="F3152" s="248"/>
      <c r="G3152" s="249"/>
      <c r="H3152" s="330"/>
      <c r="I3152" s="328"/>
      <c r="J3152" s="249"/>
      <c r="K3152" s="330"/>
      <c r="L3152" s="250"/>
      <c r="M3152" s="249"/>
      <c r="N3152" s="330"/>
      <c r="O3152" s="250"/>
      <c r="P3152" s="249"/>
      <c r="Q3152" s="330"/>
      <c r="R3152" s="250"/>
      <c r="S3152" s="249"/>
      <c r="T3152" s="330"/>
      <c r="U3152" s="250"/>
      <c r="V3152" s="249"/>
      <c r="W3152" s="330"/>
      <c r="X3152" s="343"/>
      <c r="Y3152" s="249"/>
      <c r="Z3152" s="330"/>
      <c r="AA3152" s="343"/>
      <c r="AB3152" s="249"/>
      <c r="AC3152" s="330"/>
      <c r="AD3152" s="343"/>
      <c r="AE3152" s="249"/>
      <c r="AF3152" s="330"/>
      <c r="AG3152" s="343"/>
      <c r="AH3152" s="249"/>
      <c r="AI3152" s="330"/>
      <c r="AJ3152" s="343"/>
      <c r="AK3152" s="249"/>
      <c r="AL3152" s="330"/>
      <c r="AM3152" s="343"/>
      <c r="AN3152" s="249"/>
      <c r="AO3152" s="330"/>
      <c r="AP3152" s="343"/>
      <c r="AQ3152" s="249"/>
      <c r="AR3152" s="330"/>
      <c r="AS3152" s="343"/>
      <c r="AT3152" s="249"/>
      <c r="AU3152" s="330"/>
    </row>
    <row r="3153" spans="2:47">
      <c r="B3153" s="247">
        <f>'Table S2 Compound Identifiers'!C3155</f>
        <v>0</v>
      </c>
      <c r="C3153" s="247">
        <f>COUNTIF($D$6:D3153,"&lt;&gt;"&amp;"")</f>
        <v>3148</v>
      </c>
      <c r="D3153" s="247">
        <f>'Table S2 Compound Identifiers'!B3155</f>
        <v>0</v>
      </c>
      <c r="E3153" s="247"/>
      <c r="F3153" s="248"/>
      <c r="G3153" s="249"/>
      <c r="H3153" s="330"/>
      <c r="I3153" s="328"/>
      <c r="J3153" s="249"/>
      <c r="K3153" s="330"/>
      <c r="L3153" s="250"/>
      <c r="M3153" s="249"/>
      <c r="N3153" s="330"/>
      <c r="O3153" s="250"/>
      <c r="P3153" s="249"/>
      <c r="Q3153" s="330"/>
      <c r="R3153" s="250"/>
      <c r="S3153" s="249"/>
      <c r="T3153" s="330"/>
      <c r="U3153" s="250"/>
      <c r="V3153" s="249"/>
      <c r="W3153" s="330"/>
      <c r="X3153" s="343"/>
      <c r="Y3153" s="249"/>
      <c r="Z3153" s="330"/>
      <c r="AA3153" s="343"/>
      <c r="AB3153" s="249"/>
      <c r="AC3153" s="330"/>
      <c r="AD3153" s="343"/>
      <c r="AE3153" s="249"/>
      <c r="AF3153" s="330"/>
      <c r="AG3153" s="343"/>
      <c r="AH3153" s="249"/>
      <c r="AI3153" s="330"/>
      <c r="AJ3153" s="343"/>
      <c r="AK3153" s="249"/>
      <c r="AL3153" s="330"/>
      <c r="AM3153" s="343"/>
      <c r="AN3153" s="249"/>
      <c r="AO3153" s="330"/>
      <c r="AP3153" s="343"/>
      <c r="AQ3153" s="249"/>
      <c r="AR3153" s="330"/>
      <c r="AS3153" s="343"/>
      <c r="AT3153" s="249"/>
      <c r="AU3153" s="330"/>
    </row>
    <row r="3154" spans="2:47">
      <c r="B3154" s="247">
        <f>'Table S2 Compound Identifiers'!C3156</f>
        <v>0</v>
      </c>
      <c r="C3154" s="247">
        <f>COUNTIF($D$6:D3154,"&lt;&gt;"&amp;"")</f>
        <v>3149</v>
      </c>
      <c r="D3154" s="247">
        <f>'Table S2 Compound Identifiers'!B3156</f>
        <v>0</v>
      </c>
      <c r="E3154" s="247"/>
      <c r="F3154" s="248"/>
      <c r="G3154" s="249"/>
      <c r="H3154" s="330"/>
      <c r="I3154" s="328"/>
      <c r="J3154" s="249"/>
      <c r="K3154" s="330"/>
      <c r="L3154" s="250"/>
      <c r="M3154" s="249"/>
      <c r="N3154" s="330"/>
      <c r="O3154" s="250"/>
      <c r="P3154" s="249"/>
      <c r="Q3154" s="330"/>
      <c r="R3154" s="250"/>
      <c r="S3154" s="249"/>
      <c r="T3154" s="330"/>
      <c r="U3154" s="250"/>
      <c r="V3154" s="249"/>
      <c r="W3154" s="330"/>
      <c r="X3154" s="343"/>
      <c r="Y3154" s="249"/>
      <c r="Z3154" s="330"/>
      <c r="AA3154" s="343"/>
      <c r="AB3154" s="249"/>
      <c r="AC3154" s="330"/>
      <c r="AD3154" s="343"/>
      <c r="AE3154" s="249"/>
      <c r="AF3154" s="330"/>
      <c r="AG3154" s="343"/>
      <c r="AH3154" s="249"/>
      <c r="AI3154" s="330"/>
      <c r="AJ3154" s="343"/>
      <c r="AK3154" s="249"/>
      <c r="AL3154" s="330"/>
      <c r="AM3154" s="343"/>
      <c r="AN3154" s="249"/>
      <c r="AO3154" s="330"/>
      <c r="AP3154" s="343"/>
      <c r="AQ3154" s="249"/>
      <c r="AR3154" s="330"/>
      <c r="AS3154" s="343"/>
      <c r="AT3154" s="249"/>
      <c r="AU3154" s="330"/>
    </row>
    <row r="3155" spans="2:47">
      <c r="B3155" s="247">
        <f>'Table S2 Compound Identifiers'!C3157</f>
        <v>0</v>
      </c>
      <c r="C3155" s="247">
        <f>COUNTIF($D$6:D3155,"&lt;&gt;"&amp;"")</f>
        <v>3150</v>
      </c>
      <c r="D3155" s="247">
        <f>'Table S2 Compound Identifiers'!B3157</f>
        <v>0</v>
      </c>
      <c r="E3155" s="247"/>
      <c r="F3155" s="248"/>
      <c r="G3155" s="249"/>
      <c r="H3155" s="330"/>
      <c r="I3155" s="328"/>
      <c r="J3155" s="249"/>
      <c r="K3155" s="330"/>
      <c r="L3155" s="250"/>
      <c r="M3155" s="249"/>
      <c r="N3155" s="330"/>
      <c r="O3155" s="250"/>
      <c r="P3155" s="249"/>
      <c r="Q3155" s="330"/>
      <c r="R3155" s="250"/>
      <c r="S3155" s="249"/>
      <c r="T3155" s="330"/>
      <c r="U3155" s="250"/>
      <c r="V3155" s="249"/>
      <c r="W3155" s="330"/>
      <c r="X3155" s="343"/>
      <c r="Y3155" s="249"/>
      <c r="Z3155" s="330"/>
      <c r="AA3155" s="343"/>
      <c r="AB3155" s="249"/>
      <c r="AC3155" s="330"/>
      <c r="AD3155" s="343"/>
      <c r="AE3155" s="249"/>
      <c r="AF3155" s="330"/>
      <c r="AG3155" s="343"/>
      <c r="AH3155" s="249"/>
      <c r="AI3155" s="330"/>
      <c r="AJ3155" s="343"/>
      <c r="AK3155" s="249"/>
      <c r="AL3155" s="330"/>
      <c r="AM3155" s="343"/>
      <c r="AN3155" s="249"/>
      <c r="AO3155" s="330"/>
      <c r="AP3155" s="343"/>
      <c r="AQ3155" s="249"/>
      <c r="AR3155" s="330"/>
      <c r="AS3155" s="343"/>
      <c r="AT3155" s="249"/>
      <c r="AU3155" s="330"/>
    </row>
    <row r="3156" spans="2:47">
      <c r="B3156" s="247">
        <f>'Table S2 Compound Identifiers'!C3158</f>
        <v>0</v>
      </c>
      <c r="C3156" s="247">
        <f>COUNTIF($D$6:D3156,"&lt;&gt;"&amp;"")</f>
        <v>3151</v>
      </c>
      <c r="D3156" s="247">
        <f>'Table S2 Compound Identifiers'!B3158</f>
        <v>0</v>
      </c>
      <c r="E3156" s="247"/>
      <c r="F3156" s="248"/>
      <c r="G3156" s="249"/>
      <c r="H3156" s="330"/>
      <c r="I3156" s="328"/>
      <c r="J3156" s="249"/>
      <c r="K3156" s="330"/>
      <c r="L3156" s="250"/>
      <c r="M3156" s="249"/>
      <c r="N3156" s="330"/>
      <c r="O3156" s="250"/>
      <c r="P3156" s="249"/>
      <c r="Q3156" s="330"/>
      <c r="R3156" s="250"/>
      <c r="S3156" s="249"/>
      <c r="T3156" s="330"/>
      <c r="U3156" s="250"/>
      <c r="V3156" s="249"/>
      <c r="W3156" s="330"/>
      <c r="X3156" s="343"/>
      <c r="Y3156" s="249"/>
      <c r="Z3156" s="330"/>
      <c r="AA3156" s="343"/>
      <c r="AB3156" s="249"/>
      <c r="AC3156" s="330"/>
      <c r="AD3156" s="343"/>
      <c r="AE3156" s="249"/>
      <c r="AF3156" s="330"/>
      <c r="AG3156" s="343"/>
      <c r="AH3156" s="249"/>
      <c r="AI3156" s="330"/>
      <c r="AJ3156" s="343"/>
      <c r="AK3156" s="249"/>
      <c r="AL3156" s="330"/>
      <c r="AM3156" s="343"/>
      <c r="AN3156" s="249"/>
      <c r="AO3156" s="330"/>
      <c r="AP3156" s="343"/>
      <c r="AQ3156" s="249"/>
      <c r="AR3156" s="330"/>
      <c r="AS3156" s="343"/>
      <c r="AT3156" s="249"/>
      <c r="AU3156" s="330"/>
    </row>
    <row r="3157" spans="2:47">
      <c r="B3157" s="247">
        <f>'Table S2 Compound Identifiers'!C3159</f>
        <v>0</v>
      </c>
      <c r="C3157" s="247">
        <f>COUNTIF($D$6:D3157,"&lt;&gt;"&amp;"")</f>
        <v>3152</v>
      </c>
      <c r="D3157" s="247">
        <f>'Table S2 Compound Identifiers'!B3159</f>
        <v>0</v>
      </c>
      <c r="E3157" s="247"/>
      <c r="F3157" s="248"/>
      <c r="G3157" s="249"/>
      <c r="H3157" s="330"/>
      <c r="I3157" s="328"/>
      <c r="J3157" s="249"/>
      <c r="K3157" s="330"/>
      <c r="L3157" s="250"/>
      <c r="M3157" s="249"/>
      <c r="N3157" s="330"/>
      <c r="O3157" s="250"/>
      <c r="P3157" s="249"/>
      <c r="Q3157" s="330"/>
      <c r="R3157" s="250"/>
      <c r="S3157" s="249"/>
      <c r="T3157" s="330"/>
      <c r="U3157" s="250"/>
      <c r="V3157" s="249"/>
      <c r="W3157" s="330"/>
      <c r="X3157" s="343"/>
      <c r="Y3157" s="249"/>
      <c r="Z3157" s="330"/>
      <c r="AA3157" s="343"/>
      <c r="AB3157" s="249"/>
      <c r="AC3157" s="330"/>
      <c r="AD3157" s="343"/>
      <c r="AE3157" s="249"/>
      <c r="AF3157" s="330"/>
      <c r="AG3157" s="343"/>
      <c r="AH3157" s="249"/>
      <c r="AI3157" s="330"/>
      <c r="AJ3157" s="343"/>
      <c r="AK3157" s="249"/>
      <c r="AL3157" s="330"/>
      <c r="AM3157" s="343"/>
      <c r="AN3157" s="249"/>
      <c r="AO3157" s="330"/>
      <c r="AP3157" s="343"/>
      <c r="AQ3157" s="249"/>
      <c r="AR3157" s="330"/>
      <c r="AS3157" s="343"/>
      <c r="AT3157" s="249"/>
      <c r="AU3157" s="330"/>
    </row>
    <row r="3158" spans="2:47">
      <c r="B3158" s="247">
        <f>'Table S2 Compound Identifiers'!C3160</f>
        <v>0</v>
      </c>
      <c r="C3158" s="247">
        <f>COUNTIF($D$6:D3158,"&lt;&gt;"&amp;"")</f>
        <v>3153</v>
      </c>
      <c r="D3158" s="247">
        <f>'Table S2 Compound Identifiers'!B3160</f>
        <v>0</v>
      </c>
      <c r="E3158" s="247"/>
      <c r="F3158" s="248"/>
      <c r="G3158" s="249"/>
      <c r="H3158" s="330"/>
      <c r="I3158" s="328"/>
      <c r="J3158" s="249"/>
      <c r="K3158" s="330"/>
      <c r="L3158" s="250"/>
      <c r="M3158" s="249"/>
      <c r="N3158" s="330"/>
      <c r="O3158" s="250"/>
      <c r="P3158" s="249"/>
      <c r="Q3158" s="330"/>
      <c r="R3158" s="250"/>
      <c r="S3158" s="249"/>
      <c r="T3158" s="330"/>
      <c r="U3158" s="250"/>
      <c r="V3158" s="249"/>
      <c r="W3158" s="330"/>
      <c r="X3158" s="343"/>
      <c r="Y3158" s="249"/>
      <c r="Z3158" s="330"/>
      <c r="AA3158" s="343"/>
      <c r="AB3158" s="249"/>
      <c r="AC3158" s="330"/>
      <c r="AD3158" s="343"/>
      <c r="AE3158" s="249"/>
      <c r="AF3158" s="330"/>
      <c r="AG3158" s="343"/>
      <c r="AH3158" s="249"/>
      <c r="AI3158" s="330"/>
      <c r="AJ3158" s="343"/>
      <c r="AK3158" s="249"/>
      <c r="AL3158" s="330"/>
      <c r="AM3158" s="343"/>
      <c r="AN3158" s="249"/>
      <c r="AO3158" s="330"/>
      <c r="AP3158" s="343"/>
      <c r="AQ3158" s="249"/>
      <c r="AR3158" s="330"/>
      <c r="AS3158" s="343"/>
      <c r="AT3158" s="249"/>
      <c r="AU3158" s="330"/>
    </row>
    <row r="3159" spans="2:47">
      <c r="B3159" s="247">
        <f>'Table S2 Compound Identifiers'!C3161</f>
        <v>0</v>
      </c>
      <c r="C3159" s="247">
        <f>COUNTIF($D$6:D3159,"&lt;&gt;"&amp;"")</f>
        <v>3154</v>
      </c>
      <c r="D3159" s="247">
        <f>'Table S2 Compound Identifiers'!B3161</f>
        <v>0</v>
      </c>
      <c r="E3159" s="247"/>
      <c r="F3159" s="248"/>
      <c r="G3159" s="249"/>
      <c r="H3159" s="330"/>
      <c r="I3159" s="328"/>
      <c r="J3159" s="249"/>
      <c r="K3159" s="330"/>
      <c r="L3159" s="250"/>
      <c r="M3159" s="249"/>
      <c r="N3159" s="330"/>
      <c r="O3159" s="250"/>
      <c r="P3159" s="249"/>
      <c r="Q3159" s="330"/>
      <c r="R3159" s="250"/>
      <c r="S3159" s="249"/>
      <c r="T3159" s="330"/>
      <c r="U3159" s="250"/>
      <c r="V3159" s="249"/>
      <c r="W3159" s="330"/>
      <c r="X3159" s="343"/>
      <c r="Y3159" s="249"/>
      <c r="Z3159" s="330"/>
      <c r="AA3159" s="343"/>
      <c r="AB3159" s="249"/>
      <c r="AC3159" s="330"/>
      <c r="AD3159" s="343"/>
      <c r="AE3159" s="249"/>
      <c r="AF3159" s="330"/>
      <c r="AG3159" s="343"/>
      <c r="AH3159" s="249"/>
      <c r="AI3159" s="330"/>
      <c r="AJ3159" s="343"/>
      <c r="AK3159" s="249"/>
      <c r="AL3159" s="330"/>
      <c r="AM3159" s="343"/>
      <c r="AN3159" s="249"/>
      <c r="AO3159" s="330"/>
      <c r="AP3159" s="343"/>
      <c r="AQ3159" s="249"/>
      <c r="AR3159" s="330"/>
      <c r="AS3159" s="343"/>
      <c r="AT3159" s="249"/>
      <c r="AU3159" s="330"/>
    </row>
    <row r="3160" spans="2:47">
      <c r="B3160" s="247">
        <f>'Table S2 Compound Identifiers'!C3162</f>
        <v>0</v>
      </c>
      <c r="C3160" s="247">
        <f>COUNTIF($D$6:D3160,"&lt;&gt;"&amp;"")</f>
        <v>3155</v>
      </c>
      <c r="D3160" s="247">
        <f>'Table S2 Compound Identifiers'!B3162</f>
        <v>0</v>
      </c>
      <c r="E3160" s="247"/>
      <c r="F3160" s="248"/>
      <c r="G3160" s="249"/>
      <c r="H3160" s="330"/>
      <c r="I3160" s="328"/>
      <c r="J3160" s="249"/>
      <c r="K3160" s="330"/>
      <c r="L3160" s="250"/>
      <c r="M3160" s="249"/>
      <c r="N3160" s="330"/>
      <c r="O3160" s="250"/>
      <c r="P3160" s="249"/>
      <c r="Q3160" s="330"/>
      <c r="R3160" s="250"/>
      <c r="S3160" s="249"/>
      <c r="T3160" s="330"/>
      <c r="U3160" s="250"/>
      <c r="V3160" s="249"/>
      <c r="W3160" s="330"/>
      <c r="X3160" s="343"/>
      <c r="Y3160" s="249"/>
      <c r="Z3160" s="330"/>
      <c r="AA3160" s="343"/>
      <c r="AB3160" s="249"/>
      <c r="AC3160" s="330"/>
      <c r="AD3160" s="343"/>
      <c r="AE3160" s="249"/>
      <c r="AF3160" s="330"/>
      <c r="AG3160" s="343"/>
      <c r="AH3160" s="249"/>
      <c r="AI3160" s="330"/>
      <c r="AJ3160" s="343"/>
      <c r="AK3160" s="249"/>
      <c r="AL3160" s="330"/>
      <c r="AM3160" s="343"/>
      <c r="AN3160" s="249"/>
      <c r="AO3160" s="330"/>
      <c r="AP3160" s="343"/>
      <c r="AQ3160" s="249"/>
      <c r="AR3160" s="330"/>
      <c r="AS3160" s="343"/>
      <c r="AT3160" s="249"/>
      <c r="AU3160" s="330"/>
    </row>
    <row r="3161" spans="2:47">
      <c r="B3161" s="247">
        <f>'Table S2 Compound Identifiers'!C3163</f>
        <v>0</v>
      </c>
      <c r="C3161" s="247">
        <f>COUNTIF($D$6:D3161,"&lt;&gt;"&amp;"")</f>
        <v>3156</v>
      </c>
      <c r="D3161" s="247">
        <f>'Table S2 Compound Identifiers'!B3163</f>
        <v>0</v>
      </c>
      <c r="E3161" s="247"/>
      <c r="F3161" s="248"/>
      <c r="G3161" s="249"/>
      <c r="H3161" s="330"/>
      <c r="I3161" s="328"/>
      <c r="J3161" s="249"/>
      <c r="K3161" s="330"/>
      <c r="L3161" s="250"/>
      <c r="M3161" s="249"/>
      <c r="N3161" s="330"/>
      <c r="O3161" s="250"/>
      <c r="P3161" s="249"/>
      <c r="Q3161" s="330"/>
      <c r="R3161" s="250"/>
      <c r="S3161" s="249"/>
      <c r="T3161" s="330"/>
      <c r="U3161" s="250"/>
      <c r="V3161" s="249"/>
      <c r="W3161" s="330"/>
      <c r="X3161" s="343"/>
      <c r="Y3161" s="249"/>
      <c r="Z3161" s="330"/>
      <c r="AA3161" s="343"/>
      <c r="AB3161" s="249"/>
      <c r="AC3161" s="330"/>
      <c r="AD3161" s="343"/>
      <c r="AE3161" s="249"/>
      <c r="AF3161" s="330"/>
      <c r="AG3161" s="343"/>
      <c r="AH3161" s="249"/>
      <c r="AI3161" s="330"/>
      <c r="AJ3161" s="343"/>
      <c r="AK3161" s="249"/>
      <c r="AL3161" s="330"/>
      <c r="AM3161" s="343"/>
      <c r="AN3161" s="249"/>
      <c r="AO3161" s="330"/>
      <c r="AP3161" s="343"/>
      <c r="AQ3161" s="249"/>
      <c r="AR3161" s="330"/>
      <c r="AS3161" s="343"/>
      <c r="AT3161" s="249"/>
      <c r="AU3161" s="330"/>
    </row>
    <row r="3162" spans="2:47">
      <c r="B3162" s="247">
        <f>'Table S2 Compound Identifiers'!C3164</f>
        <v>0</v>
      </c>
      <c r="C3162" s="247">
        <f>COUNTIF($D$6:D3162,"&lt;&gt;"&amp;"")</f>
        <v>3157</v>
      </c>
      <c r="D3162" s="247">
        <f>'Table S2 Compound Identifiers'!B3164</f>
        <v>0</v>
      </c>
      <c r="E3162" s="247"/>
      <c r="F3162" s="248"/>
      <c r="G3162" s="249"/>
      <c r="H3162" s="330"/>
      <c r="I3162" s="328"/>
      <c r="J3162" s="249"/>
      <c r="K3162" s="330"/>
      <c r="L3162" s="250"/>
      <c r="M3162" s="249"/>
      <c r="N3162" s="330"/>
      <c r="O3162" s="250"/>
      <c r="P3162" s="249"/>
      <c r="Q3162" s="330"/>
      <c r="R3162" s="250"/>
      <c r="S3162" s="249"/>
      <c r="T3162" s="330"/>
      <c r="U3162" s="250"/>
      <c r="V3162" s="249"/>
      <c r="W3162" s="330"/>
      <c r="X3162" s="343"/>
      <c r="Y3162" s="249"/>
      <c r="Z3162" s="330"/>
      <c r="AA3162" s="343"/>
      <c r="AB3162" s="249"/>
      <c r="AC3162" s="330"/>
      <c r="AD3162" s="343"/>
      <c r="AE3162" s="249"/>
      <c r="AF3162" s="330"/>
      <c r="AG3162" s="343"/>
      <c r="AH3162" s="249"/>
      <c r="AI3162" s="330"/>
      <c r="AJ3162" s="343"/>
      <c r="AK3162" s="249"/>
      <c r="AL3162" s="330"/>
      <c r="AM3162" s="343"/>
      <c r="AN3162" s="249"/>
      <c r="AO3162" s="330"/>
      <c r="AP3162" s="343"/>
      <c r="AQ3162" s="249"/>
      <c r="AR3162" s="330"/>
      <c r="AS3162" s="343"/>
      <c r="AT3162" s="249"/>
      <c r="AU3162" s="330"/>
    </row>
    <row r="3163" spans="2:47">
      <c r="B3163" s="247">
        <f>'Table S2 Compound Identifiers'!C3165</f>
        <v>0</v>
      </c>
      <c r="C3163" s="247">
        <f>COUNTIF($D$6:D3163,"&lt;&gt;"&amp;"")</f>
        <v>3158</v>
      </c>
      <c r="D3163" s="247">
        <f>'Table S2 Compound Identifiers'!B3165</f>
        <v>0</v>
      </c>
      <c r="E3163" s="247"/>
      <c r="F3163" s="248"/>
      <c r="G3163" s="249"/>
      <c r="H3163" s="330"/>
      <c r="I3163" s="328"/>
      <c r="J3163" s="249"/>
      <c r="K3163" s="330"/>
      <c r="L3163" s="250"/>
      <c r="M3163" s="249"/>
      <c r="N3163" s="330"/>
      <c r="O3163" s="250"/>
      <c r="P3163" s="249"/>
      <c r="Q3163" s="330"/>
      <c r="R3163" s="250"/>
      <c r="S3163" s="249"/>
      <c r="T3163" s="330"/>
      <c r="U3163" s="250"/>
      <c r="V3163" s="249"/>
      <c r="W3163" s="330"/>
      <c r="X3163" s="343"/>
      <c r="Y3163" s="249"/>
      <c r="Z3163" s="330"/>
      <c r="AA3163" s="343"/>
      <c r="AB3163" s="249"/>
      <c r="AC3163" s="330"/>
      <c r="AD3163" s="343"/>
      <c r="AE3163" s="249"/>
      <c r="AF3163" s="330"/>
      <c r="AG3163" s="343"/>
      <c r="AH3163" s="249"/>
      <c r="AI3163" s="330"/>
      <c r="AJ3163" s="343"/>
      <c r="AK3163" s="249"/>
      <c r="AL3163" s="330"/>
      <c r="AM3163" s="343"/>
      <c r="AN3163" s="249"/>
      <c r="AO3163" s="330"/>
      <c r="AP3163" s="343"/>
      <c r="AQ3163" s="249"/>
      <c r="AR3163" s="330"/>
      <c r="AS3163" s="343"/>
      <c r="AT3163" s="249"/>
      <c r="AU3163" s="330"/>
    </row>
    <row r="3164" spans="2:47">
      <c r="B3164" s="247">
        <f>'Table S2 Compound Identifiers'!C3166</f>
        <v>0</v>
      </c>
      <c r="C3164" s="247">
        <f>COUNTIF($D$6:D3164,"&lt;&gt;"&amp;"")</f>
        <v>3159</v>
      </c>
      <c r="D3164" s="247">
        <f>'Table S2 Compound Identifiers'!B3166</f>
        <v>0</v>
      </c>
      <c r="E3164" s="247"/>
      <c r="F3164" s="248"/>
      <c r="G3164" s="249"/>
      <c r="H3164" s="330"/>
      <c r="I3164" s="328"/>
      <c r="J3164" s="249"/>
      <c r="K3164" s="330"/>
      <c r="L3164" s="250"/>
      <c r="M3164" s="249"/>
      <c r="N3164" s="330"/>
      <c r="O3164" s="250"/>
      <c r="P3164" s="249"/>
      <c r="Q3164" s="330"/>
      <c r="R3164" s="250"/>
      <c r="S3164" s="249"/>
      <c r="T3164" s="330"/>
      <c r="U3164" s="250"/>
      <c r="V3164" s="249"/>
      <c r="W3164" s="330"/>
      <c r="X3164" s="343"/>
      <c r="Y3164" s="249"/>
      <c r="Z3164" s="330"/>
      <c r="AA3164" s="343"/>
      <c r="AB3164" s="249"/>
      <c r="AC3164" s="330"/>
      <c r="AD3164" s="343"/>
      <c r="AE3164" s="249"/>
      <c r="AF3164" s="330"/>
      <c r="AG3164" s="343"/>
      <c r="AH3164" s="249"/>
      <c r="AI3164" s="330"/>
      <c r="AJ3164" s="343"/>
      <c r="AK3164" s="249"/>
      <c r="AL3164" s="330"/>
      <c r="AM3164" s="343"/>
      <c r="AN3164" s="249"/>
      <c r="AO3164" s="330"/>
      <c r="AP3164" s="343"/>
      <c r="AQ3164" s="249"/>
      <c r="AR3164" s="330"/>
      <c r="AS3164" s="343"/>
      <c r="AT3164" s="249"/>
      <c r="AU3164" s="330"/>
    </row>
    <row r="3165" spans="2:47">
      <c r="B3165" s="247">
        <f>'Table S2 Compound Identifiers'!C3167</f>
        <v>0</v>
      </c>
      <c r="C3165" s="247">
        <f>COUNTIF($D$6:D3165,"&lt;&gt;"&amp;"")</f>
        <v>3160</v>
      </c>
      <c r="D3165" s="247">
        <f>'Table S2 Compound Identifiers'!B3167</f>
        <v>0</v>
      </c>
      <c r="E3165" s="247"/>
      <c r="F3165" s="248"/>
      <c r="G3165" s="249"/>
      <c r="H3165" s="330"/>
      <c r="I3165" s="328"/>
      <c r="J3165" s="249"/>
      <c r="K3165" s="330"/>
      <c r="L3165" s="250"/>
      <c r="M3165" s="249"/>
      <c r="N3165" s="330"/>
      <c r="O3165" s="250"/>
      <c r="P3165" s="249"/>
      <c r="Q3165" s="330"/>
      <c r="R3165" s="250"/>
      <c r="S3165" s="249"/>
      <c r="T3165" s="330"/>
      <c r="U3165" s="250"/>
      <c r="V3165" s="249"/>
      <c r="W3165" s="330"/>
      <c r="X3165" s="343"/>
      <c r="Y3165" s="249"/>
      <c r="Z3165" s="330"/>
      <c r="AA3165" s="343"/>
      <c r="AB3165" s="249"/>
      <c r="AC3165" s="330"/>
      <c r="AD3165" s="343"/>
      <c r="AE3165" s="249"/>
      <c r="AF3165" s="330"/>
      <c r="AG3165" s="343"/>
      <c r="AH3165" s="249"/>
      <c r="AI3165" s="330"/>
      <c r="AJ3165" s="343"/>
      <c r="AK3165" s="249"/>
      <c r="AL3165" s="330"/>
      <c r="AM3165" s="343"/>
      <c r="AN3165" s="249"/>
      <c r="AO3165" s="330"/>
      <c r="AP3165" s="343"/>
      <c r="AQ3165" s="249"/>
      <c r="AR3165" s="330"/>
      <c r="AS3165" s="343"/>
      <c r="AT3165" s="249"/>
      <c r="AU3165" s="330"/>
    </row>
    <row r="3166" spans="2:47">
      <c r="B3166" s="247">
        <f>'Table S2 Compound Identifiers'!C3168</f>
        <v>0</v>
      </c>
      <c r="C3166" s="247">
        <f>COUNTIF($D$6:D3166,"&lt;&gt;"&amp;"")</f>
        <v>3161</v>
      </c>
      <c r="D3166" s="247">
        <f>'Table S2 Compound Identifiers'!B3168</f>
        <v>0</v>
      </c>
      <c r="E3166" s="247"/>
      <c r="F3166" s="248"/>
      <c r="G3166" s="249"/>
      <c r="H3166" s="330"/>
      <c r="I3166" s="328"/>
      <c r="J3166" s="249"/>
      <c r="K3166" s="330"/>
      <c r="L3166" s="250"/>
      <c r="M3166" s="249"/>
      <c r="N3166" s="330"/>
      <c r="O3166" s="250"/>
      <c r="P3166" s="249"/>
      <c r="Q3166" s="330"/>
      <c r="R3166" s="250"/>
      <c r="S3166" s="249"/>
      <c r="T3166" s="330"/>
      <c r="U3166" s="250"/>
      <c r="V3166" s="249"/>
      <c r="W3166" s="330"/>
      <c r="X3166" s="343"/>
      <c r="Y3166" s="249"/>
      <c r="Z3166" s="330"/>
      <c r="AA3166" s="343"/>
      <c r="AB3166" s="249"/>
      <c r="AC3166" s="330"/>
      <c r="AD3166" s="343"/>
      <c r="AE3166" s="249"/>
      <c r="AF3166" s="330"/>
      <c r="AG3166" s="343"/>
      <c r="AH3166" s="249"/>
      <c r="AI3166" s="330"/>
      <c r="AJ3166" s="343"/>
      <c r="AK3166" s="249"/>
      <c r="AL3166" s="330"/>
      <c r="AM3166" s="343"/>
      <c r="AN3166" s="249"/>
      <c r="AO3166" s="330"/>
      <c r="AP3166" s="343"/>
      <c r="AQ3166" s="249"/>
      <c r="AR3166" s="330"/>
      <c r="AS3166" s="343"/>
      <c r="AT3166" s="249"/>
      <c r="AU3166" s="330"/>
    </row>
    <row r="3167" spans="2:47">
      <c r="B3167" s="247">
        <f>'Table S2 Compound Identifiers'!C3169</f>
        <v>0</v>
      </c>
      <c r="C3167" s="247">
        <f>COUNTIF($D$6:D3167,"&lt;&gt;"&amp;"")</f>
        <v>3162</v>
      </c>
      <c r="D3167" s="247">
        <f>'Table S2 Compound Identifiers'!B3169</f>
        <v>0</v>
      </c>
      <c r="E3167" s="247"/>
      <c r="F3167" s="248"/>
      <c r="G3167" s="249"/>
      <c r="H3167" s="330"/>
      <c r="I3167" s="328"/>
      <c r="J3167" s="249"/>
      <c r="K3167" s="330"/>
      <c r="L3167" s="250"/>
      <c r="M3167" s="249"/>
      <c r="N3167" s="330"/>
      <c r="O3167" s="250"/>
      <c r="P3167" s="249"/>
      <c r="Q3167" s="330"/>
      <c r="R3167" s="250"/>
      <c r="S3167" s="249"/>
      <c r="T3167" s="330"/>
      <c r="U3167" s="250"/>
      <c r="V3167" s="249"/>
      <c r="W3167" s="330"/>
      <c r="X3167" s="343"/>
      <c r="Y3167" s="249"/>
      <c r="Z3167" s="330"/>
      <c r="AA3167" s="343"/>
      <c r="AB3167" s="249"/>
      <c r="AC3167" s="330"/>
      <c r="AD3167" s="343"/>
      <c r="AE3167" s="249"/>
      <c r="AF3167" s="330"/>
      <c r="AG3167" s="343"/>
      <c r="AH3167" s="249"/>
      <c r="AI3167" s="330"/>
      <c r="AJ3167" s="343"/>
      <c r="AK3167" s="249"/>
      <c r="AL3167" s="330"/>
      <c r="AM3167" s="343"/>
      <c r="AN3167" s="249"/>
      <c r="AO3167" s="330"/>
      <c r="AP3167" s="343"/>
      <c r="AQ3167" s="249"/>
      <c r="AR3167" s="330"/>
      <c r="AS3167" s="343"/>
      <c r="AT3167" s="249"/>
      <c r="AU3167" s="330"/>
    </row>
    <row r="3168" spans="2:47">
      <c r="B3168" s="247">
        <f>'Table S2 Compound Identifiers'!C3170</f>
        <v>0</v>
      </c>
      <c r="C3168" s="247">
        <f>COUNTIF($D$6:D3168,"&lt;&gt;"&amp;"")</f>
        <v>3163</v>
      </c>
      <c r="D3168" s="247">
        <f>'Table S2 Compound Identifiers'!B3170</f>
        <v>0</v>
      </c>
      <c r="E3168" s="247"/>
      <c r="F3168" s="248"/>
      <c r="G3168" s="249"/>
      <c r="H3168" s="330"/>
      <c r="I3168" s="328"/>
      <c r="J3168" s="249"/>
      <c r="K3168" s="330"/>
      <c r="L3168" s="250"/>
      <c r="M3168" s="249"/>
      <c r="N3168" s="330"/>
      <c r="O3168" s="250"/>
      <c r="P3168" s="249"/>
      <c r="Q3168" s="330"/>
      <c r="R3168" s="250"/>
      <c r="S3168" s="249"/>
      <c r="T3168" s="330"/>
      <c r="U3168" s="250"/>
      <c r="V3168" s="249"/>
      <c r="W3168" s="330"/>
      <c r="X3168" s="343"/>
      <c r="Y3168" s="249"/>
      <c r="Z3168" s="330"/>
      <c r="AA3168" s="343"/>
      <c r="AB3168" s="249"/>
      <c r="AC3168" s="330"/>
      <c r="AD3168" s="343"/>
      <c r="AE3168" s="249"/>
      <c r="AF3168" s="330"/>
      <c r="AG3168" s="343"/>
      <c r="AH3168" s="249"/>
      <c r="AI3168" s="330"/>
      <c r="AJ3168" s="343"/>
      <c r="AK3168" s="249"/>
      <c r="AL3168" s="330"/>
      <c r="AM3168" s="343"/>
      <c r="AN3168" s="249"/>
      <c r="AO3168" s="330"/>
      <c r="AP3168" s="343"/>
      <c r="AQ3168" s="249"/>
      <c r="AR3168" s="330"/>
      <c r="AS3168" s="343"/>
      <c r="AT3168" s="249"/>
      <c r="AU3168" s="330"/>
    </row>
    <row r="3169" spans="2:47">
      <c r="B3169" s="247">
        <f>'Table S2 Compound Identifiers'!C3171</f>
        <v>0</v>
      </c>
      <c r="C3169" s="247">
        <f>COUNTIF($D$6:D3169,"&lt;&gt;"&amp;"")</f>
        <v>3164</v>
      </c>
      <c r="D3169" s="247">
        <f>'Table S2 Compound Identifiers'!B3171</f>
        <v>0</v>
      </c>
      <c r="E3169" s="247"/>
      <c r="F3169" s="248"/>
      <c r="G3169" s="249"/>
      <c r="H3169" s="330"/>
      <c r="I3169" s="328"/>
      <c r="J3169" s="249"/>
      <c r="K3169" s="330"/>
      <c r="L3169" s="250"/>
      <c r="M3169" s="249"/>
      <c r="N3169" s="330"/>
      <c r="O3169" s="250"/>
      <c r="P3169" s="249"/>
      <c r="Q3169" s="330"/>
      <c r="R3169" s="250"/>
      <c r="S3169" s="249"/>
      <c r="T3169" s="330"/>
      <c r="U3169" s="250"/>
      <c r="V3169" s="249"/>
      <c r="W3169" s="330"/>
      <c r="X3169" s="343"/>
      <c r="Y3169" s="249"/>
      <c r="Z3169" s="330"/>
      <c r="AA3169" s="343"/>
      <c r="AB3169" s="249"/>
      <c r="AC3169" s="330"/>
      <c r="AD3169" s="343"/>
      <c r="AE3169" s="249"/>
      <c r="AF3169" s="330"/>
      <c r="AG3169" s="343"/>
      <c r="AH3169" s="249"/>
      <c r="AI3169" s="330"/>
      <c r="AJ3169" s="343"/>
      <c r="AK3169" s="249"/>
      <c r="AL3169" s="330"/>
      <c r="AM3169" s="343"/>
      <c r="AN3169" s="249"/>
      <c r="AO3169" s="330"/>
      <c r="AP3169" s="343"/>
      <c r="AQ3169" s="249"/>
      <c r="AR3169" s="330"/>
      <c r="AS3169" s="343"/>
      <c r="AT3169" s="249"/>
      <c r="AU3169" s="330"/>
    </row>
    <row r="3170" spans="2:47">
      <c r="B3170" s="247">
        <f>'Table S2 Compound Identifiers'!C3172</f>
        <v>0</v>
      </c>
      <c r="C3170" s="247">
        <f>COUNTIF($D$6:D3170,"&lt;&gt;"&amp;"")</f>
        <v>3165</v>
      </c>
      <c r="D3170" s="432">
        <f>'Table S2 Compound Identifiers'!B3172</f>
        <v>0</v>
      </c>
      <c r="E3170" s="247"/>
      <c r="F3170" s="248"/>
      <c r="G3170" s="249"/>
      <c r="H3170" s="330"/>
      <c r="I3170" s="328"/>
      <c r="J3170" s="249"/>
      <c r="K3170" s="330"/>
      <c r="L3170" s="250"/>
      <c r="M3170" s="249"/>
      <c r="N3170" s="330"/>
      <c r="O3170" s="250"/>
      <c r="P3170" s="249"/>
      <c r="Q3170" s="330"/>
      <c r="R3170" s="250"/>
      <c r="S3170" s="249"/>
      <c r="T3170" s="330"/>
      <c r="U3170" s="250"/>
      <c r="V3170" s="249"/>
      <c r="W3170" s="330"/>
      <c r="X3170" s="343"/>
      <c r="Y3170" s="249"/>
      <c r="Z3170" s="330"/>
      <c r="AA3170" s="343"/>
      <c r="AB3170" s="249"/>
      <c r="AC3170" s="330"/>
      <c r="AD3170" s="343"/>
      <c r="AE3170" s="249"/>
      <c r="AF3170" s="330"/>
      <c r="AG3170" s="343"/>
      <c r="AH3170" s="249"/>
      <c r="AI3170" s="330"/>
      <c r="AJ3170" s="343"/>
      <c r="AK3170" s="249"/>
      <c r="AL3170" s="330"/>
      <c r="AM3170" s="343"/>
      <c r="AN3170" s="249"/>
      <c r="AO3170" s="330"/>
      <c r="AP3170" s="343"/>
      <c r="AQ3170" s="249"/>
      <c r="AR3170" s="330"/>
      <c r="AS3170" s="343"/>
      <c r="AT3170" s="249"/>
      <c r="AU3170" s="330"/>
    </row>
    <row r="3171" spans="2:47">
      <c r="B3171" s="247">
        <f>'Table S2 Compound Identifiers'!C3173</f>
        <v>0</v>
      </c>
      <c r="C3171" s="247">
        <f>COUNTIF($D$6:D3171,"&lt;&gt;"&amp;"")</f>
        <v>3166</v>
      </c>
      <c r="D3171" s="432">
        <f>'Table S2 Compound Identifiers'!B3173</f>
        <v>0</v>
      </c>
      <c r="E3171" s="247"/>
      <c r="F3171" s="248"/>
      <c r="G3171" s="249"/>
      <c r="H3171" s="330"/>
      <c r="I3171" s="328"/>
      <c r="J3171" s="249"/>
      <c r="K3171" s="330"/>
      <c r="L3171" s="250"/>
      <c r="M3171" s="249"/>
      <c r="N3171" s="330"/>
      <c r="O3171" s="250"/>
      <c r="P3171" s="249"/>
      <c r="Q3171" s="330"/>
      <c r="R3171" s="250"/>
      <c r="S3171" s="249"/>
      <c r="T3171" s="330"/>
      <c r="U3171" s="250"/>
      <c r="V3171" s="249"/>
      <c r="W3171" s="330"/>
      <c r="X3171" s="343"/>
      <c r="Y3171" s="249"/>
      <c r="Z3171" s="330"/>
      <c r="AA3171" s="343"/>
      <c r="AB3171" s="249"/>
      <c r="AC3171" s="330"/>
      <c r="AD3171" s="343"/>
      <c r="AE3171" s="249"/>
      <c r="AF3171" s="330"/>
      <c r="AG3171" s="343"/>
      <c r="AH3171" s="249"/>
      <c r="AI3171" s="330"/>
      <c r="AJ3171" s="343"/>
      <c r="AK3171" s="249"/>
      <c r="AL3171" s="330"/>
      <c r="AM3171" s="343"/>
      <c r="AN3171" s="249"/>
      <c r="AO3171" s="330"/>
      <c r="AP3171" s="343"/>
      <c r="AQ3171" s="249"/>
      <c r="AR3171" s="330"/>
      <c r="AS3171" s="343"/>
      <c r="AT3171" s="249"/>
      <c r="AU3171" s="330"/>
    </row>
    <row r="3172" spans="2:47">
      <c r="B3172" s="247">
        <f>'Table S2 Compound Identifiers'!C3174</f>
        <v>0</v>
      </c>
      <c r="C3172" s="247">
        <f>COUNTIF($D$6:D3172,"&lt;&gt;"&amp;"")</f>
        <v>3167</v>
      </c>
      <c r="D3172" s="432">
        <f>'Table S2 Compound Identifiers'!B3174</f>
        <v>0</v>
      </c>
      <c r="E3172" s="247"/>
      <c r="F3172" s="248"/>
      <c r="G3172" s="249"/>
      <c r="H3172" s="330"/>
      <c r="I3172" s="328"/>
      <c r="J3172" s="249"/>
      <c r="K3172" s="330"/>
      <c r="L3172" s="250"/>
      <c r="M3172" s="249"/>
      <c r="N3172" s="330"/>
      <c r="O3172" s="250"/>
      <c r="P3172" s="249"/>
      <c r="Q3172" s="330"/>
      <c r="R3172" s="250"/>
      <c r="S3172" s="249"/>
      <c r="T3172" s="330"/>
      <c r="U3172" s="250"/>
      <c r="V3172" s="249"/>
      <c r="W3172" s="330"/>
      <c r="X3172" s="343"/>
      <c r="Y3172" s="249"/>
      <c r="Z3172" s="330"/>
      <c r="AA3172" s="343"/>
      <c r="AB3172" s="249"/>
      <c r="AC3172" s="330"/>
      <c r="AD3172" s="343"/>
      <c r="AE3172" s="249"/>
      <c r="AF3172" s="330"/>
      <c r="AG3172" s="343"/>
      <c r="AH3172" s="249"/>
      <c r="AI3172" s="330"/>
      <c r="AJ3172" s="343"/>
      <c r="AK3172" s="249"/>
      <c r="AL3172" s="330"/>
      <c r="AM3172" s="343"/>
      <c r="AN3172" s="249"/>
      <c r="AO3172" s="330"/>
      <c r="AP3172" s="343"/>
      <c r="AQ3172" s="249"/>
      <c r="AR3172" s="330"/>
      <c r="AS3172" s="343"/>
      <c r="AT3172" s="249"/>
      <c r="AU3172" s="330"/>
    </row>
    <row r="3173" spans="2:47">
      <c r="B3173" s="247">
        <f>'Table S2 Compound Identifiers'!C3175</f>
        <v>0</v>
      </c>
      <c r="C3173" s="247">
        <f>COUNTIF($D$6:D3173,"&lt;&gt;"&amp;"")</f>
        <v>3168</v>
      </c>
      <c r="D3173" s="432">
        <f>'Table S2 Compound Identifiers'!B3175</f>
        <v>0</v>
      </c>
      <c r="E3173" s="247"/>
      <c r="F3173" s="248"/>
      <c r="G3173" s="249"/>
      <c r="H3173" s="330"/>
      <c r="I3173" s="328"/>
      <c r="J3173" s="249"/>
      <c r="K3173" s="330"/>
      <c r="L3173" s="250"/>
      <c r="M3173" s="249"/>
      <c r="N3173" s="330"/>
      <c r="O3173" s="250"/>
      <c r="P3173" s="249"/>
      <c r="Q3173" s="330"/>
      <c r="R3173" s="250"/>
      <c r="S3173" s="249"/>
      <c r="T3173" s="330"/>
      <c r="U3173" s="250"/>
      <c r="V3173" s="249"/>
      <c r="W3173" s="330"/>
      <c r="X3173" s="343"/>
      <c r="Y3173" s="249"/>
      <c r="Z3173" s="330"/>
      <c r="AA3173" s="343"/>
      <c r="AB3173" s="249"/>
      <c r="AC3173" s="330"/>
      <c r="AD3173" s="343"/>
      <c r="AE3173" s="249"/>
      <c r="AF3173" s="330"/>
      <c r="AG3173" s="343"/>
      <c r="AH3173" s="249"/>
      <c r="AI3173" s="330"/>
      <c r="AJ3173" s="343"/>
      <c r="AK3173" s="249"/>
      <c r="AL3173" s="330"/>
      <c r="AM3173" s="343"/>
      <c r="AN3173" s="249"/>
      <c r="AO3173" s="330"/>
      <c r="AP3173" s="343"/>
      <c r="AQ3173" s="249"/>
      <c r="AR3173" s="330"/>
      <c r="AS3173" s="343"/>
      <c r="AT3173" s="249"/>
      <c r="AU3173" s="330"/>
    </row>
    <row r="3174" spans="2:47">
      <c r="B3174" s="247">
        <f>'Table S2 Compound Identifiers'!C3176</f>
        <v>0</v>
      </c>
      <c r="C3174" s="247">
        <f>COUNTIF($D$6:D3174,"&lt;&gt;"&amp;"")</f>
        <v>3169</v>
      </c>
      <c r="D3174" s="432">
        <f>'Table S2 Compound Identifiers'!B3176</f>
        <v>0</v>
      </c>
      <c r="E3174" s="247"/>
      <c r="F3174" s="248"/>
      <c r="G3174" s="249"/>
      <c r="H3174" s="330"/>
      <c r="I3174" s="328"/>
      <c r="J3174" s="249"/>
      <c r="K3174" s="330"/>
      <c r="L3174" s="250"/>
      <c r="M3174" s="249"/>
      <c r="N3174" s="330"/>
      <c r="O3174" s="250"/>
      <c r="P3174" s="249"/>
      <c r="Q3174" s="330"/>
      <c r="R3174" s="250"/>
      <c r="S3174" s="249"/>
      <c r="T3174" s="330"/>
      <c r="U3174" s="250"/>
      <c r="V3174" s="249"/>
      <c r="W3174" s="330"/>
      <c r="X3174" s="343"/>
      <c r="Y3174" s="249"/>
      <c r="Z3174" s="330"/>
      <c r="AA3174" s="343"/>
      <c r="AB3174" s="249"/>
      <c r="AC3174" s="330"/>
      <c r="AD3174" s="343"/>
      <c r="AE3174" s="249"/>
      <c r="AF3174" s="330"/>
      <c r="AG3174" s="343"/>
      <c r="AH3174" s="249"/>
      <c r="AI3174" s="330"/>
      <c r="AJ3174" s="343"/>
      <c r="AK3174" s="249"/>
      <c r="AL3174" s="330"/>
      <c r="AM3174" s="343"/>
      <c r="AN3174" s="249"/>
      <c r="AO3174" s="330"/>
      <c r="AP3174" s="343"/>
      <c r="AQ3174" s="249"/>
      <c r="AR3174" s="330"/>
      <c r="AS3174" s="343"/>
      <c r="AT3174" s="249"/>
      <c r="AU3174" s="330"/>
    </row>
    <row r="3175" spans="2:47">
      <c r="B3175" s="247">
        <f>'Table S2 Compound Identifiers'!C3177</f>
        <v>0</v>
      </c>
      <c r="C3175" s="247">
        <f>COUNTIF($D$6:D3175,"&lt;&gt;"&amp;"")</f>
        <v>3170</v>
      </c>
      <c r="D3175" s="432">
        <f>'Table S2 Compound Identifiers'!B3177</f>
        <v>0</v>
      </c>
      <c r="E3175" s="247"/>
      <c r="F3175" s="248"/>
      <c r="G3175" s="249"/>
      <c r="H3175" s="330"/>
      <c r="I3175" s="328"/>
      <c r="J3175" s="249"/>
      <c r="K3175" s="330"/>
      <c r="L3175" s="250"/>
      <c r="M3175" s="249"/>
      <c r="N3175" s="330"/>
      <c r="O3175" s="250"/>
      <c r="P3175" s="249"/>
      <c r="Q3175" s="330"/>
      <c r="R3175" s="250"/>
      <c r="S3175" s="249"/>
      <c r="T3175" s="330"/>
      <c r="U3175" s="250"/>
      <c r="V3175" s="249"/>
      <c r="W3175" s="330"/>
      <c r="X3175" s="343"/>
      <c r="Y3175" s="249"/>
      <c r="Z3175" s="330"/>
      <c r="AA3175" s="343"/>
      <c r="AB3175" s="249"/>
      <c r="AC3175" s="330"/>
      <c r="AD3175" s="343"/>
      <c r="AE3175" s="249"/>
      <c r="AF3175" s="330"/>
      <c r="AG3175" s="343"/>
      <c r="AH3175" s="249"/>
      <c r="AI3175" s="330"/>
      <c r="AJ3175" s="343"/>
      <c r="AK3175" s="249"/>
      <c r="AL3175" s="330"/>
      <c r="AM3175" s="343"/>
      <c r="AN3175" s="249"/>
      <c r="AO3175" s="330"/>
      <c r="AP3175" s="343"/>
      <c r="AQ3175" s="249"/>
      <c r="AR3175" s="330"/>
      <c r="AS3175" s="343"/>
      <c r="AT3175" s="249"/>
      <c r="AU3175" s="330"/>
    </row>
    <row r="3176" spans="2:47">
      <c r="B3176" s="247">
        <f>'Table S2 Compound Identifiers'!C3178</f>
        <v>0</v>
      </c>
      <c r="C3176" s="247">
        <f>COUNTIF($D$6:D3176,"&lt;&gt;"&amp;"")</f>
        <v>3171</v>
      </c>
      <c r="D3176" s="432">
        <f>'Table S2 Compound Identifiers'!B3178</f>
        <v>0</v>
      </c>
      <c r="E3176" s="247"/>
      <c r="F3176" s="248"/>
      <c r="G3176" s="249"/>
      <c r="H3176" s="330"/>
      <c r="I3176" s="328"/>
      <c r="J3176" s="249"/>
      <c r="K3176" s="330"/>
      <c r="L3176" s="250"/>
      <c r="M3176" s="249"/>
      <c r="N3176" s="330"/>
      <c r="O3176" s="250"/>
      <c r="P3176" s="249"/>
      <c r="Q3176" s="330"/>
      <c r="R3176" s="250"/>
      <c r="S3176" s="249"/>
      <c r="T3176" s="330"/>
      <c r="U3176" s="250"/>
      <c r="V3176" s="249"/>
      <c r="W3176" s="330"/>
      <c r="X3176" s="343"/>
      <c r="Y3176" s="249"/>
      <c r="Z3176" s="330"/>
      <c r="AA3176" s="343"/>
      <c r="AB3176" s="249"/>
      <c r="AC3176" s="330"/>
      <c r="AD3176" s="343"/>
      <c r="AE3176" s="249"/>
      <c r="AF3176" s="330"/>
      <c r="AG3176" s="343"/>
      <c r="AH3176" s="249"/>
      <c r="AI3176" s="330"/>
      <c r="AJ3176" s="343"/>
      <c r="AK3176" s="249"/>
      <c r="AL3176" s="330"/>
      <c r="AM3176" s="343"/>
      <c r="AN3176" s="249"/>
      <c r="AO3176" s="330"/>
      <c r="AP3176" s="343"/>
      <c r="AQ3176" s="249"/>
      <c r="AR3176" s="330"/>
      <c r="AS3176" s="343"/>
      <c r="AT3176" s="249"/>
      <c r="AU3176" s="330"/>
    </row>
    <row r="3177" spans="2:47">
      <c r="B3177" s="247">
        <f>'Table S2 Compound Identifiers'!C3179</f>
        <v>0</v>
      </c>
      <c r="C3177" s="247">
        <f>COUNTIF($D$6:D3177,"&lt;&gt;"&amp;"")</f>
        <v>3172</v>
      </c>
      <c r="D3177" s="432">
        <f>'Table S2 Compound Identifiers'!B3179</f>
        <v>0</v>
      </c>
      <c r="E3177" s="247"/>
      <c r="F3177" s="248"/>
      <c r="G3177" s="249"/>
      <c r="H3177" s="330"/>
      <c r="I3177" s="328"/>
      <c r="J3177" s="249"/>
      <c r="K3177" s="330"/>
      <c r="L3177" s="250"/>
      <c r="M3177" s="249"/>
      <c r="N3177" s="330"/>
      <c r="O3177" s="250"/>
      <c r="P3177" s="249"/>
      <c r="Q3177" s="330"/>
      <c r="R3177" s="250"/>
      <c r="S3177" s="249"/>
      <c r="T3177" s="330"/>
      <c r="U3177" s="250"/>
      <c r="V3177" s="249"/>
      <c r="W3177" s="330"/>
      <c r="X3177" s="343"/>
      <c r="Y3177" s="249"/>
      <c r="Z3177" s="330"/>
      <c r="AA3177" s="343"/>
      <c r="AB3177" s="249"/>
      <c r="AC3177" s="330"/>
      <c r="AD3177" s="343"/>
      <c r="AE3177" s="249"/>
      <c r="AF3177" s="330"/>
      <c r="AG3177" s="343"/>
      <c r="AH3177" s="249"/>
      <c r="AI3177" s="330"/>
      <c r="AJ3177" s="343"/>
      <c r="AK3177" s="249"/>
      <c r="AL3177" s="330"/>
      <c r="AM3177" s="343"/>
      <c r="AN3177" s="249"/>
      <c r="AO3177" s="330"/>
      <c r="AP3177" s="343"/>
      <c r="AQ3177" s="249"/>
      <c r="AR3177" s="330"/>
      <c r="AS3177" s="343"/>
      <c r="AT3177" s="249"/>
      <c r="AU3177" s="330"/>
    </row>
    <row r="3178" spans="2:47">
      <c r="B3178" s="247">
        <f>'Table S2 Compound Identifiers'!C3180</f>
        <v>0</v>
      </c>
      <c r="C3178" s="247">
        <f>COUNTIF($D$6:D3178,"&lt;&gt;"&amp;"")</f>
        <v>3173</v>
      </c>
      <c r="D3178" s="432">
        <f>'Table S2 Compound Identifiers'!B3180</f>
        <v>0</v>
      </c>
      <c r="E3178" s="247"/>
      <c r="F3178" s="248"/>
      <c r="G3178" s="249"/>
      <c r="H3178" s="330"/>
      <c r="I3178" s="328"/>
      <c r="J3178" s="249"/>
      <c r="K3178" s="330"/>
      <c r="L3178" s="250"/>
      <c r="M3178" s="249"/>
      <c r="N3178" s="330"/>
      <c r="O3178" s="250"/>
      <c r="P3178" s="249"/>
      <c r="Q3178" s="330"/>
      <c r="R3178" s="250"/>
      <c r="S3178" s="249"/>
      <c r="T3178" s="330"/>
      <c r="U3178" s="250"/>
      <c r="V3178" s="249"/>
      <c r="W3178" s="330"/>
      <c r="X3178" s="343"/>
      <c r="Y3178" s="249"/>
      <c r="Z3178" s="330"/>
      <c r="AA3178" s="343"/>
      <c r="AB3178" s="249"/>
      <c r="AC3178" s="330"/>
      <c r="AD3178" s="343"/>
      <c r="AE3178" s="249"/>
      <c r="AF3178" s="330"/>
      <c r="AG3178" s="343"/>
      <c r="AH3178" s="249"/>
      <c r="AI3178" s="330"/>
      <c r="AJ3178" s="343"/>
      <c r="AK3178" s="249"/>
      <c r="AL3178" s="330"/>
      <c r="AM3178" s="343"/>
      <c r="AN3178" s="249"/>
      <c r="AO3178" s="330"/>
      <c r="AP3178" s="343"/>
      <c r="AQ3178" s="249"/>
      <c r="AR3178" s="330"/>
      <c r="AS3178" s="343"/>
      <c r="AT3178" s="249"/>
      <c r="AU3178" s="330"/>
    </row>
    <row r="3179" spans="2:47">
      <c r="B3179" s="247">
        <f>'Table S2 Compound Identifiers'!C3181</f>
        <v>0</v>
      </c>
      <c r="C3179" s="247">
        <f>COUNTIF($D$6:D3179,"&lt;&gt;"&amp;"")</f>
        <v>3174</v>
      </c>
      <c r="D3179" s="432">
        <f>'Table S2 Compound Identifiers'!B3181</f>
        <v>0</v>
      </c>
      <c r="E3179" s="247"/>
      <c r="F3179" s="248"/>
      <c r="G3179" s="249"/>
      <c r="H3179" s="330"/>
      <c r="I3179" s="328"/>
      <c r="J3179" s="249"/>
      <c r="K3179" s="330"/>
      <c r="L3179" s="250"/>
      <c r="M3179" s="249"/>
      <c r="N3179" s="330"/>
      <c r="O3179" s="250"/>
      <c r="P3179" s="249"/>
      <c r="Q3179" s="330"/>
      <c r="R3179" s="250"/>
      <c r="S3179" s="249"/>
      <c r="T3179" s="330"/>
      <c r="U3179" s="250"/>
      <c r="V3179" s="249"/>
      <c r="W3179" s="330"/>
      <c r="X3179" s="343"/>
      <c r="Y3179" s="249"/>
      <c r="Z3179" s="330"/>
      <c r="AA3179" s="343"/>
      <c r="AB3179" s="249"/>
      <c r="AC3179" s="330"/>
      <c r="AD3179" s="343"/>
      <c r="AE3179" s="249"/>
      <c r="AF3179" s="330"/>
      <c r="AG3179" s="343"/>
      <c r="AH3179" s="249"/>
      <c r="AI3179" s="330"/>
      <c r="AJ3179" s="343"/>
      <c r="AK3179" s="249"/>
      <c r="AL3179" s="330"/>
      <c r="AM3179" s="343"/>
      <c r="AN3179" s="249"/>
      <c r="AO3179" s="330"/>
      <c r="AP3179" s="343"/>
      <c r="AQ3179" s="249"/>
      <c r="AR3179" s="330"/>
      <c r="AS3179" s="343"/>
      <c r="AT3179" s="249"/>
      <c r="AU3179" s="330"/>
    </row>
    <row r="3180" spans="2:47">
      <c r="B3180" s="247">
        <f>'Table S2 Compound Identifiers'!C3182</f>
        <v>0</v>
      </c>
      <c r="C3180" s="247">
        <f>COUNTIF($D$6:D3180,"&lt;&gt;"&amp;"")</f>
        <v>3175</v>
      </c>
      <c r="D3180" s="247">
        <f>'Table S2 Compound Identifiers'!B3182</f>
        <v>0</v>
      </c>
      <c r="E3180" s="247"/>
      <c r="F3180" s="248"/>
      <c r="G3180" s="249"/>
      <c r="H3180" s="330"/>
      <c r="I3180" s="328"/>
      <c r="J3180" s="249"/>
      <c r="K3180" s="330"/>
      <c r="L3180" s="250"/>
      <c r="M3180" s="249"/>
      <c r="N3180" s="330"/>
      <c r="O3180" s="250"/>
      <c r="P3180" s="249"/>
      <c r="Q3180" s="330"/>
      <c r="R3180" s="250"/>
      <c r="S3180" s="249"/>
      <c r="T3180" s="330"/>
      <c r="U3180" s="250"/>
      <c r="V3180" s="249"/>
      <c r="W3180" s="330"/>
      <c r="X3180" s="343"/>
      <c r="Y3180" s="249"/>
      <c r="Z3180" s="330"/>
      <c r="AA3180" s="343"/>
      <c r="AB3180" s="249"/>
      <c r="AC3180" s="330"/>
      <c r="AD3180" s="343"/>
      <c r="AE3180" s="249"/>
      <c r="AF3180" s="330"/>
      <c r="AG3180" s="343"/>
      <c r="AH3180" s="249"/>
      <c r="AI3180" s="330"/>
      <c r="AJ3180" s="343"/>
      <c r="AK3180" s="249"/>
      <c r="AL3180" s="330"/>
      <c r="AM3180" s="343"/>
      <c r="AN3180" s="249"/>
      <c r="AO3180" s="330"/>
      <c r="AP3180" s="343"/>
      <c r="AQ3180" s="249"/>
      <c r="AR3180" s="330"/>
      <c r="AS3180" s="343"/>
      <c r="AT3180" s="249"/>
      <c r="AU3180" s="330"/>
    </row>
    <row r="3181" spans="2:47">
      <c r="B3181" s="247">
        <f>'Table S2 Compound Identifiers'!C3183</f>
        <v>0</v>
      </c>
      <c r="C3181" s="247">
        <f>COUNTIF($D$6:D3181,"&lt;&gt;"&amp;"")</f>
        <v>3176</v>
      </c>
      <c r="D3181" s="247">
        <f>'Table S2 Compound Identifiers'!B3183</f>
        <v>0</v>
      </c>
      <c r="E3181" s="247"/>
      <c r="F3181" s="248"/>
      <c r="G3181" s="249"/>
      <c r="H3181" s="330"/>
      <c r="I3181" s="328"/>
      <c r="J3181" s="249"/>
      <c r="K3181" s="330"/>
      <c r="L3181" s="250"/>
      <c r="M3181" s="249"/>
      <c r="N3181" s="330"/>
      <c r="O3181" s="250"/>
      <c r="P3181" s="249"/>
      <c r="Q3181" s="330"/>
      <c r="R3181" s="250"/>
      <c r="S3181" s="249"/>
      <c r="T3181" s="330"/>
      <c r="U3181" s="250"/>
      <c r="V3181" s="249"/>
      <c r="W3181" s="330"/>
      <c r="X3181" s="343"/>
      <c r="Y3181" s="249"/>
      <c r="Z3181" s="330"/>
      <c r="AA3181" s="343"/>
      <c r="AB3181" s="249"/>
      <c r="AC3181" s="330"/>
      <c r="AD3181" s="343"/>
      <c r="AE3181" s="249"/>
      <c r="AF3181" s="330"/>
      <c r="AG3181" s="343"/>
      <c r="AH3181" s="249"/>
      <c r="AI3181" s="330"/>
      <c r="AJ3181" s="343"/>
      <c r="AK3181" s="249"/>
      <c r="AL3181" s="330"/>
      <c r="AM3181" s="343"/>
      <c r="AN3181" s="249"/>
      <c r="AO3181" s="330"/>
      <c r="AP3181" s="343"/>
      <c r="AQ3181" s="249"/>
      <c r="AR3181" s="330"/>
      <c r="AS3181" s="343"/>
      <c r="AT3181" s="249"/>
      <c r="AU3181" s="330"/>
    </row>
    <row r="3182" spans="2:47">
      <c r="B3182" s="247">
        <f>'Table S2 Compound Identifiers'!C3184</f>
        <v>0</v>
      </c>
      <c r="C3182" s="247">
        <f>COUNTIF($D$6:D3182,"&lt;&gt;"&amp;"")</f>
        <v>3177</v>
      </c>
      <c r="D3182" s="247">
        <f>'Table S2 Compound Identifiers'!B3184</f>
        <v>0</v>
      </c>
      <c r="E3182" s="247"/>
      <c r="F3182" s="248"/>
      <c r="G3182" s="249"/>
      <c r="H3182" s="330"/>
      <c r="I3182" s="328"/>
      <c r="J3182" s="249"/>
      <c r="K3182" s="330"/>
      <c r="L3182" s="250"/>
      <c r="M3182" s="249"/>
      <c r="N3182" s="330"/>
      <c r="O3182" s="250"/>
      <c r="P3182" s="249"/>
      <c r="Q3182" s="330"/>
      <c r="R3182" s="250"/>
      <c r="S3182" s="249"/>
      <c r="T3182" s="330"/>
      <c r="U3182" s="250"/>
      <c r="V3182" s="249"/>
      <c r="W3182" s="330"/>
      <c r="X3182" s="343"/>
      <c r="Y3182" s="249"/>
      <c r="Z3182" s="330"/>
      <c r="AA3182" s="343"/>
      <c r="AB3182" s="249"/>
      <c r="AC3182" s="330"/>
      <c r="AD3182" s="343"/>
      <c r="AE3182" s="249"/>
      <c r="AF3182" s="330"/>
      <c r="AG3182" s="343"/>
      <c r="AH3182" s="249"/>
      <c r="AI3182" s="330"/>
      <c r="AJ3182" s="343"/>
      <c r="AK3182" s="249"/>
      <c r="AL3182" s="330"/>
      <c r="AM3182" s="343"/>
      <c r="AN3182" s="249"/>
      <c r="AO3182" s="330"/>
      <c r="AP3182" s="343"/>
      <c r="AQ3182" s="249"/>
      <c r="AR3182" s="330"/>
      <c r="AS3182" s="343"/>
      <c r="AT3182" s="249"/>
      <c r="AU3182" s="330"/>
    </row>
    <row r="3183" spans="2:47">
      <c r="B3183" s="247">
        <f>'Table S2 Compound Identifiers'!C3185</f>
        <v>0</v>
      </c>
      <c r="C3183" s="247">
        <f>COUNTIF($D$6:D3183,"&lt;&gt;"&amp;"")</f>
        <v>3178</v>
      </c>
      <c r="D3183" s="247">
        <f>'Table S2 Compound Identifiers'!B3185</f>
        <v>0</v>
      </c>
      <c r="E3183" s="247"/>
      <c r="F3183" s="248"/>
      <c r="G3183" s="249"/>
      <c r="H3183" s="330"/>
      <c r="I3183" s="328"/>
      <c r="J3183" s="249"/>
      <c r="K3183" s="330"/>
      <c r="L3183" s="250"/>
      <c r="M3183" s="249"/>
      <c r="N3183" s="330"/>
      <c r="O3183" s="250"/>
      <c r="P3183" s="249"/>
      <c r="Q3183" s="330"/>
      <c r="R3183" s="250"/>
      <c r="S3183" s="249"/>
      <c r="T3183" s="330"/>
      <c r="U3183" s="250"/>
      <c r="V3183" s="249"/>
      <c r="W3183" s="330"/>
      <c r="X3183" s="343"/>
      <c r="Y3183" s="249"/>
      <c r="Z3183" s="330"/>
      <c r="AA3183" s="343"/>
      <c r="AB3183" s="249"/>
      <c r="AC3183" s="330"/>
      <c r="AD3183" s="343"/>
      <c r="AE3183" s="249"/>
      <c r="AF3183" s="330"/>
      <c r="AG3183" s="343"/>
      <c r="AH3183" s="249"/>
      <c r="AI3183" s="330"/>
      <c r="AJ3183" s="343"/>
      <c r="AK3183" s="249"/>
      <c r="AL3183" s="330"/>
      <c r="AM3183" s="343"/>
      <c r="AN3183" s="249"/>
      <c r="AO3183" s="330"/>
      <c r="AP3183" s="343"/>
      <c r="AQ3183" s="249"/>
      <c r="AR3183" s="330"/>
      <c r="AS3183" s="343"/>
      <c r="AT3183" s="249"/>
      <c r="AU3183" s="330"/>
    </row>
    <row r="3184" spans="2:47">
      <c r="B3184" s="247">
        <f>'Table S2 Compound Identifiers'!C3186</f>
        <v>0</v>
      </c>
      <c r="C3184" s="247">
        <f>COUNTIF($D$6:D3184,"&lt;&gt;"&amp;"")</f>
        <v>3179</v>
      </c>
      <c r="D3184" s="247">
        <f>'Table S2 Compound Identifiers'!B3186</f>
        <v>0</v>
      </c>
      <c r="E3184" s="247"/>
      <c r="F3184" s="248"/>
      <c r="G3184" s="249"/>
      <c r="H3184" s="330"/>
      <c r="I3184" s="328"/>
      <c r="J3184" s="249"/>
      <c r="K3184" s="330"/>
      <c r="L3184" s="250"/>
      <c r="M3184" s="249"/>
      <c r="N3184" s="330"/>
      <c r="O3184" s="250"/>
      <c r="P3184" s="249"/>
      <c r="Q3184" s="330"/>
      <c r="R3184" s="250"/>
      <c r="S3184" s="249"/>
      <c r="T3184" s="330"/>
      <c r="U3184" s="250"/>
      <c r="V3184" s="249"/>
      <c r="W3184" s="330"/>
      <c r="X3184" s="343"/>
      <c r="Y3184" s="249"/>
      <c r="Z3184" s="330"/>
      <c r="AA3184" s="343"/>
      <c r="AB3184" s="249"/>
      <c r="AC3184" s="330"/>
      <c r="AD3184" s="343"/>
      <c r="AE3184" s="249"/>
      <c r="AF3184" s="330"/>
      <c r="AG3184" s="343"/>
      <c r="AH3184" s="249"/>
      <c r="AI3184" s="330"/>
      <c r="AJ3184" s="343"/>
      <c r="AK3184" s="249"/>
      <c r="AL3184" s="330"/>
      <c r="AM3184" s="343"/>
      <c r="AN3184" s="249"/>
      <c r="AO3184" s="330"/>
      <c r="AP3184" s="343"/>
      <c r="AQ3184" s="249"/>
      <c r="AR3184" s="330"/>
      <c r="AS3184" s="343"/>
      <c r="AT3184" s="249"/>
      <c r="AU3184" s="330"/>
    </row>
    <row r="3185" spans="2:47">
      <c r="B3185" s="247">
        <f>'Table S2 Compound Identifiers'!C3187</f>
        <v>0</v>
      </c>
      <c r="C3185" s="247">
        <f>COUNTIF($D$6:D3185,"&lt;&gt;"&amp;"")</f>
        <v>3180</v>
      </c>
      <c r="D3185" s="247">
        <f>'Table S2 Compound Identifiers'!B3187</f>
        <v>0</v>
      </c>
      <c r="E3185" s="247"/>
      <c r="F3185" s="248"/>
      <c r="G3185" s="249"/>
      <c r="H3185" s="330"/>
      <c r="I3185" s="328"/>
      <c r="J3185" s="249"/>
      <c r="K3185" s="330"/>
      <c r="L3185" s="250"/>
      <c r="M3185" s="249"/>
      <c r="N3185" s="330"/>
      <c r="O3185" s="250"/>
      <c r="P3185" s="249"/>
      <c r="Q3185" s="330"/>
      <c r="R3185" s="250"/>
      <c r="S3185" s="249"/>
      <c r="T3185" s="330"/>
      <c r="U3185" s="250"/>
      <c r="V3185" s="249"/>
      <c r="W3185" s="330"/>
      <c r="X3185" s="343"/>
      <c r="Y3185" s="249"/>
      <c r="Z3185" s="330"/>
      <c r="AA3185" s="343"/>
      <c r="AB3185" s="249"/>
      <c r="AC3185" s="330"/>
      <c r="AD3185" s="343"/>
      <c r="AE3185" s="249"/>
      <c r="AF3185" s="330"/>
      <c r="AG3185" s="343"/>
      <c r="AH3185" s="249"/>
      <c r="AI3185" s="330"/>
      <c r="AJ3185" s="343"/>
      <c r="AK3185" s="249"/>
      <c r="AL3185" s="330"/>
      <c r="AM3185" s="343"/>
      <c r="AN3185" s="249"/>
      <c r="AO3185" s="330"/>
      <c r="AP3185" s="343"/>
      <c r="AQ3185" s="249"/>
      <c r="AR3185" s="330"/>
      <c r="AS3185" s="343"/>
      <c r="AT3185" s="249"/>
      <c r="AU3185" s="330"/>
    </row>
    <row r="3186" spans="2:47">
      <c r="B3186" s="247">
        <f>'Table S2 Compound Identifiers'!C3188</f>
        <v>0</v>
      </c>
      <c r="C3186" s="247">
        <f>COUNTIF($D$6:D3186,"&lt;&gt;"&amp;"")</f>
        <v>3181</v>
      </c>
      <c r="D3186" s="247">
        <f>'Table S2 Compound Identifiers'!B3188</f>
        <v>0</v>
      </c>
      <c r="E3186" s="247"/>
      <c r="F3186" s="248"/>
      <c r="G3186" s="249"/>
      <c r="H3186" s="330"/>
      <c r="I3186" s="328"/>
      <c r="J3186" s="249"/>
      <c r="K3186" s="330"/>
      <c r="L3186" s="250"/>
      <c r="M3186" s="249"/>
      <c r="N3186" s="330"/>
      <c r="O3186" s="251"/>
      <c r="P3186" s="252"/>
      <c r="Q3186" s="330"/>
      <c r="R3186" s="251"/>
      <c r="S3186" s="252"/>
      <c r="T3186" s="330"/>
      <c r="U3186" s="251"/>
      <c r="V3186" s="252"/>
      <c r="W3186" s="330"/>
      <c r="X3186" s="343"/>
      <c r="Y3186" s="249"/>
      <c r="Z3186" s="330"/>
      <c r="AA3186" s="343"/>
      <c r="AB3186" s="249"/>
      <c r="AC3186" s="330"/>
      <c r="AD3186" s="343"/>
      <c r="AE3186" s="249"/>
      <c r="AF3186" s="330"/>
      <c r="AG3186" s="343"/>
      <c r="AH3186" s="249"/>
      <c r="AI3186" s="330"/>
      <c r="AJ3186" s="343"/>
      <c r="AK3186" s="249"/>
      <c r="AL3186" s="330"/>
      <c r="AM3186" s="343"/>
      <c r="AN3186" s="249"/>
      <c r="AO3186" s="330"/>
      <c r="AP3186" s="343"/>
      <c r="AQ3186" s="249"/>
      <c r="AR3186" s="330"/>
      <c r="AS3186" s="343"/>
      <c r="AT3186" s="249"/>
      <c r="AU3186" s="330"/>
    </row>
    <row r="3187" spans="2:47">
      <c r="B3187" s="247">
        <f>'Table S2 Compound Identifiers'!C3189</f>
        <v>0</v>
      </c>
      <c r="C3187" s="253">
        <f>COUNTIF($D$6:D3187,"&lt;&gt;"&amp;"")</f>
        <v>3182</v>
      </c>
      <c r="D3187" s="253">
        <f>'Table S2 Compound Identifiers'!B3189</f>
        <v>0</v>
      </c>
      <c r="E3187" s="253"/>
      <c r="F3187" s="254"/>
      <c r="G3187" s="252"/>
      <c r="H3187" s="330"/>
      <c r="I3187" s="333"/>
      <c r="J3187" s="252"/>
      <c r="K3187" s="330"/>
      <c r="L3187" s="251"/>
      <c r="M3187" s="252"/>
      <c r="N3187" s="330"/>
      <c r="O3187" s="251"/>
      <c r="P3187" s="252"/>
      <c r="Q3187" s="330"/>
      <c r="R3187" s="251"/>
      <c r="S3187" s="252"/>
      <c r="T3187" s="330"/>
      <c r="U3187" s="251"/>
      <c r="V3187" s="252"/>
      <c r="W3187" s="330"/>
      <c r="X3187" s="343"/>
      <c r="Y3187" s="249"/>
      <c r="Z3187" s="330"/>
      <c r="AA3187" s="343"/>
      <c r="AB3187" s="249"/>
      <c r="AC3187" s="330"/>
      <c r="AD3187" s="343"/>
      <c r="AE3187" s="249"/>
      <c r="AF3187" s="330"/>
      <c r="AG3187" s="343"/>
      <c r="AH3187" s="249"/>
      <c r="AI3187" s="330"/>
      <c r="AJ3187" s="343"/>
      <c r="AK3187" s="249"/>
      <c r="AL3187" s="330"/>
      <c r="AM3187" s="343"/>
      <c r="AN3187" s="249"/>
      <c r="AO3187" s="330"/>
      <c r="AP3187" s="343"/>
      <c r="AQ3187" s="249"/>
      <c r="AR3187" s="330"/>
      <c r="AS3187" s="343"/>
      <c r="AT3187" s="249"/>
      <c r="AU3187" s="330"/>
    </row>
    <row r="3188" spans="2:47">
      <c r="B3188" s="247">
        <f>'Table S2 Compound Identifiers'!C3190</f>
        <v>0</v>
      </c>
      <c r="C3188" s="247">
        <f>COUNTIF($D$6:D3188,"&lt;&gt;"&amp;"")</f>
        <v>3183</v>
      </c>
      <c r="D3188" s="247">
        <f>'Table S2 Compound Identifiers'!B3190</f>
        <v>0</v>
      </c>
      <c r="E3188" s="247"/>
      <c r="F3188" s="248"/>
      <c r="G3188" s="250"/>
      <c r="H3188" s="330"/>
      <c r="I3188" s="343"/>
      <c r="J3188" s="249"/>
      <c r="K3188" s="327"/>
      <c r="L3188" s="343"/>
      <c r="M3188" s="249"/>
      <c r="N3188" s="327"/>
      <c r="O3188" s="343"/>
      <c r="P3188" s="249"/>
      <c r="Q3188" s="327"/>
      <c r="R3188" s="343"/>
      <c r="S3188" s="249"/>
      <c r="T3188" s="327"/>
      <c r="U3188" s="343"/>
      <c r="V3188" s="249"/>
      <c r="W3188" s="327"/>
      <c r="X3188" s="343"/>
      <c r="Y3188" s="249"/>
      <c r="Z3188" s="327"/>
      <c r="AA3188" s="343"/>
      <c r="AB3188" s="249"/>
      <c r="AC3188" s="343"/>
      <c r="AD3188" s="343"/>
      <c r="AE3188" s="249"/>
      <c r="AF3188" s="249"/>
      <c r="AG3188" s="343"/>
      <c r="AH3188" s="249"/>
      <c r="AI3188" s="343"/>
      <c r="AJ3188" s="343"/>
      <c r="AK3188" s="249"/>
      <c r="AL3188" s="249"/>
      <c r="AM3188" s="343"/>
      <c r="AN3188" s="249"/>
      <c r="AO3188" s="343"/>
      <c r="AP3188" s="343"/>
      <c r="AQ3188" s="249"/>
      <c r="AR3188" s="249"/>
      <c r="AS3188" s="343"/>
      <c r="AT3188" s="249"/>
      <c r="AU3188" s="343"/>
    </row>
    <row r="3189" spans="2:47">
      <c r="B3189" s="247">
        <f>'Table S2 Compound Identifiers'!C3191</f>
        <v>0</v>
      </c>
      <c r="C3189" s="247">
        <f>COUNTIF($D$6:D3189,"&lt;&gt;"&amp;"")</f>
        <v>3184</v>
      </c>
      <c r="D3189" s="247">
        <f>'Table S2 Compound Identifiers'!B3191</f>
        <v>0</v>
      </c>
      <c r="E3189" s="247"/>
      <c r="F3189" s="248"/>
      <c r="G3189" s="249"/>
      <c r="H3189" s="330"/>
      <c r="I3189" s="332"/>
      <c r="J3189" s="330"/>
      <c r="K3189" s="330"/>
      <c r="L3189" s="330"/>
      <c r="M3189" s="330"/>
      <c r="N3189" s="330"/>
      <c r="O3189" s="330"/>
      <c r="P3189" s="330"/>
      <c r="Q3189" s="330"/>
      <c r="R3189" s="330"/>
      <c r="S3189" s="330"/>
      <c r="T3189" s="330"/>
      <c r="U3189" s="330"/>
      <c r="V3189" s="330"/>
      <c r="W3189" s="330"/>
      <c r="X3189" s="343"/>
      <c r="Y3189" s="249"/>
      <c r="Z3189" s="330"/>
      <c r="AA3189" s="343"/>
      <c r="AB3189" s="249"/>
      <c r="AC3189" s="330"/>
      <c r="AD3189" s="343"/>
      <c r="AE3189" s="249"/>
      <c r="AF3189" s="330"/>
      <c r="AG3189" s="343"/>
      <c r="AH3189" s="249"/>
      <c r="AI3189" s="330"/>
      <c r="AJ3189" s="343"/>
      <c r="AK3189" s="249"/>
      <c r="AL3189" s="330"/>
      <c r="AM3189" s="343"/>
      <c r="AN3189" s="249"/>
      <c r="AO3189" s="330"/>
      <c r="AP3189" s="343"/>
      <c r="AQ3189" s="249"/>
      <c r="AR3189" s="330"/>
      <c r="AS3189" s="343"/>
      <c r="AT3189" s="249"/>
      <c r="AU3189" s="330"/>
    </row>
    <row r="3190" spans="2:47">
      <c r="B3190" s="247">
        <f>'Table S2 Compound Identifiers'!C3192</f>
        <v>0</v>
      </c>
      <c r="C3190" s="247">
        <f>COUNTIF($D$6:D3190,"&lt;&gt;"&amp;"")</f>
        <v>3185</v>
      </c>
      <c r="D3190" s="247">
        <f>'Table S2 Compound Identifiers'!B3192</f>
        <v>0</v>
      </c>
      <c r="E3190" s="247"/>
      <c r="F3190" s="248"/>
      <c r="G3190" s="249"/>
      <c r="H3190" s="330"/>
      <c r="I3190" s="332"/>
      <c r="J3190" s="330"/>
      <c r="K3190" s="330"/>
      <c r="L3190" s="330"/>
      <c r="M3190" s="330"/>
      <c r="N3190" s="330"/>
      <c r="O3190" s="330"/>
      <c r="P3190" s="330"/>
      <c r="Q3190" s="330"/>
      <c r="R3190" s="330"/>
      <c r="S3190" s="330"/>
      <c r="T3190" s="330"/>
      <c r="U3190" s="330"/>
      <c r="V3190" s="330"/>
      <c r="W3190" s="330"/>
      <c r="X3190" s="343"/>
      <c r="Y3190" s="249"/>
      <c r="Z3190" s="330"/>
      <c r="AA3190" s="343"/>
      <c r="AB3190" s="249"/>
      <c r="AC3190" s="330"/>
      <c r="AD3190" s="343"/>
      <c r="AE3190" s="249"/>
      <c r="AF3190" s="330"/>
      <c r="AG3190" s="343"/>
      <c r="AH3190" s="249"/>
      <c r="AI3190" s="330"/>
      <c r="AJ3190" s="343"/>
      <c r="AK3190" s="249"/>
      <c r="AL3190" s="330"/>
      <c r="AM3190" s="343"/>
      <c r="AN3190" s="249"/>
      <c r="AO3190" s="330"/>
      <c r="AP3190" s="343"/>
      <c r="AQ3190" s="249"/>
      <c r="AR3190" s="330"/>
      <c r="AS3190" s="343"/>
      <c r="AT3190" s="249"/>
      <c r="AU3190" s="330"/>
    </row>
    <row r="3191" spans="2:47">
      <c r="B3191" s="247">
        <f>'Table S2 Compound Identifiers'!C3193</f>
        <v>0</v>
      </c>
      <c r="C3191" s="247">
        <f>COUNTIF($D$6:D3191,"&lt;&gt;"&amp;"")</f>
        <v>3186</v>
      </c>
      <c r="D3191" s="247">
        <f>'Table S2 Compound Identifiers'!B3193</f>
        <v>0</v>
      </c>
      <c r="E3191" s="247"/>
      <c r="F3191" s="248"/>
      <c r="G3191" s="249"/>
      <c r="H3191" s="330"/>
      <c r="I3191" s="332"/>
      <c r="J3191" s="330"/>
      <c r="K3191" s="330"/>
      <c r="L3191" s="330"/>
      <c r="M3191" s="330"/>
      <c r="N3191" s="330"/>
      <c r="O3191" s="330"/>
      <c r="P3191" s="330"/>
      <c r="Q3191" s="330"/>
      <c r="R3191" s="330"/>
      <c r="S3191" s="330"/>
      <c r="T3191" s="330"/>
      <c r="U3191" s="330"/>
      <c r="V3191" s="330"/>
      <c r="W3191" s="330"/>
      <c r="X3191" s="343"/>
      <c r="Y3191" s="249"/>
      <c r="Z3191" s="330"/>
      <c r="AA3191" s="343"/>
      <c r="AB3191" s="249"/>
      <c r="AC3191" s="330"/>
      <c r="AD3191" s="343"/>
      <c r="AE3191" s="249"/>
      <c r="AF3191" s="330"/>
      <c r="AG3191" s="343"/>
      <c r="AH3191" s="249"/>
      <c r="AI3191" s="330"/>
      <c r="AJ3191" s="343"/>
      <c r="AK3191" s="249"/>
      <c r="AL3191" s="330"/>
      <c r="AM3191" s="343"/>
      <c r="AN3191" s="249"/>
      <c r="AO3191" s="330"/>
      <c r="AP3191" s="343"/>
      <c r="AQ3191" s="249"/>
      <c r="AR3191" s="330"/>
      <c r="AS3191" s="343"/>
      <c r="AT3191" s="249"/>
      <c r="AU3191" s="330"/>
    </row>
    <row r="3192" spans="2:47">
      <c r="B3192" s="247">
        <f>'Table S2 Compound Identifiers'!C3194</f>
        <v>0</v>
      </c>
      <c r="C3192" s="247">
        <f>COUNTIF($D$6:D3192,"&lt;&gt;"&amp;"")</f>
        <v>3187</v>
      </c>
      <c r="D3192" s="247">
        <f>'Table S2 Compound Identifiers'!B3194</f>
        <v>0</v>
      </c>
      <c r="E3192" s="247"/>
      <c r="F3192" s="248"/>
      <c r="G3192" s="249"/>
      <c r="H3192" s="330"/>
      <c r="I3192" s="328"/>
      <c r="J3192" s="249"/>
      <c r="K3192" s="330"/>
      <c r="L3192" s="250"/>
      <c r="M3192" s="249"/>
      <c r="N3192" s="330"/>
      <c r="O3192" s="250"/>
      <c r="P3192" s="249"/>
      <c r="Q3192" s="330"/>
      <c r="R3192" s="250"/>
      <c r="S3192" s="249"/>
      <c r="T3192" s="330"/>
      <c r="U3192" s="250"/>
      <c r="V3192" s="249"/>
      <c r="W3192" s="330"/>
      <c r="X3192" s="343"/>
      <c r="Y3192" s="249"/>
      <c r="Z3192" s="330"/>
      <c r="AA3192" s="343"/>
      <c r="AB3192" s="249"/>
      <c r="AC3192" s="330"/>
      <c r="AD3192" s="343"/>
      <c r="AE3192" s="249"/>
      <c r="AF3192" s="330"/>
      <c r="AG3192" s="343"/>
      <c r="AH3192" s="249"/>
      <c r="AI3192" s="330"/>
      <c r="AJ3192" s="343"/>
      <c r="AK3192" s="249"/>
      <c r="AL3192" s="330"/>
      <c r="AM3192" s="343"/>
      <c r="AN3192" s="249"/>
      <c r="AO3192" s="330"/>
      <c r="AP3192" s="343"/>
      <c r="AQ3192" s="249"/>
      <c r="AR3192" s="330"/>
      <c r="AS3192" s="343"/>
      <c r="AT3192" s="249"/>
      <c r="AU3192" s="330"/>
    </row>
    <row r="3193" spans="2:47">
      <c r="B3193" s="247">
        <f>'Table S2 Compound Identifiers'!C3195</f>
        <v>0</v>
      </c>
      <c r="C3193" s="247">
        <f>COUNTIF($D$6:D3193,"&lt;&gt;"&amp;"")</f>
        <v>3188</v>
      </c>
      <c r="D3193" s="247">
        <f>'Table S2 Compound Identifiers'!B3195</f>
        <v>0</v>
      </c>
      <c r="E3193" s="247"/>
      <c r="F3193" s="248"/>
      <c r="G3193" s="249"/>
      <c r="H3193" s="330"/>
      <c r="I3193" s="328"/>
      <c r="J3193" s="249"/>
      <c r="K3193" s="330"/>
      <c r="L3193" s="250"/>
      <c r="M3193" s="249"/>
      <c r="N3193" s="330"/>
      <c r="O3193" s="250"/>
      <c r="P3193" s="249"/>
      <c r="Q3193" s="330"/>
      <c r="R3193" s="250"/>
      <c r="S3193" s="249"/>
      <c r="T3193" s="330"/>
      <c r="U3193" s="250"/>
      <c r="V3193" s="249"/>
      <c r="W3193" s="330"/>
      <c r="X3193" s="343"/>
      <c r="Y3193" s="249"/>
      <c r="Z3193" s="330"/>
      <c r="AA3193" s="343"/>
      <c r="AB3193" s="249"/>
      <c r="AC3193" s="330"/>
      <c r="AD3193" s="343"/>
      <c r="AE3193" s="249"/>
      <c r="AF3193" s="330"/>
      <c r="AG3193" s="343"/>
      <c r="AH3193" s="249"/>
      <c r="AI3193" s="330"/>
      <c r="AJ3193" s="343"/>
      <c r="AK3193" s="249"/>
      <c r="AL3193" s="330"/>
      <c r="AM3193" s="343"/>
      <c r="AN3193" s="249"/>
      <c r="AO3193" s="330"/>
      <c r="AP3193" s="343"/>
      <c r="AQ3193" s="249"/>
      <c r="AR3193" s="330"/>
      <c r="AS3193" s="343"/>
      <c r="AT3193" s="249"/>
      <c r="AU3193" s="330"/>
    </row>
    <row r="3194" spans="2:47">
      <c r="B3194" s="247">
        <f>'Table S2 Compound Identifiers'!C3196</f>
        <v>0</v>
      </c>
      <c r="C3194" s="247">
        <f>COUNTIF($D$6:D3194,"&lt;&gt;"&amp;"")</f>
        <v>3189</v>
      </c>
      <c r="D3194" s="247">
        <f>'Table S2 Compound Identifiers'!B3196</f>
        <v>0</v>
      </c>
      <c r="E3194" s="247"/>
      <c r="F3194" s="248"/>
      <c r="G3194" s="249"/>
      <c r="H3194" s="330"/>
      <c r="I3194" s="328"/>
      <c r="J3194" s="249"/>
      <c r="K3194" s="330"/>
      <c r="L3194" s="250"/>
      <c r="M3194" s="249"/>
      <c r="N3194" s="330"/>
      <c r="O3194" s="250"/>
      <c r="P3194" s="249"/>
      <c r="Q3194" s="330"/>
      <c r="R3194" s="250"/>
      <c r="S3194" s="249"/>
      <c r="T3194" s="330"/>
      <c r="U3194" s="250"/>
      <c r="V3194" s="249"/>
      <c r="W3194" s="330"/>
      <c r="X3194" s="343"/>
      <c r="Y3194" s="249"/>
      <c r="Z3194" s="330"/>
      <c r="AA3194" s="343"/>
      <c r="AB3194" s="249"/>
      <c r="AC3194" s="330"/>
      <c r="AD3194" s="343"/>
      <c r="AE3194" s="249"/>
      <c r="AF3194" s="330"/>
      <c r="AG3194" s="343"/>
      <c r="AH3194" s="249"/>
      <c r="AI3194" s="330"/>
      <c r="AJ3194" s="343"/>
      <c r="AK3194" s="249"/>
      <c r="AL3194" s="330"/>
      <c r="AM3194" s="343"/>
      <c r="AN3194" s="249"/>
      <c r="AO3194" s="330"/>
      <c r="AP3194" s="343"/>
      <c r="AQ3194" s="249"/>
      <c r="AR3194" s="330"/>
      <c r="AS3194" s="343"/>
      <c r="AT3194" s="249"/>
      <c r="AU3194" s="330"/>
    </row>
    <row r="3195" spans="2:47">
      <c r="B3195" s="247">
        <f>'Table S2 Compound Identifiers'!C3197</f>
        <v>0</v>
      </c>
      <c r="C3195" s="247">
        <f>COUNTIF($D$6:D3195,"&lt;&gt;"&amp;"")</f>
        <v>3190</v>
      </c>
      <c r="D3195" s="247">
        <f>'Table S2 Compound Identifiers'!B3197</f>
        <v>0</v>
      </c>
      <c r="E3195" s="247"/>
      <c r="F3195" s="248"/>
      <c r="G3195" s="249"/>
      <c r="H3195" s="330"/>
      <c r="I3195" s="328"/>
      <c r="J3195" s="249"/>
      <c r="K3195" s="330"/>
      <c r="L3195" s="250"/>
      <c r="M3195" s="249"/>
      <c r="N3195" s="330"/>
      <c r="O3195" s="250"/>
      <c r="P3195" s="249"/>
      <c r="Q3195" s="330"/>
      <c r="R3195" s="250"/>
      <c r="S3195" s="249"/>
      <c r="T3195" s="330"/>
      <c r="U3195" s="250"/>
      <c r="V3195" s="249"/>
      <c r="W3195" s="330"/>
      <c r="X3195" s="343"/>
      <c r="Y3195" s="249"/>
      <c r="Z3195" s="330"/>
      <c r="AA3195" s="343"/>
      <c r="AB3195" s="249"/>
      <c r="AC3195" s="330"/>
      <c r="AD3195" s="343"/>
      <c r="AE3195" s="249"/>
      <c r="AF3195" s="330"/>
      <c r="AG3195" s="343"/>
      <c r="AH3195" s="249"/>
      <c r="AI3195" s="330"/>
      <c r="AJ3195" s="343"/>
      <c r="AK3195" s="249"/>
      <c r="AL3195" s="330"/>
      <c r="AM3195" s="343"/>
      <c r="AN3195" s="249"/>
      <c r="AO3195" s="330"/>
      <c r="AP3195" s="343"/>
      <c r="AQ3195" s="249"/>
      <c r="AR3195" s="330"/>
      <c r="AS3195" s="343"/>
      <c r="AT3195" s="249"/>
      <c r="AU3195" s="330"/>
    </row>
    <row r="3196" spans="2:47">
      <c r="B3196" s="247">
        <f>'Table S2 Compound Identifiers'!C3198</f>
        <v>0</v>
      </c>
      <c r="C3196" s="247">
        <f>COUNTIF($D$6:D3196,"&lt;&gt;"&amp;"")</f>
        <v>3191</v>
      </c>
      <c r="D3196" s="247">
        <f>'Table S2 Compound Identifiers'!B3198</f>
        <v>0</v>
      </c>
      <c r="E3196" s="247"/>
      <c r="F3196" s="248"/>
      <c r="G3196" s="249"/>
      <c r="H3196" s="330"/>
      <c r="I3196" s="328"/>
      <c r="J3196" s="249"/>
      <c r="K3196" s="330"/>
      <c r="L3196" s="250"/>
      <c r="M3196" s="249"/>
      <c r="N3196" s="330"/>
      <c r="O3196" s="250"/>
      <c r="P3196" s="249"/>
      <c r="Q3196" s="330"/>
      <c r="R3196" s="250"/>
      <c r="S3196" s="249"/>
      <c r="T3196" s="330"/>
      <c r="U3196" s="250"/>
      <c r="V3196" s="249"/>
      <c r="W3196" s="330"/>
      <c r="X3196" s="343"/>
      <c r="Y3196" s="249"/>
      <c r="Z3196" s="330"/>
      <c r="AA3196" s="343"/>
      <c r="AB3196" s="249"/>
      <c r="AC3196" s="330"/>
      <c r="AD3196" s="343"/>
      <c r="AE3196" s="249"/>
      <c r="AF3196" s="330"/>
      <c r="AG3196" s="343"/>
      <c r="AH3196" s="249"/>
      <c r="AI3196" s="330"/>
      <c r="AJ3196" s="343"/>
      <c r="AK3196" s="249"/>
      <c r="AL3196" s="330"/>
      <c r="AM3196" s="343"/>
      <c r="AN3196" s="249"/>
      <c r="AO3196" s="330"/>
      <c r="AP3196" s="343"/>
      <c r="AQ3196" s="249"/>
      <c r="AR3196" s="330"/>
      <c r="AS3196" s="343"/>
      <c r="AT3196" s="249"/>
      <c r="AU3196" s="330"/>
    </row>
    <row r="3197" spans="2:47">
      <c r="B3197" s="247">
        <f>'Table S2 Compound Identifiers'!C3199</f>
        <v>0</v>
      </c>
      <c r="C3197" s="247">
        <f>COUNTIF($D$6:D3197,"&lt;&gt;"&amp;"")</f>
        <v>3192</v>
      </c>
      <c r="D3197" s="247">
        <f>'Table S2 Compound Identifiers'!B3199</f>
        <v>0</v>
      </c>
      <c r="E3197" s="247"/>
      <c r="F3197" s="248"/>
      <c r="G3197" s="249"/>
      <c r="H3197" s="330"/>
      <c r="I3197" s="328"/>
      <c r="J3197" s="249"/>
      <c r="K3197" s="330"/>
      <c r="L3197" s="250"/>
      <c r="M3197" s="249"/>
      <c r="N3197" s="330"/>
      <c r="O3197" s="250"/>
      <c r="P3197" s="249"/>
      <c r="Q3197" s="330"/>
      <c r="R3197" s="250"/>
      <c r="S3197" s="249"/>
      <c r="T3197" s="330"/>
      <c r="U3197" s="250"/>
      <c r="V3197" s="249"/>
      <c r="W3197" s="330"/>
      <c r="X3197" s="343"/>
      <c r="Y3197" s="249"/>
      <c r="Z3197" s="330"/>
      <c r="AA3197" s="343"/>
      <c r="AB3197" s="249"/>
      <c r="AC3197" s="330"/>
      <c r="AD3197" s="343"/>
      <c r="AE3197" s="249"/>
      <c r="AF3197" s="330"/>
      <c r="AG3197" s="343"/>
      <c r="AH3197" s="249"/>
      <c r="AI3197" s="330"/>
      <c r="AJ3197" s="343"/>
      <c r="AK3197" s="249"/>
      <c r="AL3197" s="330"/>
      <c r="AM3197" s="343"/>
      <c r="AN3197" s="249"/>
      <c r="AO3197" s="330"/>
      <c r="AP3197" s="343"/>
      <c r="AQ3197" s="249"/>
      <c r="AR3197" s="330"/>
      <c r="AS3197" s="343"/>
      <c r="AT3197" s="249"/>
      <c r="AU3197" s="330"/>
    </row>
    <row r="3198" spans="2:47">
      <c r="B3198" s="247">
        <f>'Table S2 Compound Identifiers'!C3200</f>
        <v>0</v>
      </c>
      <c r="C3198" s="247">
        <f>COUNTIF($D$6:D3198,"&lt;&gt;"&amp;"")</f>
        <v>3193</v>
      </c>
      <c r="D3198" s="247">
        <f>'Table S2 Compound Identifiers'!B3200</f>
        <v>0</v>
      </c>
      <c r="E3198" s="247"/>
      <c r="F3198" s="248"/>
      <c r="G3198" s="249"/>
      <c r="H3198" s="330"/>
      <c r="I3198" s="328"/>
      <c r="J3198" s="249"/>
      <c r="K3198" s="330"/>
      <c r="L3198" s="250"/>
      <c r="M3198" s="249"/>
      <c r="N3198" s="330"/>
      <c r="O3198" s="250"/>
      <c r="P3198" s="249"/>
      <c r="Q3198" s="330"/>
      <c r="R3198" s="250"/>
      <c r="S3198" s="249"/>
      <c r="T3198" s="330"/>
      <c r="U3198" s="250"/>
      <c r="V3198" s="249"/>
      <c r="W3198" s="330"/>
      <c r="X3198" s="343"/>
      <c r="Y3198" s="249"/>
      <c r="Z3198" s="330"/>
      <c r="AA3198" s="343"/>
      <c r="AB3198" s="249"/>
      <c r="AC3198" s="330"/>
      <c r="AD3198" s="343"/>
      <c r="AE3198" s="249"/>
      <c r="AF3198" s="330"/>
      <c r="AG3198" s="343"/>
      <c r="AH3198" s="249"/>
      <c r="AI3198" s="330"/>
      <c r="AJ3198" s="343"/>
      <c r="AK3198" s="249"/>
      <c r="AL3198" s="330"/>
      <c r="AM3198" s="343"/>
      <c r="AN3198" s="249"/>
      <c r="AO3198" s="330"/>
      <c r="AP3198" s="343"/>
      <c r="AQ3198" s="249"/>
      <c r="AR3198" s="330"/>
      <c r="AS3198" s="343"/>
      <c r="AT3198" s="249"/>
      <c r="AU3198" s="330"/>
    </row>
    <row r="3199" spans="2:47">
      <c r="B3199" s="247">
        <f>'Table S2 Compound Identifiers'!C3201</f>
        <v>0</v>
      </c>
      <c r="C3199" s="247">
        <f>COUNTIF($D$6:D3199,"&lt;&gt;"&amp;"")</f>
        <v>3194</v>
      </c>
      <c r="D3199" s="247">
        <f>'Table S2 Compound Identifiers'!B3201</f>
        <v>0</v>
      </c>
      <c r="E3199" s="247"/>
      <c r="F3199" s="248"/>
      <c r="G3199" s="249"/>
      <c r="H3199" s="330"/>
      <c r="I3199" s="328"/>
      <c r="J3199" s="249"/>
      <c r="K3199" s="330"/>
      <c r="L3199" s="250"/>
      <c r="M3199" s="249"/>
      <c r="N3199" s="330"/>
      <c r="O3199" s="250"/>
      <c r="P3199" s="249"/>
      <c r="Q3199" s="330"/>
      <c r="R3199" s="250"/>
      <c r="S3199" s="249"/>
      <c r="T3199" s="330"/>
      <c r="U3199" s="250"/>
      <c r="V3199" s="249"/>
      <c r="W3199" s="330"/>
      <c r="X3199" s="343"/>
      <c r="Y3199" s="249"/>
      <c r="Z3199" s="330"/>
      <c r="AA3199" s="343"/>
      <c r="AB3199" s="249"/>
      <c r="AC3199" s="330"/>
      <c r="AD3199" s="343"/>
      <c r="AE3199" s="249"/>
      <c r="AF3199" s="330"/>
      <c r="AG3199" s="343"/>
      <c r="AH3199" s="249"/>
      <c r="AI3199" s="330"/>
      <c r="AJ3199" s="343"/>
      <c r="AK3199" s="249"/>
      <c r="AL3199" s="330"/>
      <c r="AM3199" s="343"/>
      <c r="AN3199" s="249"/>
      <c r="AO3199" s="330"/>
      <c r="AP3199" s="343"/>
      <c r="AQ3199" s="249"/>
      <c r="AR3199" s="330"/>
      <c r="AS3199" s="343"/>
      <c r="AT3199" s="249"/>
      <c r="AU3199" s="330"/>
    </row>
    <row r="3200" spans="2:47">
      <c r="B3200" s="247">
        <f>'Table S2 Compound Identifiers'!C3202</f>
        <v>0</v>
      </c>
      <c r="C3200" s="247">
        <f>COUNTIF($D$6:D3200,"&lt;&gt;"&amp;"")</f>
        <v>3195</v>
      </c>
      <c r="D3200" s="247">
        <f>'Table S2 Compound Identifiers'!B3202</f>
        <v>0</v>
      </c>
      <c r="E3200" s="247"/>
      <c r="F3200" s="248"/>
      <c r="G3200" s="249"/>
      <c r="H3200" s="330"/>
      <c r="I3200" s="328"/>
      <c r="J3200" s="249"/>
      <c r="K3200" s="330"/>
      <c r="L3200" s="250"/>
      <c r="M3200" s="249"/>
      <c r="N3200" s="330"/>
      <c r="O3200" s="250"/>
      <c r="P3200" s="249"/>
      <c r="Q3200" s="330"/>
      <c r="R3200" s="250"/>
      <c r="S3200" s="249"/>
      <c r="T3200" s="330"/>
      <c r="U3200" s="250"/>
      <c r="V3200" s="249"/>
      <c r="W3200" s="330"/>
      <c r="X3200" s="343"/>
      <c r="Y3200" s="249"/>
      <c r="Z3200" s="330"/>
      <c r="AA3200" s="343"/>
      <c r="AB3200" s="249"/>
      <c r="AC3200" s="330"/>
      <c r="AD3200" s="343"/>
      <c r="AE3200" s="249"/>
      <c r="AF3200" s="330"/>
      <c r="AG3200" s="343"/>
      <c r="AH3200" s="249"/>
      <c r="AI3200" s="330"/>
      <c r="AJ3200" s="343"/>
      <c r="AK3200" s="249"/>
      <c r="AL3200" s="330"/>
      <c r="AM3200" s="343"/>
      <c r="AN3200" s="249"/>
      <c r="AO3200" s="330"/>
      <c r="AP3200" s="343"/>
      <c r="AQ3200" s="249"/>
      <c r="AR3200" s="330"/>
      <c r="AS3200" s="343"/>
      <c r="AT3200" s="249"/>
      <c r="AU3200" s="330"/>
    </row>
    <row r="3201" spans="2:47">
      <c r="B3201" s="247">
        <f>'Table S2 Compound Identifiers'!C3203</f>
        <v>0</v>
      </c>
      <c r="C3201" s="247">
        <f>COUNTIF($D$6:D3201,"&lt;&gt;"&amp;"")</f>
        <v>3196</v>
      </c>
      <c r="D3201" s="247">
        <f>'Table S2 Compound Identifiers'!B3203</f>
        <v>0</v>
      </c>
      <c r="E3201" s="247"/>
      <c r="F3201" s="248"/>
      <c r="G3201" s="249"/>
      <c r="H3201" s="330"/>
      <c r="I3201" s="328"/>
      <c r="J3201" s="249"/>
      <c r="K3201" s="330"/>
      <c r="L3201" s="250"/>
      <c r="M3201" s="249"/>
      <c r="N3201" s="330"/>
      <c r="O3201" s="250"/>
      <c r="P3201" s="249"/>
      <c r="Q3201" s="330"/>
      <c r="R3201" s="250"/>
      <c r="S3201" s="249"/>
      <c r="T3201" s="330"/>
      <c r="U3201" s="250"/>
      <c r="V3201" s="249"/>
      <c r="W3201" s="330"/>
      <c r="X3201" s="343"/>
      <c r="Y3201" s="249"/>
      <c r="Z3201" s="330"/>
      <c r="AA3201" s="343"/>
      <c r="AB3201" s="249"/>
      <c r="AC3201" s="330"/>
      <c r="AD3201" s="343"/>
      <c r="AE3201" s="249"/>
      <c r="AF3201" s="330"/>
      <c r="AG3201" s="343"/>
      <c r="AH3201" s="249"/>
      <c r="AI3201" s="330"/>
      <c r="AJ3201" s="343"/>
      <c r="AK3201" s="249"/>
      <c r="AL3201" s="330"/>
      <c r="AM3201" s="343"/>
      <c r="AN3201" s="249"/>
      <c r="AO3201" s="330"/>
      <c r="AP3201" s="343"/>
      <c r="AQ3201" s="249"/>
      <c r="AR3201" s="330"/>
      <c r="AS3201" s="343"/>
      <c r="AT3201" s="249"/>
      <c r="AU3201" s="330"/>
    </row>
    <row r="3202" spans="2:47">
      <c r="B3202" s="247">
        <f>'Table S2 Compound Identifiers'!C3204</f>
        <v>0</v>
      </c>
      <c r="C3202" s="247">
        <f>COUNTIF($D$6:D3202,"&lt;&gt;"&amp;"")</f>
        <v>3197</v>
      </c>
      <c r="D3202" s="247">
        <f>'Table S2 Compound Identifiers'!B3204</f>
        <v>0</v>
      </c>
      <c r="E3202" s="247"/>
      <c r="F3202" s="248"/>
      <c r="G3202" s="249"/>
      <c r="H3202" s="330"/>
      <c r="I3202" s="328"/>
      <c r="J3202" s="249"/>
      <c r="K3202" s="330"/>
      <c r="L3202" s="250"/>
      <c r="M3202" s="249"/>
      <c r="N3202" s="330"/>
      <c r="O3202" s="250"/>
      <c r="P3202" s="249"/>
      <c r="Q3202" s="330"/>
      <c r="R3202" s="250"/>
      <c r="S3202" s="249"/>
      <c r="T3202" s="330"/>
      <c r="U3202" s="250"/>
      <c r="V3202" s="249"/>
      <c r="W3202" s="330"/>
      <c r="X3202" s="343"/>
      <c r="Y3202" s="249"/>
      <c r="Z3202" s="330"/>
      <c r="AA3202" s="343"/>
      <c r="AB3202" s="249"/>
      <c r="AC3202" s="330"/>
      <c r="AD3202" s="343"/>
      <c r="AE3202" s="249"/>
      <c r="AF3202" s="330"/>
      <c r="AG3202" s="343"/>
      <c r="AH3202" s="249"/>
      <c r="AI3202" s="330"/>
      <c r="AJ3202" s="343"/>
      <c r="AK3202" s="249"/>
      <c r="AL3202" s="330"/>
      <c r="AM3202" s="343"/>
      <c r="AN3202" s="249"/>
      <c r="AO3202" s="330"/>
      <c r="AP3202" s="343"/>
      <c r="AQ3202" s="249"/>
      <c r="AR3202" s="330"/>
      <c r="AS3202" s="343"/>
      <c r="AT3202" s="249"/>
      <c r="AU3202" s="330"/>
    </row>
    <row r="3203" spans="2:47">
      <c r="B3203" s="247">
        <f>'Table S2 Compound Identifiers'!C3205</f>
        <v>0</v>
      </c>
      <c r="C3203" s="247">
        <f>COUNTIF($D$6:D3203,"&lt;&gt;"&amp;"")</f>
        <v>3198</v>
      </c>
      <c r="D3203" s="247">
        <f>'Table S2 Compound Identifiers'!B3205</f>
        <v>0</v>
      </c>
      <c r="E3203" s="247"/>
      <c r="F3203" s="248"/>
      <c r="G3203" s="249"/>
      <c r="H3203" s="330"/>
      <c r="I3203" s="328"/>
      <c r="J3203" s="249"/>
      <c r="K3203" s="330"/>
      <c r="L3203" s="250"/>
      <c r="M3203" s="249"/>
      <c r="N3203" s="330"/>
      <c r="O3203" s="250"/>
      <c r="P3203" s="249"/>
      <c r="Q3203" s="330"/>
      <c r="R3203" s="250"/>
      <c r="S3203" s="249"/>
      <c r="T3203" s="330"/>
      <c r="U3203" s="250"/>
      <c r="V3203" s="249"/>
      <c r="W3203" s="330"/>
      <c r="X3203" s="343"/>
      <c r="Y3203" s="249"/>
      <c r="Z3203" s="330"/>
      <c r="AA3203" s="343"/>
      <c r="AB3203" s="249"/>
      <c r="AC3203" s="330"/>
      <c r="AD3203" s="343"/>
      <c r="AE3203" s="249"/>
      <c r="AF3203" s="330"/>
      <c r="AG3203" s="343"/>
      <c r="AH3203" s="249"/>
      <c r="AI3203" s="330"/>
      <c r="AJ3203" s="343"/>
      <c r="AK3203" s="249"/>
      <c r="AL3203" s="330"/>
      <c r="AM3203" s="343"/>
      <c r="AN3203" s="249"/>
      <c r="AO3203" s="330"/>
      <c r="AP3203" s="343"/>
      <c r="AQ3203" s="249"/>
      <c r="AR3203" s="330"/>
      <c r="AS3203" s="343"/>
      <c r="AT3203" s="249"/>
      <c r="AU3203" s="330"/>
    </row>
    <row r="3204" spans="2:47">
      <c r="B3204" s="247">
        <f>'Table S2 Compound Identifiers'!C3206</f>
        <v>0</v>
      </c>
      <c r="C3204" s="247">
        <f>COUNTIF($D$6:D3204,"&lt;&gt;"&amp;"")</f>
        <v>3199</v>
      </c>
      <c r="D3204" s="247">
        <f>'Table S2 Compound Identifiers'!B3206</f>
        <v>0</v>
      </c>
      <c r="E3204" s="247"/>
      <c r="F3204" s="248"/>
      <c r="G3204" s="249"/>
      <c r="H3204" s="330"/>
      <c r="I3204" s="328"/>
      <c r="J3204" s="249"/>
      <c r="K3204" s="330"/>
      <c r="L3204" s="250"/>
      <c r="M3204" s="249"/>
      <c r="N3204" s="330"/>
      <c r="O3204" s="250"/>
      <c r="P3204" s="249"/>
      <c r="Q3204" s="330"/>
      <c r="R3204" s="250"/>
      <c r="S3204" s="249"/>
      <c r="T3204" s="330"/>
      <c r="U3204" s="250"/>
      <c r="V3204" s="249"/>
      <c r="W3204" s="330"/>
      <c r="X3204" s="343"/>
      <c r="Y3204" s="249"/>
      <c r="Z3204" s="330"/>
      <c r="AA3204" s="343"/>
      <c r="AB3204" s="249"/>
      <c r="AC3204" s="330"/>
      <c r="AD3204" s="343"/>
      <c r="AE3204" s="249"/>
      <c r="AF3204" s="330"/>
      <c r="AG3204" s="343"/>
      <c r="AH3204" s="249"/>
      <c r="AI3204" s="330"/>
      <c r="AJ3204" s="343"/>
      <c r="AK3204" s="249"/>
      <c r="AL3204" s="330"/>
      <c r="AM3204" s="343"/>
      <c r="AN3204" s="249"/>
      <c r="AO3204" s="330"/>
      <c r="AP3204" s="343"/>
      <c r="AQ3204" s="249"/>
      <c r="AR3204" s="330"/>
      <c r="AS3204" s="343"/>
      <c r="AT3204" s="249"/>
      <c r="AU3204" s="330"/>
    </row>
    <row r="3205" spans="2:47">
      <c r="B3205" s="247">
        <f>'Table S2 Compound Identifiers'!C3207</f>
        <v>0</v>
      </c>
      <c r="C3205" s="247">
        <f>COUNTIF($D$6:D3205,"&lt;&gt;"&amp;"")</f>
        <v>3200</v>
      </c>
      <c r="D3205" s="247">
        <f>'Table S2 Compound Identifiers'!B3207</f>
        <v>0</v>
      </c>
      <c r="E3205" s="247"/>
      <c r="F3205" s="248"/>
      <c r="G3205" s="249"/>
      <c r="H3205" s="330"/>
      <c r="I3205" s="328"/>
      <c r="J3205" s="249"/>
      <c r="K3205" s="330"/>
      <c r="L3205" s="250"/>
      <c r="M3205" s="249"/>
      <c r="N3205" s="330"/>
      <c r="O3205" s="250"/>
      <c r="P3205" s="249"/>
      <c r="Q3205" s="330"/>
      <c r="R3205" s="250"/>
      <c r="S3205" s="249"/>
      <c r="T3205" s="330"/>
      <c r="U3205" s="250"/>
      <c r="V3205" s="249"/>
      <c r="W3205" s="330"/>
      <c r="X3205" s="343"/>
      <c r="Y3205" s="249"/>
      <c r="Z3205" s="330"/>
      <c r="AA3205" s="343"/>
      <c r="AB3205" s="249"/>
      <c r="AC3205" s="330"/>
      <c r="AD3205" s="343"/>
      <c r="AE3205" s="249"/>
      <c r="AF3205" s="330"/>
      <c r="AG3205" s="343"/>
      <c r="AH3205" s="249"/>
      <c r="AI3205" s="330"/>
      <c r="AJ3205" s="343"/>
      <c r="AK3205" s="249"/>
      <c r="AL3205" s="330"/>
      <c r="AM3205" s="343"/>
      <c r="AN3205" s="249"/>
      <c r="AO3205" s="330"/>
      <c r="AP3205" s="343"/>
      <c r="AQ3205" s="249"/>
      <c r="AR3205" s="330"/>
      <c r="AS3205" s="343"/>
      <c r="AT3205" s="249"/>
      <c r="AU3205" s="330"/>
    </row>
    <row r="3206" spans="2:47">
      <c r="B3206" s="247">
        <f>'Table S2 Compound Identifiers'!C3208</f>
        <v>0</v>
      </c>
      <c r="C3206" s="247">
        <f>COUNTIF($D$6:D3206,"&lt;&gt;"&amp;"")</f>
        <v>3201</v>
      </c>
      <c r="D3206" s="247">
        <f>'Table S2 Compound Identifiers'!B3208</f>
        <v>0</v>
      </c>
      <c r="E3206" s="247"/>
      <c r="F3206" s="248"/>
      <c r="G3206" s="249"/>
      <c r="H3206" s="330"/>
      <c r="I3206" s="328"/>
      <c r="J3206" s="249"/>
      <c r="K3206" s="330"/>
      <c r="L3206" s="250"/>
      <c r="M3206" s="249"/>
      <c r="N3206" s="330"/>
      <c r="O3206" s="250"/>
      <c r="P3206" s="249"/>
      <c r="Q3206" s="330"/>
      <c r="R3206" s="250"/>
      <c r="S3206" s="249"/>
      <c r="T3206" s="330"/>
      <c r="U3206" s="250"/>
      <c r="V3206" s="249"/>
      <c r="W3206" s="330"/>
      <c r="X3206" s="343"/>
      <c r="Y3206" s="249"/>
      <c r="Z3206" s="330"/>
      <c r="AA3206" s="343"/>
      <c r="AB3206" s="249"/>
      <c r="AC3206" s="330"/>
      <c r="AD3206" s="343"/>
      <c r="AE3206" s="249"/>
      <c r="AF3206" s="330"/>
      <c r="AG3206" s="343"/>
      <c r="AH3206" s="249"/>
      <c r="AI3206" s="330"/>
      <c r="AJ3206" s="343"/>
      <c r="AK3206" s="249"/>
      <c r="AL3206" s="330"/>
      <c r="AM3206" s="343"/>
      <c r="AN3206" s="249"/>
      <c r="AO3206" s="330"/>
      <c r="AP3206" s="343"/>
      <c r="AQ3206" s="249"/>
      <c r="AR3206" s="330"/>
      <c r="AS3206" s="343"/>
      <c r="AT3206" s="249"/>
      <c r="AU3206" s="330"/>
    </row>
    <row r="3207" spans="2:47">
      <c r="B3207" s="247">
        <f>'Table S2 Compound Identifiers'!C3209</f>
        <v>0</v>
      </c>
      <c r="C3207" s="247">
        <f>COUNTIF($D$6:D3207,"&lt;&gt;"&amp;"")</f>
        <v>3202</v>
      </c>
      <c r="D3207" s="247">
        <f>'Table S2 Compound Identifiers'!B3209</f>
        <v>0</v>
      </c>
      <c r="E3207" s="247"/>
      <c r="F3207" s="248"/>
      <c r="G3207" s="249"/>
      <c r="H3207" s="330"/>
      <c r="I3207" s="328"/>
      <c r="J3207" s="249"/>
      <c r="K3207" s="330"/>
      <c r="L3207" s="250"/>
      <c r="M3207" s="249"/>
      <c r="N3207" s="330"/>
      <c r="O3207" s="250"/>
      <c r="P3207" s="249"/>
      <c r="Q3207" s="330"/>
      <c r="R3207" s="250"/>
      <c r="S3207" s="249"/>
      <c r="T3207" s="330"/>
      <c r="U3207" s="250"/>
      <c r="V3207" s="249"/>
      <c r="W3207" s="330"/>
      <c r="X3207" s="343"/>
      <c r="Y3207" s="249"/>
      <c r="Z3207" s="330"/>
      <c r="AA3207" s="343"/>
      <c r="AB3207" s="249"/>
      <c r="AC3207" s="330"/>
      <c r="AD3207" s="343"/>
      <c r="AE3207" s="249"/>
      <c r="AF3207" s="330"/>
      <c r="AG3207" s="343"/>
      <c r="AH3207" s="249"/>
      <c r="AI3207" s="330"/>
      <c r="AJ3207" s="343"/>
      <c r="AK3207" s="249"/>
      <c r="AL3207" s="330"/>
      <c r="AM3207" s="343"/>
      <c r="AN3207" s="249"/>
      <c r="AO3207" s="330"/>
      <c r="AP3207" s="343"/>
      <c r="AQ3207" s="249"/>
      <c r="AR3207" s="330"/>
      <c r="AS3207" s="343"/>
      <c r="AT3207" s="249"/>
      <c r="AU3207" s="330"/>
    </row>
    <row r="3208" spans="2:47">
      <c r="B3208" s="247">
        <f>'Table S2 Compound Identifiers'!C3210</f>
        <v>0</v>
      </c>
      <c r="C3208" s="247">
        <f>COUNTIF($D$6:D3208,"&lt;&gt;"&amp;"")</f>
        <v>3203</v>
      </c>
      <c r="D3208" s="247">
        <f>'Table S2 Compound Identifiers'!B3210</f>
        <v>0</v>
      </c>
      <c r="E3208" s="247"/>
      <c r="F3208" s="248"/>
      <c r="G3208" s="249"/>
      <c r="H3208" s="330"/>
      <c r="I3208" s="328"/>
      <c r="J3208" s="249"/>
      <c r="K3208" s="330"/>
      <c r="L3208" s="250"/>
      <c r="M3208" s="249"/>
      <c r="N3208" s="330"/>
      <c r="O3208" s="250"/>
      <c r="P3208" s="249"/>
      <c r="Q3208" s="330"/>
      <c r="R3208" s="250"/>
      <c r="S3208" s="249"/>
      <c r="T3208" s="330"/>
      <c r="U3208" s="250"/>
      <c r="V3208" s="249"/>
      <c r="W3208" s="330"/>
      <c r="X3208" s="343"/>
      <c r="Y3208" s="249"/>
      <c r="Z3208" s="330"/>
      <c r="AA3208" s="343"/>
      <c r="AB3208" s="249"/>
      <c r="AC3208" s="330"/>
      <c r="AD3208" s="343"/>
      <c r="AE3208" s="249"/>
      <c r="AF3208" s="330"/>
      <c r="AG3208" s="343"/>
      <c r="AH3208" s="249"/>
      <c r="AI3208" s="330"/>
      <c r="AJ3208" s="343"/>
      <c r="AK3208" s="249"/>
      <c r="AL3208" s="330"/>
      <c r="AM3208" s="343"/>
      <c r="AN3208" s="249"/>
      <c r="AO3208" s="330"/>
      <c r="AP3208" s="343"/>
      <c r="AQ3208" s="249"/>
      <c r="AR3208" s="330"/>
      <c r="AS3208" s="343"/>
      <c r="AT3208" s="249"/>
      <c r="AU3208" s="330"/>
    </row>
    <row r="3209" spans="2:47">
      <c r="B3209" s="247">
        <f>'Table S2 Compound Identifiers'!C3211</f>
        <v>0</v>
      </c>
      <c r="C3209" s="247">
        <f>COUNTIF($D$6:D3209,"&lt;&gt;"&amp;"")</f>
        <v>3204</v>
      </c>
      <c r="D3209" s="247">
        <f>'Table S2 Compound Identifiers'!B3211</f>
        <v>0</v>
      </c>
      <c r="E3209" s="247"/>
      <c r="F3209" s="248"/>
      <c r="G3209" s="249"/>
      <c r="H3209" s="330"/>
      <c r="I3209" s="328"/>
      <c r="J3209" s="249"/>
      <c r="K3209" s="330"/>
      <c r="L3209" s="250"/>
      <c r="M3209" s="249"/>
      <c r="N3209" s="330"/>
      <c r="O3209" s="250"/>
      <c r="P3209" s="249"/>
      <c r="Q3209" s="330"/>
      <c r="R3209" s="250"/>
      <c r="S3209" s="249"/>
      <c r="T3209" s="330"/>
      <c r="U3209" s="250"/>
      <c r="V3209" s="249"/>
      <c r="W3209" s="330"/>
      <c r="X3209" s="343"/>
      <c r="Y3209" s="249"/>
      <c r="Z3209" s="330"/>
      <c r="AA3209" s="343"/>
      <c r="AB3209" s="249"/>
      <c r="AC3209" s="330"/>
      <c r="AD3209" s="343"/>
      <c r="AE3209" s="249"/>
      <c r="AF3209" s="330"/>
      <c r="AG3209" s="343"/>
      <c r="AH3209" s="249"/>
      <c r="AI3209" s="330"/>
      <c r="AJ3209" s="343"/>
      <c r="AK3209" s="249"/>
      <c r="AL3209" s="330"/>
      <c r="AM3209" s="343"/>
      <c r="AN3209" s="249"/>
      <c r="AO3209" s="330"/>
      <c r="AP3209" s="343"/>
      <c r="AQ3209" s="249"/>
      <c r="AR3209" s="330"/>
      <c r="AS3209" s="343"/>
      <c r="AT3209" s="249"/>
      <c r="AU3209" s="330"/>
    </row>
    <row r="3210" spans="2:47">
      <c r="B3210" s="247">
        <f>'Table S2 Compound Identifiers'!C3212</f>
        <v>0</v>
      </c>
      <c r="C3210" s="247">
        <f>COUNTIF($D$6:D3210,"&lt;&gt;"&amp;"")</f>
        <v>3205</v>
      </c>
      <c r="D3210" s="247">
        <f>'Table S2 Compound Identifiers'!B3212</f>
        <v>0</v>
      </c>
      <c r="E3210" s="247"/>
      <c r="F3210" s="248"/>
      <c r="G3210" s="249"/>
      <c r="H3210" s="330"/>
      <c r="I3210" s="328"/>
      <c r="J3210" s="249"/>
      <c r="K3210" s="330"/>
      <c r="L3210" s="250"/>
      <c r="M3210" s="249"/>
      <c r="N3210" s="330"/>
      <c r="O3210" s="250"/>
      <c r="P3210" s="249"/>
      <c r="Q3210" s="330"/>
      <c r="R3210" s="250"/>
      <c r="S3210" s="249"/>
      <c r="T3210" s="330"/>
      <c r="U3210" s="250"/>
      <c r="V3210" s="249"/>
      <c r="W3210" s="330"/>
      <c r="X3210" s="343"/>
      <c r="Y3210" s="249"/>
      <c r="Z3210" s="330"/>
      <c r="AA3210" s="343"/>
      <c r="AB3210" s="249"/>
      <c r="AC3210" s="330"/>
      <c r="AD3210" s="343"/>
      <c r="AE3210" s="249"/>
      <c r="AF3210" s="330"/>
      <c r="AG3210" s="343"/>
      <c r="AH3210" s="249"/>
      <c r="AI3210" s="330"/>
      <c r="AJ3210" s="343"/>
      <c r="AK3210" s="249"/>
      <c r="AL3210" s="330"/>
      <c r="AM3210" s="343"/>
      <c r="AN3210" s="249"/>
      <c r="AO3210" s="330"/>
      <c r="AP3210" s="343"/>
      <c r="AQ3210" s="249"/>
      <c r="AR3210" s="330"/>
      <c r="AS3210" s="343"/>
      <c r="AT3210" s="249"/>
      <c r="AU3210" s="330"/>
    </row>
    <row r="3211" spans="2:47">
      <c r="B3211" s="247">
        <f>'Table S2 Compound Identifiers'!C3213</f>
        <v>0</v>
      </c>
      <c r="C3211" s="247">
        <f>COUNTIF($D$6:D3211,"&lt;&gt;"&amp;"")</f>
        <v>3206</v>
      </c>
      <c r="D3211" s="247">
        <f>'Table S2 Compound Identifiers'!B3213</f>
        <v>0</v>
      </c>
      <c r="E3211" s="247"/>
      <c r="F3211" s="248"/>
      <c r="G3211" s="249"/>
      <c r="H3211" s="330"/>
      <c r="I3211" s="328"/>
      <c r="J3211" s="249"/>
      <c r="K3211" s="330"/>
      <c r="L3211" s="250"/>
      <c r="M3211" s="249"/>
      <c r="N3211" s="330"/>
      <c r="O3211" s="250"/>
      <c r="P3211" s="249"/>
      <c r="Q3211" s="330"/>
      <c r="R3211" s="250"/>
      <c r="S3211" s="249"/>
      <c r="T3211" s="330"/>
      <c r="U3211" s="250"/>
      <c r="V3211" s="249"/>
      <c r="W3211" s="330"/>
      <c r="X3211" s="343"/>
      <c r="Y3211" s="249"/>
      <c r="Z3211" s="330"/>
      <c r="AA3211" s="343"/>
      <c r="AB3211" s="249"/>
      <c r="AC3211" s="330"/>
      <c r="AD3211" s="343"/>
      <c r="AE3211" s="249"/>
      <c r="AF3211" s="330"/>
      <c r="AG3211" s="343"/>
      <c r="AH3211" s="249"/>
      <c r="AI3211" s="330"/>
      <c r="AJ3211" s="343"/>
      <c r="AK3211" s="249"/>
      <c r="AL3211" s="330"/>
      <c r="AM3211" s="343"/>
      <c r="AN3211" s="249"/>
      <c r="AO3211" s="330"/>
      <c r="AP3211" s="343"/>
      <c r="AQ3211" s="249"/>
      <c r="AR3211" s="330"/>
      <c r="AS3211" s="343"/>
      <c r="AT3211" s="249"/>
      <c r="AU3211" s="330"/>
    </row>
    <row r="3212" spans="2:47">
      <c r="B3212" s="247">
        <f>'Table S2 Compound Identifiers'!C3214</f>
        <v>0</v>
      </c>
      <c r="C3212" s="247">
        <f>COUNTIF($D$6:D3212,"&lt;&gt;"&amp;"")</f>
        <v>3207</v>
      </c>
      <c r="D3212" s="247">
        <f>'Table S2 Compound Identifiers'!B3214</f>
        <v>0</v>
      </c>
      <c r="E3212" s="247"/>
      <c r="F3212" s="248"/>
      <c r="G3212" s="249"/>
      <c r="H3212" s="330"/>
      <c r="I3212" s="328"/>
      <c r="J3212" s="249"/>
      <c r="K3212" s="330"/>
      <c r="L3212" s="250"/>
      <c r="M3212" s="249"/>
      <c r="N3212" s="330"/>
      <c r="O3212" s="250"/>
      <c r="P3212" s="249"/>
      <c r="Q3212" s="330"/>
      <c r="R3212" s="250"/>
      <c r="S3212" s="249"/>
      <c r="T3212" s="330"/>
      <c r="U3212" s="250"/>
      <c r="V3212" s="249"/>
      <c r="W3212" s="330"/>
      <c r="X3212" s="343"/>
      <c r="Y3212" s="249"/>
      <c r="Z3212" s="330"/>
      <c r="AA3212" s="343"/>
      <c r="AB3212" s="249"/>
      <c r="AC3212" s="330"/>
      <c r="AD3212" s="343"/>
      <c r="AE3212" s="249"/>
      <c r="AF3212" s="330"/>
      <c r="AG3212" s="343"/>
      <c r="AH3212" s="249"/>
      <c r="AI3212" s="330"/>
      <c r="AJ3212" s="343"/>
      <c r="AK3212" s="249"/>
      <c r="AL3212" s="330"/>
      <c r="AM3212" s="343"/>
      <c r="AN3212" s="249"/>
      <c r="AO3212" s="330"/>
      <c r="AP3212" s="343"/>
      <c r="AQ3212" s="249"/>
      <c r="AR3212" s="330"/>
      <c r="AS3212" s="343"/>
      <c r="AT3212" s="249"/>
      <c r="AU3212" s="330"/>
    </row>
    <row r="3213" spans="2:47">
      <c r="B3213" s="247">
        <f>'Table S2 Compound Identifiers'!C3215</f>
        <v>0</v>
      </c>
      <c r="C3213" s="247">
        <f>COUNTIF($D$6:D3213,"&lt;&gt;"&amp;"")</f>
        <v>3208</v>
      </c>
      <c r="D3213" s="247">
        <f>'Table S2 Compound Identifiers'!B3215</f>
        <v>0</v>
      </c>
      <c r="E3213" s="247"/>
      <c r="F3213" s="248"/>
      <c r="G3213" s="249"/>
      <c r="H3213" s="330"/>
      <c r="I3213" s="328"/>
      <c r="J3213" s="249"/>
      <c r="K3213" s="330"/>
      <c r="L3213" s="250"/>
      <c r="M3213" s="249"/>
      <c r="N3213" s="330"/>
      <c r="O3213" s="250"/>
      <c r="P3213" s="249"/>
      <c r="Q3213" s="330"/>
      <c r="R3213" s="250"/>
      <c r="S3213" s="249"/>
      <c r="T3213" s="330"/>
      <c r="U3213" s="250"/>
      <c r="V3213" s="249"/>
      <c r="W3213" s="330"/>
      <c r="X3213" s="343"/>
      <c r="Y3213" s="249"/>
      <c r="Z3213" s="330"/>
      <c r="AA3213" s="343"/>
      <c r="AB3213" s="249"/>
      <c r="AC3213" s="330"/>
      <c r="AD3213" s="343"/>
      <c r="AE3213" s="249"/>
      <c r="AF3213" s="330"/>
      <c r="AG3213" s="343"/>
      <c r="AH3213" s="249"/>
      <c r="AI3213" s="330"/>
      <c r="AJ3213" s="343"/>
      <c r="AK3213" s="249"/>
      <c r="AL3213" s="330"/>
      <c r="AM3213" s="343"/>
      <c r="AN3213" s="249"/>
      <c r="AO3213" s="330"/>
      <c r="AP3213" s="343"/>
      <c r="AQ3213" s="249"/>
      <c r="AR3213" s="330"/>
      <c r="AS3213" s="343"/>
      <c r="AT3213" s="249"/>
      <c r="AU3213" s="330"/>
    </row>
    <row r="3214" spans="2:47">
      <c r="B3214" s="247">
        <f>'Table S2 Compound Identifiers'!C3216</f>
        <v>0</v>
      </c>
      <c r="C3214" s="247">
        <f>COUNTIF($D$6:D3214,"&lt;&gt;"&amp;"")</f>
        <v>3209</v>
      </c>
      <c r="D3214" s="247">
        <f>'Table S2 Compound Identifiers'!B3216</f>
        <v>0</v>
      </c>
      <c r="E3214" s="247"/>
      <c r="F3214" s="248"/>
      <c r="G3214" s="249"/>
      <c r="H3214" s="330"/>
      <c r="I3214" s="328"/>
      <c r="J3214" s="249"/>
      <c r="K3214" s="330"/>
      <c r="L3214" s="250"/>
      <c r="M3214" s="249"/>
      <c r="N3214" s="330"/>
      <c r="O3214" s="250"/>
      <c r="P3214" s="249"/>
      <c r="Q3214" s="330"/>
      <c r="R3214" s="250"/>
      <c r="S3214" s="249"/>
      <c r="T3214" s="330"/>
      <c r="U3214" s="250"/>
      <c r="V3214" s="249"/>
      <c r="W3214" s="330"/>
      <c r="X3214" s="343"/>
      <c r="Y3214" s="249"/>
      <c r="Z3214" s="330"/>
      <c r="AA3214" s="343"/>
      <c r="AB3214" s="249"/>
      <c r="AC3214" s="330"/>
      <c r="AD3214" s="343"/>
      <c r="AE3214" s="249"/>
      <c r="AF3214" s="330"/>
      <c r="AG3214" s="343"/>
      <c r="AH3214" s="249"/>
      <c r="AI3214" s="330"/>
      <c r="AJ3214" s="343"/>
      <c r="AK3214" s="249"/>
      <c r="AL3214" s="330"/>
      <c r="AM3214" s="343"/>
      <c r="AN3214" s="249"/>
      <c r="AO3214" s="330"/>
      <c r="AP3214" s="343"/>
      <c r="AQ3214" s="249"/>
      <c r="AR3214" s="330"/>
      <c r="AS3214" s="343"/>
      <c r="AT3214" s="249"/>
      <c r="AU3214" s="330"/>
    </row>
    <row r="3215" spans="2:47">
      <c r="B3215" s="247">
        <f>'Table S2 Compound Identifiers'!C3217</f>
        <v>0</v>
      </c>
      <c r="C3215" s="247">
        <f>COUNTIF($D$6:D3215,"&lt;&gt;"&amp;"")</f>
        <v>3210</v>
      </c>
      <c r="D3215" s="247">
        <f>'Table S2 Compound Identifiers'!B3217</f>
        <v>0</v>
      </c>
      <c r="E3215" s="247"/>
      <c r="F3215" s="248"/>
      <c r="G3215" s="249"/>
      <c r="H3215" s="330"/>
      <c r="I3215" s="328"/>
      <c r="J3215" s="249"/>
      <c r="K3215" s="330"/>
      <c r="L3215" s="250"/>
      <c r="M3215" s="249"/>
      <c r="N3215" s="330"/>
      <c r="O3215" s="250"/>
      <c r="P3215" s="249"/>
      <c r="Q3215" s="330"/>
      <c r="R3215" s="250"/>
      <c r="S3215" s="249"/>
      <c r="T3215" s="330"/>
      <c r="U3215" s="250"/>
      <c r="V3215" s="249"/>
      <c r="W3215" s="330"/>
      <c r="X3215" s="343"/>
      <c r="Y3215" s="249"/>
      <c r="Z3215" s="330"/>
      <c r="AA3215" s="343"/>
      <c r="AB3215" s="249"/>
      <c r="AC3215" s="330"/>
      <c r="AD3215" s="343"/>
      <c r="AE3215" s="249"/>
      <c r="AF3215" s="330"/>
      <c r="AG3215" s="343"/>
      <c r="AH3215" s="249"/>
      <c r="AI3215" s="330"/>
      <c r="AJ3215" s="343"/>
      <c r="AK3215" s="249"/>
      <c r="AL3215" s="330"/>
      <c r="AM3215" s="343"/>
      <c r="AN3215" s="249"/>
      <c r="AO3215" s="330"/>
      <c r="AP3215" s="343"/>
      <c r="AQ3215" s="249"/>
      <c r="AR3215" s="330"/>
      <c r="AS3215" s="343"/>
      <c r="AT3215" s="249"/>
      <c r="AU3215" s="330"/>
    </row>
    <row r="3216" spans="2:47">
      <c r="B3216" s="247">
        <f>'Table S2 Compound Identifiers'!C3218</f>
        <v>0</v>
      </c>
      <c r="C3216" s="247">
        <f>COUNTIF($D$6:D3216,"&lt;&gt;"&amp;"")</f>
        <v>3211</v>
      </c>
      <c r="D3216" s="247">
        <f>'Table S2 Compound Identifiers'!B3218</f>
        <v>0</v>
      </c>
      <c r="E3216" s="247"/>
      <c r="F3216" s="248"/>
      <c r="G3216" s="249"/>
      <c r="H3216" s="330"/>
      <c r="I3216" s="328"/>
      <c r="J3216" s="249"/>
      <c r="K3216" s="330"/>
      <c r="L3216" s="250"/>
      <c r="M3216" s="249"/>
      <c r="N3216" s="330"/>
      <c r="O3216" s="250"/>
      <c r="P3216" s="249"/>
      <c r="Q3216" s="330"/>
      <c r="R3216" s="250"/>
      <c r="S3216" s="249"/>
      <c r="T3216" s="330"/>
      <c r="U3216" s="250"/>
      <c r="V3216" s="249"/>
      <c r="W3216" s="330"/>
      <c r="X3216" s="343"/>
      <c r="Y3216" s="249"/>
      <c r="Z3216" s="330"/>
      <c r="AA3216" s="343"/>
      <c r="AB3216" s="249"/>
      <c r="AC3216" s="330"/>
      <c r="AD3216" s="343"/>
      <c r="AE3216" s="249"/>
      <c r="AF3216" s="330"/>
      <c r="AG3216" s="343"/>
      <c r="AH3216" s="249"/>
      <c r="AI3216" s="330"/>
      <c r="AJ3216" s="343"/>
      <c r="AK3216" s="249"/>
      <c r="AL3216" s="330"/>
      <c r="AM3216" s="343"/>
      <c r="AN3216" s="249"/>
      <c r="AO3216" s="330"/>
      <c r="AP3216" s="343"/>
      <c r="AQ3216" s="249"/>
      <c r="AR3216" s="330"/>
      <c r="AS3216" s="343"/>
      <c r="AT3216" s="249"/>
      <c r="AU3216" s="330"/>
    </row>
    <row r="3217" spans="2:47">
      <c r="B3217" s="247">
        <f>'Table S2 Compound Identifiers'!C3219</f>
        <v>0</v>
      </c>
      <c r="C3217" s="247">
        <f>COUNTIF($D$6:D3217,"&lt;&gt;"&amp;"")</f>
        <v>3212</v>
      </c>
      <c r="D3217" s="247">
        <f>'Table S2 Compound Identifiers'!B3219</f>
        <v>0</v>
      </c>
      <c r="E3217" s="247"/>
      <c r="F3217" s="248"/>
      <c r="G3217" s="249"/>
      <c r="H3217" s="330"/>
      <c r="I3217" s="328"/>
      <c r="J3217" s="249"/>
      <c r="K3217" s="330"/>
      <c r="L3217" s="250"/>
      <c r="M3217" s="249"/>
      <c r="N3217" s="330"/>
      <c r="O3217" s="250"/>
      <c r="P3217" s="249"/>
      <c r="Q3217" s="330"/>
      <c r="R3217" s="250"/>
      <c r="S3217" s="249"/>
      <c r="T3217" s="330"/>
      <c r="U3217" s="250"/>
      <c r="V3217" s="249"/>
      <c r="W3217" s="330"/>
      <c r="X3217" s="343"/>
      <c r="Y3217" s="249"/>
      <c r="Z3217" s="330"/>
      <c r="AA3217" s="343"/>
      <c r="AB3217" s="249"/>
      <c r="AC3217" s="330"/>
      <c r="AD3217" s="343"/>
      <c r="AE3217" s="249"/>
      <c r="AF3217" s="330"/>
      <c r="AG3217" s="343"/>
      <c r="AH3217" s="249"/>
      <c r="AI3217" s="330"/>
      <c r="AJ3217" s="343"/>
      <c r="AK3217" s="249"/>
      <c r="AL3217" s="330"/>
      <c r="AM3217" s="343"/>
      <c r="AN3217" s="249"/>
      <c r="AO3217" s="330"/>
      <c r="AP3217" s="343"/>
      <c r="AQ3217" s="249"/>
      <c r="AR3217" s="330"/>
      <c r="AS3217" s="343"/>
      <c r="AT3217" s="249"/>
      <c r="AU3217" s="330"/>
    </row>
    <row r="3218" spans="2:47">
      <c r="B3218" s="247">
        <f>'Table S2 Compound Identifiers'!C3220</f>
        <v>0</v>
      </c>
      <c r="C3218" s="247">
        <f>COUNTIF($D$6:D3218,"&lt;&gt;"&amp;"")</f>
        <v>3213</v>
      </c>
      <c r="D3218" s="247">
        <f>'Table S2 Compound Identifiers'!B3220</f>
        <v>0</v>
      </c>
      <c r="E3218" s="247"/>
      <c r="F3218" s="248"/>
      <c r="G3218" s="249"/>
      <c r="H3218" s="330"/>
      <c r="I3218" s="328"/>
      <c r="J3218" s="249"/>
      <c r="K3218" s="330"/>
      <c r="L3218" s="250"/>
      <c r="M3218" s="249"/>
      <c r="N3218" s="330"/>
      <c r="O3218" s="250"/>
      <c r="P3218" s="249"/>
      <c r="Q3218" s="330"/>
      <c r="R3218" s="250"/>
      <c r="S3218" s="249"/>
      <c r="T3218" s="330"/>
      <c r="U3218" s="250"/>
      <c r="V3218" s="249"/>
      <c r="W3218" s="330"/>
      <c r="X3218" s="343"/>
      <c r="Y3218" s="249"/>
      <c r="Z3218" s="330"/>
      <c r="AA3218" s="343"/>
      <c r="AB3218" s="249"/>
      <c r="AC3218" s="330"/>
      <c r="AD3218" s="343"/>
      <c r="AE3218" s="249"/>
      <c r="AF3218" s="330"/>
      <c r="AG3218" s="343"/>
      <c r="AH3218" s="249"/>
      <c r="AI3218" s="330"/>
      <c r="AJ3218" s="343"/>
      <c r="AK3218" s="249"/>
      <c r="AL3218" s="330"/>
      <c r="AM3218" s="343"/>
      <c r="AN3218" s="249"/>
      <c r="AO3218" s="330"/>
      <c r="AP3218" s="343"/>
      <c r="AQ3218" s="249"/>
      <c r="AR3218" s="330"/>
      <c r="AS3218" s="343"/>
      <c r="AT3218" s="249"/>
      <c r="AU3218" s="330"/>
    </row>
    <row r="3219" spans="2:47">
      <c r="B3219" s="247">
        <f>'Table S2 Compound Identifiers'!C3221</f>
        <v>0</v>
      </c>
      <c r="C3219" s="247">
        <f>COUNTIF($D$6:D3219,"&lt;&gt;"&amp;"")</f>
        <v>3214</v>
      </c>
      <c r="D3219" s="247">
        <f>'Table S2 Compound Identifiers'!B3221</f>
        <v>0</v>
      </c>
      <c r="E3219" s="247"/>
      <c r="F3219" s="248"/>
      <c r="G3219" s="249"/>
      <c r="H3219" s="330"/>
      <c r="I3219" s="328"/>
      <c r="J3219" s="249"/>
      <c r="K3219" s="330"/>
      <c r="L3219" s="250"/>
      <c r="M3219" s="249"/>
      <c r="N3219" s="330"/>
      <c r="O3219" s="250"/>
      <c r="P3219" s="249"/>
      <c r="Q3219" s="330"/>
      <c r="R3219" s="250"/>
      <c r="S3219" s="249"/>
      <c r="T3219" s="330"/>
      <c r="U3219" s="250"/>
      <c r="V3219" s="249"/>
      <c r="W3219" s="330"/>
      <c r="X3219" s="343"/>
      <c r="Y3219" s="249"/>
      <c r="Z3219" s="330"/>
      <c r="AA3219" s="343"/>
      <c r="AB3219" s="249"/>
      <c r="AC3219" s="330"/>
      <c r="AD3219" s="343"/>
      <c r="AE3219" s="249"/>
      <c r="AF3219" s="330"/>
      <c r="AG3219" s="343"/>
      <c r="AH3219" s="249"/>
      <c r="AI3219" s="330"/>
      <c r="AJ3219" s="343"/>
      <c r="AK3219" s="249"/>
      <c r="AL3219" s="330"/>
      <c r="AM3219" s="343"/>
      <c r="AN3219" s="249"/>
      <c r="AO3219" s="330"/>
      <c r="AP3219" s="343"/>
      <c r="AQ3219" s="249"/>
      <c r="AR3219" s="330"/>
      <c r="AS3219" s="343"/>
      <c r="AT3219" s="249"/>
      <c r="AU3219" s="330"/>
    </row>
    <row r="3220" spans="2:47">
      <c r="B3220" s="247">
        <f>'Table S2 Compound Identifiers'!C3222</f>
        <v>0</v>
      </c>
      <c r="C3220" s="247">
        <f>COUNTIF($D$6:D3220,"&lt;&gt;"&amp;"")</f>
        <v>3215</v>
      </c>
      <c r="D3220" s="247">
        <f>'Table S2 Compound Identifiers'!B3222</f>
        <v>0</v>
      </c>
      <c r="E3220" s="247"/>
      <c r="F3220" s="248"/>
      <c r="G3220" s="249"/>
      <c r="H3220" s="330"/>
      <c r="I3220" s="328"/>
      <c r="J3220" s="249"/>
      <c r="K3220" s="330"/>
      <c r="L3220" s="250"/>
      <c r="M3220" s="249"/>
      <c r="N3220" s="330"/>
      <c r="O3220" s="250"/>
      <c r="P3220" s="249"/>
      <c r="Q3220" s="330"/>
      <c r="R3220" s="250"/>
      <c r="S3220" s="249"/>
      <c r="T3220" s="330"/>
      <c r="U3220" s="250"/>
      <c r="V3220" s="249"/>
      <c r="W3220" s="330"/>
      <c r="X3220" s="343"/>
      <c r="Y3220" s="249"/>
      <c r="Z3220" s="330"/>
      <c r="AA3220" s="343"/>
      <c r="AB3220" s="249"/>
      <c r="AC3220" s="330"/>
      <c r="AD3220" s="343"/>
      <c r="AE3220" s="249"/>
      <c r="AF3220" s="330"/>
      <c r="AG3220" s="343"/>
      <c r="AH3220" s="249"/>
      <c r="AI3220" s="330"/>
      <c r="AJ3220" s="343"/>
      <c r="AK3220" s="249"/>
      <c r="AL3220" s="330"/>
      <c r="AM3220" s="343"/>
      <c r="AN3220" s="249"/>
      <c r="AO3220" s="330"/>
      <c r="AP3220" s="343"/>
      <c r="AQ3220" s="249"/>
      <c r="AR3220" s="330"/>
      <c r="AS3220" s="343"/>
      <c r="AT3220" s="249"/>
      <c r="AU3220" s="330"/>
    </row>
    <row r="3221" spans="2:47">
      <c r="B3221" s="247">
        <f>'Table S2 Compound Identifiers'!C3223</f>
        <v>0</v>
      </c>
      <c r="C3221" s="247">
        <f>COUNTIF($D$6:D3221,"&lt;&gt;"&amp;"")</f>
        <v>3216</v>
      </c>
      <c r="D3221" s="247">
        <f>'Table S2 Compound Identifiers'!B3223</f>
        <v>0</v>
      </c>
      <c r="E3221" s="247"/>
      <c r="F3221" s="248"/>
      <c r="G3221" s="249"/>
      <c r="H3221" s="330"/>
      <c r="I3221" s="328"/>
      <c r="J3221" s="249"/>
      <c r="K3221" s="330"/>
      <c r="L3221" s="250"/>
      <c r="M3221" s="249"/>
      <c r="N3221" s="330"/>
      <c r="O3221" s="250"/>
      <c r="P3221" s="249"/>
      <c r="Q3221" s="330"/>
      <c r="R3221" s="250"/>
      <c r="S3221" s="249"/>
      <c r="T3221" s="330"/>
      <c r="U3221" s="250"/>
      <c r="V3221" s="249"/>
      <c r="W3221" s="330"/>
      <c r="X3221" s="343"/>
      <c r="Y3221" s="249"/>
      <c r="Z3221" s="330"/>
      <c r="AA3221" s="343"/>
      <c r="AB3221" s="249"/>
      <c r="AC3221" s="330"/>
      <c r="AD3221" s="343"/>
      <c r="AE3221" s="249"/>
      <c r="AF3221" s="330"/>
      <c r="AG3221" s="343"/>
      <c r="AH3221" s="249"/>
      <c r="AI3221" s="330"/>
      <c r="AJ3221" s="343"/>
      <c r="AK3221" s="249"/>
      <c r="AL3221" s="330"/>
      <c r="AM3221" s="343"/>
      <c r="AN3221" s="249"/>
      <c r="AO3221" s="330"/>
      <c r="AP3221" s="343"/>
      <c r="AQ3221" s="249"/>
      <c r="AR3221" s="330"/>
      <c r="AS3221" s="343"/>
      <c r="AT3221" s="249"/>
      <c r="AU3221" s="330"/>
    </row>
    <row r="3222" spans="2:47">
      <c r="B3222" s="247">
        <f>'Table S2 Compound Identifiers'!C3224</f>
        <v>0</v>
      </c>
      <c r="C3222" s="247">
        <f>COUNTIF($D$6:D3222,"&lt;&gt;"&amp;"")</f>
        <v>3217</v>
      </c>
      <c r="D3222" s="247">
        <f>'Table S2 Compound Identifiers'!B3224</f>
        <v>0</v>
      </c>
      <c r="E3222" s="247"/>
      <c r="F3222" s="248"/>
      <c r="G3222" s="249"/>
      <c r="H3222" s="330"/>
      <c r="I3222" s="328"/>
      <c r="J3222" s="249"/>
      <c r="K3222" s="330"/>
      <c r="L3222" s="250"/>
      <c r="M3222" s="249"/>
      <c r="N3222" s="330"/>
      <c r="O3222" s="250"/>
      <c r="P3222" s="249"/>
      <c r="Q3222" s="330"/>
      <c r="R3222" s="250"/>
      <c r="S3222" s="249"/>
      <c r="T3222" s="330"/>
      <c r="U3222" s="250"/>
      <c r="V3222" s="249"/>
      <c r="W3222" s="330"/>
      <c r="X3222" s="343"/>
      <c r="Y3222" s="249"/>
      <c r="Z3222" s="330"/>
      <c r="AA3222" s="343"/>
      <c r="AB3222" s="249"/>
      <c r="AC3222" s="330"/>
      <c r="AD3222" s="343"/>
      <c r="AE3222" s="249"/>
      <c r="AF3222" s="330"/>
      <c r="AG3222" s="343"/>
      <c r="AH3222" s="249"/>
      <c r="AI3222" s="330"/>
      <c r="AJ3222" s="343"/>
      <c r="AK3222" s="249"/>
      <c r="AL3222" s="330"/>
      <c r="AM3222" s="343"/>
      <c r="AN3222" s="249"/>
      <c r="AO3222" s="330"/>
      <c r="AP3222" s="343"/>
      <c r="AQ3222" s="249"/>
      <c r="AR3222" s="330"/>
      <c r="AS3222" s="343"/>
      <c r="AT3222" s="249"/>
      <c r="AU3222" s="330"/>
    </row>
    <row r="3223" spans="2:47">
      <c r="B3223" s="247">
        <f>'Table S2 Compound Identifiers'!C3225</f>
        <v>0</v>
      </c>
      <c r="C3223" s="247">
        <f>COUNTIF($D$6:D3223,"&lt;&gt;"&amp;"")</f>
        <v>3218</v>
      </c>
      <c r="D3223" s="247">
        <f>'Table S2 Compound Identifiers'!B3225</f>
        <v>0</v>
      </c>
      <c r="E3223" s="247"/>
      <c r="F3223" s="248"/>
      <c r="G3223" s="249"/>
      <c r="H3223" s="330"/>
      <c r="I3223" s="328"/>
      <c r="J3223" s="249"/>
      <c r="K3223" s="330"/>
      <c r="L3223" s="250"/>
      <c r="M3223" s="249"/>
      <c r="N3223" s="330"/>
      <c r="O3223" s="250"/>
      <c r="P3223" s="249"/>
      <c r="Q3223" s="330"/>
      <c r="R3223" s="250"/>
      <c r="S3223" s="249"/>
      <c r="T3223" s="330"/>
      <c r="U3223" s="250"/>
      <c r="V3223" s="249"/>
      <c r="W3223" s="330"/>
      <c r="X3223" s="343"/>
      <c r="Y3223" s="249"/>
      <c r="Z3223" s="330"/>
      <c r="AA3223" s="343"/>
      <c r="AB3223" s="249"/>
      <c r="AC3223" s="330"/>
      <c r="AD3223" s="343"/>
      <c r="AE3223" s="249"/>
      <c r="AF3223" s="330"/>
      <c r="AG3223" s="343"/>
      <c r="AH3223" s="249"/>
      <c r="AI3223" s="330"/>
      <c r="AJ3223" s="343"/>
      <c r="AK3223" s="249"/>
      <c r="AL3223" s="330"/>
      <c r="AM3223" s="343"/>
      <c r="AN3223" s="249"/>
      <c r="AO3223" s="330"/>
      <c r="AP3223" s="343"/>
      <c r="AQ3223" s="249"/>
      <c r="AR3223" s="330"/>
      <c r="AS3223" s="343"/>
      <c r="AT3223" s="249"/>
      <c r="AU3223" s="330"/>
    </row>
    <row r="3224" spans="2:47">
      <c r="B3224" s="247">
        <f>'Table S2 Compound Identifiers'!C3226</f>
        <v>0</v>
      </c>
      <c r="C3224" s="247">
        <f>COUNTIF($D$6:D3224,"&lt;&gt;"&amp;"")</f>
        <v>3219</v>
      </c>
      <c r="D3224" s="247">
        <f>'Table S2 Compound Identifiers'!B3226</f>
        <v>0</v>
      </c>
      <c r="E3224" s="247"/>
      <c r="F3224" s="248"/>
      <c r="G3224" s="249"/>
      <c r="H3224" s="330"/>
      <c r="I3224" s="328"/>
      <c r="J3224" s="249"/>
      <c r="K3224" s="330"/>
      <c r="L3224" s="250"/>
      <c r="M3224" s="249"/>
      <c r="N3224" s="330"/>
      <c r="O3224" s="250"/>
      <c r="P3224" s="249"/>
      <c r="Q3224" s="330"/>
      <c r="R3224" s="250"/>
      <c r="S3224" s="249"/>
      <c r="T3224" s="330"/>
      <c r="U3224" s="250"/>
      <c r="V3224" s="249"/>
      <c r="W3224" s="330"/>
      <c r="X3224" s="343"/>
      <c r="Y3224" s="249"/>
      <c r="Z3224" s="330"/>
      <c r="AA3224" s="343"/>
      <c r="AB3224" s="249"/>
      <c r="AC3224" s="330"/>
      <c r="AD3224" s="343"/>
      <c r="AE3224" s="249"/>
      <c r="AF3224" s="330"/>
      <c r="AG3224" s="343"/>
      <c r="AH3224" s="249"/>
      <c r="AI3224" s="330"/>
      <c r="AJ3224" s="343"/>
      <c r="AK3224" s="249"/>
      <c r="AL3224" s="330"/>
      <c r="AM3224" s="343"/>
      <c r="AN3224" s="249"/>
      <c r="AO3224" s="330"/>
      <c r="AP3224" s="343"/>
      <c r="AQ3224" s="249"/>
      <c r="AR3224" s="330"/>
      <c r="AS3224" s="343"/>
      <c r="AT3224" s="249"/>
      <c r="AU3224" s="330"/>
    </row>
    <row r="3225" spans="2:47">
      <c r="B3225" s="247">
        <f>'Table S2 Compound Identifiers'!C3227</f>
        <v>0</v>
      </c>
      <c r="C3225" s="247">
        <f>COUNTIF($D$6:D3225,"&lt;&gt;"&amp;"")</f>
        <v>3220</v>
      </c>
      <c r="D3225" s="247">
        <f>'Table S2 Compound Identifiers'!B3227</f>
        <v>0</v>
      </c>
      <c r="E3225" s="247"/>
      <c r="F3225" s="248"/>
      <c r="G3225" s="249"/>
      <c r="H3225" s="330"/>
      <c r="I3225" s="328"/>
      <c r="J3225" s="249"/>
      <c r="K3225" s="330"/>
      <c r="L3225" s="250"/>
      <c r="M3225" s="249"/>
      <c r="N3225" s="330"/>
      <c r="O3225" s="250"/>
      <c r="P3225" s="249"/>
      <c r="Q3225" s="330"/>
      <c r="R3225" s="250"/>
      <c r="S3225" s="249"/>
      <c r="T3225" s="330"/>
      <c r="U3225" s="250"/>
      <c r="V3225" s="249"/>
      <c r="W3225" s="330"/>
      <c r="X3225" s="343"/>
      <c r="Y3225" s="249"/>
      <c r="Z3225" s="330"/>
      <c r="AA3225" s="343"/>
      <c r="AB3225" s="249"/>
      <c r="AC3225" s="330"/>
      <c r="AD3225" s="343"/>
      <c r="AE3225" s="249"/>
      <c r="AF3225" s="330"/>
      <c r="AG3225" s="343"/>
      <c r="AH3225" s="249"/>
      <c r="AI3225" s="330"/>
      <c r="AJ3225" s="343"/>
      <c r="AK3225" s="249"/>
      <c r="AL3225" s="330"/>
      <c r="AM3225" s="343"/>
      <c r="AN3225" s="249"/>
      <c r="AO3225" s="330"/>
      <c r="AP3225" s="343"/>
      <c r="AQ3225" s="249"/>
      <c r="AR3225" s="330"/>
      <c r="AS3225" s="343"/>
      <c r="AT3225" s="249"/>
      <c r="AU3225" s="330"/>
    </row>
    <row r="3226" spans="2:47">
      <c r="B3226" s="247">
        <f>'Table S2 Compound Identifiers'!C3228</f>
        <v>0</v>
      </c>
      <c r="C3226" s="247">
        <f>COUNTIF($D$6:D3226,"&lt;&gt;"&amp;"")</f>
        <v>3221</v>
      </c>
      <c r="D3226" s="247">
        <f>'Table S2 Compound Identifiers'!B3228</f>
        <v>0</v>
      </c>
      <c r="E3226" s="247"/>
      <c r="F3226" s="248"/>
      <c r="G3226" s="249"/>
      <c r="H3226" s="330"/>
      <c r="I3226" s="328"/>
      <c r="J3226" s="249"/>
      <c r="K3226" s="330"/>
      <c r="L3226" s="250"/>
      <c r="M3226" s="249"/>
      <c r="N3226" s="330"/>
      <c r="O3226" s="250"/>
      <c r="P3226" s="249"/>
      <c r="Q3226" s="330"/>
      <c r="R3226" s="250"/>
      <c r="S3226" s="249"/>
      <c r="T3226" s="330"/>
      <c r="U3226" s="250"/>
      <c r="V3226" s="249"/>
      <c r="W3226" s="330"/>
      <c r="X3226" s="343"/>
      <c r="Y3226" s="249"/>
      <c r="Z3226" s="330"/>
      <c r="AA3226" s="343"/>
      <c r="AB3226" s="249"/>
      <c r="AC3226" s="330"/>
      <c r="AD3226" s="343"/>
      <c r="AE3226" s="249"/>
      <c r="AF3226" s="330"/>
      <c r="AG3226" s="343"/>
      <c r="AH3226" s="249"/>
      <c r="AI3226" s="330"/>
      <c r="AJ3226" s="343"/>
      <c r="AK3226" s="249"/>
      <c r="AL3226" s="330"/>
      <c r="AM3226" s="343"/>
      <c r="AN3226" s="249"/>
      <c r="AO3226" s="330"/>
      <c r="AP3226" s="343"/>
      <c r="AQ3226" s="249"/>
      <c r="AR3226" s="330"/>
      <c r="AS3226" s="343"/>
      <c r="AT3226" s="249"/>
      <c r="AU3226" s="330"/>
    </row>
    <row r="3227" spans="2:47">
      <c r="B3227" s="247">
        <f>'Table S2 Compound Identifiers'!C3229</f>
        <v>0</v>
      </c>
      <c r="C3227" s="247">
        <f>COUNTIF($D$6:D3227,"&lt;&gt;"&amp;"")</f>
        <v>3222</v>
      </c>
      <c r="D3227" s="247">
        <f>'Table S2 Compound Identifiers'!B3229</f>
        <v>0</v>
      </c>
      <c r="E3227" s="247"/>
      <c r="F3227" s="248"/>
      <c r="G3227" s="249"/>
      <c r="H3227" s="330"/>
      <c r="I3227" s="328"/>
      <c r="J3227" s="249"/>
      <c r="K3227" s="330"/>
      <c r="L3227" s="250"/>
      <c r="M3227" s="249"/>
      <c r="N3227" s="330"/>
      <c r="O3227" s="250"/>
      <c r="P3227" s="249"/>
      <c r="Q3227" s="330"/>
      <c r="R3227" s="250"/>
      <c r="S3227" s="249"/>
      <c r="T3227" s="330"/>
      <c r="U3227" s="250"/>
      <c r="V3227" s="249"/>
      <c r="W3227" s="330"/>
      <c r="X3227" s="343"/>
      <c r="Y3227" s="249"/>
      <c r="Z3227" s="330"/>
      <c r="AA3227" s="343"/>
      <c r="AB3227" s="249"/>
      <c r="AC3227" s="330"/>
      <c r="AD3227" s="343"/>
      <c r="AE3227" s="249"/>
      <c r="AF3227" s="330"/>
      <c r="AG3227" s="343"/>
      <c r="AH3227" s="249"/>
      <c r="AI3227" s="330"/>
      <c r="AJ3227" s="343"/>
      <c r="AK3227" s="249"/>
      <c r="AL3227" s="330"/>
      <c r="AM3227" s="343"/>
      <c r="AN3227" s="249"/>
      <c r="AO3227" s="330"/>
      <c r="AP3227" s="343"/>
      <c r="AQ3227" s="249"/>
      <c r="AR3227" s="330"/>
      <c r="AS3227" s="343"/>
      <c r="AT3227" s="249"/>
      <c r="AU3227" s="330"/>
    </row>
    <row r="3228" spans="2:47">
      <c r="B3228" s="247">
        <f>'Table S2 Compound Identifiers'!C3230</f>
        <v>0</v>
      </c>
      <c r="C3228" s="247">
        <f>COUNTIF($D$6:D3228,"&lt;&gt;"&amp;"")</f>
        <v>3223</v>
      </c>
      <c r="D3228" s="247">
        <f>'Table S2 Compound Identifiers'!B3230</f>
        <v>0</v>
      </c>
      <c r="E3228" s="247"/>
      <c r="F3228" s="248"/>
      <c r="G3228" s="249"/>
      <c r="H3228" s="330"/>
      <c r="I3228" s="328"/>
      <c r="J3228" s="249"/>
      <c r="K3228" s="330"/>
      <c r="L3228" s="250"/>
      <c r="M3228" s="249"/>
      <c r="N3228" s="330"/>
      <c r="O3228" s="250"/>
      <c r="P3228" s="249"/>
      <c r="Q3228" s="330"/>
      <c r="R3228" s="250"/>
      <c r="S3228" s="249"/>
      <c r="T3228" s="330"/>
      <c r="U3228" s="250"/>
      <c r="V3228" s="249"/>
      <c r="W3228" s="330"/>
      <c r="X3228" s="343"/>
      <c r="Y3228" s="249"/>
      <c r="Z3228" s="330"/>
      <c r="AA3228" s="343"/>
      <c r="AB3228" s="249"/>
      <c r="AC3228" s="330"/>
      <c r="AD3228" s="343"/>
      <c r="AE3228" s="249"/>
      <c r="AF3228" s="330"/>
      <c r="AG3228" s="343"/>
      <c r="AH3228" s="249"/>
      <c r="AI3228" s="330"/>
      <c r="AJ3228" s="343"/>
      <c r="AK3228" s="249"/>
      <c r="AL3228" s="330"/>
      <c r="AM3228" s="343"/>
      <c r="AN3228" s="249"/>
      <c r="AO3228" s="330"/>
      <c r="AP3228" s="343"/>
      <c r="AQ3228" s="249"/>
      <c r="AR3228" s="330"/>
      <c r="AS3228" s="343"/>
      <c r="AT3228" s="249"/>
      <c r="AU3228" s="330"/>
    </row>
    <row r="3229" spans="2:47">
      <c r="B3229" s="247">
        <f>'Table S2 Compound Identifiers'!C3231</f>
        <v>0</v>
      </c>
      <c r="C3229" s="247">
        <f>COUNTIF($D$6:D3229,"&lt;&gt;"&amp;"")</f>
        <v>3224</v>
      </c>
      <c r="D3229" s="247">
        <f>'Table S2 Compound Identifiers'!B3231</f>
        <v>0</v>
      </c>
      <c r="E3229" s="247"/>
      <c r="F3229" s="248"/>
      <c r="G3229" s="249"/>
      <c r="H3229" s="330"/>
      <c r="I3229" s="328"/>
      <c r="J3229" s="249"/>
      <c r="K3229" s="330"/>
      <c r="L3229" s="250"/>
      <c r="M3229" s="249"/>
      <c r="N3229" s="330"/>
      <c r="O3229" s="250"/>
      <c r="P3229" s="249"/>
      <c r="Q3229" s="330"/>
      <c r="R3229" s="250"/>
      <c r="S3229" s="249"/>
      <c r="T3229" s="330"/>
      <c r="U3229" s="250"/>
      <c r="V3229" s="249"/>
      <c r="W3229" s="330"/>
      <c r="X3229" s="343"/>
      <c r="Y3229" s="249"/>
      <c r="Z3229" s="330"/>
      <c r="AA3229" s="343"/>
      <c r="AB3229" s="249"/>
      <c r="AC3229" s="330"/>
      <c r="AD3229" s="343"/>
      <c r="AE3229" s="249"/>
      <c r="AF3229" s="330"/>
      <c r="AG3229" s="343"/>
      <c r="AH3229" s="249"/>
      <c r="AI3229" s="330"/>
      <c r="AJ3229" s="343"/>
      <c r="AK3229" s="249"/>
      <c r="AL3229" s="330"/>
      <c r="AM3229" s="343"/>
      <c r="AN3229" s="249"/>
      <c r="AO3229" s="330"/>
      <c r="AP3229" s="343"/>
      <c r="AQ3229" s="249"/>
      <c r="AR3229" s="330"/>
      <c r="AS3229" s="343"/>
      <c r="AT3229" s="249"/>
      <c r="AU3229" s="330"/>
    </row>
    <row r="3230" spans="2:47">
      <c r="B3230" s="247">
        <f>'Table S2 Compound Identifiers'!C3232</f>
        <v>0</v>
      </c>
      <c r="C3230" s="247">
        <f>COUNTIF($D$6:D3230,"&lt;&gt;"&amp;"")</f>
        <v>3225</v>
      </c>
      <c r="D3230" s="247">
        <f>'Table S2 Compound Identifiers'!B3232</f>
        <v>0</v>
      </c>
      <c r="E3230" s="247"/>
      <c r="F3230" s="248"/>
      <c r="G3230" s="249"/>
      <c r="H3230" s="330"/>
      <c r="I3230" s="328"/>
      <c r="J3230" s="249"/>
      <c r="K3230" s="330"/>
      <c r="L3230" s="250"/>
      <c r="M3230" s="249"/>
      <c r="N3230" s="330"/>
      <c r="O3230" s="250"/>
      <c r="P3230" s="249"/>
      <c r="Q3230" s="330"/>
      <c r="R3230" s="250"/>
      <c r="S3230" s="249"/>
      <c r="T3230" s="330"/>
      <c r="U3230" s="250"/>
      <c r="V3230" s="249"/>
      <c r="W3230" s="330"/>
      <c r="X3230" s="343"/>
      <c r="Y3230" s="249"/>
      <c r="Z3230" s="330"/>
      <c r="AA3230" s="343"/>
      <c r="AB3230" s="249"/>
      <c r="AC3230" s="330"/>
      <c r="AD3230" s="343"/>
      <c r="AE3230" s="249"/>
      <c r="AF3230" s="330"/>
      <c r="AG3230" s="343"/>
      <c r="AH3230" s="249"/>
      <c r="AI3230" s="330"/>
      <c r="AJ3230" s="343"/>
      <c r="AK3230" s="249"/>
      <c r="AL3230" s="330"/>
      <c r="AM3230" s="343"/>
      <c r="AN3230" s="249"/>
      <c r="AO3230" s="330"/>
      <c r="AP3230" s="343"/>
      <c r="AQ3230" s="249"/>
      <c r="AR3230" s="330"/>
      <c r="AS3230" s="343"/>
      <c r="AT3230" s="249"/>
      <c r="AU3230" s="330"/>
    </row>
    <row r="3231" spans="2:47">
      <c r="B3231" s="247">
        <f>'Table S2 Compound Identifiers'!C3233</f>
        <v>0</v>
      </c>
      <c r="C3231" s="247">
        <f>COUNTIF($D$6:D3231,"&lt;&gt;"&amp;"")</f>
        <v>3226</v>
      </c>
      <c r="D3231" s="247">
        <f>'Table S2 Compound Identifiers'!B3233</f>
        <v>0</v>
      </c>
      <c r="E3231" s="247"/>
      <c r="F3231" s="248"/>
      <c r="G3231" s="249"/>
      <c r="H3231" s="330"/>
      <c r="I3231" s="328"/>
      <c r="J3231" s="249"/>
      <c r="K3231" s="330"/>
      <c r="L3231" s="250"/>
      <c r="M3231" s="249"/>
      <c r="N3231" s="330"/>
      <c r="O3231" s="250"/>
      <c r="P3231" s="249"/>
      <c r="Q3231" s="330"/>
      <c r="R3231" s="250"/>
      <c r="S3231" s="249"/>
      <c r="T3231" s="330"/>
      <c r="U3231" s="250"/>
      <c r="V3231" s="249"/>
      <c r="W3231" s="330"/>
      <c r="X3231" s="343"/>
      <c r="Y3231" s="249"/>
      <c r="Z3231" s="330"/>
      <c r="AA3231" s="343"/>
      <c r="AB3231" s="249"/>
      <c r="AC3231" s="330"/>
      <c r="AD3231" s="343"/>
      <c r="AE3231" s="249"/>
      <c r="AF3231" s="330"/>
      <c r="AG3231" s="343"/>
      <c r="AH3231" s="249"/>
      <c r="AI3231" s="330"/>
      <c r="AJ3231" s="343"/>
      <c r="AK3231" s="249"/>
      <c r="AL3231" s="330"/>
      <c r="AM3231" s="343"/>
      <c r="AN3231" s="249"/>
      <c r="AO3231" s="330"/>
      <c r="AP3231" s="343"/>
      <c r="AQ3231" s="249"/>
      <c r="AR3231" s="330"/>
      <c r="AS3231" s="343"/>
      <c r="AT3231" s="249"/>
      <c r="AU3231" s="330"/>
    </row>
    <row r="3232" spans="2:47">
      <c r="B3232" s="247">
        <f>'Table S2 Compound Identifiers'!C3234</f>
        <v>0</v>
      </c>
      <c r="C3232" s="247">
        <f>COUNTIF($D$6:D3232,"&lt;&gt;"&amp;"")</f>
        <v>3227</v>
      </c>
      <c r="D3232" s="247">
        <f>'Table S2 Compound Identifiers'!B3234</f>
        <v>0</v>
      </c>
      <c r="E3232" s="247"/>
      <c r="F3232" s="248"/>
      <c r="G3232" s="249"/>
      <c r="H3232" s="330"/>
      <c r="I3232" s="328"/>
      <c r="J3232" s="249"/>
      <c r="K3232" s="330"/>
      <c r="L3232" s="250"/>
      <c r="M3232" s="249"/>
      <c r="N3232" s="330"/>
      <c r="O3232" s="250"/>
      <c r="P3232" s="249"/>
      <c r="Q3232" s="330"/>
      <c r="R3232" s="250"/>
      <c r="S3232" s="249"/>
      <c r="T3232" s="330"/>
      <c r="U3232" s="250"/>
      <c r="V3232" s="249"/>
      <c r="W3232" s="330"/>
      <c r="X3232" s="343"/>
      <c r="Y3232" s="249"/>
      <c r="Z3232" s="330"/>
      <c r="AA3232" s="343"/>
      <c r="AB3232" s="249"/>
      <c r="AC3232" s="330"/>
      <c r="AD3232" s="343"/>
      <c r="AE3232" s="249"/>
      <c r="AF3232" s="330"/>
      <c r="AG3232" s="343"/>
      <c r="AH3232" s="249"/>
      <c r="AI3232" s="330"/>
      <c r="AJ3232" s="343"/>
      <c r="AK3232" s="249"/>
      <c r="AL3232" s="330"/>
      <c r="AM3232" s="343"/>
      <c r="AN3232" s="249"/>
      <c r="AO3232" s="330"/>
      <c r="AP3232" s="343"/>
      <c r="AQ3232" s="249"/>
      <c r="AR3232" s="330"/>
      <c r="AS3232" s="343"/>
      <c r="AT3232" s="249"/>
      <c r="AU3232" s="330"/>
    </row>
    <row r="3233" spans="2:47">
      <c r="B3233" s="247">
        <f>'Table S2 Compound Identifiers'!C3235</f>
        <v>0</v>
      </c>
      <c r="C3233" s="247">
        <f>COUNTIF($D$6:D3233,"&lt;&gt;"&amp;"")</f>
        <v>3228</v>
      </c>
      <c r="D3233" s="247">
        <f>'Table S2 Compound Identifiers'!B3235</f>
        <v>0</v>
      </c>
      <c r="E3233" s="247"/>
      <c r="F3233" s="248"/>
      <c r="G3233" s="249"/>
      <c r="H3233" s="330"/>
      <c r="I3233" s="328"/>
      <c r="J3233" s="249"/>
      <c r="K3233" s="330"/>
      <c r="L3233" s="250"/>
      <c r="M3233" s="249"/>
      <c r="N3233" s="330"/>
      <c r="O3233" s="250"/>
      <c r="P3233" s="249"/>
      <c r="Q3233" s="330"/>
      <c r="R3233" s="250"/>
      <c r="S3233" s="249"/>
      <c r="T3233" s="330"/>
      <c r="U3233" s="250"/>
      <c r="V3233" s="249"/>
      <c r="W3233" s="330"/>
      <c r="X3233" s="343"/>
      <c r="Y3233" s="249"/>
      <c r="Z3233" s="330"/>
      <c r="AA3233" s="343"/>
      <c r="AB3233" s="249"/>
      <c r="AC3233" s="330"/>
      <c r="AD3233" s="343"/>
      <c r="AE3233" s="249"/>
      <c r="AF3233" s="330"/>
      <c r="AG3233" s="343"/>
      <c r="AH3233" s="249"/>
      <c r="AI3233" s="330"/>
      <c r="AJ3233" s="343"/>
      <c r="AK3233" s="249"/>
      <c r="AL3233" s="330"/>
      <c r="AM3233" s="343"/>
      <c r="AN3233" s="249"/>
      <c r="AO3233" s="330"/>
      <c r="AP3233" s="343"/>
      <c r="AQ3233" s="249"/>
      <c r="AR3233" s="330"/>
      <c r="AS3233" s="343"/>
      <c r="AT3233" s="249"/>
      <c r="AU3233" s="330"/>
    </row>
    <row r="3234" spans="2:47">
      <c r="B3234" s="247">
        <f>'Table S2 Compound Identifiers'!C3236</f>
        <v>0</v>
      </c>
      <c r="C3234" s="247">
        <f>COUNTIF($D$6:D3234,"&lt;&gt;"&amp;"")</f>
        <v>3229</v>
      </c>
      <c r="D3234" s="247">
        <f>'Table S2 Compound Identifiers'!B3236</f>
        <v>0</v>
      </c>
      <c r="E3234" s="247"/>
      <c r="F3234" s="248"/>
      <c r="G3234" s="249"/>
      <c r="H3234" s="330"/>
      <c r="I3234" s="328"/>
      <c r="J3234" s="249"/>
      <c r="K3234" s="330"/>
      <c r="L3234" s="250"/>
      <c r="M3234" s="249"/>
      <c r="N3234" s="330"/>
      <c r="O3234" s="250"/>
      <c r="P3234" s="249"/>
      <c r="Q3234" s="330"/>
      <c r="R3234" s="250"/>
      <c r="S3234" s="249"/>
      <c r="T3234" s="330"/>
      <c r="U3234" s="250"/>
      <c r="V3234" s="249"/>
      <c r="W3234" s="330"/>
      <c r="X3234" s="343"/>
      <c r="Y3234" s="249"/>
      <c r="Z3234" s="330"/>
      <c r="AA3234" s="343"/>
      <c r="AB3234" s="249"/>
      <c r="AC3234" s="330"/>
      <c r="AD3234" s="343"/>
      <c r="AE3234" s="249"/>
      <c r="AF3234" s="330"/>
      <c r="AG3234" s="343"/>
      <c r="AH3234" s="249"/>
      <c r="AI3234" s="330"/>
      <c r="AJ3234" s="343"/>
      <c r="AK3234" s="249"/>
      <c r="AL3234" s="330"/>
      <c r="AM3234" s="343"/>
      <c r="AN3234" s="249"/>
      <c r="AO3234" s="330"/>
      <c r="AP3234" s="343"/>
      <c r="AQ3234" s="249"/>
      <c r="AR3234" s="330"/>
      <c r="AS3234" s="343"/>
      <c r="AT3234" s="249"/>
      <c r="AU3234" s="330"/>
    </row>
    <row r="3235" spans="2:47">
      <c r="B3235" s="247">
        <f>'Table S2 Compound Identifiers'!C3237</f>
        <v>0</v>
      </c>
      <c r="C3235" s="247">
        <f>COUNTIF($D$6:D3235,"&lt;&gt;"&amp;"")</f>
        <v>3230</v>
      </c>
      <c r="D3235" s="247">
        <f>'Table S2 Compound Identifiers'!B3237</f>
        <v>0</v>
      </c>
      <c r="E3235" s="247"/>
      <c r="F3235" s="248"/>
      <c r="G3235" s="249"/>
      <c r="H3235" s="330"/>
      <c r="I3235" s="328"/>
      <c r="J3235" s="249"/>
      <c r="K3235" s="330"/>
      <c r="L3235" s="250"/>
      <c r="M3235" s="249"/>
      <c r="N3235" s="330"/>
      <c r="O3235" s="250"/>
      <c r="P3235" s="249"/>
      <c r="Q3235" s="330"/>
      <c r="R3235" s="250"/>
      <c r="S3235" s="249"/>
      <c r="T3235" s="330"/>
      <c r="U3235" s="250"/>
      <c r="V3235" s="249"/>
      <c r="W3235" s="330"/>
      <c r="X3235" s="343"/>
      <c r="Y3235" s="249"/>
      <c r="Z3235" s="330"/>
      <c r="AA3235" s="343"/>
      <c r="AB3235" s="249"/>
      <c r="AC3235" s="330"/>
      <c r="AD3235" s="343"/>
      <c r="AE3235" s="249"/>
      <c r="AF3235" s="330"/>
      <c r="AG3235" s="343"/>
      <c r="AH3235" s="249"/>
      <c r="AI3235" s="330"/>
      <c r="AJ3235" s="343"/>
      <c r="AK3235" s="249"/>
      <c r="AL3235" s="330"/>
      <c r="AM3235" s="343"/>
      <c r="AN3235" s="249"/>
      <c r="AO3235" s="330"/>
      <c r="AP3235" s="343"/>
      <c r="AQ3235" s="249"/>
      <c r="AR3235" s="330"/>
      <c r="AS3235" s="343"/>
      <c r="AT3235" s="249"/>
      <c r="AU3235" s="330"/>
    </row>
    <row r="3236" spans="2:47">
      <c r="B3236" s="247">
        <f>'Table S2 Compound Identifiers'!C3238</f>
        <v>0</v>
      </c>
      <c r="C3236" s="247">
        <f>COUNTIF($D$6:D3236,"&lt;&gt;"&amp;"")</f>
        <v>3231</v>
      </c>
      <c r="D3236" s="247">
        <f>'Table S2 Compound Identifiers'!B3238</f>
        <v>0</v>
      </c>
      <c r="E3236" s="247"/>
      <c r="F3236" s="248"/>
      <c r="G3236" s="249"/>
      <c r="H3236" s="330"/>
      <c r="I3236" s="328"/>
      <c r="J3236" s="249"/>
      <c r="K3236" s="330"/>
      <c r="L3236" s="250"/>
      <c r="M3236" s="249"/>
      <c r="N3236" s="330"/>
      <c r="O3236" s="250"/>
      <c r="P3236" s="249"/>
      <c r="Q3236" s="330"/>
      <c r="R3236" s="250"/>
      <c r="S3236" s="249"/>
      <c r="T3236" s="330"/>
      <c r="U3236" s="250"/>
      <c r="V3236" s="249"/>
      <c r="W3236" s="330"/>
      <c r="X3236" s="343"/>
      <c r="Y3236" s="249"/>
      <c r="Z3236" s="330"/>
      <c r="AA3236" s="343"/>
      <c r="AB3236" s="249"/>
      <c r="AC3236" s="330"/>
      <c r="AD3236" s="343"/>
      <c r="AE3236" s="249"/>
      <c r="AF3236" s="330"/>
      <c r="AG3236" s="343"/>
      <c r="AH3236" s="249"/>
      <c r="AI3236" s="330"/>
      <c r="AJ3236" s="343"/>
      <c r="AK3236" s="249"/>
      <c r="AL3236" s="330"/>
      <c r="AM3236" s="343"/>
      <c r="AN3236" s="249"/>
      <c r="AO3236" s="330"/>
      <c r="AP3236" s="343"/>
      <c r="AQ3236" s="249"/>
      <c r="AR3236" s="330"/>
      <c r="AS3236" s="343"/>
      <c r="AT3236" s="249"/>
      <c r="AU3236" s="330"/>
    </row>
    <row r="3237" spans="2:47">
      <c r="B3237" s="247">
        <f>'Table S2 Compound Identifiers'!C3239</f>
        <v>0</v>
      </c>
      <c r="C3237" s="247">
        <f>COUNTIF($D$6:D3237,"&lt;&gt;"&amp;"")</f>
        <v>3232</v>
      </c>
      <c r="D3237" s="247">
        <f>'Table S2 Compound Identifiers'!B3239</f>
        <v>0</v>
      </c>
      <c r="E3237" s="247"/>
      <c r="F3237" s="248"/>
      <c r="G3237" s="249"/>
      <c r="H3237" s="330"/>
      <c r="I3237" s="328"/>
      <c r="J3237" s="249"/>
      <c r="K3237" s="330"/>
      <c r="L3237" s="250"/>
      <c r="M3237" s="249"/>
      <c r="N3237" s="330"/>
      <c r="O3237" s="250"/>
      <c r="P3237" s="249"/>
      <c r="Q3237" s="330"/>
      <c r="R3237" s="250"/>
      <c r="S3237" s="249"/>
      <c r="T3237" s="330"/>
      <c r="U3237" s="250"/>
      <c r="V3237" s="249"/>
      <c r="W3237" s="330"/>
      <c r="X3237" s="343"/>
      <c r="Y3237" s="249"/>
      <c r="Z3237" s="330"/>
      <c r="AA3237" s="343"/>
      <c r="AB3237" s="249"/>
      <c r="AC3237" s="330"/>
      <c r="AD3237" s="343"/>
      <c r="AE3237" s="249"/>
      <c r="AF3237" s="330"/>
      <c r="AG3237" s="343"/>
      <c r="AH3237" s="249"/>
      <c r="AI3237" s="330"/>
      <c r="AJ3237" s="343"/>
      <c r="AK3237" s="249"/>
      <c r="AL3237" s="330"/>
      <c r="AM3237" s="343"/>
      <c r="AN3237" s="249"/>
      <c r="AO3237" s="330"/>
      <c r="AP3237" s="343"/>
      <c r="AQ3237" s="249"/>
      <c r="AR3237" s="330"/>
      <c r="AS3237" s="343"/>
      <c r="AT3237" s="249"/>
      <c r="AU3237" s="330"/>
    </row>
    <row r="3238" spans="2:47">
      <c r="B3238" s="247">
        <f>'Table S2 Compound Identifiers'!C3240</f>
        <v>0</v>
      </c>
      <c r="C3238" s="247">
        <f>COUNTIF($D$6:D3238,"&lt;&gt;"&amp;"")</f>
        <v>3233</v>
      </c>
      <c r="D3238" s="247">
        <f>'Table S2 Compound Identifiers'!B3240</f>
        <v>0</v>
      </c>
      <c r="E3238" s="247"/>
      <c r="F3238" s="248"/>
      <c r="G3238" s="249"/>
      <c r="H3238" s="330"/>
      <c r="I3238" s="328"/>
      <c r="J3238" s="249"/>
      <c r="K3238" s="330"/>
      <c r="L3238" s="250"/>
      <c r="M3238" s="249"/>
      <c r="N3238" s="330"/>
      <c r="O3238" s="250"/>
      <c r="P3238" s="249"/>
      <c r="Q3238" s="330"/>
      <c r="R3238" s="250"/>
      <c r="S3238" s="249"/>
      <c r="T3238" s="330"/>
      <c r="U3238" s="250"/>
      <c r="V3238" s="249"/>
      <c r="W3238" s="330"/>
      <c r="X3238" s="343"/>
      <c r="Y3238" s="249"/>
      <c r="Z3238" s="330"/>
      <c r="AA3238" s="343"/>
      <c r="AB3238" s="249"/>
      <c r="AC3238" s="330"/>
      <c r="AD3238" s="343"/>
      <c r="AE3238" s="249"/>
      <c r="AF3238" s="330"/>
      <c r="AG3238" s="343"/>
      <c r="AH3238" s="249"/>
      <c r="AI3238" s="330"/>
      <c r="AJ3238" s="343"/>
      <c r="AK3238" s="249"/>
      <c r="AL3238" s="330"/>
      <c r="AM3238" s="343"/>
      <c r="AN3238" s="249"/>
      <c r="AO3238" s="330"/>
      <c r="AP3238" s="343"/>
      <c r="AQ3238" s="249"/>
      <c r="AR3238" s="330"/>
      <c r="AS3238" s="343"/>
      <c r="AT3238" s="249"/>
      <c r="AU3238" s="330"/>
    </row>
    <row r="3239" spans="2:47">
      <c r="B3239" s="247">
        <f>'Table S2 Compound Identifiers'!C3241</f>
        <v>0</v>
      </c>
      <c r="C3239" s="247">
        <f>COUNTIF($D$6:D3239,"&lt;&gt;"&amp;"")</f>
        <v>3234</v>
      </c>
      <c r="D3239" s="247">
        <f>'Table S2 Compound Identifiers'!B3241</f>
        <v>0</v>
      </c>
      <c r="E3239" s="247"/>
      <c r="F3239" s="248"/>
      <c r="G3239" s="249"/>
      <c r="H3239" s="330"/>
      <c r="I3239" s="328"/>
      <c r="J3239" s="249"/>
      <c r="K3239" s="330"/>
      <c r="L3239" s="250"/>
      <c r="M3239" s="249"/>
      <c r="N3239" s="330"/>
      <c r="O3239" s="250"/>
      <c r="P3239" s="249"/>
      <c r="Q3239" s="330"/>
      <c r="R3239" s="250"/>
      <c r="S3239" s="249"/>
      <c r="T3239" s="330"/>
      <c r="U3239" s="250"/>
      <c r="V3239" s="249"/>
      <c r="W3239" s="330"/>
      <c r="X3239" s="343"/>
      <c r="Y3239" s="249"/>
      <c r="Z3239" s="330"/>
      <c r="AA3239" s="343"/>
      <c r="AB3239" s="249"/>
      <c r="AC3239" s="330"/>
      <c r="AD3239" s="343"/>
      <c r="AE3239" s="249"/>
      <c r="AF3239" s="330"/>
      <c r="AG3239" s="343"/>
      <c r="AH3239" s="249"/>
      <c r="AI3239" s="330"/>
      <c r="AJ3239" s="343"/>
      <c r="AK3239" s="249"/>
      <c r="AL3239" s="330"/>
      <c r="AM3239" s="343"/>
      <c r="AN3239" s="249"/>
      <c r="AO3239" s="330"/>
      <c r="AP3239" s="343"/>
      <c r="AQ3239" s="249"/>
      <c r="AR3239" s="330"/>
      <c r="AS3239" s="343"/>
      <c r="AT3239" s="249"/>
      <c r="AU3239" s="330"/>
    </row>
    <row r="3240" spans="2:47">
      <c r="B3240" s="247">
        <f>'Table S2 Compound Identifiers'!C3242</f>
        <v>0</v>
      </c>
      <c r="C3240" s="247">
        <f>COUNTIF($D$6:D3240,"&lt;&gt;"&amp;"")</f>
        <v>3235</v>
      </c>
      <c r="D3240" s="247">
        <f>'Table S2 Compound Identifiers'!B3242</f>
        <v>0</v>
      </c>
      <c r="E3240" s="247"/>
      <c r="F3240" s="248"/>
      <c r="G3240" s="249"/>
      <c r="H3240" s="330"/>
      <c r="I3240" s="328"/>
      <c r="J3240" s="249"/>
      <c r="K3240" s="330"/>
      <c r="L3240" s="250"/>
      <c r="M3240" s="249"/>
      <c r="N3240" s="330"/>
      <c r="O3240" s="250"/>
      <c r="P3240" s="249"/>
      <c r="Q3240" s="330"/>
      <c r="R3240" s="250"/>
      <c r="S3240" s="249"/>
      <c r="T3240" s="330"/>
      <c r="U3240" s="250"/>
      <c r="V3240" s="249"/>
      <c r="W3240" s="330"/>
      <c r="X3240" s="343"/>
      <c r="Y3240" s="249"/>
      <c r="Z3240" s="330"/>
      <c r="AA3240" s="343"/>
      <c r="AB3240" s="249"/>
      <c r="AC3240" s="330"/>
      <c r="AD3240" s="343"/>
      <c r="AE3240" s="249"/>
      <c r="AF3240" s="330"/>
      <c r="AG3240" s="343"/>
      <c r="AH3240" s="249"/>
      <c r="AI3240" s="330"/>
      <c r="AJ3240" s="343"/>
      <c r="AK3240" s="249"/>
      <c r="AL3240" s="330"/>
      <c r="AM3240" s="343"/>
      <c r="AN3240" s="249"/>
      <c r="AO3240" s="330"/>
      <c r="AP3240" s="343"/>
      <c r="AQ3240" s="249"/>
      <c r="AR3240" s="330"/>
      <c r="AS3240" s="343"/>
      <c r="AT3240" s="249"/>
      <c r="AU3240" s="330"/>
    </row>
    <row r="3241" spans="2:47">
      <c r="B3241" s="247">
        <f>'Table S2 Compound Identifiers'!C3243</f>
        <v>0</v>
      </c>
      <c r="C3241" s="247">
        <f>COUNTIF($D$6:D3241,"&lt;&gt;"&amp;"")</f>
        <v>3236</v>
      </c>
      <c r="D3241" s="247">
        <f>'Table S2 Compound Identifiers'!B3243</f>
        <v>0</v>
      </c>
      <c r="E3241" s="247"/>
      <c r="F3241" s="248"/>
      <c r="G3241" s="249"/>
      <c r="H3241" s="330"/>
      <c r="I3241" s="328"/>
      <c r="J3241" s="249"/>
      <c r="K3241" s="330"/>
      <c r="L3241" s="250"/>
      <c r="M3241" s="249"/>
      <c r="N3241" s="330"/>
      <c r="O3241" s="250"/>
      <c r="P3241" s="249"/>
      <c r="Q3241" s="330"/>
      <c r="R3241" s="250"/>
      <c r="S3241" s="249"/>
      <c r="T3241" s="330"/>
      <c r="U3241" s="250"/>
      <c r="V3241" s="249"/>
      <c r="W3241" s="330"/>
      <c r="X3241" s="343"/>
      <c r="Y3241" s="249"/>
      <c r="Z3241" s="330"/>
      <c r="AA3241" s="343"/>
      <c r="AB3241" s="249"/>
      <c r="AC3241" s="330"/>
      <c r="AD3241" s="343"/>
      <c r="AE3241" s="249"/>
      <c r="AF3241" s="330"/>
      <c r="AG3241" s="343"/>
      <c r="AH3241" s="249"/>
      <c r="AI3241" s="330"/>
      <c r="AJ3241" s="343"/>
      <c r="AK3241" s="249"/>
      <c r="AL3241" s="330"/>
      <c r="AM3241" s="343"/>
      <c r="AN3241" s="249"/>
      <c r="AO3241" s="330"/>
      <c r="AP3241" s="343"/>
      <c r="AQ3241" s="249"/>
      <c r="AR3241" s="330"/>
      <c r="AS3241" s="343"/>
      <c r="AT3241" s="249"/>
      <c r="AU3241" s="330"/>
    </row>
    <row r="3242" spans="2:47">
      <c r="B3242" s="247">
        <f>'Table S2 Compound Identifiers'!C3244</f>
        <v>0</v>
      </c>
      <c r="C3242" s="247">
        <f>COUNTIF($D$6:D3242,"&lt;&gt;"&amp;"")</f>
        <v>3237</v>
      </c>
      <c r="D3242" s="247">
        <f>'Table S2 Compound Identifiers'!B3244</f>
        <v>0</v>
      </c>
      <c r="E3242" s="247"/>
      <c r="F3242" s="248"/>
      <c r="G3242" s="249"/>
      <c r="H3242" s="330"/>
      <c r="I3242" s="328"/>
      <c r="J3242" s="249"/>
      <c r="K3242" s="330"/>
      <c r="L3242" s="250"/>
      <c r="M3242" s="249"/>
      <c r="N3242" s="330"/>
      <c r="O3242" s="250"/>
      <c r="P3242" s="249"/>
      <c r="Q3242" s="330"/>
      <c r="R3242" s="250"/>
      <c r="S3242" s="249"/>
      <c r="T3242" s="330"/>
      <c r="U3242" s="250"/>
      <c r="V3242" s="249"/>
      <c r="W3242" s="330"/>
      <c r="X3242" s="343"/>
      <c r="Y3242" s="249"/>
      <c r="Z3242" s="330"/>
      <c r="AA3242" s="343"/>
      <c r="AB3242" s="249"/>
      <c r="AC3242" s="330"/>
      <c r="AD3242" s="343"/>
      <c r="AE3242" s="249"/>
      <c r="AF3242" s="330"/>
      <c r="AG3242" s="343"/>
      <c r="AH3242" s="249"/>
      <c r="AI3242" s="330"/>
      <c r="AJ3242" s="343"/>
      <c r="AK3242" s="249"/>
      <c r="AL3242" s="330"/>
      <c r="AM3242" s="343"/>
      <c r="AN3242" s="249"/>
      <c r="AO3242" s="330"/>
      <c r="AP3242" s="343"/>
      <c r="AQ3242" s="249"/>
      <c r="AR3242" s="330"/>
      <c r="AS3242" s="343"/>
      <c r="AT3242" s="249"/>
      <c r="AU3242" s="330"/>
    </row>
    <row r="3243" spans="2:47">
      <c r="B3243" s="247">
        <f>'Table S2 Compound Identifiers'!C3245</f>
        <v>0</v>
      </c>
      <c r="C3243" s="247">
        <f>COUNTIF($D$6:D3243,"&lt;&gt;"&amp;"")</f>
        <v>3238</v>
      </c>
      <c r="D3243" s="247">
        <f>'Table S2 Compound Identifiers'!B3245</f>
        <v>0</v>
      </c>
      <c r="E3243" s="247"/>
      <c r="F3243" s="248"/>
      <c r="G3243" s="249"/>
      <c r="H3243" s="330"/>
      <c r="I3243" s="328"/>
      <c r="J3243" s="249"/>
      <c r="K3243" s="330"/>
      <c r="L3243" s="250"/>
      <c r="M3243" s="249"/>
      <c r="N3243" s="330"/>
      <c r="O3243" s="250"/>
      <c r="P3243" s="249"/>
      <c r="Q3243" s="330"/>
      <c r="R3243" s="250"/>
      <c r="S3243" s="249"/>
      <c r="T3243" s="330"/>
      <c r="U3243" s="250"/>
      <c r="V3243" s="249"/>
      <c r="W3243" s="330"/>
      <c r="X3243" s="343"/>
      <c r="Y3243" s="249"/>
      <c r="Z3243" s="330"/>
      <c r="AA3243" s="343"/>
      <c r="AB3243" s="249"/>
      <c r="AC3243" s="330"/>
      <c r="AD3243" s="343"/>
      <c r="AE3243" s="249"/>
      <c r="AF3243" s="330"/>
      <c r="AG3243" s="343"/>
      <c r="AH3243" s="249"/>
      <c r="AI3243" s="330"/>
      <c r="AJ3243" s="343"/>
      <c r="AK3243" s="249"/>
      <c r="AL3243" s="330"/>
      <c r="AM3243" s="343"/>
      <c r="AN3243" s="249"/>
      <c r="AO3243" s="330"/>
      <c r="AP3243" s="343"/>
      <c r="AQ3243" s="249"/>
      <c r="AR3243" s="330"/>
      <c r="AS3243" s="343"/>
      <c r="AT3243" s="249"/>
      <c r="AU3243" s="330"/>
    </row>
    <row r="3244" spans="2:47">
      <c r="B3244" s="247">
        <f>'Table S2 Compound Identifiers'!C3246</f>
        <v>0</v>
      </c>
      <c r="C3244" s="247">
        <f>COUNTIF($D$6:D3244,"&lt;&gt;"&amp;"")</f>
        <v>3239</v>
      </c>
      <c r="D3244" s="432">
        <f>'Table S2 Compound Identifiers'!B3246</f>
        <v>0</v>
      </c>
      <c r="E3244" s="247"/>
      <c r="F3244" s="248"/>
      <c r="G3244" s="249"/>
      <c r="H3244" s="330"/>
      <c r="I3244" s="328"/>
      <c r="J3244" s="249"/>
      <c r="K3244" s="330"/>
      <c r="L3244" s="250"/>
      <c r="M3244" s="249"/>
      <c r="N3244" s="330"/>
      <c r="O3244" s="250"/>
      <c r="P3244" s="249"/>
      <c r="Q3244" s="330"/>
      <c r="R3244" s="250"/>
      <c r="S3244" s="249"/>
      <c r="T3244" s="330"/>
      <c r="U3244" s="250"/>
      <c r="V3244" s="249"/>
      <c r="W3244" s="330"/>
      <c r="X3244" s="343"/>
      <c r="Y3244" s="249"/>
      <c r="Z3244" s="330"/>
      <c r="AA3244" s="343"/>
      <c r="AB3244" s="249"/>
      <c r="AC3244" s="330"/>
      <c r="AD3244" s="343"/>
      <c r="AE3244" s="249"/>
      <c r="AF3244" s="330"/>
      <c r="AG3244" s="343"/>
      <c r="AH3244" s="249"/>
      <c r="AI3244" s="330"/>
      <c r="AJ3244" s="343"/>
      <c r="AK3244" s="249"/>
      <c r="AL3244" s="330"/>
      <c r="AM3244" s="343"/>
      <c r="AN3244" s="249"/>
      <c r="AO3244" s="330"/>
      <c r="AP3244" s="343"/>
      <c r="AQ3244" s="249"/>
      <c r="AR3244" s="330"/>
      <c r="AS3244" s="343"/>
      <c r="AT3244" s="249"/>
      <c r="AU3244" s="330"/>
    </row>
    <row r="3245" spans="2:47">
      <c r="B3245" s="247">
        <f>'Table S2 Compound Identifiers'!C3247</f>
        <v>0</v>
      </c>
      <c r="C3245" s="247">
        <f>COUNTIF($D$6:D3245,"&lt;&gt;"&amp;"")</f>
        <v>3240</v>
      </c>
      <c r="D3245" s="432">
        <f>'Table S2 Compound Identifiers'!B3247</f>
        <v>0</v>
      </c>
      <c r="E3245" s="247"/>
      <c r="F3245" s="248"/>
      <c r="G3245" s="249"/>
      <c r="H3245" s="330"/>
      <c r="I3245" s="328"/>
      <c r="J3245" s="249"/>
      <c r="K3245" s="330"/>
      <c r="L3245" s="250"/>
      <c r="M3245" s="249"/>
      <c r="N3245" s="330"/>
      <c r="O3245" s="250"/>
      <c r="P3245" s="249"/>
      <c r="Q3245" s="330"/>
      <c r="R3245" s="250"/>
      <c r="S3245" s="249"/>
      <c r="T3245" s="330"/>
      <c r="U3245" s="250"/>
      <c r="V3245" s="249"/>
      <c r="W3245" s="330"/>
      <c r="X3245" s="343"/>
      <c r="Y3245" s="249"/>
      <c r="Z3245" s="330"/>
      <c r="AA3245" s="343"/>
      <c r="AB3245" s="249"/>
      <c r="AC3245" s="330"/>
      <c r="AD3245" s="343"/>
      <c r="AE3245" s="249"/>
      <c r="AF3245" s="330"/>
      <c r="AG3245" s="343"/>
      <c r="AH3245" s="249"/>
      <c r="AI3245" s="330"/>
      <c r="AJ3245" s="343"/>
      <c r="AK3245" s="249"/>
      <c r="AL3245" s="330"/>
      <c r="AM3245" s="343"/>
      <c r="AN3245" s="249"/>
      <c r="AO3245" s="330"/>
      <c r="AP3245" s="343"/>
      <c r="AQ3245" s="249"/>
      <c r="AR3245" s="330"/>
      <c r="AS3245" s="343"/>
      <c r="AT3245" s="249"/>
      <c r="AU3245" s="330"/>
    </row>
    <row r="3246" spans="2:47">
      <c r="B3246" s="247">
        <f>'Table S2 Compound Identifiers'!C3248</f>
        <v>0</v>
      </c>
      <c r="C3246" s="247">
        <f>COUNTIF($D$6:D3246,"&lt;&gt;"&amp;"")</f>
        <v>3241</v>
      </c>
      <c r="D3246" s="432">
        <f>'Table S2 Compound Identifiers'!B3248</f>
        <v>0</v>
      </c>
      <c r="E3246" s="247"/>
      <c r="F3246" s="248"/>
      <c r="G3246" s="249"/>
      <c r="H3246" s="330"/>
      <c r="I3246" s="328"/>
      <c r="J3246" s="249"/>
      <c r="K3246" s="330"/>
      <c r="L3246" s="250"/>
      <c r="M3246" s="249"/>
      <c r="N3246" s="330"/>
      <c r="O3246" s="250"/>
      <c r="P3246" s="249"/>
      <c r="Q3246" s="330"/>
      <c r="R3246" s="250"/>
      <c r="S3246" s="249"/>
      <c r="T3246" s="330"/>
      <c r="U3246" s="250"/>
      <c r="V3246" s="249"/>
      <c r="W3246" s="330"/>
      <c r="X3246" s="343"/>
      <c r="Y3246" s="249"/>
      <c r="Z3246" s="330"/>
      <c r="AA3246" s="343"/>
      <c r="AB3246" s="249"/>
      <c r="AC3246" s="330"/>
      <c r="AD3246" s="343"/>
      <c r="AE3246" s="249"/>
      <c r="AF3246" s="330"/>
      <c r="AG3246" s="343"/>
      <c r="AH3246" s="249"/>
      <c r="AI3246" s="330"/>
      <c r="AJ3246" s="343"/>
      <c r="AK3246" s="249"/>
      <c r="AL3246" s="330"/>
      <c r="AM3246" s="343"/>
      <c r="AN3246" s="249"/>
      <c r="AO3246" s="330"/>
      <c r="AP3246" s="343"/>
      <c r="AQ3246" s="249"/>
      <c r="AR3246" s="330"/>
      <c r="AS3246" s="343"/>
      <c r="AT3246" s="249"/>
      <c r="AU3246" s="330"/>
    </row>
    <row r="3247" spans="2:47">
      <c r="B3247" s="247">
        <f>'Table S2 Compound Identifiers'!C3249</f>
        <v>0</v>
      </c>
      <c r="C3247" s="247">
        <f>COUNTIF($D$6:D3247,"&lt;&gt;"&amp;"")</f>
        <v>3242</v>
      </c>
      <c r="D3247" s="432">
        <f>'Table S2 Compound Identifiers'!B3249</f>
        <v>0</v>
      </c>
      <c r="E3247" s="247"/>
      <c r="F3247" s="248"/>
      <c r="G3247" s="249"/>
      <c r="H3247" s="330"/>
      <c r="I3247" s="328"/>
      <c r="J3247" s="249"/>
      <c r="K3247" s="330"/>
      <c r="L3247" s="250"/>
      <c r="M3247" s="249"/>
      <c r="N3247" s="330"/>
      <c r="O3247" s="250"/>
      <c r="P3247" s="249"/>
      <c r="Q3247" s="330"/>
      <c r="R3247" s="250"/>
      <c r="S3247" s="249"/>
      <c r="T3247" s="330"/>
      <c r="U3247" s="250"/>
      <c r="V3247" s="249"/>
      <c r="W3247" s="330"/>
      <c r="X3247" s="343"/>
      <c r="Y3247" s="249"/>
      <c r="Z3247" s="330"/>
      <c r="AA3247" s="343"/>
      <c r="AB3247" s="249"/>
      <c r="AC3247" s="330"/>
      <c r="AD3247" s="343"/>
      <c r="AE3247" s="249"/>
      <c r="AF3247" s="330"/>
      <c r="AG3247" s="343"/>
      <c r="AH3247" s="249"/>
      <c r="AI3247" s="330"/>
      <c r="AJ3247" s="343"/>
      <c r="AK3247" s="249"/>
      <c r="AL3247" s="330"/>
      <c r="AM3247" s="343"/>
      <c r="AN3247" s="249"/>
      <c r="AO3247" s="330"/>
      <c r="AP3247" s="343"/>
      <c r="AQ3247" s="249"/>
      <c r="AR3247" s="330"/>
      <c r="AS3247" s="343"/>
      <c r="AT3247" s="249"/>
      <c r="AU3247" s="330"/>
    </row>
    <row r="3248" spans="2:47">
      <c r="B3248" s="247">
        <f>'Table S2 Compound Identifiers'!C3250</f>
        <v>0</v>
      </c>
      <c r="C3248" s="247">
        <f>COUNTIF($D$6:D3248,"&lt;&gt;"&amp;"")</f>
        <v>3243</v>
      </c>
      <c r="D3248" s="432">
        <f>'Table S2 Compound Identifiers'!B3250</f>
        <v>0</v>
      </c>
      <c r="E3248" s="247"/>
      <c r="F3248" s="248"/>
      <c r="G3248" s="249"/>
      <c r="H3248" s="330"/>
      <c r="I3248" s="328"/>
      <c r="J3248" s="249"/>
      <c r="K3248" s="330"/>
      <c r="L3248" s="250"/>
      <c r="M3248" s="249"/>
      <c r="N3248" s="330"/>
      <c r="O3248" s="250"/>
      <c r="P3248" s="249"/>
      <c r="Q3248" s="330"/>
      <c r="R3248" s="250"/>
      <c r="S3248" s="249"/>
      <c r="T3248" s="330"/>
      <c r="U3248" s="250"/>
      <c r="V3248" s="249"/>
      <c r="W3248" s="330"/>
      <c r="X3248" s="343"/>
      <c r="Y3248" s="249"/>
      <c r="Z3248" s="330"/>
      <c r="AA3248" s="343"/>
      <c r="AB3248" s="249"/>
      <c r="AC3248" s="330"/>
      <c r="AD3248" s="343"/>
      <c r="AE3248" s="249"/>
      <c r="AF3248" s="330"/>
      <c r="AG3248" s="343"/>
      <c r="AH3248" s="249"/>
      <c r="AI3248" s="330"/>
      <c r="AJ3248" s="343"/>
      <c r="AK3248" s="249"/>
      <c r="AL3248" s="330"/>
      <c r="AM3248" s="343"/>
      <c r="AN3248" s="249"/>
      <c r="AO3248" s="330"/>
      <c r="AP3248" s="343"/>
      <c r="AQ3248" s="249"/>
      <c r="AR3248" s="330"/>
      <c r="AS3248" s="343"/>
      <c r="AT3248" s="249"/>
      <c r="AU3248" s="330"/>
    </row>
    <row r="3249" spans="2:47">
      <c r="B3249" s="247">
        <f>'Table S2 Compound Identifiers'!C3251</f>
        <v>0</v>
      </c>
      <c r="C3249" s="247">
        <f>COUNTIF($D$6:D3249,"&lt;&gt;"&amp;"")</f>
        <v>3244</v>
      </c>
      <c r="D3249" s="432">
        <f>'Table S2 Compound Identifiers'!B3251</f>
        <v>0</v>
      </c>
      <c r="E3249" s="247"/>
      <c r="F3249" s="248"/>
      <c r="G3249" s="249"/>
      <c r="H3249" s="330"/>
      <c r="I3249" s="328"/>
      <c r="J3249" s="249"/>
      <c r="K3249" s="330"/>
      <c r="L3249" s="250"/>
      <c r="M3249" s="249"/>
      <c r="N3249" s="330"/>
      <c r="O3249" s="250"/>
      <c r="P3249" s="249"/>
      <c r="Q3249" s="330"/>
      <c r="R3249" s="250"/>
      <c r="S3249" s="249"/>
      <c r="T3249" s="330"/>
      <c r="U3249" s="250"/>
      <c r="V3249" s="249"/>
      <c r="W3249" s="330"/>
      <c r="X3249" s="343"/>
      <c r="Y3249" s="249"/>
      <c r="Z3249" s="330"/>
      <c r="AA3249" s="343"/>
      <c r="AB3249" s="249"/>
      <c r="AC3249" s="330"/>
      <c r="AD3249" s="343"/>
      <c r="AE3249" s="249"/>
      <c r="AF3249" s="330"/>
      <c r="AG3249" s="343"/>
      <c r="AH3249" s="249"/>
      <c r="AI3249" s="330"/>
      <c r="AJ3249" s="343"/>
      <c r="AK3249" s="249"/>
      <c r="AL3249" s="330"/>
      <c r="AM3249" s="343"/>
      <c r="AN3249" s="249"/>
      <c r="AO3249" s="330"/>
      <c r="AP3249" s="343"/>
      <c r="AQ3249" s="249"/>
      <c r="AR3249" s="330"/>
      <c r="AS3249" s="343"/>
      <c r="AT3249" s="249"/>
      <c r="AU3249" s="330"/>
    </row>
    <row r="3250" spans="2:47">
      <c r="B3250" s="247">
        <f>'Table S2 Compound Identifiers'!C3252</f>
        <v>0</v>
      </c>
      <c r="C3250" s="247">
        <f>COUNTIF($D$6:D3250,"&lt;&gt;"&amp;"")</f>
        <v>3245</v>
      </c>
      <c r="D3250" s="432">
        <f>'Table S2 Compound Identifiers'!B3252</f>
        <v>0</v>
      </c>
      <c r="E3250" s="247"/>
      <c r="F3250" s="248"/>
      <c r="G3250" s="249"/>
      <c r="H3250" s="330"/>
      <c r="I3250" s="328"/>
      <c r="J3250" s="249"/>
      <c r="K3250" s="330"/>
      <c r="L3250" s="250"/>
      <c r="M3250" s="249"/>
      <c r="N3250" s="330"/>
      <c r="O3250" s="250"/>
      <c r="P3250" s="249"/>
      <c r="Q3250" s="330"/>
      <c r="R3250" s="250"/>
      <c r="S3250" s="249"/>
      <c r="T3250" s="330"/>
      <c r="U3250" s="250"/>
      <c r="V3250" s="249"/>
      <c r="W3250" s="330"/>
      <c r="X3250" s="343"/>
      <c r="Y3250" s="249"/>
      <c r="Z3250" s="330"/>
      <c r="AA3250" s="343"/>
      <c r="AB3250" s="249"/>
      <c r="AC3250" s="330"/>
      <c r="AD3250" s="343"/>
      <c r="AE3250" s="249"/>
      <c r="AF3250" s="330"/>
      <c r="AG3250" s="343"/>
      <c r="AH3250" s="249"/>
      <c r="AI3250" s="330"/>
      <c r="AJ3250" s="343"/>
      <c r="AK3250" s="249"/>
      <c r="AL3250" s="330"/>
      <c r="AM3250" s="343"/>
      <c r="AN3250" s="249"/>
      <c r="AO3250" s="330"/>
      <c r="AP3250" s="343"/>
      <c r="AQ3250" s="249"/>
      <c r="AR3250" s="330"/>
      <c r="AS3250" s="343"/>
      <c r="AT3250" s="249"/>
      <c r="AU3250" s="330"/>
    </row>
    <row r="3251" spans="2:47">
      <c r="B3251" s="247">
        <f>'Table S2 Compound Identifiers'!C3253</f>
        <v>0</v>
      </c>
      <c r="C3251" s="247">
        <f>COUNTIF($D$6:D3251,"&lt;&gt;"&amp;"")</f>
        <v>3246</v>
      </c>
      <c r="D3251" s="432">
        <f>'Table S2 Compound Identifiers'!B3253</f>
        <v>0</v>
      </c>
      <c r="E3251" s="247"/>
      <c r="F3251" s="248"/>
      <c r="G3251" s="249"/>
      <c r="H3251" s="330"/>
      <c r="I3251" s="328"/>
      <c r="J3251" s="249"/>
      <c r="K3251" s="330"/>
      <c r="L3251" s="250"/>
      <c r="M3251" s="249"/>
      <c r="N3251" s="330"/>
      <c r="O3251" s="250"/>
      <c r="P3251" s="249"/>
      <c r="Q3251" s="330"/>
      <c r="R3251" s="250"/>
      <c r="S3251" s="249"/>
      <c r="T3251" s="330"/>
      <c r="U3251" s="250"/>
      <c r="V3251" s="249"/>
      <c r="W3251" s="330"/>
      <c r="X3251" s="343"/>
      <c r="Y3251" s="249"/>
      <c r="Z3251" s="330"/>
      <c r="AA3251" s="343"/>
      <c r="AB3251" s="249"/>
      <c r="AC3251" s="330"/>
      <c r="AD3251" s="343"/>
      <c r="AE3251" s="249"/>
      <c r="AF3251" s="330"/>
      <c r="AG3251" s="343"/>
      <c r="AH3251" s="249"/>
      <c r="AI3251" s="330"/>
      <c r="AJ3251" s="343"/>
      <c r="AK3251" s="249"/>
      <c r="AL3251" s="330"/>
      <c r="AM3251" s="343"/>
      <c r="AN3251" s="249"/>
      <c r="AO3251" s="330"/>
      <c r="AP3251" s="343"/>
      <c r="AQ3251" s="249"/>
      <c r="AR3251" s="330"/>
      <c r="AS3251" s="343"/>
      <c r="AT3251" s="249"/>
      <c r="AU3251" s="330"/>
    </row>
    <row r="3252" spans="2:47">
      <c r="B3252" s="247">
        <f>'Table S2 Compound Identifiers'!C3254</f>
        <v>0</v>
      </c>
      <c r="C3252" s="247">
        <f>COUNTIF($D$6:D3252,"&lt;&gt;"&amp;"")</f>
        <v>3247</v>
      </c>
      <c r="D3252" s="432">
        <f>'Table S2 Compound Identifiers'!B3254</f>
        <v>0</v>
      </c>
      <c r="E3252" s="247"/>
      <c r="F3252" s="248"/>
      <c r="G3252" s="249"/>
      <c r="H3252" s="330"/>
      <c r="I3252" s="328"/>
      <c r="J3252" s="249"/>
      <c r="K3252" s="330"/>
      <c r="L3252" s="250"/>
      <c r="M3252" s="249"/>
      <c r="N3252" s="330"/>
      <c r="O3252" s="250"/>
      <c r="P3252" s="249"/>
      <c r="Q3252" s="330"/>
      <c r="R3252" s="250"/>
      <c r="S3252" s="249"/>
      <c r="T3252" s="330"/>
      <c r="U3252" s="250"/>
      <c r="V3252" s="249"/>
      <c r="W3252" s="330"/>
      <c r="X3252" s="343"/>
      <c r="Y3252" s="249"/>
      <c r="Z3252" s="330"/>
      <c r="AA3252" s="343"/>
      <c r="AB3252" s="249"/>
      <c r="AC3252" s="330"/>
      <c r="AD3252" s="343"/>
      <c r="AE3252" s="249"/>
      <c r="AF3252" s="330"/>
      <c r="AG3252" s="343"/>
      <c r="AH3252" s="249"/>
      <c r="AI3252" s="330"/>
      <c r="AJ3252" s="343"/>
      <c r="AK3252" s="249"/>
      <c r="AL3252" s="330"/>
      <c r="AM3252" s="343"/>
      <c r="AN3252" s="249"/>
      <c r="AO3252" s="330"/>
      <c r="AP3252" s="343"/>
      <c r="AQ3252" s="249"/>
      <c r="AR3252" s="330"/>
      <c r="AS3252" s="343"/>
      <c r="AT3252" s="249"/>
      <c r="AU3252" s="330"/>
    </row>
    <row r="3253" spans="2:47">
      <c r="B3253" s="247">
        <f>'Table S2 Compound Identifiers'!C3255</f>
        <v>0</v>
      </c>
      <c r="C3253" s="247">
        <f>COUNTIF($D$6:D3253,"&lt;&gt;"&amp;"")</f>
        <v>3248</v>
      </c>
      <c r="D3253" s="432">
        <f>'Table S2 Compound Identifiers'!B3255</f>
        <v>0</v>
      </c>
      <c r="E3253" s="247"/>
      <c r="F3253" s="248"/>
      <c r="G3253" s="249"/>
      <c r="H3253" s="330"/>
      <c r="I3253" s="328"/>
      <c r="J3253" s="249"/>
      <c r="K3253" s="330"/>
      <c r="L3253" s="250"/>
      <c r="M3253" s="249"/>
      <c r="N3253" s="330"/>
      <c r="O3253" s="250"/>
      <c r="P3253" s="249"/>
      <c r="Q3253" s="330"/>
      <c r="R3253" s="250"/>
      <c r="S3253" s="249"/>
      <c r="T3253" s="330"/>
      <c r="U3253" s="250"/>
      <c r="V3253" s="249"/>
      <c r="W3253" s="330"/>
      <c r="X3253" s="343"/>
      <c r="Y3253" s="249"/>
      <c r="Z3253" s="330"/>
      <c r="AA3253" s="343"/>
      <c r="AB3253" s="249"/>
      <c r="AC3253" s="330"/>
      <c r="AD3253" s="343"/>
      <c r="AE3253" s="249"/>
      <c r="AF3253" s="330"/>
      <c r="AG3253" s="343"/>
      <c r="AH3253" s="249"/>
      <c r="AI3253" s="330"/>
      <c r="AJ3253" s="343"/>
      <c r="AK3253" s="249"/>
      <c r="AL3253" s="330"/>
      <c r="AM3253" s="343"/>
      <c r="AN3253" s="249"/>
      <c r="AO3253" s="330"/>
      <c r="AP3253" s="343"/>
      <c r="AQ3253" s="249"/>
      <c r="AR3253" s="330"/>
      <c r="AS3253" s="343"/>
      <c r="AT3253" s="249"/>
      <c r="AU3253" s="330"/>
    </row>
    <row r="3254" spans="2:47">
      <c r="B3254" s="247">
        <f>'Table S2 Compound Identifiers'!C3256</f>
        <v>0</v>
      </c>
      <c r="C3254" s="247">
        <f>COUNTIF($D$6:D3254,"&lt;&gt;"&amp;"")</f>
        <v>3249</v>
      </c>
      <c r="D3254" s="247">
        <f>'Table S2 Compound Identifiers'!B3256</f>
        <v>0</v>
      </c>
      <c r="E3254" s="247"/>
      <c r="F3254" s="248"/>
      <c r="G3254" s="249"/>
      <c r="H3254" s="330"/>
      <c r="I3254" s="328"/>
      <c r="J3254" s="249"/>
      <c r="K3254" s="330"/>
      <c r="L3254" s="250"/>
      <c r="M3254" s="249"/>
      <c r="N3254" s="330"/>
      <c r="O3254" s="250"/>
      <c r="P3254" s="249"/>
      <c r="Q3254" s="330"/>
      <c r="R3254" s="250"/>
      <c r="S3254" s="249"/>
      <c r="T3254" s="330"/>
      <c r="U3254" s="250"/>
      <c r="V3254" s="249"/>
      <c r="W3254" s="330"/>
      <c r="X3254" s="343"/>
      <c r="Y3254" s="249"/>
      <c r="Z3254" s="330"/>
      <c r="AA3254" s="343"/>
      <c r="AB3254" s="249"/>
      <c r="AC3254" s="330"/>
      <c r="AD3254" s="343"/>
      <c r="AE3254" s="249"/>
      <c r="AF3254" s="330"/>
      <c r="AG3254" s="343"/>
      <c r="AH3254" s="249"/>
      <c r="AI3254" s="330"/>
      <c r="AJ3254" s="343"/>
      <c r="AK3254" s="249"/>
      <c r="AL3254" s="330"/>
      <c r="AM3254" s="343"/>
      <c r="AN3254" s="249"/>
      <c r="AO3254" s="330"/>
      <c r="AP3254" s="343"/>
      <c r="AQ3254" s="249"/>
      <c r="AR3254" s="330"/>
      <c r="AS3254" s="343"/>
      <c r="AT3254" s="249"/>
      <c r="AU3254" s="330"/>
    </row>
    <row r="3255" spans="2:47">
      <c r="B3255" s="247">
        <f>'Table S2 Compound Identifiers'!C3257</f>
        <v>0</v>
      </c>
      <c r="C3255" s="247">
        <f>COUNTIF($D$6:D3255,"&lt;&gt;"&amp;"")</f>
        <v>3250</v>
      </c>
      <c r="D3255" s="247">
        <f>'Table S2 Compound Identifiers'!B3257</f>
        <v>0</v>
      </c>
      <c r="E3255" s="247"/>
      <c r="F3255" s="248"/>
      <c r="G3255" s="249"/>
      <c r="H3255" s="330"/>
      <c r="I3255" s="328"/>
      <c r="J3255" s="249"/>
      <c r="K3255" s="330"/>
      <c r="L3255" s="250"/>
      <c r="M3255" s="249"/>
      <c r="N3255" s="330"/>
      <c r="O3255" s="250"/>
      <c r="P3255" s="249"/>
      <c r="Q3255" s="330"/>
      <c r="R3255" s="250"/>
      <c r="S3255" s="249"/>
      <c r="T3255" s="330"/>
      <c r="U3255" s="250"/>
      <c r="V3255" s="249"/>
      <c r="W3255" s="330"/>
      <c r="X3255" s="343"/>
      <c r="Y3255" s="249"/>
      <c r="Z3255" s="330"/>
      <c r="AA3255" s="343"/>
      <c r="AB3255" s="249"/>
      <c r="AC3255" s="330"/>
      <c r="AD3255" s="343"/>
      <c r="AE3255" s="249"/>
      <c r="AF3255" s="330"/>
      <c r="AG3255" s="343"/>
      <c r="AH3255" s="249"/>
      <c r="AI3255" s="330"/>
      <c r="AJ3255" s="343"/>
      <c r="AK3255" s="249"/>
      <c r="AL3255" s="330"/>
      <c r="AM3255" s="343"/>
      <c r="AN3255" s="249"/>
      <c r="AO3255" s="330"/>
      <c r="AP3255" s="343"/>
      <c r="AQ3255" s="249"/>
      <c r="AR3255" s="330"/>
      <c r="AS3255" s="343"/>
      <c r="AT3255" s="249"/>
      <c r="AU3255" s="330"/>
    </row>
    <row r="3256" spans="2:47">
      <c r="B3256" s="247">
        <f>'Table S2 Compound Identifiers'!C3258</f>
        <v>0</v>
      </c>
      <c r="C3256" s="247">
        <f>COUNTIF($D$6:D3256,"&lt;&gt;"&amp;"")</f>
        <v>3251</v>
      </c>
      <c r="D3256" s="247">
        <f>'Table S2 Compound Identifiers'!B3258</f>
        <v>0</v>
      </c>
      <c r="E3256" s="247"/>
      <c r="F3256" s="248"/>
      <c r="G3256" s="249"/>
      <c r="H3256" s="330"/>
      <c r="I3256" s="328"/>
      <c r="J3256" s="249"/>
      <c r="K3256" s="330"/>
      <c r="L3256" s="250"/>
      <c r="M3256" s="249"/>
      <c r="N3256" s="330"/>
      <c r="O3256" s="250"/>
      <c r="P3256" s="249"/>
      <c r="Q3256" s="330"/>
      <c r="R3256" s="250"/>
      <c r="S3256" s="249"/>
      <c r="T3256" s="330"/>
      <c r="U3256" s="250"/>
      <c r="V3256" s="249"/>
      <c r="W3256" s="330"/>
      <c r="X3256" s="343"/>
      <c r="Y3256" s="249"/>
      <c r="Z3256" s="330"/>
      <c r="AA3256" s="343"/>
      <c r="AB3256" s="249"/>
      <c r="AC3256" s="330"/>
      <c r="AD3256" s="343"/>
      <c r="AE3256" s="249"/>
      <c r="AF3256" s="330"/>
      <c r="AG3256" s="343"/>
      <c r="AH3256" s="249"/>
      <c r="AI3256" s="330"/>
      <c r="AJ3256" s="343"/>
      <c r="AK3256" s="249"/>
      <c r="AL3256" s="330"/>
      <c r="AM3256" s="343"/>
      <c r="AN3256" s="249"/>
      <c r="AO3256" s="330"/>
      <c r="AP3256" s="343"/>
      <c r="AQ3256" s="249"/>
      <c r="AR3256" s="330"/>
      <c r="AS3256" s="343"/>
      <c r="AT3256" s="249"/>
      <c r="AU3256" s="330"/>
    </row>
    <row r="3257" spans="2:47">
      <c r="B3257" s="247">
        <f>'Table S2 Compound Identifiers'!C3259</f>
        <v>0</v>
      </c>
      <c r="C3257" s="247">
        <f>COUNTIF($D$6:D3257,"&lt;&gt;"&amp;"")</f>
        <v>3252</v>
      </c>
      <c r="D3257" s="247">
        <f>'Table S2 Compound Identifiers'!B3259</f>
        <v>0</v>
      </c>
      <c r="E3257" s="247"/>
      <c r="F3257" s="248"/>
      <c r="G3257" s="249"/>
      <c r="H3257" s="330"/>
      <c r="I3257" s="328"/>
      <c r="J3257" s="249"/>
      <c r="K3257" s="330"/>
      <c r="L3257" s="250"/>
      <c r="M3257" s="249"/>
      <c r="N3257" s="330"/>
      <c r="O3257" s="250"/>
      <c r="P3257" s="249"/>
      <c r="Q3257" s="330"/>
      <c r="R3257" s="250"/>
      <c r="S3257" s="249"/>
      <c r="T3257" s="330"/>
      <c r="U3257" s="250"/>
      <c r="V3257" s="249"/>
      <c r="W3257" s="330"/>
      <c r="X3257" s="343"/>
      <c r="Y3257" s="249"/>
      <c r="Z3257" s="330"/>
      <c r="AA3257" s="343"/>
      <c r="AB3257" s="249"/>
      <c r="AC3257" s="330"/>
      <c r="AD3257" s="343"/>
      <c r="AE3257" s="249"/>
      <c r="AF3257" s="330"/>
      <c r="AG3257" s="343"/>
      <c r="AH3257" s="249"/>
      <c r="AI3257" s="330"/>
      <c r="AJ3257" s="343"/>
      <c r="AK3257" s="249"/>
      <c r="AL3257" s="330"/>
      <c r="AM3257" s="343"/>
      <c r="AN3257" s="249"/>
      <c r="AO3257" s="330"/>
      <c r="AP3257" s="343"/>
      <c r="AQ3257" s="249"/>
      <c r="AR3257" s="330"/>
      <c r="AS3257" s="343"/>
      <c r="AT3257" s="249"/>
      <c r="AU3257" s="330"/>
    </row>
    <row r="3258" spans="2:47">
      <c r="B3258" s="247">
        <f>'Table S2 Compound Identifiers'!C3260</f>
        <v>0</v>
      </c>
      <c r="C3258" s="247">
        <f>COUNTIF($D$6:D3258,"&lt;&gt;"&amp;"")</f>
        <v>3253</v>
      </c>
      <c r="D3258" s="247">
        <f>'Table S2 Compound Identifiers'!B3260</f>
        <v>0</v>
      </c>
      <c r="E3258" s="247"/>
      <c r="F3258" s="248"/>
      <c r="G3258" s="249"/>
      <c r="H3258" s="330"/>
      <c r="I3258" s="328"/>
      <c r="J3258" s="249"/>
      <c r="K3258" s="330"/>
      <c r="L3258" s="250"/>
      <c r="M3258" s="249"/>
      <c r="N3258" s="330"/>
      <c r="O3258" s="250"/>
      <c r="P3258" s="249"/>
      <c r="Q3258" s="330"/>
      <c r="R3258" s="250"/>
      <c r="S3258" s="249"/>
      <c r="T3258" s="330"/>
      <c r="U3258" s="250"/>
      <c r="V3258" s="249"/>
      <c r="W3258" s="330"/>
      <c r="X3258" s="343"/>
      <c r="Y3258" s="249"/>
      <c r="Z3258" s="330"/>
      <c r="AA3258" s="343"/>
      <c r="AB3258" s="249"/>
      <c r="AC3258" s="330"/>
      <c r="AD3258" s="343"/>
      <c r="AE3258" s="249"/>
      <c r="AF3258" s="330"/>
      <c r="AG3258" s="343"/>
      <c r="AH3258" s="249"/>
      <c r="AI3258" s="330"/>
      <c r="AJ3258" s="343"/>
      <c r="AK3258" s="249"/>
      <c r="AL3258" s="330"/>
      <c r="AM3258" s="343"/>
      <c r="AN3258" s="249"/>
      <c r="AO3258" s="330"/>
      <c r="AP3258" s="343"/>
      <c r="AQ3258" s="249"/>
      <c r="AR3258" s="330"/>
      <c r="AS3258" s="343"/>
      <c r="AT3258" s="249"/>
      <c r="AU3258" s="330"/>
    </row>
    <row r="3259" spans="2:47">
      <c r="B3259" s="247">
        <f>'Table S2 Compound Identifiers'!C3261</f>
        <v>0</v>
      </c>
      <c r="C3259" s="247">
        <f>COUNTIF($D$6:D3259,"&lt;&gt;"&amp;"")</f>
        <v>3254</v>
      </c>
      <c r="D3259" s="247">
        <f>'Table S2 Compound Identifiers'!B3261</f>
        <v>0</v>
      </c>
      <c r="E3259" s="247"/>
      <c r="F3259" s="248"/>
      <c r="G3259" s="249"/>
      <c r="H3259" s="330"/>
      <c r="I3259" s="328"/>
      <c r="J3259" s="249"/>
      <c r="K3259" s="330"/>
      <c r="L3259" s="250"/>
      <c r="M3259" s="249"/>
      <c r="N3259" s="330"/>
      <c r="O3259" s="250"/>
      <c r="P3259" s="249"/>
      <c r="Q3259" s="330"/>
      <c r="R3259" s="250"/>
      <c r="S3259" s="249"/>
      <c r="T3259" s="330"/>
      <c r="U3259" s="250"/>
      <c r="V3259" s="249"/>
      <c r="W3259" s="330"/>
      <c r="X3259" s="343"/>
      <c r="Y3259" s="249"/>
      <c r="Z3259" s="330"/>
      <c r="AA3259" s="343"/>
      <c r="AB3259" s="249"/>
      <c r="AC3259" s="330"/>
      <c r="AD3259" s="343"/>
      <c r="AE3259" s="249"/>
      <c r="AF3259" s="330"/>
      <c r="AG3259" s="343"/>
      <c r="AH3259" s="249"/>
      <c r="AI3259" s="330"/>
      <c r="AJ3259" s="343"/>
      <c r="AK3259" s="249"/>
      <c r="AL3259" s="330"/>
      <c r="AM3259" s="343"/>
      <c r="AN3259" s="249"/>
      <c r="AO3259" s="330"/>
      <c r="AP3259" s="343"/>
      <c r="AQ3259" s="249"/>
      <c r="AR3259" s="330"/>
      <c r="AS3259" s="343"/>
      <c r="AT3259" s="249"/>
      <c r="AU3259" s="330"/>
    </row>
    <row r="3260" spans="2:47">
      <c r="B3260" s="247">
        <f>'Table S2 Compound Identifiers'!C3262</f>
        <v>0</v>
      </c>
      <c r="C3260" s="247">
        <f>COUNTIF($D$6:D3260,"&lt;&gt;"&amp;"")</f>
        <v>3255</v>
      </c>
      <c r="D3260" s="247">
        <f>'Table S2 Compound Identifiers'!B3262</f>
        <v>0</v>
      </c>
      <c r="E3260" s="247"/>
      <c r="F3260" s="248"/>
      <c r="G3260" s="249"/>
      <c r="H3260" s="330"/>
      <c r="I3260" s="328"/>
      <c r="J3260" s="249"/>
      <c r="K3260" s="330"/>
      <c r="L3260" s="250"/>
      <c r="M3260" s="249"/>
      <c r="N3260" s="330"/>
      <c r="O3260" s="251"/>
      <c r="P3260" s="252"/>
      <c r="Q3260" s="330"/>
      <c r="R3260" s="251"/>
      <c r="S3260" s="252"/>
      <c r="T3260" s="330"/>
      <c r="U3260" s="251"/>
      <c r="V3260" s="252"/>
      <c r="W3260" s="330"/>
      <c r="X3260" s="343"/>
      <c r="Y3260" s="249"/>
      <c r="Z3260" s="330"/>
      <c r="AA3260" s="343"/>
      <c r="AB3260" s="249"/>
      <c r="AC3260" s="330"/>
      <c r="AD3260" s="343"/>
      <c r="AE3260" s="249"/>
      <c r="AF3260" s="330"/>
      <c r="AG3260" s="343"/>
      <c r="AH3260" s="249"/>
      <c r="AI3260" s="330"/>
      <c r="AJ3260" s="343"/>
      <c r="AK3260" s="249"/>
      <c r="AL3260" s="330"/>
      <c r="AM3260" s="343"/>
      <c r="AN3260" s="249"/>
      <c r="AO3260" s="330"/>
      <c r="AP3260" s="343"/>
      <c r="AQ3260" s="249"/>
      <c r="AR3260" s="330"/>
      <c r="AS3260" s="343"/>
      <c r="AT3260" s="249"/>
      <c r="AU3260" s="330"/>
    </row>
    <row r="3261" spans="2:47">
      <c r="B3261" s="247">
        <f>'Table S2 Compound Identifiers'!C3263</f>
        <v>0</v>
      </c>
      <c r="C3261" s="253">
        <f>COUNTIF($D$6:D3261,"&lt;&gt;"&amp;"")</f>
        <v>3256</v>
      </c>
      <c r="D3261" s="253">
        <f>'Table S2 Compound Identifiers'!B3263</f>
        <v>0</v>
      </c>
      <c r="E3261" s="253"/>
      <c r="F3261" s="254"/>
      <c r="G3261" s="252"/>
      <c r="H3261" s="330"/>
      <c r="I3261" s="333"/>
      <c r="J3261" s="252"/>
      <c r="K3261" s="330"/>
      <c r="L3261" s="251"/>
      <c r="M3261" s="252"/>
      <c r="N3261" s="330"/>
      <c r="O3261" s="251"/>
      <c r="P3261" s="252"/>
      <c r="Q3261" s="330"/>
      <c r="R3261" s="251"/>
      <c r="S3261" s="252"/>
      <c r="T3261" s="330"/>
      <c r="U3261" s="251"/>
      <c r="V3261" s="252"/>
      <c r="W3261" s="330"/>
      <c r="X3261" s="343"/>
      <c r="Y3261" s="249"/>
      <c r="Z3261" s="330"/>
      <c r="AA3261" s="343"/>
      <c r="AB3261" s="249"/>
      <c r="AC3261" s="330"/>
      <c r="AD3261" s="343"/>
      <c r="AE3261" s="249"/>
      <c r="AF3261" s="330"/>
      <c r="AG3261" s="343"/>
      <c r="AH3261" s="249"/>
      <c r="AI3261" s="330"/>
      <c r="AJ3261" s="343"/>
      <c r="AK3261" s="249"/>
      <c r="AL3261" s="330"/>
      <c r="AM3261" s="343"/>
      <c r="AN3261" s="249"/>
      <c r="AO3261" s="330"/>
      <c r="AP3261" s="343"/>
      <c r="AQ3261" s="249"/>
      <c r="AR3261" s="330"/>
      <c r="AS3261" s="343"/>
      <c r="AT3261" s="249"/>
      <c r="AU3261" s="330"/>
    </row>
    <row r="3262" spans="2:47">
      <c r="B3262" s="247">
        <f>'Table S2 Compound Identifiers'!C3264</f>
        <v>0</v>
      </c>
      <c r="C3262" s="247">
        <f>COUNTIF($D$6:D3262,"&lt;&gt;"&amp;"")</f>
        <v>3257</v>
      </c>
      <c r="D3262" s="247">
        <f>'Table S2 Compound Identifiers'!B3264</f>
        <v>0</v>
      </c>
      <c r="E3262" s="247"/>
      <c r="F3262" s="248"/>
      <c r="G3262" s="250"/>
      <c r="H3262" s="330"/>
      <c r="I3262" s="343"/>
      <c r="J3262" s="249"/>
      <c r="K3262" s="327"/>
      <c r="L3262" s="343"/>
      <c r="M3262" s="249"/>
      <c r="N3262" s="327"/>
      <c r="O3262" s="343"/>
      <c r="P3262" s="249"/>
      <c r="Q3262" s="327"/>
      <c r="R3262" s="343"/>
      <c r="S3262" s="249"/>
      <c r="T3262" s="327"/>
      <c r="U3262" s="343"/>
      <c r="V3262" s="249"/>
      <c r="W3262" s="327"/>
      <c r="X3262" s="343"/>
      <c r="Y3262" s="249"/>
      <c r="Z3262" s="327"/>
      <c r="AA3262" s="343"/>
      <c r="AB3262" s="249"/>
      <c r="AC3262" s="343"/>
      <c r="AD3262" s="343"/>
      <c r="AE3262" s="249"/>
      <c r="AF3262" s="249"/>
      <c r="AG3262" s="343"/>
      <c r="AH3262" s="249"/>
      <c r="AI3262" s="343"/>
      <c r="AJ3262" s="343"/>
      <c r="AK3262" s="249"/>
      <c r="AL3262" s="249"/>
      <c r="AM3262" s="343"/>
      <c r="AN3262" s="249"/>
      <c r="AO3262" s="343"/>
      <c r="AP3262" s="343"/>
      <c r="AQ3262" s="249"/>
      <c r="AR3262" s="249"/>
      <c r="AS3262" s="343"/>
      <c r="AT3262" s="249"/>
      <c r="AU3262" s="343"/>
    </row>
    <row r="3263" spans="2:47">
      <c r="B3263" s="247">
        <f>'Table S2 Compound Identifiers'!C3265</f>
        <v>0</v>
      </c>
      <c r="C3263" s="247">
        <f>COUNTIF($D$6:D3263,"&lt;&gt;"&amp;"")</f>
        <v>3258</v>
      </c>
      <c r="D3263" s="247">
        <f>'Table S2 Compound Identifiers'!B3265</f>
        <v>0</v>
      </c>
      <c r="E3263" s="247"/>
      <c r="F3263" s="248"/>
      <c r="G3263" s="249"/>
      <c r="H3263" s="330"/>
      <c r="I3263" s="332"/>
      <c r="J3263" s="330"/>
      <c r="K3263" s="330"/>
      <c r="L3263" s="330"/>
      <c r="M3263" s="330"/>
      <c r="N3263" s="330"/>
      <c r="O3263" s="330"/>
      <c r="P3263" s="330"/>
      <c r="Q3263" s="330"/>
      <c r="R3263" s="330"/>
      <c r="S3263" s="330"/>
      <c r="T3263" s="330"/>
      <c r="U3263" s="330"/>
      <c r="V3263" s="330"/>
      <c r="W3263" s="330"/>
      <c r="X3263" s="343"/>
      <c r="Y3263" s="249"/>
      <c r="Z3263" s="330"/>
      <c r="AA3263" s="343"/>
      <c r="AB3263" s="249"/>
      <c r="AC3263" s="330"/>
      <c r="AD3263" s="343"/>
      <c r="AE3263" s="249"/>
      <c r="AF3263" s="330"/>
      <c r="AG3263" s="343"/>
      <c r="AH3263" s="249"/>
      <c r="AI3263" s="330"/>
      <c r="AJ3263" s="343"/>
      <c r="AK3263" s="249"/>
      <c r="AL3263" s="330"/>
      <c r="AM3263" s="343"/>
      <c r="AN3263" s="249"/>
      <c r="AO3263" s="330"/>
      <c r="AP3263" s="343"/>
      <c r="AQ3263" s="249"/>
      <c r="AR3263" s="330"/>
      <c r="AS3263" s="343"/>
      <c r="AT3263" s="249"/>
      <c r="AU3263" s="330"/>
    </row>
    <row r="3264" spans="2:47">
      <c r="B3264" s="247">
        <f>'Table S2 Compound Identifiers'!C3266</f>
        <v>0</v>
      </c>
      <c r="C3264" s="247">
        <f>COUNTIF($D$6:D3264,"&lt;&gt;"&amp;"")</f>
        <v>3259</v>
      </c>
      <c r="D3264" s="247">
        <f>'Table S2 Compound Identifiers'!B3266</f>
        <v>0</v>
      </c>
      <c r="E3264" s="247"/>
      <c r="F3264" s="248"/>
      <c r="G3264" s="249"/>
      <c r="H3264" s="330"/>
      <c r="I3264" s="332"/>
      <c r="J3264" s="330"/>
      <c r="K3264" s="330"/>
      <c r="L3264" s="330"/>
      <c r="M3264" s="330"/>
      <c r="N3264" s="330"/>
      <c r="O3264" s="330"/>
      <c r="P3264" s="330"/>
      <c r="Q3264" s="330"/>
      <c r="R3264" s="330"/>
      <c r="S3264" s="330"/>
      <c r="T3264" s="330"/>
      <c r="U3264" s="330"/>
      <c r="V3264" s="330"/>
      <c r="W3264" s="330"/>
      <c r="X3264" s="343"/>
      <c r="Y3264" s="249"/>
      <c r="Z3264" s="330"/>
      <c r="AA3264" s="343"/>
      <c r="AB3264" s="249"/>
      <c r="AC3264" s="330"/>
      <c r="AD3264" s="343"/>
      <c r="AE3264" s="249"/>
      <c r="AF3264" s="330"/>
      <c r="AG3264" s="343"/>
      <c r="AH3264" s="249"/>
      <c r="AI3264" s="330"/>
      <c r="AJ3264" s="343"/>
      <c r="AK3264" s="249"/>
      <c r="AL3264" s="330"/>
      <c r="AM3264" s="343"/>
      <c r="AN3264" s="249"/>
      <c r="AO3264" s="330"/>
      <c r="AP3264" s="343"/>
      <c r="AQ3264" s="249"/>
      <c r="AR3264" s="330"/>
      <c r="AS3264" s="343"/>
      <c r="AT3264" s="249"/>
      <c r="AU3264" s="330"/>
    </row>
    <row r="3265" spans="2:47">
      <c r="B3265" s="247">
        <f>'Table S2 Compound Identifiers'!C3267</f>
        <v>0</v>
      </c>
      <c r="C3265" s="247">
        <f>COUNTIF($D$6:D3265,"&lt;&gt;"&amp;"")</f>
        <v>3260</v>
      </c>
      <c r="D3265" s="247">
        <f>'Table S2 Compound Identifiers'!B3267</f>
        <v>0</v>
      </c>
      <c r="E3265" s="247"/>
      <c r="F3265" s="248"/>
      <c r="G3265" s="249"/>
      <c r="H3265" s="330"/>
      <c r="I3265" s="332"/>
      <c r="J3265" s="330"/>
      <c r="K3265" s="330"/>
      <c r="L3265" s="330"/>
      <c r="M3265" s="330"/>
      <c r="N3265" s="330"/>
      <c r="O3265" s="330"/>
      <c r="P3265" s="330"/>
      <c r="Q3265" s="330"/>
      <c r="R3265" s="330"/>
      <c r="S3265" s="330"/>
      <c r="T3265" s="330"/>
      <c r="U3265" s="330"/>
      <c r="V3265" s="330"/>
      <c r="W3265" s="330"/>
      <c r="X3265" s="343"/>
      <c r="Y3265" s="249"/>
      <c r="Z3265" s="330"/>
      <c r="AA3265" s="343"/>
      <c r="AB3265" s="249"/>
      <c r="AC3265" s="330"/>
      <c r="AD3265" s="343"/>
      <c r="AE3265" s="249"/>
      <c r="AF3265" s="330"/>
      <c r="AG3265" s="343"/>
      <c r="AH3265" s="249"/>
      <c r="AI3265" s="330"/>
      <c r="AJ3265" s="343"/>
      <c r="AK3265" s="249"/>
      <c r="AL3265" s="330"/>
      <c r="AM3265" s="343"/>
      <c r="AN3265" s="249"/>
      <c r="AO3265" s="330"/>
      <c r="AP3265" s="343"/>
      <c r="AQ3265" s="249"/>
      <c r="AR3265" s="330"/>
      <c r="AS3265" s="343"/>
      <c r="AT3265" s="249"/>
      <c r="AU3265" s="330"/>
    </row>
    <row r="3266" spans="2:47">
      <c r="B3266" s="247">
        <f>'Table S2 Compound Identifiers'!C3268</f>
        <v>0</v>
      </c>
      <c r="C3266" s="247">
        <f>COUNTIF($D$6:D3266,"&lt;&gt;"&amp;"")</f>
        <v>3261</v>
      </c>
      <c r="D3266" s="247">
        <f>'Table S2 Compound Identifiers'!B3268</f>
        <v>0</v>
      </c>
      <c r="E3266" s="247"/>
      <c r="F3266" s="248"/>
      <c r="G3266" s="249"/>
      <c r="H3266" s="330"/>
      <c r="I3266" s="328"/>
      <c r="J3266" s="249"/>
      <c r="K3266" s="330"/>
      <c r="L3266" s="250"/>
      <c r="M3266" s="249"/>
      <c r="N3266" s="330"/>
      <c r="O3266" s="250"/>
      <c r="P3266" s="249"/>
      <c r="Q3266" s="330"/>
      <c r="R3266" s="250"/>
      <c r="S3266" s="249"/>
      <c r="T3266" s="330"/>
      <c r="U3266" s="250"/>
      <c r="V3266" s="249"/>
      <c r="W3266" s="330"/>
      <c r="X3266" s="343"/>
      <c r="Y3266" s="249"/>
      <c r="Z3266" s="330"/>
      <c r="AA3266" s="343"/>
      <c r="AB3266" s="249"/>
      <c r="AC3266" s="330"/>
      <c r="AD3266" s="343"/>
      <c r="AE3266" s="249"/>
      <c r="AF3266" s="330"/>
      <c r="AG3266" s="343"/>
      <c r="AH3266" s="249"/>
      <c r="AI3266" s="330"/>
      <c r="AJ3266" s="343"/>
      <c r="AK3266" s="249"/>
      <c r="AL3266" s="330"/>
      <c r="AM3266" s="343"/>
      <c r="AN3266" s="249"/>
      <c r="AO3266" s="330"/>
      <c r="AP3266" s="343"/>
      <c r="AQ3266" s="249"/>
      <c r="AR3266" s="330"/>
      <c r="AS3266" s="343"/>
      <c r="AT3266" s="249"/>
      <c r="AU3266" s="330"/>
    </row>
    <row r="3267" spans="2:47">
      <c r="B3267" s="247">
        <f>'Table S2 Compound Identifiers'!C3269</f>
        <v>0</v>
      </c>
      <c r="C3267" s="247">
        <f>COUNTIF($D$6:D3267,"&lt;&gt;"&amp;"")</f>
        <v>3262</v>
      </c>
      <c r="D3267" s="247">
        <f>'Table S2 Compound Identifiers'!B3269</f>
        <v>0</v>
      </c>
      <c r="E3267" s="247"/>
      <c r="F3267" s="248"/>
      <c r="G3267" s="249"/>
      <c r="H3267" s="330"/>
      <c r="I3267" s="328"/>
      <c r="J3267" s="249"/>
      <c r="K3267" s="330"/>
      <c r="L3267" s="250"/>
      <c r="M3267" s="249"/>
      <c r="N3267" s="330"/>
      <c r="O3267" s="250"/>
      <c r="P3267" s="249"/>
      <c r="Q3267" s="330"/>
      <c r="R3267" s="250"/>
      <c r="S3267" s="249"/>
      <c r="T3267" s="330"/>
      <c r="U3267" s="250"/>
      <c r="V3267" s="249"/>
      <c r="W3267" s="330"/>
      <c r="X3267" s="343"/>
      <c r="Y3267" s="249"/>
      <c r="Z3267" s="330"/>
      <c r="AA3267" s="343"/>
      <c r="AB3267" s="249"/>
      <c r="AC3267" s="330"/>
      <c r="AD3267" s="343"/>
      <c r="AE3267" s="249"/>
      <c r="AF3267" s="330"/>
      <c r="AG3267" s="343"/>
      <c r="AH3267" s="249"/>
      <c r="AI3267" s="330"/>
      <c r="AJ3267" s="343"/>
      <c r="AK3267" s="249"/>
      <c r="AL3267" s="330"/>
      <c r="AM3267" s="343"/>
      <c r="AN3267" s="249"/>
      <c r="AO3267" s="330"/>
      <c r="AP3267" s="343"/>
      <c r="AQ3267" s="249"/>
      <c r="AR3267" s="330"/>
      <c r="AS3267" s="343"/>
      <c r="AT3267" s="249"/>
      <c r="AU3267" s="330"/>
    </row>
    <row r="3268" spans="2:47">
      <c r="B3268" s="247">
        <f>'Table S2 Compound Identifiers'!C3270</f>
        <v>0</v>
      </c>
      <c r="C3268" s="247">
        <f>COUNTIF($D$6:D3268,"&lt;&gt;"&amp;"")</f>
        <v>3263</v>
      </c>
      <c r="D3268" s="247">
        <f>'Table S2 Compound Identifiers'!B3270</f>
        <v>0</v>
      </c>
      <c r="E3268" s="247"/>
      <c r="F3268" s="248"/>
      <c r="G3268" s="249"/>
      <c r="H3268" s="330"/>
      <c r="I3268" s="328"/>
      <c r="J3268" s="249"/>
      <c r="K3268" s="330"/>
      <c r="L3268" s="250"/>
      <c r="M3268" s="249"/>
      <c r="N3268" s="330"/>
      <c r="O3268" s="250"/>
      <c r="P3268" s="249"/>
      <c r="Q3268" s="330"/>
      <c r="R3268" s="250"/>
      <c r="S3268" s="249"/>
      <c r="T3268" s="330"/>
      <c r="U3268" s="250"/>
      <c r="V3268" s="249"/>
      <c r="W3268" s="330"/>
      <c r="X3268" s="343"/>
      <c r="Y3268" s="249"/>
      <c r="Z3268" s="330"/>
      <c r="AA3268" s="343"/>
      <c r="AB3268" s="249"/>
      <c r="AC3268" s="330"/>
      <c r="AD3268" s="343"/>
      <c r="AE3268" s="249"/>
      <c r="AF3268" s="330"/>
      <c r="AG3268" s="343"/>
      <c r="AH3268" s="249"/>
      <c r="AI3268" s="330"/>
      <c r="AJ3268" s="343"/>
      <c r="AK3268" s="249"/>
      <c r="AL3268" s="330"/>
      <c r="AM3268" s="343"/>
      <c r="AN3268" s="249"/>
      <c r="AO3268" s="330"/>
      <c r="AP3268" s="343"/>
      <c r="AQ3268" s="249"/>
      <c r="AR3268" s="330"/>
      <c r="AS3268" s="343"/>
      <c r="AT3268" s="249"/>
      <c r="AU3268" s="330"/>
    </row>
    <row r="3269" spans="2:47">
      <c r="B3269" s="247">
        <f>'Table S2 Compound Identifiers'!C3271</f>
        <v>0</v>
      </c>
      <c r="C3269" s="247">
        <f>COUNTIF($D$6:D3269,"&lt;&gt;"&amp;"")</f>
        <v>3264</v>
      </c>
      <c r="D3269" s="247">
        <f>'Table S2 Compound Identifiers'!B3271</f>
        <v>0</v>
      </c>
      <c r="E3269" s="247"/>
      <c r="F3269" s="248"/>
      <c r="G3269" s="249"/>
      <c r="H3269" s="330"/>
      <c r="I3269" s="328"/>
      <c r="J3269" s="249"/>
      <c r="K3269" s="330"/>
      <c r="L3269" s="250"/>
      <c r="M3269" s="249"/>
      <c r="N3269" s="330"/>
      <c r="O3269" s="250"/>
      <c r="P3269" s="249"/>
      <c r="Q3269" s="330"/>
      <c r="R3269" s="250"/>
      <c r="S3269" s="249"/>
      <c r="T3269" s="330"/>
      <c r="U3269" s="250"/>
      <c r="V3269" s="249"/>
      <c r="W3269" s="330"/>
      <c r="X3269" s="343"/>
      <c r="Y3269" s="249"/>
      <c r="Z3269" s="330"/>
      <c r="AA3269" s="343"/>
      <c r="AB3269" s="249"/>
      <c r="AC3269" s="330"/>
      <c r="AD3269" s="343"/>
      <c r="AE3269" s="249"/>
      <c r="AF3269" s="330"/>
      <c r="AG3269" s="343"/>
      <c r="AH3269" s="249"/>
      <c r="AI3269" s="330"/>
      <c r="AJ3269" s="343"/>
      <c r="AK3269" s="249"/>
      <c r="AL3269" s="330"/>
      <c r="AM3269" s="343"/>
      <c r="AN3269" s="249"/>
      <c r="AO3269" s="330"/>
      <c r="AP3269" s="343"/>
      <c r="AQ3269" s="249"/>
      <c r="AR3269" s="330"/>
      <c r="AS3269" s="343"/>
      <c r="AT3269" s="249"/>
      <c r="AU3269" s="330"/>
    </row>
    <row r="3270" spans="2:47">
      <c r="B3270" s="247">
        <f>'Table S2 Compound Identifiers'!C3272</f>
        <v>0</v>
      </c>
      <c r="C3270" s="247">
        <f>COUNTIF($D$6:D3270,"&lt;&gt;"&amp;"")</f>
        <v>3265</v>
      </c>
      <c r="D3270" s="247">
        <f>'Table S2 Compound Identifiers'!B3272</f>
        <v>0</v>
      </c>
      <c r="E3270" s="247"/>
      <c r="F3270" s="248"/>
      <c r="G3270" s="249"/>
      <c r="H3270" s="330"/>
      <c r="I3270" s="328"/>
      <c r="J3270" s="249"/>
      <c r="K3270" s="330"/>
      <c r="L3270" s="250"/>
      <c r="M3270" s="249"/>
      <c r="N3270" s="330"/>
      <c r="O3270" s="250"/>
      <c r="P3270" s="249"/>
      <c r="Q3270" s="330"/>
      <c r="R3270" s="250"/>
      <c r="S3270" s="249"/>
      <c r="T3270" s="330"/>
      <c r="U3270" s="250"/>
      <c r="V3270" s="249"/>
      <c r="W3270" s="330"/>
      <c r="X3270" s="343"/>
      <c r="Y3270" s="249"/>
      <c r="Z3270" s="330"/>
      <c r="AA3270" s="343"/>
      <c r="AB3270" s="249"/>
      <c r="AC3270" s="330"/>
      <c r="AD3270" s="343"/>
      <c r="AE3270" s="249"/>
      <c r="AF3270" s="330"/>
      <c r="AG3270" s="343"/>
      <c r="AH3270" s="249"/>
      <c r="AI3270" s="330"/>
      <c r="AJ3270" s="343"/>
      <c r="AK3270" s="249"/>
      <c r="AL3270" s="330"/>
      <c r="AM3270" s="343"/>
      <c r="AN3270" s="249"/>
      <c r="AO3270" s="330"/>
      <c r="AP3270" s="343"/>
      <c r="AQ3270" s="249"/>
      <c r="AR3270" s="330"/>
      <c r="AS3270" s="343"/>
      <c r="AT3270" s="249"/>
      <c r="AU3270" s="330"/>
    </row>
    <row r="3271" spans="2:47">
      <c r="B3271" s="247">
        <f>'Table S2 Compound Identifiers'!C3273</f>
        <v>0</v>
      </c>
      <c r="C3271" s="247">
        <f>COUNTIF($D$6:D3271,"&lt;&gt;"&amp;"")</f>
        <v>3266</v>
      </c>
      <c r="D3271" s="247">
        <f>'Table S2 Compound Identifiers'!B3273</f>
        <v>0</v>
      </c>
      <c r="E3271" s="247"/>
      <c r="F3271" s="248"/>
      <c r="G3271" s="249"/>
      <c r="H3271" s="330"/>
      <c r="I3271" s="328"/>
      <c r="J3271" s="249"/>
      <c r="K3271" s="330"/>
      <c r="L3271" s="250"/>
      <c r="M3271" s="249"/>
      <c r="N3271" s="330"/>
      <c r="O3271" s="250"/>
      <c r="P3271" s="249"/>
      <c r="Q3271" s="330"/>
      <c r="R3271" s="250"/>
      <c r="S3271" s="249"/>
      <c r="T3271" s="330"/>
      <c r="U3271" s="250"/>
      <c r="V3271" s="249"/>
      <c r="W3271" s="330"/>
      <c r="X3271" s="343"/>
      <c r="Y3271" s="249"/>
      <c r="Z3271" s="330"/>
      <c r="AA3271" s="343"/>
      <c r="AB3271" s="249"/>
      <c r="AC3271" s="330"/>
      <c r="AD3271" s="343"/>
      <c r="AE3271" s="249"/>
      <c r="AF3271" s="330"/>
      <c r="AG3271" s="343"/>
      <c r="AH3271" s="249"/>
      <c r="AI3271" s="330"/>
      <c r="AJ3271" s="343"/>
      <c r="AK3271" s="249"/>
      <c r="AL3271" s="330"/>
      <c r="AM3271" s="343"/>
      <c r="AN3271" s="249"/>
      <c r="AO3271" s="330"/>
      <c r="AP3271" s="343"/>
      <c r="AQ3271" s="249"/>
      <c r="AR3271" s="330"/>
      <c r="AS3271" s="343"/>
      <c r="AT3271" s="249"/>
      <c r="AU3271" s="330"/>
    </row>
    <row r="3272" spans="2:47">
      <c r="B3272" s="247">
        <f>'Table S2 Compound Identifiers'!C3274</f>
        <v>0</v>
      </c>
      <c r="C3272" s="247">
        <f>COUNTIF($D$6:D3272,"&lt;&gt;"&amp;"")</f>
        <v>3267</v>
      </c>
      <c r="D3272" s="247">
        <f>'Table S2 Compound Identifiers'!B3274</f>
        <v>0</v>
      </c>
      <c r="E3272" s="247"/>
      <c r="F3272" s="248"/>
      <c r="G3272" s="249"/>
      <c r="H3272" s="330"/>
      <c r="I3272" s="328"/>
      <c r="J3272" s="249"/>
      <c r="K3272" s="330"/>
      <c r="L3272" s="250"/>
      <c r="M3272" s="249"/>
      <c r="N3272" s="330"/>
      <c r="O3272" s="250"/>
      <c r="P3272" s="249"/>
      <c r="Q3272" s="330"/>
      <c r="R3272" s="250"/>
      <c r="S3272" s="249"/>
      <c r="T3272" s="330"/>
      <c r="U3272" s="250"/>
      <c r="V3272" s="249"/>
      <c r="W3272" s="330"/>
      <c r="X3272" s="343"/>
      <c r="Y3272" s="249"/>
      <c r="Z3272" s="330"/>
      <c r="AA3272" s="343"/>
      <c r="AB3272" s="249"/>
      <c r="AC3272" s="330"/>
      <c r="AD3272" s="343"/>
      <c r="AE3272" s="249"/>
      <c r="AF3272" s="330"/>
      <c r="AG3272" s="343"/>
      <c r="AH3272" s="249"/>
      <c r="AI3272" s="330"/>
      <c r="AJ3272" s="343"/>
      <c r="AK3272" s="249"/>
      <c r="AL3272" s="330"/>
      <c r="AM3272" s="343"/>
      <c r="AN3272" s="249"/>
      <c r="AO3272" s="330"/>
      <c r="AP3272" s="343"/>
      <c r="AQ3272" s="249"/>
      <c r="AR3272" s="330"/>
      <c r="AS3272" s="343"/>
      <c r="AT3272" s="249"/>
      <c r="AU3272" s="330"/>
    </row>
    <row r="3273" spans="2:47">
      <c r="B3273" s="247">
        <f>'Table S2 Compound Identifiers'!C3275</f>
        <v>0</v>
      </c>
      <c r="C3273" s="247">
        <f>COUNTIF($D$6:D3273,"&lt;&gt;"&amp;"")</f>
        <v>3268</v>
      </c>
      <c r="D3273" s="247">
        <f>'Table S2 Compound Identifiers'!B3275</f>
        <v>0</v>
      </c>
      <c r="E3273" s="247"/>
      <c r="F3273" s="248"/>
      <c r="G3273" s="249"/>
      <c r="H3273" s="330"/>
      <c r="I3273" s="328"/>
      <c r="J3273" s="249"/>
      <c r="K3273" s="330"/>
      <c r="L3273" s="250"/>
      <c r="M3273" s="249"/>
      <c r="N3273" s="330"/>
      <c r="O3273" s="250"/>
      <c r="P3273" s="249"/>
      <c r="Q3273" s="330"/>
      <c r="R3273" s="250"/>
      <c r="S3273" s="249"/>
      <c r="T3273" s="330"/>
      <c r="U3273" s="250"/>
      <c r="V3273" s="249"/>
      <c r="W3273" s="330"/>
      <c r="X3273" s="343"/>
      <c r="Y3273" s="249"/>
      <c r="Z3273" s="330"/>
      <c r="AA3273" s="343"/>
      <c r="AB3273" s="249"/>
      <c r="AC3273" s="330"/>
      <c r="AD3273" s="343"/>
      <c r="AE3273" s="249"/>
      <c r="AF3273" s="330"/>
      <c r="AG3273" s="343"/>
      <c r="AH3273" s="249"/>
      <c r="AI3273" s="330"/>
      <c r="AJ3273" s="343"/>
      <c r="AK3273" s="249"/>
      <c r="AL3273" s="330"/>
      <c r="AM3273" s="343"/>
      <c r="AN3273" s="249"/>
      <c r="AO3273" s="330"/>
      <c r="AP3273" s="343"/>
      <c r="AQ3273" s="249"/>
      <c r="AR3273" s="330"/>
      <c r="AS3273" s="343"/>
      <c r="AT3273" s="249"/>
      <c r="AU3273" s="330"/>
    </row>
    <row r="3274" spans="2:47">
      <c r="B3274" s="247">
        <f>'Table S2 Compound Identifiers'!C3276</f>
        <v>0</v>
      </c>
      <c r="C3274" s="247">
        <f>COUNTIF($D$6:D3274,"&lt;&gt;"&amp;"")</f>
        <v>3269</v>
      </c>
      <c r="D3274" s="247">
        <f>'Table S2 Compound Identifiers'!B3276</f>
        <v>0</v>
      </c>
      <c r="E3274" s="247"/>
      <c r="F3274" s="248"/>
      <c r="G3274" s="249"/>
      <c r="H3274" s="330"/>
      <c r="I3274" s="328"/>
      <c r="J3274" s="249"/>
      <c r="K3274" s="330"/>
      <c r="L3274" s="250"/>
      <c r="M3274" s="249"/>
      <c r="N3274" s="330"/>
      <c r="O3274" s="250"/>
      <c r="P3274" s="249"/>
      <c r="Q3274" s="330"/>
      <c r="R3274" s="250"/>
      <c r="S3274" s="249"/>
      <c r="T3274" s="330"/>
      <c r="U3274" s="250"/>
      <c r="V3274" s="249"/>
      <c r="W3274" s="330"/>
      <c r="X3274" s="343"/>
      <c r="Y3274" s="249"/>
      <c r="Z3274" s="330"/>
      <c r="AA3274" s="343"/>
      <c r="AB3274" s="249"/>
      <c r="AC3274" s="330"/>
      <c r="AD3274" s="343"/>
      <c r="AE3274" s="249"/>
      <c r="AF3274" s="330"/>
      <c r="AG3274" s="343"/>
      <c r="AH3274" s="249"/>
      <c r="AI3274" s="330"/>
      <c r="AJ3274" s="343"/>
      <c r="AK3274" s="249"/>
      <c r="AL3274" s="330"/>
      <c r="AM3274" s="343"/>
      <c r="AN3274" s="249"/>
      <c r="AO3274" s="330"/>
      <c r="AP3274" s="343"/>
      <c r="AQ3274" s="249"/>
      <c r="AR3274" s="330"/>
      <c r="AS3274" s="343"/>
      <c r="AT3274" s="249"/>
      <c r="AU3274" s="330"/>
    </row>
    <row r="3275" spans="2:47">
      <c r="B3275" s="247">
        <f>'Table S2 Compound Identifiers'!C3277</f>
        <v>0</v>
      </c>
      <c r="C3275" s="247">
        <f>COUNTIF($D$6:D3275,"&lt;&gt;"&amp;"")</f>
        <v>3270</v>
      </c>
      <c r="D3275" s="247">
        <f>'Table S2 Compound Identifiers'!B3277</f>
        <v>0</v>
      </c>
      <c r="E3275" s="247"/>
      <c r="F3275" s="248"/>
      <c r="G3275" s="249"/>
      <c r="H3275" s="330"/>
      <c r="I3275" s="328"/>
      <c r="J3275" s="249"/>
      <c r="K3275" s="330"/>
      <c r="L3275" s="250"/>
      <c r="M3275" s="249"/>
      <c r="N3275" s="330"/>
      <c r="O3275" s="250"/>
      <c r="P3275" s="249"/>
      <c r="Q3275" s="330"/>
      <c r="R3275" s="250"/>
      <c r="S3275" s="249"/>
      <c r="T3275" s="330"/>
      <c r="U3275" s="250"/>
      <c r="V3275" s="249"/>
      <c r="W3275" s="330"/>
      <c r="X3275" s="343"/>
      <c r="Y3275" s="249"/>
      <c r="Z3275" s="330"/>
      <c r="AA3275" s="343"/>
      <c r="AB3275" s="249"/>
      <c r="AC3275" s="330"/>
      <c r="AD3275" s="343"/>
      <c r="AE3275" s="249"/>
      <c r="AF3275" s="330"/>
      <c r="AG3275" s="343"/>
      <c r="AH3275" s="249"/>
      <c r="AI3275" s="330"/>
      <c r="AJ3275" s="343"/>
      <c r="AK3275" s="249"/>
      <c r="AL3275" s="330"/>
      <c r="AM3275" s="343"/>
      <c r="AN3275" s="249"/>
      <c r="AO3275" s="330"/>
      <c r="AP3275" s="343"/>
      <c r="AQ3275" s="249"/>
      <c r="AR3275" s="330"/>
      <c r="AS3275" s="343"/>
      <c r="AT3275" s="249"/>
      <c r="AU3275" s="330"/>
    </row>
    <row r="3276" spans="2:47">
      <c r="B3276" s="247">
        <f>'Table S2 Compound Identifiers'!C3278</f>
        <v>0</v>
      </c>
      <c r="C3276" s="247">
        <f>COUNTIF($D$6:D3276,"&lt;&gt;"&amp;"")</f>
        <v>3271</v>
      </c>
      <c r="D3276" s="247">
        <f>'Table S2 Compound Identifiers'!B3278</f>
        <v>0</v>
      </c>
      <c r="E3276" s="247"/>
      <c r="F3276" s="248"/>
      <c r="G3276" s="249"/>
      <c r="H3276" s="330"/>
      <c r="I3276" s="328"/>
      <c r="J3276" s="249"/>
      <c r="K3276" s="330"/>
      <c r="L3276" s="250"/>
      <c r="M3276" s="249"/>
      <c r="N3276" s="330"/>
      <c r="O3276" s="250"/>
      <c r="P3276" s="249"/>
      <c r="Q3276" s="330"/>
      <c r="R3276" s="250"/>
      <c r="S3276" s="249"/>
      <c r="T3276" s="330"/>
      <c r="U3276" s="250"/>
      <c r="V3276" s="249"/>
      <c r="W3276" s="330"/>
      <c r="X3276" s="343"/>
      <c r="Y3276" s="249"/>
      <c r="Z3276" s="330"/>
      <c r="AA3276" s="343"/>
      <c r="AB3276" s="249"/>
      <c r="AC3276" s="330"/>
      <c r="AD3276" s="343"/>
      <c r="AE3276" s="249"/>
      <c r="AF3276" s="330"/>
      <c r="AG3276" s="343"/>
      <c r="AH3276" s="249"/>
      <c r="AI3276" s="330"/>
      <c r="AJ3276" s="343"/>
      <c r="AK3276" s="249"/>
      <c r="AL3276" s="330"/>
      <c r="AM3276" s="343"/>
      <c r="AN3276" s="249"/>
      <c r="AO3276" s="330"/>
      <c r="AP3276" s="343"/>
      <c r="AQ3276" s="249"/>
      <c r="AR3276" s="330"/>
      <c r="AS3276" s="343"/>
      <c r="AT3276" s="249"/>
      <c r="AU3276" s="330"/>
    </row>
    <row r="3277" spans="2:47">
      <c r="B3277" s="247">
        <f>'Table S2 Compound Identifiers'!C3279</f>
        <v>0</v>
      </c>
      <c r="C3277" s="247">
        <f>COUNTIF($D$6:D3277,"&lt;&gt;"&amp;"")</f>
        <v>3272</v>
      </c>
      <c r="D3277" s="247">
        <f>'Table S2 Compound Identifiers'!B3279</f>
        <v>0</v>
      </c>
      <c r="E3277" s="247"/>
      <c r="F3277" s="248"/>
      <c r="G3277" s="249"/>
      <c r="H3277" s="330"/>
      <c r="I3277" s="328"/>
      <c r="J3277" s="249"/>
      <c r="K3277" s="330"/>
      <c r="L3277" s="250"/>
      <c r="M3277" s="249"/>
      <c r="N3277" s="330"/>
      <c r="O3277" s="250"/>
      <c r="P3277" s="249"/>
      <c r="Q3277" s="330"/>
      <c r="R3277" s="250"/>
      <c r="S3277" s="249"/>
      <c r="T3277" s="330"/>
      <c r="U3277" s="250"/>
      <c r="V3277" s="249"/>
      <c r="W3277" s="330"/>
      <c r="X3277" s="343"/>
      <c r="Y3277" s="249"/>
      <c r="Z3277" s="330"/>
      <c r="AA3277" s="343"/>
      <c r="AB3277" s="249"/>
      <c r="AC3277" s="330"/>
      <c r="AD3277" s="343"/>
      <c r="AE3277" s="249"/>
      <c r="AF3277" s="330"/>
      <c r="AG3277" s="343"/>
      <c r="AH3277" s="249"/>
      <c r="AI3277" s="330"/>
      <c r="AJ3277" s="343"/>
      <c r="AK3277" s="249"/>
      <c r="AL3277" s="330"/>
      <c r="AM3277" s="343"/>
      <c r="AN3277" s="249"/>
      <c r="AO3277" s="330"/>
      <c r="AP3277" s="343"/>
      <c r="AQ3277" s="249"/>
      <c r="AR3277" s="330"/>
      <c r="AS3277" s="343"/>
      <c r="AT3277" s="249"/>
      <c r="AU3277" s="330"/>
    </row>
    <row r="3278" spans="2:47">
      <c r="B3278" s="247">
        <f>'Table S2 Compound Identifiers'!C3280</f>
        <v>0</v>
      </c>
      <c r="C3278" s="247">
        <f>COUNTIF($D$6:D3278,"&lt;&gt;"&amp;"")</f>
        <v>3273</v>
      </c>
      <c r="D3278" s="247">
        <f>'Table S2 Compound Identifiers'!B3280</f>
        <v>0</v>
      </c>
      <c r="E3278" s="247"/>
      <c r="F3278" s="248"/>
      <c r="G3278" s="249"/>
      <c r="H3278" s="330"/>
      <c r="I3278" s="328"/>
      <c r="J3278" s="249"/>
      <c r="K3278" s="330"/>
      <c r="L3278" s="250"/>
      <c r="M3278" s="249"/>
      <c r="N3278" s="330"/>
      <c r="O3278" s="250"/>
      <c r="P3278" s="249"/>
      <c r="Q3278" s="330"/>
      <c r="R3278" s="250"/>
      <c r="S3278" s="249"/>
      <c r="T3278" s="330"/>
      <c r="U3278" s="250"/>
      <c r="V3278" s="249"/>
      <c r="W3278" s="330"/>
      <c r="X3278" s="343"/>
      <c r="Y3278" s="249"/>
      <c r="Z3278" s="330"/>
      <c r="AA3278" s="343"/>
      <c r="AB3278" s="249"/>
      <c r="AC3278" s="330"/>
      <c r="AD3278" s="343"/>
      <c r="AE3278" s="249"/>
      <c r="AF3278" s="330"/>
      <c r="AG3278" s="343"/>
      <c r="AH3278" s="249"/>
      <c r="AI3278" s="330"/>
      <c r="AJ3278" s="343"/>
      <c r="AK3278" s="249"/>
      <c r="AL3278" s="330"/>
      <c r="AM3278" s="343"/>
      <c r="AN3278" s="249"/>
      <c r="AO3278" s="330"/>
      <c r="AP3278" s="343"/>
      <c r="AQ3278" s="249"/>
      <c r="AR3278" s="330"/>
      <c r="AS3278" s="343"/>
      <c r="AT3278" s="249"/>
      <c r="AU3278" s="330"/>
    </row>
    <row r="3279" spans="2:47">
      <c r="B3279" s="247">
        <f>'Table S2 Compound Identifiers'!C3281</f>
        <v>0</v>
      </c>
      <c r="C3279" s="247">
        <f>COUNTIF($D$6:D3279,"&lt;&gt;"&amp;"")</f>
        <v>3274</v>
      </c>
      <c r="D3279" s="247">
        <f>'Table S2 Compound Identifiers'!B3281</f>
        <v>0</v>
      </c>
      <c r="E3279" s="247"/>
      <c r="F3279" s="248"/>
      <c r="G3279" s="249"/>
      <c r="H3279" s="330"/>
      <c r="I3279" s="328"/>
      <c r="J3279" s="249"/>
      <c r="K3279" s="330"/>
      <c r="L3279" s="250"/>
      <c r="M3279" s="249"/>
      <c r="N3279" s="330"/>
      <c r="O3279" s="250"/>
      <c r="P3279" s="249"/>
      <c r="Q3279" s="330"/>
      <c r="R3279" s="250"/>
      <c r="S3279" s="249"/>
      <c r="T3279" s="330"/>
      <c r="U3279" s="250"/>
      <c r="V3279" s="249"/>
      <c r="W3279" s="330"/>
      <c r="X3279" s="343"/>
      <c r="Y3279" s="249"/>
      <c r="Z3279" s="330"/>
      <c r="AA3279" s="343"/>
      <c r="AB3279" s="249"/>
      <c r="AC3279" s="330"/>
      <c r="AD3279" s="343"/>
      <c r="AE3279" s="249"/>
      <c r="AF3279" s="330"/>
      <c r="AG3279" s="343"/>
      <c r="AH3279" s="249"/>
      <c r="AI3279" s="330"/>
      <c r="AJ3279" s="343"/>
      <c r="AK3279" s="249"/>
      <c r="AL3279" s="330"/>
      <c r="AM3279" s="343"/>
      <c r="AN3279" s="249"/>
      <c r="AO3279" s="330"/>
      <c r="AP3279" s="343"/>
      <c r="AQ3279" s="249"/>
      <c r="AR3279" s="330"/>
      <c r="AS3279" s="343"/>
      <c r="AT3279" s="249"/>
      <c r="AU3279" s="330"/>
    </row>
    <row r="3280" spans="2:47">
      <c r="B3280" s="247">
        <f>'Table S2 Compound Identifiers'!C3282</f>
        <v>0</v>
      </c>
      <c r="C3280" s="247">
        <f>COUNTIF($D$6:D3280,"&lt;&gt;"&amp;"")</f>
        <v>3275</v>
      </c>
      <c r="D3280" s="247">
        <f>'Table S2 Compound Identifiers'!B3282</f>
        <v>0</v>
      </c>
      <c r="E3280" s="247"/>
      <c r="F3280" s="248"/>
      <c r="G3280" s="249"/>
      <c r="H3280" s="330"/>
      <c r="I3280" s="328"/>
      <c r="J3280" s="249"/>
      <c r="K3280" s="330"/>
      <c r="L3280" s="250"/>
      <c r="M3280" s="249"/>
      <c r="N3280" s="330"/>
      <c r="O3280" s="250"/>
      <c r="P3280" s="249"/>
      <c r="Q3280" s="330"/>
      <c r="R3280" s="250"/>
      <c r="S3280" s="249"/>
      <c r="T3280" s="330"/>
      <c r="U3280" s="250"/>
      <c r="V3280" s="249"/>
      <c r="W3280" s="330"/>
      <c r="X3280" s="343"/>
      <c r="Y3280" s="249"/>
      <c r="Z3280" s="330"/>
      <c r="AA3280" s="343"/>
      <c r="AB3280" s="249"/>
      <c r="AC3280" s="330"/>
      <c r="AD3280" s="343"/>
      <c r="AE3280" s="249"/>
      <c r="AF3280" s="330"/>
      <c r="AG3280" s="343"/>
      <c r="AH3280" s="249"/>
      <c r="AI3280" s="330"/>
      <c r="AJ3280" s="343"/>
      <c r="AK3280" s="249"/>
      <c r="AL3280" s="330"/>
      <c r="AM3280" s="343"/>
      <c r="AN3280" s="249"/>
      <c r="AO3280" s="330"/>
      <c r="AP3280" s="343"/>
      <c r="AQ3280" s="249"/>
      <c r="AR3280" s="330"/>
      <c r="AS3280" s="343"/>
      <c r="AT3280" s="249"/>
      <c r="AU3280" s="330"/>
    </row>
    <row r="3281" spans="2:47">
      <c r="B3281" s="247">
        <f>'Table S2 Compound Identifiers'!C3283</f>
        <v>0</v>
      </c>
      <c r="C3281" s="247">
        <f>COUNTIF($D$6:D3281,"&lt;&gt;"&amp;"")</f>
        <v>3276</v>
      </c>
      <c r="D3281" s="247">
        <f>'Table S2 Compound Identifiers'!B3283</f>
        <v>0</v>
      </c>
      <c r="E3281" s="247"/>
      <c r="F3281" s="248"/>
      <c r="G3281" s="249"/>
      <c r="H3281" s="330"/>
      <c r="I3281" s="328"/>
      <c r="J3281" s="249"/>
      <c r="K3281" s="330"/>
      <c r="L3281" s="250"/>
      <c r="M3281" s="249"/>
      <c r="N3281" s="330"/>
      <c r="O3281" s="250"/>
      <c r="P3281" s="249"/>
      <c r="Q3281" s="330"/>
      <c r="R3281" s="250"/>
      <c r="S3281" s="249"/>
      <c r="T3281" s="330"/>
      <c r="U3281" s="250"/>
      <c r="V3281" s="249"/>
      <c r="W3281" s="330"/>
      <c r="X3281" s="343"/>
      <c r="Y3281" s="249"/>
      <c r="Z3281" s="330"/>
      <c r="AA3281" s="343"/>
      <c r="AB3281" s="249"/>
      <c r="AC3281" s="330"/>
      <c r="AD3281" s="343"/>
      <c r="AE3281" s="249"/>
      <c r="AF3281" s="330"/>
      <c r="AG3281" s="343"/>
      <c r="AH3281" s="249"/>
      <c r="AI3281" s="330"/>
      <c r="AJ3281" s="343"/>
      <c r="AK3281" s="249"/>
      <c r="AL3281" s="330"/>
      <c r="AM3281" s="343"/>
      <c r="AN3281" s="249"/>
      <c r="AO3281" s="330"/>
      <c r="AP3281" s="343"/>
      <c r="AQ3281" s="249"/>
      <c r="AR3281" s="330"/>
      <c r="AS3281" s="343"/>
      <c r="AT3281" s="249"/>
      <c r="AU3281" s="330"/>
    </row>
    <row r="3282" spans="2:47">
      <c r="B3282" s="247">
        <f>'Table S2 Compound Identifiers'!C3284</f>
        <v>0</v>
      </c>
      <c r="C3282" s="247">
        <f>COUNTIF($D$6:D3282,"&lt;&gt;"&amp;"")</f>
        <v>3277</v>
      </c>
      <c r="D3282" s="247">
        <f>'Table S2 Compound Identifiers'!B3284</f>
        <v>0</v>
      </c>
      <c r="E3282" s="247"/>
      <c r="F3282" s="248"/>
      <c r="G3282" s="249"/>
      <c r="H3282" s="330"/>
      <c r="I3282" s="328"/>
      <c r="J3282" s="249"/>
      <c r="K3282" s="330"/>
      <c r="L3282" s="250"/>
      <c r="M3282" s="249"/>
      <c r="N3282" s="330"/>
      <c r="O3282" s="250"/>
      <c r="P3282" s="249"/>
      <c r="Q3282" s="330"/>
      <c r="R3282" s="250"/>
      <c r="S3282" s="249"/>
      <c r="T3282" s="330"/>
      <c r="U3282" s="250"/>
      <c r="V3282" s="249"/>
      <c r="W3282" s="330"/>
      <c r="X3282" s="343"/>
      <c r="Y3282" s="249"/>
      <c r="Z3282" s="330"/>
      <c r="AA3282" s="343"/>
      <c r="AB3282" s="249"/>
      <c r="AC3282" s="330"/>
      <c r="AD3282" s="343"/>
      <c r="AE3282" s="249"/>
      <c r="AF3282" s="330"/>
      <c r="AG3282" s="343"/>
      <c r="AH3282" s="249"/>
      <c r="AI3282" s="330"/>
      <c r="AJ3282" s="343"/>
      <c r="AK3282" s="249"/>
      <c r="AL3282" s="330"/>
      <c r="AM3282" s="343"/>
      <c r="AN3282" s="249"/>
      <c r="AO3282" s="330"/>
      <c r="AP3282" s="343"/>
      <c r="AQ3282" s="249"/>
      <c r="AR3282" s="330"/>
      <c r="AS3282" s="343"/>
      <c r="AT3282" s="249"/>
      <c r="AU3282" s="330"/>
    </row>
    <row r="3283" spans="2:47">
      <c r="B3283" s="247">
        <f>'Table S2 Compound Identifiers'!C3285</f>
        <v>0</v>
      </c>
      <c r="C3283" s="247">
        <f>COUNTIF($D$6:D3283,"&lt;&gt;"&amp;"")</f>
        <v>3278</v>
      </c>
      <c r="D3283" s="247">
        <f>'Table S2 Compound Identifiers'!B3285</f>
        <v>0</v>
      </c>
      <c r="E3283" s="247"/>
      <c r="F3283" s="248"/>
      <c r="G3283" s="249"/>
      <c r="H3283" s="330"/>
      <c r="I3283" s="328"/>
      <c r="J3283" s="249"/>
      <c r="K3283" s="330"/>
      <c r="L3283" s="250"/>
      <c r="M3283" s="249"/>
      <c r="N3283" s="330"/>
      <c r="O3283" s="250"/>
      <c r="P3283" s="249"/>
      <c r="Q3283" s="330"/>
      <c r="R3283" s="250"/>
      <c r="S3283" s="249"/>
      <c r="T3283" s="330"/>
      <c r="U3283" s="250"/>
      <c r="V3283" s="249"/>
      <c r="W3283" s="330"/>
      <c r="X3283" s="343"/>
      <c r="Y3283" s="249"/>
      <c r="Z3283" s="330"/>
      <c r="AA3283" s="343"/>
      <c r="AB3283" s="249"/>
      <c r="AC3283" s="330"/>
      <c r="AD3283" s="343"/>
      <c r="AE3283" s="249"/>
      <c r="AF3283" s="330"/>
      <c r="AG3283" s="343"/>
      <c r="AH3283" s="249"/>
      <c r="AI3283" s="330"/>
      <c r="AJ3283" s="343"/>
      <c r="AK3283" s="249"/>
      <c r="AL3283" s="330"/>
      <c r="AM3283" s="343"/>
      <c r="AN3283" s="249"/>
      <c r="AO3283" s="330"/>
      <c r="AP3283" s="343"/>
      <c r="AQ3283" s="249"/>
      <c r="AR3283" s="330"/>
      <c r="AS3283" s="343"/>
      <c r="AT3283" s="249"/>
      <c r="AU3283" s="330"/>
    </row>
    <row r="3284" spans="2:47">
      <c r="B3284" s="247">
        <f>'Table S2 Compound Identifiers'!C3286</f>
        <v>0</v>
      </c>
      <c r="C3284" s="247">
        <f>COUNTIF($D$6:D3284,"&lt;&gt;"&amp;"")</f>
        <v>3279</v>
      </c>
      <c r="D3284" s="247">
        <f>'Table S2 Compound Identifiers'!B3286</f>
        <v>0</v>
      </c>
      <c r="E3284" s="247"/>
      <c r="F3284" s="248"/>
      <c r="G3284" s="249"/>
      <c r="H3284" s="330"/>
      <c r="I3284" s="328"/>
      <c r="J3284" s="249"/>
      <c r="K3284" s="330"/>
      <c r="L3284" s="250"/>
      <c r="M3284" s="249"/>
      <c r="N3284" s="330"/>
      <c r="O3284" s="250"/>
      <c r="P3284" s="249"/>
      <c r="Q3284" s="330"/>
      <c r="R3284" s="250"/>
      <c r="S3284" s="249"/>
      <c r="T3284" s="330"/>
      <c r="U3284" s="250"/>
      <c r="V3284" s="249"/>
      <c r="W3284" s="330"/>
      <c r="X3284" s="343"/>
      <c r="Y3284" s="249"/>
      <c r="Z3284" s="330"/>
      <c r="AA3284" s="343"/>
      <c r="AB3284" s="249"/>
      <c r="AC3284" s="330"/>
      <c r="AD3284" s="343"/>
      <c r="AE3284" s="249"/>
      <c r="AF3284" s="330"/>
      <c r="AG3284" s="343"/>
      <c r="AH3284" s="249"/>
      <c r="AI3284" s="330"/>
      <c r="AJ3284" s="343"/>
      <c r="AK3284" s="249"/>
      <c r="AL3284" s="330"/>
      <c r="AM3284" s="343"/>
      <c r="AN3284" s="249"/>
      <c r="AO3284" s="330"/>
      <c r="AP3284" s="343"/>
      <c r="AQ3284" s="249"/>
      <c r="AR3284" s="330"/>
      <c r="AS3284" s="343"/>
      <c r="AT3284" s="249"/>
      <c r="AU3284" s="330"/>
    </row>
    <row r="3285" spans="2:47">
      <c r="B3285" s="247">
        <f>'Table S2 Compound Identifiers'!C3287</f>
        <v>0</v>
      </c>
      <c r="C3285" s="247">
        <f>COUNTIF($D$6:D3285,"&lt;&gt;"&amp;"")</f>
        <v>3280</v>
      </c>
      <c r="D3285" s="247">
        <f>'Table S2 Compound Identifiers'!B3287</f>
        <v>0</v>
      </c>
      <c r="E3285" s="247"/>
      <c r="F3285" s="248"/>
      <c r="G3285" s="249"/>
      <c r="H3285" s="330"/>
      <c r="I3285" s="328"/>
      <c r="J3285" s="249"/>
      <c r="K3285" s="330"/>
      <c r="L3285" s="250"/>
      <c r="M3285" s="249"/>
      <c r="N3285" s="330"/>
      <c r="O3285" s="250"/>
      <c r="P3285" s="249"/>
      <c r="Q3285" s="330"/>
      <c r="R3285" s="250"/>
      <c r="S3285" s="249"/>
      <c r="T3285" s="330"/>
      <c r="U3285" s="250"/>
      <c r="V3285" s="249"/>
      <c r="W3285" s="330"/>
      <c r="X3285" s="343"/>
      <c r="Y3285" s="249"/>
      <c r="Z3285" s="330"/>
      <c r="AA3285" s="343"/>
      <c r="AB3285" s="249"/>
      <c r="AC3285" s="330"/>
      <c r="AD3285" s="343"/>
      <c r="AE3285" s="249"/>
      <c r="AF3285" s="330"/>
      <c r="AG3285" s="343"/>
      <c r="AH3285" s="249"/>
      <c r="AI3285" s="330"/>
      <c r="AJ3285" s="343"/>
      <c r="AK3285" s="249"/>
      <c r="AL3285" s="330"/>
      <c r="AM3285" s="343"/>
      <c r="AN3285" s="249"/>
      <c r="AO3285" s="330"/>
      <c r="AP3285" s="343"/>
      <c r="AQ3285" s="249"/>
      <c r="AR3285" s="330"/>
      <c r="AS3285" s="343"/>
      <c r="AT3285" s="249"/>
      <c r="AU3285" s="330"/>
    </row>
    <row r="3286" spans="2:47">
      <c r="B3286" s="247">
        <f>'Table S2 Compound Identifiers'!C3288</f>
        <v>0</v>
      </c>
      <c r="C3286" s="247">
        <f>COUNTIF($D$6:D3286,"&lt;&gt;"&amp;"")</f>
        <v>3281</v>
      </c>
      <c r="D3286" s="247">
        <f>'Table S2 Compound Identifiers'!B3288</f>
        <v>0</v>
      </c>
      <c r="E3286" s="247"/>
      <c r="F3286" s="248"/>
      <c r="G3286" s="249"/>
      <c r="H3286" s="330"/>
      <c r="I3286" s="328"/>
      <c r="J3286" s="249"/>
      <c r="K3286" s="330"/>
      <c r="L3286" s="250"/>
      <c r="M3286" s="249"/>
      <c r="N3286" s="330"/>
      <c r="O3286" s="250"/>
      <c r="P3286" s="249"/>
      <c r="Q3286" s="330"/>
      <c r="R3286" s="250"/>
      <c r="S3286" s="249"/>
      <c r="T3286" s="330"/>
      <c r="U3286" s="250"/>
      <c r="V3286" s="249"/>
      <c r="W3286" s="330"/>
      <c r="X3286" s="343"/>
      <c r="Y3286" s="249"/>
      <c r="Z3286" s="330"/>
      <c r="AA3286" s="343"/>
      <c r="AB3286" s="249"/>
      <c r="AC3286" s="330"/>
      <c r="AD3286" s="343"/>
      <c r="AE3286" s="249"/>
      <c r="AF3286" s="330"/>
      <c r="AG3286" s="343"/>
      <c r="AH3286" s="249"/>
      <c r="AI3286" s="330"/>
      <c r="AJ3286" s="343"/>
      <c r="AK3286" s="249"/>
      <c r="AL3286" s="330"/>
      <c r="AM3286" s="343"/>
      <c r="AN3286" s="249"/>
      <c r="AO3286" s="330"/>
      <c r="AP3286" s="343"/>
      <c r="AQ3286" s="249"/>
      <c r="AR3286" s="330"/>
      <c r="AS3286" s="343"/>
      <c r="AT3286" s="249"/>
      <c r="AU3286" s="330"/>
    </row>
    <row r="3287" spans="2:47">
      <c r="B3287" s="247">
        <f>'Table S2 Compound Identifiers'!C3289</f>
        <v>0</v>
      </c>
      <c r="C3287" s="247">
        <f>COUNTIF($D$6:D3287,"&lt;&gt;"&amp;"")</f>
        <v>3282</v>
      </c>
      <c r="D3287" s="247">
        <f>'Table S2 Compound Identifiers'!B3289</f>
        <v>0</v>
      </c>
      <c r="E3287" s="247"/>
      <c r="F3287" s="248"/>
      <c r="G3287" s="249"/>
      <c r="H3287" s="330"/>
      <c r="I3287" s="328"/>
      <c r="J3287" s="249"/>
      <c r="K3287" s="330"/>
      <c r="L3287" s="250"/>
      <c r="M3287" s="249"/>
      <c r="N3287" s="330"/>
      <c r="O3287" s="250"/>
      <c r="P3287" s="249"/>
      <c r="Q3287" s="330"/>
      <c r="R3287" s="250"/>
      <c r="S3287" s="249"/>
      <c r="T3287" s="330"/>
      <c r="U3287" s="250"/>
      <c r="V3287" s="249"/>
      <c r="W3287" s="330"/>
      <c r="X3287" s="343"/>
      <c r="Y3287" s="249"/>
      <c r="Z3287" s="330"/>
      <c r="AA3287" s="343"/>
      <c r="AB3287" s="249"/>
      <c r="AC3287" s="330"/>
      <c r="AD3287" s="343"/>
      <c r="AE3287" s="249"/>
      <c r="AF3287" s="330"/>
      <c r="AG3287" s="343"/>
      <c r="AH3287" s="249"/>
      <c r="AI3287" s="330"/>
      <c r="AJ3287" s="343"/>
      <c r="AK3287" s="249"/>
      <c r="AL3287" s="330"/>
      <c r="AM3287" s="343"/>
      <c r="AN3287" s="249"/>
      <c r="AO3287" s="330"/>
      <c r="AP3287" s="343"/>
      <c r="AQ3287" s="249"/>
      <c r="AR3287" s="330"/>
      <c r="AS3287" s="343"/>
      <c r="AT3287" s="249"/>
      <c r="AU3287" s="330"/>
    </row>
    <row r="3288" spans="2:47">
      <c r="B3288" s="247">
        <f>'Table S2 Compound Identifiers'!C3290</f>
        <v>0</v>
      </c>
      <c r="C3288" s="247">
        <f>COUNTIF($D$6:D3288,"&lt;&gt;"&amp;"")</f>
        <v>3283</v>
      </c>
      <c r="D3288" s="247">
        <f>'Table S2 Compound Identifiers'!B3290</f>
        <v>0</v>
      </c>
      <c r="E3288" s="247"/>
      <c r="F3288" s="248"/>
      <c r="G3288" s="249"/>
      <c r="H3288" s="330"/>
      <c r="I3288" s="328"/>
      <c r="J3288" s="249"/>
      <c r="K3288" s="330"/>
      <c r="L3288" s="250"/>
      <c r="M3288" s="249"/>
      <c r="N3288" s="330"/>
      <c r="O3288" s="250"/>
      <c r="P3288" s="249"/>
      <c r="Q3288" s="330"/>
      <c r="R3288" s="250"/>
      <c r="S3288" s="249"/>
      <c r="T3288" s="330"/>
      <c r="U3288" s="250"/>
      <c r="V3288" s="249"/>
      <c r="W3288" s="330"/>
      <c r="X3288" s="343"/>
      <c r="Y3288" s="249"/>
      <c r="Z3288" s="330"/>
      <c r="AA3288" s="343"/>
      <c r="AB3288" s="249"/>
      <c r="AC3288" s="330"/>
      <c r="AD3288" s="343"/>
      <c r="AE3288" s="249"/>
      <c r="AF3288" s="330"/>
      <c r="AG3288" s="343"/>
      <c r="AH3288" s="249"/>
      <c r="AI3288" s="330"/>
      <c r="AJ3288" s="343"/>
      <c r="AK3288" s="249"/>
      <c r="AL3288" s="330"/>
      <c r="AM3288" s="343"/>
      <c r="AN3288" s="249"/>
      <c r="AO3288" s="330"/>
      <c r="AP3288" s="343"/>
      <c r="AQ3288" s="249"/>
      <c r="AR3288" s="330"/>
      <c r="AS3288" s="343"/>
      <c r="AT3288" s="249"/>
      <c r="AU3288" s="330"/>
    </row>
    <row r="3289" spans="2:47">
      <c r="B3289" s="247">
        <f>'Table S2 Compound Identifiers'!C3291</f>
        <v>0</v>
      </c>
      <c r="C3289" s="247">
        <f>COUNTIF($D$6:D3289,"&lt;&gt;"&amp;"")</f>
        <v>3284</v>
      </c>
      <c r="D3289" s="247">
        <f>'Table S2 Compound Identifiers'!B3291</f>
        <v>0</v>
      </c>
      <c r="E3289" s="247"/>
      <c r="F3289" s="248"/>
      <c r="G3289" s="249"/>
      <c r="H3289" s="330"/>
      <c r="I3289" s="328"/>
      <c r="J3289" s="249"/>
      <c r="K3289" s="330"/>
      <c r="L3289" s="250"/>
      <c r="M3289" s="249"/>
      <c r="N3289" s="330"/>
      <c r="O3289" s="250"/>
      <c r="P3289" s="249"/>
      <c r="Q3289" s="330"/>
      <c r="R3289" s="250"/>
      <c r="S3289" s="249"/>
      <c r="T3289" s="330"/>
      <c r="U3289" s="250"/>
      <c r="V3289" s="249"/>
      <c r="W3289" s="330"/>
      <c r="X3289" s="343"/>
      <c r="Y3289" s="249"/>
      <c r="Z3289" s="330"/>
      <c r="AA3289" s="343"/>
      <c r="AB3289" s="249"/>
      <c r="AC3289" s="330"/>
      <c r="AD3289" s="343"/>
      <c r="AE3289" s="249"/>
      <c r="AF3289" s="330"/>
      <c r="AG3289" s="343"/>
      <c r="AH3289" s="249"/>
      <c r="AI3289" s="330"/>
      <c r="AJ3289" s="343"/>
      <c r="AK3289" s="249"/>
      <c r="AL3289" s="330"/>
      <c r="AM3289" s="343"/>
      <c r="AN3289" s="249"/>
      <c r="AO3289" s="330"/>
      <c r="AP3289" s="343"/>
      <c r="AQ3289" s="249"/>
      <c r="AR3289" s="330"/>
      <c r="AS3289" s="343"/>
      <c r="AT3289" s="249"/>
      <c r="AU3289" s="330"/>
    </row>
    <row r="3290" spans="2:47">
      <c r="B3290" s="247">
        <f>'Table S2 Compound Identifiers'!C3292</f>
        <v>0</v>
      </c>
      <c r="C3290" s="247">
        <f>COUNTIF($D$6:D3290,"&lt;&gt;"&amp;"")</f>
        <v>3285</v>
      </c>
      <c r="D3290" s="247">
        <f>'Table S2 Compound Identifiers'!B3292</f>
        <v>0</v>
      </c>
      <c r="E3290" s="247"/>
      <c r="F3290" s="248"/>
      <c r="G3290" s="249"/>
      <c r="H3290" s="330"/>
      <c r="I3290" s="328"/>
      <c r="J3290" s="249"/>
      <c r="K3290" s="330"/>
      <c r="L3290" s="250"/>
      <c r="M3290" s="249"/>
      <c r="N3290" s="330"/>
      <c r="O3290" s="250"/>
      <c r="P3290" s="249"/>
      <c r="Q3290" s="330"/>
      <c r="R3290" s="250"/>
      <c r="S3290" s="249"/>
      <c r="T3290" s="330"/>
      <c r="U3290" s="250"/>
      <c r="V3290" s="249"/>
      <c r="W3290" s="330"/>
      <c r="X3290" s="343"/>
      <c r="Y3290" s="249"/>
      <c r="Z3290" s="330"/>
      <c r="AA3290" s="343"/>
      <c r="AB3290" s="249"/>
      <c r="AC3290" s="330"/>
      <c r="AD3290" s="343"/>
      <c r="AE3290" s="249"/>
      <c r="AF3290" s="330"/>
      <c r="AG3290" s="343"/>
      <c r="AH3290" s="249"/>
      <c r="AI3290" s="330"/>
      <c r="AJ3290" s="343"/>
      <c r="AK3290" s="249"/>
      <c r="AL3290" s="330"/>
      <c r="AM3290" s="343"/>
      <c r="AN3290" s="249"/>
      <c r="AO3290" s="330"/>
      <c r="AP3290" s="343"/>
      <c r="AQ3290" s="249"/>
      <c r="AR3290" s="330"/>
      <c r="AS3290" s="343"/>
      <c r="AT3290" s="249"/>
      <c r="AU3290" s="330"/>
    </row>
    <row r="3291" spans="2:47">
      <c r="B3291" s="247">
        <f>'Table S2 Compound Identifiers'!C3293</f>
        <v>0</v>
      </c>
      <c r="C3291" s="247">
        <f>COUNTIF($D$6:D3291,"&lt;&gt;"&amp;"")</f>
        <v>3286</v>
      </c>
      <c r="D3291" s="247">
        <f>'Table S2 Compound Identifiers'!B3293</f>
        <v>0</v>
      </c>
      <c r="E3291" s="247"/>
      <c r="F3291" s="248"/>
      <c r="G3291" s="249"/>
      <c r="H3291" s="330"/>
      <c r="I3291" s="328"/>
      <c r="J3291" s="249"/>
      <c r="K3291" s="330"/>
      <c r="L3291" s="250"/>
      <c r="M3291" s="249"/>
      <c r="N3291" s="330"/>
      <c r="O3291" s="250"/>
      <c r="P3291" s="249"/>
      <c r="Q3291" s="330"/>
      <c r="R3291" s="250"/>
      <c r="S3291" s="249"/>
      <c r="T3291" s="330"/>
      <c r="U3291" s="250"/>
      <c r="V3291" s="249"/>
      <c r="W3291" s="330"/>
      <c r="X3291" s="343"/>
      <c r="Y3291" s="249"/>
      <c r="Z3291" s="330"/>
      <c r="AA3291" s="343"/>
      <c r="AB3291" s="249"/>
      <c r="AC3291" s="330"/>
      <c r="AD3291" s="343"/>
      <c r="AE3291" s="249"/>
      <c r="AF3291" s="330"/>
      <c r="AG3291" s="343"/>
      <c r="AH3291" s="249"/>
      <c r="AI3291" s="330"/>
      <c r="AJ3291" s="343"/>
      <c r="AK3291" s="249"/>
      <c r="AL3291" s="330"/>
      <c r="AM3291" s="343"/>
      <c r="AN3291" s="249"/>
      <c r="AO3291" s="330"/>
      <c r="AP3291" s="343"/>
      <c r="AQ3291" s="249"/>
      <c r="AR3291" s="330"/>
      <c r="AS3291" s="343"/>
      <c r="AT3291" s="249"/>
      <c r="AU3291" s="330"/>
    </row>
    <row r="3292" spans="2:47">
      <c r="B3292" s="247">
        <f>'Table S2 Compound Identifiers'!C3294</f>
        <v>0</v>
      </c>
      <c r="C3292" s="247">
        <f>COUNTIF($D$6:D3292,"&lt;&gt;"&amp;"")</f>
        <v>3287</v>
      </c>
      <c r="D3292" s="247">
        <f>'Table S2 Compound Identifiers'!B3294</f>
        <v>0</v>
      </c>
      <c r="E3292" s="247"/>
      <c r="F3292" s="248"/>
      <c r="G3292" s="249"/>
      <c r="H3292" s="330"/>
      <c r="I3292" s="328"/>
      <c r="J3292" s="249"/>
      <c r="K3292" s="330"/>
      <c r="L3292" s="250"/>
      <c r="M3292" s="249"/>
      <c r="N3292" s="330"/>
      <c r="O3292" s="250"/>
      <c r="P3292" s="249"/>
      <c r="Q3292" s="330"/>
      <c r="R3292" s="250"/>
      <c r="S3292" s="249"/>
      <c r="T3292" s="330"/>
      <c r="U3292" s="250"/>
      <c r="V3292" s="249"/>
      <c r="W3292" s="330"/>
      <c r="X3292" s="343"/>
      <c r="Y3292" s="249"/>
      <c r="Z3292" s="330"/>
      <c r="AA3292" s="343"/>
      <c r="AB3292" s="249"/>
      <c r="AC3292" s="330"/>
      <c r="AD3292" s="343"/>
      <c r="AE3292" s="249"/>
      <c r="AF3292" s="330"/>
      <c r="AG3292" s="343"/>
      <c r="AH3292" s="249"/>
      <c r="AI3292" s="330"/>
      <c r="AJ3292" s="343"/>
      <c r="AK3292" s="249"/>
      <c r="AL3292" s="330"/>
      <c r="AM3292" s="343"/>
      <c r="AN3292" s="249"/>
      <c r="AO3292" s="330"/>
      <c r="AP3292" s="343"/>
      <c r="AQ3292" s="249"/>
      <c r="AR3292" s="330"/>
      <c r="AS3292" s="343"/>
      <c r="AT3292" s="249"/>
      <c r="AU3292" s="330"/>
    </row>
    <row r="3293" spans="2:47">
      <c r="B3293" s="247">
        <f>'Table S2 Compound Identifiers'!C3295</f>
        <v>0</v>
      </c>
      <c r="C3293" s="247">
        <f>COUNTIF($D$6:D3293,"&lt;&gt;"&amp;"")</f>
        <v>3288</v>
      </c>
      <c r="D3293" s="247">
        <f>'Table S2 Compound Identifiers'!B3295</f>
        <v>0</v>
      </c>
      <c r="E3293" s="247"/>
      <c r="F3293" s="248"/>
      <c r="G3293" s="249"/>
      <c r="H3293" s="330"/>
      <c r="I3293" s="328"/>
      <c r="J3293" s="249"/>
      <c r="K3293" s="330"/>
      <c r="L3293" s="250"/>
      <c r="M3293" s="249"/>
      <c r="N3293" s="330"/>
      <c r="O3293" s="250"/>
      <c r="P3293" s="249"/>
      <c r="Q3293" s="330"/>
      <c r="R3293" s="250"/>
      <c r="S3293" s="249"/>
      <c r="T3293" s="330"/>
      <c r="U3293" s="250"/>
      <c r="V3293" s="249"/>
      <c r="W3293" s="330"/>
      <c r="X3293" s="343"/>
      <c r="Y3293" s="249"/>
      <c r="Z3293" s="330"/>
      <c r="AA3293" s="343"/>
      <c r="AB3293" s="249"/>
      <c r="AC3293" s="330"/>
      <c r="AD3293" s="343"/>
      <c r="AE3293" s="249"/>
      <c r="AF3293" s="330"/>
      <c r="AG3293" s="343"/>
      <c r="AH3293" s="249"/>
      <c r="AI3293" s="330"/>
      <c r="AJ3293" s="343"/>
      <c r="AK3293" s="249"/>
      <c r="AL3293" s="330"/>
      <c r="AM3293" s="343"/>
      <c r="AN3293" s="249"/>
      <c r="AO3293" s="330"/>
      <c r="AP3293" s="343"/>
      <c r="AQ3293" s="249"/>
      <c r="AR3293" s="330"/>
      <c r="AS3293" s="343"/>
      <c r="AT3293" s="249"/>
      <c r="AU3293" s="330"/>
    </row>
    <row r="3294" spans="2:47">
      <c r="B3294" s="247">
        <f>'Table S2 Compound Identifiers'!C3296</f>
        <v>0</v>
      </c>
      <c r="C3294" s="247">
        <f>COUNTIF($D$6:D3294,"&lt;&gt;"&amp;"")</f>
        <v>3289</v>
      </c>
      <c r="D3294" s="247">
        <f>'Table S2 Compound Identifiers'!B3296</f>
        <v>0</v>
      </c>
      <c r="E3294" s="247"/>
      <c r="F3294" s="248"/>
      <c r="G3294" s="249"/>
      <c r="H3294" s="330"/>
      <c r="I3294" s="328"/>
      <c r="J3294" s="249"/>
      <c r="K3294" s="330"/>
      <c r="L3294" s="250"/>
      <c r="M3294" s="249"/>
      <c r="N3294" s="330"/>
      <c r="O3294" s="250"/>
      <c r="P3294" s="249"/>
      <c r="Q3294" s="330"/>
      <c r="R3294" s="250"/>
      <c r="S3294" s="249"/>
      <c r="T3294" s="330"/>
      <c r="U3294" s="250"/>
      <c r="V3294" s="249"/>
      <c r="W3294" s="330"/>
      <c r="X3294" s="343"/>
      <c r="Y3294" s="249"/>
      <c r="Z3294" s="330"/>
      <c r="AA3294" s="343"/>
      <c r="AB3294" s="249"/>
      <c r="AC3294" s="330"/>
      <c r="AD3294" s="343"/>
      <c r="AE3294" s="249"/>
      <c r="AF3294" s="330"/>
      <c r="AG3294" s="343"/>
      <c r="AH3294" s="249"/>
      <c r="AI3294" s="330"/>
      <c r="AJ3294" s="343"/>
      <c r="AK3294" s="249"/>
      <c r="AL3294" s="330"/>
      <c r="AM3294" s="343"/>
      <c r="AN3294" s="249"/>
      <c r="AO3294" s="330"/>
      <c r="AP3294" s="343"/>
      <c r="AQ3294" s="249"/>
      <c r="AR3294" s="330"/>
      <c r="AS3294" s="343"/>
      <c r="AT3294" s="249"/>
      <c r="AU3294" s="330"/>
    </row>
    <row r="3295" spans="2:47">
      <c r="B3295" s="247">
        <f>'Table S2 Compound Identifiers'!C3297</f>
        <v>0</v>
      </c>
      <c r="C3295" s="247">
        <f>COUNTIF($D$6:D3295,"&lt;&gt;"&amp;"")</f>
        <v>3290</v>
      </c>
      <c r="D3295" s="247">
        <f>'Table S2 Compound Identifiers'!B3297</f>
        <v>0</v>
      </c>
      <c r="E3295" s="247"/>
      <c r="F3295" s="248"/>
      <c r="G3295" s="249"/>
      <c r="H3295" s="330"/>
      <c r="I3295" s="328"/>
      <c r="J3295" s="249"/>
      <c r="K3295" s="330"/>
      <c r="L3295" s="250"/>
      <c r="M3295" s="249"/>
      <c r="N3295" s="330"/>
      <c r="O3295" s="250"/>
      <c r="P3295" s="249"/>
      <c r="Q3295" s="330"/>
      <c r="R3295" s="250"/>
      <c r="S3295" s="249"/>
      <c r="T3295" s="330"/>
      <c r="U3295" s="250"/>
      <c r="V3295" s="249"/>
      <c r="W3295" s="330"/>
      <c r="X3295" s="343"/>
      <c r="Y3295" s="249"/>
      <c r="Z3295" s="330"/>
      <c r="AA3295" s="343"/>
      <c r="AB3295" s="249"/>
      <c r="AC3295" s="330"/>
      <c r="AD3295" s="343"/>
      <c r="AE3295" s="249"/>
      <c r="AF3295" s="330"/>
      <c r="AG3295" s="343"/>
      <c r="AH3295" s="249"/>
      <c r="AI3295" s="330"/>
      <c r="AJ3295" s="343"/>
      <c r="AK3295" s="249"/>
      <c r="AL3295" s="330"/>
      <c r="AM3295" s="343"/>
      <c r="AN3295" s="249"/>
      <c r="AO3295" s="330"/>
      <c r="AP3295" s="343"/>
      <c r="AQ3295" s="249"/>
      <c r="AR3295" s="330"/>
      <c r="AS3295" s="343"/>
      <c r="AT3295" s="249"/>
      <c r="AU3295" s="330"/>
    </row>
    <row r="3296" spans="2:47">
      <c r="B3296" s="247">
        <f>'Table S2 Compound Identifiers'!C3298</f>
        <v>0</v>
      </c>
      <c r="C3296" s="247">
        <f>COUNTIF($D$6:D3296,"&lt;&gt;"&amp;"")</f>
        <v>3291</v>
      </c>
      <c r="D3296" s="247">
        <f>'Table S2 Compound Identifiers'!B3298</f>
        <v>0</v>
      </c>
      <c r="E3296" s="247"/>
      <c r="F3296" s="248"/>
      <c r="G3296" s="249"/>
      <c r="H3296" s="330"/>
      <c r="I3296" s="328"/>
      <c r="J3296" s="249"/>
      <c r="K3296" s="330"/>
      <c r="L3296" s="250"/>
      <c r="M3296" s="249"/>
      <c r="N3296" s="330"/>
      <c r="O3296" s="250"/>
      <c r="P3296" s="249"/>
      <c r="Q3296" s="330"/>
      <c r="R3296" s="250"/>
      <c r="S3296" s="249"/>
      <c r="T3296" s="330"/>
      <c r="U3296" s="250"/>
      <c r="V3296" s="249"/>
      <c r="W3296" s="330"/>
      <c r="X3296" s="343"/>
      <c r="Y3296" s="249"/>
      <c r="Z3296" s="330"/>
      <c r="AA3296" s="343"/>
      <c r="AB3296" s="249"/>
      <c r="AC3296" s="330"/>
      <c r="AD3296" s="343"/>
      <c r="AE3296" s="249"/>
      <c r="AF3296" s="330"/>
      <c r="AG3296" s="343"/>
      <c r="AH3296" s="249"/>
      <c r="AI3296" s="330"/>
      <c r="AJ3296" s="343"/>
      <c r="AK3296" s="249"/>
      <c r="AL3296" s="330"/>
      <c r="AM3296" s="343"/>
      <c r="AN3296" s="249"/>
      <c r="AO3296" s="330"/>
      <c r="AP3296" s="343"/>
      <c r="AQ3296" s="249"/>
      <c r="AR3296" s="330"/>
      <c r="AS3296" s="343"/>
      <c r="AT3296" s="249"/>
      <c r="AU3296" s="330"/>
    </row>
    <row r="3297" spans="2:47">
      <c r="B3297" s="247">
        <f>'Table S2 Compound Identifiers'!C3299</f>
        <v>0</v>
      </c>
      <c r="C3297" s="247">
        <f>COUNTIF($D$6:D3297,"&lt;&gt;"&amp;"")</f>
        <v>3292</v>
      </c>
      <c r="D3297" s="247">
        <f>'Table S2 Compound Identifiers'!B3299</f>
        <v>0</v>
      </c>
      <c r="E3297" s="247"/>
      <c r="F3297" s="248"/>
      <c r="G3297" s="249"/>
      <c r="H3297" s="330"/>
      <c r="I3297" s="328"/>
      <c r="J3297" s="249"/>
      <c r="K3297" s="330"/>
      <c r="L3297" s="250"/>
      <c r="M3297" s="249"/>
      <c r="N3297" s="330"/>
      <c r="O3297" s="250"/>
      <c r="P3297" s="249"/>
      <c r="Q3297" s="330"/>
      <c r="R3297" s="250"/>
      <c r="S3297" s="249"/>
      <c r="T3297" s="330"/>
      <c r="U3297" s="250"/>
      <c r="V3297" s="249"/>
      <c r="W3297" s="330"/>
      <c r="X3297" s="343"/>
      <c r="Y3297" s="249"/>
      <c r="Z3297" s="330"/>
      <c r="AA3297" s="343"/>
      <c r="AB3297" s="249"/>
      <c r="AC3297" s="330"/>
      <c r="AD3297" s="343"/>
      <c r="AE3297" s="249"/>
      <c r="AF3297" s="330"/>
      <c r="AG3297" s="343"/>
      <c r="AH3297" s="249"/>
      <c r="AI3297" s="330"/>
      <c r="AJ3297" s="343"/>
      <c r="AK3297" s="249"/>
      <c r="AL3297" s="330"/>
      <c r="AM3297" s="343"/>
      <c r="AN3297" s="249"/>
      <c r="AO3297" s="330"/>
      <c r="AP3297" s="343"/>
      <c r="AQ3297" s="249"/>
      <c r="AR3297" s="330"/>
      <c r="AS3297" s="343"/>
      <c r="AT3297" s="249"/>
      <c r="AU3297" s="330"/>
    </row>
    <row r="3298" spans="2:47">
      <c r="B3298" s="247">
        <f>'Table S2 Compound Identifiers'!C3300</f>
        <v>0</v>
      </c>
      <c r="C3298" s="247">
        <f>COUNTIF($D$6:D3298,"&lt;&gt;"&amp;"")</f>
        <v>3293</v>
      </c>
      <c r="D3298" s="247">
        <f>'Table S2 Compound Identifiers'!B3300</f>
        <v>0</v>
      </c>
      <c r="E3298" s="247"/>
      <c r="F3298" s="248"/>
      <c r="G3298" s="249"/>
      <c r="H3298" s="330"/>
      <c r="I3298" s="328"/>
      <c r="J3298" s="249"/>
      <c r="K3298" s="330"/>
      <c r="L3298" s="250"/>
      <c r="M3298" s="249"/>
      <c r="N3298" s="330"/>
      <c r="O3298" s="250"/>
      <c r="P3298" s="249"/>
      <c r="Q3298" s="330"/>
      <c r="R3298" s="250"/>
      <c r="S3298" s="249"/>
      <c r="T3298" s="330"/>
      <c r="U3298" s="250"/>
      <c r="V3298" s="249"/>
      <c r="W3298" s="330"/>
      <c r="X3298" s="343"/>
      <c r="Y3298" s="249"/>
      <c r="Z3298" s="330"/>
      <c r="AA3298" s="343"/>
      <c r="AB3298" s="249"/>
      <c r="AC3298" s="330"/>
      <c r="AD3298" s="343"/>
      <c r="AE3298" s="249"/>
      <c r="AF3298" s="330"/>
      <c r="AG3298" s="343"/>
      <c r="AH3298" s="249"/>
      <c r="AI3298" s="330"/>
      <c r="AJ3298" s="343"/>
      <c r="AK3298" s="249"/>
      <c r="AL3298" s="330"/>
      <c r="AM3298" s="343"/>
      <c r="AN3298" s="249"/>
      <c r="AO3298" s="330"/>
      <c r="AP3298" s="343"/>
      <c r="AQ3298" s="249"/>
      <c r="AR3298" s="330"/>
      <c r="AS3298" s="343"/>
      <c r="AT3298" s="249"/>
      <c r="AU3298" s="330"/>
    </row>
    <row r="3299" spans="2:47">
      <c r="B3299" s="247">
        <f>'Table S2 Compound Identifiers'!C3301</f>
        <v>0</v>
      </c>
      <c r="C3299" s="247">
        <f>COUNTIF($D$6:D3299,"&lt;&gt;"&amp;"")</f>
        <v>3294</v>
      </c>
      <c r="D3299" s="247">
        <f>'Table S2 Compound Identifiers'!B3301</f>
        <v>0</v>
      </c>
      <c r="E3299" s="247"/>
      <c r="F3299" s="248"/>
      <c r="G3299" s="249"/>
      <c r="H3299" s="330"/>
      <c r="I3299" s="328"/>
      <c r="J3299" s="249"/>
      <c r="K3299" s="330"/>
      <c r="L3299" s="250"/>
      <c r="M3299" s="249"/>
      <c r="N3299" s="330"/>
      <c r="O3299" s="250"/>
      <c r="P3299" s="249"/>
      <c r="Q3299" s="330"/>
      <c r="R3299" s="250"/>
      <c r="S3299" s="249"/>
      <c r="T3299" s="330"/>
      <c r="U3299" s="250"/>
      <c r="V3299" s="249"/>
      <c r="W3299" s="330"/>
      <c r="X3299" s="343"/>
      <c r="Y3299" s="249"/>
      <c r="Z3299" s="330"/>
      <c r="AA3299" s="343"/>
      <c r="AB3299" s="249"/>
      <c r="AC3299" s="330"/>
      <c r="AD3299" s="343"/>
      <c r="AE3299" s="249"/>
      <c r="AF3299" s="330"/>
      <c r="AG3299" s="343"/>
      <c r="AH3299" s="249"/>
      <c r="AI3299" s="330"/>
      <c r="AJ3299" s="343"/>
      <c r="AK3299" s="249"/>
      <c r="AL3299" s="330"/>
      <c r="AM3299" s="343"/>
      <c r="AN3299" s="249"/>
      <c r="AO3299" s="330"/>
      <c r="AP3299" s="343"/>
      <c r="AQ3299" s="249"/>
      <c r="AR3299" s="330"/>
      <c r="AS3299" s="343"/>
      <c r="AT3299" s="249"/>
      <c r="AU3299" s="330"/>
    </row>
    <row r="3300" spans="2:47">
      <c r="B3300" s="247">
        <f>'Table S2 Compound Identifiers'!C3302</f>
        <v>0</v>
      </c>
      <c r="C3300" s="247">
        <f>COUNTIF($D$6:D3300,"&lt;&gt;"&amp;"")</f>
        <v>3295</v>
      </c>
      <c r="D3300" s="247">
        <f>'Table S2 Compound Identifiers'!B3302</f>
        <v>0</v>
      </c>
      <c r="E3300" s="247"/>
      <c r="F3300" s="248"/>
      <c r="G3300" s="249"/>
      <c r="H3300" s="330"/>
      <c r="I3300" s="328"/>
      <c r="J3300" s="249"/>
      <c r="K3300" s="330"/>
      <c r="L3300" s="250"/>
      <c r="M3300" s="249"/>
      <c r="N3300" s="330"/>
      <c r="O3300" s="250"/>
      <c r="P3300" s="249"/>
      <c r="Q3300" s="330"/>
      <c r="R3300" s="250"/>
      <c r="S3300" s="249"/>
      <c r="T3300" s="330"/>
      <c r="U3300" s="250"/>
      <c r="V3300" s="249"/>
      <c r="W3300" s="330"/>
      <c r="X3300" s="343"/>
      <c r="Y3300" s="249"/>
      <c r="Z3300" s="330"/>
      <c r="AA3300" s="343"/>
      <c r="AB3300" s="249"/>
      <c r="AC3300" s="330"/>
      <c r="AD3300" s="343"/>
      <c r="AE3300" s="249"/>
      <c r="AF3300" s="330"/>
      <c r="AG3300" s="343"/>
      <c r="AH3300" s="249"/>
      <c r="AI3300" s="330"/>
      <c r="AJ3300" s="343"/>
      <c r="AK3300" s="249"/>
      <c r="AL3300" s="330"/>
      <c r="AM3300" s="343"/>
      <c r="AN3300" s="249"/>
      <c r="AO3300" s="330"/>
      <c r="AP3300" s="343"/>
      <c r="AQ3300" s="249"/>
      <c r="AR3300" s="330"/>
      <c r="AS3300" s="343"/>
      <c r="AT3300" s="249"/>
      <c r="AU3300" s="330"/>
    </row>
    <row r="3301" spans="2:47">
      <c r="B3301" s="247">
        <f>'Table S2 Compound Identifiers'!C3303</f>
        <v>0</v>
      </c>
      <c r="C3301" s="247">
        <f>COUNTIF($D$6:D3301,"&lt;&gt;"&amp;"")</f>
        <v>3296</v>
      </c>
      <c r="D3301" s="247">
        <f>'Table S2 Compound Identifiers'!B3303</f>
        <v>0</v>
      </c>
      <c r="E3301" s="247"/>
      <c r="F3301" s="248"/>
      <c r="G3301" s="249"/>
      <c r="H3301" s="330"/>
      <c r="I3301" s="328"/>
      <c r="J3301" s="249"/>
      <c r="K3301" s="330"/>
      <c r="L3301" s="250"/>
      <c r="M3301" s="249"/>
      <c r="N3301" s="330"/>
      <c r="O3301" s="250"/>
      <c r="P3301" s="249"/>
      <c r="Q3301" s="330"/>
      <c r="R3301" s="250"/>
      <c r="S3301" s="249"/>
      <c r="T3301" s="330"/>
      <c r="U3301" s="250"/>
      <c r="V3301" s="249"/>
      <c r="W3301" s="330"/>
      <c r="X3301" s="343"/>
      <c r="Y3301" s="249"/>
      <c r="Z3301" s="330"/>
      <c r="AA3301" s="343"/>
      <c r="AB3301" s="249"/>
      <c r="AC3301" s="330"/>
      <c r="AD3301" s="343"/>
      <c r="AE3301" s="249"/>
      <c r="AF3301" s="330"/>
      <c r="AG3301" s="343"/>
      <c r="AH3301" s="249"/>
      <c r="AI3301" s="330"/>
      <c r="AJ3301" s="343"/>
      <c r="AK3301" s="249"/>
      <c r="AL3301" s="330"/>
      <c r="AM3301" s="343"/>
      <c r="AN3301" s="249"/>
      <c r="AO3301" s="330"/>
      <c r="AP3301" s="343"/>
      <c r="AQ3301" s="249"/>
      <c r="AR3301" s="330"/>
      <c r="AS3301" s="343"/>
      <c r="AT3301" s="249"/>
      <c r="AU3301" s="330"/>
    </row>
    <row r="3302" spans="2:47">
      <c r="B3302" s="247">
        <f>'Table S2 Compound Identifiers'!C3304</f>
        <v>0</v>
      </c>
      <c r="C3302" s="247">
        <f>COUNTIF($D$6:D3302,"&lt;&gt;"&amp;"")</f>
        <v>3297</v>
      </c>
      <c r="D3302" s="247">
        <f>'Table S2 Compound Identifiers'!B3304</f>
        <v>0</v>
      </c>
      <c r="E3302" s="247"/>
      <c r="F3302" s="248"/>
      <c r="G3302" s="249"/>
      <c r="H3302" s="330"/>
      <c r="I3302" s="328"/>
      <c r="J3302" s="249"/>
      <c r="K3302" s="330"/>
      <c r="L3302" s="250"/>
      <c r="M3302" s="249"/>
      <c r="N3302" s="330"/>
      <c r="O3302" s="250"/>
      <c r="P3302" s="249"/>
      <c r="Q3302" s="330"/>
      <c r="R3302" s="250"/>
      <c r="S3302" s="249"/>
      <c r="T3302" s="330"/>
      <c r="U3302" s="250"/>
      <c r="V3302" s="249"/>
      <c r="W3302" s="330"/>
      <c r="X3302" s="343"/>
      <c r="Y3302" s="249"/>
      <c r="Z3302" s="330"/>
      <c r="AA3302" s="343"/>
      <c r="AB3302" s="249"/>
      <c r="AC3302" s="330"/>
      <c r="AD3302" s="343"/>
      <c r="AE3302" s="249"/>
      <c r="AF3302" s="330"/>
      <c r="AG3302" s="343"/>
      <c r="AH3302" s="249"/>
      <c r="AI3302" s="330"/>
      <c r="AJ3302" s="343"/>
      <c r="AK3302" s="249"/>
      <c r="AL3302" s="330"/>
      <c r="AM3302" s="343"/>
      <c r="AN3302" s="249"/>
      <c r="AO3302" s="330"/>
      <c r="AP3302" s="343"/>
      <c r="AQ3302" s="249"/>
      <c r="AR3302" s="330"/>
      <c r="AS3302" s="343"/>
      <c r="AT3302" s="249"/>
      <c r="AU3302" s="330"/>
    </row>
    <row r="3303" spans="2:47">
      <c r="B3303" s="247">
        <f>'Table S2 Compound Identifiers'!C3305</f>
        <v>0</v>
      </c>
      <c r="C3303" s="247">
        <f>COUNTIF($D$6:D3303,"&lt;&gt;"&amp;"")</f>
        <v>3298</v>
      </c>
      <c r="D3303" s="247">
        <f>'Table S2 Compound Identifiers'!B3305</f>
        <v>0</v>
      </c>
      <c r="E3303" s="247"/>
      <c r="F3303" s="248"/>
      <c r="G3303" s="249"/>
      <c r="H3303" s="330"/>
      <c r="I3303" s="328"/>
      <c r="J3303" s="249"/>
      <c r="K3303" s="330"/>
      <c r="L3303" s="250"/>
      <c r="M3303" s="249"/>
      <c r="N3303" s="330"/>
      <c r="O3303" s="250"/>
      <c r="P3303" s="249"/>
      <c r="Q3303" s="330"/>
      <c r="R3303" s="250"/>
      <c r="S3303" s="249"/>
      <c r="T3303" s="330"/>
      <c r="U3303" s="250"/>
      <c r="V3303" s="249"/>
      <c r="W3303" s="330"/>
      <c r="X3303" s="343"/>
      <c r="Y3303" s="249"/>
      <c r="Z3303" s="330"/>
      <c r="AA3303" s="343"/>
      <c r="AB3303" s="249"/>
      <c r="AC3303" s="330"/>
      <c r="AD3303" s="343"/>
      <c r="AE3303" s="249"/>
      <c r="AF3303" s="330"/>
      <c r="AG3303" s="343"/>
      <c r="AH3303" s="249"/>
      <c r="AI3303" s="330"/>
      <c r="AJ3303" s="343"/>
      <c r="AK3303" s="249"/>
      <c r="AL3303" s="330"/>
      <c r="AM3303" s="343"/>
      <c r="AN3303" s="249"/>
      <c r="AO3303" s="330"/>
      <c r="AP3303" s="343"/>
      <c r="AQ3303" s="249"/>
      <c r="AR3303" s="330"/>
      <c r="AS3303" s="343"/>
      <c r="AT3303" s="249"/>
      <c r="AU3303" s="330"/>
    </row>
    <row r="3304" spans="2:47">
      <c r="B3304" s="247">
        <f>'Table S2 Compound Identifiers'!C3306</f>
        <v>0</v>
      </c>
      <c r="C3304" s="247">
        <f>COUNTIF($D$6:D3304,"&lt;&gt;"&amp;"")</f>
        <v>3299</v>
      </c>
      <c r="D3304" s="247">
        <f>'Table S2 Compound Identifiers'!B3306</f>
        <v>0</v>
      </c>
      <c r="E3304" s="247"/>
      <c r="F3304" s="248"/>
      <c r="G3304" s="249"/>
      <c r="H3304" s="330"/>
      <c r="I3304" s="328"/>
      <c r="J3304" s="249"/>
      <c r="K3304" s="330"/>
      <c r="L3304" s="250"/>
      <c r="M3304" s="249"/>
      <c r="N3304" s="330"/>
      <c r="O3304" s="250"/>
      <c r="P3304" s="249"/>
      <c r="Q3304" s="330"/>
      <c r="R3304" s="250"/>
      <c r="S3304" s="249"/>
      <c r="T3304" s="330"/>
      <c r="U3304" s="250"/>
      <c r="V3304" s="249"/>
      <c r="W3304" s="330"/>
      <c r="X3304" s="343"/>
      <c r="Y3304" s="249"/>
      <c r="Z3304" s="330"/>
      <c r="AA3304" s="343"/>
      <c r="AB3304" s="249"/>
      <c r="AC3304" s="330"/>
      <c r="AD3304" s="343"/>
      <c r="AE3304" s="249"/>
      <c r="AF3304" s="330"/>
      <c r="AG3304" s="343"/>
      <c r="AH3304" s="249"/>
      <c r="AI3304" s="330"/>
      <c r="AJ3304" s="343"/>
      <c r="AK3304" s="249"/>
      <c r="AL3304" s="330"/>
      <c r="AM3304" s="343"/>
      <c r="AN3304" s="249"/>
      <c r="AO3304" s="330"/>
      <c r="AP3304" s="343"/>
      <c r="AQ3304" s="249"/>
      <c r="AR3304" s="330"/>
      <c r="AS3304" s="343"/>
      <c r="AT3304" s="249"/>
      <c r="AU3304" s="330"/>
    </row>
    <row r="3305" spans="2:47">
      <c r="B3305" s="247">
        <f>'Table S2 Compound Identifiers'!C3307</f>
        <v>0</v>
      </c>
      <c r="C3305" s="247">
        <f>COUNTIF($D$6:D3305,"&lt;&gt;"&amp;"")</f>
        <v>3300</v>
      </c>
      <c r="D3305" s="247">
        <f>'Table S2 Compound Identifiers'!B3307</f>
        <v>0</v>
      </c>
      <c r="E3305" s="247"/>
      <c r="F3305" s="248"/>
      <c r="G3305" s="249"/>
      <c r="H3305" s="330"/>
      <c r="I3305" s="328"/>
      <c r="J3305" s="249"/>
      <c r="K3305" s="330"/>
      <c r="L3305" s="250"/>
      <c r="M3305" s="249"/>
      <c r="N3305" s="330"/>
      <c r="O3305" s="250"/>
      <c r="P3305" s="249"/>
      <c r="Q3305" s="330"/>
      <c r="R3305" s="250"/>
      <c r="S3305" s="249"/>
      <c r="T3305" s="330"/>
      <c r="U3305" s="250"/>
      <c r="V3305" s="249"/>
      <c r="W3305" s="330"/>
      <c r="X3305" s="343"/>
      <c r="Y3305" s="249"/>
      <c r="Z3305" s="330"/>
      <c r="AA3305" s="343"/>
      <c r="AB3305" s="249"/>
      <c r="AC3305" s="330"/>
      <c r="AD3305" s="343"/>
      <c r="AE3305" s="249"/>
      <c r="AF3305" s="330"/>
      <c r="AG3305" s="343"/>
      <c r="AH3305" s="249"/>
      <c r="AI3305" s="330"/>
      <c r="AJ3305" s="343"/>
      <c r="AK3305" s="249"/>
      <c r="AL3305" s="330"/>
      <c r="AM3305" s="343"/>
      <c r="AN3305" s="249"/>
      <c r="AO3305" s="330"/>
      <c r="AP3305" s="343"/>
      <c r="AQ3305" s="249"/>
      <c r="AR3305" s="330"/>
      <c r="AS3305" s="343"/>
      <c r="AT3305" s="249"/>
      <c r="AU3305" s="330"/>
    </row>
    <row r="3306" spans="2:47">
      <c r="B3306" s="247">
        <f>'Table S2 Compound Identifiers'!C3308</f>
        <v>0</v>
      </c>
      <c r="C3306" s="247">
        <f>COUNTIF($D$6:D3306,"&lt;&gt;"&amp;"")</f>
        <v>3301</v>
      </c>
      <c r="D3306" s="247">
        <f>'Table S2 Compound Identifiers'!B3308</f>
        <v>0</v>
      </c>
      <c r="E3306" s="247"/>
      <c r="F3306" s="248"/>
      <c r="G3306" s="249"/>
      <c r="H3306" s="330"/>
      <c r="I3306" s="328"/>
      <c r="J3306" s="249"/>
      <c r="K3306" s="330"/>
      <c r="L3306" s="250"/>
      <c r="M3306" s="249"/>
      <c r="N3306" s="330"/>
      <c r="O3306" s="250"/>
      <c r="P3306" s="249"/>
      <c r="Q3306" s="330"/>
      <c r="R3306" s="250"/>
      <c r="S3306" s="249"/>
      <c r="T3306" s="330"/>
      <c r="U3306" s="250"/>
      <c r="V3306" s="249"/>
      <c r="W3306" s="330"/>
      <c r="X3306" s="343"/>
      <c r="Y3306" s="249"/>
      <c r="Z3306" s="330"/>
      <c r="AA3306" s="343"/>
      <c r="AB3306" s="249"/>
      <c r="AC3306" s="330"/>
      <c r="AD3306" s="343"/>
      <c r="AE3306" s="249"/>
      <c r="AF3306" s="330"/>
      <c r="AG3306" s="343"/>
      <c r="AH3306" s="249"/>
      <c r="AI3306" s="330"/>
      <c r="AJ3306" s="343"/>
      <c r="AK3306" s="249"/>
      <c r="AL3306" s="330"/>
      <c r="AM3306" s="343"/>
      <c r="AN3306" s="249"/>
      <c r="AO3306" s="330"/>
      <c r="AP3306" s="343"/>
      <c r="AQ3306" s="249"/>
      <c r="AR3306" s="330"/>
      <c r="AS3306" s="343"/>
      <c r="AT3306" s="249"/>
      <c r="AU3306" s="330"/>
    </row>
    <row r="3307" spans="2:47">
      <c r="B3307" s="247">
        <f>'Table S2 Compound Identifiers'!C3309</f>
        <v>0</v>
      </c>
      <c r="C3307" s="247">
        <f>COUNTIF($D$6:D3307,"&lt;&gt;"&amp;"")</f>
        <v>3302</v>
      </c>
      <c r="D3307" s="247">
        <f>'Table S2 Compound Identifiers'!B3309</f>
        <v>0</v>
      </c>
      <c r="E3307" s="247"/>
      <c r="F3307" s="248"/>
      <c r="G3307" s="249"/>
      <c r="H3307" s="330"/>
      <c r="I3307" s="328"/>
      <c r="J3307" s="249"/>
      <c r="K3307" s="330"/>
      <c r="L3307" s="250"/>
      <c r="M3307" s="249"/>
      <c r="N3307" s="330"/>
      <c r="O3307" s="250"/>
      <c r="P3307" s="249"/>
      <c r="Q3307" s="330"/>
      <c r="R3307" s="250"/>
      <c r="S3307" s="249"/>
      <c r="T3307" s="330"/>
      <c r="U3307" s="250"/>
      <c r="V3307" s="249"/>
      <c r="W3307" s="330"/>
      <c r="X3307" s="343"/>
      <c r="Y3307" s="249"/>
      <c r="Z3307" s="330"/>
      <c r="AA3307" s="343"/>
      <c r="AB3307" s="249"/>
      <c r="AC3307" s="330"/>
      <c r="AD3307" s="343"/>
      <c r="AE3307" s="249"/>
      <c r="AF3307" s="330"/>
      <c r="AG3307" s="343"/>
      <c r="AH3307" s="249"/>
      <c r="AI3307" s="330"/>
      <c r="AJ3307" s="343"/>
      <c r="AK3307" s="249"/>
      <c r="AL3307" s="330"/>
      <c r="AM3307" s="343"/>
      <c r="AN3307" s="249"/>
      <c r="AO3307" s="330"/>
      <c r="AP3307" s="343"/>
      <c r="AQ3307" s="249"/>
      <c r="AR3307" s="330"/>
      <c r="AS3307" s="343"/>
      <c r="AT3307" s="249"/>
      <c r="AU3307" s="330"/>
    </row>
    <row r="3308" spans="2:47">
      <c r="B3308" s="247">
        <f>'Table S2 Compound Identifiers'!C3310</f>
        <v>0</v>
      </c>
      <c r="C3308" s="247">
        <f>COUNTIF($D$6:D3308,"&lt;&gt;"&amp;"")</f>
        <v>3303</v>
      </c>
      <c r="D3308" s="247">
        <f>'Table S2 Compound Identifiers'!B3310</f>
        <v>0</v>
      </c>
      <c r="E3308" s="247"/>
      <c r="F3308" s="248"/>
      <c r="G3308" s="249"/>
      <c r="H3308" s="330"/>
      <c r="I3308" s="328"/>
      <c r="J3308" s="249"/>
      <c r="K3308" s="330"/>
      <c r="L3308" s="250"/>
      <c r="M3308" s="249"/>
      <c r="N3308" s="330"/>
      <c r="O3308" s="250"/>
      <c r="P3308" s="249"/>
      <c r="Q3308" s="330"/>
      <c r="R3308" s="250"/>
      <c r="S3308" s="249"/>
      <c r="T3308" s="330"/>
      <c r="U3308" s="250"/>
      <c r="V3308" s="249"/>
      <c r="W3308" s="330"/>
      <c r="X3308" s="343"/>
      <c r="Y3308" s="249"/>
      <c r="Z3308" s="330"/>
      <c r="AA3308" s="343"/>
      <c r="AB3308" s="249"/>
      <c r="AC3308" s="330"/>
      <c r="AD3308" s="343"/>
      <c r="AE3308" s="249"/>
      <c r="AF3308" s="330"/>
      <c r="AG3308" s="343"/>
      <c r="AH3308" s="249"/>
      <c r="AI3308" s="330"/>
      <c r="AJ3308" s="343"/>
      <c r="AK3308" s="249"/>
      <c r="AL3308" s="330"/>
      <c r="AM3308" s="343"/>
      <c r="AN3308" s="249"/>
      <c r="AO3308" s="330"/>
      <c r="AP3308" s="343"/>
      <c r="AQ3308" s="249"/>
      <c r="AR3308" s="330"/>
      <c r="AS3308" s="343"/>
      <c r="AT3308" s="249"/>
      <c r="AU3308" s="330"/>
    </row>
    <row r="3309" spans="2:47">
      <c r="B3309" s="247">
        <f>'Table S2 Compound Identifiers'!C3311</f>
        <v>0</v>
      </c>
      <c r="C3309" s="247">
        <f>COUNTIF($D$6:D3309,"&lt;&gt;"&amp;"")</f>
        <v>3304</v>
      </c>
      <c r="D3309" s="247">
        <f>'Table S2 Compound Identifiers'!B3311</f>
        <v>0</v>
      </c>
      <c r="E3309" s="247"/>
      <c r="F3309" s="248"/>
      <c r="G3309" s="249"/>
      <c r="H3309" s="330"/>
      <c r="I3309" s="328"/>
      <c r="J3309" s="249"/>
      <c r="K3309" s="330"/>
      <c r="L3309" s="250"/>
      <c r="M3309" s="249"/>
      <c r="N3309" s="330"/>
      <c r="O3309" s="250"/>
      <c r="P3309" s="249"/>
      <c r="Q3309" s="330"/>
      <c r="R3309" s="250"/>
      <c r="S3309" s="249"/>
      <c r="T3309" s="330"/>
      <c r="U3309" s="250"/>
      <c r="V3309" s="249"/>
      <c r="W3309" s="330"/>
      <c r="X3309" s="343"/>
      <c r="Y3309" s="249"/>
      <c r="Z3309" s="330"/>
      <c r="AA3309" s="343"/>
      <c r="AB3309" s="249"/>
      <c r="AC3309" s="330"/>
      <c r="AD3309" s="343"/>
      <c r="AE3309" s="249"/>
      <c r="AF3309" s="330"/>
      <c r="AG3309" s="343"/>
      <c r="AH3309" s="249"/>
      <c r="AI3309" s="330"/>
      <c r="AJ3309" s="343"/>
      <c r="AK3309" s="249"/>
      <c r="AL3309" s="330"/>
      <c r="AM3309" s="343"/>
      <c r="AN3309" s="249"/>
      <c r="AO3309" s="330"/>
      <c r="AP3309" s="343"/>
      <c r="AQ3309" s="249"/>
      <c r="AR3309" s="330"/>
      <c r="AS3309" s="343"/>
      <c r="AT3309" s="249"/>
      <c r="AU3309" s="330"/>
    </row>
    <row r="3310" spans="2:47">
      <c r="B3310" s="247">
        <f>'Table S2 Compound Identifiers'!C3312</f>
        <v>0</v>
      </c>
      <c r="C3310" s="247">
        <f>COUNTIF($D$6:D3310,"&lt;&gt;"&amp;"")</f>
        <v>3305</v>
      </c>
      <c r="D3310" s="247">
        <f>'Table S2 Compound Identifiers'!B3312</f>
        <v>0</v>
      </c>
      <c r="E3310" s="247"/>
      <c r="F3310" s="248"/>
      <c r="G3310" s="249"/>
      <c r="H3310" s="330"/>
      <c r="I3310" s="328"/>
      <c r="J3310" s="249"/>
      <c r="K3310" s="330"/>
      <c r="L3310" s="250"/>
      <c r="M3310" s="249"/>
      <c r="N3310" s="330"/>
      <c r="O3310" s="250"/>
      <c r="P3310" s="249"/>
      <c r="Q3310" s="330"/>
      <c r="R3310" s="250"/>
      <c r="S3310" s="249"/>
      <c r="T3310" s="330"/>
      <c r="U3310" s="250"/>
      <c r="V3310" s="249"/>
      <c r="W3310" s="330"/>
      <c r="X3310" s="343"/>
      <c r="Y3310" s="249"/>
      <c r="Z3310" s="330"/>
      <c r="AA3310" s="343"/>
      <c r="AB3310" s="249"/>
      <c r="AC3310" s="330"/>
      <c r="AD3310" s="343"/>
      <c r="AE3310" s="249"/>
      <c r="AF3310" s="330"/>
      <c r="AG3310" s="343"/>
      <c r="AH3310" s="249"/>
      <c r="AI3310" s="330"/>
      <c r="AJ3310" s="343"/>
      <c r="AK3310" s="249"/>
      <c r="AL3310" s="330"/>
      <c r="AM3310" s="343"/>
      <c r="AN3310" s="249"/>
      <c r="AO3310" s="330"/>
      <c r="AP3310" s="343"/>
      <c r="AQ3310" s="249"/>
      <c r="AR3310" s="330"/>
      <c r="AS3310" s="343"/>
      <c r="AT3310" s="249"/>
      <c r="AU3310" s="330"/>
    </row>
    <row r="3311" spans="2:47">
      <c r="B3311" s="247">
        <f>'Table S2 Compound Identifiers'!C3313</f>
        <v>0</v>
      </c>
      <c r="C3311" s="247">
        <f>COUNTIF($D$6:D3311,"&lt;&gt;"&amp;"")</f>
        <v>3306</v>
      </c>
      <c r="D3311" s="247">
        <f>'Table S2 Compound Identifiers'!B3313</f>
        <v>0</v>
      </c>
      <c r="E3311" s="247"/>
      <c r="F3311" s="248"/>
      <c r="G3311" s="249"/>
      <c r="H3311" s="330"/>
      <c r="I3311" s="328"/>
      <c r="J3311" s="249"/>
      <c r="K3311" s="330"/>
      <c r="L3311" s="250"/>
      <c r="M3311" s="249"/>
      <c r="N3311" s="330"/>
      <c r="O3311" s="250"/>
      <c r="P3311" s="249"/>
      <c r="Q3311" s="330"/>
      <c r="R3311" s="250"/>
      <c r="S3311" s="249"/>
      <c r="T3311" s="330"/>
      <c r="U3311" s="250"/>
      <c r="V3311" s="249"/>
      <c r="W3311" s="330"/>
      <c r="X3311" s="343"/>
      <c r="Y3311" s="249"/>
      <c r="Z3311" s="330"/>
      <c r="AA3311" s="343"/>
      <c r="AB3311" s="249"/>
      <c r="AC3311" s="330"/>
      <c r="AD3311" s="343"/>
      <c r="AE3311" s="249"/>
      <c r="AF3311" s="330"/>
      <c r="AG3311" s="343"/>
      <c r="AH3311" s="249"/>
      <c r="AI3311" s="330"/>
      <c r="AJ3311" s="343"/>
      <c r="AK3311" s="249"/>
      <c r="AL3311" s="330"/>
      <c r="AM3311" s="343"/>
      <c r="AN3311" s="249"/>
      <c r="AO3311" s="330"/>
      <c r="AP3311" s="343"/>
      <c r="AQ3311" s="249"/>
      <c r="AR3311" s="330"/>
      <c r="AS3311" s="343"/>
      <c r="AT3311" s="249"/>
      <c r="AU3311" s="330"/>
    </row>
    <row r="3312" spans="2:47">
      <c r="B3312" s="247">
        <f>'Table S2 Compound Identifiers'!C3314</f>
        <v>0</v>
      </c>
      <c r="C3312" s="247">
        <f>COUNTIF($D$6:D3312,"&lt;&gt;"&amp;"")</f>
        <v>3307</v>
      </c>
      <c r="D3312" s="247">
        <f>'Table S2 Compound Identifiers'!B3314</f>
        <v>0</v>
      </c>
      <c r="E3312" s="247"/>
      <c r="F3312" s="248"/>
      <c r="G3312" s="249"/>
      <c r="H3312" s="330"/>
      <c r="I3312" s="328"/>
      <c r="J3312" s="249"/>
      <c r="K3312" s="330"/>
      <c r="L3312" s="250"/>
      <c r="M3312" s="249"/>
      <c r="N3312" s="330"/>
      <c r="O3312" s="250"/>
      <c r="P3312" s="249"/>
      <c r="Q3312" s="330"/>
      <c r="R3312" s="250"/>
      <c r="S3312" s="249"/>
      <c r="T3312" s="330"/>
      <c r="U3312" s="250"/>
      <c r="V3312" s="249"/>
      <c r="W3312" s="330"/>
      <c r="X3312" s="343"/>
      <c r="Y3312" s="249"/>
      <c r="Z3312" s="330"/>
      <c r="AA3312" s="343"/>
      <c r="AB3312" s="249"/>
      <c r="AC3312" s="330"/>
      <c r="AD3312" s="343"/>
      <c r="AE3312" s="249"/>
      <c r="AF3312" s="330"/>
      <c r="AG3312" s="343"/>
      <c r="AH3312" s="249"/>
      <c r="AI3312" s="330"/>
      <c r="AJ3312" s="343"/>
      <c r="AK3312" s="249"/>
      <c r="AL3312" s="330"/>
      <c r="AM3312" s="343"/>
      <c r="AN3312" s="249"/>
      <c r="AO3312" s="330"/>
      <c r="AP3312" s="343"/>
      <c r="AQ3312" s="249"/>
      <c r="AR3312" s="330"/>
      <c r="AS3312" s="343"/>
      <c r="AT3312" s="249"/>
      <c r="AU3312" s="330"/>
    </row>
    <row r="3313" spans="2:47">
      <c r="B3313" s="247">
        <f>'Table S2 Compound Identifiers'!C3315</f>
        <v>0</v>
      </c>
      <c r="C3313" s="247">
        <f>COUNTIF($D$6:D3313,"&lt;&gt;"&amp;"")</f>
        <v>3308</v>
      </c>
      <c r="D3313" s="247">
        <f>'Table S2 Compound Identifiers'!B3315</f>
        <v>0</v>
      </c>
      <c r="E3313" s="247"/>
      <c r="F3313" s="248"/>
      <c r="G3313" s="249"/>
      <c r="H3313" s="330"/>
      <c r="I3313" s="328"/>
      <c r="J3313" s="249"/>
      <c r="K3313" s="330"/>
      <c r="L3313" s="250"/>
      <c r="M3313" s="249"/>
      <c r="N3313" s="330"/>
      <c r="O3313" s="250"/>
      <c r="P3313" s="249"/>
      <c r="Q3313" s="330"/>
      <c r="R3313" s="250"/>
      <c r="S3313" s="249"/>
      <c r="T3313" s="330"/>
      <c r="U3313" s="250"/>
      <c r="V3313" s="249"/>
      <c r="W3313" s="330"/>
      <c r="X3313" s="343"/>
      <c r="Y3313" s="249"/>
      <c r="Z3313" s="330"/>
      <c r="AA3313" s="343"/>
      <c r="AB3313" s="249"/>
      <c r="AC3313" s="330"/>
      <c r="AD3313" s="343"/>
      <c r="AE3313" s="249"/>
      <c r="AF3313" s="330"/>
      <c r="AG3313" s="343"/>
      <c r="AH3313" s="249"/>
      <c r="AI3313" s="330"/>
      <c r="AJ3313" s="343"/>
      <c r="AK3313" s="249"/>
      <c r="AL3313" s="330"/>
      <c r="AM3313" s="343"/>
      <c r="AN3313" s="249"/>
      <c r="AO3313" s="330"/>
      <c r="AP3313" s="343"/>
      <c r="AQ3313" s="249"/>
      <c r="AR3313" s="330"/>
      <c r="AS3313" s="343"/>
      <c r="AT3313" s="249"/>
      <c r="AU3313" s="330"/>
    </row>
    <row r="3314" spans="2:47">
      <c r="B3314" s="247">
        <f>'Table S2 Compound Identifiers'!C3316</f>
        <v>0</v>
      </c>
      <c r="C3314" s="247">
        <f>COUNTIF($D$6:D3314,"&lt;&gt;"&amp;"")</f>
        <v>3309</v>
      </c>
      <c r="D3314" s="247">
        <f>'Table S2 Compound Identifiers'!B3316</f>
        <v>0</v>
      </c>
      <c r="E3314" s="247"/>
      <c r="F3314" s="248"/>
      <c r="G3314" s="249"/>
      <c r="H3314" s="330"/>
      <c r="I3314" s="328"/>
      <c r="J3314" s="249"/>
      <c r="K3314" s="330"/>
      <c r="L3314" s="250"/>
      <c r="M3314" s="249"/>
      <c r="N3314" s="330"/>
      <c r="O3314" s="250"/>
      <c r="P3314" s="249"/>
      <c r="Q3314" s="330"/>
      <c r="R3314" s="250"/>
      <c r="S3314" s="249"/>
      <c r="T3314" s="330"/>
      <c r="U3314" s="250"/>
      <c r="V3314" s="249"/>
      <c r="W3314" s="330"/>
      <c r="X3314" s="343"/>
      <c r="Y3314" s="249"/>
      <c r="Z3314" s="330"/>
      <c r="AA3314" s="343"/>
      <c r="AB3314" s="249"/>
      <c r="AC3314" s="330"/>
      <c r="AD3314" s="343"/>
      <c r="AE3314" s="249"/>
      <c r="AF3314" s="330"/>
      <c r="AG3314" s="343"/>
      <c r="AH3314" s="249"/>
      <c r="AI3314" s="330"/>
      <c r="AJ3314" s="343"/>
      <c r="AK3314" s="249"/>
      <c r="AL3314" s="330"/>
      <c r="AM3314" s="343"/>
      <c r="AN3314" s="249"/>
      <c r="AO3314" s="330"/>
      <c r="AP3314" s="343"/>
      <c r="AQ3314" s="249"/>
      <c r="AR3314" s="330"/>
      <c r="AS3314" s="343"/>
      <c r="AT3314" s="249"/>
      <c r="AU3314" s="330"/>
    </row>
    <row r="3315" spans="2:47">
      <c r="B3315" s="247">
        <f>'Table S2 Compound Identifiers'!C3317</f>
        <v>0</v>
      </c>
      <c r="C3315" s="247">
        <f>COUNTIF($D$6:D3315,"&lt;&gt;"&amp;"")</f>
        <v>3310</v>
      </c>
      <c r="D3315" s="247">
        <f>'Table S2 Compound Identifiers'!B3317</f>
        <v>0</v>
      </c>
      <c r="E3315" s="247"/>
      <c r="F3315" s="248"/>
      <c r="G3315" s="249"/>
      <c r="H3315" s="330"/>
      <c r="I3315" s="328"/>
      <c r="J3315" s="249"/>
      <c r="K3315" s="330"/>
      <c r="L3315" s="250"/>
      <c r="M3315" s="249"/>
      <c r="N3315" s="330"/>
      <c r="O3315" s="250"/>
      <c r="P3315" s="249"/>
      <c r="Q3315" s="330"/>
      <c r="R3315" s="250"/>
      <c r="S3315" s="249"/>
      <c r="T3315" s="330"/>
      <c r="U3315" s="250"/>
      <c r="V3315" s="249"/>
      <c r="W3315" s="330"/>
      <c r="X3315" s="343"/>
      <c r="Y3315" s="249"/>
      <c r="Z3315" s="330"/>
      <c r="AA3315" s="343"/>
      <c r="AB3315" s="249"/>
      <c r="AC3315" s="330"/>
      <c r="AD3315" s="343"/>
      <c r="AE3315" s="249"/>
      <c r="AF3315" s="330"/>
      <c r="AG3315" s="343"/>
      <c r="AH3315" s="249"/>
      <c r="AI3315" s="330"/>
      <c r="AJ3315" s="343"/>
      <c r="AK3315" s="249"/>
      <c r="AL3315" s="330"/>
      <c r="AM3315" s="343"/>
      <c r="AN3315" s="249"/>
      <c r="AO3315" s="330"/>
      <c r="AP3315" s="343"/>
      <c r="AQ3315" s="249"/>
      <c r="AR3315" s="330"/>
      <c r="AS3315" s="343"/>
      <c r="AT3315" s="249"/>
      <c r="AU3315" s="330"/>
    </row>
    <row r="3316" spans="2:47">
      <c r="B3316" s="247">
        <f>'Table S2 Compound Identifiers'!C3318</f>
        <v>0</v>
      </c>
      <c r="C3316" s="247">
        <f>COUNTIF($D$6:D3316,"&lt;&gt;"&amp;"")</f>
        <v>3311</v>
      </c>
      <c r="D3316" s="247">
        <f>'Table S2 Compound Identifiers'!B3318</f>
        <v>0</v>
      </c>
      <c r="E3316" s="247"/>
      <c r="F3316" s="248"/>
      <c r="G3316" s="249"/>
      <c r="H3316" s="330"/>
      <c r="I3316" s="328"/>
      <c r="J3316" s="249"/>
      <c r="K3316" s="330"/>
      <c r="L3316" s="250"/>
      <c r="M3316" s="249"/>
      <c r="N3316" s="330"/>
      <c r="O3316" s="250"/>
      <c r="P3316" s="249"/>
      <c r="Q3316" s="330"/>
      <c r="R3316" s="250"/>
      <c r="S3316" s="249"/>
      <c r="T3316" s="330"/>
      <c r="U3316" s="250"/>
      <c r="V3316" s="249"/>
      <c r="W3316" s="330"/>
      <c r="X3316" s="343"/>
      <c r="Y3316" s="249"/>
      <c r="Z3316" s="330"/>
      <c r="AA3316" s="343"/>
      <c r="AB3316" s="249"/>
      <c r="AC3316" s="330"/>
      <c r="AD3316" s="343"/>
      <c r="AE3316" s="249"/>
      <c r="AF3316" s="330"/>
      <c r="AG3316" s="343"/>
      <c r="AH3316" s="249"/>
      <c r="AI3316" s="330"/>
      <c r="AJ3316" s="343"/>
      <c r="AK3316" s="249"/>
      <c r="AL3316" s="330"/>
      <c r="AM3316" s="343"/>
      <c r="AN3316" s="249"/>
      <c r="AO3316" s="330"/>
      <c r="AP3316" s="343"/>
      <c r="AQ3316" s="249"/>
      <c r="AR3316" s="330"/>
      <c r="AS3316" s="343"/>
      <c r="AT3316" s="249"/>
      <c r="AU3316" s="330"/>
    </row>
    <row r="3317" spans="2:47">
      <c r="B3317" s="247">
        <f>'Table S2 Compound Identifiers'!C3319</f>
        <v>0</v>
      </c>
      <c r="C3317" s="247">
        <f>COUNTIF($D$6:D3317,"&lt;&gt;"&amp;"")</f>
        <v>3312</v>
      </c>
      <c r="D3317" s="247">
        <f>'Table S2 Compound Identifiers'!B3319</f>
        <v>0</v>
      </c>
      <c r="E3317" s="247"/>
      <c r="F3317" s="248"/>
      <c r="G3317" s="249"/>
      <c r="H3317" s="330"/>
      <c r="I3317" s="328"/>
      <c r="J3317" s="249"/>
      <c r="K3317" s="330"/>
      <c r="L3317" s="250"/>
      <c r="M3317" s="249"/>
      <c r="N3317" s="330"/>
      <c r="O3317" s="250"/>
      <c r="P3317" s="249"/>
      <c r="Q3317" s="330"/>
      <c r="R3317" s="250"/>
      <c r="S3317" s="249"/>
      <c r="T3317" s="330"/>
      <c r="U3317" s="250"/>
      <c r="V3317" s="249"/>
      <c r="W3317" s="330"/>
      <c r="X3317" s="343"/>
      <c r="Y3317" s="249"/>
      <c r="Z3317" s="330"/>
      <c r="AA3317" s="343"/>
      <c r="AB3317" s="249"/>
      <c r="AC3317" s="330"/>
      <c r="AD3317" s="343"/>
      <c r="AE3317" s="249"/>
      <c r="AF3317" s="330"/>
      <c r="AG3317" s="343"/>
      <c r="AH3317" s="249"/>
      <c r="AI3317" s="330"/>
      <c r="AJ3317" s="343"/>
      <c r="AK3317" s="249"/>
      <c r="AL3317" s="330"/>
      <c r="AM3317" s="343"/>
      <c r="AN3317" s="249"/>
      <c r="AO3317" s="330"/>
      <c r="AP3317" s="343"/>
      <c r="AQ3317" s="249"/>
      <c r="AR3317" s="330"/>
      <c r="AS3317" s="343"/>
      <c r="AT3317" s="249"/>
      <c r="AU3317" s="330"/>
    </row>
    <row r="3318" spans="2:47">
      <c r="B3318" s="247">
        <f>'Table S2 Compound Identifiers'!C3320</f>
        <v>0</v>
      </c>
      <c r="C3318" s="247">
        <f>COUNTIF($D$6:D3318,"&lt;&gt;"&amp;"")</f>
        <v>3313</v>
      </c>
      <c r="D3318" s="432">
        <f>'Table S2 Compound Identifiers'!B3320</f>
        <v>0</v>
      </c>
      <c r="E3318" s="247"/>
      <c r="F3318" s="248"/>
      <c r="G3318" s="249"/>
      <c r="H3318" s="330"/>
      <c r="I3318" s="328"/>
      <c r="J3318" s="249"/>
      <c r="K3318" s="330"/>
      <c r="L3318" s="250"/>
      <c r="M3318" s="249"/>
      <c r="N3318" s="330"/>
      <c r="O3318" s="250"/>
      <c r="P3318" s="249"/>
      <c r="Q3318" s="330"/>
      <c r="R3318" s="250"/>
      <c r="S3318" s="249"/>
      <c r="T3318" s="330"/>
      <c r="U3318" s="250"/>
      <c r="V3318" s="249"/>
      <c r="W3318" s="330"/>
      <c r="X3318" s="343"/>
      <c r="Y3318" s="249"/>
      <c r="Z3318" s="330"/>
      <c r="AA3318" s="343"/>
      <c r="AB3318" s="249"/>
      <c r="AC3318" s="330"/>
      <c r="AD3318" s="343"/>
      <c r="AE3318" s="249"/>
      <c r="AF3318" s="330"/>
      <c r="AG3318" s="343"/>
      <c r="AH3318" s="249"/>
      <c r="AI3318" s="330"/>
      <c r="AJ3318" s="343"/>
      <c r="AK3318" s="249"/>
      <c r="AL3318" s="330"/>
      <c r="AM3318" s="343"/>
      <c r="AN3318" s="249"/>
      <c r="AO3318" s="330"/>
      <c r="AP3318" s="343"/>
      <c r="AQ3318" s="249"/>
      <c r="AR3318" s="330"/>
      <c r="AS3318" s="343"/>
      <c r="AT3318" s="249"/>
      <c r="AU3318" s="330"/>
    </row>
    <row r="3319" spans="2:47">
      <c r="B3319" s="247">
        <f>'Table S2 Compound Identifiers'!C3321</f>
        <v>0</v>
      </c>
      <c r="C3319" s="247">
        <f>COUNTIF($D$6:D3319,"&lt;&gt;"&amp;"")</f>
        <v>3314</v>
      </c>
      <c r="D3319" s="432">
        <f>'Table S2 Compound Identifiers'!B3321</f>
        <v>0</v>
      </c>
      <c r="E3319" s="247"/>
      <c r="F3319" s="248"/>
      <c r="G3319" s="249"/>
      <c r="H3319" s="330"/>
      <c r="I3319" s="328"/>
      <c r="J3319" s="249"/>
      <c r="K3319" s="330"/>
      <c r="L3319" s="250"/>
      <c r="M3319" s="249"/>
      <c r="N3319" s="330"/>
      <c r="O3319" s="250"/>
      <c r="P3319" s="249"/>
      <c r="Q3319" s="330"/>
      <c r="R3319" s="250"/>
      <c r="S3319" s="249"/>
      <c r="T3319" s="330"/>
      <c r="U3319" s="250"/>
      <c r="V3319" s="249"/>
      <c r="W3319" s="330"/>
      <c r="X3319" s="343"/>
      <c r="Y3319" s="249"/>
      <c r="Z3319" s="330"/>
      <c r="AA3319" s="343"/>
      <c r="AB3319" s="249"/>
      <c r="AC3319" s="330"/>
      <c r="AD3319" s="343"/>
      <c r="AE3319" s="249"/>
      <c r="AF3319" s="330"/>
      <c r="AG3319" s="343"/>
      <c r="AH3319" s="249"/>
      <c r="AI3319" s="330"/>
      <c r="AJ3319" s="343"/>
      <c r="AK3319" s="249"/>
      <c r="AL3319" s="330"/>
      <c r="AM3319" s="343"/>
      <c r="AN3319" s="249"/>
      <c r="AO3319" s="330"/>
      <c r="AP3319" s="343"/>
      <c r="AQ3319" s="249"/>
      <c r="AR3319" s="330"/>
      <c r="AS3319" s="343"/>
      <c r="AT3319" s="249"/>
      <c r="AU3319" s="330"/>
    </row>
    <row r="3320" spans="2:47">
      <c r="B3320" s="247">
        <f>'Table S2 Compound Identifiers'!C3322</f>
        <v>0</v>
      </c>
      <c r="C3320" s="247">
        <f>COUNTIF($D$6:D3320,"&lt;&gt;"&amp;"")</f>
        <v>3315</v>
      </c>
      <c r="D3320" s="432">
        <f>'Table S2 Compound Identifiers'!B3322</f>
        <v>0</v>
      </c>
      <c r="E3320" s="247"/>
      <c r="F3320" s="248"/>
      <c r="G3320" s="249"/>
      <c r="H3320" s="330"/>
      <c r="I3320" s="328"/>
      <c r="J3320" s="249"/>
      <c r="K3320" s="330"/>
      <c r="L3320" s="250"/>
      <c r="M3320" s="249"/>
      <c r="N3320" s="330"/>
      <c r="O3320" s="250"/>
      <c r="P3320" s="249"/>
      <c r="Q3320" s="330"/>
      <c r="R3320" s="250"/>
      <c r="S3320" s="249"/>
      <c r="T3320" s="330"/>
      <c r="U3320" s="250"/>
      <c r="V3320" s="249"/>
      <c r="W3320" s="330"/>
      <c r="X3320" s="343"/>
      <c r="Y3320" s="249"/>
      <c r="Z3320" s="330"/>
      <c r="AA3320" s="343"/>
      <c r="AB3320" s="249"/>
      <c r="AC3320" s="330"/>
      <c r="AD3320" s="343"/>
      <c r="AE3320" s="249"/>
      <c r="AF3320" s="330"/>
      <c r="AG3320" s="343"/>
      <c r="AH3320" s="249"/>
      <c r="AI3320" s="330"/>
      <c r="AJ3320" s="343"/>
      <c r="AK3320" s="249"/>
      <c r="AL3320" s="330"/>
      <c r="AM3320" s="343"/>
      <c r="AN3320" s="249"/>
      <c r="AO3320" s="330"/>
      <c r="AP3320" s="343"/>
      <c r="AQ3320" s="249"/>
      <c r="AR3320" s="330"/>
      <c r="AS3320" s="343"/>
      <c r="AT3320" s="249"/>
      <c r="AU3320" s="330"/>
    </row>
    <row r="3321" spans="2:47">
      <c r="B3321" s="247">
        <f>'Table S2 Compound Identifiers'!C3323</f>
        <v>0</v>
      </c>
      <c r="C3321" s="247">
        <f>COUNTIF($D$6:D3321,"&lt;&gt;"&amp;"")</f>
        <v>3316</v>
      </c>
      <c r="D3321" s="432">
        <f>'Table S2 Compound Identifiers'!B3323</f>
        <v>0</v>
      </c>
      <c r="E3321" s="247"/>
      <c r="F3321" s="248"/>
      <c r="G3321" s="249"/>
      <c r="H3321" s="330"/>
      <c r="I3321" s="328"/>
      <c r="J3321" s="249"/>
      <c r="K3321" s="330"/>
      <c r="L3321" s="250"/>
      <c r="M3321" s="249"/>
      <c r="N3321" s="330"/>
      <c r="O3321" s="250"/>
      <c r="P3321" s="249"/>
      <c r="Q3321" s="330"/>
      <c r="R3321" s="250"/>
      <c r="S3321" s="249"/>
      <c r="T3321" s="330"/>
      <c r="U3321" s="250"/>
      <c r="V3321" s="249"/>
      <c r="W3321" s="330"/>
      <c r="X3321" s="343"/>
      <c r="Y3321" s="249"/>
      <c r="Z3321" s="330"/>
      <c r="AA3321" s="343"/>
      <c r="AB3321" s="249"/>
      <c r="AC3321" s="330"/>
      <c r="AD3321" s="343"/>
      <c r="AE3321" s="249"/>
      <c r="AF3321" s="330"/>
      <c r="AG3321" s="343"/>
      <c r="AH3321" s="249"/>
      <c r="AI3321" s="330"/>
      <c r="AJ3321" s="343"/>
      <c r="AK3321" s="249"/>
      <c r="AL3321" s="330"/>
      <c r="AM3321" s="343"/>
      <c r="AN3321" s="249"/>
      <c r="AO3321" s="330"/>
      <c r="AP3321" s="343"/>
      <c r="AQ3321" s="249"/>
      <c r="AR3321" s="330"/>
      <c r="AS3321" s="343"/>
      <c r="AT3321" s="249"/>
      <c r="AU3321" s="330"/>
    </row>
    <row r="3322" spans="2:47">
      <c r="B3322" s="247">
        <f>'Table S2 Compound Identifiers'!C3324</f>
        <v>0</v>
      </c>
      <c r="C3322" s="247">
        <f>COUNTIF($D$6:D3322,"&lt;&gt;"&amp;"")</f>
        <v>3317</v>
      </c>
      <c r="D3322" s="432">
        <f>'Table S2 Compound Identifiers'!B3324</f>
        <v>0</v>
      </c>
      <c r="E3322" s="247"/>
      <c r="F3322" s="248"/>
      <c r="G3322" s="249"/>
      <c r="H3322" s="330"/>
      <c r="I3322" s="328"/>
      <c r="J3322" s="249"/>
      <c r="K3322" s="330"/>
      <c r="L3322" s="250"/>
      <c r="M3322" s="249"/>
      <c r="N3322" s="330"/>
      <c r="O3322" s="250"/>
      <c r="P3322" s="249"/>
      <c r="Q3322" s="330"/>
      <c r="R3322" s="250"/>
      <c r="S3322" s="249"/>
      <c r="T3322" s="330"/>
      <c r="U3322" s="250"/>
      <c r="V3322" s="249"/>
      <c r="W3322" s="330"/>
      <c r="X3322" s="343"/>
      <c r="Y3322" s="249"/>
      <c r="Z3322" s="330"/>
      <c r="AA3322" s="343"/>
      <c r="AB3322" s="249"/>
      <c r="AC3322" s="330"/>
      <c r="AD3322" s="343"/>
      <c r="AE3322" s="249"/>
      <c r="AF3322" s="330"/>
      <c r="AG3322" s="343"/>
      <c r="AH3322" s="249"/>
      <c r="AI3322" s="330"/>
      <c r="AJ3322" s="343"/>
      <c r="AK3322" s="249"/>
      <c r="AL3322" s="330"/>
      <c r="AM3322" s="343"/>
      <c r="AN3322" s="249"/>
      <c r="AO3322" s="330"/>
      <c r="AP3322" s="343"/>
      <c r="AQ3322" s="249"/>
      <c r="AR3322" s="330"/>
      <c r="AS3322" s="343"/>
      <c r="AT3322" s="249"/>
      <c r="AU3322" s="330"/>
    </row>
    <row r="3323" spans="2:47">
      <c r="B3323" s="247">
        <f>'Table S2 Compound Identifiers'!C3325</f>
        <v>0</v>
      </c>
      <c r="C3323" s="247">
        <f>COUNTIF($D$6:D3323,"&lt;&gt;"&amp;"")</f>
        <v>3318</v>
      </c>
      <c r="D3323" s="432">
        <f>'Table S2 Compound Identifiers'!B3325</f>
        <v>0</v>
      </c>
      <c r="E3323" s="247"/>
      <c r="F3323" s="248"/>
      <c r="G3323" s="249"/>
      <c r="H3323" s="330"/>
      <c r="I3323" s="328"/>
      <c r="J3323" s="249"/>
      <c r="K3323" s="330"/>
      <c r="L3323" s="250"/>
      <c r="M3323" s="249"/>
      <c r="N3323" s="330"/>
      <c r="O3323" s="250"/>
      <c r="P3323" s="249"/>
      <c r="Q3323" s="330"/>
      <c r="R3323" s="250"/>
      <c r="S3323" s="249"/>
      <c r="T3323" s="330"/>
      <c r="U3323" s="250"/>
      <c r="V3323" s="249"/>
      <c r="W3323" s="330"/>
      <c r="X3323" s="343"/>
      <c r="Y3323" s="249"/>
      <c r="Z3323" s="330"/>
      <c r="AA3323" s="343"/>
      <c r="AB3323" s="249"/>
      <c r="AC3323" s="330"/>
      <c r="AD3323" s="343"/>
      <c r="AE3323" s="249"/>
      <c r="AF3323" s="330"/>
      <c r="AG3323" s="343"/>
      <c r="AH3323" s="249"/>
      <c r="AI3323" s="330"/>
      <c r="AJ3323" s="343"/>
      <c r="AK3323" s="249"/>
      <c r="AL3323" s="330"/>
      <c r="AM3323" s="343"/>
      <c r="AN3323" s="249"/>
      <c r="AO3323" s="330"/>
      <c r="AP3323" s="343"/>
      <c r="AQ3323" s="249"/>
      <c r="AR3323" s="330"/>
      <c r="AS3323" s="343"/>
      <c r="AT3323" s="249"/>
      <c r="AU3323" s="330"/>
    </row>
    <row r="3324" spans="2:47">
      <c r="B3324" s="247">
        <f>'Table S2 Compound Identifiers'!C3326</f>
        <v>0</v>
      </c>
      <c r="C3324" s="247">
        <f>COUNTIF($D$6:D3324,"&lt;&gt;"&amp;"")</f>
        <v>3319</v>
      </c>
      <c r="D3324" s="432">
        <f>'Table S2 Compound Identifiers'!B3326</f>
        <v>0</v>
      </c>
      <c r="E3324" s="247"/>
      <c r="F3324" s="248"/>
      <c r="G3324" s="249"/>
      <c r="H3324" s="330"/>
      <c r="I3324" s="328"/>
      <c r="J3324" s="249"/>
      <c r="K3324" s="330"/>
      <c r="L3324" s="250"/>
      <c r="M3324" s="249"/>
      <c r="N3324" s="330"/>
      <c r="O3324" s="250"/>
      <c r="P3324" s="249"/>
      <c r="Q3324" s="330"/>
      <c r="R3324" s="250"/>
      <c r="S3324" s="249"/>
      <c r="T3324" s="330"/>
      <c r="U3324" s="250"/>
      <c r="V3324" s="249"/>
      <c r="W3324" s="330"/>
      <c r="X3324" s="343"/>
      <c r="Y3324" s="249"/>
      <c r="Z3324" s="330"/>
      <c r="AA3324" s="343"/>
      <c r="AB3324" s="249"/>
      <c r="AC3324" s="330"/>
      <c r="AD3324" s="343"/>
      <c r="AE3324" s="249"/>
      <c r="AF3324" s="330"/>
      <c r="AG3324" s="343"/>
      <c r="AH3324" s="249"/>
      <c r="AI3324" s="330"/>
      <c r="AJ3324" s="343"/>
      <c r="AK3324" s="249"/>
      <c r="AL3324" s="330"/>
      <c r="AM3324" s="343"/>
      <c r="AN3324" s="249"/>
      <c r="AO3324" s="330"/>
      <c r="AP3324" s="343"/>
      <c r="AQ3324" s="249"/>
      <c r="AR3324" s="330"/>
      <c r="AS3324" s="343"/>
      <c r="AT3324" s="249"/>
      <c r="AU3324" s="330"/>
    </row>
    <row r="3325" spans="2:47">
      <c r="B3325" s="247">
        <f>'Table S2 Compound Identifiers'!C3327</f>
        <v>0</v>
      </c>
      <c r="C3325" s="247">
        <f>COUNTIF($D$6:D3325,"&lt;&gt;"&amp;"")</f>
        <v>3320</v>
      </c>
      <c r="D3325" s="432">
        <f>'Table S2 Compound Identifiers'!B3327</f>
        <v>0</v>
      </c>
      <c r="E3325" s="247"/>
      <c r="F3325" s="248"/>
      <c r="G3325" s="249"/>
      <c r="H3325" s="330"/>
      <c r="I3325" s="328"/>
      <c r="J3325" s="249"/>
      <c r="K3325" s="330"/>
      <c r="L3325" s="250"/>
      <c r="M3325" s="249"/>
      <c r="N3325" s="330"/>
      <c r="O3325" s="250"/>
      <c r="P3325" s="249"/>
      <c r="Q3325" s="330"/>
      <c r="R3325" s="250"/>
      <c r="S3325" s="249"/>
      <c r="T3325" s="330"/>
      <c r="U3325" s="250"/>
      <c r="V3325" s="249"/>
      <c r="W3325" s="330"/>
      <c r="X3325" s="343"/>
      <c r="Y3325" s="249"/>
      <c r="Z3325" s="330"/>
      <c r="AA3325" s="343"/>
      <c r="AB3325" s="249"/>
      <c r="AC3325" s="330"/>
      <c r="AD3325" s="343"/>
      <c r="AE3325" s="249"/>
      <c r="AF3325" s="330"/>
      <c r="AG3325" s="343"/>
      <c r="AH3325" s="249"/>
      <c r="AI3325" s="330"/>
      <c r="AJ3325" s="343"/>
      <c r="AK3325" s="249"/>
      <c r="AL3325" s="330"/>
      <c r="AM3325" s="343"/>
      <c r="AN3325" s="249"/>
      <c r="AO3325" s="330"/>
      <c r="AP3325" s="343"/>
      <c r="AQ3325" s="249"/>
      <c r="AR3325" s="330"/>
      <c r="AS3325" s="343"/>
      <c r="AT3325" s="249"/>
      <c r="AU3325" s="330"/>
    </row>
    <row r="3326" spans="2:47">
      <c r="B3326" s="247">
        <f>'Table S2 Compound Identifiers'!C3328</f>
        <v>0</v>
      </c>
      <c r="C3326" s="247">
        <f>COUNTIF($D$6:D3326,"&lt;&gt;"&amp;"")</f>
        <v>3321</v>
      </c>
      <c r="D3326" s="432">
        <f>'Table S2 Compound Identifiers'!B3328</f>
        <v>0</v>
      </c>
      <c r="E3326" s="247"/>
      <c r="F3326" s="248"/>
      <c r="G3326" s="249"/>
      <c r="H3326" s="330"/>
      <c r="I3326" s="328"/>
      <c r="J3326" s="249"/>
      <c r="K3326" s="330"/>
      <c r="L3326" s="250"/>
      <c r="M3326" s="249"/>
      <c r="N3326" s="330"/>
      <c r="O3326" s="250"/>
      <c r="P3326" s="249"/>
      <c r="Q3326" s="330"/>
      <c r="R3326" s="250"/>
      <c r="S3326" s="249"/>
      <c r="T3326" s="330"/>
      <c r="U3326" s="250"/>
      <c r="V3326" s="249"/>
      <c r="W3326" s="330"/>
      <c r="X3326" s="343"/>
      <c r="Y3326" s="249"/>
      <c r="Z3326" s="330"/>
      <c r="AA3326" s="343"/>
      <c r="AB3326" s="249"/>
      <c r="AC3326" s="330"/>
      <c r="AD3326" s="343"/>
      <c r="AE3326" s="249"/>
      <c r="AF3326" s="330"/>
      <c r="AG3326" s="343"/>
      <c r="AH3326" s="249"/>
      <c r="AI3326" s="330"/>
      <c r="AJ3326" s="343"/>
      <c r="AK3326" s="249"/>
      <c r="AL3326" s="330"/>
      <c r="AM3326" s="343"/>
      <c r="AN3326" s="249"/>
      <c r="AO3326" s="330"/>
      <c r="AP3326" s="343"/>
      <c r="AQ3326" s="249"/>
      <c r="AR3326" s="330"/>
      <c r="AS3326" s="343"/>
      <c r="AT3326" s="249"/>
      <c r="AU3326" s="330"/>
    </row>
    <row r="3327" spans="2:47">
      <c r="B3327" s="247">
        <f>'Table S2 Compound Identifiers'!C3329</f>
        <v>0</v>
      </c>
      <c r="C3327" s="247">
        <f>COUNTIF($D$6:D3327,"&lt;&gt;"&amp;"")</f>
        <v>3322</v>
      </c>
      <c r="D3327" s="432">
        <f>'Table S2 Compound Identifiers'!B3329</f>
        <v>0</v>
      </c>
      <c r="E3327" s="247"/>
      <c r="F3327" s="248"/>
      <c r="G3327" s="249"/>
      <c r="H3327" s="330"/>
      <c r="I3327" s="328"/>
      <c r="J3327" s="249"/>
      <c r="K3327" s="330"/>
      <c r="L3327" s="250"/>
      <c r="M3327" s="249"/>
      <c r="N3327" s="330"/>
      <c r="O3327" s="250"/>
      <c r="P3327" s="249"/>
      <c r="Q3327" s="330"/>
      <c r="R3327" s="250"/>
      <c r="S3327" s="249"/>
      <c r="T3327" s="330"/>
      <c r="U3327" s="250"/>
      <c r="V3327" s="249"/>
      <c r="W3327" s="330"/>
      <c r="X3327" s="343"/>
      <c r="Y3327" s="249"/>
      <c r="Z3327" s="330"/>
      <c r="AA3327" s="343"/>
      <c r="AB3327" s="249"/>
      <c r="AC3327" s="330"/>
      <c r="AD3327" s="343"/>
      <c r="AE3327" s="249"/>
      <c r="AF3327" s="330"/>
      <c r="AG3327" s="343"/>
      <c r="AH3327" s="249"/>
      <c r="AI3327" s="330"/>
      <c r="AJ3327" s="343"/>
      <c r="AK3327" s="249"/>
      <c r="AL3327" s="330"/>
      <c r="AM3327" s="343"/>
      <c r="AN3327" s="249"/>
      <c r="AO3327" s="330"/>
      <c r="AP3327" s="343"/>
      <c r="AQ3327" s="249"/>
      <c r="AR3327" s="330"/>
      <c r="AS3327" s="343"/>
      <c r="AT3327" s="249"/>
      <c r="AU3327" s="330"/>
    </row>
    <row r="3328" spans="2:47">
      <c r="B3328" s="247">
        <f>'Table S2 Compound Identifiers'!C3330</f>
        <v>0</v>
      </c>
      <c r="C3328" s="247">
        <f>COUNTIF($D$6:D3328,"&lt;&gt;"&amp;"")</f>
        <v>3323</v>
      </c>
      <c r="D3328" s="247">
        <f>'Table S2 Compound Identifiers'!B3330</f>
        <v>0</v>
      </c>
      <c r="E3328" s="247"/>
      <c r="F3328" s="248"/>
      <c r="G3328" s="249"/>
      <c r="H3328" s="330"/>
      <c r="I3328" s="328"/>
      <c r="J3328" s="249"/>
      <c r="K3328" s="330"/>
      <c r="L3328" s="250"/>
      <c r="M3328" s="249"/>
      <c r="N3328" s="330"/>
      <c r="O3328" s="250"/>
      <c r="P3328" s="249"/>
      <c r="Q3328" s="330"/>
      <c r="R3328" s="250"/>
      <c r="S3328" s="249"/>
      <c r="T3328" s="330"/>
      <c r="U3328" s="250"/>
      <c r="V3328" s="249"/>
      <c r="W3328" s="330"/>
      <c r="X3328" s="343"/>
      <c r="Y3328" s="249"/>
      <c r="Z3328" s="330"/>
      <c r="AA3328" s="343"/>
      <c r="AB3328" s="249"/>
      <c r="AC3328" s="330"/>
      <c r="AD3328" s="343"/>
      <c r="AE3328" s="249"/>
      <c r="AF3328" s="330"/>
      <c r="AG3328" s="343"/>
      <c r="AH3328" s="249"/>
      <c r="AI3328" s="330"/>
      <c r="AJ3328" s="343"/>
      <c r="AK3328" s="249"/>
      <c r="AL3328" s="330"/>
      <c r="AM3328" s="343"/>
      <c r="AN3328" s="249"/>
      <c r="AO3328" s="330"/>
      <c r="AP3328" s="343"/>
      <c r="AQ3328" s="249"/>
      <c r="AR3328" s="330"/>
      <c r="AS3328" s="343"/>
      <c r="AT3328" s="249"/>
      <c r="AU3328" s="330"/>
    </row>
    <row r="3329" spans="2:47">
      <c r="B3329" s="247">
        <f>'Table S2 Compound Identifiers'!C3331</f>
        <v>0</v>
      </c>
      <c r="C3329" s="247">
        <f>COUNTIF($D$6:D3329,"&lt;&gt;"&amp;"")</f>
        <v>3324</v>
      </c>
      <c r="D3329" s="247">
        <f>'Table S2 Compound Identifiers'!B3331</f>
        <v>0</v>
      </c>
      <c r="E3329" s="247"/>
      <c r="F3329" s="248"/>
      <c r="G3329" s="249"/>
      <c r="H3329" s="330"/>
      <c r="I3329" s="328"/>
      <c r="J3329" s="249"/>
      <c r="K3329" s="330"/>
      <c r="L3329" s="250"/>
      <c r="M3329" s="249"/>
      <c r="N3329" s="330"/>
      <c r="O3329" s="250"/>
      <c r="P3329" s="249"/>
      <c r="Q3329" s="330"/>
      <c r="R3329" s="250"/>
      <c r="S3329" s="249"/>
      <c r="T3329" s="330"/>
      <c r="U3329" s="250"/>
      <c r="V3329" s="249"/>
      <c r="W3329" s="330"/>
      <c r="X3329" s="343"/>
      <c r="Y3329" s="249"/>
      <c r="Z3329" s="330"/>
      <c r="AA3329" s="343"/>
      <c r="AB3329" s="249"/>
      <c r="AC3329" s="330"/>
      <c r="AD3329" s="343"/>
      <c r="AE3329" s="249"/>
      <c r="AF3329" s="330"/>
      <c r="AG3329" s="343"/>
      <c r="AH3329" s="249"/>
      <c r="AI3329" s="330"/>
      <c r="AJ3329" s="343"/>
      <c r="AK3329" s="249"/>
      <c r="AL3329" s="330"/>
      <c r="AM3329" s="343"/>
      <c r="AN3329" s="249"/>
      <c r="AO3329" s="330"/>
      <c r="AP3329" s="343"/>
      <c r="AQ3329" s="249"/>
      <c r="AR3329" s="330"/>
      <c r="AS3329" s="343"/>
      <c r="AT3329" s="249"/>
      <c r="AU3329" s="330"/>
    </row>
    <row r="3330" spans="2:47">
      <c r="B3330" s="247">
        <f>'Table S2 Compound Identifiers'!C3332</f>
        <v>0</v>
      </c>
      <c r="C3330" s="247">
        <f>COUNTIF($D$6:D3330,"&lt;&gt;"&amp;"")</f>
        <v>3325</v>
      </c>
      <c r="D3330" s="247">
        <f>'Table S2 Compound Identifiers'!B3332</f>
        <v>0</v>
      </c>
      <c r="E3330" s="247"/>
      <c r="F3330" s="248"/>
      <c r="G3330" s="249"/>
      <c r="H3330" s="330"/>
      <c r="I3330" s="328"/>
      <c r="J3330" s="249"/>
      <c r="K3330" s="330"/>
      <c r="L3330" s="250"/>
      <c r="M3330" s="249"/>
      <c r="N3330" s="330"/>
      <c r="O3330" s="250"/>
      <c r="P3330" s="249"/>
      <c r="Q3330" s="330"/>
      <c r="R3330" s="250"/>
      <c r="S3330" s="249"/>
      <c r="T3330" s="330"/>
      <c r="U3330" s="250"/>
      <c r="V3330" s="249"/>
      <c r="W3330" s="330"/>
      <c r="X3330" s="343"/>
      <c r="Y3330" s="249"/>
      <c r="Z3330" s="330"/>
      <c r="AA3330" s="343"/>
      <c r="AB3330" s="249"/>
      <c r="AC3330" s="330"/>
      <c r="AD3330" s="343"/>
      <c r="AE3330" s="249"/>
      <c r="AF3330" s="330"/>
      <c r="AG3330" s="343"/>
      <c r="AH3330" s="249"/>
      <c r="AI3330" s="330"/>
      <c r="AJ3330" s="343"/>
      <c r="AK3330" s="249"/>
      <c r="AL3330" s="330"/>
      <c r="AM3330" s="343"/>
      <c r="AN3330" s="249"/>
      <c r="AO3330" s="330"/>
      <c r="AP3330" s="343"/>
      <c r="AQ3330" s="249"/>
      <c r="AR3330" s="330"/>
      <c r="AS3330" s="343"/>
      <c r="AT3330" s="249"/>
      <c r="AU3330" s="330"/>
    </row>
    <row r="3331" spans="2:47">
      <c r="B3331" s="247">
        <f>'Table S2 Compound Identifiers'!C3333</f>
        <v>0</v>
      </c>
      <c r="C3331" s="247">
        <f>COUNTIF($D$6:D3331,"&lt;&gt;"&amp;"")</f>
        <v>3326</v>
      </c>
      <c r="D3331" s="247">
        <f>'Table S2 Compound Identifiers'!B3333</f>
        <v>0</v>
      </c>
      <c r="E3331" s="247"/>
      <c r="F3331" s="248"/>
      <c r="G3331" s="249"/>
      <c r="H3331" s="330"/>
      <c r="I3331" s="328"/>
      <c r="J3331" s="249"/>
      <c r="K3331" s="330"/>
      <c r="L3331" s="250"/>
      <c r="M3331" s="249"/>
      <c r="N3331" s="330"/>
      <c r="O3331" s="250"/>
      <c r="P3331" s="249"/>
      <c r="Q3331" s="330"/>
      <c r="R3331" s="250"/>
      <c r="S3331" s="249"/>
      <c r="T3331" s="330"/>
      <c r="U3331" s="250"/>
      <c r="V3331" s="249"/>
      <c r="W3331" s="330"/>
      <c r="X3331" s="343"/>
      <c r="Y3331" s="249"/>
      <c r="Z3331" s="330"/>
      <c r="AA3331" s="343"/>
      <c r="AB3331" s="249"/>
      <c r="AC3331" s="330"/>
      <c r="AD3331" s="343"/>
      <c r="AE3331" s="249"/>
      <c r="AF3331" s="330"/>
      <c r="AG3331" s="343"/>
      <c r="AH3331" s="249"/>
      <c r="AI3331" s="330"/>
      <c r="AJ3331" s="343"/>
      <c r="AK3331" s="249"/>
      <c r="AL3331" s="330"/>
      <c r="AM3331" s="343"/>
      <c r="AN3331" s="249"/>
      <c r="AO3331" s="330"/>
      <c r="AP3331" s="343"/>
      <c r="AQ3331" s="249"/>
      <c r="AR3331" s="330"/>
      <c r="AS3331" s="343"/>
      <c r="AT3331" s="249"/>
      <c r="AU3331" s="330"/>
    </row>
    <row r="3332" spans="2:47">
      <c r="B3332" s="247">
        <f>'Table S2 Compound Identifiers'!C3334</f>
        <v>0</v>
      </c>
      <c r="C3332" s="247">
        <f>COUNTIF($D$6:D3332,"&lt;&gt;"&amp;"")</f>
        <v>3327</v>
      </c>
      <c r="D3332" s="247">
        <f>'Table S2 Compound Identifiers'!B3334</f>
        <v>0</v>
      </c>
      <c r="E3332" s="247"/>
      <c r="F3332" s="248"/>
      <c r="G3332" s="249"/>
      <c r="H3332" s="330"/>
      <c r="I3332" s="328"/>
      <c r="J3332" s="249"/>
      <c r="K3332" s="330"/>
      <c r="L3332" s="250"/>
      <c r="M3332" s="249"/>
      <c r="N3332" s="330"/>
      <c r="O3332" s="250"/>
      <c r="P3332" s="249"/>
      <c r="Q3332" s="330"/>
      <c r="R3332" s="250"/>
      <c r="S3332" s="249"/>
      <c r="T3332" s="330"/>
      <c r="U3332" s="250"/>
      <c r="V3332" s="249"/>
      <c r="W3332" s="330"/>
      <c r="X3332" s="343"/>
      <c r="Y3332" s="249"/>
      <c r="Z3332" s="330"/>
      <c r="AA3332" s="343"/>
      <c r="AB3332" s="249"/>
      <c r="AC3332" s="330"/>
      <c r="AD3332" s="343"/>
      <c r="AE3332" s="249"/>
      <c r="AF3332" s="330"/>
      <c r="AG3332" s="343"/>
      <c r="AH3332" s="249"/>
      <c r="AI3332" s="330"/>
      <c r="AJ3332" s="343"/>
      <c r="AK3332" s="249"/>
      <c r="AL3332" s="330"/>
      <c r="AM3332" s="343"/>
      <c r="AN3332" s="249"/>
      <c r="AO3332" s="330"/>
      <c r="AP3332" s="343"/>
      <c r="AQ3332" s="249"/>
      <c r="AR3332" s="330"/>
      <c r="AS3332" s="343"/>
      <c r="AT3332" s="249"/>
      <c r="AU3332" s="330"/>
    </row>
    <row r="3333" spans="2:47">
      <c r="B3333" s="247">
        <f>'Table S2 Compound Identifiers'!C3335</f>
        <v>0</v>
      </c>
      <c r="C3333" s="247">
        <f>COUNTIF($D$6:D3333,"&lt;&gt;"&amp;"")</f>
        <v>3328</v>
      </c>
      <c r="D3333" s="247">
        <f>'Table S2 Compound Identifiers'!B3335</f>
        <v>0</v>
      </c>
      <c r="E3333" s="247"/>
      <c r="F3333" s="248"/>
      <c r="G3333" s="249"/>
      <c r="H3333" s="330"/>
      <c r="I3333" s="328"/>
      <c r="J3333" s="249"/>
      <c r="K3333" s="330"/>
      <c r="L3333" s="250"/>
      <c r="M3333" s="249"/>
      <c r="N3333" s="330"/>
      <c r="O3333" s="250"/>
      <c r="P3333" s="249"/>
      <c r="Q3333" s="330"/>
      <c r="R3333" s="250"/>
      <c r="S3333" s="249"/>
      <c r="T3333" s="330"/>
      <c r="U3333" s="250"/>
      <c r="V3333" s="249"/>
      <c r="W3333" s="330"/>
      <c r="X3333" s="343"/>
      <c r="Y3333" s="249"/>
      <c r="Z3333" s="330"/>
      <c r="AA3333" s="343"/>
      <c r="AB3333" s="249"/>
      <c r="AC3333" s="330"/>
      <c r="AD3333" s="343"/>
      <c r="AE3333" s="249"/>
      <c r="AF3333" s="330"/>
      <c r="AG3333" s="343"/>
      <c r="AH3333" s="249"/>
      <c r="AI3333" s="330"/>
      <c r="AJ3333" s="343"/>
      <c r="AK3333" s="249"/>
      <c r="AL3333" s="330"/>
      <c r="AM3333" s="343"/>
      <c r="AN3333" s="249"/>
      <c r="AO3333" s="330"/>
      <c r="AP3333" s="343"/>
      <c r="AQ3333" s="249"/>
      <c r="AR3333" s="330"/>
      <c r="AS3333" s="343"/>
      <c r="AT3333" s="249"/>
      <c r="AU3333" s="330"/>
    </row>
    <row r="3334" spans="2:47">
      <c r="B3334" s="247">
        <f>'Table S2 Compound Identifiers'!C3336</f>
        <v>0</v>
      </c>
      <c r="C3334" s="247">
        <f>COUNTIF($D$6:D3334,"&lt;&gt;"&amp;"")</f>
        <v>3329</v>
      </c>
      <c r="D3334" s="247">
        <f>'Table S2 Compound Identifiers'!B3336</f>
        <v>0</v>
      </c>
      <c r="E3334" s="247"/>
      <c r="F3334" s="248"/>
      <c r="G3334" s="249"/>
      <c r="H3334" s="330"/>
      <c r="I3334" s="328"/>
      <c r="J3334" s="249"/>
      <c r="K3334" s="330"/>
      <c r="L3334" s="250"/>
      <c r="M3334" s="249"/>
      <c r="N3334" s="330"/>
      <c r="O3334" s="251"/>
      <c r="P3334" s="252"/>
      <c r="Q3334" s="330"/>
      <c r="R3334" s="251"/>
      <c r="S3334" s="252"/>
      <c r="T3334" s="330"/>
      <c r="U3334" s="251"/>
      <c r="V3334" s="252"/>
      <c r="W3334" s="330"/>
      <c r="X3334" s="343"/>
      <c r="Y3334" s="249"/>
      <c r="Z3334" s="330"/>
      <c r="AA3334" s="343"/>
      <c r="AB3334" s="249"/>
      <c r="AC3334" s="330"/>
      <c r="AD3334" s="343"/>
      <c r="AE3334" s="249"/>
      <c r="AF3334" s="330"/>
      <c r="AG3334" s="343"/>
      <c r="AH3334" s="249"/>
      <c r="AI3334" s="330"/>
      <c r="AJ3334" s="343"/>
      <c r="AK3334" s="249"/>
      <c r="AL3334" s="330"/>
      <c r="AM3334" s="343"/>
      <c r="AN3334" s="249"/>
      <c r="AO3334" s="330"/>
      <c r="AP3334" s="343"/>
      <c r="AQ3334" s="249"/>
      <c r="AR3334" s="330"/>
      <c r="AS3334" s="343"/>
      <c r="AT3334" s="249"/>
      <c r="AU3334" s="330"/>
    </row>
    <row r="3335" spans="2:47">
      <c r="B3335" s="247">
        <f>'Table S2 Compound Identifiers'!C3337</f>
        <v>0</v>
      </c>
      <c r="C3335" s="253">
        <f>COUNTIF($D$6:D3335,"&lt;&gt;"&amp;"")</f>
        <v>3330</v>
      </c>
      <c r="D3335" s="253">
        <f>'Table S2 Compound Identifiers'!B3337</f>
        <v>0</v>
      </c>
      <c r="E3335" s="253"/>
      <c r="F3335" s="254"/>
      <c r="G3335" s="252"/>
      <c r="H3335" s="330"/>
      <c r="I3335" s="333"/>
      <c r="J3335" s="252"/>
      <c r="K3335" s="330"/>
      <c r="L3335" s="251"/>
      <c r="M3335" s="252"/>
      <c r="N3335" s="330"/>
      <c r="O3335" s="251"/>
      <c r="P3335" s="252"/>
      <c r="Q3335" s="330"/>
      <c r="R3335" s="251"/>
      <c r="S3335" s="252"/>
      <c r="T3335" s="330"/>
      <c r="U3335" s="251"/>
      <c r="V3335" s="252"/>
      <c r="W3335" s="330"/>
      <c r="X3335" s="343"/>
      <c r="Y3335" s="249"/>
      <c r="Z3335" s="330"/>
      <c r="AA3335" s="343"/>
      <c r="AB3335" s="249"/>
      <c r="AC3335" s="330"/>
      <c r="AD3335" s="343"/>
      <c r="AE3335" s="249"/>
      <c r="AF3335" s="330"/>
      <c r="AG3335" s="343"/>
      <c r="AH3335" s="249"/>
      <c r="AI3335" s="330"/>
      <c r="AJ3335" s="343"/>
      <c r="AK3335" s="249"/>
      <c r="AL3335" s="330"/>
      <c r="AM3335" s="343"/>
      <c r="AN3335" s="249"/>
      <c r="AO3335" s="330"/>
      <c r="AP3335" s="343"/>
      <c r="AQ3335" s="249"/>
      <c r="AR3335" s="330"/>
      <c r="AS3335" s="343"/>
      <c r="AT3335" s="249"/>
      <c r="AU3335" s="330"/>
    </row>
    <row r="3336" spans="2:47">
      <c r="B3336" s="247">
        <f>'Table S2 Compound Identifiers'!C3338</f>
        <v>0</v>
      </c>
      <c r="C3336" s="247">
        <f>COUNTIF($D$6:D3336,"&lt;&gt;"&amp;"")</f>
        <v>3331</v>
      </c>
      <c r="D3336" s="247">
        <f>'Table S2 Compound Identifiers'!B3338</f>
        <v>0</v>
      </c>
      <c r="E3336" s="247"/>
      <c r="F3336" s="248"/>
      <c r="G3336" s="250"/>
      <c r="H3336" s="330"/>
      <c r="I3336" s="343"/>
      <c r="J3336" s="249"/>
      <c r="K3336" s="327"/>
      <c r="L3336" s="343"/>
      <c r="M3336" s="249"/>
      <c r="N3336" s="327"/>
      <c r="O3336" s="343"/>
      <c r="P3336" s="249"/>
      <c r="Q3336" s="327"/>
      <c r="R3336" s="343"/>
      <c r="S3336" s="249"/>
      <c r="T3336" s="327"/>
      <c r="U3336" s="343"/>
      <c r="V3336" s="249"/>
      <c r="W3336" s="327"/>
      <c r="X3336" s="343"/>
      <c r="Y3336" s="249"/>
      <c r="Z3336" s="327"/>
      <c r="AA3336" s="343"/>
      <c r="AB3336" s="249"/>
      <c r="AC3336" s="343"/>
      <c r="AD3336" s="343"/>
      <c r="AE3336" s="249"/>
      <c r="AF3336" s="249"/>
      <c r="AG3336" s="343"/>
      <c r="AH3336" s="249"/>
      <c r="AI3336" s="343"/>
      <c r="AJ3336" s="343"/>
      <c r="AK3336" s="249"/>
      <c r="AL3336" s="249"/>
      <c r="AM3336" s="343"/>
      <c r="AN3336" s="249"/>
      <c r="AO3336" s="343"/>
      <c r="AP3336" s="343"/>
      <c r="AQ3336" s="249"/>
      <c r="AR3336" s="249"/>
      <c r="AS3336" s="343"/>
      <c r="AT3336" s="249"/>
      <c r="AU3336" s="343"/>
    </row>
    <row r="3337" spans="2:47">
      <c r="B3337" s="247">
        <f>'Table S2 Compound Identifiers'!C3339</f>
        <v>0</v>
      </c>
      <c r="C3337" s="247">
        <f>COUNTIF($D$6:D3337,"&lt;&gt;"&amp;"")</f>
        <v>3332</v>
      </c>
      <c r="D3337" s="247">
        <f>'Table S2 Compound Identifiers'!B3339</f>
        <v>0</v>
      </c>
      <c r="E3337" s="247"/>
      <c r="F3337" s="248"/>
      <c r="G3337" s="249"/>
      <c r="H3337" s="330"/>
      <c r="I3337" s="332"/>
      <c r="J3337" s="330"/>
      <c r="K3337" s="330"/>
      <c r="L3337" s="330"/>
      <c r="M3337" s="330"/>
      <c r="N3337" s="330"/>
      <c r="O3337" s="330"/>
      <c r="P3337" s="330"/>
      <c r="Q3337" s="330"/>
      <c r="R3337" s="330"/>
      <c r="S3337" s="330"/>
      <c r="T3337" s="330"/>
      <c r="U3337" s="330"/>
      <c r="V3337" s="330"/>
      <c r="W3337" s="330"/>
      <c r="X3337" s="343"/>
      <c r="Y3337" s="249"/>
      <c r="Z3337" s="330"/>
      <c r="AA3337" s="343"/>
      <c r="AB3337" s="249"/>
      <c r="AC3337" s="330"/>
      <c r="AD3337" s="343"/>
      <c r="AE3337" s="249"/>
      <c r="AF3337" s="330"/>
      <c r="AG3337" s="343"/>
      <c r="AH3337" s="249"/>
      <c r="AI3337" s="330"/>
      <c r="AJ3337" s="343"/>
      <c r="AK3337" s="249"/>
      <c r="AL3337" s="330"/>
      <c r="AM3337" s="343"/>
      <c r="AN3337" s="249"/>
      <c r="AO3337" s="330"/>
      <c r="AP3337" s="343"/>
      <c r="AQ3337" s="249"/>
      <c r="AR3337" s="330"/>
      <c r="AS3337" s="343"/>
      <c r="AT3337" s="249"/>
      <c r="AU3337" s="330"/>
    </row>
    <row r="3338" spans="2:47">
      <c r="B3338" s="247">
        <f>'Table S2 Compound Identifiers'!C3340</f>
        <v>0</v>
      </c>
      <c r="C3338" s="247">
        <f>COUNTIF($D$6:D3338,"&lt;&gt;"&amp;"")</f>
        <v>3333</v>
      </c>
      <c r="D3338" s="247">
        <f>'Table S2 Compound Identifiers'!B3340</f>
        <v>0</v>
      </c>
      <c r="E3338" s="247"/>
      <c r="F3338" s="248"/>
      <c r="G3338" s="249"/>
      <c r="H3338" s="330"/>
      <c r="I3338" s="332"/>
      <c r="J3338" s="330"/>
      <c r="K3338" s="330"/>
      <c r="L3338" s="330"/>
      <c r="M3338" s="330"/>
      <c r="N3338" s="330"/>
      <c r="O3338" s="330"/>
      <c r="P3338" s="330"/>
      <c r="Q3338" s="330"/>
      <c r="R3338" s="330"/>
      <c r="S3338" s="330"/>
      <c r="T3338" s="330"/>
      <c r="U3338" s="330"/>
      <c r="V3338" s="330"/>
      <c r="W3338" s="330"/>
      <c r="X3338" s="343"/>
      <c r="Y3338" s="249"/>
      <c r="Z3338" s="330"/>
      <c r="AA3338" s="343"/>
      <c r="AB3338" s="249"/>
      <c r="AC3338" s="330"/>
      <c r="AD3338" s="343"/>
      <c r="AE3338" s="249"/>
      <c r="AF3338" s="330"/>
      <c r="AG3338" s="343"/>
      <c r="AH3338" s="249"/>
      <c r="AI3338" s="330"/>
      <c r="AJ3338" s="343"/>
      <c r="AK3338" s="249"/>
      <c r="AL3338" s="330"/>
      <c r="AM3338" s="343"/>
      <c r="AN3338" s="249"/>
      <c r="AO3338" s="330"/>
      <c r="AP3338" s="343"/>
      <c r="AQ3338" s="249"/>
      <c r="AR3338" s="330"/>
      <c r="AS3338" s="343"/>
      <c r="AT3338" s="249"/>
      <c r="AU3338" s="330"/>
    </row>
    <row r="3339" spans="2:47">
      <c r="B3339" s="247">
        <f>'Table S2 Compound Identifiers'!C3341</f>
        <v>0</v>
      </c>
      <c r="C3339" s="247">
        <f>COUNTIF($D$6:D3339,"&lt;&gt;"&amp;"")</f>
        <v>3334</v>
      </c>
      <c r="D3339" s="247">
        <f>'Table S2 Compound Identifiers'!B3341</f>
        <v>0</v>
      </c>
      <c r="E3339" s="247"/>
      <c r="F3339" s="248"/>
      <c r="G3339" s="249"/>
      <c r="H3339" s="330"/>
      <c r="I3339" s="332"/>
      <c r="J3339" s="330"/>
      <c r="K3339" s="330"/>
      <c r="L3339" s="330"/>
      <c r="M3339" s="330"/>
      <c r="N3339" s="330"/>
      <c r="O3339" s="330"/>
      <c r="P3339" s="330"/>
      <c r="Q3339" s="330"/>
      <c r="R3339" s="330"/>
      <c r="S3339" s="330"/>
      <c r="T3339" s="330"/>
      <c r="U3339" s="330"/>
      <c r="V3339" s="330"/>
      <c r="W3339" s="330"/>
      <c r="X3339" s="343"/>
      <c r="Y3339" s="249"/>
      <c r="Z3339" s="330"/>
      <c r="AA3339" s="343"/>
      <c r="AB3339" s="249"/>
      <c r="AC3339" s="330"/>
      <c r="AD3339" s="343"/>
      <c r="AE3339" s="249"/>
      <c r="AF3339" s="330"/>
      <c r="AG3339" s="343"/>
      <c r="AH3339" s="249"/>
      <c r="AI3339" s="330"/>
      <c r="AJ3339" s="343"/>
      <c r="AK3339" s="249"/>
      <c r="AL3339" s="330"/>
      <c r="AM3339" s="343"/>
      <c r="AN3339" s="249"/>
      <c r="AO3339" s="330"/>
      <c r="AP3339" s="343"/>
      <c r="AQ3339" s="249"/>
      <c r="AR3339" s="330"/>
      <c r="AS3339" s="343"/>
      <c r="AT3339" s="249"/>
      <c r="AU3339" s="330"/>
    </row>
    <row r="3340" spans="2:47">
      <c r="B3340" s="247">
        <f>'Table S2 Compound Identifiers'!C3342</f>
        <v>0</v>
      </c>
      <c r="C3340" s="247">
        <f>COUNTIF($D$6:D3340,"&lt;&gt;"&amp;"")</f>
        <v>3335</v>
      </c>
      <c r="D3340" s="247">
        <f>'Table S2 Compound Identifiers'!B3342</f>
        <v>0</v>
      </c>
      <c r="E3340" s="247"/>
      <c r="F3340" s="248"/>
      <c r="G3340" s="249"/>
      <c r="H3340" s="330"/>
      <c r="I3340" s="328"/>
      <c r="J3340" s="249"/>
      <c r="K3340" s="330"/>
      <c r="L3340" s="250"/>
      <c r="M3340" s="249"/>
      <c r="N3340" s="330"/>
      <c r="O3340" s="250"/>
      <c r="P3340" s="249"/>
      <c r="Q3340" s="330"/>
      <c r="R3340" s="250"/>
      <c r="S3340" s="249"/>
      <c r="T3340" s="330"/>
      <c r="U3340" s="250"/>
      <c r="V3340" s="249"/>
      <c r="W3340" s="330"/>
      <c r="X3340" s="343"/>
      <c r="Y3340" s="249"/>
      <c r="Z3340" s="330"/>
      <c r="AA3340" s="343"/>
      <c r="AB3340" s="249"/>
      <c r="AC3340" s="330"/>
      <c r="AD3340" s="343"/>
      <c r="AE3340" s="249"/>
      <c r="AF3340" s="330"/>
      <c r="AG3340" s="343"/>
      <c r="AH3340" s="249"/>
      <c r="AI3340" s="330"/>
      <c r="AJ3340" s="343"/>
      <c r="AK3340" s="249"/>
      <c r="AL3340" s="330"/>
      <c r="AM3340" s="343"/>
      <c r="AN3340" s="249"/>
      <c r="AO3340" s="330"/>
      <c r="AP3340" s="343"/>
      <c r="AQ3340" s="249"/>
      <c r="AR3340" s="330"/>
      <c r="AS3340" s="343"/>
      <c r="AT3340" s="249"/>
      <c r="AU3340" s="330"/>
    </row>
    <row r="3341" spans="2:47">
      <c r="B3341" s="247">
        <f>'Table S2 Compound Identifiers'!C3343</f>
        <v>0</v>
      </c>
      <c r="C3341" s="247">
        <f>COUNTIF($D$6:D3341,"&lt;&gt;"&amp;"")</f>
        <v>3336</v>
      </c>
      <c r="D3341" s="247">
        <f>'Table S2 Compound Identifiers'!B3343</f>
        <v>0</v>
      </c>
      <c r="E3341" s="247"/>
      <c r="F3341" s="248"/>
      <c r="G3341" s="249"/>
      <c r="H3341" s="330"/>
      <c r="I3341" s="328"/>
      <c r="J3341" s="249"/>
      <c r="K3341" s="330"/>
      <c r="L3341" s="250"/>
      <c r="M3341" s="249"/>
      <c r="N3341" s="330"/>
      <c r="O3341" s="250"/>
      <c r="P3341" s="249"/>
      <c r="Q3341" s="330"/>
      <c r="R3341" s="250"/>
      <c r="S3341" s="249"/>
      <c r="T3341" s="330"/>
      <c r="U3341" s="250"/>
      <c r="V3341" s="249"/>
      <c r="W3341" s="330"/>
      <c r="X3341" s="343"/>
      <c r="Y3341" s="249"/>
      <c r="Z3341" s="330"/>
      <c r="AA3341" s="343"/>
      <c r="AB3341" s="249"/>
      <c r="AC3341" s="330"/>
      <c r="AD3341" s="343"/>
      <c r="AE3341" s="249"/>
      <c r="AF3341" s="330"/>
      <c r="AG3341" s="343"/>
      <c r="AH3341" s="249"/>
      <c r="AI3341" s="330"/>
      <c r="AJ3341" s="343"/>
      <c r="AK3341" s="249"/>
      <c r="AL3341" s="330"/>
      <c r="AM3341" s="343"/>
      <c r="AN3341" s="249"/>
      <c r="AO3341" s="330"/>
      <c r="AP3341" s="343"/>
      <c r="AQ3341" s="249"/>
      <c r="AR3341" s="330"/>
      <c r="AS3341" s="343"/>
      <c r="AT3341" s="249"/>
      <c r="AU3341" s="330"/>
    </row>
    <row r="3342" spans="2:47">
      <c r="B3342" s="247">
        <f>'Table S2 Compound Identifiers'!C3344</f>
        <v>0</v>
      </c>
      <c r="C3342" s="247">
        <f>COUNTIF($D$6:D3342,"&lt;&gt;"&amp;"")</f>
        <v>3337</v>
      </c>
      <c r="D3342" s="247">
        <f>'Table S2 Compound Identifiers'!B3344</f>
        <v>0</v>
      </c>
      <c r="E3342" s="247"/>
      <c r="F3342" s="248"/>
      <c r="G3342" s="249"/>
      <c r="H3342" s="330"/>
      <c r="I3342" s="328"/>
      <c r="J3342" s="249"/>
      <c r="K3342" s="330"/>
      <c r="L3342" s="250"/>
      <c r="M3342" s="249"/>
      <c r="N3342" s="330"/>
      <c r="O3342" s="250"/>
      <c r="P3342" s="249"/>
      <c r="Q3342" s="330"/>
      <c r="R3342" s="250"/>
      <c r="S3342" s="249"/>
      <c r="T3342" s="330"/>
      <c r="U3342" s="250"/>
      <c r="V3342" s="249"/>
      <c r="W3342" s="330"/>
      <c r="X3342" s="343"/>
      <c r="Y3342" s="249"/>
      <c r="Z3342" s="330"/>
      <c r="AA3342" s="343"/>
      <c r="AB3342" s="249"/>
      <c r="AC3342" s="330"/>
      <c r="AD3342" s="343"/>
      <c r="AE3342" s="249"/>
      <c r="AF3342" s="330"/>
      <c r="AG3342" s="343"/>
      <c r="AH3342" s="249"/>
      <c r="AI3342" s="330"/>
      <c r="AJ3342" s="343"/>
      <c r="AK3342" s="249"/>
      <c r="AL3342" s="330"/>
      <c r="AM3342" s="343"/>
      <c r="AN3342" s="249"/>
      <c r="AO3342" s="330"/>
      <c r="AP3342" s="343"/>
      <c r="AQ3342" s="249"/>
      <c r="AR3342" s="330"/>
      <c r="AS3342" s="343"/>
      <c r="AT3342" s="249"/>
      <c r="AU3342" s="330"/>
    </row>
    <row r="3343" spans="2:47">
      <c r="B3343" s="247">
        <f>'Table S2 Compound Identifiers'!C3345</f>
        <v>0</v>
      </c>
      <c r="C3343" s="247">
        <f>COUNTIF($D$6:D3343,"&lt;&gt;"&amp;"")</f>
        <v>3338</v>
      </c>
      <c r="D3343" s="247">
        <f>'Table S2 Compound Identifiers'!B3345</f>
        <v>0</v>
      </c>
      <c r="E3343" s="247"/>
      <c r="F3343" s="248"/>
      <c r="G3343" s="249"/>
      <c r="H3343" s="330"/>
      <c r="I3343" s="328"/>
      <c r="J3343" s="249"/>
      <c r="K3343" s="330"/>
      <c r="L3343" s="250"/>
      <c r="M3343" s="249"/>
      <c r="N3343" s="330"/>
      <c r="O3343" s="250"/>
      <c r="P3343" s="249"/>
      <c r="Q3343" s="330"/>
      <c r="R3343" s="250"/>
      <c r="S3343" s="249"/>
      <c r="T3343" s="330"/>
      <c r="U3343" s="250"/>
      <c r="V3343" s="249"/>
      <c r="W3343" s="330"/>
      <c r="X3343" s="343"/>
      <c r="Y3343" s="249"/>
      <c r="Z3343" s="330"/>
      <c r="AA3343" s="343"/>
      <c r="AB3343" s="249"/>
      <c r="AC3343" s="330"/>
      <c r="AD3343" s="343"/>
      <c r="AE3343" s="249"/>
      <c r="AF3343" s="330"/>
      <c r="AG3343" s="343"/>
      <c r="AH3343" s="249"/>
      <c r="AI3343" s="330"/>
      <c r="AJ3343" s="343"/>
      <c r="AK3343" s="249"/>
      <c r="AL3343" s="330"/>
      <c r="AM3343" s="343"/>
      <c r="AN3343" s="249"/>
      <c r="AO3343" s="330"/>
      <c r="AP3343" s="343"/>
      <c r="AQ3343" s="249"/>
      <c r="AR3343" s="330"/>
      <c r="AS3343" s="343"/>
      <c r="AT3343" s="249"/>
      <c r="AU3343" s="330"/>
    </row>
    <row r="3344" spans="2:47">
      <c r="B3344" s="247">
        <f>'Table S2 Compound Identifiers'!C3346</f>
        <v>0</v>
      </c>
      <c r="C3344" s="247">
        <f>COUNTIF($D$6:D3344,"&lt;&gt;"&amp;"")</f>
        <v>3339</v>
      </c>
      <c r="D3344" s="247">
        <f>'Table S2 Compound Identifiers'!B3346</f>
        <v>0</v>
      </c>
      <c r="E3344" s="247"/>
      <c r="F3344" s="248"/>
      <c r="G3344" s="249"/>
      <c r="H3344" s="330"/>
      <c r="I3344" s="328"/>
      <c r="J3344" s="249"/>
      <c r="K3344" s="330"/>
      <c r="L3344" s="250"/>
      <c r="M3344" s="249"/>
      <c r="N3344" s="330"/>
      <c r="O3344" s="250"/>
      <c r="P3344" s="249"/>
      <c r="Q3344" s="330"/>
      <c r="R3344" s="250"/>
      <c r="S3344" s="249"/>
      <c r="T3344" s="330"/>
      <c r="U3344" s="250"/>
      <c r="V3344" s="249"/>
      <c r="W3344" s="330"/>
      <c r="X3344" s="343"/>
      <c r="Y3344" s="249"/>
      <c r="Z3344" s="330"/>
      <c r="AA3344" s="343"/>
      <c r="AB3344" s="249"/>
      <c r="AC3344" s="330"/>
      <c r="AD3344" s="343"/>
      <c r="AE3344" s="249"/>
      <c r="AF3344" s="330"/>
      <c r="AG3344" s="343"/>
      <c r="AH3344" s="249"/>
      <c r="AI3344" s="330"/>
      <c r="AJ3344" s="343"/>
      <c r="AK3344" s="249"/>
      <c r="AL3344" s="330"/>
      <c r="AM3344" s="343"/>
      <c r="AN3344" s="249"/>
      <c r="AO3344" s="330"/>
      <c r="AP3344" s="343"/>
      <c r="AQ3344" s="249"/>
      <c r="AR3344" s="330"/>
      <c r="AS3344" s="343"/>
      <c r="AT3344" s="249"/>
      <c r="AU3344" s="330"/>
    </row>
    <row r="3345" spans="2:47">
      <c r="B3345" s="247">
        <f>'Table S2 Compound Identifiers'!C3347</f>
        <v>0</v>
      </c>
      <c r="C3345" s="247">
        <f>COUNTIF($D$6:D3345,"&lt;&gt;"&amp;"")</f>
        <v>3340</v>
      </c>
      <c r="D3345" s="247">
        <f>'Table S2 Compound Identifiers'!B3347</f>
        <v>0</v>
      </c>
      <c r="E3345" s="247"/>
      <c r="F3345" s="248"/>
      <c r="G3345" s="249"/>
      <c r="H3345" s="330"/>
      <c r="I3345" s="328"/>
      <c r="J3345" s="249"/>
      <c r="K3345" s="330"/>
      <c r="L3345" s="250"/>
      <c r="M3345" s="249"/>
      <c r="N3345" s="330"/>
      <c r="O3345" s="250"/>
      <c r="P3345" s="249"/>
      <c r="Q3345" s="330"/>
      <c r="R3345" s="250"/>
      <c r="S3345" s="249"/>
      <c r="T3345" s="330"/>
      <c r="U3345" s="250"/>
      <c r="V3345" s="249"/>
      <c r="W3345" s="330"/>
      <c r="X3345" s="343"/>
      <c r="Y3345" s="249"/>
      <c r="Z3345" s="330"/>
      <c r="AA3345" s="343"/>
      <c r="AB3345" s="249"/>
      <c r="AC3345" s="330"/>
      <c r="AD3345" s="343"/>
      <c r="AE3345" s="249"/>
      <c r="AF3345" s="330"/>
      <c r="AG3345" s="343"/>
      <c r="AH3345" s="249"/>
      <c r="AI3345" s="330"/>
      <c r="AJ3345" s="343"/>
      <c r="AK3345" s="249"/>
      <c r="AL3345" s="330"/>
      <c r="AM3345" s="343"/>
      <c r="AN3345" s="249"/>
      <c r="AO3345" s="330"/>
      <c r="AP3345" s="343"/>
      <c r="AQ3345" s="249"/>
      <c r="AR3345" s="330"/>
      <c r="AS3345" s="343"/>
      <c r="AT3345" s="249"/>
      <c r="AU3345" s="330"/>
    </row>
    <row r="3346" spans="2:47">
      <c r="B3346" s="247">
        <f>'Table S2 Compound Identifiers'!C3348</f>
        <v>0</v>
      </c>
      <c r="C3346" s="247">
        <f>COUNTIF($D$6:D3346,"&lt;&gt;"&amp;"")</f>
        <v>3341</v>
      </c>
      <c r="D3346" s="247">
        <f>'Table S2 Compound Identifiers'!B3348</f>
        <v>0</v>
      </c>
      <c r="E3346" s="247"/>
      <c r="F3346" s="248"/>
      <c r="G3346" s="249"/>
      <c r="H3346" s="330"/>
      <c r="I3346" s="328"/>
      <c r="J3346" s="249"/>
      <c r="K3346" s="330"/>
      <c r="L3346" s="250"/>
      <c r="M3346" s="249"/>
      <c r="N3346" s="330"/>
      <c r="O3346" s="250"/>
      <c r="P3346" s="249"/>
      <c r="Q3346" s="330"/>
      <c r="R3346" s="250"/>
      <c r="S3346" s="249"/>
      <c r="T3346" s="330"/>
      <c r="U3346" s="250"/>
      <c r="V3346" s="249"/>
      <c r="W3346" s="330"/>
      <c r="X3346" s="343"/>
      <c r="Y3346" s="249"/>
      <c r="Z3346" s="330"/>
      <c r="AA3346" s="343"/>
      <c r="AB3346" s="249"/>
      <c r="AC3346" s="330"/>
      <c r="AD3346" s="343"/>
      <c r="AE3346" s="249"/>
      <c r="AF3346" s="330"/>
      <c r="AG3346" s="343"/>
      <c r="AH3346" s="249"/>
      <c r="AI3346" s="330"/>
      <c r="AJ3346" s="343"/>
      <c r="AK3346" s="249"/>
      <c r="AL3346" s="330"/>
      <c r="AM3346" s="343"/>
      <c r="AN3346" s="249"/>
      <c r="AO3346" s="330"/>
      <c r="AP3346" s="343"/>
      <c r="AQ3346" s="249"/>
      <c r="AR3346" s="330"/>
      <c r="AS3346" s="343"/>
      <c r="AT3346" s="249"/>
      <c r="AU3346" s="330"/>
    </row>
    <row r="3347" spans="2:47">
      <c r="B3347" s="247">
        <f>'Table S2 Compound Identifiers'!C3349</f>
        <v>0</v>
      </c>
      <c r="C3347" s="247">
        <f>COUNTIF($D$6:D3347,"&lt;&gt;"&amp;"")</f>
        <v>3342</v>
      </c>
      <c r="D3347" s="247">
        <f>'Table S2 Compound Identifiers'!B3349</f>
        <v>0</v>
      </c>
      <c r="E3347" s="247"/>
      <c r="F3347" s="248"/>
      <c r="G3347" s="249"/>
      <c r="H3347" s="330"/>
      <c r="I3347" s="328"/>
      <c r="J3347" s="249"/>
      <c r="K3347" s="330"/>
      <c r="L3347" s="250"/>
      <c r="M3347" s="249"/>
      <c r="N3347" s="330"/>
      <c r="O3347" s="250"/>
      <c r="P3347" s="249"/>
      <c r="Q3347" s="330"/>
      <c r="R3347" s="250"/>
      <c r="S3347" s="249"/>
      <c r="T3347" s="330"/>
      <c r="U3347" s="250"/>
      <c r="V3347" s="249"/>
      <c r="W3347" s="330"/>
      <c r="X3347" s="343"/>
      <c r="Y3347" s="249"/>
      <c r="Z3347" s="330"/>
      <c r="AA3347" s="343"/>
      <c r="AB3347" s="249"/>
      <c r="AC3347" s="330"/>
      <c r="AD3347" s="343"/>
      <c r="AE3347" s="249"/>
      <c r="AF3347" s="330"/>
      <c r="AG3347" s="343"/>
      <c r="AH3347" s="249"/>
      <c r="AI3347" s="330"/>
      <c r="AJ3347" s="343"/>
      <c r="AK3347" s="249"/>
      <c r="AL3347" s="330"/>
      <c r="AM3347" s="343"/>
      <c r="AN3347" s="249"/>
      <c r="AO3347" s="330"/>
      <c r="AP3347" s="343"/>
      <c r="AQ3347" s="249"/>
      <c r="AR3347" s="330"/>
      <c r="AS3347" s="343"/>
      <c r="AT3347" s="249"/>
      <c r="AU3347" s="330"/>
    </row>
    <row r="3348" spans="2:47">
      <c r="B3348" s="247">
        <f>'Table S2 Compound Identifiers'!C3350</f>
        <v>0</v>
      </c>
      <c r="C3348" s="247">
        <f>COUNTIF($D$6:D3348,"&lt;&gt;"&amp;"")</f>
        <v>3343</v>
      </c>
      <c r="D3348" s="247">
        <f>'Table S2 Compound Identifiers'!B3350</f>
        <v>0</v>
      </c>
      <c r="E3348" s="247"/>
      <c r="F3348" s="248"/>
      <c r="G3348" s="249"/>
      <c r="H3348" s="330"/>
      <c r="I3348" s="328"/>
      <c r="J3348" s="249"/>
      <c r="K3348" s="330"/>
      <c r="L3348" s="250"/>
      <c r="M3348" s="249"/>
      <c r="N3348" s="330"/>
      <c r="O3348" s="250"/>
      <c r="P3348" s="249"/>
      <c r="Q3348" s="330"/>
      <c r="R3348" s="250"/>
      <c r="S3348" s="249"/>
      <c r="T3348" s="330"/>
      <c r="U3348" s="250"/>
      <c r="V3348" s="249"/>
      <c r="W3348" s="330"/>
      <c r="X3348" s="343"/>
      <c r="Y3348" s="249"/>
      <c r="Z3348" s="330"/>
      <c r="AA3348" s="343"/>
      <c r="AB3348" s="249"/>
      <c r="AC3348" s="330"/>
      <c r="AD3348" s="343"/>
      <c r="AE3348" s="249"/>
      <c r="AF3348" s="330"/>
      <c r="AG3348" s="343"/>
      <c r="AH3348" s="249"/>
      <c r="AI3348" s="330"/>
      <c r="AJ3348" s="343"/>
      <c r="AK3348" s="249"/>
      <c r="AL3348" s="330"/>
      <c r="AM3348" s="343"/>
      <c r="AN3348" s="249"/>
      <c r="AO3348" s="330"/>
      <c r="AP3348" s="343"/>
      <c r="AQ3348" s="249"/>
      <c r="AR3348" s="330"/>
      <c r="AS3348" s="343"/>
      <c r="AT3348" s="249"/>
      <c r="AU3348" s="330"/>
    </row>
    <row r="3349" spans="2:47">
      <c r="B3349" s="247">
        <f>'Table S2 Compound Identifiers'!C3351</f>
        <v>0</v>
      </c>
      <c r="C3349" s="247">
        <f>COUNTIF($D$6:D3349,"&lt;&gt;"&amp;"")</f>
        <v>3344</v>
      </c>
      <c r="D3349" s="247">
        <f>'Table S2 Compound Identifiers'!B3351</f>
        <v>0</v>
      </c>
      <c r="E3349" s="247"/>
      <c r="F3349" s="248"/>
      <c r="G3349" s="249"/>
      <c r="H3349" s="330"/>
      <c r="I3349" s="328"/>
      <c r="J3349" s="249"/>
      <c r="K3349" s="330"/>
      <c r="L3349" s="250"/>
      <c r="M3349" s="249"/>
      <c r="N3349" s="330"/>
      <c r="O3349" s="250"/>
      <c r="P3349" s="249"/>
      <c r="Q3349" s="330"/>
      <c r="R3349" s="250"/>
      <c r="S3349" s="249"/>
      <c r="T3349" s="330"/>
      <c r="U3349" s="250"/>
      <c r="V3349" s="249"/>
      <c r="W3349" s="330"/>
      <c r="X3349" s="343"/>
      <c r="Y3349" s="249"/>
      <c r="Z3349" s="330"/>
      <c r="AA3349" s="343"/>
      <c r="AB3349" s="249"/>
      <c r="AC3349" s="330"/>
      <c r="AD3349" s="343"/>
      <c r="AE3349" s="249"/>
      <c r="AF3349" s="330"/>
      <c r="AG3349" s="343"/>
      <c r="AH3349" s="249"/>
      <c r="AI3349" s="330"/>
      <c r="AJ3349" s="343"/>
      <c r="AK3349" s="249"/>
      <c r="AL3349" s="330"/>
      <c r="AM3349" s="343"/>
      <c r="AN3349" s="249"/>
      <c r="AO3349" s="330"/>
      <c r="AP3349" s="343"/>
      <c r="AQ3349" s="249"/>
      <c r="AR3349" s="330"/>
      <c r="AS3349" s="343"/>
      <c r="AT3349" s="249"/>
      <c r="AU3349" s="330"/>
    </row>
    <row r="3350" spans="2:47">
      <c r="B3350" s="247">
        <f>'Table S2 Compound Identifiers'!C3352</f>
        <v>0</v>
      </c>
      <c r="C3350" s="247">
        <f>COUNTIF($D$6:D3350,"&lt;&gt;"&amp;"")</f>
        <v>3345</v>
      </c>
      <c r="D3350" s="247">
        <f>'Table S2 Compound Identifiers'!B3352</f>
        <v>0</v>
      </c>
      <c r="E3350" s="247"/>
      <c r="F3350" s="248"/>
      <c r="G3350" s="249"/>
      <c r="H3350" s="330"/>
      <c r="I3350" s="328"/>
      <c r="J3350" s="249"/>
      <c r="K3350" s="330"/>
      <c r="L3350" s="250"/>
      <c r="M3350" s="249"/>
      <c r="N3350" s="330"/>
      <c r="O3350" s="250"/>
      <c r="P3350" s="249"/>
      <c r="Q3350" s="330"/>
      <c r="R3350" s="250"/>
      <c r="S3350" s="249"/>
      <c r="T3350" s="330"/>
      <c r="U3350" s="250"/>
      <c r="V3350" s="249"/>
      <c r="W3350" s="330"/>
      <c r="X3350" s="343"/>
      <c r="Y3350" s="249"/>
      <c r="Z3350" s="330"/>
      <c r="AA3350" s="343"/>
      <c r="AB3350" s="249"/>
      <c r="AC3350" s="330"/>
      <c r="AD3350" s="343"/>
      <c r="AE3350" s="249"/>
      <c r="AF3350" s="330"/>
      <c r="AG3350" s="343"/>
      <c r="AH3350" s="249"/>
      <c r="AI3350" s="330"/>
      <c r="AJ3350" s="343"/>
      <c r="AK3350" s="249"/>
      <c r="AL3350" s="330"/>
      <c r="AM3350" s="343"/>
      <c r="AN3350" s="249"/>
      <c r="AO3350" s="330"/>
      <c r="AP3350" s="343"/>
      <c r="AQ3350" s="249"/>
      <c r="AR3350" s="330"/>
      <c r="AS3350" s="343"/>
      <c r="AT3350" s="249"/>
      <c r="AU3350" s="330"/>
    </row>
    <row r="3351" spans="2:47">
      <c r="B3351" s="247">
        <f>'Table S2 Compound Identifiers'!C3353</f>
        <v>0</v>
      </c>
      <c r="C3351" s="247">
        <f>COUNTIF($D$6:D3351,"&lt;&gt;"&amp;"")</f>
        <v>3346</v>
      </c>
      <c r="D3351" s="247">
        <f>'Table S2 Compound Identifiers'!B3353</f>
        <v>0</v>
      </c>
      <c r="E3351" s="247"/>
      <c r="F3351" s="248"/>
      <c r="G3351" s="249"/>
      <c r="H3351" s="330"/>
      <c r="I3351" s="328"/>
      <c r="J3351" s="249"/>
      <c r="K3351" s="330"/>
      <c r="L3351" s="250"/>
      <c r="M3351" s="249"/>
      <c r="N3351" s="330"/>
      <c r="O3351" s="250"/>
      <c r="P3351" s="249"/>
      <c r="Q3351" s="330"/>
      <c r="R3351" s="250"/>
      <c r="S3351" s="249"/>
      <c r="T3351" s="330"/>
      <c r="U3351" s="250"/>
      <c r="V3351" s="249"/>
      <c r="W3351" s="330"/>
      <c r="X3351" s="343"/>
      <c r="Y3351" s="249"/>
      <c r="Z3351" s="330"/>
      <c r="AA3351" s="343"/>
      <c r="AB3351" s="249"/>
      <c r="AC3351" s="330"/>
      <c r="AD3351" s="343"/>
      <c r="AE3351" s="249"/>
      <c r="AF3351" s="330"/>
      <c r="AG3351" s="343"/>
      <c r="AH3351" s="249"/>
      <c r="AI3351" s="330"/>
      <c r="AJ3351" s="343"/>
      <c r="AK3351" s="249"/>
      <c r="AL3351" s="330"/>
      <c r="AM3351" s="343"/>
      <c r="AN3351" s="249"/>
      <c r="AO3351" s="330"/>
      <c r="AP3351" s="343"/>
      <c r="AQ3351" s="249"/>
      <c r="AR3351" s="330"/>
      <c r="AS3351" s="343"/>
      <c r="AT3351" s="249"/>
      <c r="AU3351" s="330"/>
    </row>
    <row r="3352" spans="2:47">
      <c r="B3352" s="247">
        <f>'Table S2 Compound Identifiers'!C3354</f>
        <v>0</v>
      </c>
      <c r="C3352" s="247">
        <f>COUNTIF($D$6:D3352,"&lt;&gt;"&amp;"")</f>
        <v>3347</v>
      </c>
      <c r="D3352" s="247">
        <f>'Table S2 Compound Identifiers'!B3354</f>
        <v>0</v>
      </c>
      <c r="E3352" s="247"/>
      <c r="F3352" s="248"/>
      <c r="G3352" s="249"/>
      <c r="H3352" s="330"/>
      <c r="I3352" s="328"/>
      <c r="J3352" s="249"/>
      <c r="K3352" s="330"/>
      <c r="L3352" s="250"/>
      <c r="M3352" s="249"/>
      <c r="N3352" s="330"/>
      <c r="O3352" s="250"/>
      <c r="P3352" s="249"/>
      <c r="Q3352" s="330"/>
      <c r="R3352" s="250"/>
      <c r="S3352" s="249"/>
      <c r="T3352" s="330"/>
      <c r="U3352" s="250"/>
      <c r="V3352" s="249"/>
      <c r="W3352" s="330"/>
      <c r="X3352" s="343"/>
      <c r="Y3352" s="249"/>
      <c r="Z3352" s="330"/>
      <c r="AA3352" s="343"/>
      <c r="AB3352" s="249"/>
      <c r="AC3352" s="330"/>
      <c r="AD3352" s="343"/>
      <c r="AE3352" s="249"/>
      <c r="AF3352" s="330"/>
      <c r="AG3352" s="343"/>
      <c r="AH3352" s="249"/>
      <c r="AI3352" s="330"/>
      <c r="AJ3352" s="343"/>
      <c r="AK3352" s="249"/>
      <c r="AL3352" s="330"/>
      <c r="AM3352" s="343"/>
      <c r="AN3352" s="249"/>
      <c r="AO3352" s="330"/>
      <c r="AP3352" s="343"/>
      <c r="AQ3352" s="249"/>
      <c r="AR3352" s="330"/>
      <c r="AS3352" s="343"/>
      <c r="AT3352" s="249"/>
      <c r="AU3352" s="330"/>
    </row>
    <row r="3353" spans="2:47">
      <c r="B3353" s="247">
        <f>'Table S2 Compound Identifiers'!C3355</f>
        <v>0</v>
      </c>
      <c r="C3353" s="247">
        <f>COUNTIF($D$6:D3353,"&lt;&gt;"&amp;"")</f>
        <v>3348</v>
      </c>
      <c r="D3353" s="247">
        <f>'Table S2 Compound Identifiers'!B3355</f>
        <v>0</v>
      </c>
      <c r="E3353" s="247"/>
      <c r="F3353" s="248"/>
      <c r="G3353" s="249"/>
      <c r="H3353" s="330"/>
      <c r="I3353" s="328"/>
      <c r="J3353" s="249"/>
      <c r="K3353" s="330"/>
      <c r="L3353" s="250"/>
      <c r="M3353" s="249"/>
      <c r="N3353" s="330"/>
      <c r="O3353" s="250"/>
      <c r="P3353" s="249"/>
      <c r="Q3353" s="330"/>
      <c r="R3353" s="250"/>
      <c r="S3353" s="249"/>
      <c r="T3353" s="330"/>
      <c r="U3353" s="250"/>
      <c r="V3353" s="249"/>
      <c r="W3353" s="330"/>
      <c r="X3353" s="343"/>
      <c r="Y3353" s="249"/>
      <c r="Z3353" s="330"/>
      <c r="AA3353" s="343"/>
      <c r="AB3353" s="249"/>
      <c r="AC3353" s="330"/>
      <c r="AD3353" s="343"/>
      <c r="AE3353" s="249"/>
      <c r="AF3353" s="330"/>
      <c r="AG3353" s="343"/>
      <c r="AH3353" s="249"/>
      <c r="AI3353" s="330"/>
      <c r="AJ3353" s="343"/>
      <c r="AK3353" s="249"/>
      <c r="AL3353" s="330"/>
      <c r="AM3353" s="343"/>
      <c r="AN3353" s="249"/>
      <c r="AO3353" s="330"/>
      <c r="AP3353" s="343"/>
      <c r="AQ3353" s="249"/>
      <c r="AR3353" s="330"/>
      <c r="AS3353" s="343"/>
      <c r="AT3353" s="249"/>
      <c r="AU3353" s="330"/>
    </row>
    <row r="3354" spans="2:47">
      <c r="B3354" s="247">
        <f>'Table S2 Compound Identifiers'!C3356</f>
        <v>0</v>
      </c>
      <c r="C3354" s="247">
        <f>COUNTIF($D$6:D3354,"&lt;&gt;"&amp;"")</f>
        <v>3349</v>
      </c>
      <c r="D3354" s="247">
        <f>'Table S2 Compound Identifiers'!B3356</f>
        <v>0</v>
      </c>
      <c r="E3354" s="247"/>
      <c r="F3354" s="248"/>
      <c r="G3354" s="249"/>
      <c r="H3354" s="330"/>
      <c r="I3354" s="328"/>
      <c r="J3354" s="249"/>
      <c r="K3354" s="330"/>
      <c r="L3354" s="250"/>
      <c r="M3354" s="249"/>
      <c r="N3354" s="330"/>
      <c r="O3354" s="250"/>
      <c r="P3354" s="249"/>
      <c r="Q3354" s="330"/>
      <c r="R3354" s="250"/>
      <c r="S3354" s="249"/>
      <c r="T3354" s="330"/>
      <c r="U3354" s="250"/>
      <c r="V3354" s="249"/>
      <c r="W3354" s="330"/>
      <c r="X3354" s="343"/>
      <c r="Y3354" s="249"/>
      <c r="Z3354" s="330"/>
      <c r="AA3354" s="343"/>
      <c r="AB3354" s="249"/>
      <c r="AC3354" s="330"/>
      <c r="AD3354" s="343"/>
      <c r="AE3354" s="249"/>
      <c r="AF3354" s="330"/>
      <c r="AG3354" s="343"/>
      <c r="AH3354" s="249"/>
      <c r="AI3354" s="330"/>
      <c r="AJ3354" s="343"/>
      <c r="AK3354" s="249"/>
      <c r="AL3354" s="330"/>
      <c r="AM3354" s="343"/>
      <c r="AN3354" s="249"/>
      <c r="AO3354" s="330"/>
      <c r="AP3354" s="343"/>
      <c r="AQ3354" s="249"/>
      <c r="AR3354" s="330"/>
      <c r="AS3354" s="343"/>
      <c r="AT3354" s="249"/>
      <c r="AU3354" s="330"/>
    </row>
    <row r="3355" spans="2:47">
      <c r="B3355" s="247">
        <f>'Table S2 Compound Identifiers'!C3357</f>
        <v>0</v>
      </c>
      <c r="C3355" s="247">
        <f>COUNTIF($D$6:D3355,"&lt;&gt;"&amp;"")</f>
        <v>3350</v>
      </c>
      <c r="D3355" s="247">
        <f>'Table S2 Compound Identifiers'!B3357</f>
        <v>0</v>
      </c>
      <c r="E3355" s="247"/>
      <c r="F3355" s="248"/>
      <c r="G3355" s="249"/>
      <c r="H3355" s="330"/>
      <c r="I3355" s="328"/>
      <c r="J3355" s="249"/>
      <c r="K3355" s="330"/>
      <c r="L3355" s="250"/>
      <c r="M3355" s="249"/>
      <c r="N3355" s="330"/>
      <c r="O3355" s="250"/>
      <c r="P3355" s="249"/>
      <c r="Q3355" s="330"/>
      <c r="R3355" s="250"/>
      <c r="S3355" s="249"/>
      <c r="T3355" s="330"/>
      <c r="U3355" s="250"/>
      <c r="V3355" s="249"/>
      <c r="W3355" s="330"/>
      <c r="X3355" s="343"/>
      <c r="Y3355" s="249"/>
      <c r="Z3355" s="330"/>
      <c r="AA3355" s="343"/>
      <c r="AB3355" s="249"/>
      <c r="AC3355" s="330"/>
      <c r="AD3355" s="343"/>
      <c r="AE3355" s="249"/>
      <c r="AF3355" s="330"/>
      <c r="AG3355" s="343"/>
      <c r="AH3355" s="249"/>
      <c r="AI3355" s="330"/>
      <c r="AJ3355" s="343"/>
      <c r="AK3355" s="249"/>
      <c r="AL3355" s="330"/>
      <c r="AM3355" s="343"/>
      <c r="AN3355" s="249"/>
      <c r="AO3355" s="330"/>
      <c r="AP3355" s="343"/>
      <c r="AQ3355" s="249"/>
      <c r="AR3355" s="330"/>
      <c r="AS3355" s="343"/>
      <c r="AT3355" s="249"/>
      <c r="AU3355" s="330"/>
    </row>
    <row r="3356" spans="2:47">
      <c r="B3356" s="247">
        <f>'Table S2 Compound Identifiers'!C3358</f>
        <v>0</v>
      </c>
      <c r="C3356" s="247">
        <f>COUNTIF($D$6:D3356,"&lt;&gt;"&amp;"")</f>
        <v>3351</v>
      </c>
      <c r="D3356" s="247">
        <f>'Table S2 Compound Identifiers'!B3358</f>
        <v>0</v>
      </c>
      <c r="E3356" s="247"/>
      <c r="F3356" s="248"/>
      <c r="G3356" s="249"/>
      <c r="H3356" s="330"/>
      <c r="I3356" s="328"/>
      <c r="J3356" s="249"/>
      <c r="K3356" s="330"/>
      <c r="L3356" s="250"/>
      <c r="M3356" s="249"/>
      <c r="N3356" s="330"/>
      <c r="O3356" s="250"/>
      <c r="P3356" s="249"/>
      <c r="Q3356" s="330"/>
      <c r="R3356" s="250"/>
      <c r="S3356" s="249"/>
      <c r="T3356" s="330"/>
      <c r="U3356" s="250"/>
      <c r="V3356" s="249"/>
      <c r="W3356" s="330"/>
      <c r="X3356" s="343"/>
      <c r="Y3356" s="249"/>
      <c r="Z3356" s="330"/>
      <c r="AA3356" s="343"/>
      <c r="AB3356" s="249"/>
      <c r="AC3356" s="330"/>
      <c r="AD3356" s="343"/>
      <c r="AE3356" s="249"/>
      <c r="AF3356" s="330"/>
      <c r="AG3356" s="343"/>
      <c r="AH3356" s="249"/>
      <c r="AI3356" s="330"/>
      <c r="AJ3356" s="343"/>
      <c r="AK3356" s="249"/>
      <c r="AL3356" s="330"/>
      <c r="AM3356" s="343"/>
      <c r="AN3356" s="249"/>
      <c r="AO3356" s="330"/>
      <c r="AP3356" s="343"/>
      <c r="AQ3356" s="249"/>
      <c r="AR3356" s="330"/>
      <c r="AS3356" s="343"/>
      <c r="AT3356" s="249"/>
      <c r="AU3356" s="330"/>
    </row>
    <row r="3357" spans="2:47">
      <c r="B3357" s="247">
        <f>'Table S2 Compound Identifiers'!C3359</f>
        <v>0</v>
      </c>
      <c r="C3357" s="247">
        <f>COUNTIF($D$6:D3357,"&lt;&gt;"&amp;"")</f>
        <v>3352</v>
      </c>
      <c r="D3357" s="247">
        <f>'Table S2 Compound Identifiers'!B3359</f>
        <v>0</v>
      </c>
      <c r="E3357" s="247"/>
      <c r="F3357" s="248"/>
      <c r="G3357" s="249"/>
      <c r="H3357" s="330"/>
      <c r="I3357" s="328"/>
      <c r="J3357" s="249"/>
      <c r="K3357" s="330"/>
      <c r="L3357" s="250"/>
      <c r="M3357" s="249"/>
      <c r="N3357" s="330"/>
      <c r="O3357" s="250"/>
      <c r="P3357" s="249"/>
      <c r="Q3357" s="330"/>
      <c r="R3357" s="250"/>
      <c r="S3357" s="249"/>
      <c r="T3357" s="330"/>
      <c r="U3357" s="250"/>
      <c r="V3357" s="249"/>
      <c r="W3357" s="330"/>
      <c r="X3357" s="343"/>
      <c r="Y3357" s="249"/>
      <c r="Z3357" s="330"/>
      <c r="AA3357" s="343"/>
      <c r="AB3357" s="249"/>
      <c r="AC3357" s="330"/>
      <c r="AD3357" s="343"/>
      <c r="AE3357" s="249"/>
      <c r="AF3357" s="330"/>
      <c r="AG3357" s="343"/>
      <c r="AH3357" s="249"/>
      <c r="AI3357" s="330"/>
      <c r="AJ3357" s="343"/>
      <c r="AK3357" s="249"/>
      <c r="AL3357" s="330"/>
      <c r="AM3357" s="343"/>
      <c r="AN3357" s="249"/>
      <c r="AO3357" s="330"/>
      <c r="AP3357" s="343"/>
      <c r="AQ3357" s="249"/>
      <c r="AR3357" s="330"/>
      <c r="AS3357" s="343"/>
      <c r="AT3357" s="249"/>
      <c r="AU3357" s="330"/>
    </row>
    <row r="3358" spans="2:47">
      <c r="B3358" s="247">
        <f>'Table S2 Compound Identifiers'!C3360</f>
        <v>0</v>
      </c>
      <c r="C3358" s="247">
        <f>COUNTIF($D$6:D3358,"&lt;&gt;"&amp;"")</f>
        <v>3353</v>
      </c>
      <c r="D3358" s="247">
        <f>'Table S2 Compound Identifiers'!B3360</f>
        <v>0</v>
      </c>
      <c r="E3358" s="247"/>
      <c r="F3358" s="248"/>
      <c r="G3358" s="249"/>
      <c r="H3358" s="330"/>
      <c r="I3358" s="328"/>
      <c r="J3358" s="249"/>
      <c r="K3358" s="330"/>
      <c r="L3358" s="250"/>
      <c r="M3358" s="249"/>
      <c r="N3358" s="330"/>
      <c r="O3358" s="250"/>
      <c r="P3358" s="249"/>
      <c r="Q3358" s="330"/>
      <c r="R3358" s="250"/>
      <c r="S3358" s="249"/>
      <c r="T3358" s="330"/>
      <c r="U3358" s="250"/>
      <c r="V3358" s="249"/>
      <c r="W3358" s="330"/>
      <c r="X3358" s="343"/>
      <c r="Y3358" s="249"/>
      <c r="Z3358" s="330"/>
      <c r="AA3358" s="343"/>
      <c r="AB3358" s="249"/>
      <c r="AC3358" s="330"/>
      <c r="AD3358" s="343"/>
      <c r="AE3358" s="249"/>
      <c r="AF3358" s="330"/>
      <c r="AG3358" s="343"/>
      <c r="AH3358" s="249"/>
      <c r="AI3358" s="330"/>
      <c r="AJ3358" s="343"/>
      <c r="AK3358" s="249"/>
      <c r="AL3358" s="330"/>
      <c r="AM3358" s="343"/>
      <c r="AN3358" s="249"/>
      <c r="AO3358" s="330"/>
      <c r="AP3358" s="343"/>
      <c r="AQ3358" s="249"/>
      <c r="AR3358" s="330"/>
      <c r="AS3358" s="343"/>
      <c r="AT3358" s="249"/>
      <c r="AU3358" s="330"/>
    </row>
    <row r="3359" spans="2:47">
      <c r="B3359" s="247">
        <f>'Table S2 Compound Identifiers'!C3361</f>
        <v>0</v>
      </c>
      <c r="C3359" s="247">
        <f>COUNTIF($D$6:D3359,"&lt;&gt;"&amp;"")</f>
        <v>3354</v>
      </c>
      <c r="D3359" s="247">
        <f>'Table S2 Compound Identifiers'!B3361</f>
        <v>0</v>
      </c>
      <c r="E3359" s="247"/>
      <c r="F3359" s="248"/>
      <c r="G3359" s="249"/>
      <c r="H3359" s="330"/>
      <c r="I3359" s="328"/>
      <c r="J3359" s="249"/>
      <c r="K3359" s="330"/>
      <c r="L3359" s="250"/>
      <c r="M3359" s="249"/>
      <c r="N3359" s="330"/>
      <c r="O3359" s="250"/>
      <c r="P3359" s="249"/>
      <c r="Q3359" s="330"/>
      <c r="R3359" s="250"/>
      <c r="S3359" s="249"/>
      <c r="T3359" s="330"/>
      <c r="U3359" s="250"/>
      <c r="V3359" s="249"/>
      <c r="W3359" s="330"/>
      <c r="X3359" s="343"/>
      <c r="Y3359" s="249"/>
      <c r="Z3359" s="330"/>
      <c r="AA3359" s="343"/>
      <c r="AB3359" s="249"/>
      <c r="AC3359" s="330"/>
      <c r="AD3359" s="343"/>
      <c r="AE3359" s="249"/>
      <c r="AF3359" s="330"/>
      <c r="AG3359" s="343"/>
      <c r="AH3359" s="249"/>
      <c r="AI3359" s="330"/>
      <c r="AJ3359" s="343"/>
      <c r="AK3359" s="249"/>
      <c r="AL3359" s="330"/>
      <c r="AM3359" s="343"/>
      <c r="AN3359" s="249"/>
      <c r="AO3359" s="330"/>
      <c r="AP3359" s="343"/>
      <c r="AQ3359" s="249"/>
      <c r="AR3359" s="330"/>
      <c r="AS3359" s="343"/>
      <c r="AT3359" s="249"/>
      <c r="AU3359" s="330"/>
    </row>
    <row r="3360" spans="2:47">
      <c r="B3360" s="247">
        <f>'Table S2 Compound Identifiers'!C3362</f>
        <v>0</v>
      </c>
      <c r="C3360" s="247">
        <f>COUNTIF($D$6:D3360,"&lt;&gt;"&amp;"")</f>
        <v>3355</v>
      </c>
      <c r="D3360" s="247">
        <f>'Table S2 Compound Identifiers'!B3362</f>
        <v>0</v>
      </c>
      <c r="E3360" s="247"/>
      <c r="F3360" s="248"/>
      <c r="G3360" s="249"/>
      <c r="H3360" s="330"/>
      <c r="I3360" s="328"/>
      <c r="J3360" s="249"/>
      <c r="K3360" s="330"/>
      <c r="L3360" s="250"/>
      <c r="M3360" s="249"/>
      <c r="N3360" s="330"/>
      <c r="O3360" s="250"/>
      <c r="P3360" s="249"/>
      <c r="Q3360" s="330"/>
      <c r="R3360" s="250"/>
      <c r="S3360" s="249"/>
      <c r="T3360" s="330"/>
      <c r="U3360" s="250"/>
      <c r="V3360" s="249"/>
      <c r="W3360" s="330"/>
      <c r="X3360" s="343"/>
      <c r="Y3360" s="249"/>
      <c r="Z3360" s="330"/>
      <c r="AA3360" s="343"/>
      <c r="AB3360" s="249"/>
      <c r="AC3360" s="330"/>
      <c r="AD3360" s="343"/>
      <c r="AE3360" s="249"/>
      <c r="AF3360" s="330"/>
      <c r="AG3360" s="343"/>
      <c r="AH3360" s="249"/>
      <c r="AI3360" s="330"/>
      <c r="AJ3360" s="343"/>
      <c r="AK3360" s="249"/>
      <c r="AL3360" s="330"/>
      <c r="AM3360" s="343"/>
      <c r="AN3360" s="249"/>
      <c r="AO3360" s="330"/>
      <c r="AP3360" s="343"/>
      <c r="AQ3360" s="249"/>
      <c r="AR3360" s="330"/>
      <c r="AS3360" s="343"/>
      <c r="AT3360" s="249"/>
      <c r="AU3360" s="330"/>
    </row>
    <row r="3361" spans="2:47">
      <c r="B3361" s="247">
        <f>'Table S2 Compound Identifiers'!C3363</f>
        <v>0</v>
      </c>
      <c r="C3361" s="247">
        <f>COUNTIF($D$6:D3361,"&lt;&gt;"&amp;"")</f>
        <v>3356</v>
      </c>
      <c r="D3361" s="247">
        <f>'Table S2 Compound Identifiers'!B3363</f>
        <v>0</v>
      </c>
      <c r="E3361" s="247"/>
      <c r="F3361" s="248"/>
      <c r="G3361" s="249"/>
      <c r="H3361" s="330"/>
      <c r="I3361" s="328"/>
      <c r="J3361" s="249"/>
      <c r="K3361" s="330"/>
      <c r="L3361" s="250"/>
      <c r="M3361" s="249"/>
      <c r="N3361" s="330"/>
      <c r="O3361" s="250"/>
      <c r="P3361" s="249"/>
      <c r="Q3361" s="330"/>
      <c r="R3361" s="250"/>
      <c r="S3361" s="249"/>
      <c r="T3361" s="330"/>
      <c r="U3361" s="250"/>
      <c r="V3361" s="249"/>
      <c r="W3361" s="330"/>
      <c r="X3361" s="343"/>
      <c r="Y3361" s="249"/>
      <c r="Z3361" s="330"/>
      <c r="AA3361" s="343"/>
      <c r="AB3361" s="249"/>
      <c r="AC3361" s="330"/>
      <c r="AD3361" s="343"/>
      <c r="AE3361" s="249"/>
      <c r="AF3361" s="330"/>
      <c r="AG3361" s="343"/>
      <c r="AH3361" s="249"/>
      <c r="AI3361" s="330"/>
      <c r="AJ3361" s="343"/>
      <c r="AK3361" s="249"/>
      <c r="AL3361" s="330"/>
      <c r="AM3361" s="343"/>
      <c r="AN3361" s="249"/>
      <c r="AO3361" s="330"/>
      <c r="AP3361" s="343"/>
      <c r="AQ3361" s="249"/>
      <c r="AR3361" s="330"/>
      <c r="AS3361" s="343"/>
      <c r="AT3361" s="249"/>
      <c r="AU3361" s="330"/>
    </row>
    <row r="3362" spans="2:47">
      <c r="B3362" s="247">
        <f>'Table S2 Compound Identifiers'!C3364</f>
        <v>0</v>
      </c>
      <c r="C3362" s="247">
        <f>COUNTIF($D$6:D3362,"&lt;&gt;"&amp;"")</f>
        <v>3357</v>
      </c>
      <c r="D3362" s="247">
        <f>'Table S2 Compound Identifiers'!B3364</f>
        <v>0</v>
      </c>
      <c r="E3362" s="247"/>
      <c r="F3362" s="248"/>
      <c r="G3362" s="249"/>
      <c r="H3362" s="330"/>
      <c r="I3362" s="328"/>
      <c r="J3362" s="249"/>
      <c r="K3362" s="330"/>
      <c r="L3362" s="250"/>
      <c r="M3362" s="249"/>
      <c r="N3362" s="330"/>
      <c r="O3362" s="250"/>
      <c r="P3362" s="249"/>
      <c r="Q3362" s="330"/>
      <c r="R3362" s="250"/>
      <c r="S3362" s="249"/>
      <c r="T3362" s="330"/>
      <c r="U3362" s="250"/>
      <c r="V3362" s="249"/>
      <c r="W3362" s="330"/>
      <c r="X3362" s="343"/>
      <c r="Y3362" s="249"/>
      <c r="Z3362" s="330"/>
      <c r="AA3362" s="343"/>
      <c r="AB3362" s="249"/>
      <c r="AC3362" s="330"/>
      <c r="AD3362" s="343"/>
      <c r="AE3362" s="249"/>
      <c r="AF3362" s="330"/>
      <c r="AG3362" s="343"/>
      <c r="AH3362" s="249"/>
      <c r="AI3362" s="330"/>
      <c r="AJ3362" s="343"/>
      <c r="AK3362" s="249"/>
      <c r="AL3362" s="330"/>
      <c r="AM3362" s="343"/>
      <c r="AN3362" s="249"/>
      <c r="AO3362" s="330"/>
      <c r="AP3362" s="343"/>
      <c r="AQ3362" s="249"/>
      <c r="AR3362" s="330"/>
      <c r="AS3362" s="343"/>
      <c r="AT3362" s="249"/>
      <c r="AU3362" s="330"/>
    </row>
    <row r="3363" spans="2:47">
      <c r="B3363" s="247">
        <f>'Table S2 Compound Identifiers'!C3365</f>
        <v>0</v>
      </c>
      <c r="C3363" s="247">
        <f>COUNTIF($D$6:D3363,"&lt;&gt;"&amp;"")</f>
        <v>3358</v>
      </c>
      <c r="D3363" s="247">
        <f>'Table S2 Compound Identifiers'!B3365</f>
        <v>0</v>
      </c>
      <c r="E3363" s="247"/>
      <c r="F3363" s="248"/>
      <c r="G3363" s="249"/>
      <c r="H3363" s="330"/>
      <c r="I3363" s="328"/>
      <c r="J3363" s="249"/>
      <c r="K3363" s="330"/>
      <c r="L3363" s="250"/>
      <c r="M3363" s="249"/>
      <c r="N3363" s="330"/>
      <c r="O3363" s="250"/>
      <c r="P3363" s="249"/>
      <c r="Q3363" s="330"/>
      <c r="R3363" s="250"/>
      <c r="S3363" s="249"/>
      <c r="T3363" s="330"/>
      <c r="U3363" s="250"/>
      <c r="V3363" s="249"/>
      <c r="W3363" s="330"/>
      <c r="X3363" s="343"/>
      <c r="Y3363" s="249"/>
      <c r="Z3363" s="330"/>
      <c r="AA3363" s="343"/>
      <c r="AB3363" s="249"/>
      <c r="AC3363" s="330"/>
      <c r="AD3363" s="343"/>
      <c r="AE3363" s="249"/>
      <c r="AF3363" s="330"/>
      <c r="AG3363" s="343"/>
      <c r="AH3363" s="249"/>
      <c r="AI3363" s="330"/>
      <c r="AJ3363" s="343"/>
      <c r="AK3363" s="249"/>
      <c r="AL3363" s="330"/>
      <c r="AM3363" s="343"/>
      <c r="AN3363" s="249"/>
      <c r="AO3363" s="330"/>
      <c r="AP3363" s="343"/>
      <c r="AQ3363" s="249"/>
      <c r="AR3363" s="330"/>
      <c r="AS3363" s="343"/>
      <c r="AT3363" s="249"/>
      <c r="AU3363" s="330"/>
    </row>
    <row r="3364" spans="2:47">
      <c r="B3364" s="247">
        <f>'Table S2 Compound Identifiers'!C3366</f>
        <v>0</v>
      </c>
      <c r="C3364" s="247">
        <f>COUNTIF($D$6:D3364,"&lt;&gt;"&amp;"")</f>
        <v>3359</v>
      </c>
      <c r="D3364" s="247">
        <f>'Table S2 Compound Identifiers'!B3366</f>
        <v>0</v>
      </c>
      <c r="E3364" s="247"/>
      <c r="F3364" s="248"/>
      <c r="G3364" s="249"/>
      <c r="H3364" s="330"/>
      <c r="I3364" s="328"/>
      <c r="J3364" s="249"/>
      <c r="K3364" s="330"/>
      <c r="L3364" s="250"/>
      <c r="M3364" s="249"/>
      <c r="N3364" s="330"/>
      <c r="O3364" s="250"/>
      <c r="P3364" s="249"/>
      <c r="Q3364" s="330"/>
      <c r="R3364" s="250"/>
      <c r="S3364" s="249"/>
      <c r="T3364" s="330"/>
      <c r="U3364" s="250"/>
      <c r="V3364" s="249"/>
      <c r="W3364" s="330"/>
      <c r="X3364" s="343"/>
      <c r="Y3364" s="249"/>
      <c r="Z3364" s="330"/>
      <c r="AA3364" s="343"/>
      <c r="AB3364" s="249"/>
      <c r="AC3364" s="330"/>
      <c r="AD3364" s="343"/>
      <c r="AE3364" s="249"/>
      <c r="AF3364" s="330"/>
      <c r="AG3364" s="343"/>
      <c r="AH3364" s="249"/>
      <c r="AI3364" s="330"/>
      <c r="AJ3364" s="343"/>
      <c r="AK3364" s="249"/>
      <c r="AL3364" s="330"/>
      <c r="AM3364" s="343"/>
      <c r="AN3364" s="249"/>
      <c r="AO3364" s="330"/>
      <c r="AP3364" s="343"/>
      <c r="AQ3364" s="249"/>
      <c r="AR3364" s="330"/>
      <c r="AS3364" s="343"/>
      <c r="AT3364" s="249"/>
      <c r="AU3364" s="330"/>
    </row>
    <row r="3365" spans="2:47">
      <c r="B3365" s="247">
        <f>'Table S2 Compound Identifiers'!C3367</f>
        <v>0</v>
      </c>
      <c r="C3365" s="247">
        <f>COUNTIF($D$6:D3365,"&lt;&gt;"&amp;"")</f>
        <v>3360</v>
      </c>
      <c r="D3365" s="247">
        <f>'Table S2 Compound Identifiers'!B3367</f>
        <v>0</v>
      </c>
      <c r="E3365" s="247"/>
      <c r="F3365" s="248"/>
      <c r="G3365" s="249"/>
      <c r="H3365" s="330"/>
      <c r="I3365" s="328"/>
      <c r="J3365" s="249"/>
      <c r="K3365" s="330"/>
      <c r="L3365" s="250"/>
      <c r="M3365" s="249"/>
      <c r="N3365" s="330"/>
      <c r="O3365" s="250"/>
      <c r="P3365" s="249"/>
      <c r="Q3365" s="330"/>
      <c r="R3365" s="250"/>
      <c r="S3365" s="249"/>
      <c r="T3365" s="330"/>
      <c r="U3365" s="250"/>
      <c r="V3365" s="249"/>
      <c r="W3365" s="330"/>
      <c r="X3365" s="343"/>
      <c r="Y3365" s="249"/>
      <c r="Z3365" s="330"/>
      <c r="AA3365" s="343"/>
      <c r="AB3365" s="249"/>
      <c r="AC3365" s="330"/>
      <c r="AD3365" s="343"/>
      <c r="AE3365" s="249"/>
      <c r="AF3365" s="330"/>
      <c r="AG3365" s="343"/>
      <c r="AH3365" s="249"/>
      <c r="AI3365" s="330"/>
      <c r="AJ3365" s="343"/>
      <c r="AK3365" s="249"/>
      <c r="AL3365" s="330"/>
      <c r="AM3365" s="343"/>
      <c r="AN3365" s="249"/>
      <c r="AO3365" s="330"/>
      <c r="AP3365" s="343"/>
      <c r="AQ3365" s="249"/>
      <c r="AR3365" s="330"/>
      <c r="AS3365" s="343"/>
      <c r="AT3365" s="249"/>
      <c r="AU3365" s="330"/>
    </row>
    <row r="3366" spans="2:47">
      <c r="B3366" s="247">
        <f>'Table S2 Compound Identifiers'!C3368</f>
        <v>0</v>
      </c>
      <c r="C3366" s="247">
        <f>COUNTIF($D$6:D3366,"&lt;&gt;"&amp;"")</f>
        <v>3361</v>
      </c>
      <c r="D3366" s="247">
        <f>'Table S2 Compound Identifiers'!B3368</f>
        <v>0</v>
      </c>
      <c r="E3366" s="247"/>
      <c r="F3366" s="248"/>
      <c r="G3366" s="249"/>
      <c r="H3366" s="330"/>
      <c r="I3366" s="328"/>
      <c r="J3366" s="249"/>
      <c r="K3366" s="330"/>
      <c r="L3366" s="250"/>
      <c r="M3366" s="249"/>
      <c r="N3366" s="330"/>
      <c r="O3366" s="250"/>
      <c r="P3366" s="249"/>
      <c r="Q3366" s="330"/>
      <c r="R3366" s="250"/>
      <c r="S3366" s="249"/>
      <c r="T3366" s="330"/>
      <c r="U3366" s="250"/>
      <c r="V3366" s="249"/>
      <c r="W3366" s="330"/>
      <c r="X3366" s="343"/>
      <c r="Y3366" s="249"/>
      <c r="Z3366" s="330"/>
      <c r="AA3366" s="343"/>
      <c r="AB3366" s="249"/>
      <c r="AC3366" s="330"/>
      <c r="AD3366" s="343"/>
      <c r="AE3366" s="249"/>
      <c r="AF3366" s="330"/>
      <c r="AG3366" s="343"/>
      <c r="AH3366" s="249"/>
      <c r="AI3366" s="330"/>
      <c r="AJ3366" s="343"/>
      <c r="AK3366" s="249"/>
      <c r="AL3366" s="330"/>
      <c r="AM3366" s="343"/>
      <c r="AN3366" s="249"/>
      <c r="AO3366" s="330"/>
      <c r="AP3366" s="343"/>
      <c r="AQ3366" s="249"/>
      <c r="AR3366" s="330"/>
      <c r="AS3366" s="343"/>
      <c r="AT3366" s="249"/>
      <c r="AU3366" s="330"/>
    </row>
    <row r="3367" spans="2:47">
      <c r="B3367" s="247">
        <f>'Table S2 Compound Identifiers'!C3369</f>
        <v>0</v>
      </c>
      <c r="C3367" s="247">
        <f>COUNTIF($D$6:D3367,"&lt;&gt;"&amp;"")</f>
        <v>3362</v>
      </c>
      <c r="D3367" s="247">
        <f>'Table S2 Compound Identifiers'!B3369</f>
        <v>0</v>
      </c>
      <c r="E3367" s="247"/>
      <c r="F3367" s="248"/>
      <c r="G3367" s="249"/>
      <c r="H3367" s="330"/>
      <c r="I3367" s="328"/>
      <c r="J3367" s="249"/>
      <c r="K3367" s="330"/>
      <c r="L3367" s="250"/>
      <c r="M3367" s="249"/>
      <c r="N3367" s="330"/>
      <c r="O3367" s="250"/>
      <c r="P3367" s="249"/>
      <c r="Q3367" s="330"/>
      <c r="R3367" s="250"/>
      <c r="S3367" s="249"/>
      <c r="T3367" s="330"/>
      <c r="U3367" s="250"/>
      <c r="V3367" s="249"/>
      <c r="W3367" s="330"/>
      <c r="X3367" s="343"/>
      <c r="Y3367" s="249"/>
      <c r="Z3367" s="330"/>
      <c r="AA3367" s="343"/>
      <c r="AB3367" s="249"/>
      <c r="AC3367" s="330"/>
      <c r="AD3367" s="343"/>
      <c r="AE3367" s="249"/>
      <c r="AF3367" s="330"/>
      <c r="AG3367" s="343"/>
      <c r="AH3367" s="249"/>
      <c r="AI3367" s="330"/>
      <c r="AJ3367" s="343"/>
      <c r="AK3367" s="249"/>
      <c r="AL3367" s="330"/>
      <c r="AM3367" s="343"/>
      <c r="AN3367" s="249"/>
      <c r="AO3367" s="330"/>
      <c r="AP3367" s="343"/>
      <c r="AQ3367" s="249"/>
      <c r="AR3367" s="330"/>
      <c r="AS3367" s="343"/>
      <c r="AT3367" s="249"/>
      <c r="AU3367" s="330"/>
    </row>
    <row r="3368" spans="2:47">
      <c r="B3368" s="247">
        <f>'Table S2 Compound Identifiers'!C3370</f>
        <v>0</v>
      </c>
      <c r="C3368" s="247">
        <f>COUNTIF($D$6:D3368,"&lt;&gt;"&amp;"")</f>
        <v>3363</v>
      </c>
      <c r="D3368" s="247">
        <f>'Table S2 Compound Identifiers'!B3370</f>
        <v>0</v>
      </c>
      <c r="E3368" s="247"/>
      <c r="F3368" s="248"/>
      <c r="G3368" s="249"/>
      <c r="H3368" s="330"/>
      <c r="I3368" s="328"/>
      <c r="J3368" s="249"/>
      <c r="K3368" s="330"/>
      <c r="L3368" s="250"/>
      <c r="M3368" s="249"/>
      <c r="N3368" s="330"/>
      <c r="O3368" s="250"/>
      <c r="P3368" s="249"/>
      <c r="Q3368" s="330"/>
      <c r="R3368" s="250"/>
      <c r="S3368" s="249"/>
      <c r="T3368" s="330"/>
      <c r="U3368" s="250"/>
      <c r="V3368" s="249"/>
      <c r="W3368" s="330"/>
      <c r="X3368" s="343"/>
      <c r="Y3368" s="249"/>
      <c r="Z3368" s="330"/>
      <c r="AA3368" s="343"/>
      <c r="AB3368" s="249"/>
      <c r="AC3368" s="330"/>
      <c r="AD3368" s="343"/>
      <c r="AE3368" s="249"/>
      <c r="AF3368" s="330"/>
      <c r="AG3368" s="343"/>
      <c r="AH3368" s="249"/>
      <c r="AI3368" s="330"/>
      <c r="AJ3368" s="343"/>
      <c r="AK3368" s="249"/>
      <c r="AL3368" s="330"/>
      <c r="AM3368" s="343"/>
      <c r="AN3368" s="249"/>
      <c r="AO3368" s="330"/>
      <c r="AP3368" s="343"/>
      <c r="AQ3368" s="249"/>
      <c r="AR3368" s="330"/>
      <c r="AS3368" s="343"/>
      <c r="AT3368" s="249"/>
      <c r="AU3368" s="330"/>
    </row>
    <row r="3369" spans="2:47">
      <c r="B3369" s="247">
        <f>'Table S2 Compound Identifiers'!C3371</f>
        <v>0</v>
      </c>
      <c r="C3369" s="247">
        <f>COUNTIF($D$6:D3369,"&lt;&gt;"&amp;"")</f>
        <v>3364</v>
      </c>
      <c r="D3369" s="247">
        <f>'Table S2 Compound Identifiers'!B3371</f>
        <v>0</v>
      </c>
      <c r="E3369" s="247"/>
      <c r="F3369" s="248"/>
      <c r="G3369" s="249"/>
      <c r="H3369" s="330"/>
      <c r="I3369" s="328"/>
      <c r="J3369" s="249"/>
      <c r="K3369" s="330"/>
      <c r="L3369" s="250"/>
      <c r="M3369" s="249"/>
      <c r="N3369" s="330"/>
      <c r="O3369" s="250"/>
      <c r="P3369" s="249"/>
      <c r="Q3369" s="330"/>
      <c r="R3369" s="250"/>
      <c r="S3369" s="249"/>
      <c r="T3369" s="330"/>
      <c r="U3369" s="250"/>
      <c r="V3369" s="249"/>
      <c r="W3369" s="330"/>
      <c r="X3369" s="343"/>
      <c r="Y3369" s="249"/>
      <c r="Z3369" s="330"/>
      <c r="AA3369" s="343"/>
      <c r="AB3369" s="249"/>
      <c r="AC3369" s="330"/>
      <c r="AD3369" s="343"/>
      <c r="AE3369" s="249"/>
      <c r="AF3369" s="330"/>
      <c r="AG3369" s="343"/>
      <c r="AH3369" s="249"/>
      <c r="AI3369" s="330"/>
      <c r="AJ3369" s="343"/>
      <c r="AK3369" s="249"/>
      <c r="AL3369" s="330"/>
      <c r="AM3369" s="343"/>
      <c r="AN3369" s="249"/>
      <c r="AO3369" s="330"/>
      <c r="AP3369" s="343"/>
      <c r="AQ3369" s="249"/>
      <c r="AR3369" s="330"/>
      <c r="AS3369" s="343"/>
      <c r="AT3369" s="249"/>
      <c r="AU3369" s="330"/>
    </row>
    <row r="3370" spans="2:47">
      <c r="B3370" s="247">
        <f>'Table S2 Compound Identifiers'!C3372</f>
        <v>0</v>
      </c>
      <c r="C3370" s="247">
        <f>COUNTIF($D$6:D3370,"&lt;&gt;"&amp;"")</f>
        <v>3365</v>
      </c>
      <c r="D3370" s="247">
        <f>'Table S2 Compound Identifiers'!B3372</f>
        <v>0</v>
      </c>
      <c r="E3370" s="247"/>
      <c r="F3370" s="248"/>
      <c r="G3370" s="249"/>
      <c r="H3370" s="330"/>
      <c r="I3370" s="328"/>
      <c r="J3370" s="249"/>
      <c r="K3370" s="330"/>
      <c r="L3370" s="250"/>
      <c r="M3370" s="249"/>
      <c r="N3370" s="330"/>
      <c r="O3370" s="250"/>
      <c r="P3370" s="249"/>
      <c r="Q3370" s="330"/>
      <c r="R3370" s="250"/>
      <c r="S3370" s="249"/>
      <c r="T3370" s="330"/>
      <c r="U3370" s="250"/>
      <c r="V3370" s="249"/>
      <c r="W3370" s="330"/>
      <c r="X3370" s="343"/>
      <c r="Y3370" s="249"/>
      <c r="Z3370" s="330"/>
      <c r="AA3370" s="343"/>
      <c r="AB3370" s="249"/>
      <c r="AC3370" s="330"/>
      <c r="AD3370" s="343"/>
      <c r="AE3370" s="249"/>
      <c r="AF3370" s="330"/>
      <c r="AG3370" s="343"/>
      <c r="AH3370" s="249"/>
      <c r="AI3370" s="330"/>
      <c r="AJ3370" s="343"/>
      <c r="AK3370" s="249"/>
      <c r="AL3370" s="330"/>
      <c r="AM3370" s="343"/>
      <c r="AN3370" s="249"/>
      <c r="AO3370" s="330"/>
      <c r="AP3370" s="343"/>
      <c r="AQ3370" s="249"/>
      <c r="AR3370" s="330"/>
      <c r="AS3370" s="343"/>
      <c r="AT3370" s="249"/>
      <c r="AU3370" s="330"/>
    </row>
    <row r="3371" spans="2:47">
      <c r="B3371" s="247">
        <f>'Table S2 Compound Identifiers'!C3373</f>
        <v>0</v>
      </c>
      <c r="C3371" s="247">
        <f>COUNTIF($D$6:D3371,"&lt;&gt;"&amp;"")</f>
        <v>3366</v>
      </c>
      <c r="D3371" s="247">
        <f>'Table S2 Compound Identifiers'!B3373</f>
        <v>0</v>
      </c>
      <c r="E3371" s="247"/>
      <c r="F3371" s="248"/>
      <c r="G3371" s="249"/>
      <c r="H3371" s="330"/>
      <c r="I3371" s="328"/>
      <c r="J3371" s="249"/>
      <c r="K3371" s="330"/>
      <c r="L3371" s="250"/>
      <c r="M3371" s="249"/>
      <c r="N3371" s="330"/>
      <c r="O3371" s="250"/>
      <c r="P3371" s="249"/>
      <c r="Q3371" s="330"/>
      <c r="R3371" s="250"/>
      <c r="S3371" s="249"/>
      <c r="T3371" s="330"/>
      <c r="U3371" s="250"/>
      <c r="V3371" s="249"/>
      <c r="W3371" s="330"/>
      <c r="X3371" s="343"/>
      <c r="Y3371" s="249"/>
      <c r="Z3371" s="330"/>
      <c r="AA3371" s="343"/>
      <c r="AB3371" s="249"/>
      <c r="AC3371" s="330"/>
      <c r="AD3371" s="343"/>
      <c r="AE3371" s="249"/>
      <c r="AF3371" s="330"/>
      <c r="AG3371" s="343"/>
      <c r="AH3371" s="249"/>
      <c r="AI3371" s="330"/>
      <c r="AJ3371" s="343"/>
      <c r="AK3371" s="249"/>
      <c r="AL3371" s="330"/>
      <c r="AM3371" s="343"/>
      <c r="AN3371" s="249"/>
      <c r="AO3371" s="330"/>
      <c r="AP3371" s="343"/>
      <c r="AQ3371" s="249"/>
      <c r="AR3371" s="330"/>
      <c r="AS3371" s="343"/>
      <c r="AT3371" s="249"/>
      <c r="AU3371" s="330"/>
    </row>
    <row r="3372" spans="2:47">
      <c r="B3372" s="247">
        <f>'Table S2 Compound Identifiers'!C3374</f>
        <v>0</v>
      </c>
      <c r="C3372" s="247">
        <f>COUNTIF($D$6:D3372,"&lt;&gt;"&amp;"")</f>
        <v>3367</v>
      </c>
      <c r="D3372" s="247">
        <f>'Table S2 Compound Identifiers'!B3374</f>
        <v>0</v>
      </c>
      <c r="E3372" s="247"/>
      <c r="F3372" s="248"/>
      <c r="G3372" s="249"/>
      <c r="H3372" s="330"/>
      <c r="I3372" s="328"/>
      <c r="J3372" s="249"/>
      <c r="K3372" s="330"/>
      <c r="L3372" s="250"/>
      <c r="M3372" s="249"/>
      <c r="N3372" s="330"/>
      <c r="O3372" s="250"/>
      <c r="P3372" s="249"/>
      <c r="Q3372" s="330"/>
      <c r="R3372" s="250"/>
      <c r="S3372" s="249"/>
      <c r="T3372" s="330"/>
      <c r="U3372" s="250"/>
      <c r="V3372" s="249"/>
      <c r="W3372" s="330"/>
      <c r="X3372" s="343"/>
      <c r="Y3372" s="249"/>
      <c r="Z3372" s="330"/>
      <c r="AA3372" s="343"/>
      <c r="AB3372" s="249"/>
      <c r="AC3372" s="330"/>
      <c r="AD3372" s="343"/>
      <c r="AE3372" s="249"/>
      <c r="AF3372" s="330"/>
      <c r="AG3372" s="343"/>
      <c r="AH3372" s="249"/>
      <c r="AI3372" s="330"/>
      <c r="AJ3372" s="343"/>
      <c r="AK3372" s="249"/>
      <c r="AL3372" s="330"/>
      <c r="AM3372" s="343"/>
      <c r="AN3372" s="249"/>
      <c r="AO3372" s="330"/>
      <c r="AP3372" s="343"/>
      <c r="AQ3372" s="249"/>
      <c r="AR3372" s="330"/>
      <c r="AS3372" s="343"/>
      <c r="AT3372" s="249"/>
      <c r="AU3372" s="330"/>
    </row>
    <row r="3373" spans="2:47">
      <c r="B3373" s="247">
        <f>'Table S2 Compound Identifiers'!C3375</f>
        <v>0</v>
      </c>
      <c r="C3373" s="247">
        <f>COUNTIF($D$6:D3373,"&lt;&gt;"&amp;"")</f>
        <v>3368</v>
      </c>
      <c r="D3373" s="247">
        <f>'Table S2 Compound Identifiers'!B3375</f>
        <v>0</v>
      </c>
      <c r="E3373" s="247"/>
      <c r="F3373" s="248"/>
      <c r="G3373" s="249"/>
      <c r="H3373" s="330"/>
      <c r="I3373" s="328"/>
      <c r="J3373" s="249"/>
      <c r="K3373" s="330"/>
      <c r="L3373" s="250"/>
      <c r="M3373" s="249"/>
      <c r="N3373" s="330"/>
      <c r="O3373" s="250"/>
      <c r="P3373" s="249"/>
      <c r="Q3373" s="330"/>
      <c r="R3373" s="250"/>
      <c r="S3373" s="249"/>
      <c r="T3373" s="330"/>
      <c r="U3373" s="250"/>
      <c r="V3373" s="249"/>
      <c r="W3373" s="330"/>
      <c r="X3373" s="343"/>
      <c r="Y3373" s="249"/>
      <c r="Z3373" s="330"/>
      <c r="AA3373" s="343"/>
      <c r="AB3373" s="249"/>
      <c r="AC3373" s="330"/>
      <c r="AD3373" s="343"/>
      <c r="AE3373" s="249"/>
      <c r="AF3373" s="330"/>
      <c r="AG3373" s="343"/>
      <c r="AH3373" s="249"/>
      <c r="AI3373" s="330"/>
      <c r="AJ3373" s="343"/>
      <c r="AK3373" s="249"/>
      <c r="AL3373" s="330"/>
      <c r="AM3373" s="343"/>
      <c r="AN3373" s="249"/>
      <c r="AO3373" s="330"/>
      <c r="AP3373" s="343"/>
      <c r="AQ3373" s="249"/>
      <c r="AR3373" s="330"/>
      <c r="AS3373" s="343"/>
      <c r="AT3373" s="249"/>
      <c r="AU3373" s="330"/>
    </row>
    <row r="3374" spans="2:47">
      <c r="B3374" s="247">
        <f>'Table S2 Compound Identifiers'!C3376</f>
        <v>0</v>
      </c>
      <c r="C3374" s="247">
        <f>COUNTIF($D$6:D3374,"&lt;&gt;"&amp;"")</f>
        <v>3369</v>
      </c>
      <c r="D3374" s="247">
        <f>'Table S2 Compound Identifiers'!B3376</f>
        <v>0</v>
      </c>
      <c r="E3374" s="247"/>
      <c r="F3374" s="248"/>
      <c r="G3374" s="249"/>
      <c r="H3374" s="330"/>
      <c r="I3374" s="328"/>
      <c r="J3374" s="249"/>
      <c r="K3374" s="330"/>
      <c r="L3374" s="250"/>
      <c r="M3374" s="249"/>
      <c r="N3374" s="330"/>
      <c r="O3374" s="250"/>
      <c r="P3374" s="249"/>
      <c r="Q3374" s="330"/>
      <c r="R3374" s="250"/>
      <c r="S3374" s="249"/>
      <c r="T3374" s="330"/>
      <c r="U3374" s="250"/>
      <c r="V3374" s="249"/>
      <c r="W3374" s="330"/>
      <c r="X3374" s="343"/>
      <c r="Y3374" s="249"/>
      <c r="Z3374" s="330"/>
      <c r="AA3374" s="343"/>
      <c r="AB3374" s="249"/>
      <c r="AC3374" s="330"/>
      <c r="AD3374" s="343"/>
      <c r="AE3374" s="249"/>
      <c r="AF3374" s="330"/>
      <c r="AG3374" s="343"/>
      <c r="AH3374" s="249"/>
      <c r="AI3374" s="330"/>
      <c r="AJ3374" s="343"/>
      <c r="AK3374" s="249"/>
      <c r="AL3374" s="330"/>
      <c r="AM3374" s="343"/>
      <c r="AN3374" s="249"/>
      <c r="AO3374" s="330"/>
      <c r="AP3374" s="343"/>
      <c r="AQ3374" s="249"/>
      <c r="AR3374" s="330"/>
      <c r="AS3374" s="343"/>
      <c r="AT3374" s="249"/>
      <c r="AU3374" s="330"/>
    </row>
    <row r="3375" spans="2:47">
      <c r="B3375" s="247">
        <f>'Table S2 Compound Identifiers'!C3377</f>
        <v>0</v>
      </c>
      <c r="C3375" s="247">
        <f>COUNTIF($D$6:D3375,"&lt;&gt;"&amp;"")</f>
        <v>3370</v>
      </c>
      <c r="D3375" s="247">
        <f>'Table S2 Compound Identifiers'!B3377</f>
        <v>0</v>
      </c>
      <c r="E3375" s="247"/>
      <c r="F3375" s="248"/>
      <c r="G3375" s="249"/>
      <c r="H3375" s="330"/>
      <c r="I3375" s="328"/>
      <c r="J3375" s="249"/>
      <c r="K3375" s="330"/>
      <c r="L3375" s="250"/>
      <c r="M3375" s="249"/>
      <c r="N3375" s="330"/>
      <c r="O3375" s="250"/>
      <c r="P3375" s="249"/>
      <c r="Q3375" s="330"/>
      <c r="R3375" s="250"/>
      <c r="S3375" s="249"/>
      <c r="T3375" s="330"/>
      <c r="U3375" s="250"/>
      <c r="V3375" s="249"/>
      <c r="W3375" s="330"/>
      <c r="X3375" s="343"/>
      <c r="Y3375" s="249"/>
      <c r="Z3375" s="330"/>
      <c r="AA3375" s="343"/>
      <c r="AB3375" s="249"/>
      <c r="AC3375" s="330"/>
      <c r="AD3375" s="343"/>
      <c r="AE3375" s="249"/>
      <c r="AF3375" s="330"/>
      <c r="AG3375" s="343"/>
      <c r="AH3375" s="249"/>
      <c r="AI3375" s="330"/>
      <c r="AJ3375" s="343"/>
      <c r="AK3375" s="249"/>
      <c r="AL3375" s="330"/>
      <c r="AM3375" s="343"/>
      <c r="AN3375" s="249"/>
      <c r="AO3375" s="330"/>
      <c r="AP3375" s="343"/>
      <c r="AQ3375" s="249"/>
      <c r="AR3375" s="330"/>
      <c r="AS3375" s="343"/>
      <c r="AT3375" s="249"/>
      <c r="AU3375" s="330"/>
    </row>
    <row r="3376" spans="2:47">
      <c r="B3376" s="247">
        <f>'Table S2 Compound Identifiers'!C3378</f>
        <v>0</v>
      </c>
      <c r="C3376" s="247">
        <f>COUNTIF($D$6:D3376,"&lt;&gt;"&amp;"")</f>
        <v>3371</v>
      </c>
      <c r="D3376" s="247">
        <f>'Table S2 Compound Identifiers'!B3378</f>
        <v>0</v>
      </c>
      <c r="E3376" s="247"/>
      <c r="F3376" s="248"/>
      <c r="G3376" s="249"/>
      <c r="H3376" s="330"/>
      <c r="I3376" s="328"/>
      <c r="J3376" s="249"/>
      <c r="K3376" s="330"/>
      <c r="L3376" s="250"/>
      <c r="M3376" s="249"/>
      <c r="N3376" s="330"/>
      <c r="O3376" s="250"/>
      <c r="P3376" s="249"/>
      <c r="Q3376" s="330"/>
      <c r="R3376" s="250"/>
      <c r="S3376" s="249"/>
      <c r="T3376" s="330"/>
      <c r="U3376" s="250"/>
      <c r="V3376" s="249"/>
      <c r="W3376" s="330"/>
      <c r="X3376" s="343"/>
      <c r="Y3376" s="249"/>
      <c r="Z3376" s="330"/>
      <c r="AA3376" s="343"/>
      <c r="AB3376" s="249"/>
      <c r="AC3376" s="330"/>
      <c r="AD3376" s="343"/>
      <c r="AE3376" s="249"/>
      <c r="AF3376" s="330"/>
      <c r="AG3376" s="343"/>
      <c r="AH3376" s="249"/>
      <c r="AI3376" s="330"/>
      <c r="AJ3376" s="343"/>
      <c r="AK3376" s="249"/>
      <c r="AL3376" s="330"/>
      <c r="AM3376" s="343"/>
      <c r="AN3376" s="249"/>
      <c r="AO3376" s="330"/>
      <c r="AP3376" s="343"/>
      <c r="AQ3376" s="249"/>
      <c r="AR3376" s="330"/>
      <c r="AS3376" s="343"/>
      <c r="AT3376" s="249"/>
      <c r="AU3376" s="330"/>
    </row>
    <row r="3377" spans="2:47">
      <c r="B3377" s="247">
        <f>'Table S2 Compound Identifiers'!C3379</f>
        <v>0</v>
      </c>
      <c r="C3377" s="247">
        <f>COUNTIF($D$6:D3377,"&lt;&gt;"&amp;"")</f>
        <v>3372</v>
      </c>
      <c r="D3377" s="247">
        <f>'Table S2 Compound Identifiers'!B3379</f>
        <v>0</v>
      </c>
      <c r="E3377" s="247"/>
      <c r="F3377" s="248"/>
      <c r="G3377" s="249"/>
      <c r="H3377" s="330"/>
      <c r="I3377" s="328"/>
      <c r="J3377" s="249"/>
      <c r="K3377" s="330"/>
      <c r="L3377" s="250"/>
      <c r="M3377" s="249"/>
      <c r="N3377" s="330"/>
      <c r="O3377" s="250"/>
      <c r="P3377" s="249"/>
      <c r="Q3377" s="330"/>
      <c r="R3377" s="250"/>
      <c r="S3377" s="249"/>
      <c r="T3377" s="330"/>
      <c r="U3377" s="250"/>
      <c r="V3377" s="249"/>
      <c r="W3377" s="330"/>
      <c r="X3377" s="343"/>
      <c r="Y3377" s="249"/>
      <c r="Z3377" s="330"/>
      <c r="AA3377" s="343"/>
      <c r="AB3377" s="249"/>
      <c r="AC3377" s="330"/>
      <c r="AD3377" s="343"/>
      <c r="AE3377" s="249"/>
      <c r="AF3377" s="330"/>
      <c r="AG3377" s="343"/>
      <c r="AH3377" s="249"/>
      <c r="AI3377" s="330"/>
      <c r="AJ3377" s="343"/>
      <c r="AK3377" s="249"/>
      <c r="AL3377" s="330"/>
      <c r="AM3377" s="343"/>
      <c r="AN3377" s="249"/>
      <c r="AO3377" s="330"/>
      <c r="AP3377" s="343"/>
      <c r="AQ3377" s="249"/>
      <c r="AR3377" s="330"/>
      <c r="AS3377" s="343"/>
      <c r="AT3377" s="249"/>
      <c r="AU3377" s="330"/>
    </row>
    <row r="3378" spans="2:47">
      <c r="B3378" s="247">
        <f>'Table S2 Compound Identifiers'!C3380</f>
        <v>0</v>
      </c>
      <c r="C3378" s="247">
        <f>COUNTIF($D$6:D3378,"&lt;&gt;"&amp;"")</f>
        <v>3373</v>
      </c>
      <c r="D3378" s="247">
        <f>'Table S2 Compound Identifiers'!B3380</f>
        <v>0</v>
      </c>
      <c r="E3378" s="247"/>
      <c r="F3378" s="248"/>
      <c r="G3378" s="249"/>
      <c r="H3378" s="330"/>
      <c r="I3378" s="328"/>
      <c r="J3378" s="249"/>
      <c r="K3378" s="330"/>
      <c r="L3378" s="250"/>
      <c r="M3378" s="249"/>
      <c r="N3378" s="330"/>
      <c r="O3378" s="250"/>
      <c r="P3378" s="249"/>
      <c r="Q3378" s="330"/>
      <c r="R3378" s="250"/>
      <c r="S3378" s="249"/>
      <c r="T3378" s="330"/>
      <c r="U3378" s="250"/>
      <c r="V3378" s="249"/>
      <c r="W3378" s="330"/>
      <c r="X3378" s="343"/>
      <c r="Y3378" s="249"/>
      <c r="Z3378" s="330"/>
      <c r="AA3378" s="343"/>
      <c r="AB3378" s="249"/>
      <c r="AC3378" s="330"/>
      <c r="AD3378" s="343"/>
      <c r="AE3378" s="249"/>
      <c r="AF3378" s="330"/>
      <c r="AG3378" s="343"/>
      <c r="AH3378" s="249"/>
      <c r="AI3378" s="330"/>
      <c r="AJ3378" s="343"/>
      <c r="AK3378" s="249"/>
      <c r="AL3378" s="330"/>
      <c r="AM3378" s="343"/>
      <c r="AN3378" s="249"/>
      <c r="AO3378" s="330"/>
      <c r="AP3378" s="343"/>
      <c r="AQ3378" s="249"/>
      <c r="AR3378" s="330"/>
      <c r="AS3378" s="343"/>
      <c r="AT3378" s="249"/>
      <c r="AU3378" s="330"/>
    </row>
    <row r="3379" spans="2:47">
      <c r="B3379" s="247">
        <f>'Table S2 Compound Identifiers'!C3381</f>
        <v>0</v>
      </c>
      <c r="C3379" s="247">
        <f>COUNTIF($D$6:D3379,"&lt;&gt;"&amp;"")</f>
        <v>3374</v>
      </c>
      <c r="D3379" s="247">
        <f>'Table S2 Compound Identifiers'!B3381</f>
        <v>0</v>
      </c>
      <c r="E3379" s="247"/>
      <c r="F3379" s="248"/>
      <c r="G3379" s="249"/>
      <c r="H3379" s="330"/>
      <c r="I3379" s="328"/>
      <c r="J3379" s="249"/>
      <c r="K3379" s="330"/>
      <c r="L3379" s="250"/>
      <c r="M3379" s="249"/>
      <c r="N3379" s="330"/>
      <c r="O3379" s="250"/>
      <c r="P3379" s="249"/>
      <c r="Q3379" s="330"/>
      <c r="R3379" s="250"/>
      <c r="S3379" s="249"/>
      <c r="T3379" s="330"/>
      <c r="U3379" s="250"/>
      <c r="V3379" s="249"/>
      <c r="W3379" s="330"/>
      <c r="X3379" s="343"/>
      <c r="Y3379" s="249"/>
      <c r="Z3379" s="330"/>
      <c r="AA3379" s="343"/>
      <c r="AB3379" s="249"/>
      <c r="AC3379" s="330"/>
      <c r="AD3379" s="343"/>
      <c r="AE3379" s="249"/>
      <c r="AF3379" s="330"/>
      <c r="AG3379" s="343"/>
      <c r="AH3379" s="249"/>
      <c r="AI3379" s="330"/>
      <c r="AJ3379" s="343"/>
      <c r="AK3379" s="249"/>
      <c r="AL3379" s="330"/>
      <c r="AM3379" s="343"/>
      <c r="AN3379" s="249"/>
      <c r="AO3379" s="330"/>
      <c r="AP3379" s="343"/>
      <c r="AQ3379" s="249"/>
      <c r="AR3379" s="330"/>
      <c r="AS3379" s="343"/>
      <c r="AT3379" s="249"/>
      <c r="AU3379" s="330"/>
    </row>
    <row r="3380" spans="2:47">
      <c r="B3380" s="247">
        <f>'Table S2 Compound Identifiers'!C3382</f>
        <v>0</v>
      </c>
      <c r="C3380" s="247">
        <f>COUNTIF($D$6:D3380,"&lt;&gt;"&amp;"")</f>
        <v>3375</v>
      </c>
      <c r="D3380" s="247">
        <f>'Table S2 Compound Identifiers'!B3382</f>
        <v>0</v>
      </c>
      <c r="E3380" s="247"/>
      <c r="F3380" s="248"/>
      <c r="G3380" s="249"/>
      <c r="H3380" s="330"/>
      <c r="I3380" s="328"/>
      <c r="J3380" s="249"/>
      <c r="K3380" s="330"/>
      <c r="L3380" s="250"/>
      <c r="M3380" s="249"/>
      <c r="N3380" s="330"/>
      <c r="O3380" s="250"/>
      <c r="P3380" s="249"/>
      <c r="Q3380" s="330"/>
      <c r="R3380" s="250"/>
      <c r="S3380" s="249"/>
      <c r="T3380" s="330"/>
      <c r="U3380" s="250"/>
      <c r="V3380" s="249"/>
      <c r="W3380" s="330"/>
      <c r="X3380" s="343"/>
      <c r="Y3380" s="249"/>
      <c r="Z3380" s="330"/>
      <c r="AA3380" s="343"/>
      <c r="AB3380" s="249"/>
      <c r="AC3380" s="330"/>
      <c r="AD3380" s="343"/>
      <c r="AE3380" s="249"/>
      <c r="AF3380" s="330"/>
      <c r="AG3380" s="343"/>
      <c r="AH3380" s="249"/>
      <c r="AI3380" s="330"/>
      <c r="AJ3380" s="343"/>
      <c r="AK3380" s="249"/>
      <c r="AL3380" s="330"/>
      <c r="AM3380" s="343"/>
      <c r="AN3380" s="249"/>
      <c r="AO3380" s="330"/>
      <c r="AP3380" s="343"/>
      <c r="AQ3380" s="249"/>
      <c r="AR3380" s="330"/>
      <c r="AS3380" s="343"/>
      <c r="AT3380" s="249"/>
      <c r="AU3380" s="330"/>
    </row>
    <row r="3381" spans="2:47">
      <c r="B3381" s="247">
        <f>'Table S2 Compound Identifiers'!C3383</f>
        <v>0</v>
      </c>
      <c r="C3381" s="247">
        <f>COUNTIF($D$6:D3381,"&lt;&gt;"&amp;"")</f>
        <v>3376</v>
      </c>
      <c r="D3381" s="247">
        <f>'Table S2 Compound Identifiers'!B3383</f>
        <v>0</v>
      </c>
      <c r="E3381" s="247"/>
      <c r="F3381" s="248"/>
      <c r="G3381" s="249"/>
      <c r="H3381" s="330"/>
      <c r="I3381" s="328"/>
      <c r="J3381" s="249"/>
      <c r="K3381" s="330"/>
      <c r="L3381" s="250"/>
      <c r="M3381" s="249"/>
      <c r="N3381" s="330"/>
      <c r="O3381" s="250"/>
      <c r="P3381" s="249"/>
      <c r="Q3381" s="330"/>
      <c r="R3381" s="250"/>
      <c r="S3381" s="249"/>
      <c r="T3381" s="330"/>
      <c r="U3381" s="250"/>
      <c r="V3381" s="249"/>
      <c r="W3381" s="330"/>
      <c r="X3381" s="343"/>
      <c r="Y3381" s="249"/>
      <c r="Z3381" s="330"/>
      <c r="AA3381" s="343"/>
      <c r="AB3381" s="249"/>
      <c r="AC3381" s="330"/>
      <c r="AD3381" s="343"/>
      <c r="AE3381" s="249"/>
      <c r="AF3381" s="330"/>
      <c r="AG3381" s="343"/>
      <c r="AH3381" s="249"/>
      <c r="AI3381" s="330"/>
      <c r="AJ3381" s="343"/>
      <c r="AK3381" s="249"/>
      <c r="AL3381" s="330"/>
      <c r="AM3381" s="343"/>
      <c r="AN3381" s="249"/>
      <c r="AO3381" s="330"/>
      <c r="AP3381" s="343"/>
      <c r="AQ3381" s="249"/>
      <c r="AR3381" s="330"/>
      <c r="AS3381" s="343"/>
      <c r="AT3381" s="249"/>
      <c r="AU3381" s="330"/>
    </row>
    <row r="3382" spans="2:47">
      <c r="B3382" s="247">
        <f>'Table S2 Compound Identifiers'!C3384</f>
        <v>0</v>
      </c>
      <c r="C3382" s="247">
        <f>COUNTIF($D$6:D3382,"&lt;&gt;"&amp;"")</f>
        <v>3377</v>
      </c>
      <c r="D3382" s="247">
        <f>'Table S2 Compound Identifiers'!B3384</f>
        <v>0</v>
      </c>
      <c r="E3382" s="247"/>
      <c r="F3382" s="248"/>
      <c r="G3382" s="249"/>
      <c r="H3382" s="330"/>
      <c r="I3382" s="328"/>
      <c r="J3382" s="249"/>
      <c r="K3382" s="330"/>
      <c r="L3382" s="250"/>
      <c r="M3382" s="249"/>
      <c r="N3382" s="330"/>
      <c r="O3382" s="250"/>
      <c r="P3382" s="249"/>
      <c r="Q3382" s="330"/>
      <c r="R3382" s="250"/>
      <c r="S3382" s="249"/>
      <c r="T3382" s="330"/>
      <c r="U3382" s="250"/>
      <c r="V3382" s="249"/>
      <c r="W3382" s="330"/>
      <c r="X3382" s="343"/>
      <c r="Y3382" s="249"/>
      <c r="Z3382" s="330"/>
      <c r="AA3382" s="343"/>
      <c r="AB3382" s="249"/>
      <c r="AC3382" s="330"/>
      <c r="AD3382" s="343"/>
      <c r="AE3382" s="249"/>
      <c r="AF3382" s="330"/>
      <c r="AG3382" s="343"/>
      <c r="AH3382" s="249"/>
      <c r="AI3382" s="330"/>
      <c r="AJ3382" s="343"/>
      <c r="AK3382" s="249"/>
      <c r="AL3382" s="330"/>
      <c r="AM3382" s="343"/>
      <c r="AN3382" s="249"/>
      <c r="AO3382" s="330"/>
      <c r="AP3382" s="343"/>
      <c r="AQ3382" s="249"/>
      <c r="AR3382" s="330"/>
      <c r="AS3382" s="343"/>
      <c r="AT3382" s="249"/>
      <c r="AU3382" s="330"/>
    </row>
    <row r="3383" spans="2:47">
      <c r="B3383" s="247">
        <f>'Table S2 Compound Identifiers'!C3385</f>
        <v>0</v>
      </c>
      <c r="C3383" s="247">
        <f>COUNTIF($D$6:D3383,"&lt;&gt;"&amp;"")</f>
        <v>3378</v>
      </c>
      <c r="D3383" s="247">
        <f>'Table S2 Compound Identifiers'!B3385</f>
        <v>0</v>
      </c>
      <c r="E3383" s="247"/>
      <c r="F3383" s="248"/>
      <c r="G3383" s="249"/>
      <c r="H3383" s="330"/>
      <c r="I3383" s="328"/>
      <c r="J3383" s="249"/>
      <c r="K3383" s="330"/>
      <c r="L3383" s="250"/>
      <c r="M3383" s="249"/>
      <c r="N3383" s="330"/>
      <c r="O3383" s="250"/>
      <c r="P3383" s="249"/>
      <c r="Q3383" s="330"/>
      <c r="R3383" s="250"/>
      <c r="S3383" s="249"/>
      <c r="T3383" s="330"/>
      <c r="U3383" s="250"/>
      <c r="V3383" s="249"/>
      <c r="W3383" s="330"/>
      <c r="X3383" s="343"/>
      <c r="Y3383" s="249"/>
      <c r="Z3383" s="330"/>
      <c r="AA3383" s="343"/>
      <c r="AB3383" s="249"/>
      <c r="AC3383" s="330"/>
      <c r="AD3383" s="343"/>
      <c r="AE3383" s="249"/>
      <c r="AF3383" s="330"/>
      <c r="AG3383" s="343"/>
      <c r="AH3383" s="249"/>
      <c r="AI3383" s="330"/>
      <c r="AJ3383" s="343"/>
      <c r="AK3383" s="249"/>
      <c r="AL3383" s="330"/>
      <c r="AM3383" s="343"/>
      <c r="AN3383" s="249"/>
      <c r="AO3383" s="330"/>
      <c r="AP3383" s="343"/>
      <c r="AQ3383" s="249"/>
      <c r="AR3383" s="330"/>
      <c r="AS3383" s="343"/>
      <c r="AT3383" s="249"/>
      <c r="AU3383" s="330"/>
    </row>
    <row r="3384" spans="2:47">
      <c r="B3384" s="247">
        <f>'Table S2 Compound Identifiers'!C3386</f>
        <v>0</v>
      </c>
      <c r="C3384" s="247">
        <f>COUNTIF($D$6:D3384,"&lt;&gt;"&amp;"")</f>
        <v>3379</v>
      </c>
      <c r="D3384" s="247">
        <f>'Table S2 Compound Identifiers'!B3386</f>
        <v>0</v>
      </c>
      <c r="E3384" s="247"/>
      <c r="F3384" s="248"/>
      <c r="G3384" s="249"/>
      <c r="H3384" s="330"/>
      <c r="I3384" s="328"/>
      <c r="J3384" s="249"/>
      <c r="K3384" s="330"/>
      <c r="L3384" s="250"/>
      <c r="M3384" s="249"/>
      <c r="N3384" s="330"/>
      <c r="O3384" s="250"/>
      <c r="P3384" s="249"/>
      <c r="Q3384" s="330"/>
      <c r="R3384" s="250"/>
      <c r="S3384" s="249"/>
      <c r="T3384" s="330"/>
      <c r="U3384" s="250"/>
      <c r="V3384" s="249"/>
      <c r="W3384" s="330"/>
      <c r="X3384" s="343"/>
      <c r="Y3384" s="249"/>
      <c r="Z3384" s="330"/>
      <c r="AA3384" s="343"/>
      <c r="AB3384" s="249"/>
      <c r="AC3384" s="330"/>
      <c r="AD3384" s="343"/>
      <c r="AE3384" s="249"/>
      <c r="AF3384" s="330"/>
      <c r="AG3384" s="343"/>
      <c r="AH3384" s="249"/>
      <c r="AI3384" s="330"/>
      <c r="AJ3384" s="343"/>
      <c r="AK3384" s="249"/>
      <c r="AL3384" s="330"/>
      <c r="AM3384" s="343"/>
      <c r="AN3384" s="249"/>
      <c r="AO3384" s="330"/>
      <c r="AP3384" s="343"/>
      <c r="AQ3384" s="249"/>
      <c r="AR3384" s="330"/>
      <c r="AS3384" s="343"/>
      <c r="AT3384" s="249"/>
      <c r="AU3384" s="330"/>
    </row>
    <row r="3385" spans="2:47">
      <c r="B3385" s="247">
        <f>'Table S2 Compound Identifiers'!C3387</f>
        <v>0</v>
      </c>
      <c r="C3385" s="247">
        <f>COUNTIF($D$6:D3385,"&lt;&gt;"&amp;"")</f>
        <v>3380</v>
      </c>
      <c r="D3385" s="247">
        <f>'Table S2 Compound Identifiers'!B3387</f>
        <v>0</v>
      </c>
      <c r="E3385" s="247"/>
      <c r="F3385" s="248"/>
      <c r="G3385" s="249"/>
      <c r="H3385" s="330"/>
      <c r="I3385" s="328"/>
      <c r="J3385" s="249"/>
      <c r="K3385" s="330"/>
      <c r="L3385" s="250"/>
      <c r="M3385" s="249"/>
      <c r="N3385" s="330"/>
      <c r="O3385" s="250"/>
      <c r="P3385" s="249"/>
      <c r="Q3385" s="330"/>
      <c r="R3385" s="250"/>
      <c r="S3385" s="249"/>
      <c r="T3385" s="330"/>
      <c r="U3385" s="250"/>
      <c r="V3385" s="249"/>
      <c r="W3385" s="330"/>
      <c r="X3385" s="343"/>
      <c r="Y3385" s="249"/>
      <c r="Z3385" s="330"/>
      <c r="AA3385" s="343"/>
      <c r="AB3385" s="249"/>
      <c r="AC3385" s="330"/>
      <c r="AD3385" s="343"/>
      <c r="AE3385" s="249"/>
      <c r="AF3385" s="330"/>
      <c r="AG3385" s="343"/>
      <c r="AH3385" s="249"/>
      <c r="AI3385" s="330"/>
      <c r="AJ3385" s="343"/>
      <c r="AK3385" s="249"/>
      <c r="AL3385" s="330"/>
      <c r="AM3385" s="343"/>
      <c r="AN3385" s="249"/>
      <c r="AO3385" s="330"/>
      <c r="AP3385" s="343"/>
      <c r="AQ3385" s="249"/>
      <c r="AR3385" s="330"/>
      <c r="AS3385" s="343"/>
      <c r="AT3385" s="249"/>
      <c r="AU3385" s="330"/>
    </row>
    <row r="3386" spans="2:47">
      <c r="B3386" s="247">
        <f>'Table S2 Compound Identifiers'!C3388</f>
        <v>0</v>
      </c>
      <c r="C3386" s="247">
        <f>COUNTIF($D$6:D3386,"&lt;&gt;"&amp;"")</f>
        <v>3381</v>
      </c>
      <c r="D3386" s="247">
        <f>'Table S2 Compound Identifiers'!B3388</f>
        <v>0</v>
      </c>
      <c r="E3386" s="247"/>
      <c r="F3386" s="248"/>
      <c r="G3386" s="249"/>
      <c r="H3386" s="330"/>
      <c r="I3386" s="328"/>
      <c r="J3386" s="249"/>
      <c r="K3386" s="330"/>
      <c r="L3386" s="250"/>
      <c r="M3386" s="249"/>
      <c r="N3386" s="330"/>
      <c r="O3386" s="250"/>
      <c r="P3386" s="249"/>
      <c r="Q3386" s="330"/>
      <c r="R3386" s="250"/>
      <c r="S3386" s="249"/>
      <c r="T3386" s="330"/>
      <c r="U3386" s="250"/>
      <c r="V3386" s="249"/>
      <c r="W3386" s="330"/>
      <c r="X3386" s="343"/>
      <c r="Y3386" s="249"/>
      <c r="Z3386" s="330"/>
      <c r="AA3386" s="343"/>
      <c r="AB3386" s="249"/>
      <c r="AC3386" s="330"/>
      <c r="AD3386" s="343"/>
      <c r="AE3386" s="249"/>
      <c r="AF3386" s="330"/>
      <c r="AG3386" s="343"/>
      <c r="AH3386" s="249"/>
      <c r="AI3386" s="330"/>
      <c r="AJ3386" s="343"/>
      <c r="AK3386" s="249"/>
      <c r="AL3386" s="330"/>
      <c r="AM3386" s="343"/>
      <c r="AN3386" s="249"/>
      <c r="AO3386" s="330"/>
      <c r="AP3386" s="343"/>
      <c r="AQ3386" s="249"/>
      <c r="AR3386" s="330"/>
      <c r="AS3386" s="343"/>
      <c r="AT3386" s="249"/>
      <c r="AU3386" s="330"/>
    </row>
    <row r="3387" spans="2:47">
      <c r="B3387" s="247">
        <f>'Table S2 Compound Identifiers'!C3389</f>
        <v>0</v>
      </c>
      <c r="C3387" s="247">
        <f>COUNTIF($D$6:D3387,"&lt;&gt;"&amp;"")</f>
        <v>3382</v>
      </c>
      <c r="D3387" s="247">
        <f>'Table S2 Compound Identifiers'!B3389</f>
        <v>0</v>
      </c>
      <c r="E3387" s="247"/>
      <c r="F3387" s="248"/>
      <c r="G3387" s="249"/>
      <c r="H3387" s="330"/>
      <c r="I3387" s="328"/>
      <c r="J3387" s="249"/>
      <c r="K3387" s="330"/>
      <c r="L3387" s="250"/>
      <c r="M3387" s="249"/>
      <c r="N3387" s="330"/>
      <c r="O3387" s="250"/>
      <c r="P3387" s="249"/>
      <c r="Q3387" s="330"/>
      <c r="R3387" s="250"/>
      <c r="S3387" s="249"/>
      <c r="T3387" s="330"/>
      <c r="U3387" s="250"/>
      <c r="V3387" s="249"/>
      <c r="W3387" s="330"/>
      <c r="X3387" s="343"/>
      <c r="Y3387" s="249"/>
      <c r="Z3387" s="330"/>
      <c r="AA3387" s="343"/>
      <c r="AB3387" s="249"/>
      <c r="AC3387" s="330"/>
      <c r="AD3387" s="343"/>
      <c r="AE3387" s="249"/>
      <c r="AF3387" s="330"/>
      <c r="AG3387" s="343"/>
      <c r="AH3387" s="249"/>
      <c r="AI3387" s="330"/>
      <c r="AJ3387" s="343"/>
      <c r="AK3387" s="249"/>
      <c r="AL3387" s="330"/>
      <c r="AM3387" s="343"/>
      <c r="AN3387" s="249"/>
      <c r="AO3387" s="330"/>
      <c r="AP3387" s="343"/>
      <c r="AQ3387" s="249"/>
      <c r="AR3387" s="330"/>
      <c r="AS3387" s="343"/>
      <c r="AT3387" s="249"/>
      <c r="AU3387" s="330"/>
    </row>
    <row r="3388" spans="2:47">
      <c r="B3388" s="247">
        <f>'Table S2 Compound Identifiers'!C3390</f>
        <v>0</v>
      </c>
      <c r="C3388" s="247">
        <f>COUNTIF($D$6:D3388,"&lt;&gt;"&amp;"")</f>
        <v>3383</v>
      </c>
      <c r="D3388" s="247">
        <f>'Table S2 Compound Identifiers'!B3390</f>
        <v>0</v>
      </c>
      <c r="E3388" s="247"/>
      <c r="F3388" s="248"/>
      <c r="G3388" s="249"/>
      <c r="H3388" s="330"/>
      <c r="I3388" s="328"/>
      <c r="J3388" s="249"/>
      <c r="K3388" s="330"/>
      <c r="L3388" s="250"/>
      <c r="M3388" s="249"/>
      <c r="N3388" s="330"/>
      <c r="O3388" s="250"/>
      <c r="P3388" s="249"/>
      <c r="Q3388" s="330"/>
      <c r="R3388" s="250"/>
      <c r="S3388" s="249"/>
      <c r="T3388" s="330"/>
      <c r="U3388" s="250"/>
      <c r="V3388" s="249"/>
      <c r="W3388" s="330"/>
      <c r="X3388" s="343"/>
      <c r="Y3388" s="249"/>
      <c r="Z3388" s="330"/>
      <c r="AA3388" s="343"/>
      <c r="AB3388" s="249"/>
      <c r="AC3388" s="330"/>
      <c r="AD3388" s="343"/>
      <c r="AE3388" s="249"/>
      <c r="AF3388" s="330"/>
      <c r="AG3388" s="343"/>
      <c r="AH3388" s="249"/>
      <c r="AI3388" s="330"/>
      <c r="AJ3388" s="343"/>
      <c r="AK3388" s="249"/>
      <c r="AL3388" s="330"/>
      <c r="AM3388" s="343"/>
      <c r="AN3388" s="249"/>
      <c r="AO3388" s="330"/>
      <c r="AP3388" s="343"/>
      <c r="AQ3388" s="249"/>
      <c r="AR3388" s="330"/>
      <c r="AS3388" s="343"/>
      <c r="AT3388" s="249"/>
      <c r="AU3388" s="330"/>
    </row>
    <row r="3389" spans="2:47">
      <c r="B3389" s="247">
        <f>'Table S2 Compound Identifiers'!C3391</f>
        <v>0</v>
      </c>
      <c r="C3389" s="247">
        <f>COUNTIF($D$6:D3389,"&lt;&gt;"&amp;"")</f>
        <v>3384</v>
      </c>
      <c r="D3389" s="247">
        <f>'Table S2 Compound Identifiers'!B3391</f>
        <v>0</v>
      </c>
      <c r="E3389" s="247"/>
      <c r="F3389" s="248"/>
      <c r="G3389" s="249"/>
      <c r="H3389" s="330"/>
      <c r="I3389" s="328"/>
      <c r="J3389" s="249"/>
      <c r="K3389" s="330"/>
      <c r="L3389" s="250"/>
      <c r="M3389" s="249"/>
      <c r="N3389" s="330"/>
      <c r="O3389" s="250"/>
      <c r="P3389" s="249"/>
      <c r="Q3389" s="330"/>
      <c r="R3389" s="250"/>
      <c r="S3389" s="249"/>
      <c r="T3389" s="330"/>
      <c r="U3389" s="250"/>
      <c r="V3389" s="249"/>
      <c r="W3389" s="330"/>
      <c r="X3389" s="343"/>
      <c r="Y3389" s="249"/>
      <c r="Z3389" s="330"/>
      <c r="AA3389" s="343"/>
      <c r="AB3389" s="249"/>
      <c r="AC3389" s="330"/>
      <c r="AD3389" s="343"/>
      <c r="AE3389" s="249"/>
      <c r="AF3389" s="330"/>
      <c r="AG3389" s="343"/>
      <c r="AH3389" s="249"/>
      <c r="AI3389" s="330"/>
      <c r="AJ3389" s="343"/>
      <c r="AK3389" s="249"/>
      <c r="AL3389" s="330"/>
      <c r="AM3389" s="343"/>
      <c r="AN3389" s="249"/>
      <c r="AO3389" s="330"/>
      <c r="AP3389" s="343"/>
      <c r="AQ3389" s="249"/>
      <c r="AR3389" s="330"/>
      <c r="AS3389" s="343"/>
      <c r="AT3389" s="249"/>
      <c r="AU3389" s="330"/>
    </row>
    <row r="3390" spans="2:47">
      <c r="B3390" s="247">
        <f>'Table S2 Compound Identifiers'!C3392</f>
        <v>0</v>
      </c>
      <c r="C3390" s="247">
        <f>COUNTIF($D$6:D3390,"&lt;&gt;"&amp;"")</f>
        <v>3385</v>
      </c>
      <c r="D3390" s="247">
        <f>'Table S2 Compound Identifiers'!B3392</f>
        <v>0</v>
      </c>
      <c r="E3390" s="247"/>
      <c r="F3390" s="248"/>
      <c r="G3390" s="249"/>
      <c r="H3390" s="330"/>
      <c r="I3390" s="328"/>
      <c r="J3390" s="249"/>
      <c r="K3390" s="330"/>
      <c r="L3390" s="250"/>
      <c r="M3390" s="249"/>
      <c r="N3390" s="330"/>
      <c r="O3390" s="250"/>
      <c r="P3390" s="249"/>
      <c r="Q3390" s="330"/>
      <c r="R3390" s="250"/>
      <c r="S3390" s="249"/>
      <c r="T3390" s="330"/>
      <c r="U3390" s="250"/>
      <c r="V3390" s="249"/>
      <c r="W3390" s="330"/>
      <c r="X3390" s="343"/>
      <c r="Y3390" s="249"/>
      <c r="Z3390" s="330"/>
      <c r="AA3390" s="343"/>
      <c r="AB3390" s="249"/>
      <c r="AC3390" s="330"/>
      <c r="AD3390" s="343"/>
      <c r="AE3390" s="249"/>
      <c r="AF3390" s="330"/>
      <c r="AG3390" s="343"/>
      <c r="AH3390" s="249"/>
      <c r="AI3390" s="330"/>
      <c r="AJ3390" s="343"/>
      <c r="AK3390" s="249"/>
      <c r="AL3390" s="330"/>
      <c r="AM3390" s="343"/>
      <c r="AN3390" s="249"/>
      <c r="AO3390" s="330"/>
      <c r="AP3390" s="343"/>
      <c r="AQ3390" s="249"/>
      <c r="AR3390" s="330"/>
      <c r="AS3390" s="343"/>
      <c r="AT3390" s="249"/>
      <c r="AU3390" s="330"/>
    </row>
    <row r="3391" spans="2:47">
      <c r="B3391" s="247">
        <f>'Table S2 Compound Identifiers'!C3393</f>
        <v>0</v>
      </c>
      <c r="C3391" s="247">
        <f>COUNTIF($D$6:D3391,"&lt;&gt;"&amp;"")</f>
        <v>3386</v>
      </c>
      <c r="D3391" s="247">
        <f>'Table S2 Compound Identifiers'!B3393</f>
        <v>0</v>
      </c>
      <c r="E3391" s="247"/>
      <c r="F3391" s="248"/>
      <c r="G3391" s="249"/>
      <c r="H3391" s="330"/>
      <c r="I3391" s="328"/>
      <c r="J3391" s="249"/>
      <c r="K3391" s="330"/>
      <c r="L3391" s="250"/>
      <c r="M3391" s="249"/>
      <c r="N3391" s="330"/>
      <c r="O3391" s="250"/>
      <c r="P3391" s="249"/>
      <c r="Q3391" s="330"/>
      <c r="R3391" s="250"/>
      <c r="S3391" s="249"/>
      <c r="T3391" s="330"/>
      <c r="U3391" s="250"/>
      <c r="V3391" s="249"/>
      <c r="W3391" s="330"/>
      <c r="X3391" s="343"/>
      <c r="Y3391" s="249"/>
      <c r="Z3391" s="330"/>
      <c r="AA3391" s="343"/>
      <c r="AB3391" s="249"/>
      <c r="AC3391" s="330"/>
      <c r="AD3391" s="343"/>
      <c r="AE3391" s="249"/>
      <c r="AF3391" s="330"/>
      <c r="AG3391" s="343"/>
      <c r="AH3391" s="249"/>
      <c r="AI3391" s="330"/>
      <c r="AJ3391" s="343"/>
      <c r="AK3391" s="249"/>
      <c r="AL3391" s="330"/>
      <c r="AM3391" s="343"/>
      <c r="AN3391" s="249"/>
      <c r="AO3391" s="330"/>
      <c r="AP3391" s="343"/>
      <c r="AQ3391" s="249"/>
      <c r="AR3391" s="330"/>
      <c r="AS3391" s="343"/>
      <c r="AT3391" s="249"/>
      <c r="AU3391" s="330"/>
    </row>
    <row r="3392" spans="2:47">
      <c r="B3392" s="247">
        <f>'Table S2 Compound Identifiers'!C3394</f>
        <v>0</v>
      </c>
      <c r="C3392" s="247">
        <f>COUNTIF($D$6:D3392,"&lt;&gt;"&amp;"")</f>
        <v>3387</v>
      </c>
      <c r="D3392" s="432">
        <f>'Table S2 Compound Identifiers'!B3394</f>
        <v>0</v>
      </c>
      <c r="E3392" s="247"/>
      <c r="F3392" s="248"/>
      <c r="G3392" s="249"/>
      <c r="H3392" s="330"/>
      <c r="I3392" s="328"/>
      <c r="J3392" s="249"/>
      <c r="K3392" s="330"/>
      <c r="L3392" s="250"/>
      <c r="M3392" s="249"/>
      <c r="N3392" s="330"/>
      <c r="O3392" s="250"/>
      <c r="P3392" s="249"/>
      <c r="Q3392" s="330"/>
      <c r="R3392" s="250"/>
      <c r="S3392" s="249"/>
      <c r="T3392" s="330"/>
      <c r="U3392" s="250"/>
      <c r="V3392" s="249"/>
      <c r="W3392" s="330"/>
      <c r="X3392" s="343"/>
      <c r="Y3392" s="249"/>
      <c r="Z3392" s="330"/>
      <c r="AA3392" s="343"/>
      <c r="AB3392" s="249"/>
      <c r="AC3392" s="330"/>
      <c r="AD3392" s="343"/>
      <c r="AE3392" s="249"/>
      <c r="AF3392" s="330"/>
      <c r="AG3392" s="343"/>
      <c r="AH3392" s="249"/>
      <c r="AI3392" s="330"/>
      <c r="AJ3392" s="343"/>
      <c r="AK3392" s="249"/>
      <c r="AL3392" s="330"/>
      <c r="AM3392" s="343"/>
      <c r="AN3392" s="249"/>
      <c r="AO3392" s="330"/>
      <c r="AP3392" s="343"/>
      <c r="AQ3392" s="249"/>
      <c r="AR3392" s="330"/>
      <c r="AS3392" s="343"/>
      <c r="AT3392" s="249"/>
      <c r="AU3392" s="330"/>
    </row>
    <row r="3393" spans="2:47">
      <c r="B3393" s="247">
        <f>'Table S2 Compound Identifiers'!C3395</f>
        <v>0</v>
      </c>
      <c r="C3393" s="247">
        <f>COUNTIF($D$6:D3393,"&lt;&gt;"&amp;"")</f>
        <v>3388</v>
      </c>
      <c r="D3393" s="432">
        <f>'Table S2 Compound Identifiers'!B3395</f>
        <v>0</v>
      </c>
      <c r="E3393" s="247"/>
      <c r="F3393" s="248"/>
      <c r="G3393" s="249"/>
      <c r="H3393" s="330"/>
      <c r="I3393" s="328"/>
      <c r="J3393" s="249"/>
      <c r="K3393" s="330"/>
      <c r="L3393" s="250"/>
      <c r="M3393" s="249"/>
      <c r="N3393" s="330"/>
      <c r="O3393" s="250"/>
      <c r="P3393" s="249"/>
      <c r="Q3393" s="330"/>
      <c r="R3393" s="250"/>
      <c r="S3393" s="249"/>
      <c r="T3393" s="330"/>
      <c r="U3393" s="250"/>
      <c r="V3393" s="249"/>
      <c r="W3393" s="330"/>
      <c r="X3393" s="343"/>
      <c r="Y3393" s="249"/>
      <c r="Z3393" s="330"/>
      <c r="AA3393" s="343"/>
      <c r="AB3393" s="249"/>
      <c r="AC3393" s="330"/>
      <c r="AD3393" s="343"/>
      <c r="AE3393" s="249"/>
      <c r="AF3393" s="330"/>
      <c r="AG3393" s="343"/>
      <c r="AH3393" s="249"/>
      <c r="AI3393" s="330"/>
      <c r="AJ3393" s="343"/>
      <c r="AK3393" s="249"/>
      <c r="AL3393" s="330"/>
      <c r="AM3393" s="343"/>
      <c r="AN3393" s="249"/>
      <c r="AO3393" s="330"/>
      <c r="AP3393" s="343"/>
      <c r="AQ3393" s="249"/>
      <c r="AR3393" s="330"/>
      <c r="AS3393" s="343"/>
      <c r="AT3393" s="249"/>
      <c r="AU3393" s="330"/>
    </row>
    <row r="3394" spans="2:47">
      <c r="B3394" s="247">
        <f>'Table S2 Compound Identifiers'!C3396</f>
        <v>0</v>
      </c>
      <c r="C3394" s="247">
        <f>COUNTIF($D$6:D3394,"&lt;&gt;"&amp;"")</f>
        <v>3389</v>
      </c>
      <c r="D3394" s="432">
        <f>'Table S2 Compound Identifiers'!B3396</f>
        <v>0</v>
      </c>
      <c r="E3394" s="247"/>
      <c r="F3394" s="248"/>
      <c r="G3394" s="249"/>
      <c r="H3394" s="330"/>
      <c r="I3394" s="328"/>
      <c r="J3394" s="249"/>
      <c r="K3394" s="330"/>
      <c r="L3394" s="250"/>
      <c r="M3394" s="249"/>
      <c r="N3394" s="330"/>
      <c r="O3394" s="250"/>
      <c r="P3394" s="249"/>
      <c r="Q3394" s="330"/>
      <c r="R3394" s="250"/>
      <c r="S3394" s="249"/>
      <c r="T3394" s="330"/>
      <c r="U3394" s="250"/>
      <c r="V3394" s="249"/>
      <c r="W3394" s="330"/>
      <c r="X3394" s="343"/>
      <c r="Y3394" s="249"/>
      <c r="Z3394" s="330"/>
      <c r="AA3394" s="343"/>
      <c r="AB3394" s="249"/>
      <c r="AC3394" s="330"/>
      <c r="AD3394" s="343"/>
      <c r="AE3394" s="249"/>
      <c r="AF3394" s="330"/>
      <c r="AG3394" s="343"/>
      <c r="AH3394" s="249"/>
      <c r="AI3394" s="330"/>
      <c r="AJ3394" s="343"/>
      <c r="AK3394" s="249"/>
      <c r="AL3394" s="330"/>
      <c r="AM3394" s="343"/>
      <c r="AN3394" s="249"/>
      <c r="AO3394" s="330"/>
      <c r="AP3394" s="343"/>
      <c r="AQ3394" s="249"/>
      <c r="AR3394" s="330"/>
      <c r="AS3394" s="343"/>
      <c r="AT3394" s="249"/>
      <c r="AU3394" s="330"/>
    </row>
    <row r="3395" spans="2:47">
      <c r="B3395" s="247">
        <f>'Table S2 Compound Identifiers'!C3397</f>
        <v>0</v>
      </c>
      <c r="C3395" s="247">
        <f>COUNTIF($D$6:D3395,"&lt;&gt;"&amp;"")</f>
        <v>3390</v>
      </c>
      <c r="D3395" s="432">
        <f>'Table S2 Compound Identifiers'!B3397</f>
        <v>0</v>
      </c>
      <c r="E3395" s="247"/>
      <c r="F3395" s="248"/>
      <c r="G3395" s="249"/>
      <c r="H3395" s="330"/>
      <c r="I3395" s="328"/>
      <c r="J3395" s="249"/>
      <c r="K3395" s="330"/>
      <c r="L3395" s="250"/>
      <c r="M3395" s="249"/>
      <c r="N3395" s="330"/>
      <c r="O3395" s="250"/>
      <c r="P3395" s="249"/>
      <c r="Q3395" s="330"/>
      <c r="R3395" s="250"/>
      <c r="S3395" s="249"/>
      <c r="T3395" s="330"/>
      <c r="U3395" s="250"/>
      <c r="V3395" s="249"/>
      <c r="W3395" s="330"/>
      <c r="X3395" s="343"/>
      <c r="Y3395" s="249"/>
      <c r="Z3395" s="330"/>
      <c r="AA3395" s="343"/>
      <c r="AB3395" s="249"/>
      <c r="AC3395" s="330"/>
      <c r="AD3395" s="343"/>
      <c r="AE3395" s="249"/>
      <c r="AF3395" s="330"/>
      <c r="AG3395" s="343"/>
      <c r="AH3395" s="249"/>
      <c r="AI3395" s="330"/>
      <c r="AJ3395" s="343"/>
      <c r="AK3395" s="249"/>
      <c r="AL3395" s="330"/>
      <c r="AM3395" s="343"/>
      <c r="AN3395" s="249"/>
      <c r="AO3395" s="330"/>
      <c r="AP3395" s="343"/>
      <c r="AQ3395" s="249"/>
      <c r="AR3395" s="330"/>
      <c r="AS3395" s="343"/>
      <c r="AT3395" s="249"/>
      <c r="AU3395" s="330"/>
    </row>
    <row r="3396" spans="2:47">
      <c r="B3396" s="247">
        <f>'Table S2 Compound Identifiers'!C3398</f>
        <v>0</v>
      </c>
      <c r="C3396" s="247">
        <f>COUNTIF($D$6:D3396,"&lt;&gt;"&amp;"")</f>
        <v>3391</v>
      </c>
      <c r="D3396" s="432">
        <f>'Table S2 Compound Identifiers'!B3398</f>
        <v>0</v>
      </c>
      <c r="E3396" s="247"/>
      <c r="F3396" s="248"/>
      <c r="G3396" s="249"/>
      <c r="H3396" s="330"/>
      <c r="I3396" s="328"/>
      <c r="J3396" s="249"/>
      <c r="K3396" s="330"/>
      <c r="L3396" s="250"/>
      <c r="M3396" s="249"/>
      <c r="N3396" s="330"/>
      <c r="O3396" s="250"/>
      <c r="P3396" s="249"/>
      <c r="Q3396" s="330"/>
      <c r="R3396" s="250"/>
      <c r="S3396" s="249"/>
      <c r="T3396" s="330"/>
      <c r="U3396" s="250"/>
      <c r="V3396" s="249"/>
      <c r="W3396" s="330"/>
      <c r="X3396" s="343"/>
      <c r="Y3396" s="249"/>
      <c r="Z3396" s="330"/>
      <c r="AA3396" s="343"/>
      <c r="AB3396" s="249"/>
      <c r="AC3396" s="330"/>
      <c r="AD3396" s="343"/>
      <c r="AE3396" s="249"/>
      <c r="AF3396" s="330"/>
      <c r="AG3396" s="343"/>
      <c r="AH3396" s="249"/>
      <c r="AI3396" s="330"/>
      <c r="AJ3396" s="343"/>
      <c r="AK3396" s="249"/>
      <c r="AL3396" s="330"/>
      <c r="AM3396" s="343"/>
      <c r="AN3396" s="249"/>
      <c r="AO3396" s="330"/>
      <c r="AP3396" s="343"/>
      <c r="AQ3396" s="249"/>
      <c r="AR3396" s="330"/>
      <c r="AS3396" s="343"/>
      <c r="AT3396" s="249"/>
      <c r="AU3396" s="330"/>
    </row>
    <row r="3397" spans="2:47">
      <c r="B3397" s="247">
        <f>'Table S2 Compound Identifiers'!C3399</f>
        <v>0</v>
      </c>
      <c r="C3397" s="247">
        <f>COUNTIF($D$6:D3397,"&lt;&gt;"&amp;"")</f>
        <v>3392</v>
      </c>
      <c r="D3397" s="432">
        <f>'Table S2 Compound Identifiers'!B3399</f>
        <v>0</v>
      </c>
      <c r="E3397" s="247"/>
      <c r="F3397" s="248"/>
      <c r="G3397" s="249"/>
      <c r="H3397" s="330"/>
      <c r="I3397" s="328"/>
      <c r="J3397" s="249"/>
      <c r="K3397" s="330"/>
      <c r="L3397" s="250"/>
      <c r="M3397" s="249"/>
      <c r="N3397" s="330"/>
      <c r="O3397" s="250"/>
      <c r="P3397" s="249"/>
      <c r="Q3397" s="330"/>
      <c r="R3397" s="250"/>
      <c r="S3397" s="249"/>
      <c r="T3397" s="330"/>
      <c r="U3397" s="250"/>
      <c r="V3397" s="249"/>
      <c r="W3397" s="330"/>
      <c r="X3397" s="343"/>
      <c r="Y3397" s="249"/>
      <c r="Z3397" s="330"/>
      <c r="AA3397" s="343"/>
      <c r="AB3397" s="249"/>
      <c r="AC3397" s="330"/>
      <c r="AD3397" s="343"/>
      <c r="AE3397" s="249"/>
      <c r="AF3397" s="330"/>
      <c r="AG3397" s="343"/>
      <c r="AH3397" s="249"/>
      <c r="AI3397" s="330"/>
      <c r="AJ3397" s="343"/>
      <c r="AK3397" s="249"/>
      <c r="AL3397" s="330"/>
      <c r="AM3397" s="343"/>
      <c r="AN3397" s="249"/>
      <c r="AO3397" s="330"/>
      <c r="AP3397" s="343"/>
      <c r="AQ3397" s="249"/>
      <c r="AR3397" s="330"/>
      <c r="AS3397" s="343"/>
      <c r="AT3397" s="249"/>
      <c r="AU3397" s="330"/>
    </row>
    <row r="3398" spans="2:47">
      <c r="B3398" s="247">
        <f>'Table S2 Compound Identifiers'!C3400</f>
        <v>0</v>
      </c>
      <c r="C3398" s="247">
        <f>COUNTIF($D$6:D3398,"&lt;&gt;"&amp;"")</f>
        <v>3393</v>
      </c>
      <c r="D3398" s="432">
        <f>'Table S2 Compound Identifiers'!B3400</f>
        <v>0</v>
      </c>
      <c r="E3398" s="247"/>
      <c r="F3398" s="248"/>
      <c r="G3398" s="249"/>
      <c r="H3398" s="330"/>
      <c r="I3398" s="328"/>
      <c r="J3398" s="249"/>
      <c r="K3398" s="330"/>
      <c r="L3398" s="250"/>
      <c r="M3398" s="249"/>
      <c r="N3398" s="330"/>
      <c r="O3398" s="250"/>
      <c r="P3398" s="249"/>
      <c r="Q3398" s="330"/>
      <c r="R3398" s="250"/>
      <c r="S3398" s="249"/>
      <c r="T3398" s="330"/>
      <c r="U3398" s="250"/>
      <c r="V3398" s="249"/>
      <c r="W3398" s="330"/>
      <c r="X3398" s="343"/>
      <c r="Y3398" s="249"/>
      <c r="Z3398" s="330"/>
      <c r="AA3398" s="343"/>
      <c r="AB3398" s="249"/>
      <c r="AC3398" s="330"/>
      <c r="AD3398" s="343"/>
      <c r="AE3398" s="249"/>
      <c r="AF3398" s="330"/>
      <c r="AG3398" s="343"/>
      <c r="AH3398" s="249"/>
      <c r="AI3398" s="330"/>
      <c r="AJ3398" s="343"/>
      <c r="AK3398" s="249"/>
      <c r="AL3398" s="330"/>
      <c r="AM3398" s="343"/>
      <c r="AN3398" s="249"/>
      <c r="AO3398" s="330"/>
      <c r="AP3398" s="343"/>
      <c r="AQ3398" s="249"/>
      <c r="AR3398" s="330"/>
      <c r="AS3398" s="343"/>
      <c r="AT3398" s="249"/>
      <c r="AU3398" s="330"/>
    </row>
    <row r="3399" spans="2:47">
      <c r="B3399" s="247">
        <f>'Table S2 Compound Identifiers'!C3401</f>
        <v>0</v>
      </c>
      <c r="C3399" s="247">
        <f>COUNTIF($D$6:D3399,"&lt;&gt;"&amp;"")</f>
        <v>3394</v>
      </c>
      <c r="D3399" s="432">
        <f>'Table S2 Compound Identifiers'!B3401</f>
        <v>0</v>
      </c>
      <c r="E3399" s="247"/>
      <c r="F3399" s="248"/>
      <c r="G3399" s="249"/>
      <c r="H3399" s="330"/>
      <c r="I3399" s="328"/>
      <c r="J3399" s="249"/>
      <c r="K3399" s="330"/>
      <c r="L3399" s="250"/>
      <c r="M3399" s="249"/>
      <c r="N3399" s="330"/>
      <c r="O3399" s="250"/>
      <c r="P3399" s="249"/>
      <c r="Q3399" s="330"/>
      <c r="R3399" s="250"/>
      <c r="S3399" s="249"/>
      <c r="T3399" s="330"/>
      <c r="U3399" s="250"/>
      <c r="V3399" s="249"/>
      <c r="W3399" s="330"/>
      <c r="X3399" s="343"/>
      <c r="Y3399" s="249"/>
      <c r="Z3399" s="330"/>
      <c r="AA3399" s="343"/>
      <c r="AB3399" s="249"/>
      <c r="AC3399" s="330"/>
      <c r="AD3399" s="343"/>
      <c r="AE3399" s="249"/>
      <c r="AF3399" s="330"/>
      <c r="AG3399" s="343"/>
      <c r="AH3399" s="249"/>
      <c r="AI3399" s="330"/>
      <c r="AJ3399" s="343"/>
      <c r="AK3399" s="249"/>
      <c r="AL3399" s="330"/>
      <c r="AM3399" s="343"/>
      <c r="AN3399" s="249"/>
      <c r="AO3399" s="330"/>
      <c r="AP3399" s="343"/>
      <c r="AQ3399" s="249"/>
      <c r="AR3399" s="330"/>
      <c r="AS3399" s="343"/>
      <c r="AT3399" s="249"/>
      <c r="AU3399" s="330"/>
    </row>
    <row r="3400" spans="2:47">
      <c r="B3400" s="247">
        <f>'Table S2 Compound Identifiers'!C3402</f>
        <v>0</v>
      </c>
      <c r="C3400" s="247">
        <f>COUNTIF($D$6:D3400,"&lt;&gt;"&amp;"")</f>
        <v>3395</v>
      </c>
      <c r="D3400" s="432">
        <f>'Table S2 Compound Identifiers'!B3402</f>
        <v>0</v>
      </c>
      <c r="E3400" s="247"/>
      <c r="F3400" s="248"/>
      <c r="G3400" s="249"/>
      <c r="H3400" s="330"/>
      <c r="I3400" s="328"/>
      <c r="J3400" s="249"/>
      <c r="K3400" s="330"/>
      <c r="L3400" s="250"/>
      <c r="M3400" s="249"/>
      <c r="N3400" s="330"/>
      <c r="O3400" s="250"/>
      <c r="P3400" s="249"/>
      <c r="Q3400" s="330"/>
      <c r="R3400" s="250"/>
      <c r="S3400" s="249"/>
      <c r="T3400" s="330"/>
      <c r="U3400" s="250"/>
      <c r="V3400" s="249"/>
      <c r="W3400" s="330"/>
      <c r="X3400" s="343"/>
      <c r="Y3400" s="249"/>
      <c r="Z3400" s="330"/>
      <c r="AA3400" s="343"/>
      <c r="AB3400" s="249"/>
      <c r="AC3400" s="330"/>
      <c r="AD3400" s="343"/>
      <c r="AE3400" s="249"/>
      <c r="AF3400" s="330"/>
      <c r="AG3400" s="343"/>
      <c r="AH3400" s="249"/>
      <c r="AI3400" s="330"/>
      <c r="AJ3400" s="343"/>
      <c r="AK3400" s="249"/>
      <c r="AL3400" s="330"/>
      <c r="AM3400" s="343"/>
      <c r="AN3400" s="249"/>
      <c r="AO3400" s="330"/>
      <c r="AP3400" s="343"/>
      <c r="AQ3400" s="249"/>
      <c r="AR3400" s="330"/>
      <c r="AS3400" s="343"/>
      <c r="AT3400" s="249"/>
      <c r="AU3400" s="330"/>
    </row>
    <row r="3401" spans="2:47">
      <c r="B3401" s="247">
        <f>'Table S2 Compound Identifiers'!C3403</f>
        <v>0</v>
      </c>
      <c r="C3401" s="247">
        <f>COUNTIF($D$6:D3401,"&lt;&gt;"&amp;"")</f>
        <v>3396</v>
      </c>
      <c r="D3401" s="432">
        <f>'Table S2 Compound Identifiers'!B3403</f>
        <v>0</v>
      </c>
      <c r="E3401" s="247"/>
      <c r="F3401" s="248"/>
      <c r="G3401" s="249"/>
      <c r="H3401" s="330"/>
      <c r="I3401" s="328"/>
      <c r="J3401" s="249"/>
      <c r="K3401" s="330"/>
      <c r="L3401" s="250"/>
      <c r="M3401" s="249"/>
      <c r="N3401" s="330"/>
      <c r="O3401" s="250"/>
      <c r="P3401" s="249"/>
      <c r="Q3401" s="330"/>
      <c r="R3401" s="250"/>
      <c r="S3401" s="249"/>
      <c r="T3401" s="330"/>
      <c r="U3401" s="250"/>
      <c r="V3401" s="249"/>
      <c r="W3401" s="330"/>
      <c r="X3401" s="343"/>
      <c r="Y3401" s="249"/>
      <c r="Z3401" s="330"/>
      <c r="AA3401" s="343"/>
      <c r="AB3401" s="249"/>
      <c r="AC3401" s="330"/>
      <c r="AD3401" s="343"/>
      <c r="AE3401" s="249"/>
      <c r="AF3401" s="330"/>
      <c r="AG3401" s="343"/>
      <c r="AH3401" s="249"/>
      <c r="AI3401" s="330"/>
      <c r="AJ3401" s="343"/>
      <c r="AK3401" s="249"/>
      <c r="AL3401" s="330"/>
      <c r="AM3401" s="343"/>
      <c r="AN3401" s="249"/>
      <c r="AO3401" s="330"/>
      <c r="AP3401" s="343"/>
      <c r="AQ3401" s="249"/>
      <c r="AR3401" s="330"/>
      <c r="AS3401" s="343"/>
      <c r="AT3401" s="249"/>
      <c r="AU3401" s="330"/>
    </row>
    <row r="3402" spans="2:47">
      <c r="B3402" s="247">
        <f>'Table S2 Compound Identifiers'!C3404</f>
        <v>0</v>
      </c>
      <c r="C3402" s="247">
        <f>COUNTIF($D$6:D3402,"&lt;&gt;"&amp;"")</f>
        <v>3397</v>
      </c>
      <c r="D3402" s="247">
        <f>'Table S2 Compound Identifiers'!B3404</f>
        <v>0</v>
      </c>
      <c r="E3402" s="247"/>
      <c r="F3402" s="248"/>
      <c r="G3402" s="249"/>
      <c r="H3402" s="330"/>
      <c r="I3402" s="328"/>
      <c r="J3402" s="249"/>
      <c r="K3402" s="330"/>
      <c r="L3402" s="250"/>
      <c r="M3402" s="249"/>
      <c r="N3402" s="330"/>
      <c r="O3402" s="250"/>
      <c r="P3402" s="249"/>
      <c r="Q3402" s="330"/>
      <c r="R3402" s="250"/>
      <c r="S3402" s="249"/>
      <c r="T3402" s="330"/>
      <c r="U3402" s="250"/>
      <c r="V3402" s="249"/>
      <c r="W3402" s="330"/>
      <c r="X3402" s="343"/>
      <c r="Y3402" s="249"/>
      <c r="Z3402" s="330"/>
      <c r="AA3402" s="343"/>
      <c r="AB3402" s="249"/>
      <c r="AC3402" s="330"/>
      <c r="AD3402" s="343"/>
      <c r="AE3402" s="249"/>
      <c r="AF3402" s="330"/>
      <c r="AG3402" s="343"/>
      <c r="AH3402" s="249"/>
      <c r="AI3402" s="330"/>
      <c r="AJ3402" s="343"/>
      <c r="AK3402" s="249"/>
      <c r="AL3402" s="330"/>
      <c r="AM3402" s="343"/>
      <c r="AN3402" s="249"/>
      <c r="AO3402" s="330"/>
      <c r="AP3402" s="343"/>
      <c r="AQ3402" s="249"/>
      <c r="AR3402" s="330"/>
      <c r="AS3402" s="343"/>
      <c r="AT3402" s="249"/>
      <c r="AU3402" s="330"/>
    </row>
    <row r="3403" spans="2:47">
      <c r="B3403" s="247">
        <f>'Table S2 Compound Identifiers'!C3405</f>
        <v>0</v>
      </c>
      <c r="C3403" s="247">
        <f>COUNTIF($D$6:D3403,"&lt;&gt;"&amp;"")</f>
        <v>3398</v>
      </c>
      <c r="D3403" s="247">
        <f>'Table S2 Compound Identifiers'!B3405</f>
        <v>0</v>
      </c>
      <c r="E3403" s="247"/>
      <c r="F3403" s="248"/>
      <c r="G3403" s="249"/>
      <c r="H3403" s="330"/>
      <c r="I3403" s="328"/>
      <c r="J3403" s="249"/>
      <c r="K3403" s="330"/>
      <c r="L3403" s="250"/>
      <c r="M3403" s="249"/>
      <c r="N3403" s="330"/>
      <c r="O3403" s="250"/>
      <c r="P3403" s="249"/>
      <c r="Q3403" s="330"/>
      <c r="R3403" s="250"/>
      <c r="S3403" s="249"/>
      <c r="T3403" s="330"/>
      <c r="U3403" s="250"/>
      <c r="V3403" s="249"/>
      <c r="W3403" s="330"/>
      <c r="X3403" s="343"/>
      <c r="Y3403" s="249"/>
      <c r="Z3403" s="330"/>
      <c r="AA3403" s="343"/>
      <c r="AB3403" s="249"/>
      <c r="AC3403" s="330"/>
      <c r="AD3403" s="343"/>
      <c r="AE3403" s="249"/>
      <c r="AF3403" s="330"/>
      <c r="AG3403" s="343"/>
      <c r="AH3403" s="249"/>
      <c r="AI3403" s="330"/>
      <c r="AJ3403" s="343"/>
      <c r="AK3403" s="249"/>
      <c r="AL3403" s="330"/>
      <c r="AM3403" s="343"/>
      <c r="AN3403" s="249"/>
      <c r="AO3403" s="330"/>
      <c r="AP3403" s="343"/>
      <c r="AQ3403" s="249"/>
      <c r="AR3403" s="330"/>
      <c r="AS3403" s="343"/>
      <c r="AT3403" s="249"/>
      <c r="AU3403" s="330"/>
    </row>
    <row r="3404" spans="2:47">
      <c r="B3404" s="247">
        <f>'Table S2 Compound Identifiers'!C3406</f>
        <v>0</v>
      </c>
      <c r="C3404" s="247">
        <f>COUNTIF($D$6:D3404,"&lt;&gt;"&amp;"")</f>
        <v>3399</v>
      </c>
      <c r="D3404" s="247">
        <f>'Table S2 Compound Identifiers'!B3406</f>
        <v>0</v>
      </c>
      <c r="E3404" s="247"/>
      <c r="F3404" s="248"/>
      <c r="G3404" s="249"/>
      <c r="H3404" s="330"/>
      <c r="I3404" s="328"/>
      <c r="J3404" s="249"/>
      <c r="K3404" s="330"/>
      <c r="L3404" s="250"/>
      <c r="M3404" s="249"/>
      <c r="N3404" s="330"/>
      <c r="O3404" s="250"/>
      <c r="P3404" s="249"/>
      <c r="Q3404" s="330"/>
      <c r="R3404" s="250"/>
      <c r="S3404" s="249"/>
      <c r="T3404" s="330"/>
      <c r="U3404" s="250"/>
      <c r="V3404" s="249"/>
      <c r="W3404" s="330"/>
      <c r="X3404" s="343"/>
      <c r="Y3404" s="249"/>
      <c r="Z3404" s="330"/>
      <c r="AA3404" s="343"/>
      <c r="AB3404" s="249"/>
      <c r="AC3404" s="330"/>
      <c r="AD3404" s="343"/>
      <c r="AE3404" s="249"/>
      <c r="AF3404" s="330"/>
      <c r="AG3404" s="343"/>
      <c r="AH3404" s="249"/>
      <c r="AI3404" s="330"/>
      <c r="AJ3404" s="343"/>
      <c r="AK3404" s="249"/>
      <c r="AL3404" s="330"/>
      <c r="AM3404" s="343"/>
      <c r="AN3404" s="249"/>
      <c r="AO3404" s="330"/>
      <c r="AP3404" s="343"/>
      <c r="AQ3404" s="249"/>
      <c r="AR3404" s="330"/>
      <c r="AS3404" s="343"/>
      <c r="AT3404" s="249"/>
      <c r="AU3404" s="330"/>
    </row>
    <row r="3405" spans="2:47">
      <c r="B3405" s="247">
        <f>'Table S2 Compound Identifiers'!C3407</f>
        <v>0</v>
      </c>
      <c r="C3405" s="247">
        <f>COUNTIF($D$6:D3405,"&lt;&gt;"&amp;"")</f>
        <v>3400</v>
      </c>
      <c r="D3405" s="247">
        <f>'Table S2 Compound Identifiers'!B3407</f>
        <v>0</v>
      </c>
      <c r="E3405" s="247"/>
      <c r="F3405" s="248"/>
      <c r="G3405" s="249"/>
      <c r="H3405" s="330"/>
      <c r="I3405" s="328"/>
      <c r="J3405" s="249"/>
      <c r="K3405" s="330"/>
      <c r="L3405" s="250"/>
      <c r="M3405" s="249"/>
      <c r="N3405" s="330"/>
      <c r="O3405" s="250"/>
      <c r="P3405" s="249"/>
      <c r="Q3405" s="330"/>
      <c r="R3405" s="250"/>
      <c r="S3405" s="249"/>
      <c r="T3405" s="330"/>
      <c r="U3405" s="250"/>
      <c r="V3405" s="249"/>
      <c r="W3405" s="330"/>
      <c r="X3405" s="343"/>
      <c r="Y3405" s="249"/>
      <c r="Z3405" s="330"/>
      <c r="AA3405" s="343"/>
      <c r="AB3405" s="249"/>
      <c r="AC3405" s="330"/>
      <c r="AD3405" s="343"/>
      <c r="AE3405" s="249"/>
      <c r="AF3405" s="330"/>
      <c r="AG3405" s="343"/>
      <c r="AH3405" s="249"/>
      <c r="AI3405" s="330"/>
      <c r="AJ3405" s="343"/>
      <c r="AK3405" s="249"/>
      <c r="AL3405" s="330"/>
      <c r="AM3405" s="343"/>
      <c r="AN3405" s="249"/>
      <c r="AO3405" s="330"/>
      <c r="AP3405" s="343"/>
      <c r="AQ3405" s="249"/>
      <c r="AR3405" s="330"/>
      <c r="AS3405" s="343"/>
      <c r="AT3405" s="249"/>
      <c r="AU3405" s="330"/>
    </row>
    <row r="3406" spans="2:47">
      <c r="B3406" s="247">
        <f>'Table S2 Compound Identifiers'!C3408</f>
        <v>0</v>
      </c>
      <c r="C3406" s="247">
        <f>COUNTIF($D$6:D3406,"&lt;&gt;"&amp;"")</f>
        <v>3401</v>
      </c>
      <c r="D3406" s="247">
        <f>'Table S2 Compound Identifiers'!B3408</f>
        <v>0</v>
      </c>
      <c r="E3406" s="247"/>
      <c r="F3406" s="248"/>
      <c r="G3406" s="249"/>
      <c r="H3406" s="330"/>
      <c r="I3406" s="328"/>
      <c r="J3406" s="249"/>
      <c r="K3406" s="330"/>
      <c r="L3406" s="250"/>
      <c r="M3406" s="249"/>
      <c r="N3406" s="330"/>
      <c r="O3406" s="250"/>
      <c r="P3406" s="249"/>
      <c r="Q3406" s="330"/>
      <c r="R3406" s="250"/>
      <c r="S3406" s="249"/>
      <c r="T3406" s="330"/>
      <c r="U3406" s="250"/>
      <c r="V3406" s="249"/>
      <c r="W3406" s="330"/>
      <c r="X3406" s="343"/>
      <c r="Y3406" s="249"/>
      <c r="Z3406" s="330"/>
      <c r="AA3406" s="343"/>
      <c r="AB3406" s="249"/>
      <c r="AC3406" s="330"/>
      <c r="AD3406" s="343"/>
      <c r="AE3406" s="249"/>
      <c r="AF3406" s="330"/>
      <c r="AG3406" s="343"/>
      <c r="AH3406" s="249"/>
      <c r="AI3406" s="330"/>
      <c r="AJ3406" s="343"/>
      <c r="AK3406" s="249"/>
      <c r="AL3406" s="330"/>
      <c r="AM3406" s="343"/>
      <c r="AN3406" s="249"/>
      <c r="AO3406" s="330"/>
      <c r="AP3406" s="343"/>
      <c r="AQ3406" s="249"/>
      <c r="AR3406" s="330"/>
      <c r="AS3406" s="343"/>
      <c r="AT3406" s="249"/>
      <c r="AU3406" s="330"/>
    </row>
    <row r="3407" spans="2:47">
      <c r="B3407" s="247">
        <f>'Table S2 Compound Identifiers'!C3409</f>
        <v>0</v>
      </c>
      <c r="C3407" s="247">
        <f>COUNTIF($D$6:D3407,"&lt;&gt;"&amp;"")</f>
        <v>3402</v>
      </c>
      <c r="D3407" s="247">
        <f>'Table S2 Compound Identifiers'!B3409</f>
        <v>0</v>
      </c>
      <c r="E3407" s="247"/>
      <c r="F3407" s="248"/>
      <c r="G3407" s="249"/>
      <c r="H3407" s="330"/>
      <c r="I3407" s="328"/>
      <c r="J3407" s="249"/>
      <c r="K3407" s="330"/>
      <c r="L3407" s="250"/>
      <c r="M3407" s="249"/>
      <c r="N3407" s="330"/>
      <c r="O3407" s="250"/>
      <c r="P3407" s="249"/>
      <c r="Q3407" s="330"/>
      <c r="R3407" s="250"/>
      <c r="S3407" s="249"/>
      <c r="T3407" s="330"/>
      <c r="U3407" s="250"/>
      <c r="V3407" s="249"/>
      <c r="W3407" s="330"/>
      <c r="X3407" s="343"/>
      <c r="Y3407" s="249"/>
      <c r="Z3407" s="330"/>
      <c r="AA3407" s="343"/>
      <c r="AB3407" s="249"/>
      <c r="AC3407" s="330"/>
      <c r="AD3407" s="343"/>
      <c r="AE3407" s="249"/>
      <c r="AF3407" s="330"/>
      <c r="AG3407" s="343"/>
      <c r="AH3407" s="249"/>
      <c r="AI3407" s="330"/>
      <c r="AJ3407" s="343"/>
      <c r="AK3407" s="249"/>
      <c r="AL3407" s="330"/>
      <c r="AM3407" s="343"/>
      <c r="AN3407" s="249"/>
      <c r="AO3407" s="330"/>
      <c r="AP3407" s="343"/>
      <c r="AQ3407" s="249"/>
      <c r="AR3407" s="330"/>
      <c r="AS3407" s="343"/>
      <c r="AT3407" s="249"/>
      <c r="AU3407" s="330"/>
    </row>
    <row r="3408" spans="2:47">
      <c r="B3408" s="247">
        <f>'Table S2 Compound Identifiers'!C3410</f>
        <v>0</v>
      </c>
      <c r="C3408" s="247">
        <f>COUNTIF($D$6:D3408,"&lt;&gt;"&amp;"")</f>
        <v>3403</v>
      </c>
      <c r="D3408" s="247">
        <f>'Table S2 Compound Identifiers'!B3410</f>
        <v>0</v>
      </c>
      <c r="E3408" s="247"/>
      <c r="F3408" s="248"/>
      <c r="G3408" s="249"/>
      <c r="H3408" s="330"/>
      <c r="I3408" s="328"/>
      <c r="J3408" s="249"/>
      <c r="K3408" s="330"/>
      <c r="L3408" s="250"/>
      <c r="M3408" s="249"/>
      <c r="N3408" s="330"/>
      <c r="O3408" s="251"/>
      <c r="P3408" s="252"/>
      <c r="Q3408" s="330"/>
      <c r="R3408" s="251"/>
      <c r="S3408" s="252"/>
      <c r="T3408" s="330"/>
      <c r="U3408" s="251"/>
      <c r="V3408" s="252"/>
      <c r="W3408" s="330"/>
      <c r="X3408" s="343"/>
      <c r="Y3408" s="249"/>
      <c r="Z3408" s="330"/>
      <c r="AA3408" s="343"/>
      <c r="AB3408" s="249"/>
      <c r="AC3408" s="330"/>
      <c r="AD3408" s="343"/>
      <c r="AE3408" s="249"/>
      <c r="AF3408" s="330"/>
      <c r="AG3408" s="343"/>
      <c r="AH3408" s="249"/>
      <c r="AI3408" s="330"/>
      <c r="AJ3408" s="343"/>
      <c r="AK3408" s="249"/>
      <c r="AL3408" s="330"/>
      <c r="AM3408" s="343"/>
      <c r="AN3408" s="249"/>
      <c r="AO3408" s="330"/>
      <c r="AP3408" s="343"/>
      <c r="AQ3408" s="249"/>
      <c r="AR3408" s="330"/>
      <c r="AS3408" s="343"/>
      <c r="AT3408" s="249"/>
      <c r="AU3408" s="330"/>
    </row>
    <row r="3409" spans="2:47">
      <c r="B3409" s="247">
        <f>'Table S2 Compound Identifiers'!C3411</f>
        <v>0</v>
      </c>
      <c r="C3409" s="253">
        <f>COUNTIF($D$6:D3409,"&lt;&gt;"&amp;"")</f>
        <v>3404</v>
      </c>
      <c r="D3409" s="253">
        <f>'Table S2 Compound Identifiers'!B3411</f>
        <v>0</v>
      </c>
      <c r="E3409" s="253"/>
      <c r="F3409" s="254"/>
      <c r="G3409" s="252"/>
      <c r="H3409" s="330"/>
      <c r="I3409" s="333"/>
      <c r="J3409" s="252"/>
      <c r="K3409" s="330"/>
      <c r="L3409" s="251"/>
      <c r="M3409" s="252"/>
      <c r="N3409" s="330"/>
      <c r="O3409" s="251"/>
      <c r="P3409" s="252"/>
      <c r="Q3409" s="330"/>
      <c r="R3409" s="251"/>
      <c r="S3409" s="252"/>
      <c r="T3409" s="330"/>
      <c r="U3409" s="251"/>
      <c r="V3409" s="252"/>
      <c r="W3409" s="330"/>
      <c r="X3409" s="343"/>
      <c r="Y3409" s="249"/>
      <c r="Z3409" s="330"/>
      <c r="AA3409" s="343"/>
      <c r="AB3409" s="249"/>
      <c r="AC3409" s="330"/>
      <c r="AD3409" s="343"/>
      <c r="AE3409" s="249"/>
      <c r="AF3409" s="330"/>
      <c r="AG3409" s="343"/>
      <c r="AH3409" s="249"/>
      <c r="AI3409" s="330"/>
      <c r="AJ3409" s="343"/>
      <c r="AK3409" s="249"/>
      <c r="AL3409" s="330"/>
      <c r="AM3409" s="343"/>
      <c r="AN3409" s="249"/>
      <c r="AO3409" s="330"/>
      <c r="AP3409" s="343"/>
      <c r="AQ3409" s="249"/>
      <c r="AR3409" s="330"/>
      <c r="AS3409" s="343"/>
      <c r="AT3409" s="249"/>
      <c r="AU3409" s="330"/>
    </row>
    <row r="3410" spans="2:47">
      <c r="B3410" s="247">
        <f>'Table S2 Compound Identifiers'!C3412</f>
        <v>0</v>
      </c>
      <c r="C3410" s="247">
        <f>COUNTIF($D$6:D3410,"&lt;&gt;"&amp;"")</f>
        <v>3405</v>
      </c>
      <c r="D3410" s="247">
        <f>'Table S2 Compound Identifiers'!B3412</f>
        <v>0</v>
      </c>
      <c r="E3410" s="247"/>
      <c r="F3410" s="248"/>
      <c r="G3410" s="250"/>
      <c r="H3410" s="330"/>
      <c r="I3410" s="343"/>
      <c r="J3410" s="249"/>
      <c r="K3410" s="327"/>
      <c r="L3410" s="343"/>
      <c r="M3410" s="249"/>
      <c r="N3410" s="327"/>
      <c r="O3410" s="343"/>
      <c r="P3410" s="249"/>
      <c r="Q3410" s="327"/>
      <c r="R3410" s="343"/>
      <c r="S3410" s="249"/>
      <c r="T3410" s="327"/>
      <c r="U3410" s="343"/>
      <c r="V3410" s="249"/>
      <c r="W3410" s="327"/>
      <c r="X3410" s="343"/>
      <c r="Y3410" s="249"/>
      <c r="Z3410" s="327"/>
      <c r="AA3410" s="343"/>
      <c r="AB3410" s="249"/>
      <c r="AC3410" s="343"/>
      <c r="AD3410" s="343"/>
      <c r="AE3410" s="249"/>
      <c r="AF3410" s="249"/>
      <c r="AG3410" s="343"/>
      <c r="AH3410" s="249"/>
      <c r="AI3410" s="343"/>
      <c r="AJ3410" s="343"/>
      <c r="AK3410" s="249"/>
      <c r="AL3410" s="249"/>
      <c r="AM3410" s="343"/>
      <c r="AN3410" s="249"/>
      <c r="AO3410" s="343"/>
      <c r="AP3410" s="343"/>
      <c r="AQ3410" s="249"/>
      <c r="AR3410" s="249"/>
      <c r="AS3410" s="343"/>
      <c r="AT3410" s="249"/>
      <c r="AU3410" s="343"/>
    </row>
    <row r="3411" spans="2:47">
      <c r="B3411" s="247">
        <f>'Table S2 Compound Identifiers'!C3413</f>
        <v>0</v>
      </c>
      <c r="C3411" s="247">
        <f>COUNTIF($D$6:D3411,"&lt;&gt;"&amp;"")</f>
        <v>3406</v>
      </c>
      <c r="D3411" s="247">
        <f>'Table S2 Compound Identifiers'!B3413</f>
        <v>0</v>
      </c>
      <c r="E3411" s="247"/>
      <c r="F3411" s="248"/>
      <c r="G3411" s="249"/>
      <c r="H3411" s="330"/>
      <c r="I3411" s="332"/>
      <c r="J3411" s="330"/>
      <c r="K3411" s="330"/>
      <c r="L3411" s="330"/>
      <c r="M3411" s="330"/>
      <c r="N3411" s="330"/>
      <c r="O3411" s="330"/>
      <c r="P3411" s="330"/>
      <c r="Q3411" s="330"/>
      <c r="R3411" s="330"/>
      <c r="S3411" s="330"/>
      <c r="T3411" s="330"/>
      <c r="U3411" s="330"/>
      <c r="V3411" s="330"/>
      <c r="W3411" s="330"/>
      <c r="X3411" s="343"/>
      <c r="Y3411" s="249"/>
      <c r="Z3411" s="330"/>
      <c r="AA3411" s="343"/>
      <c r="AB3411" s="249"/>
      <c r="AC3411" s="330"/>
      <c r="AD3411" s="343"/>
      <c r="AE3411" s="249"/>
      <c r="AF3411" s="330"/>
      <c r="AG3411" s="343"/>
      <c r="AH3411" s="249"/>
      <c r="AI3411" s="330"/>
      <c r="AJ3411" s="343"/>
      <c r="AK3411" s="249"/>
      <c r="AL3411" s="330"/>
      <c r="AM3411" s="343"/>
      <c r="AN3411" s="249"/>
      <c r="AO3411" s="330"/>
      <c r="AP3411" s="343"/>
      <c r="AQ3411" s="249"/>
      <c r="AR3411" s="330"/>
      <c r="AS3411" s="343"/>
      <c r="AT3411" s="249"/>
      <c r="AU3411" s="330"/>
    </row>
    <row r="3412" spans="2:47">
      <c r="B3412" s="247">
        <f>'Table S2 Compound Identifiers'!C3414</f>
        <v>0</v>
      </c>
      <c r="C3412" s="247">
        <f>COUNTIF($D$6:D3412,"&lt;&gt;"&amp;"")</f>
        <v>3407</v>
      </c>
      <c r="D3412" s="247">
        <f>'Table S2 Compound Identifiers'!B3414</f>
        <v>0</v>
      </c>
      <c r="E3412" s="247"/>
      <c r="F3412" s="248"/>
      <c r="G3412" s="249"/>
      <c r="H3412" s="330"/>
      <c r="I3412" s="332"/>
      <c r="J3412" s="330"/>
      <c r="K3412" s="330"/>
      <c r="L3412" s="330"/>
      <c r="M3412" s="330"/>
      <c r="N3412" s="330"/>
      <c r="O3412" s="330"/>
      <c r="P3412" s="330"/>
      <c r="Q3412" s="330"/>
      <c r="R3412" s="330"/>
      <c r="S3412" s="330"/>
      <c r="T3412" s="330"/>
      <c r="U3412" s="330"/>
      <c r="V3412" s="330"/>
      <c r="W3412" s="330"/>
      <c r="X3412" s="343"/>
      <c r="Y3412" s="249"/>
      <c r="Z3412" s="330"/>
      <c r="AA3412" s="343"/>
      <c r="AB3412" s="249"/>
      <c r="AC3412" s="330"/>
      <c r="AD3412" s="343"/>
      <c r="AE3412" s="249"/>
      <c r="AF3412" s="330"/>
      <c r="AG3412" s="343"/>
      <c r="AH3412" s="249"/>
      <c r="AI3412" s="330"/>
      <c r="AJ3412" s="343"/>
      <c r="AK3412" s="249"/>
      <c r="AL3412" s="330"/>
      <c r="AM3412" s="343"/>
      <c r="AN3412" s="249"/>
      <c r="AO3412" s="330"/>
      <c r="AP3412" s="343"/>
      <c r="AQ3412" s="249"/>
      <c r="AR3412" s="330"/>
      <c r="AS3412" s="343"/>
      <c r="AT3412" s="249"/>
      <c r="AU3412" s="330"/>
    </row>
    <row r="3413" spans="2:47">
      <c r="B3413" s="247">
        <f>'Table S2 Compound Identifiers'!C3415</f>
        <v>0</v>
      </c>
      <c r="C3413" s="247">
        <f>COUNTIF($D$6:D3413,"&lt;&gt;"&amp;"")</f>
        <v>3408</v>
      </c>
      <c r="D3413" s="247">
        <f>'Table S2 Compound Identifiers'!B3415</f>
        <v>0</v>
      </c>
      <c r="E3413" s="247"/>
      <c r="F3413" s="248"/>
      <c r="G3413" s="249"/>
      <c r="H3413" s="330"/>
      <c r="I3413" s="332"/>
      <c r="J3413" s="330"/>
      <c r="K3413" s="330"/>
      <c r="L3413" s="330"/>
      <c r="M3413" s="330"/>
      <c r="N3413" s="330"/>
      <c r="O3413" s="330"/>
      <c r="P3413" s="330"/>
      <c r="Q3413" s="330"/>
      <c r="R3413" s="330"/>
      <c r="S3413" s="330"/>
      <c r="T3413" s="330"/>
      <c r="U3413" s="330"/>
      <c r="V3413" s="330"/>
      <c r="W3413" s="330"/>
      <c r="X3413" s="343"/>
      <c r="Y3413" s="249"/>
      <c r="Z3413" s="330"/>
      <c r="AA3413" s="343"/>
      <c r="AB3413" s="249"/>
      <c r="AC3413" s="330"/>
      <c r="AD3413" s="343"/>
      <c r="AE3413" s="249"/>
      <c r="AF3413" s="330"/>
      <c r="AG3413" s="343"/>
      <c r="AH3413" s="249"/>
      <c r="AI3413" s="330"/>
      <c r="AJ3413" s="343"/>
      <c r="AK3413" s="249"/>
      <c r="AL3413" s="330"/>
      <c r="AM3413" s="343"/>
      <c r="AN3413" s="249"/>
      <c r="AO3413" s="330"/>
      <c r="AP3413" s="343"/>
      <c r="AQ3413" s="249"/>
      <c r="AR3413" s="330"/>
      <c r="AS3413" s="343"/>
      <c r="AT3413" s="249"/>
      <c r="AU3413" s="330"/>
    </row>
    <row r="3414" spans="2:47">
      <c r="B3414" s="247">
        <f>'Table S2 Compound Identifiers'!C3416</f>
        <v>0</v>
      </c>
      <c r="C3414" s="247">
        <f>COUNTIF($D$6:D3414,"&lt;&gt;"&amp;"")</f>
        <v>3409</v>
      </c>
      <c r="D3414" s="247">
        <f>'Table S2 Compound Identifiers'!B3416</f>
        <v>0</v>
      </c>
      <c r="E3414" s="247"/>
      <c r="F3414" s="248"/>
      <c r="G3414" s="249"/>
      <c r="H3414" s="330"/>
      <c r="I3414" s="328"/>
      <c r="J3414" s="249"/>
      <c r="K3414" s="330"/>
      <c r="L3414" s="250"/>
      <c r="M3414" s="249"/>
      <c r="N3414" s="330"/>
      <c r="O3414" s="250"/>
      <c r="P3414" s="249"/>
      <c r="Q3414" s="330"/>
      <c r="R3414" s="250"/>
      <c r="S3414" s="249"/>
      <c r="T3414" s="330"/>
      <c r="U3414" s="250"/>
      <c r="V3414" s="249"/>
      <c r="W3414" s="330"/>
      <c r="X3414" s="343"/>
      <c r="Y3414" s="249"/>
      <c r="Z3414" s="330"/>
      <c r="AA3414" s="343"/>
      <c r="AB3414" s="249"/>
      <c r="AC3414" s="330"/>
      <c r="AD3414" s="343"/>
      <c r="AE3414" s="249"/>
      <c r="AF3414" s="330"/>
      <c r="AG3414" s="343"/>
      <c r="AH3414" s="249"/>
      <c r="AI3414" s="330"/>
      <c r="AJ3414" s="343"/>
      <c r="AK3414" s="249"/>
      <c r="AL3414" s="330"/>
      <c r="AM3414" s="343"/>
      <c r="AN3414" s="249"/>
      <c r="AO3414" s="330"/>
      <c r="AP3414" s="343"/>
      <c r="AQ3414" s="249"/>
      <c r="AR3414" s="330"/>
      <c r="AS3414" s="343"/>
      <c r="AT3414" s="249"/>
      <c r="AU3414" s="330"/>
    </row>
    <row r="3415" spans="2:47">
      <c r="B3415" s="247">
        <f>'Table S2 Compound Identifiers'!C3417</f>
        <v>0</v>
      </c>
      <c r="C3415" s="247">
        <f>COUNTIF($D$6:D3415,"&lt;&gt;"&amp;"")</f>
        <v>3410</v>
      </c>
      <c r="D3415" s="247">
        <f>'Table S2 Compound Identifiers'!B3417</f>
        <v>0</v>
      </c>
      <c r="E3415" s="247"/>
      <c r="F3415" s="248"/>
      <c r="G3415" s="249"/>
      <c r="H3415" s="330"/>
      <c r="I3415" s="328"/>
      <c r="J3415" s="249"/>
      <c r="K3415" s="330"/>
      <c r="L3415" s="250"/>
      <c r="M3415" s="249"/>
      <c r="N3415" s="330"/>
      <c r="O3415" s="250"/>
      <c r="P3415" s="249"/>
      <c r="Q3415" s="330"/>
      <c r="R3415" s="250"/>
      <c r="S3415" s="249"/>
      <c r="T3415" s="330"/>
      <c r="U3415" s="250"/>
      <c r="V3415" s="249"/>
      <c r="W3415" s="330"/>
      <c r="X3415" s="343"/>
      <c r="Y3415" s="249"/>
      <c r="Z3415" s="330"/>
      <c r="AA3415" s="343"/>
      <c r="AB3415" s="249"/>
      <c r="AC3415" s="330"/>
      <c r="AD3415" s="343"/>
      <c r="AE3415" s="249"/>
      <c r="AF3415" s="330"/>
      <c r="AG3415" s="343"/>
      <c r="AH3415" s="249"/>
      <c r="AI3415" s="330"/>
      <c r="AJ3415" s="343"/>
      <c r="AK3415" s="249"/>
      <c r="AL3415" s="330"/>
      <c r="AM3415" s="343"/>
      <c r="AN3415" s="249"/>
      <c r="AO3415" s="330"/>
      <c r="AP3415" s="343"/>
      <c r="AQ3415" s="249"/>
      <c r="AR3415" s="330"/>
      <c r="AS3415" s="343"/>
      <c r="AT3415" s="249"/>
      <c r="AU3415" s="330"/>
    </row>
    <row r="3416" spans="2:47">
      <c r="B3416" s="247">
        <f>'Table S2 Compound Identifiers'!C3418</f>
        <v>0</v>
      </c>
      <c r="C3416" s="247">
        <f>COUNTIF($D$6:D3416,"&lt;&gt;"&amp;"")</f>
        <v>3411</v>
      </c>
      <c r="D3416" s="247">
        <f>'Table S2 Compound Identifiers'!B3418</f>
        <v>0</v>
      </c>
      <c r="E3416" s="247"/>
      <c r="F3416" s="248"/>
      <c r="G3416" s="249"/>
      <c r="H3416" s="330"/>
      <c r="I3416" s="328"/>
      <c r="J3416" s="249"/>
      <c r="K3416" s="330"/>
      <c r="L3416" s="250"/>
      <c r="M3416" s="249"/>
      <c r="N3416" s="330"/>
      <c r="O3416" s="250"/>
      <c r="P3416" s="249"/>
      <c r="Q3416" s="330"/>
      <c r="R3416" s="250"/>
      <c r="S3416" s="249"/>
      <c r="T3416" s="330"/>
      <c r="U3416" s="250"/>
      <c r="V3416" s="249"/>
      <c r="W3416" s="330"/>
      <c r="X3416" s="343"/>
      <c r="Y3416" s="249"/>
      <c r="Z3416" s="330"/>
      <c r="AA3416" s="343"/>
      <c r="AB3416" s="249"/>
      <c r="AC3416" s="330"/>
      <c r="AD3416" s="343"/>
      <c r="AE3416" s="249"/>
      <c r="AF3416" s="330"/>
      <c r="AG3416" s="343"/>
      <c r="AH3416" s="249"/>
      <c r="AI3416" s="330"/>
      <c r="AJ3416" s="343"/>
      <c r="AK3416" s="249"/>
      <c r="AL3416" s="330"/>
      <c r="AM3416" s="343"/>
      <c r="AN3416" s="249"/>
      <c r="AO3416" s="330"/>
      <c r="AP3416" s="343"/>
      <c r="AQ3416" s="249"/>
      <c r="AR3416" s="330"/>
      <c r="AS3416" s="343"/>
      <c r="AT3416" s="249"/>
      <c r="AU3416" s="330"/>
    </row>
    <row r="3417" spans="2:47">
      <c r="B3417" s="247">
        <f>'Table S2 Compound Identifiers'!C3419</f>
        <v>0</v>
      </c>
      <c r="C3417" s="247">
        <f>COUNTIF($D$6:D3417,"&lt;&gt;"&amp;"")</f>
        <v>3412</v>
      </c>
      <c r="D3417" s="247">
        <f>'Table S2 Compound Identifiers'!B3419</f>
        <v>0</v>
      </c>
      <c r="E3417" s="247"/>
      <c r="F3417" s="248"/>
      <c r="G3417" s="249"/>
      <c r="H3417" s="330"/>
      <c r="I3417" s="328"/>
      <c r="J3417" s="249"/>
      <c r="K3417" s="330"/>
      <c r="L3417" s="250"/>
      <c r="M3417" s="249"/>
      <c r="N3417" s="330"/>
      <c r="O3417" s="250"/>
      <c r="P3417" s="249"/>
      <c r="Q3417" s="330"/>
      <c r="R3417" s="250"/>
      <c r="S3417" s="249"/>
      <c r="T3417" s="330"/>
      <c r="U3417" s="250"/>
      <c r="V3417" s="249"/>
      <c r="W3417" s="330"/>
      <c r="X3417" s="343"/>
      <c r="Y3417" s="249"/>
      <c r="Z3417" s="330"/>
      <c r="AA3417" s="343"/>
      <c r="AB3417" s="249"/>
      <c r="AC3417" s="330"/>
      <c r="AD3417" s="343"/>
      <c r="AE3417" s="249"/>
      <c r="AF3417" s="330"/>
      <c r="AG3417" s="343"/>
      <c r="AH3417" s="249"/>
      <c r="AI3417" s="330"/>
      <c r="AJ3417" s="343"/>
      <c r="AK3417" s="249"/>
      <c r="AL3417" s="330"/>
      <c r="AM3417" s="343"/>
      <c r="AN3417" s="249"/>
      <c r="AO3417" s="330"/>
      <c r="AP3417" s="343"/>
      <c r="AQ3417" s="249"/>
      <c r="AR3417" s="330"/>
      <c r="AS3417" s="343"/>
      <c r="AT3417" s="249"/>
      <c r="AU3417" s="330"/>
    </row>
    <row r="3418" spans="2:47">
      <c r="B3418" s="247">
        <f>'Table S2 Compound Identifiers'!C3420</f>
        <v>0</v>
      </c>
      <c r="C3418" s="247">
        <f>COUNTIF($D$6:D3418,"&lt;&gt;"&amp;"")</f>
        <v>3413</v>
      </c>
      <c r="D3418" s="247">
        <f>'Table S2 Compound Identifiers'!B3420</f>
        <v>0</v>
      </c>
      <c r="E3418" s="247"/>
      <c r="F3418" s="248"/>
      <c r="G3418" s="249"/>
      <c r="H3418" s="330"/>
      <c r="I3418" s="328"/>
      <c r="J3418" s="249"/>
      <c r="K3418" s="330"/>
      <c r="L3418" s="250"/>
      <c r="M3418" s="249"/>
      <c r="N3418" s="330"/>
      <c r="O3418" s="250"/>
      <c r="P3418" s="249"/>
      <c r="Q3418" s="330"/>
      <c r="R3418" s="250"/>
      <c r="S3418" s="249"/>
      <c r="T3418" s="330"/>
      <c r="U3418" s="250"/>
      <c r="V3418" s="249"/>
      <c r="W3418" s="330"/>
      <c r="X3418" s="343"/>
      <c r="Y3418" s="249"/>
      <c r="Z3418" s="330"/>
      <c r="AA3418" s="343"/>
      <c r="AB3418" s="249"/>
      <c r="AC3418" s="330"/>
      <c r="AD3418" s="343"/>
      <c r="AE3418" s="249"/>
      <c r="AF3418" s="330"/>
      <c r="AG3418" s="343"/>
      <c r="AH3418" s="249"/>
      <c r="AI3418" s="330"/>
      <c r="AJ3418" s="343"/>
      <c r="AK3418" s="249"/>
      <c r="AL3418" s="330"/>
      <c r="AM3418" s="343"/>
      <c r="AN3418" s="249"/>
      <c r="AO3418" s="330"/>
      <c r="AP3418" s="343"/>
      <c r="AQ3418" s="249"/>
      <c r="AR3418" s="330"/>
      <c r="AS3418" s="343"/>
      <c r="AT3418" s="249"/>
      <c r="AU3418" s="330"/>
    </row>
    <row r="3419" spans="2:47">
      <c r="B3419" s="247">
        <f>'Table S2 Compound Identifiers'!C3421</f>
        <v>0</v>
      </c>
      <c r="C3419" s="247">
        <f>COUNTIF($D$6:D3419,"&lt;&gt;"&amp;"")</f>
        <v>3414</v>
      </c>
      <c r="D3419" s="247">
        <f>'Table S2 Compound Identifiers'!B3421</f>
        <v>0</v>
      </c>
      <c r="E3419" s="247"/>
      <c r="F3419" s="248"/>
      <c r="G3419" s="249"/>
      <c r="H3419" s="330"/>
      <c r="I3419" s="328"/>
      <c r="J3419" s="249"/>
      <c r="K3419" s="330"/>
      <c r="L3419" s="250"/>
      <c r="M3419" s="249"/>
      <c r="N3419" s="330"/>
      <c r="O3419" s="250"/>
      <c r="P3419" s="249"/>
      <c r="Q3419" s="330"/>
      <c r="R3419" s="250"/>
      <c r="S3419" s="249"/>
      <c r="T3419" s="330"/>
      <c r="U3419" s="250"/>
      <c r="V3419" s="249"/>
      <c r="W3419" s="330"/>
      <c r="X3419" s="343"/>
      <c r="Y3419" s="249"/>
      <c r="Z3419" s="330"/>
      <c r="AA3419" s="343"/>
      <c r="AB3419" s="249"/>
      <c r="AC3419" s="330"/>
      <c r="AD3419" s="343"/>
      <c r="AE3419" s="249"/>
      <c r="AF3419" s="330"/>
      <c r="AG3419" s="343"/>
      <c r="AH3419" s="249"/>
      <c r="AI3419" s="330"/>
      <c r="AJ3419" s="343"/>
      <c r="AK3419" s="249"/>
      <c r="AL3419" s="330"/>
      <c r="AM3419" s="343"/>
      <c r="AN3419" s="249"/>
      <c r="AO3419" s="330"/>
      <c r="AP3419" s="343"/>
      <c r="AQ3419" s="249"/>
      <c r="AR3419" s="330"/>
      <c r="AS3419" s="343"/>
      <c r="AT3419" s="249"/>
      <c r="AU3419" s="330"/>
    </row>
    <row r="3420" spans="2:47">
      <c r="B3420" s="247">
        <f>'Table S2 Compound Identifiers'!C3422</f>
        <v>0</v>
      </c>
      <c r="C3420" s="247">
        <f>COUNTIF($D$6:D3420,"&lt;&gt;"&amp;"")</f>
        <v>3415</v>
      </c>
      <c r="D3420" s="247">
        <f>'Table S2 Compound Identifiers'!B3422</f>
        <v>0</v>
      </c>
      <c r="E3420" s="247"/>
      <c r="F3420" s="248"/>
      <c r="G3420" s="249"/>
      <c r="H3420" s="330"/>
      <c r="I3420" s="328"/>
      <c r="J3420" s="249"/>
      <c r="K3420" s="330"/>
      <c r="L3420" s="250"/>
      <c r="M3420" s="249"/>
      <c r="N3420" s="330"/>
      <c r="O3420" s="250"/>
      <c r="P3420" s="249"/>
      <c r="Q3420" s="330"/>
      <c r="R3420" s="250"/>
      <c r="S3420" s="249"/>
      <c r="T3420" s="330"/>
      <c r="U3420" s="250"/>
      <c r="V3420" s="249"/>
      <c r="W3420" s="330"/>
      <c r="X3420" s="343"/>
      <c r="Y3420" s="249"/>
      <c r="Z3420" s="330"/>
      <c r="AA3420" s="343"/>
      <c r="AB3420" s="249"/>
      <c r="AC3420" s="330"/>
      <c r="AD3420" s="343"/>
      <c r="AE3420" s="249"/>
      <c r="AF3420" s="330"/>
      <c r="AG3420" s="343"/>
      <c r="AH3420" s="249"/>
      <c r="AI3420" s="330"/>
      <c r="AJ3420" s="343"/>
      <c r="AK3420" s="249"/>
      <c r="AL3420" s="330"/>
      <c r="AM3420" s="343"/>
      <c r="AN3420" s="249"/>
      <c r="AO3420" s="330"/>
      <c r="AP3420" s="343"/>
      <c r="AQ3420" s="249"/>
      <c r="AR3420" s="330"/>
      <c r="AS3420" s="343"/>
      <c r="AT3420" s="249"/>
      <c r="AU3420" s="330"/>
    </row>
    <row r="3421" spans="2:47">
      <c r="B3421" s="247">
        <f>'Table S2 Compound Identifiers'!C3423</f>
        <v>0</v>
      </c>
      <c r="C3421" s="247">
        <f>COUNTIF($D$6:D3421,"&lt;&gt;"&amp;"")</f>
        <v>3416</v>
      </c>
      <c r="D3421" s="247">
        <f>'Table S2 Compound Identifiers'!B3423</f>
        <v>0</v>
      </c>
      <c r="E3421" s="247"/>
      <c r="F3421" s="248"/>
      <c r="G3421" s="249"/>
      <c r="H3421" s="330"/>
      <c r="I3421" s="328"/>
      <c r="J3421" s="249"/>
      <c r="K3421" s="330"/>
      <c r="L3421" s="250"/>
      <c r="M3421" s="249"/>
      <c r="N3421" s="330"/>
      <c r="O3421" s="250"/>
      <c r="P3421" s="249"/>
      <c r="Q3421" s="330"/>
      <c r="R3421" s="250"/>
      <c r="S3421" s="249"/>
      <c r="T3421" s="330"/>
      <c r="U3421" s="250"/>
      <c r="V3421" s="249"/>
      <c r="W3421" s="330"/>
      <c r="X3421" s="343"/>
      <c r="Y3421" s="249"/>
      <c r="Z3421" s="330"/>
      <c r="AA3421" s="343"/>
      <c r="AB3421" s="249"/>
      <c r="AC3421" s="330"/>
      <c r="AD3421" s="343"/>
      <c r="AE3421" s="249"/>
      <c r="AF3421" s="330"/>
      <c r="AG3421" s="343"/>
      <c r="AH3421" s="249"/>
      <c r="AI3421" s="330"/>
      <c r="AJ3421" s="343"/>
      <c r="AK3421" s="249"/>
      <c r="AL3421" s="330"/>
      <c r="AM3421" s="343"/>
      <c r="AN3421" s="249"/>
      <c r="AO3421" s="330"/>
      <c r="AP3421" s="343"/>
      <c r="AQ3421" s="249"/>
      <c r="AR3421" s="330"/>
      <c r="AS3421" s="343"/>
      <c r="AT3421" s="249"/>
      <c r="AU3421" s="330"/>
    </row>
    <row r="3422" spans="2:47">
      <c r="B3422" s="247">
        <f>'Table S2 Compound Identifiers'!C3424</f>
        <v>0</v>
      </c>
      <c r="C3422" s="247">
        <f>COUNTIF($D$6:D3422,"&lt;&gt;"&amp;"")</f>
        <v>3417</v>
      </c>
      <c r="D3422" s="247">
        <f>'Table S2 Compound Identifiers'!B3424</f>
        <v>0</v>
      </c>
      <c r="E3422" s="247"/>
      <c r="F3422" s="248"/>
      <c r="G3422" s="249"/>
      <c r="H3422" s="330"/>
      <c r="I3422" s="328"/>
      <c r="J3422" s="249"/>
      <c r="K3422" s="330"/>
      <c r="L3422" s="250"/>
      <c r="M3422" s="249"/>
      <c r="N3422" s="330"/>
      <c r="O3422" s="250"/>
      <c r="P3422" s="249"/>
      <c r="Q3422" s="330"/>
      <c r="R3422" s="250"/>
      <c r="S3422" s="249"/>
      <c r="T3422" s="330"/>
      <c r="U3422" s="250"/>
      <c r="V3422" s="249"/>
      <c r="W3422" s="330"/>
      <c r="X3422" s="343"/>
      <c r="Y3422" s="249"/>
      <c r="Z3422" s="330"/>
      <c r="AA3422" s="343"/>
      <c r="AB3422" s="249"/>
      <c r="AC3422" s="330"/>
      <c r="AD3422" s="343"/>
      <c r="AE3422" s="249"/>
      <c r="AF3422" s="330"/>
      <c r="AG3422" s="343"/>
      <c r="AH3422" s="249"/>
      <c r="AI3422" s="330"/>
      <c r="AJ3422" s="343"/>
      <c r="AK3422" s="249"/>
      <c r="AL3422" s="330"/>
      <c r="AM3422" s="343"/>
      <c r="AN3422" s="249"/>
      <c r="AO3422" s="330"/>
      <c r="AP3422" s="343"/>
      <c r="AQ3422" s="249"/>
      <c r="AR3422" s="330"/>
      <c r="AS3422" s="343"/>
      <c r="AT3422" s="249"/>
      <c r="AU3422" s="330"/>
    </row>
    <row r="3423" spans="2:47">
      <c r="B3423" s="247">
        <f>'Table S2 Compound Identifiers'!C3425</f>
        <v>0</v>
      </c>
      <c r="C3423" s="247">
        <f>COUNTIF($D$6:D3423,"&lt;&gt;"&amp;"")</f>
        <v>3418</v>
      </c>
      <c r="D3423" s="247">
        <f>'Table S2 Compound Identifiers'!B3425</f>
        <v>0</v>
      </c>
      <c r="E3423" s="247"/>
      <c r="F3423" s="248"/>
      <c r="G3423" s="249"/>
      <c r="H3423" s="330"/>
      <c r="I3423" s="328"/>
      <c r="J3423" s="249"/>
      <c r="K3423" s="330"/>
      <c r="L3423" s="250"/>
      <c r="M3423" s="249"/>
      <c r="N3423" s="330"/>
      <c r="O3423" s="250"/>
      <c r="P3423" s="249"/>
      <c r="Q3423" s="330"/>
      <c r="R3423" s="250"/>
      <c r="S3423" s="249"/>
      <c r="T3423" s="330"/>
      <c r="U3423" s="250"/>
      <c r="V3423" s="249"/>
      <c r="W3423" s="330"/>
      <c r="X3423" s="343"/>
      <c r="Y3423" s="249"/>
      <c r="Z3423" s="330"/>
      <c r="AA3423" s="343"/>
      <c r="AB3423" s="249"/>
      <c r="AC3423" s="330"/>
      <c r="AD3423" s="343"/>
      <c r="AE3423" s="249"/>
      <c r="AF3423" s="330"/>
      <c r="AG3423" s="343"/>
      <c r="AH3423" s="249"/>
      <c r="AI3423" s="330"/>
      <c r="AJ3423" s="343"/>
      <c r="AK3423" s="249"/>
      <c r="AL3423" s="330"/>
      <c r="AM3423" s="343"/>
      <c r="AN3423" s="249"/>
      <c r="AO3423" s="330"/>
      <c r="AP3423" s="343"/>
      <c r="AQ3423" s="249"/>
      <c r="AR3423" s="330"/>
      <c r="AS3423" s="343"/>
      <c r="AT3423" s="249"/>
      <c r="AU3423" s="330"/>
    </row>
    <row r="3424" spans="2:47">
      <c r="B3424" s="247">
        <f>'Table S2 Compound Identifiers'!C3426</f>
        <v>0</v>
      </c>
      <c r="C3424" s="247">
        <f>COUNTIF($D$6:D3424,"&lt;&gt;"&amp;"")</f>
        <v>3419</v>
      </c>
      <c r="D3424" s="247">
        <f>'Table S2 Compound Identifiers'!B3426</f>
        <v>0</v>
      </c>
      <c r="E3424" s="247"/>
      <c r="F3424" s="248"/>
      <c r="G3424" s="249"/>
      <c r="H3424" s="330"/>
      <c r="I3424" s="328"/>
      <c r="J3424" s="249"/>
      <c r="K3424" s="330"/>
      <c r="L3424" s="250"/>
      <c r="M3424" s="249"/>
      <c r="N3424" s="330"/>
      <c r="O3424" s="250"/>
      <c r="P3424" s="249"/>
      <c r="Q3424" s="330"/>
      <c r="R3424" s="250"/>
      <c r="S3424" s="249"/>
      <c r="T3424" s="330"/>
      <c r="U3424" s="250"/>
      <c r="V3424" s="249"/>
      <c r="W3424" s="330"/>
      <c r="X3424" s="343"/>
      <c r="Y3424" s="249"/>
      <c r="Z3424" s="330"/>
      <c r="AA3424" s="343"/>
      <c r="AB3424" s="249"/>
      <c r="AC3424" s="330"/>
      <c r="AD3424" s="343"/>
      <c r="AE3424" s="249"/>
      <c r="AF3424" s="330"/>
      <c r="AG3424" s="343"/>
      <c r="AH3424" s="249"/>
      <c r="AI3424" s="330"/>
      <c r="AJ3424" s="343"/>
      <c r="AK3424" s="249"/>
      <c r="AL3424" s="330"/>
      <c r="AM3424" s="343"/>
      <c r="AN3424" s="249"/>
      <c r="AO3424" s="330"/>
      <c r="AP3424" s="343"/>
      <c r="AQ3424" s="249"/>
      <c r="AR3424" s="330"/>
      <c r="AS3424" s="343"/>
      <c r="AT3424" s="249"/>
      <c r="AU3424" s="330"/>
    </row>
    <row r="3425" spans="2:47">
      <c r="B3425" s="247">
        <f>'Table S2 Compound Identifiers'!C3427</f>
        <v>0</v>
      </c>
      <c r="C3425" s="247">
        <f>COUNTIF($D$6:D3425,"&lt;&gt;"&amp;"")</f>
        <v>3420</v>
      </c>
      <c r="D3425" s="247">
        <f>'Table S2 Compound Identifiers'!B3427</f>
        <v>0</v>
      </c>
      <c r="E3425" s="247"/>
      <c r="F3425" s="248"/>
      <c r="G3425" s="249"/>
      <c r="H3425" s="330"/>
      <c r="I3425" s="328"/>
      <c r="J3425" s="249"/>
      <c r="K3425" s="330"/>
      <c r="L3425" s="250"/>
      <c r="M3425" s="249"/>
      <c r="N3425" s="330"/>
      <c r="O3425" s="250"/>
      <c r="P3425" s="249"/>
      <c r="Q3425" s="330"/>
      <c r="R3425" s="250"/>
      <c r="S3425" s="249"/>
      <c r="T3425" s="330"/>
      <c r="U3425" s="250"/>
      <c r="V3425" s="249"/>
      <c r="W3425" s="330"/>
      <c r="X3425" s="343"/>
      <c r="Y3425" s="249"/>
      <c r="Z3425" s="330"/>
      <c r="AA3425" s="343"/>
      <c r="AB3425" s="249"/>
      <c r="AC3425" s="330"/>
      <c r="AD3425" s="343"/>
      <c r="AE3425" s="249"/>
      <c r="AF3425" s="330"/>
      <c r="AG3425" s="343"/>
      <c r="AH3425" s="249"/>
      <c r="AI3425" s="330"/>
      <c r="AJ3425" s="343"/>
      <c r="AK3425" s="249"/>
      <c r="AL3425" s="330"/>
      <c r="AM3425" s="343"/>
      <c r="AN3425" s="249"/>
      <c r="AO3425" s="330"/>
      <c r="AP3425" s="343"/>
      <c r="AQ3425" s="249"/>
      <c r="AR3425" s="330"/>
      <c r="AS3425" s="343"/>
      <c r="AT3425" s="249"/>
      <c r="AU3425" s="330"/>
    </row>
    <row r="3426" spans="2:47">
      <c r="B3426" s="247">
        <f>'Table S2 Compound Identifiers'!C3428</f>
        <v>0</v>
      </c>
      <c r="C3426" s="247">
        <f>COUNTIF($D$6:D3426,"&lt;&gt;"&amp;"")</f>
        <v>3421</v>
      </c>
      <c r="D3426" s="247">
        <f>'Table S2 Compound Identifiers'!B3428</f>
        <v>0</v>
      </c>
      <c r="E3426" s="247"/>
      <c r="F3426" s="248"/>
      <c r="G3426" s="249"/>
      <c r="H3426" s="330"/>
      <c r="I3426" s="328"/>
      <c r="J3426" s="249"/>
      <c r="K3426" s="330"/>
      <c r="L3426" s="250"/>
      <c r="M3426" s="249"/>
      <c r="N3426" s="330"/>
      <c r="O3426" s="250"/>
      <c r="P3426" s="249"/>
      <c r="Q3426" s="330"/>
      <c r="R3426" s="250"/>
      <c r="S3426" s="249"/>
      <c r="T3426" s="330"/>
      <c r="U3426" s="250"/>
      <c r="V3426" s="249"/>
      <c r="W3426" s="330"/>
      <c r="X3426" s="343"/>
      <c r="Y3426" s="249"/>
      <c r="Z3426" s="330"/>
      <c r="AA3426" s="343"/>
      <c r="AB3426" s="249"/>
      <c r="AC3426" s="330"/>
      <c r="AD3426" s="343"/>
      <c r="AE3426" s="249"/>
      <c r="AF3426" s="330"/>
      <c r="AG3426" s="343"/>
      <c r="AH3426" s="249"/>
      <c r="AI3426" s="330"/>
      <c r="AJ3426" s="343"/>
      <c r="AK3426" s="249"/>
      <c r="AL3426" s="330"/>
      <c r="AM3426" s="343"/>
      <c r="AN3426" s="249"/>
      <c r="AO3426" s="330"/>
      <c r="AP3426" s="343"/>
      <c r="AQ3426" s="249"/>
      <c r="AR3426" s="330"/>
      <c r="AS3426" s="343"/>
      <c r="AT3426" s="249"/>
      <c r="AU3426" s="330"/>
    </row>
    <row r="3427" spans="2:47">
      <c r="B3427" s="247">
        <f>'Table S2 Compound Identifiers'!C3429</f>
        <v>0</v>
      </c>
      <c r="C3427" s="247">
        <f>COUNTIF($D$6:D3427,"&lt;&gt;"&amp;"")</f>
        <v>3422</v>
      </c>
      <c r="D3427" s="247">
        <f>'Table S2 Compound Identifiers'!B3429</f>
        <v>0</v>
      </c>
      <c r="E3427" s="247"/>
      <c r="F3427" s="248"/>
      <c r="G3427" s="249"/>
      <c r="H3427" s="330"/>
      <c r="I3427" s="328"/>
      <c r="J3427" s="249"/>
      <c r="K3427" s="330"/>
      <c r="L3427" s="250"/>
      <c r="M3427" s="249"/>
      <c r="N3427" s="330"/>
      <c r="O3427" s="250"/>
      <c r="P3427" s="249"/>
      <c r="Q3427" s="330"/>
      <c r="R3427" s="250"/>
      <c r="S3427" s="249"/>
      <c r="T3427" s="330"/>
      <c r="U3427" s="250"/>
      <c r="V3427" s="249"/>
      <c r="W3427" s="330"/>
      <c r="X3427" s="343"/>
      <c r="Y3427" s="249"/>
      <c r="Z3427" s="330"/>
      <c r="AA3427" s="343"/>
      <c r="AB3427" s="249"/>
      <c r="AC3427" s="330"/>
      <c r="AD3427" s="343"/>
      <c r="AE3427" s="249"/>
      <c r="AF3427" s="330"/>
      <c r="AG3427" s="343"/>
      <c r="AH3427" s="249"/>
      <c r="AI3427" s="330"/>
      <c r="AJ3427" s="343"/>
      <c r="AK3427" s="249"/>
      <c r="AL3427" s="330"/>
      <c r="AM3427" s="343"/>
      <c r="AN3427" s="249"/>
      <c r="AO3427" s="330"/>
      <c r="AP3427" s="343"/>
      <c r="AQ3427" s="249"/>
      <c r="AR3427" s="330"/>
      <c r="AS3427" s="343"/>
      <c r="AT3427" s="249"/>
      <c r="AU3427" s="330"/>
    </row>
    <row r="3428" spans="2:47">
      <c r="B3428" s="247">
        <f>'Table S2 Compound Identifiers'!C3430</f>
        <v>0</v>
      </c>
      <c r="C3428" s="247">
        <f>COUNTIF($D$6:D3428,"&lt;&gt;"&amp;"")</f>
        <v>3423</v>
      </c>
      <c r="D3428" s="247">
        <f>'Table S2 Compound Identifiers'!B3430</f>
        <v>0</v>
      </c>
      <c r="E3428" s="247"/>
      <c r="F3428" s="248"/>
      <c r="G3428" s="249"/>
      <c r="H3428" s="330"/>
      <c r="I3428" s="328"/>
      <c r="J3428" s="249"/>
      <c r="K3428" s="330"/>
      <c r="L3428" s="250"/>
      <c r="M3428" s="249"/>
      <c r="N3428" s="330"/>
      <c r="O3428" s="250"/>
      <c r="P3428" s="249"/>
      <c r="Q3428" s="330"/>
      <c r="R3428" s="250"/>
      <c r="S3428" s="249"/>
      <c r="T3428" s="330"/>
      <c r="U3428" s="250"/>
      <c r="V3428" s="249"/>
      <c r="W3428" s="330"/>
      <c r="X3428" s="343"/>
      <c r="Y3428" s="249"/>
      <c r="Z3428" s="330"/>
      <c r="AA3428" s="343"/>
      <c r="AB3428" s="249"/>
      <c r="AC3428" s="330"/>
      <c r="AD3428" s="343"/>
      <c r="AE3428" s="249"/>
      <c r="AF3428" s="330"/>
      <c r="AG3428" s="343"/>
      <c r="AH3428" s="249"/>
      <c r="AI3428" s="330"/>
      <c r="AJ3428" s="343"/>
      <c r="AK3428" s="249"/>
      <c r="AL3428" s="330"/>
      <c r="AM3428" s="343"/>
      <c r="AN3428" s="249"/>
      <c r="AO3428" s="330"/>
      <c r="AP3428" s="343"/>
      <c r="AQ3428" s="249"/>
      <c r="AR3428" s="330"/>
      <c r="AS3428" s="343"/>
      <c r="AT3428" s="249"/>
      <c r="AU3428" s="330"/>
    </row>
    <row r="3429" spans="2:47">
      <c r="B3429" s="247">
        <f>'Table S2 Compound Identifiers'!C3431</f>
        <v>0</v>
      </c>
      <c r="C3429" s="247">
        <f>COUNTIF($D$6:D3429,"&lt;&gt;"&amp;"")</f>
        <v>3424</v>
      </c>
      <c r="D3429" s="247">
        <f>'Table S2 Compound Identifiers'!B3431</f>
        <v>0</v>
      </c>
      <c r="E3429" s="247"/>
      <c r="F3429" s="248"/>
      <c r="G3429" s="249"/>
      <c r="H3429" s="330"/>
      <c r="I3429" s="328"/>
      <c r="J3429" s="249"/>
      <c r="K3429" s="330"/>
      <c r="L3429" s="250"/>
      <c r="M3429" s="249"/>
      <c r="N3429" s="330"/>
      <c r="O3429" s="250"/>
      <c r="P3429" s="249"/>
      <c r="Q3429" s="330"/>
      <c r="R3429" s="250"/>
      <c r="S3429" s="249"/>
      <c r="T3429" s="330"/>
      <c r="U3429" s="250"/>
      <c r="V3429" s="249"/>
      <c r="W3429" s="330"/>
      <c r="X3429" s="343"/>
      <c r="Y3429" s="249"/>
      <c r="Z3429" s="330"/>
      <c r="AA3429" s="343"/>
      <c r="AB3429" s="249"/>
      <c r="AC3429" s="330"/>
      <c r="AD3429" s="343"/>
      <c r="AE3429" s="249"/>
      <c r="AF3429" s="330"/>
      <c r="AG3429" s="343"/>
      <c r="AH3429" s="249"/>
      <c r="AI3429" s="330"/>
      <c r="AJ3429" s="343"/>
      <c r="AK3429" s="249"/>
      <c r="AL3429" s="330"/>
      <c r="AM3429" s="343"/>
      <c r="AN3429" s="249"/>
      <c r="AO3429" s="330"/>
      <c r="AP3429" s="343"/>
      <c r="AQ3429" s="249"/>
      <c r="AR3429" s="330"/>
      <c r="AS3429" s="343"/>
      <c r="AT3429" s="249"/>
      <c r="AU3429" s="330"/>
    </row>
    <row r="3430" spans="2:47">
      <c r="B3430" s="247">
        <f>'Table S2 Compound Identifiers'!C3432</f>
        <v>0</v>
      </c>
      <c r="C3430" s="247">
        <f>COUNTIF($D$6:D3430,"&lt;&gt;"&amp;"")</f>
        <v>3425</v>
      </c>
      <c r="D3430" s="247">
        <f>'Table S2 Compound Identifiers'!B3432</f>
        <v>0</v>
      </c>
      <c r="E3430" s="247"/>
      <c r="F3430" s="248"/>
      <c r="G3430" s="249"/>
      <c r="H3430" s="330"/>
      <c r="I3430" s="328"/>
      <c r="J3430" s="249"/>
      <c r="K3430" s="330"/>
      <c r="L3430" s="250"/>
      <c r="M3430" s="249"/>
      <c r="N3430" s="330"/>
      <c r="O3430" s="250"/>
      <c r="P3430" s="249"/>
      <c r="Q3430" s="330"/>
      <c r="R3430" s="250"/>
      <c r="S3430" s="249"/>
      <c r="T3430" s="330"/>
      <c r="U3430" s="250"/>
      <c r="V3430" s="249"/>
      <c r="W3430" s="330"/>
      <c r="X3430" s="343"/>
      <c r="Y3430" s="249"/>
      <c r="Z3430" s="330"/>
      <c r="AA3430" s="343"/>
      <c r="AB3430" s="249"/>
      <c r="AC3430" s="330"/>
      <c r="AD3430" s="343"/>
      <c r="AE3430" s="249"/>
      <c r="AF3430" s="330"/>
      <c r="AG3430" s="343"/>
      <c r="AH3430" s="249"/>
      <c r="AI3430" s="330"/>
      <c r="AJ3430" s="343"/>
      <c r="AK3430" s="249"/>
      <c r="AL3430" s="330"/>
      <c r="AM3430" s="343"/>
      <c r="AN3430" s="249"/>
      <c r="AO3430" s="330"/>
      <c r="AP3430" s="343"/>
      <c r="AQ3430" s="249"/>
      <c r="AR3430" s="330"/>
      <c r="AS3430" s="343"/>
      <c r="AT3430" s="249"/>
      <c r="AU3430" s="330"/>
    </row>
    <row r="3431" spans="2:47">
      <c r="B3431" s="247">
        <f>'Table S2 Compound Identifiers'!C3433</f>
        <v>0</v>
      </c>
      <c r="C3431" s="247">
        <f>COUNTIF($D$6:D3431,"&lt;&gt;"&amp;"")</f>
        <v>3426</v>
      </c>
      <c r="D3431" s="247">
        <f>'Table S2 Compound Identifiers'!B3433</f>
        <v>0</v>
      </c>
      <c r="E3431" s="247"/>
      <c r="F3431" s="248"/>
      <c r="G3431" s="249"/>
      <c r="H3431" s="330"/>
      <c r="I3431" s="328"/>
      <c r="J3431" s="249"/>
      <c r="K3431" s="330"/>
      <c r="L3431" s="250"/>
      <c r="M3431" s="249"/>
      <c r="N3431" s="330"/>
      <c r="O3431" s="250"/>
      <c r="P3431" s="249"/>
      <c r="Q3431" s="330"/>
      <c r="R3431" s="250"/>
      <c r="S3431" s="249"/>
      <c r="T3431" s="330"/>
      <c r="U3431" s="250"/>
      <c r="V3431" s="249"/>
      <c r="W3431" s="330"/>
      <c r="X3431" s="343"/>
      <c r="Y3431" s="249"/>
      <c r="Z3431" s="330"/>
      <c r="AA3431" s="343"/>
      <c r="AB3431" s="249"/>
      <c r="AC3431" s="330"/>
      <c r="AD3431" s="343"/>
      <c r="AE3431" s="249"/>
      <c r="AF3431" s="330"/>
      <c r="AG3431" s="343"/>
      <c r="AH3431" s="249"/>
      <c r="AI3431" s="330"/>
      <c r="AJ3431" s="343"/>
      <c r="AK3431" s="249"/>
      <c r="AL3431" s="330"/>
      <c r="AM3431" s="343"/>
      <c r="AN3431" s="249"/>
      <c r="AO3431" s="330"/>
      <c r="AP3431" s="343"/>
      <c r="AQ3431" s="249"/>
      <c r="AR3431" s="330"/>
      <c r="AS3431" s="343"/>
      <c r="AT3431" s="249"/>
      <c r="AU3431" s="330"/>
    </row>
    <row r="3432" spans="2:47">
      <c r="B3432" s="247">
        <f>'Table S2 Compound Identifiers'!C3434</f>
        <v>0</v>
      </c>
      <c r="C3432" s="247">
        <f>COUNTIF($D$6:D3432,"&lt;&gt;"&amp;"")</f>
        <v>3427</v>
      </c>
      <c r="D3432" s="247">
        <f>'Table S2 Compound Identifiers'!B3434</f>
        <v>0</v>
      </c>
      <c r="E3432" s="247"/>
      <c r="F3432" s="248"/>
      <c r="G3432" s="249"/>
      <c r="H3432" s="330"/>
      <c r="I3432" s="328"/>
      <c r="J3432" s="249"/>
      <c r="K3432" s="330"/>
      <c r="L3432" s="250"/>
      <c r="M3432" s="249"/>
      <c r="N3432" s="330"/>
      <c r="O3432" s="250"/>
      <c r="P3432" s="249"/>
      <c r="Q3432" s="330"/>
      <c r="R3432" s="250"/>
      <c r="S3432" s="249"/>
      <c r="T3432" s="330"/>
      <c r="U3432" s="250"/>
      <c r="V3432" s="249"/>
      <c r="W3432" s="330"/>
      <c r="X3432" s="343"/>
      <c r="Y3432" s="249"/>
      <c r="Z3432" s="330"/>
      <c r="AA3432" s="343"/>
      <c r="AB3432" s="249"/>
      <c r="AC3432" s="330"/>
      <c r="AD3432" s="343"/>
      <c r="AE3432" s="249"/>
      <c r="AF3432" s="330"/>
      <c r="AG3432" s="343"/>
      <c r="AH3432" s="249"/>
      <c r="AI3432" s="330"/>
      <c r="AJ3432" s="343"/>
      <c r="AK3432" s="249"/>
      <c r="AL3432" s="330"/>
      <c r="AM3432" s="343"/>
      <c r="AN3432" s="249"/>
      <c r="AO3432" s="330"/>
      <c r="AP3432" s="343"/>
      <c r="AQ3432" s="249"/>
      <c r="AR3432" s="330"/>
      <c r="AS3432" s="343"/>
      <c r="AT3432" s="249"/>
      <c r="AU3432" s="330"/>
    </row>
    <row r="3433" spans="2:47">
      <c r="B3433" s="247">
        <f>'Table S2 Compound Identifiers'!C3435</f>
        <v>0</v>
      </c>
      <c r="C3433" s="247">
        <f>COUNTIF($D$6:D3433,"&lt;&gt;"&amp;"")</f>
        <v>3428</v>
      </c>
      <c r="D3433" s="247">
        <f>'Table S2 Compound Identifiers'!B3435</f>
        <v>0</v>
      </c>
      <c r="E3433" s="247"/>
      <c r="F3433" s="248"/>
      <c r="G3433" s="249"/>
      <c r="H3433" s="330"/>
      <c r="I3433" s="328"/>
      <c r="J3433" s="249"/>
      <c r="K3433" s="330"/>
      <c r="L3433" s="250"/>
      <c r="M3433" s="249"/>
      <c r="N3433" s="330"/>
      <c r="O3433" s="250"/>
      <c r="P3433" s="249"/>
      <c r="Q3433" s="330"/>
      <c r="R3433" s="250"/>
      <c r="S3433" s="249"/>
      <c r="T3433" s="330"/>
      <c r="U3433" s="250"/>
      <c r="V3433" s="249"/>
      <c r="W3433" s="330"/>
      <c r="X3433" s="343"/>
      <c r="Y3433" s="249"/>
      <c r="Z3433" s="330"/>
      <c r="AA3433" s="343"/>
      <c r="AB3433" s="249"/>
      <c r="AC3433" s="330"/>
      <c r="AD3433" s="343"/>
      <c r="AE3433" s="249"/>
      <c r="AF3433" s="330"/>
      <c r="AG3433" s="343"/>
      <c r="AH3433" s="249"/>
      <c r="AI3433" s="330"/>
      <c r="AJ3433" s="343"/>
      <c r="AK3433" s="249"/>
      <c r="AL3433" s="330"/>
      <c r="AM3433" s="343"/>
      <c r="AN3433" s="249"/>
      <c r="AO3433" s="330"/>
      <c r="AP3433" s="343"/>
      <c r="AQ3433" s="249"/>
      <c r="AR3433" s="330"/>
      <c r="AS3433" s="343"/>
      <c r="AT3433" s="249"/>
      <c r="AU3433" s="330"/>
    </row>
    <row r="3434" spans="2:47">
      <c r="B3434" s="247">
        <f>'Table S2 Compound Identifiers'!C3436</f>
        <v>0</v>
      </c>
      <c r="C3434" s="247">
        <f>COUNTIF($D$6:D3434,"&lt;&gt;"&amp;"")</f>
        <v>3429</v>
      </c>
      <c r="D3434" s="247">
        <f>'Table S2 Compound Identifiers'!B3436</f>
        <v>0</v>
      </c>
      <c r="E3434" s="247"/>
      <c r="F3434" s="248"/>
      <c r="G3434" s="249"/>
      <c r="H3434" s="330"/>
      <c r="I3434" s="328"/>
      <c r="J3434" s="249"/>
      <c r="K3434" s="330"/>
      <c r="L3434" s="250"/>
      <c r="M3434" s="249"/>
      <c r="N3434" s="330"/>
      <c r="O3434" s="250"/>
      <c r="P3434" s="249"/>
      <c r="Q3434" s="330"/>
      <c r="R3434" s="250"/>
      <c r="S3434" s="249"/>
      <c r="T3434" s="330"/>
      <c r="U3434" s="250"/>
      <c r="V3434" s="249"/>
      <c r="W3434" s="330"/>
      <c r="X3434" s="343"/>
      <c r="Y3434" s="249"/>
      <c r="Z3434" s="330"/>
      <c r="AA3434" s="343"/>
      <c r="AB3434" s="249"/>
      <c r="AC3434" s="330"/>
      <c r="AD3434" s="343"/>
      <c r="AE3434" s="249"/>
      <c r="AF3434" s="330"/>
      <c r="AG3434" s="343"/>
      <c r="AH3434" s="249"/>
      <c r="AI3434" s="330"/>
      <c r="AJ3434" s="343"/>
      <c r="AK3434" s="249"/>
      <c r="AL3434" s="330"/>
      <c r="AM3434" s="343"/>
      <c r="AN3434" s="249"/>
      <c r="AO3434" s="330"/>
      <c r="AP3434" s="343"/>
      <c r="AQ3434" s="249"/>
      <c r="AR3434" s="330"/>
      <c r="AS3434" s="343"/>
      <c r="AT3434" s="249"/>
      <c r="AU3434" s="330"/>
    </row>
    <row r="3435" spans="2:47">
      <c r="B3435" s="247">
        <f>'Table S2 Compound Identifiers'!C3437</f>
        <v>0</v>
      </c>
      <c r="C3435" s="247">
        <f>COUNTIF($D$6:D3435,"&lt;&gt;"&amp;"")</f>
        <v>3430</v>
      </c>
      <c r="D3435" s="247">
        <f>'Table S2 Compound Identifiers'!B3437</f>
        <v>0</v>
      </c>
      <c r="E3435" s="247"/>
      <c r="F3435" s="248"/>
      <c r="G3435" s="249"/>
      <c r="H3435" s="330"/>
      <c r="I3435" s="328"/>
      <c r="J3435" s="249"/>
      <c r="K3435" s="330"/>
      <c r="L3435" s="250"/>
      <c r="M3435" s="249"/>
      <c r="N3435" s="330"/>
      <c r="O3435" s="250"/>
      <c r="P3435" s="249"/>
      <c r="Q3435" s="330"/>
      <c r="R3435" s="250"/>
      <c r="S3435" s="249"/>
      <c r="T3435" s="330"/>
      <c r="U3435" s="250"/>
      <c r="V3435" s="249"/>
      <c r="W3435" s="330"/>
      <c r="X3435" s="343"/>
      <c r="Y3435" s="249"/>
      <c r="Z3435" s="330"/>
      <c r="AA3435" s="343"/>
      <c r="AB3435" s="249"/>
      <c r="AC3435" s="330"/>
      <c r="AD3435" s="343"/>
      <c r="AE3435" s="249"/>
      <c r="AF3435" s="330"/>
      <c r="AG3435" s="343"/>
      <c r="AH3435" s="249"/>
      <c r="AI3435" s="330"/>
      <c r="AJ3435" s="343"/>
      <c r="AK3435" s="249"/>
      <c r="AL3435" s="330"/>
      <c r="AM3435" s="343"/>
      <c r="AN3435" s="249"/>
      <c r="AO3435" s="330"/>
      <c r="AP3435" s="343"/>
      <c r="AQ3435" s="249"/>
      <c r="AR3435" s="330"/>
      <c r="AS3435" s="343"/>
      <c r="AT3435" s="249"/>
      <c r="AU3435" s="330"/>
    </row>
    <row r="3436" spans="2:47">
      <c r="B3436" s="247">
        <f>'Table S2 Compound Identifiers'!C3438</f>
        <v>0</v>
      </c>
      <c r="C3436" s="247">
        <f>COUNTIF($D$6:D3436,"&lt;&gt;"&amp;"")</f>
        <v>3431</v>
      </c>
      <c r="D3436" s="247">
        <f>'Table S2 Compound Identifiers'!B3438</f>
        <v>0</v>
      </c>
      <c r="E3436" s="247"/>
      <c r="F3436" s="248"/>
      <c r="G3436" s="249"/>
      <c r="H3436" s="330"/>
      <c r="I3436" s="328"/>
      <c r="J3436" s="249"/>
      <c r="K3436" s="330"/>
      <c r="L3436" s="250"/>
      <c r="M3436" s="249"/>
      <c r="N3436" s="330"/>
      <c r="O3436" s="250"/>
      <c r="P3436" s="249"/>
      <c r="Q3436" s="330"/>
      <c r="R3436" s="250"/>
      <c r="S3436" s="249"/>
      <c r="T3436" s="330"/>
      <c r="U3436" s="250"/>
      <c r="V3436" s="249"/>
      <c r="W3436" s="330"/>
      <c r="X3436" s="343"/>
      <c r="Y3436" s="249"/>
      <c r="Z3436" s="330"/>
      <c r="AA3436" s="343"/>
      <c r="AB3436" s="249"/>
      <c r="AC3436" s="330"/>
      <c r="AD3436" s="343"/>
      <c r="AE3436" s="249"/>
      <c r="AF3436" s="330"/>
      <c r="AG3436" s="343"/>
      <c r="AH3436" s="249"/>
      <c r="AI3436" s="330"/>
      <c r="AJ3436" s="343"/>
      <c r="AK3436" s="249"/>
      <c r="AL3436" s="330"/>
      <c r="AM3436" s="343"/>
      <c r="AN3436" s="249"/>
      <c r="AO3436" s="330"/>
      <c r="AP3436" s="343"/>
      <c r="AQ3436" s="249"/>
      <c r="AR3436" s="330"/>
      <c r="AS3436" s="343"/>
      <c r="AT3436" s="249"/>
      <c r="AU3436" s="330"/>
    </row>
    <row r="3437" spans="2:47">
      <c r="B3437" s="247">
        <f>'Table S2 Compound Identifiers'!C3439</f>
        <v>0</v>
      </c>
      <c r="C3437" s="247">
        <f>COUNTIF($D$6:D3437,"&lt;&gt;"&amp;"")</f>
        <v>3432</v>
      </c>
      <c r="D3437" s="247">
        <f>'Table S2 Compound Identifiers'!B3439</f>
        <v>0</v>
      </c>
      <c r="E3437" s="247"/>
      <c r="F3437" s="248"/>
      <c r="G3437" s="249"/>
      <c r="H3437" s="330"/>
      <c r="I3437" s="328"/>
      <c r="J3437" s="249"/>
      <c r="K3437" s="330"/>
      <c r="L3437" s="250"/>
      <c r="M3437" s="249"/>
      <c r="N3437" s="330"/>
      <c r="O3437" s="250"/>
      <c r="P3437" s="249"/>
      <c r="Q3437" s="330"/>
      <c r="R3437" s="250"/>
      <c r="S3437" s="249"/>
      <c r="T3437" s="330"/>
      <c r="U3437" s="250"/>
      <c r="V3437" s="249"/>
      <c r="W3437" s="330"/>
      <c r="X3437" s="343"/>
      <c r="Y3437" s="249"/>
      <c r="Z3437" s="330"/>
      <c r="AA3437" s="343"/>
      <c r="AB3437" s="249"/>
      <c r="AC3437" s="330"/>
      <c r="AD3437" s="343"/>
      <c r="AE3437" s="249"/>
      <c r="AF3437" s="330"/>
      <c r="AG3437" s="343"/>
      <c r="AH3437" s="249"/>
      <c r="AI3437" s="330"/>
      <c r="AJ3437" s="343"/>
      <c r="AK3437" s="249"/>
      <c r="AL3437" s="330"/>
      <c r="AM3437" s="343"/>
      <c r="AN3437" s="249"/>
      <c r="AO3437" s="330"/>
      <c r="AP3437" s="343"/>
      <c r="AQ3437" s="249"/>
      <c r="AR3437" s="330"/>
      <c r="AS3437" s="343"/>
      <c r="AT3437" s="249"/>
      <c r="AU3437" s="330"/>
    </row>
    <row r="3438" spans="2:47">
      <c r="B3438" s="247">
        <f>'Table S2 Compound Identifiers'!C3440</f>
        <v>0</v>
      </c>
      <c r="C3438" s="247">
        <f>COUNTIF($D$6:D3438,"&lt;&gt;"&amp;"")</f>
        <v>3433</v>
      </c>
      <c r="D3438" s="247">
        <f>'Table S2 Compound Identifiers'!B3440</f>
        <v>0</v>
      </c>
      <c r="E3438" s="247"/>
      <c r="F3438" s="248"/>
      <c r="G3438" s="249"/>
      <c r="H3438" s="330"/>
      <c r="I3438" s="328"/>
      <c r="J3438" s="249"/>
      <c r="K3438" s="330"/>
      <c r="L3438" s="250"/>
      <c r="M3438" s="249"/>
      <c r="N3438" s="330"/>
      <c r="O3438" s="250"/>
      <c r="P3438" s="249"/>
      <c r="Q3438" s="330"/>
      <c r="R3438" s="250"/>
      <c r="S3438" s="249"/>
      <c r="T3438" s="330"/>
      <c r="U3438" s="250"/>
      <c r="V3438" s="249"/>
      <c r="W3438" s="330"/>
      <c r="X3438" s="343"/>
      <c r="Y3438" s="249"/>
      <c r="Z3438" s="330"/>
      <c r="AA3438" s="343"/>
      <c r="AB3438" s="249"/>
      <c r="AC3438" s="330"/>
      <c r="AD3438" s="343"/>
      <c r="AE3438" s="249"/>
      <c r="AF3438" s="330"/>
      <c r="AG3438" s="343"/>
      <c r="AH3438" s="249"/>
      <c r="AI3438" s="330"/>
      <c r="AJ3438" s="343"/>
      <c r="AK3438" s="249"/>
      <c r="AL3438" s="330"/>
      <c r="AM3438" s="343"/>
      <c r="AN3438" s="249"/>
      <c r="AO3438" s="330"/>
      <c r="AP3438" s="343"/>
      <c r="AQ3438" s="249"/>
      <c r="AR3438" s="330"/>
      <c r="AS3438" s="343"/>
      <c r="AT3438" s="249"/>
      <c r="AU3438" s="330"/>
    </row>
    <row r="3439" spans="2:47">
      <c r="B3439" s="247">
        <f>'Table S2 Compound Identifiers'!C3441</f>
        <v>0</v>
      </c>
      <c r="C3439" s="247">
        <f>COUNTIF($D$6:D3439,"&lt;&gt;"&amp;"")</f>
        <v>3434</v>
      </c>
      <c r="D3439" s="247">
        <f>'Table S2 Compound Identifiers'!B3441</f>
        <v>0</v>
      </c>
      <c r="E3439" s="247"/>
      <c r="F3439" s="248"/>
      <c r="G3439" s="249"/>
      <c r="H3439" s="330"/>
      <c r="I3439" s="328"/>
      <c r="J3439" s="249"/>
      <c r="K3439" s="330"/>
      <c r="L3439" s="250"/>
      <c r="M3439" s="249"/>
      <c r="N3439" s="330"/>
      <c r="O3439" s="250"/>
      <c r="P3439" s="249"/>
      <c r="Q3439" s="330"/>
      <c r="R3439" s="250"/>
      <c r="S3439" s="249"/>
      <c r="T3439" s="330"/>
      <c r="U3439" s="250"/>
      <c r="V3439" s="249"/>
      <c r="W3439" s="330"/>
      <c r="X3439" s="343"/>
      <c r="Y3439" s="249"/>
      <c r="Z3439" s="330"/>
      <c r="AA3439" s="343"/>
      <c r="AB3439" s="249"/>
      <c r="AC3439" s="330"/>
      <c r="AD3439" s="343"/>
      <c r="AE3439" s="249"/>
      <c r="AF3439" s="330"/>
      <c r="AG3439" s="343"/>
      <c r="AH3439" s="249"/>
      <c r="AI3439" s="330"/>
      <c r="AJ3439" s="343"/>
      <c r="AK3439" s="249"/>
      <c r="AL3439" s="330"/>
      <c r="AM3439" s="343"/>
      <c r="AN3439" s="249"/>
      <c r="AO3439" s="330"/>
      <c r="AP3439" s="343"/>
      <c r="AQ3439" s="249"/>
      <c r="AR3439" s="330"/>
      <c r="AS3439" s="343"/>
      <c r="AT3439" s="249"/>
      <c r="AU3439" s="330"/>
    </row>
    <row r="3440" spans="2:47">
      <c r="B3440" s="247">
        <f>'Table S2 Compound Identifiers'!C3442</f>
        <v>0</v>
      </c>
      <c r="C3440" s="247">
        <f>COUNTIF($D$6:D3440,"&lt;&gt;"&amp;"")</f>
        <v>3435</v>
      </c>
      <c r="D3440" s="247">
        <f>'Table S2 Compound Identifiers'!B3442</f>
        <v>0</v>
      </c>
      <c r="E3440" s="247"/>
      <c r="F3440" s="248"/>
      <c r="G3440" s="249"/>
      <c r="H3440" s="330"/>
      <c r="I3440" s="328"/>
      <c r="J3440" s="249"/>
      <c r="K3440" s="330"/>
      <c r="L3440" s="250"/>
      <c r="M3440" s="249"/>
      <c r="N3440" s="330"/>
      <c r="O3440" s="250"/>
      <c r="P3440" s="249"/>
      <c r="Q3440" s="330"/>
      <c r="R3440" s="250"/>
      <c r="S3440" s="249"/>
      <c r="T3440" s="330"/>
      <c r="U3440" s="250"/>
      <c r="V3440" s="249"/>
      <c r="W3440" s="330"/>
      <c r="X3440" s="343"/>
      <c r="Y3440" s="249"/>
      <c r="Z3440" s="330"/>
      <c r="AA3440" s="343"/>
      <c r="AB3440" s="249"/>
      <c r="AC3440" s="330"/>
      <c r="AD3440" s="343"/>
      <c r="AE3440" s="249"/>
      <c r="AF3440" s="330"/>
      <c r="AG3440" s="343"/>
      <c r="AH3440" s="249"/>
      <c r="AI3440" s="330"/>
      <c r="AJ3440" s="343"/>
      <c r="AK3440" s="249"/>
      <c r="AL3440" s="330"/>
      <c r="AM3440" s="343"/>
      <c r="AN3440" s="249"/>
      <c r="AO3440" s="330"/>
      <c r="AP3440" s="343"/>
      <c r="AQ3440" s="249"/>
      <c r="AR3440" s="330"/>
      <c r="AS3440" s="343"/>
      <c r="AT3440" s="249"/>
      <c r="AU3440" s="330"/>
    </row>
    <row r="3441" spans="2:47">
      <c r="B3441" s="247">
        <f>'Table S2 Compound Identifiers'!C3443</f>
        <v>0</v>
      </c>
      <c r="C3441" s="247">
        <f>COUNTIF($D$6:D3441,"&lt;&gt;"&amp;"")</f>
        <v>3436</v>
      </c>
      <c r="D3441" s="247">
        <f>'Table S2 Compound Identifiers'!B3443</f>
        <v>0</v>
      </c>
      <c r="E3441" s="247"/>
      <c r="F3441" s="248"/>
      <c r="G3441" s="249"/>
      <c r="H3441" s="330"/>
      <c r="I3441" s="328"/>
      <c r="J3441" s="249"/>
      <c r="K3441" s="330"/>
      <c r="L3441" s="250"/>
      <c r="M3441" s="249"/>
      <c r="N3441" s="330"/>
      <c r="O3441" s="250"/>
      <c r="P3441" s="249"/>
      <c r="Q3441" s="330"/>
      <c r="R3441" s="250"/>
      <c r="S3441" s="249"/>
      <c r="T3441" s="330"/>
      <c r="U3441" s="250"/>
      <c r="V3441" s="249"/>
      <c r="W3441" s="330"/>
      <c r="X3441" s="343"/>
      <c r="Y3441" s="249"/>
      <c r="Z3441" s="330"/>
      <c r="AA3441" s="343"/>
      <c r="AB3441" s="249"/>
      <c r="AC3441" s="330"/>
      <c r="AD3441" s="343"/>
      <c r="AE3441" s="249"/>
      <c r="AF3441" s="330"/>
      <c r="AG3441" s="343"/>
      <c r="AH3441" s="249"/>
      <c r="AI3441" s="330"/>
      <c r="AJ3441" s="343"/>
      <c r="AK3441" s="249"/>
      <c r="AL3441" s="330"/>
      <c r="AM3441" s="343"/>
      <c r="AN3441" s="249"/>
      <c r="AO3441" s="330"/>
      <c r="AP3441" s="343"/>
      <c r="AQ3441" s="249"/>
      <c r="AR3441" s="330"/>
      <c r="AS3441" s="343"/>
      <c r="AT3441" s="249"/>
      <c r="AU3441" s="330"/>
    </row>
    <row r="3442" spans="2:47">
      <c r="B3442" s="247">
        <f>'Table S2 Compound Identifiers'!C3444</f>
        <v>0</v>
      </c>
      <c r="C3442" s="247">
        <f>COUNTIF($D$6:D3442,"&lt;&gt;"&amp;"")</f>
        <v>3437</v>
      </c>
      <c r="D3442" s="247">
        <f>'Table S2 Compound Identifiers'!B3444</f>
        <v>0</v>
      </c>
      <c r="E3442" s="247"/>
      <c r="F3442" s="248"/>
      <c r="G3442" s="249"/>
      <c r="H3442" s="330"/>
      <c r="I3442" s="328"/>
      <c r="J3442" s="249"/>
      <c r="K3442" s="330"/>
      <c r="L3442" s="250"/>
      <c r="M3442" s="249"/>
      <c r="N3442" s="330"/>
      <c r="O3442" s="250"/>
      <c r="P3442" s="249"/>
      <c r="Q3442" s="330"/>
      <c r="R3442" s="250"/>
      <c r="S3442" s="249"/>
      <c r="T3442" s="330"/>
      <c r="U3442" s="250"/>
      <c r="V3442" s="249"/>
      <c r="W3442" s="330"/>
      <c r="X3442" s="343"/>
      <c r="Y3442" s="249"/>
      <c r="Z3442" s="330"/>
      <c r="AA3442" s="343"/>
      <c r="AB3442" s="249"/>
      <c r="AC3442" s="330"/>
      <c r="AD3442" s="343"/>
      <c r="AE3442" s="249"/>
      <c r="AF3442" s="330"/>
      <c r="AG3442" s="343"/>
      <c r="AH3442" s="249"/>
      <c r="AI3442" s="330"/>
      <c r="AJ3442" s="343"/>
      <c r="AK3442" s="249"/>
      <c r="AL3442" s="330"/>
      <c r="AM3442" s="343"/>
      <c r="AN3442" s="249"/>
      <c r="AO3442" s="330"/>
      <c r="AP3442" s="343"/>
      <c r="AQ3442" s="249"/>
      <c r="AR3442" s="330"/>
      <c r="AS3442" s="343"/>
      <c r="AT3442" s="249"/>
      <c r="AU3442" s="330"/>
    </row>
    <row r="3443" spans="2:47">
      <c r="B3443" s="247">
        <f>'Table S2 Compound Identifiers'!C3445</f>
        <v>0</v>
      </c>
      <c r="C3443" s="247">
        <f>COUNTIF($D$6:D3443,"&lt;&gt;"&amp;"")</f>
        <v>3438</v>
      </c>
      <c r="D3443" s="247">
        <f>'Table S2 Compound Identifiers'!B3445</f>
        <v>0</v>
      </c>
      <c r="E3443" s="247"/>
      <c r="F3443" s="248"/>
      <c r="G3443" s="249"/>
      <c r="H3443" s="330"/>
      <c r="I3443" s="328"/>
      <c r="J3443" s="249"/>
      <c r="K3443" s="330"/>
      <c r="L3443" s="250"/>
      <c r="M3443" s="249"/>
      <c r="N3443" s="330"/>
      <c r="O3443" s="250"/>
      <c r="P3443" s="249"/>
      <c r="Q3443" s="330"/>
      <c r="R3443" s="250"/>
      <c r="S3443" s="249"/>
      <c r="T3443" s="330"/>
      <c r="U3443" s="250"/>
      <c r="V3443" s="249"/>
      <c r="W3443" s="330"/>
      <c r="X3443" s="343"/>
      <c r="Y3443" s="249"/>
      <c r="Z3443" s="330"/>
      <c r="AA3443" s="343"/>
      <c r="AB3443" s="249"/>
      <c r="AC3443" s="330"/>
      <c r="AD3443" s="343"/>
      <c r="AE3443" s="249"/>
      <c r="AF3443" s="330"/>
      <c r="AG3443" s="343"/>
      <c r="AH3443" s="249"/>
      <c r="AI3443" s="330"/>
      <c r="AJ3443" s="343"/>
      <c r="AK3443" s="249"/>
      <c r="AL3443" s="330"/>
      <c r="AM3443" s="343"/>
      <c r="AN3443" s="249"/>
      <c r="AO3443" s="330"/>
      <c r="AP3443" s="343"/>
      <c r="AQ3443" s="249"/>
      <c r="AR3443" s="330"/>
      <c r="AS3443" s="343"/>
      <c r="AT3443" s="249"/>
      <c r="AU3443" s="330"/>
    </row>
    <row r="3444" spans="2:47">
      <c r="B3444" s="247">
        <f>'Table S2 Compound Identifiers'!C3446</f>
        <v>0</v>
      </c>
      <c r="C3444" s="247">
        <f>COUNTIF($D$6:D3444,"&lt;&gt;"&amp;"")</f>
        <v>3439</v>
      </c>
      <c r="D3444" s="247">
        <f>'Table S2 Compound Identifiers'!B3446</f>
        <v>0</v>
      </c>
      <c r="E3444" s="247"/>
      <c r="F3444" s="248"/>
      <c r="G3444" s="249"/>
      <c r="H3444" s="330"/>
      <c r="I3444" s="328"/>
      <c r="J3444" s="249"/>
      <c r="K3444" s="330"/>
      <c r="L3444" s="250"/>
      <c r="M3444" s="249"/>
      <c r="N3444" s="330"/>
      <c r="O3444" s="250"/>
      <c r="P3444" s="249"/>
      <c r="Q3444" s="330"/>
      <c r="R3444" s="250"/>
      <c r="S3444" s="249"/>
      <c r="T3444" s="330"/>
      <c r="U3444" s="250"/>
      <c r="V3444" s="249"/>
      <c r="W3444" s="330"/>
      <c r="X3444" s="343"/>
      <c r="Y3444" s="249"/>
      <c r="Z3444" s="330"/>
      <c r="AA3444" s="343"/>
      <c r="AB3444" s="249"/>
      <c r="AC3444" s="330"/>
      <c r="AD3444" s="343"/>
      <c r="AE3444" s="249"/>
      <c r="AF3444" s="330"/>
      <c r="AG3444" s="343"/>
      <c r="AH3444" s="249"/>
      <c r="AI3444" s="330"/>
      <c r="AJ3444" s="343"/>
      <c r="AK3444" s="249"/>
      <c r="AL3444" s="330"/>
      <c r="AM3444" s="343"/>
      <c r="AN3444" s="249"/>
      <c r="AO3444" s="330"/>
      <c r="AP3444" s="343"/>
      <c r="AQ3444" s="249"/>
      <c r="AR3444" s="330"/>
      <c r="AS3444" s="343"/>
      <c r="AT3444" s="249"/>
      <c r="AU3444" s="330"/>
    </row>
    <row r="3445" spans="2:47">
      <c r="B3445" s="247">
        <f>'Table S2 Compound Identifiers'!C3447</f>
        <v>0</v>
      </c>
      <c r="C3445" s="247">
        <f>COUNTIF($D$6:D3445,"&lt;&gt;"&amp;"")</f>
        <v>3440</v>
      </c>
      <c r="D3445" s="247">
        <f>'Table S2 Compound Identifiers'!B3447</f>
        <v>0</v>
      </c>
      <c r="E3445" s="247"/>
      <c r="F3445" s="248"/>
      <c r="G3445" s="249"/>
      <c r="H3445" s="330"/>
      <c r="I3445" s="328"/>
      <c r="J3445" s="249"/>
      <c r="K3445" s="330"/>
      <c r="L3445" s="250"/>
      <c r="M3445" s="249"/>
      <c r="N3445" s="330"/>
      <c r="O3445" s="250"/>
      <c r="P3445" s="249"/>
      <c r="Q3445" s="330"/>
      <c r="R3445" s="250"/>
      <c r="S3445" s="249"/>
      <c r="T3445" s="330"/>
      <c r="U3445" s="250"/>
      <c r="V3445" s="249"/>
      <c r="W3445" s="330"/>
      <c r="X3445" s="343"/>
      <c r="Y3445" s="249"/>
      <c r="Z3445" s="330"/>
      <c r="AA3445" s="343"/>
      <c r="AB3445" s="249"/>
      <c r="AC3445" s="330"/>
      <c r="AD3445" s="343"/>
      <c r="AE3445" s="249"/>
      <c r="AF3445" s="330"/>
      <c r="AG3445" s="343"/>
      <c r="AH3445" s="249"/>
      <c r="AI3445" s="330"/>
      <c r="AJ3445" s="343"/>
      <c r="AK3445" s="249"/>
      <c r="AL3445" s="330"/>
      <c r="AM3445" s="343"/>
      <c r="AN3445" s="249"/>
      <c r="AO3445" s="330"/>
      <c r="AP3445" s="343"/>
      <c r="AQ3445" s="249"/>
      <c r="AR3445" s="330"/>
      <c r="AS3445" s="343"/>
      <c r="AT3445" s="249"/>
      <c r="AU3445" s="330"/>
    </row>
    <row r="3446" spans="2:47">
      <c r="B3446" s="247">
        <f>'Table S2 Compound Identifiers'!C3448</f>
        <v>0</v>
      </c>
      <c r="C3446" s="247">
        <f>COUNTIF($D$6:D3446,"&lt;&gt;"&amp;"")</f>
        <v>3441</v>
      </c>
      <c r="D3446" s="247">
        <f>'Table S2 Compound Identifiers'!B3448</f>
        <v>0</v>
      </c>
      <c r="E3446" s="247"/>
      <c r="F3446" s="248"/>
      <c r="G3446" s="249"/>
      <c r="H3446" s="330"/>
      <c r="I3446" s="328"/>
      <c r="J3446" s="249"/>
      <c r="K3446" s="330"/>
      <c r="L3446" s="250"/>
      <c r="M3446" s="249"/>
      <c r="N3446" s="330"/>
      <c r="O3446" s="250"/>
      <c r="P3446" s="249"/>
      <c r="Q3446" s="330"/>
      <c r="R3446" s="250"/>
      <c r="S3446" s="249"/>
      <c r="T3446" s="330"/>
      <c r="U3446" s="250"/>
      <c r="V3446" s="249"/>
      <c r="W3446" s="330"/>
      <c r="X3446" s="343"/>
      <c r="Y3446" s="249"/>
      <c r="Z3446" s="330"/>
      <c r="AA3446" s="343"/>
      <c r="AB3446" s="249"/>
      <c r="AC3446" s="330"/>
      <c r="AD3446" s="343"/>
      <c r="AE3446" s="249"/>
      <c r="AF3446" s="330"/>
      <c r="AG3446" s="343"/>
      <c r="AH3446" s="249"/>
      <c r="AI3446" s="330"/>
      <c r="AJ3446" s="343"/>
      <c r="AK3446" s="249"/>
      <c r="AL3446" s="330"/>
      <c r="AM3446" s="343"/>
      <c r="AN3446" s="249"/>
      <c r="AO3446" s="330"/>
      <c r="AP3446" s="343"/>
      <c r="AQ3446" s="249"/>
      <c r="AR3446" s="330"/>
      <c r="AS3446" s="343"/>
      <c r="AT3446" s="249"/>
      <c r="AU3446" s="330"/>
    </row>
    <row r="3447" spans="2:47">
      <c r="B3447" s="247">
        <f>'Table S2 Compound Identifiers'!C3449</f>
        <v>0</v>
      </c>
      <c r="C3447" s="247">
        <f>COUNTIF($D$6:D3447,"&lt;&gt;"&amp;"")</f>
        <v>3442</v>
      </c>
      <c r="D3447" s="247">
        <f>'Table S2 Compound Identifiers'!B3449</f>
        <v>0</v>
      </c>
      <c r="E3447" s="247"/>
      <c r="F3447" s="248"/>
      <c r="G3447" s="249"/>
      <c r="H3447" s="330"/>
      <c r="I3447" s="328"/>
      <c r="J3447" s="249"/>
      <c r="K3447" s="330"/>
      <c r="L3447" s="250"/>
      <c r="M3447" s="249"/>
      <c r="N3447" s="330"/>
      <c r="O3447" s="250"/>
      <c r="P3447" s="249"/>
      <c r="Q3447" s="330"/>
      <c r="R3447" s="250"/>
      <c r="S3447" s="249"/>
      <c r="T3447" s="330"/>
      <c r="U3447" s="250"/>
      <c r="V3447" s="249"/>
      <c r="W3447" s="330"/>
      <c r="X3447" s="343"/>
      <c r="Y3447" s="249"/>
      <c r="Z3447" s="330"/>
      <c r="AA3447" s="343"/>
      <c r="AB3447" s="249"/>
      <c r="AC3447" s="330"/>
      <c r="AD3447" s="343"/>
      <c r="AE3447" s="249"/>
      <c r="AF3447" s="330"/>
      <c r="AG3447" s="343"/>
      <c r="AH3447" s="249"/>
      <c r="AI3447" s="330"/>
      <c r="AJ3447" s="343"/>
      <c r="AK3447" s="249"/>
      <c r="AL3447" s="330"/>
      <c r="AM3447" s="343"/>
      <c r="AN3447" s="249"/>
      <c r="AO3447" s="330"/>
      <c r="AP3447" s="343"/>
      <c r="AQ3447" s="249"/>
      <c r="AR3447" s="330"/>
      <c r="AS3447" s="343"/>
      <c r="AT3447" s="249"/>
      <c r="AU3447" s="330"/>
    </row>
    <row r="3448" spans="2:47">
      <c r="B3448" s="247">
        <f>'Table S2 Compound Identifiers'!C3450</f>
        <v>0</v>
      </c>
      <c r="C3448" s="247">
        <f>COUNTIF($D$6:D3448,"&lt;&gt;"&amp;"")</f>
        <v>3443</v>
      </c>
      <c r="D3448" s="247">
        <f>'Table S2 Compound Identifiers'!B3450</f>
        <v>0</v>
      </c>
      <c r="E3448" s="247"/>
      <c r="F3448" s="248"/>
      <c r="G3448" s="249"/>
      <c r="H3448" s="330"/>
      <c r="I3448" s="328"/>
      <c r="J3448" s="249"/>
      <c r="K3448" s="330"/>
      <c r="L3448" s="250"/>
      <c r="M3448" s="249"/>
      <c r="N3448" s="330"/>
      <c r="O3448" s="250"/>
      <c r="P3448" s="249"/>
      <c r="Q3448" s="330"/>
      <c r="R3448" s="250"/>
      <c r="S3448" s="249"/>
      <c r="T3448" s="330"/>
      <c r="U3448" s="250"/>
      <c r="V3448" s="249"/>
      <c r="W3448" s="330"/>
      <c r="X3448" s="343"/>
      <c r="Y3448" s="249"/>
      <c r="Z3448" s="330"/>
      <c r="AA3448" s="343"/>
      <c r="AB3448" s="249"/>
      <c r="AC3448" s="330"/>
      <c r="AD3448" s="343"/>
      <c r="AE3448" s="249"/>
      <c r="AF3448" s="330"/>
      <c r="AG3448" s="343"/>
      <c r="AH3448" s="249"/>
      <c r="AI3448" s="330"/>
      <c r="AJ3448" s="343"/>
      <c r="AK3448" s="249"/>
      <c r="AL3448" s="330"/>
      <c r="AM3448" s="343"/>
      <c r="AN3448" s="249"/>
      <c r="AO3448" s="330"/>
      <c r="AP3448" s="343"/>
      <c r="AQ3448" s="249"/>
      <c r="AR3448" s="330"/>
      <c r="AS3448" s="343"/>
      <c r="AT3448" s="249"/>
      <c r="AU3448" s="330"/>
    </row>
    <row r="3449" spans="2:47">
      <c r="B3449" s="247">
        <f>'Table S2 Compound Identifiers'!C3451</f>
        <v>0</v>
      </c>
      <c r="C3449" s="247">
        <f>COUNTIF($D$6:D3449,"&lt;&gt;"&amp;"")</f>
        <v>3444</v>
      </c>
      <c r="D3449" s="247">
        <f>'Table S2 Compound Identifiers'!B3451</f>
        <v>0</v>
      </c>
      <c r="E3449" s="247"/>
      <c r="F3449" s="248"/>
      <c r="G3449" s="249"/>
      <c r="H3449" s="330"/>
      <c r="I3449" s="328"/>
      <c r="J3449" s="249"/>
      <c r="K3449" s="330"/>
      <c r="L3449" s="250"/>
      <c r="M3449" s="249"/>
      <c r="N3449" s="330"/>
      <c r="O3449" s="250"/>
      <c r="P3449" s="249"/>
      <c r="Q3449" s="330"/>
      <c r="R3449" s="250"/>
      <c r="S3449" s="249"/>
      <c r="T3449" s="330"/>
      <c r="U3449" s="250"/>
      <c r="V3449" s="249"/>
      <c r="W3449" s="330"/>
      <c r="X3449" s="343"/>
      <c r="Y3449" s="249"/>
      <c r="Z3449" s="330"/>
      <c r="AA3449" s="343"/>
      <c r="AB3449" s="249"/>
      <c r="AC3449" s="330"/>
      <c r="AD3449" s="343"/>
      <c r="AE3449" s="249"/>
      <c r="AF3449" s="330"/>
      <c r="AG3449" s="343"/>
      <c r="AH3449" s="249"/>
      <c r="AI3449" s="330"/>
      <c r="AJ3449" s="343"/>
      <c r="AK3449" s="249"/>
      <c r="AL3449" s="330"/>
      <c r="AM3449" s="343"/>
      <c r="AN3449" s="249"/>
      <c r="AO3449" s="330"/>
      <c r="AP3449" s="343"/>
      <c r="AQ3449" s="249"/>
      <c r="AR3449" s="330"/>
      <c r="AS3449" s="343"/>
      <c r="AT3449" s="249"/>
      <c r="AU3449" s="330"/>
    </row>
    <row r="3450" spans="2:47">
      <c r="B3450" s="247">
        <f>'Table S2 Compound Identifiers'!C3452</f>
        <v>0</v>
      </c>
      <c r="C3450" s="247">
        <f>COUNTIF($D$6:D3450,"&lt;&gt;"&amp;"")</f>
        <v>3445</v>
      </c>
      <c r="D3450" s="247">
        <f>'Table S2 Compound Identifiers'!B3452</f>
        <v>0</v>
      </c>
      <c r="E3450" s="247"/>
      <c r="F3450" s="248"/>
      <c r="G3450" s="249"/>
      <c r="H3450" s="330"/>
      <c r="I3450" s="328"/>
      <c r="J3450" s="249"/>
      <c r="K3450" s="330"/>
      <c r="L3450" s="250"/>
      <c r="M3450" s="249"/>
      <c r="N3450" s="330"/>
      <c r="O3450" s="250"/>
      <c r="P3450" s="249"/>
      <c r="Q3450" s="330"/>
      <c r="R3450" s="250"/>
      <c r="S3450" s="249"/>
      <c r="T3450" s="330"/>
      <c r="U3450" s="250"/>
      <c r="V3450" s="249"/>
      <c r="W3450" s="330"/>
      <c r="X3450" s="343"/>
      <c r="Y3450" s="249"/>
      <c r="Z3450" s="330"/>
      <c r="AA3450" s="343"/>
      <c r="AB3450" s="249"/>
      <c r="AC3450" s="330"/>
      <c r="AD3450" s="343"/>
      <c r="AE3450" s="249"/>
      <c r="AF3450" s="330"/>
      <c r="AG3450" s="343"/>
      <c r="AH3450" s="249"/>
      <c r="AI3450" s="330"/>
      <c r="AJ3450" s="343"/>
      <c r="AK3450" s="249"/>
      <c r="AL3450" s="330"/>
      <c r="AM3450" s="343"/>
      <c r="AN3450" s="249"/>
      <c r="AO3450" s="330"/>
      <c r="AP3450" s="343"/>
      <c r="AQ3450" s="249"/>
      <c r="AR3450" s="330"/>
      <c r="AS3450" s="343"/>
      <c r="AT3450" s="249"/>
      <c r="AU3450" s="330"/>
    </row>
    <row r="3451" spans="2:47">
      <c r="B3451" s="247">
        <f>'Table S2 Compound Identifiers'!C3453</f>
        <v>0</v>
      </c>
      <c r="C3451" s="247">
        <f>COUNTIF($D$6:D3451,"&lt;&gt;"&amp;"")</f>
        <v>3446</v>
      </c>
      <c r="D3451" s="247">
        <f>'Table S2 Compound Identifiers'!B3453</f>
        <v>0</v>
      </c>
      <c r="E3451" s="247"/>
      <c r="F3451" s="248"/>
      <c r="G3451" s="249"/>
      <c r="H3451" s="330"/>
      <c r="I3451" s="328"/>
      <c r="J3451" s="249"/>
      <c r="K3451" s="330"/>
      <c r="L3451" s="250"/>
      <c r="M3451" s="249"/>
      <c r="N3451" s="330"/>
      <c r="O3451" s="250"/>
      <c r="P3451" s="249"/>
      <c r="Q3451" s="330"/>
      <c r="R3451" s="250"/>
      <c r="S3451" s="249"/>
      <c r="T3451" s="330"/>
      <c r="U3451" s="250"/>
      <c r="V3451" s="249"/>
      <c r="W3451" s="330"/>
      <c r="X3451" s="343"/>
      <c r="Y3451" s="249"/>
      <c r="Z3451" s="330"/>
      <c r="AA3451" s="343"/>
      <c r="AB3451" s="249"/>
      <c r="AC3451" s="330"/>
      <c r="AD3451" s="343"/>
      <c r="AE3451" s="249"/>
      <c r="AF3451" s="330"/>
      <c r="AG3451" s="343"/>
      <c r="AH3451" s="249"/>
      <c r="AI3451" s="330"/>
      <c r="AJ3451" s="343"/>
      <c r="AK3451" s="249"/>
      <c r="AL3451" s="330"/>
      <c r="AM3451" s="343"/>
      <c r="AN3451" s="249"/>
      <c r="AO3451" s="330"/>
      <c r="AP3451" s="343"/>
      <c r="AQ3451" s="249"/>
      <c r="AR3451" s="330"/>
      <c r="AS3451" s="343"/>
      <c r="AT3451" s="249"/>
      <c r="AU3451" s="330"/>
    </row>
    <row r="3452" spans="2:47">
      <c r="B3452" s="247">
        <f>'Table S2 Compound Identifiers'!C3454</f>
        <v>0</v>
      </c>
      <c r="C3452" s="247">
        <f>COUNTIF($D$6:D3452,"&lt;&gt;"&amp;"")</f>
        <v>3447</v>
      </c>
      <c r="D3452" s="247">
        <f>'Table S2 Compound Identifiers'!B3454</f>
        <v>0</v>
      </c>
      <c r="E3452" s="247"/>
      <c r="F3452" s="248"/>
      <c r="G3452" s="249"/>
      <c r="H3452" s="330"/>
      <c r="I3452" s="328"/>
      <c r="J3452" s="249"/>
      <c r="K3452" s="330"/>
      <c r="L3452" s="250"/>
      <c r="M3452" s="249"/>
      <c r="N3452" s="330"/>
      <c r="O3452" s="250"/>
      <c r="P3452" s="249"/>
      <c r="Q3452" s="330"/>
      <c r="R3452" s="250"/>
      <c r="S3452" s="249"/>
      <c r="T3452" s="330"/>
      <c r="U3452" s="250"/>
      <c r="V3452" s="249"/>
      <c r="W3452" s="330"/>
      <c r="X3452" s="343"/>
      <c r="Y3452" s="249"/>
      <c r="Z3452" s="330"/>
      <c r="AA3452" s="343"/>
      <c r="AB3452" s="249"/>
      <c r="AC3452" s="330"/>
      <c r="AD3452" s="343"/>
      <c r="AE3452" s="249"/>
      <c r="AF3452" s="330"/>
      <c r="AG3452" s="343"/>
      <c r="AH3452" s="249"/>
      <c r="AI3452" s="330"/>
      <c r="AJ3452" s="343"/>
      <c r="AK3452" s="249"/>
      <c r="AL3452" s="330"/>
      <c r="AM3452" s="343"/>
      <c r="AN3452" s="249"/>
      <c r="AO3452" s="330"/>
      <c r="AP3452" s="343"/>
      <c r="AQ3452" s="249"/>
      <c r="AR3452" s="330"/>
      <c r="AS3452" s="343"/>
      <c r="AT3452" s="249"/>
      <c r="AU3452" s="330"/>
    </row>
    <row r="3453" spans="2:47">
      <c r="B3453" s="247">
        <f>'Table S2 Compound Identifiers'!C3455</f>
        <v>0</v>
      </c>
      <c r="C3453" s="247">
        <f>COUNTIF($D$6:D3453,"&lt;&gt;"&amp;"")</f>
        <v>3448</v>
      </c>
      <c r="D3453" s="247">
        <f>'Table S2 Compound Identifiers'!B3455</f>
        <v>0</v>
      </c>
      <c r="E3453" s="247"/>
      <c r="F3453" s="248"/>
      <c r="G3453" s="249"/>
      <c r="H3453" s="330"/>
      <c r="I3453" s="328"/>
      <c r="J3453" s="249"/>
      <c r="K3453" s="330"/>
      <c r="L3453" s="250"/>
      <c r="M3453" s="249"/>
      <c r="N3453" s="330"/>
      <c r="O3453" s="250"/>
      <c r="P3453" s="249"/>
      <c r="Q3453" s="330"/>
      <c r="R3453" s="250"/>
      <c r="S3453" s="249"/>
      <c r="T3453" s="330"/>
      <c r="U3453" s="250"/>
      <c r="V3453" s="249"/>
      <c r="W3453" s="330"/>
      <c r="X3453" s="343"/>
      <c r="Y3453" s="249"/>
      <c r="Z3453" s="330"/>
      <c r="AA3453" s="343"/>
      <c r="AB3453" s="249"/>
      <c r="AC3453" s="330"/>
      <c r="AD3453" s="343"/>
      <c r="AE3453" s="249"/>
      <c r="AF3453" s="330"/>
      <c r="AG3453" s="343"/>
      <c r="AH3453" s="249"/>
      <c r="AI3453" s="330"/>
      <c r="AJ3453" s="343"/>
      <c r="AK3453" s="249"/>
      <c r="AL3453" s="330"/>
      <c r="AM3453" s="343"/>
      <c r="AN3453" s="249"/>
      <c r="AO3453" s="330"/>
      <c r="AP3453" s="343"/>
      <c r="AQ3453" s="249"/>
      <c r="AR3453" s="330"/>
      <c r="AS3453" s="343"/>
      <c r="AT3453" s="249"/>
      <c r="AU3453" s="330"/>
    </row>
    <row r="3454" spans="2:47">
      <c r="B3454" s="247">
        <f>'Table S2 Compound Identifiers'!C3456</f>
        <v>0</v>
      </c>
      <c r="C3454" s="247">
        <f>COUNTIF($D$6:D3454,"&lt;&gt;"&amp;"")</f>
        <v>3449</v>
      </c>
      <c r="D3454" s="247">
        <f>'Table S2 Compound Identifiers'!B3456</f>
        <v>0</v>
      </c>
      <c r="E3454" s="247"/>
      <c r="F3454" s="248"/>
      <c r="G3454" s="249"/>
      <c r="H3454" s="330"/>
      <c r="I3454" s="328"/>
      <c r="J3454" s="249"/>
      <c r="K3454" s="330"/>
      <c r="L3454" s="250"/>
      <c r="M3454" s="249"/>
      <c r="N3454" s="330"/>
      <c r="O3454" s="250"/>
      <c r="P3454" s="249"/>
      <c r="Q3454" s="330"/>
      <c r="R3454" s="250"/>
      <c r="S3454" s="249"/>
      <c r="T3454" s="330"/>
      <c r="U3454" s="250"/>
      <c r="V3454" s="249"/>
      <c r="W3454" s="330"/>
      <c r="X3454" s="343"/>
      <c r="Y3454" s="249"/>
      <c r="Z3454" s="330"/>
      <c r="AA3454" s="343"/>
      <c r="AB3454" s="249"/>
      <c r="AC3454" s="330"/>
      <c r="AD3454" s="343"/>
      <c r="AE3454" s="249"/>
      <c r="AF3454" s="330"/>
      <c r="AG3454" s="343"/>
      <c r="AH3454" s="249"/>
      <c r="AI3454" s="330"/>
      <c r="AJ3454" s="343"/>
      <c r="AK3454" s="249"/>
      <c r="AL3454" s="330"/>
      <c r="AM3454" s="343"/>
      <c r="AN3454" s="249"/>
      <c r="AO3454" s="330"/>
      <c r="AP3454" s="343"/>
      <c r="AQ3454" s="249"/>
      <c r="AR3454" s="330"/>
      <c r="AS3454" s="343"/>
      <c r="AT3454" s="249"/>
      <c r="AU3454" s="330"/>
    </row>
    <row r="3455" spans="2:47">
      <c r="B3455" s="247">
        <f>'Table S2 Compound Identifiers'!C3457</f>
        <v>0</v>
      </c>
      <c r="C3455" s="247">
        <f>COUNTIF($D$6:D3455,"&lt;&gt;"&amp;"")</f>
        <v>3450</v>
      </c>
      <c r="D3455" s="247">
        <f>'Table S2 Compound Identifiers'!B3457</f>
        <v>0</v>
      </c>
      <c r="E3455" s="247"/>
      <c r="F3455" s="248"/>
      <c r="G3455" s="249"/>
      <c r="H3455" s="330"/>
      <c r="I3455" s="328"/>
      <c r="J3455" s="249"/>
      <c r="K3455" s="330"/>
      <c r="L3455" s="250"/>
      <c r="M3455" s="249"/>
      <c r="N3455" s="330"/>
      <c r="O3455" s="250"/>
      <c r="P3455" s="249"/>
      <c r="Q3455" s="330"/>
      <c r="R3455" s="250"/>
      <c r="S3455" s="249"/>
      <c r="T3455" s="330"/>
      <c r="U3455" s="250"/>
      <c r="V3455" s="249"/>
      <c r="W3455" s="330"/>
      <c r="X3455" s="343"/>
      <c r="Y3455" s="249"/>
      <c r="Z3455" s="330"/>
      <c r="AA3455" s="343"/>
      <c r="AB3455" s="249"/>
      <c r="AC3455" s="330"/>
      <c r="AD3455" s="343"/>
      <c r="AE3455" s="249"/>
      <c r="AF3455" s="330"/>
      <c r="AG3455" s="343"/>
      <c r="AH3455" s="249"/>
      <c r="AI3455" s="330"/>
      <c r="AJ3455" s="343"/>
      <c r="AK3455" s="249"/>
      <c r="AL3455" s="330"/>
      <c r="AM3455" s="343"/>
      <c r="AN3455" s="249"/>
      <c r="AO3455" s="330"/>
      <c r="AP3455" s="343"/>
      <c r="AQ3455" s="249"/>
      <c r="AR3455" s="330"/>
      <c r="AS3455" s="343"/>
      <c r="AT3455" s="249"/>
      <c r="AU3455" s="330"/>
    </row>
    <row r="3456" spans="2:47">
      <c r="B3456" s="247">
        <f>'Table S2 Compound Identifiers'!C3458</f>
        <v>0</v>
      </c>
      <c r="C3456" s="247">
        <f>COUNTIF($D$6:D3456,"&lt;&gt;"&amp;"")</f>
        <v>3451</v>
      </c>
      <c r="D3456" s="247">
        <f>'Table S2 Compound Identifiers'!B3458</f>
        <v>0</v>
      </c>
      <c r="E3456" s="247"/>
      <c r="F3456" s="248"/>
      <c r="G3456" s="249"/>
      <c r="H3456" s="330"/>
      <c r="I3456" s="328"/>
      <c r="J3456" s="249"/>
      <c r="K3456" s="330"/>
      <c r="L3456" s="250"/>
      <c r="M3456" s="249"/>
      <c r="N3456" s="330"/>
      <c r="O3456" s="250"/>
      <c r="P3456" s="249"/>
      <c r="Q3456" s="330"/>
      <c r="R3456" s="250"/>
      <c r="S3456" s="249"/>
      <c r="T3456" s="330"/>
      <c r="U3456" s="250"/>
      <c r="V3456" s="249"/>
      <c r="W3456" s="330"/>
      <c r="X3456" s="343"/>
      <c r="Y3456" s="249"/>
      <c r="Z3456" s="330"/>
      <c r="AA3456" s="343"/>
      <c r="AB3456" s="249"/>
      <c r="AC3456" s="330"/>
      <c r="AD3456" s="343"/>
      <c r="AE3456" s="249"/>
      <c r="AF3456" s="330"/>
      <c r="AG3456" s="343"/>
      <c r="AH3456" s="249"/>
      <c r="AI3456" s="330"/>
      <c r="AJ3456" s="343"/>
      <c r="AK3456" s="249"/>
      <c r="AL3456" s="330"/>
      <c r="AM3456" s="343"/>
      <c r="AN3456" s="249"/>
      <c r="AO3456" s="330"/>
      <c r="AP3456" s="343"/>
      <c r="AQ3456" s="249"/>
      <c r="AR3456" s="330"/>
      <c r="AS3456" s="343"/>
      <c r="AT3456" s="249"/>
      <c r="AU3456" s="330"/>
    </row>
    <row r="3457" spans="2:47">
      <c r="B3457" s="247">
        <f>'Table S2 Compound Identifiers'!C3459</f>
        <v>0</v>
      </c>
      <c r="C3457" s="247">
        <f>COUNTIF($D$6:D3457,"&lt;&gt;"&amp;"")</f>
        <v>3452</v>
      </c>
      <c r="D3457" s="247">
        <f>'Table S2 Compound Identifiers'!B3459</f>
        <v>0</v>
      </c>
      <c r="E3457" s="247"/>
      <c r="F3457" s="248"/>
      <c r="G3457" s="249"/>
      <c r="H3457" s="330"/>
      <c r="I3457" s="328"/>
      <c r="J3457" s="249"/>
      <c r="K3457" s="330"/>
      <c r="L3457" s="250"/>
      <c r="M3457" s="249"/>
      <c r="N3457" s="330"/>
      <c r="O3457" s="250"/>
      <c r="P3457" s="249"/>
      <c r="Q3457" s="330"/>
      <c r="R3457" s="250"/>
      <c r="S3457" s="249"/>
      <c r="T3457" s="330"/>
      <c r="U3457" s="250"/>
      <c r="V3457" s="249"/>
      <c r="W3457" s="330"/>
      <c r="X3457" s="343"/>
      <c r="Y3457" s="249"/>
      <c r="Z3457" s="330"/>
      <c r="AA3457" s="343"/>
      <c r="AB3457" s="249"/>
      <c r="AC3457" s="330"/>
      <c r="AD3457" s="343"/>
      <c r="AE3457" s="249"/>
      <c r="AF3457" s="330"/>
      <c r="AG3457" s="343"/>
      <c r="AH3457" s="249"/>
      <c r="AI3457" s="330"/>
      <c r="AJ3457" s="343"/>
      <c r="AK3457" s="249"/>
      <c r="AL3457" s="330"/>
      <c r="AM3457" s="343"/>
      <c r="AN3457" s="249"/>
      <c r="AO3457" s="330"/>
      <c r="AP3457" s="343"/>
      <c r="AQ3457" s="249"/>
      <c r="AR3457" s="330"/>
      <c r="AS3457" s="343"/>
      <c r="AT3457" s="249"/>
      <c r="AU3457" s="330"/>
    </row>
    <row r="3458" spans="2:47">
      <c r="B3458" s="247">
        <f>'Table S2 Compound Identifiers'!C3460</f>
        <v>0</v>
      </c>
      <c r="C3458" s="247">
        <f>COUNTIF($D$6:D3458,"&lt;&gt;"&amp;"")</f>
        <v>3453</v>
      </c>
      <c r="D3458" s="247">
        <f>'Table S2 Compound Identifiers'!B3460</f>
        <v>0</v>
      </c>
      <c r="E3458" s="247"/>
      <c r="F3458" s="248"/>
      <c r="G3458" s="249"/>
      <c r="H3458" s="330"/>
      <c r="I3458" s="328"/>
      <c r="J3458" s="249"/>
      <c r="K3458" s="330"/>
      <c r="L3458" s="250"/>
      <c r="M3458" s="249"/>
      <c r="N3458" s="330"/>
      <c r="O3458" s="250"/>
      <c r="P3458" s="249"/>
      <c r="Q3458" s="330"/>
      <c r="R3458" s="250"/>
      <c r="S3458" s="249"/>
      <c r="T3458" s="330"/>
      <c r="U3458" s="250"/>
      <c r="V3458" s="249"/>
      <c r="W3458" s="330"/>
      <c r="X3458" s="343"/>
      <c r="Y3458" s="249"/>
      <c r="Z3458" s="330"/>
      <c r="AA3458" s="343"/>
      <c r="AB3458" s="249"/>
      <c r="AC3458" s="330"/>
      <c r="AD3458" s="343"/>
      <c r="AE3458" s="249"/>
      <c r="AF3458" s="330"/>
      <c r="AG3458" s="343"/>
      <c r="AH3458" s="249"/>
      <c r="AI3458" s="330"/>
      <c r="AJ3458" s="343"/>
      <c r="AK3458" s="249"/>
      <c r="AL3458" s="330"/>
      <c r="AM3458" s="343"/>
      <c r="AN3458" s="249"/>
      <c r="AO3458" s="330"/>
      <c r="AP3458" s="343"/>
      <c r="AQ3458" s="249"/>
      <c r="AR3458" s="330"/>
      <c r="AS3458" s="343"/>
      <c r="AT3458" s="249"/>
      <c r="AU3458" s="330"/>
    </row>
    <row r="3459" spans="2:47">
      <c r="B3459" s="247">
        <f>'Table S2 Compound Identifiers'!C3461</f>
        <v>0</v>
      </c>
      <c r="C3459" s="247">
        <f>COUNTIF($D$6:D3459,"&lt;&gt;"&amp;"")</f>
        <v>3454</v>
      </c>
      <c r="D3459" s="247">
        <f>'Table S2 Compound Identifiers'!B3461</f>
        <v>0</v>
      </c>
      <c r="E3459" s="247"/>
      <c r="F3459" s="248"/>
      <c r="G3459" s="249"/>
      <c r="H3459" s="330"/>
      <c r="I3459" s="328"/>
      <c r="J3459" s="249"/>
      <c r="K3459" s="330"/>
      <c r="L3459" s="250"/>
      <c r="M3459" s="249"/>
      <c r="N3459" s="330"/>
      <c r="O3459" s="250"/>
      <c r="P3459" s="249"/>
      <c r="Q3459" s="330"/>
      <c r="R3459" s="250"/>
      <c r="S3459" s="249"/>
      <c r="T3459" s="330"/>
      <c r="U3459" s="250"/>
      <c r="V3459" s="249"/>
      <c r="W3459" s="330"/>
      <c r="X3459" s="343"/>
      <c r="Y3459" s="249"/>
      <c r="Z3459" s="330"/>
      <c r="AA3459" s="343"/>
      <c r="AB3459" s="249"/>
      <c r="AC3459" s="330"/>
      <c r="AD3459" s="343"/>
      <c r="AE3459" s="249"/>
      <c r="AF3459" s="330"/>
      <c r="AG3459" s="343"/>
      <c r="AH3459" s="249"/>
      <c r="AI3459" s="330"/>
      <c r="AJ3459" s="343"/>
      <c r="AK3459" s="249"/>
      <c r="AL3459" s="330"/>
      <c r="AM3459" s="343"/>
      <c r="AN3459" s="249"/>
      <c r="AO3459" s="330"/>
      <c r="AP3459" s="343"/>
      <c r="AQ3459" s="249"/>
      <c r="AR3459" s="330"/>
      <c r="AS3459" s="343"/>
      <c r="AT3459" s="249"/>
      <c r="AU3459" s="330"/>
    </row>
    <row r="3460" spans="2:47">
      <c r="B3460" s="247">
        <f>'Table S2 Compound Identifiers'!C3462</f>
        <v>0</v>
      </c>
      <c r="C3460" s="247">
        <f>COUNTIF($D$6:D3460,"&lt;&gt;"&amp;"")</f>
        <v>3455</v>
      </c>
      <c r="D3460" s="247">
        <f>'Table S2 Compound Identifiers'!B3462</f>
        <v>0</v>
      </c>
      <c r="E3460" s="247"/>
      <c r="F3460" s="248"/>
      <c r="G3460" s="249"/>
      <c r="H3460" s="330"/>
      <c r="I3460" s="328"/>
      <c r="J3460" s="249"/>
      <c r="K3460" s="330"/>
      <c r="L3460" s="250"/>
      <c r="M3460" s="249"/>
      <c r="N3460" s="330"/>
      <c r="O3460" s="250"/>
      <c r="P3460" s="249"/>
      <c r="Q3460" s="330"/>
      <c r="R3460" s="250"/>
      <c r="S3460" s="249"/>
      <c r="T3460" s="330"/>
      <c r="U3460" s="250"/>
      <c r="V3460" s="249"/>
      <c r="W3460" s="330"/>
      <c r="X3460" s="343"/>
      <c r="Y3460" s="249"/>
      <c r="Z3460" s="330"/>
      <c r="AA3460" s="343"/>
      <c r="AB3460" s="249"/>
      <c r="AC3460" s="330"/>
      <c r="AD3460" s="343"/>
      <c r="AE3460" s="249"/>
      <c r="AF3460" s="330"/>
      <c r="AG3460" s="343"/>
      <c r="AH3460" s="249"/>
      <c r="AI3460" s="330"/>
      <c r="AJ3460" s="343"/>
      <c r="AK3460" s="249"/>
      <c r="AL3460" s="330"/>
      <c r="AM3460" s="343"/>
      <c r="AN3460" s="249"/>
      <c r="AO3460" s="330"/>
      <c r="AP3460" s="343"/>
      <c r="AQ3460" s="249"/>
      <c r="AR3460" s="330"/>
      <c r="AS3460" s="343"/>
      <c r="AT3460" s="249"/>
      <c r="AU3460" s="330"/>
    </row>
    <row r="3461" spans="2:47">
      <c r="B3461" s="247">
        <f>'Table S2 Compound Identifiers'!C3463</f>
        <v>0</v>
      </c>
      <c r="C3461" s="247">
        <f>COUNTIF($D$6:D3461,"&lt;&gt;"&amp;"")</f>
        <v>3456</v>
      </c>
      <c r="D3461" s="247">
        <f>'Table S2 Compound Identifiers'!B3463</f>
        <v>0</v>
      </c>
      <c r="E3461" s="247"/>
      <c r="F3461" s="248"/>
      <c r="G3461" s="249"/>
      <c r="H3461" s="330"/>
      <c r="I3461" s="328"/>
      <c r="J3461" s="249"/>
      <c r="K3461" s="330"/>
      <c r="L3461" s="250"/>
      <c r="M3461" s="249"/>
      <c r="N3461" s="330"/>
      <c r="O3461" s="250"/>
      <c r="P3461" s="249"/>
      <c r="Q3461" s="330"/>
      <c r="R3461" s="250"/>
      <c r="S3461" s="249"/>
      <c r="T3461" s="330"/>
      <c r="U3461" s="250"/>
      <c r="V3461" s="249"/>
      <c r="W3461" s="330"/>
      <c r="X3461" s="343"/>
      <c r="Y3461" s="249"/>
      <c r="Z3461" s="330"/>
      <c r="AA3461" s="343"/>
      <c r="AB3461" s="249"/>
      <c r="AC3461" s="330"/>
      <c r="AD3461" s="343"/>
      <c r="AE3461" s="249"/>
      <c r="AF3461" s="330"/>
      <c r="AG3461" s="343"/>
      <c r="AH3461" s="249"/>
      <c r="AI3461" s="330"/>
      <c r="AJ3461" s="343"/>
      <c r="AK3461" s="249"/>
      <c r="AL3461" s="330"/>
      <c r="AM3461" s="343"/>
      <c r="AN3461" s="249"/>
      <c r="AO3461" s="330"/>
      <c r="AP3461" s="343"/>
      <c r="AQ3461" s="249"/>
      <c r="AR3461" s="330"/>
      <c r="AS3461" s="343"/>
      <c r="AT3461" s="249"/>
      <c r="AU3461" s="330"/>
    </row>
    <row r="3462" spans="2:47">
      <c r="B3462" s="247">
        <f>'Table S2 Compound Identifiers'!C3464</f>
        <v>0</v>
      </c>
      <c r="C3462" s="247">
        <f>COUNTIF($D$6:D3462,"&lt;&gt;"&amp;"")</f>
        <v>3457</v>
      </c>
      <c r="D3462" s="247">
        <f>'Table S2 Compound Identifiers'!B3464</f>
        <v>0</v>
      </c>
      <c r="E3462" s="247"/>
      <c r="F3462" s="248"/>
      <c r="G3462" s="249"/>
      <c r="H3462" s="330"/>
      <c r="I3462" s="328"/>
      <c r="J3462" s="249"/>
      <c r="K3462" s="330"/>
      <c r="L3462" s="250"/>
      <c r="M3462" s="249"/>
      <c r="N3462" s="330"/>
      <c r="O3462" s="250"/>
      <c r="P3462" s="249"/>
      <c r="Q3462" s="330"/>
      <c r="R3462" s="250"/>
      <c r="S3462" s="249"/>
      <c r="T3462" s="330"/>
      <c r="U3462" s="250"/>
      <c r="V3462" s="249"/>
      <c r="W3462" s="330"/>
      <c r="X3462" s="343"/>
      <c r="Y3462" s="249"/>
      <c r="Z3462" s="330"/>
      <c r="AA3462" s="343"/>
      <c r="AB3462" s="249"/>
      <c r="AC3462" s="330"/>
      <c r="AD3462" s="343"/>
      <c r="AE3462" s="249"/>
      <c r="AF3462" s="330"/>
      <c r="AG3462" s="343"/>
      <c r="AH3462" s="249"/>
      <c r="AI3462" s="330"/>
      <c r="AJ3462" s="343"/>
      <c r="AK3462" s="249"/>
      <c r="AL3462" s="330"/>
      <c r="AM3462" s="343"/>
      <c r="AN3462" s="249"/>
      <c r="AO3462" s="330"/>
      <c r="AP3462" s="343"/>
      <c r="AQ3462" s="249"/>
      <c r="AR3462" s="330"/>
      <c r="AS3462" s="343"/>
      <c r="AT3462" s="249"/>
      <c r="AU3462" s="330"/>
    </row>
    <row r="3463" spans="2:47">
      <c r="B3463" s="247">
        <f>'Table S2 Compound Identifiers'!C3465</f>
        <v>0</v>
      </c>
      <c r="C3463" s="247">
        <f>COUNTIF($D$6:D3463,"&lt;&gt;"&amp;"")</f>
        <v>3458</v>
      </c>
      <c r="D3463" s="247">
        <f>'Table S2 Compound Identifiers'!B3465</f>
        <v>0</v>
      </c>
      <c r="E3463" s="247"/>
      <c r="F3463" s="248"/>
      <c r="G3463" s="249"/>
      <c r="H3463" s="330"/>
      <c r="I3463" s="328"/>
      <c r="J3463" s="249"/>
      <c r="K3463" s="330"/>
      <c r="L3463" s="250"/>
      <c r="M3463" s="249"/>
      <c r="N3463" s="330"/>
      <c r="O3463" s="250"/>
      <c r="P3463" s="249"/>
      <c r="Q3463" s="330"/>
      <c r="R3463" s="250"/>
      <c r="S3463" s="249"/>
      <c r="T3463" s="330"/>
      <c r="U3463" s="250"/>
      <c r="V3463" s="249"/>
      <c r="W3463" s="330"/>
      <c r="X3463" s="343"/>
      <c r="Y3463" s="249"/>
      <c r="Z3463" s="330"/>
      <c r="AA3463" s="343"/>
      <c r="AB3463" s="249"/>
      <c r="AC3463" s="330"/>
      <c r="AD3463" s="343"/>
      <c r="AE3463" s="249"/>
      <c r="AF3463" s="330"/>
      <c r="AG3463" s="343"/>
      <c r="AH3463" s="249"/>
      <c r="AI3463" s="330"/>
      <c r="AJ3463" s="343"/>
      <c r="AK3463" s="249"/>
      <c r="AL3463" s="330"/>
      <c r="AM3463" s="343"/>
      <c r="AN3463" s="249"/>
      <c r="AO3463" s="330"/>
      <c r="AP3463" s="343"/>
      <c r="AQ3463" s="249"/>
      <c r="AR3463" s="330"/>
      <c r="AS3463" s="343"/>
      <c r="AT3463" s="249"/>
      <c r="AU3463" s="330"/>
    </row>
    <row r="3464" spans="2:47">
      <c r="B3464" s="247">
        <f>'Table S2 Compound Identifiers'!C3466</f>
        <v>0</v>
      </c>
      <c r="C3464" s="247">
        <f>COUNTIF($D$6:D3464,"&lt;&gt;"&amp;"")</f>
        <v>3459</v>
      </c>
      <c r="D3464" s="247">
        <f>'Table S2 Compound Identifiers'!B3466</f>
        <v>0</v>
      </c>
      <c r="E3464" s="247"/>
      <c r="F3464" s="248"/>
      <c r="G3464" s="249"/>
      <c r="H3464" s="330"/>
      <c r="I3464" s="328"/>
      <c r="J3464" s="249"/>
      <c r="K3464" s="330"/>
      <c r="L3464" s="250"/>
      <c r="M3464" s="249"/>
      <c r="N3464" s="330"/>
      <c r="O3464" s="250"/>
      <c r="P3464" s="249"/>
      <c r="Q3464" s="330"/>
      <c r="R3464" s="250"/>
      <c r="S3464" s="249"/>
      <c r="T3464" s="330"/>
      <c r="U3464" s="250"/>
      <c r="V3464" s="249"/>
      <c r="W3464" s="330"/>
      <c r="X3464" s="343"/>
      <c r="Y3464" s="249"/>
      <c r="Z3464" s="330"/>
      <c r="AA3464" s="343"/>
      <c r="AB3464" s="249"/>
      <c r="AC3464" s="330"/>
      <c r="AD3464" s="343"/>
      <c r="AE3464" s="249"/>
      <c r="AF3464" s="330"/>
      <c r="AG3464" s="343"/>
      <c r="AH3464" s="249"/>
      <c r="AI3464" s="330"/>
      <c r="AJ3464" s="343"/>
      <c r="AK3464" s="249"/>
      <c r="AL3464" s="330"/>
      <c r="AM3464" s="343"/>
      <c r="AN3464" s="249"/>
      <c r="AO3464" s="330"/>
      <c r="AP3464" s="343"/>
      <c r="AQ3464" s="249"/>
      <c r="AR3464" s="330"/>
      <c r="AS3464" s="343"/>
      <c r="AT3464" s="249"/>
      <c r="AU3464" s="330"/>
    </row>
    <row r="3465" spans="2:47">
      <c r="B3465" s="247">
        <f>'Table S2 Compound Identifiers'!C3467</f>
        <v>0</v>
      </c>
      <c r="C3465" s="247">
        <f>COUNTIF($D$6:D3465,"&lt;&gt;"&amp;"")</f>
        <v>3460</v>
      </c>
      <c r="D3465" s="247">
        <f>'Table S2 Compound Identifiers'!B3467</f>
        <v>0</v>
      </c>
      <c r="E3465" s="247"/>
      <c r="F3465" s="248"/>
      <c r="G3465" s="249"/>
      <c r="H3465" s="330"/>
      <c r="I3465" s="328"/>
      <c r="J3465" s="249"/>
      <c r="K3465" s="330"/>
      <c r="L3465" s="250"/>
      <c r="M3465" s="249"/>
      <c r="N3465" s="330"/>
      <c r="O3465" s="250"/>
      <c r="P3465" s="249"/>
      <c r="Q3465" s="330"/>
      <c r="R3465" s="250"/>
      <c r="S3465" s="249"/>
      <c r="T3465" s="330"/>
      <c r="U3465" s="250"/>
      <c r="V3465" s="249"/>
      <c r="W3465" s="330"/>
      <c r="X3465" s="343"/>
      <c r="Y3465" s="249"/>
      <c r="Z3465" s="330"/>
      <c r="AA3465" s="343"/>
      <c r="AB3465" s="249"/>
      <c r="AC3465" s="330"/>
      <c r="AD3465" s="343"/>
      <c r="AE3465" s="249"/>
      <c r="AF3465" s="330"/>
      <c r="AG3465" s="343"/>
      <c r="AH3465" s="249"/>
      <c r="AI3465" s="330"/>
      <c r="AJ3465" s="343"/>
      <c r="AK3465" s="249"/>
      <c r="AL3465" s="330"/>
      <c r="AM3465" s="343"/>
      <c r="AN3465" s="249"/>
      <c r="AO3465" s="330"/>
      <c r="AP3465" s="343"/>
      <c r="AQ3465" s="249"/>
      <c r="AR3465" s="330"/>
      <c r="AS3465" s="343"/>
      <c r="AT3465" s="249"/>
      <c r="AU3465" s="330"/>
    </row>
    <row r="3466" spans="2:47">
      <c r="B3466" s="247">
        <f>'Table S2 Compound Identifiers'!C3468</f>
        <v>0</v>
      </c>
      <c r="C3466" s="247">
        <f>COUNTIF($D$6:D3466,"&lt;&gt;"&amp;"")</f>
        <v>3461</v>
      </c>
      <c r="D3466" s="432">
        <f>'Table S2 Compound Identifiers'!B3468</f>
        <v>0</v>
      </c>
      <c r="E3466" s="247"/>
      <c r="F3466" s="248"/>
      <c r="G3466" s="249"/>
      <c r="H3466" s="330"/>
      <c r="I3466" s="328"/>
      <c r="J3466" s="249"/>
      <c r="K3466" s="330"/>
      <c r="L3466" s="250"/>
      <c r="M3466" s="249"/>
      <c r="N3466" s="330"/>
      <c r="O3466" s="250"/>
      <c r="P3466" s="249"/>
      <c r="Q3466" s="330"/>
      <c r="R3466" s="250"/>
      <c r="S3466" s="249"/>
      <c r="T3466" s="330"/>
      <c r="U3466" s="250"/>
      <c r="V3466" s="249"/>
      <c r="W3466" s="330"/>
      <c r="X3466" s="343"/>
      <c r="Y3466" s="249"/>
      <c r="Z3466" s="330"/>
      <c r="AA3466" s="343"/>
      <c r="AB3466" s="249"/>
      <c r="AC3466" s="330"/>
      <c r="AD3466" s="343"/>
      <c r="AE3466" s="249"/>
      <c r="AF3466" s="330"/>
      <c r="AG3466" s="343"/>
      <c r="AH3466" s="249"/>
      <c r="AI3466" s="330"/>
      <c r="AJ3466" s="343"/>
      <c r="AK3466" s="249"/>
      <c r="AL3466" s="330"/>
      <c r="AM3466" s="343"/>
      <c r="AN3466" s="249"/>
      <c r="AO3466" s="330"/>
      <c r="AP3466" s="343"/>
      <c r="AQ3466" s="249"/>
      <c r="AR3466" s="330"/>
      <c r="AS3466" s="343"/>
      <c r="AT3466" s="249"/>
      <c r="AU3466" s="330"/>
    </row>
    <row r="3467" spans="2:47">
      <c r="B3467" s="247">
        <f>'Table S2 Compound Identifiers'!C3469</f>
        <v>0</v>
      </c>
      <c r="C3467" s="247">
        <f>COUNTIF($D$6:D3467,"&lt;&gt;"&amp;"")</f>
        <v>3462</v>
      </c>
      <c r="D3467" s="432">
        <f>'Table S2 Compound Identifiers'!B3469</f>
        <v>0</v>
      </c>
      <c r="E3467" s="247"/>
      <c r="F3467" s="248"/>
      <c r="G3467" s="249"/>
      <c r="H3467" s="330"/>
      <c r="I3467" s="328"/>
      <c r="J3467" s="249"/>
      <c r="K3467" s="330"/>
      <c r="L3467" s="250"/>
      <c r="M3467" s="249"/>
      <c r="N3467" s="330"/>
      <c r="O3467" s="250"/>
      <c r="P3467" s="249"/>
      <c r="Q3467" s="330"/>
      <c r="R3467" s="250"/>
      <c r="S3467" s="249"/>
      <c r="T3467" s="330"/>
      <c r="U3467" s="250"/>
      <c r="V3467" s="249"/>
      <c r="W3467" s="330"/>
      <c r="X3467" s="343"/>
      <c r="Y3467" s="249"/>
      <c r="Z3467" s="330"/>
      <c r="AA3467" s="343"/>
      <c r="AB3467" s="249"/>
      <c r="AC3467" s="330"/>
      <c r="AD3467" s="343"/>
      <c r="AE3467" s="249"/>
      <c r="AF3467" s="330"/>
      <c r="AG3467" s="343"/>
      <c r="AH3467" s="249"/>
      <c r="AI3467" s="330"/>
      <c r="AJ3467" s="343"/>
      <c r="AK3467" s="249"/>
      <c r="AL3467" s="330"/>
      <c r="AM3467" s="343"/>
      <c r="AN3467" s="249"/>
      <c r="AO3467" s="330"/>
      <c r="AP3467" s="343"/>
      <c r="AQ3467" s="249"/>
      <c r="AR3467" s="330"/>
      <c r="AS3467" s="343"/>
      <c r="AT3467" s="249"/>
      <c r="AU3467" s="330"/>
    </row>
    <row r="3468" spans="2:47">
      <c r="B3468" s="247">
        <f>'Table S2 Compound Identifiers'!C3470</f>
        <v>0</v>
      </c>
      <c r="C3468" s="247">
        <f>COUNTIF($D$6:D3468,"&lt;&gt;"&amp;"")</f>
        <v>3463</v>
      </c>
      <c r="D3468" s="432">
        <f>'Table S2 Compound Identifiers'!B3470</f>
        <v>0</v>
      </c>
      <c r="E3468" s="247"/>
      <c r="F3468" s="248"/>
      <c r="G3468" s="249"/>
      <c r="H3468" s="330"/>
      <c r="I3468" s="328"/>
      <c r="J3468" s="249"/>
      <c r="K3468" s="330"/>
      <c r="L3468" s="250"/>
      <c r="M3468" s="249"/>
      <c r="N3468" s="330"/>
      <c r="O3468" s="250"/>
      <c r="P3468" s="249"/>
      <c r="Q3468" s="330"/>
      <c r="R3468" s="250"/>
      <c r="S3468" s="249"/>
      <c r="T3468" s="330"/>
      <c r="U3468" s="250"/>
      <c r="V3468" s="249"/>
      <c r="W3468" s="330"/>
      <c r="X3468" s="343"/>
      <c r="Y3468" s="249"/>
      <c r="Z3468" s="330"/>
      <c r="AA3468" s="343"/>
      <c r="AB3468" s="249"/>
      <c r="AC3468" s="330"/>
      <c r="AD3468" s="343"/>
      <c r="AE3468" s="249"/>
      <c r="AF3468" s="330"/>
      <c r="AG3468" s="343"/>
      <c r="AH3468" s="249"/>
      <c r="AI3468" s="330"/>
      <c r="AJ3468" s="343"/>
      <c r="AK3468" s="249"/>
      <c r="AL3468" s="330"/>
      <c r="AM3468" s="343"/>
      <c r="AN3468" s="249"/>
      <c r="AO3468" s="330"/>
      <c r="AP3468" s="343"/>
      <c r="AQ3468" s="249"/>
      <c r="AR3468" s="330"/>
      <c r="AS3468" s="343"/>
      <c r="AT3468" s="249"/>
      <c r="AU3468" s="330"/>
    </row>
    <row r="3469" spans="2:47">
      <c r="B3469" s="247">
        <f>'Table S2 Compound Identifiers'!C3471</f>
        <v>0</v>
      </c>
      <c r="C3469" s="247">
        <f>COUNTIF($D$6:D3469,"&lt;&gt;"&amp;"")</f>
        <v>3464</v>
      </c>
      <c r="D3469" s="432">
        <f>'Table S2 Compound Identifiers'!B3471</f>
        <v>0</v>
      </c>
      <c r="E3469" s="247"/>
      <c r="F3469" s="248"/>
      <c r="G3469" s="249"/>
      <c r="H3469" s="330"/>
      <c r="I3469" s="328"/>
      <c r="J3469" s="249"/>
      <c r="K3469" s="330"/>
      <c r="L3469" s="250"/>
      <c r="M3469" s="249"/>
      <c r="N3469" s="330"/>
      <c r="O3469" s="250"/>
      <c r="P3469" s="249"/>
      <c r="Q3469" s="330"/>
      <c r="R3469" s="250"/>
      <c r="S3469" s="249"/>
      <c r="T3469" s="330"/>
      <c r="U3469" s="250"/>
      <c r="V3469" s="249"/>
      <c r="W3469" s="330"/>
      <c r="X3469" s="343"/>
      <c r="Y3469" s="249"/>
      <c r="Z3469" s="330"/>
      <c r="AA3469" s="343"/>
      <c r="AB3469" s="249"/>
      <c r="AC3469" s="330"/>
      <c r="AD3469" s="343"/>
      <c r="AE3469" s="249"/>
      <c r="AF3469" s="330"/>
      <c r="AG3469" s="343"/>
      <c r="AH3469" s="249"/>
      <c r="AI3469" s="330"/>
      <c r="AJ3469" s="343"/>
      <c r="AK3469" s="249"/>
      <c r="AL3469" s="330"/>
      <c r="AM3469" s="343"/>
      <c r="AN3469" s="249"/>
      <c r="AO3469" s="330"/>
      <c r="AP3469" s="343"/>
      <c r="AQ3469" s="249"/>
      <c r="AR3469" s="330"/>
      <c r="AS3469" s="343"/>
      <c r="AT3469" s="249"/>
      <c r="AU3469" s="330"/>
    </row>
    <row r="3470" spans="2:47">
      <c r="B3470" s="247">
        <f>'Table S2 Compound Identifiers'!C3472</f>
        <v>0</v>
      </c>
      <c r="C3470" s="247">
        <f>COUNTIF($D$6:D3470,"&lt;&gt;"&amp;"")</f>
        <v>3465</v>
      </c>
      <c r="D3470" s="432">
        <f>'Table S2 Compound Identifiers'!B3472</f>
        <v>0</v>
      </c>
      <c r="E3470" s="247"/>
      <c r="F3470" s="248"/>
      <c r="G3470" s="249"/>
      <c r="H3470" s="330"/>
      <c r="I3470" s="328"/>
      <c r="J3470" s="249"/>
      <c r="K3470" s="330"/>
      <c r="L3470" s="250"/>
      <c r="M3470" s="249"/>
      <c r="N3470" s="330"/>
      <c r="O3470" s="250"/>
      <c r="P3470" s="249"/>
      <c r="Q3470" s="330"/>
      <c r="R3470" s="250"/>
      <c r="S3470" s="249"/>
      <c r="T3470" s="330"/>
      <c r="U3470" s="250"/>
      <c r="V3470" s="249"/>
      <c r="W3470" s="330"/>
      <c r="X3470" s="343"/>
      <c r="Y3470" s="249"/>
      <c r="Z3470" s="330"/>
      <c r="AA3470" s="343"/>
      <c r="AB3470" s="249"/>
      <c r="AC3470" s="330"/>
      <c r="AD3470" s="343"/>
      <c r="AE3470" s="249"/>
      <c r="AF3470" s="330"/>
      <c r="AG3470" s="343"/>
      <c r="AH3470" s="249"/>
      <c r="AI3470" s="330"/>
      <c r="AJ3470" s="343"/>
      <c r="AK3470" s="249"/>
      <c r="AL3470" s="330"/>
      <c r="AM3470" s="343"/>
      <c r="AN3470" s="249"/>
      <c r="AO3470" s="330"/>
      <c r="AP3470" s="343"/>
      <c r="AQ3470" s="249"/>
      <c r="AR3470" s="330"/>
      <c r="AS3470" s="343"/>
      <c r="AT3470" s="249"/>
      <c r="AU3470" s="330"/>
    </row>
    <row r="3471" spans="2:47">
      <c r="B3471" s="247">
        <f>'Table S2 Compound Identifiers'!C3473</f>
        <v>0</v>
      </c>
      <c r="C3471" s="247">
        <f>COUNTIF($D$6:D3471,"&lt;&gt;"&amp;"")</f>
        <v>3466</v>
      </c>
      <c r="D3471" s="432">
        <f>'Table S2 Compound Identifiers'!B3473</f>
        <v>0</v>
      </c>
      <c r="E3471" s="247"/>
      <c r="F3471" s="248"/>
      <c r="G3471" s="249"/>
      <c r="H3471" s="330"/>
      <c r="I3471" s="328"/>
      <c r="J3471" s="249"/>
      <c r="K3471" s="330"/>
      <c r="L3471" s="250"/>
      <c r="M3471" s="249"/>
      <c r="N3471" s="330"/>
      <c r="O3471" s="250"/>
      <c r="P3471" s="249"/>
      <c r="Q3471" s="330"/>
      <c r="R3471" s="250"/>
      <c r="S3471" s="249"/>
      <c r="T3471" s="330"/>
      <c r="U3471" s="250"/>
      <c r="V3471" s="249"/>
      <c r="W3471" s="330"/>
      <c r="X3471" s="343"/>
      <c r="Y3471" s="249"/>
      <c r="Z3471" s="330"/>
      <c r="AA3471" s="343"/>
      <c r="AB3471" s="249"/>
      <c r="AC3471" s="330"/>
      <c r="AD3471" s="343"/>
      <c r="AE3471" s="249"/>
      <c r="AF3471" s="330"/>
      <c r="AG3471" s="343"/>
      <c r="AH3471" s="249"/>
      <c r="AI3471" s="330"/>
      <c r="AJ3471" s="343"/>
      <c r="AK3471" s="249"/>
      <c r="AL3471" s="330"/>
      <c r="AM3471" s="343"/>
      <c r="AN3471" s="249"/>
      <c r="AO3471" s="330"/>
      <c r="AP3471" s="343"/>
      <c r="AQ3471" s="249"/>
      <c r="AR3471" s="330"/>
      <c r="AS3471" s="343"/>
      <c r="AT3471" s="249"/>
      <c r="AU3471" s="330"/>
    </row>
    <row r="3472" spans="2:47">
      <c r="B3472" s="247">
        <f>'Table S2 Compound Identifiers'!C3474</f>
        <v>0</v>
      </c>
      <c r="C3472" s="247">
        <f>COUNTIF($D$6:D3472,"&lt;&gt;"&amp;"")</f>
        <v>3467</v>
      </c>
      <c r="D3472" s="432">
        <f>'Table S2 Compound Identifiers'!B3474</f>
        <v>0</v>
      </c>
      <c r="E3472" s="247"/>
      <c r="F3472" s="248"/>
      <c r="G3472" s="249"/>
      <c r="H3472" s="330"/>
      <c r="I3472" s="328"/>
      <c r="J3472" s="249"/>
      <c r="K3472" s="330"/>
      <c r="L3472" s="250"/>
      <c r="M3472" s="249"/>
      <c r="N3472" s="330"/>
      <c r="O3472" s="250"/>
      <c r="P3472" s="249"/>
      <c r="Q3472" s="330"/>
      <c r="R3472" s="250"/>
      <c r="S3472" s="249"/>
      <c r="T3472" s="330"/>
      <c r="U3472" s="250"/>
      <c r="V3472" s="249"/>
      <c r="W3472" s="330"/>
      <c r="X3472" s="343"/>
      <c r="Y3472" s="249"/>
      <c r="Z3472" s="330"/>
      <c r="AA3472" s="343"/>
      <c r="AB3472" s="249"/>
      <c r="AC3472" s="330"/>
      <c r="AD3472" s="343"/>
      <c r="AE3472" s="249"/>
      <c r="AF3472" s="330"/>
      <c r="AG3472" s="343"/>
      <c r="AH3472" s="249"/>
      <c r="AI3472" s="330"/>
      <c r="AJ3472" s="343"/>
      <c r="AK3472" s="249"/>
      <c r="AL3472" s="330"/>
      <c r="AM3472" s="343"/>
      <c r="AN3472" s="249"/>
      <c r="AO3472" s="330"/>
      <c r="AP3472" s="343"/>
      <c r="AQ3472" s="249"/>
      <c r="AR3472" s="330"/>
      <c r="AS3472" s="343"/>
      <c r="AT3472" s="249"/>
      <c r="AU3472" s="330"/>
    </row>
    <row r="3473" spans="2:47">
      <c r="B3473" s="247">
        <f>'Table S2 Compound Identifiers'!C3475</f>
        <v>0</v>
      </c>
      <c r="C3473" s="247">
        <f>COUNTIF($D$6:D3473,"&lt;&gt;"&amp;"")</f>
        <v>3468</v>
      </c>
      <c r="D3473" s="432">
        <f>'Table S2 Compound Identifiers'!B3475</f>
        <v>0</v>
      </c>
      <c r="E3473" s="247"/>
      <c r="F3473" s="248"/>
      <c r="G3473" s="249"/>
      <c r="H3473" s="330"/>
      <c r="I3473" s="328"/>
      <c r="J3473" s="249"/>
      <c r="K3473" s="330"/>
      <c r="L3473" s="250"/>
      <c r="M3473" s="249"/>
      <c r="N3473" s="330"/>
      <c r="O3473" s="250"/>
      <c r="P3473" s="249"/>
      <c r="Q3473" s="330"/>
      <c r="R3473" s="250"/>
      <c r="S3473" s="249"/>
      <c r="T3473" s="330"/>
      <c r="U3473" s="250"/>
      <c r="V3473" s="249"/>
      <c r="W3473" s="330"/>
      <c r="X3473" s="343"/>
      <c r="Y3473" s="249"/>
      <c r="Z3473" s="330"/>
      <c r="AA3473" s="343"/>
      <c r="AB3473" s="249"/>
      <c r="AC3473" s="330"/>
      <c r="AD3473" s="343"/>
      <c r="AE3473" s="249"/>
      <c r="AF3473" s="330"/>
      <c r="AG3473" s="343"/>
      <c r="AH3473" s="249"/>
      <c r="AI3473" s="330"/>
      <c r="AJ3473" s="343"/>
      <c r="AK3473" s="249"/>
      <c r="AL3473" s="330"/>
      <c r="AM3473" s="343"/>
      <c r="AN3473" s="249"/>
      <c r="AO3473" s="330"/>
      <c r="AP3473" s="343"/>
      <c r="AQ3473" s="249"/>
      <c r="AR3473" s="330"/>
      <c r="AS3473" s="343"/>
      <c r="AT3473" s="249"/>
      <c r="AU3473" s="330"/>
    </row>
    <row r="3474" spans="2:47">
      <c r="B3474" s="247">
        <f>'Table S2 Compound Identifiers'!C3476</f>
        <v>0</v>
      </c>
      <c r="C3474" s="247">
        <f>COUNTIF($D$6:D3474,"&lt;&gt;"&amp;"")</f>
        <v>3469</v>
      </c>
      <c r="D3474" s="432">
        <f>'Table S2 Compound Identifiers'!B3476</f>
        <v>0</v>
      </c>
      <c r="E3474" s="247"/>
      <c r="F3474" s="248"/>
      <c r="G3474" s="249"/>
      <c r="H3474" s="330"/>
      <c r="I3474" s="328"/>
      <c r="J3474" s="249"/>
      <c r="K3474" s="330"/>
      <c r="L3474" s="250"/>
      <c r="M3474" s="249"/>
      <c r="N3474" s="330"/>
      <c r="O3474" s="250"/>
      <c r="P3474" s="249"/>
      <c r="Q3474" s="330"/>
      <c r="R3474" s="250"/>
      <c r="S3474" s="249"/>
      <c r="T3474" s="330"/>
      <c r="U3474" s="250"/>
      <c r="V3474" s="249"/>
      <c r="W3474" s="330"/>
      <c r="X3474" s="343"/>
      <c r="Y3474" s="249"/>
      <c r="Z3474" s="330"/>
      <c r="AA3474" s="343"/>
      <c r="AB3474" s="249"/>
      <c r="AC3474" s="330"/>
      <c r="AD3474" s="343"/>
      <c r="AE3474" s="249"/>
      <c r="AF3474" s="330"/>
      <c r="AG3474" s="343"/>
      <c r="AH3474" s="249"/>
      <c r="AI3474" s="330"/>
      <c r="AJ3474" s="343"/>
      <c r="AK3474" s="249"/>
      <c r="AL3474" s="330"/>
      <c r="AM3474" s="343"/>
      <c r="AN3474" s="249"/>
      <c r="AO3474" s="330"/>
      <c r="AP3474" s="343"/>
      <c r="AQ3474" s="249"/>
      <c r="AR3474" s="330"/>
      <c r="AS3474" s="343"/>
      <c r="AT3474" s="249"/>
      <c r="AU3474" s="330"/>
    </row>
    <row r="3475" spans="2:47">
      <c r="B3475" s="247">
        <f>'Table S2 Compound Identifiers'!C3477</f>
        <v>0</v>
      </c>
      <c r="C3475" s="247">
        <f>COUNTIF($D$6:D3475,"&lt;&gt;"&amp;"")</f>
        <v>3470</v>
      </c>
      <c r="D3475" s="432">
        <f>'Table S2 Compound Identifiers'!B3477</f>
        <v>0</v>
      </c>
      <c r="E3475" s="247"/>
      <c r="F3475" s="248"/>
      <c r="G3475" s="249"/>
      <c r="H3475" s="330"/>
      <c r="I3475" s="328"/>
      <c r="J3475" s="249"/>
      <c r="K3475" s="330"/>
      <c r="L3475" s="250"/>
      <c r="M3475" s="249"/>
      <c r="N3475" s="330"/>
      <c r="O3475" s="250"/>
      <c r="P3475" s="249"/>
      <c r="Q3475" s="330"/>
      <c r="R3475" s="250"/>
      <c r="S3475" s="249"/>
      <c r="T3475" s="330"/>
      <c r="U3475" s="250"/>
      <c r="V3475" s="249"/>
      <c r="W3475" s="330"/>
      <c r="X3475" s="343"/>
      <c r="Y3475" s="249"/>
      <c r="Z3475" s="330"/>
      <c r="AA3475" s="343"/>
      <c r="AB3475" s="249"/>
      <c r="AC3475" s="330"/>
      <c r="AD3475" s="343"/>
      <c r="AE3475" s="249"/>
      <c r="AF3475" s="330"/>
      <c r="AG3475" s="343"/>
      <c r="AH3475" s="249"/>
      <c r="AI3475" s="330"/>
      <c r="AJ3475" s="343"/>
      <c r="AK3475" s="249"/>
      <c r="AL3475" s="330"/>
      <c r="AM3475" s="343"/>
      <c r="AN3475" s="249"/>
      <c r="AO3475" s="330"/>
      <c r="AP3475" s="343"/>
      <c r="AQ3475" s="249"/>
      <c r="AR3475" s="330"/>
      <c r="AS3475" s="343"/>
      <c r="AT3475" s="249"/>
      <c r="AU3475" s="330"/>
    </row>
    <row r="3476" spans="2:47">
      <c r="B3476" s="247">
        <f>'Table S2 Compound Identifiers'!C3478</f>
        <v>0</v>
      </c>
      <c r="C3476" s="247">
        <f>COUNTIF($D$6:D3476,"&lt;&gt;"&amp;"")</f>
        <v>3471</v>
      </c>
      <c r="D3476" s="247">
        <f>'Table S2 Compound Identifiers'!B3478</f>
        <v>0</v>
      </c>
      <c r="E3476" s="247"/>
      <c r="F3476" s="248"/>
      <c r="G3476" s="249"/>
      <c r="H3476" s="330"/>
      <c r="I3476" s="328"/>
      <c r="J3476" s="249"/>
      <c r="K3476" s="330"/>
      <c r="L3476" s="250"/>
      <c r="M3476" s="249"/>
      <c r="N3476" s="330"/>
      <c r="O3476" s="250"/>
      <c r="P3476" s="249"/>
      <c r="Q3476" s="330"/>
      <c r="R3476" s="250"/>
      <c r="S3476" s="249"/>
      <c r="T3476" s="330"/>
      <c r="U3476" s="250"/>
      <c r="V3476" s="249"/>
      <c r="W3476" s="330"/>
      <c r="X3476" s="343"/>
      <c r="Y3476" s="249"/>
      <c r="Z3476" s="330"/>
      <c r="AA3476" s="343"/>
      <c r="AB3476" s="249"/>
      <c r="AC3476" s="330"/>
      <c r="AD3476" s="343"/>
      <c r="AE3476" s="249"/>
      <c r="AF3476" s="330"/>
      <c r="AG3476" s="343"/>
      <c r="AH3476" s="249"/>
      <c r="AI3476" s="330"/>
      <c r="AJ3476" s="343"/>
      <c r="AK3476" s="249"/>
      <c r="AL3476" s="330"/>
      <c r="AM3476" s="343"/>
      <c r="AN3476" s="249"/>
      <c r="AO3476" s="330"/>
      <c r="AP3476" s="343"/>
      <c r="AQ3476" s="249"/>
      <c r="AR3476" s="330"/>
      <c r="AS3476" s="343"/>
      <c r="AT3476" s="249"/>
      <c r="AU3476" s="330"/>
    </row>
    <row r="3477" spans="2:47">
      <c r="B3477" s="247">
        <f>'Table S2 Compound Identifiers'!C3479</f>
        <v>0</v>
      </c>
      <c r="C3477" s="247">
        <f>COUNTIF($D$6:D3477,"&lt;&gt;"&amp;"")</f>
        <v>3472</v>
      </c>
      <c r="D3477" s="247">
        <f>'Table S2 Compound Identifiers'!B3479</f>
        <v>0</v>
      </c>
      <c r="E3477" s="247"/>
      <c r="F3477" s="248"/>
      <c r="G3477" s="249"/>
      <c r="H3477" s="330"/>
      <c r="I3477" s="328"/>
      <c r="J3477" s="249"/>
      <c r="K3477" s="330"/>
      <c r="L3477" s="250"/>
      <c r="M3477" s="249"/>
      <c r="N3477" s="330"/>
      <c r="O3477" s="250"/>
      <c r="P3477" s="249"/>
      <c r="Q3477" s="330"/>
      <c r="R3477" s="250"/>
      <c r="S3477" s="249"/>
      <c r="T3477" s="330"/>
      <c r="U3477" s="250"/>
      <c r="V3477" s="249"/>
      <c r="W3477" s="330"/>
      <c r="X3477" s="343"/>
      <c r="Y3477" s="249"/>
      <c r="Z3477" s="330"/>
      <c r="AA3477" s="343"/>
      <c r="AB3477" s="249"/>
      <c r="AC3477" s="330"/>
      <c r="AD3477" s="343"/>
      <c r="AE3477" s="249"/>
      <c r="AF3477" s="330"/>
      <c r="AG3477" s="343"/>
      <c r="AH3477" s="249"/>
      <c r="AI3477" s="330"/>
      <c r="AJ3477" s="343"/>
      <c r="AK3477" s="249"/>
      <c r="AL3477" s="330"/>
      <c r="AM3477" s="343"/>
      <c r="AN3477" s="249"/>
      <c r="AO3477" s="330"/>
      <c r="AP3477" s="343"/>
      <c r="AQ3477" s="249"/>
      <c r="AR3477" s="330"/>
      <c r="AS3477" s="343"/>
      <c r="AT3477" s="249"/>
      <c r="AU3477" s="330"/>
    </row>
    <row r="3478" spans="2:47">
      <c r="B3478" s="247">
        <f>'Table S2 Compound Identifiers'!C3480</f>
        <v>0</v>
      </c>
      <c r="C3478" s="247">
        <f>COUNTIF($D$6:D3478,"&lt;&gt;"&amp;"")</f>
        <v>3473</v>
      </c>
      <c r="D3478" s="247">
        <f>'Table S2 Compound Identifiers'!B3480</f>
        <v>0</v>
      </c>
      <c r="E3478" s="247"/>
      <c r="F3478" s="248"/>
      <c r="G3478" s="249"/>
      <c r="H3478" s="330"/>
      <c r="I3478" s="328"/>
      <c r="J3478" s="249"/>
      <c r="K3478" s="330"/>
      <c r="L3478" s="250"/>
      <c r="M3478" s="249"/>
      <c r="N3478" s="330"/>
      <c r="O3478" s="250"/>
      <c r="P3478" s="249"/>
      <c r="Q3478" s="330"/>
      <c r="R3478" s="250"/>
      <c r="S3478" s="249"/>
      <c r="T3478" s="330"/>
      <c r="U3478" s="250"/>
      <c r="V3478" s="249"/>
      <c r="W3478" s="330"/>
      <c r="X3478" s="343"/>
      <c r="Y3478" s="249"/>
      <c r="Z3478" s="330"/>
      <c r="AA3478" s="343"/>
      <c r="AB3478" s="249"/>
      <c r="AC3478" s="330"/>
      <c r="AD3478" s="343"/>
      <c r="AE3478" s="249"/>
      <c r="AF3478" s="330"/>
      <c r="AG3478" s="343"/>
      <c r="AH3478" s="249"/>
      <c r="AI3478" s="330"/>
      <c r="AJ3478" s="343"/>
      <c r="AK3478" s="249"/>
      <c r="AL3478" s="330"/>
      <c r="AM3478" s="343"/>
      <c r="AN3478" s="249"/>
      <c r="AO3478" s="330"/>
      <c r="AP3478" s="343"/>
      <c r="AQ3478" s="249"/>
      <c r="AR3478" s="330"/>
      <c r="AS3478" s="343"/>
      <c r="AT3478" s="249"/>
      <c r="AU3478" s="330"/>
    </row>
    <row r="3479" spans="2:47">
      <c r="B3479" s="247">
        <f>'Table S2 Compound Identifiers'!C3481</f>
        <v>0</v>
      </c>
      <c r="C3479" s="247">
        <f>COUNTIF($D$6:D3479,"&lt;&gt;"&amp;"")</f>
        <v>3474</v>
      </c>
      <c r="D3479" s="247">
        <f>'Table S2 Compound Identifiers'!B3481</f>
        <v>0</v>
      </c>
      <c r="E3479" s="247"/>
      <c r="F3479" s="248"/>
      <c r="G3479" s="249"/>
      <c r="H3479" s="330"/>
      <c r="I3479" s="328"/>
      <c r="J3479" s="249"/>
      <c r="K3479" s="330"/>
      <c r="L3479" s="250"/>
      <c r="M3479" s="249"/>
      <c r="N3479" s="330"/>
      <c r="O3479" s="250"/>
      <c r="P3479" s="249"/>
      <c r="Q3479" s="330"/>
      <c r="R3479" s="250"/>
      <c r="S3479" s="249"/>
      <c r="T3479" s="330"/>
      <c r="U3479" s="250"/>
      <c r="V3479" s="249"/>
      <c r="W3479" s="330"/>
      <c r="X3479" s="343"/>
      <c r="Y3479" s="249"/>
      <c r="Z3479" s="330"/>
      <c r="AA3479" s="343"/>
      <c r="AB3479" s="249"/>
      <c r="AC3479" s="330"/>
      <c r="AD3479" s="343"/>
      <c r="AE3479" s="249"/>
      <c r="AF3479" s="330"/>
      <c r="AG3479" s="343"/>
      <c r="AH3479" s="249"/>
      <c r="AI3479" s="330"/>
      <c r="AJ3479" s="343"/>
      <c r="AK3479" s="249"/>
      <c r="AL3479" s="330"/>
      <c r="AM3479" s="343"/>
      <c r="AN3479" s="249"/>
      <c r="AO3479" s="330"/>
      <c r="AP3479" s="343"/>
      <c r="AQ3479" s="249"/>
      <c r="AR3479" s="330"/>
      <c r="AS3479" s="343"/>
      <c r="AT3479" s="249"/>
      <c r="AU3479" s="330"/>
    </row>
    <row r="3480" spans="2:47">
      <c r="B3480" s="247">
        <f>'Table S2 Compound Identifiers'!C3482</f>
        <v>0</v>
      </c>
      <c r="C3480" s="247">
        <f>COUNTIF($D$6:D3480,"&lt;&gt;"&amp;"")</f>
        <v>3475</v>
      </c>
      <c r="D3480" s="247">
        <f>'Table S2 Compound Identifiers'!B3482</f>
        <v>0</v>
      </c>
      <c r="E3480" s="247"/>
      <c r="F3480" s="248"/>
      <c r="G3480" s="249"/>
      <c r="H3480" s="330"/>
      <c r="I3480" s="328"/>
      <c r="J3480" s="249"/>
      <c r="K3480" s="330"/>
      <c r="L3480" s="250"/>
      <c r="M3480" s="249"/>
      <c r="N3480" s="330"/>
      <c r="O3480" s="250"/>
      <c r="P3480" s="249"/>
      <c r="Q3480" s="330"/>
      <c r="R3480" s="250"/>
      <c r="S3480" s="249"/>
      <c r="T3480" s="330"/>
      <c r="U3480" s="250"/>
      <c r="V3480" s="249"/>
      <c r="W3480" s="330"/>
      <c r="X3480" s="343"/>
      <c r="Y3480" s="249"/>
      <c r="Z3480" s="330"/>
      <c r="AA3480" s="343"/>
      <c r="AB3480" s="249"/>
      <c r="AC3480" s="330"/>
      <c r="AD3480" s="343"/>
      <c r="AE3480" s="249"/>
      <c r="AF3480" s="330"/>
      <c r="AG3480" s="343"/>
      <c r="AH3480" s="249"/>
      <c r="AI3480" s="330"/>
      <c r="AJ3480" s="343"/>
      <c r="AK3480" s="249"/>
      <c r="AL3480" s="330"/>
      <c r="AM3480" s="343"/>
      <c r="AN3480" s="249"/>
      <c r="AO3480" s="330"/>
      <c r="AP3480" s="343"/>
      <c r="AQ3480" s="249"/>
      <c r="AR3480" s="330"/>
      <c r="AS3480" s="343"/>
      <c r="AT3480" s="249"/>
      <c r="AU3480" s="330"/>
    </row>
    <row r="3481" spans="2:47">
      <c r="B3481" s="247">
        <f>'Table S2 Compound Identifiers'!C3483</f>
        <v>0</v>
      </c>
      <c r="C3481" s="247">
        <f>COUNTIF($D$6:D3481,"&lt;&gt;"&amp;"")</f>
        <v>3476</v>
      </c>
      <c r="D3481" s="247">
        <f>'Table S2 Compound Identifiers'!B3483</f>
        <v>0</v>
      </c>
      <c r="E3481" s="247"/>
      <c r="F3481" s="248"/>
      <c r="G3481" s="249"/>
      <c r="H3481" s="330"/>
      <c r="I3481" s="328"/>
      <c r="J3481" s="249"/>
      <c r="K3481" s="330"/>
      <c r="L3481" s="250"/>
      <c r="M3481" s="249"/>
      <c r="N3481" s="330"/>
      <c r="O3481" s="250"/>
      <c r="P3481" s="249"/>
      <c r="Q3481" s="330"/>
      <c r="R3481" s="250"/>
      <c r="S3481" s="249"/>
      <c r="T3481" s="330"/>
      <c r="U3481" s="250"/>
      <c r="V3481" s="249"/>
      <c r="W3481" s="330"/>
      <c r="X3481" s="343"/>
      <c r="Y3481" s="249"/>
      <c r="Z3481" s="330"/>
      <c r="AA3481" s="343"/>
      <c r="AB3481" s="249"/>
      <c r="AC3481" s="330"/>
      <c r="AD3481" s="343"/>
      <c r="AE3481" s="249"/>
      <c r="AF3481" s="330"/>
      <c r="AG3481" s="343"/>
      <c r="AH3481" s="249"/>
      <c r="AI3481" s="330"/>
      <c r="AJ3481" s="343"/>
      <c r="AK3481" s="249"/>
      <c r="AL3481" s="330"/>
      <c r="AM3481" s="343"/>
      <c r="AN3481" s="249"/>
      <c r="AO3481" s="330"/>
      <c r="AP3481" s="343"/>
      <c r="AQ3481" s="249"/>
      <c r="AR3481" s="330"/>
      <c r="AS3481" s="343"/>
      <c r="AT3481" s="249"/>
      <c r="AU3481" s="330"/>
    </row>
    <row r="3482" spans="2:47">
      <c r="B3482" s="247">
        <f>'Table S2 Compound Identifiers'!C3484</f>
        <v>0</v>
      </c>
      <c r="C3482" s="247">
        <f>COUNTIF($D$6:D3482,"&lt;&gt;"&amp;"")</f>
        <v>3477</v>
      </c>
      <c r="D3482" s="247">
        <f>'Table S2 Compound Identifiers'!B3484</f>
        <v>0</v>
      </c>
      <c r="E3482" s="247"/>
      <c r="F3482" s="248"/>
      <c r="G3482" s="249"/>
      <c r="H3482" s="330"/>
      <c r="I3482" s="328"/>
      <c r="J3482" s="249"/>
      <c r="K3482" s="330"/>
      <c r="L3482" s="250"/>
      <c r="M3482" s="249"/>
      <c r="N3482" s="330"/>
      <c r="O3482" s="251"/>
      <c r="P3482" s="252"/>
      <c r="Q3482" s="330"/>
      <c r="R3482" s="251"/>
      <c r="S3482" s="252"/>
      <c r="T3482" s="330"/>
      <c r="U3482" s="251"/>
      <c r="V3482" s="252"/>
      <c r="W3482" s="330"/>
      <c r="X3482" s="343"/>
      <c r="Y3482" s="249"/>
      <c r="Z3482" s="330"/>
      <c r="AA3482" s="343"/>
      <c r="AB3482" s="249"/>
      <c r="AC3482" s="330"/>
      <c r="AD3482" s="343"/>
      <c r="AE3482" s="249"/>
      <c r="AF3482" s="330"/>
      <c r="AG3482" s="343"/>
      <c r="AH3482" s="249"/>
      <c r="AI3482" s="330"/>
      <c r="AJ3482" s="343"/>
      <c r="AK3482" s="249"/>
      <c r="AL3482" s="330"/>
      <c r="AM3482" s="343"/>
      <c r="AN3482" s="249"/>
      <c r="AO3482" s="330"/>
      <c r="AP3482" s="343"/>
      <c r="AQ3482" s="249"/>
      <c r="AR3482" s="330"/>
      <c r="AS3482" s="343"/>
      <c r="AT3482" s="249"/>
      <c r="AU3482" s="330"/>
    </row>
    <row r="3483" spans="2:47">
      <c r="B3483" s="247">
        <f>'Table S2 Compound Identifiers'!C3485</f>
        <v>0</v>
      </c>
      <c r="C3483" s="253">
        <f>COUNTIF($D$6:D3483,"&lt;&gt;"&amp;"")</f>
        <v>3478</v>
      </c>
      <c r="D3483" s="253">
        <f>'Table S2 Compound Identifiers'!B3485</f>
        <v>0</v>
      </c>
      <c r="E3483" s="253"/>
      <c r="F3483" s="254"/>
      <c r="G3483" s="252"/>
      <c r="H3483" s="330"/>
      <c r="I3483" s="333"/>
      <c r="J3483" s="252"/>
      <c r="K3483" s="330"/>
      <c r="L3483" s="251"/>
      <c r="M3483" s="252"/>
      <c r="N3483" s="330"/>
      <c r="O3483" s="251"/>
      <c r="P3483" s="252"/>
      <c r="Q3483" s="330"/>
      <c r="R3483" s="251"/>
      <c r="S3483" s="252"/>
      <c r="T3483" s="330"/>
      <c r="U3483" s="251"/>
      <c r="V3483" s="252"/>
      <c r="W3483" s="330"/>
      <c r="X3483" s="343"/>
      <c r="Y3483" s="249"/>
      <c r="Z3483" s="330"/>
      <c r="AA3483" s="343"/>
      <c r="AB3483" s="249"/>
      <c r="AC3483" s="330"/>
      <c r="AD3483" s="343"/>
      <c r="AE3483" s="249"/>
      <c r="AF3483" s="330"/>
      <c r="AG3483" s="343"/>
      <c r="AH3483" s="249"/>
      <c r="AI3483" s="330"/>
      <c r="AJ3483" s="343"/>
      <c r="AK3483" s="249"/>
      <c r="AL3483" s="330"/>
      <c r="AM3483" s="343"/>
      <c r="AN3483" s="249"/>
      <c r="AO3483" s="330"/>
      <c r="AP3483" s="343"/>
      <c r="AQ3483" s="249"/>
      <c r="AR3483" s="330"/>
      <c r="AS3483" s="343"/>
      <c r="AT3483" s="249"/>
      <c r="AU3483" s="330"/>
    </row>
    <row r="3484" spans="2:47">
      <c r="B3484" s="247">
        <f>'Table S2 Compound Identifiers'!C3486</f>
        <v>0</v>
      </c>
      <c r="C3484" s="247">
        <f>COUNTIF($D$6:D3484,"&lt;&gt;"&amp;"")</f>
        <v>3479</v>
      </c>
      <c r="D3484" s="247">
        <f>'Table S2 Compound Identifiers'!B3486</f>
        <v>0</v>
      </c>
      <c r="E3484" s="247"/>
      <c r="F3484" s="248"/>
      <c r="G3484" s="250"/>
      <c r="H3484" s="330"/>
      <c r="I3484" s="343"/>
      <c r="J3484" s="249"/>
      <c r="K3484" s="327"/>
      <c r="L3484" s="343"/>
      <c r="M3484" s="249"/>
      <c r="N3484" s="327"/>
      <c r="O3484" s="343"/>
      <c r="P3484" s="249"/>
      <c r="Q3484" s="327"/>
      <c r="R3484" s="343"/>
      <c r="S3484" s="249"/>
      <c r="T3484" s="327"/>
      <c r="U3484" s="343"/>
      <c r="V3484" s="249"/>
      <c r="W3484" s="327"/>
      <c r="X3484" s="343"/>
      <c r="Y3484" s="249"/>
      <c r="Z3484" s="327"/>
      <c r="AA3484" s="343"/>
      <c r="AB3484" s="249"/>
      <c r="AC3484" s="343"/>
      <c r="AD3484" s="343"/>
      <c r="AE3484" s="249"/>
      <c r="AF3484" s="249"/>
      <c r="AG3484" s="343"/>
      <c r="AH3484" s="249"/>
      <c r="AI3484" s="343"/>
      <c r="AJ3484" s="343"/>
      <c r="AK3484" s="249"/>
      <c r="AL3484" s="249"/>
      <c r="AM3484" s="343"/>
      <c r="AN3484" s="249"/>
      <c r="AO3484" s="343"/>
      <c r="AP3484" s="343"/>
      <c r="AQ3484" s="249"/>
      <c r="AR3484" s="249"/>
      <c r="AS3484" s="343"/>
      <c r="AT3484" s="249"/>
      <c r="AU3484" s="343"/>
    </row>
    <row r="3485" spans="2:47">
      <c r="B3485" s="247">
        <f>'Table S2 Compound Identifiers'!C3487</f>
        <v>0</v>
      </c>
      <c r="C3485" s="247">
        <f>COUNTIF($D$6:D3485,"&lt;&gt;"&amp;"")</f>
        <v>3480</v>
      </c>
      <c r="D3485" s="247">
        <f>'Table S2 Compound Identifiers'!B3487</f>
        <v>0</v>
      </c>
      <c r="E3485" s="247"/>
      <c r="F3485" s="248"/>
      <c r="G3485" s="249"/>
      <c r="H3485" s="330"/>
      <c r="I3485" s="332"/>
      <c r="J3485" s="330"/>
      <c r="K3485" s="330"/>
      <c r="L3485" s="330"/>
      <c r="M3485" s="330"/>
      <c r="N3485" s="330"/>
      <c r="O3485" s="330"/>
      <c r="P3485" s="330"/>
      <c r="Q3485" s="330"/>
      <c r="R3485" s="330"/>
      <c r="S3485" s="330"/>
      <c r="T3485" s="330"/>
      <c r="U3485" s="330"/>
      <c r="V3485" s="330"/>
      <c r="W3485" s="330"/>
      <c r="X3485" s="343"/>
      <c r="Y3485" s="249"/>
      <c r="Z3485" s="330"/>
      <c r="AA3485" s="343"/>
      <c r="AB3485" s="249"/>
      <c r="AC3485" s="330"/>
      <c r="AD3485" s="343"/>
      <c r="AE3485" s="249"/>
      <c r="AF3485" s="330"/>
      <c r="AG3485" s="343"/>
      <c r="AH3485" s="249"/>
      <c r="AI3485" s="330"/>
      <c r="AJ3485" s="343"/>
      <c r="AK3485" s="249"/>
      <c r="AL3485" s="330"/>
      <c r="AM3485" s="343"/>
      <c r="AN3485" s="249"/>
      <c r="AO3485" s="330"/>
      <c r="AP3485" s="343"/>
      <c r="AQ3485" s="249"/>
      <c r="AR3485" s="330"/>
      <c r="AS3485" s="343"/>
      <c r="AT3485" s="249"/>
      <c r="AU3485" s="330"/>
    </row>
    <row r="3486" spans="2:47">
      <c r="B3486" s="247">
        <f>'Table S2 Compound Identifiers'!C3488</f>
        <v>0</v>
      </c>
      <c r="C3486" s="247">
        <f>COUNTIF($D$6:D3486,"&lt;&gt;"&amp;"")</f>
        <v>3481</v>
      </c>
      <c r="D3486" s="247">
        <f>'Table S2 Compound Identifiers'!B3488</f>
        <v>0</v>
      </c>
      <c r="E3486" s="247"/>
      <c r="F3486" s="248"/>
      <c r="G3486" s="249"/>
      <c r="H3486" s="330"/>
      <c r="I3486" s="332"/>
      <c r="J3486" s="330"/>
      <c r="K3486" s="330"/>
      <c r="L3486" s="330"/>
      <c r="M3486" s="330"/>
      <c r="N3486" s="330"/>
      <c r="O3486" s="330"/>
      <c r="P3486" s="330"/>
      <c r="Q3486" s="330"/>
      <c r="R3486" s="330"/>
      <c r="S3486" s="330"/>
      <c r="T3486" s="330"/>
      <c r="U3486" s="330"/>
      <c r="V3486" s="330"/>
      <c r="W3486" s="330"/>
      <c r="X3486" s="343"/>
      <c r="Y3486" s="249"/>
      <c r="Z3486" s="330"/>
      <c r="AA3486" s="343"/>
      <c r="AB3486" s="249"/>
      <c r="AC3486" s="330"/>
      <c r="AD3486" s="343"/>
      <c r="AE3486" s="249"/>
      <c r="AF3486" s="330"/>
      <c r="AG3486" s="343"/>
      <c r="AH3486" s="249"/>
      <c r="AI3486" s="330"/>
      <c r="AJ3486" s="343"/>
      <c r="AK3486" s="249"/>
      <c r="AL3486" s="330"/>
      <c r="AM3486" s="343"/>
      <c r="AN3486" s="249"/>
      <c r="AO3486" s="330"/>
      <c r="AP3486" s="343"/>
      <c r="AQ3486" s="249"/>
      <c r="AR3486" s="330"/>
      <c r="AS3486" s="343"/>
      <c r="AT3486" s="249"/>
      <c r="AU3486" s="330"/>
    </row>
    <row r="3487" spans="2:47">
      <c r="B3487" s="247">
        <f>'Table S2 Compound Identifiers'!C3489</f>
        <v>0</v>
      </c>
      <c r="C3487" s="247">
        <f>COUNTIF($D$6:D3487,"&lt;&gt;"&amp;"")</f>
        <v>3482</v>
      </c>
      <c r="D3487" s="247">
        <f>'Table S2 Compound Identifiers'!B3489</f>
        <v>0</v>
      </c>
      <c r="E3487" s="247"/>
      <c r="F3487" s="248"/>
      <c r="G3487" s="249"/>
      <c r="H3487" s="330"/>
      <c r="I3487" s="332"/>
      <c r="J3487" s="330"/>
      <c r="K3487" s="330"/>
      <c r="L3487" s="330"/>
      <c r="M3487" s="330"/>
      <c r="N3487" s="330"/>
      <c r="O3487" s="330"/>
      <c r="P3487" s="330"/>
      <c r="Q3487" s="330"/>
      <c r="R3487" s="330"/>
      <c r="S3487" s="330"/>
      <c r="T3487" s="330"/>
      <c r="U3487" s="330"/>
      <c r="V3487" s="330"/>
      <c r="W3487" s="330"/>
      <c r="X3487" s="343"/>
      <c r="Y3487" s="249"/>
      <c r="Z3487" s="330"/>
      <c r="AA3487" s="343"/>
      <c r="AB3487" s="249"/>
      <c r="AC3487" s="330"/>
      <c r="AD3487" s="343"/>
      <c r="AE3487" s="249"/>
      <c r="AF3487" s="330"/>
      <c r="AG3487" s="343"/>
      <c r="AH3487" s="249"/>
      <c r="AI3487" s="330"/>
      <c r="AJ3487" s="343"/>
      <c r="AK3487" s="249"/>
      <c r="AL3487" s="330"/>
      <c r="AM3487" s="343"/>
      <c r="AN3487" s="249"/>
      <c r="AO3487" s="330"/>
      <c r="AP3487" s="343"/>
      <c r="AQ3487" s="249"/>
      <c r="AR3487" s="330"/>
      <c r="AS3487" s="343"/>
      <c r="AT3487" s="249"/>
      <c r="AU3487" s="330"/>
    </row>
    <row r="3488" spans="2:47">
      <c r="B3488" s="247">
        <f>'Table S2 Compound Identifiers'!C3490</f>
        <v>0</v>
      </c>
      <c r="C3488" s="247">
        <f>COUNTIF($D$6:D3488,"&lt;&gt;"&amp;"")</f>
        <v>3483</v>
      </c>
      <c r="D3488" s="247">
        <f>'Table S2 Compound Identifiers'!B3490</f>
        <v>0</v>
      </c>
      <c r="E3488" s="247"/>
      <c r="F3488" s="248"/>
      <c r="G3488" s="249"/>
      <c r="H3488" s="330"/>
      <c r="I3488" s="328"/>
      <c r="J3488" s="249"/>
      <c r="K3488" s="330"/>
      <c r="L3488" s="250"/>
      <c r="M3488" s="249"/>
      <c r="N3488" s="330"/>
      <c r="O3488" s="250"/>
      <c r="P3488" s="249"/>
      <c r="Q3488" s="330"/>
      <c r="R3488" s="250"/>
      <c r="S3488" s="249"/>
      <c r="T3488" s="330"/>
      <c r="U3488" s="250"/>
      <c r="V3488" s="249"/>
      <c r="W3488" s="330"/>
      <c r="X3488" s="343"/>
      <c r="Y3488" s="249"/>
      <c r="Z3488" s="330"/>
      <c r="AA3488" s="343"/>
      <c r="AB3488" s="249"/>
      <c r="AC3488" s="330"/>
      <c r="AD3488" s="343"/>
      <c r="AE3488" s="249"/>
      <c r="AF3488" s="330"/>
      <c r="AG3488" s="343"/>
      <c r="AH3488" s="249"/>
      <c r="AI3488" s="330"/>
      <c r="AJ3488" s="343"/>
      <c r="AK3488" s="249"/>
      <c r="AL3488" s="330"/>
      <c r="AM3488" s="343"/>
      <c r="AN3488" s="249"/>
      <c r="AO3488" s="330"/>
      <c r="AP3488" s="343"/>
      <c r="AQ3488" s="249"/>
      <c r="AR3488" s="330"/>
      <c r="AS3488" s="343"/>
      <c r="AT3488" s="249"/>
      <c r="AU3488" s="330"/>
    </row>
    <row r="3489" spans="2:47">
      <c r="B3489" s="247">
        <f>'Table S2 Compound Identifiers'!C3491</f>
        <v>0</v>
      </c>
      <c r="C3489" s="247">
        <f>COUNTIF($D$6:D3489,"&lt;&gt;"&amp;"")</f>
        <v>3484</v>
      </c>
      <c r="D3489" s="247">
        <f>'Table S2 Compound Identifiers'!B3491</f>
        <v>0</v>
      </c>
      <c r="E3489" s="247"/>
      <c r="F3489" s="248"/>
      <c r="G3489" s="249"/>
      <c r="H3489" s="330"/>
      <c r="I3489" s="328"/>
      <c r="J3489" s="249"/>
      <c r="K3489" s="330"/>
      <c r="L3489" s="250"/>
      <c r="M3489" s="249"/>
      <c r="N3489" s="330"/>
      <c r="O3489" s="250"/>
      <c r="P3489" s="249"/>
      <c r="Q3489" s="330"/>
      <c r="R3489" s="250"/>
      <c r="S3489" s="249"/>
      <c r="T3489" s="330"/>
      <c r="U3489" s="250"/>
      <c r="V3489" s="249"/>
      <c r="W3489" s="330"/>
      <c r="X3489" s="343"/>
      <c r="Y3489" s="249"/>
      <c r="Z3489" s="330"/>
      <c r="AA3489" s="343"/>
      <c r="AB3489" s="249"/>
      <c r="AC3489" s="330"/>
      <c r="AD3489" s="343"/>
      <c r="AE3489" s="249"/>
      <c r="AF3489" s="330"/>
      <c r="AG3489" s="343"/>
      <c r="AH3489" s="249"/>
      <c r="AI3489" s="330"/>
      <c r="AJ3489" s="343"/>
      <c r="AK3489" s="249"/>
      <c r="AL3489" s="330"/>
      <c r="AM3489" s="343"/>
      <c r="AN3489" s="249"/>
      <c r="AO3489" s="330"/>
      <c r="AP3489" s="343"/>
      <c r="AQ3489" s="249"/>
      <c r="AR3489" s="330"/>
      <c r="AS3489" s="343"/>
      <c r="AT3489" s="249"/>
      <c r="AU3489" s="330"/>
    </row>
    <row r="3490" spans="2:47">
      <c r="B3490" s="247">
        <f>'Table S2 Compound Identifiers'!C3492</f>
        <v>0</v>
      </c>
      <c r="C3490" s="247">
        <f>COUNTIF($D$6:D3490,"&lt;&gt;"&amp;"")</f>
        <v>3485</v>
      </c>
      <c r="D3490" s="247">
        <f>'Table S2 Compound Identifiers'!B3492</f>
        <v>0</v>
      </c>
      <c r="E3490" s="247"/>
      <c r="F3490" s="248"/>
      <c r="G3490" s="249"/>
      <c r="H3490" s="330"/>
      <c r="I3490" s="328"/>
      <c r="J3490" s="249"/>
      <c r="K3490" s="330"/>
      <c r="L3490" s="250"/>
      <c r="M3490" s="249"/>
      <c r="N3490" s="330"/>
      <c r="O3490" s="250"/>
      <c r="P3490" s="249"/>
      <c r="Q3490" s="330"/>
      <c r="R3490" s="250"/>
      <c r="S3490" s="249"/>
      <c r="T3490" s="330"/>
      <c r="U3490" s="250"/>
      <c r="V3490" s="249"/>
      <c r="W3490" s="330"/>
      <c r="X3490" s="343"/>
      <c r="Y3490" s="249"/>
      <c r="Z3490" s="330"/>
      <c r="AA3490" s="343"/>
      <c r="AB3490" s="249"/>
      <c r="AC3490" s="330"/>
      <c r="AD3490" s="343"/>
      <c r="AE3490" s="249"/>
      <c r="AF3490" s="330"/>
      <c r="AG3490" s="343"/>
      <c r="AH3490" s="249"/>
      <c r="AI3490" s="330"/>
      <c r="AJ3490" s="343"/>
      <c r="AK3490" s="249"/>
      <c r="AL3490" s="330"/>
      <c r="AM3490" s="343"/>
      <c r="AN3490" s="249"/>
      <c r="AO3490" s="330"/>
      <c r="AP3490" s="343"/>
      <c r="AQ3490" s="249"/>
      <c r="AR3490" s="330"/>
      <c r="AS3490" s="343"/>
      <c r="AT3490" s="249"/>
      <c r="AU3490" s="330"/>
    </row>
    <row r="3491" spans="2:47">
      <c r="B3491" s="247">
        <f>'Table S2 Compound Identifiers'!C3493</f>
        <v>0</v>
      </c>
      <c r="C3491" s="247">
        <f>COUNTIF($D$6:D3491,"&lt;&gt;"&amp;"")</f>
        <v>3486</v>
      </c>
      <c r="D3491" s="247">
        <f>'Table S2 Compound Identifiers'!B3493</f>
        <v>0</v>
      </c>
      <c r="E3491" s="247"/>
      <c r="F3491" s="248"/>
      <c r="G3491" s="249"/>
      <c r="H3491" s="330"/>
      <c r="I3491" s="328"/>
      <c r="J3491" s="249"/>
      <c r="K3491" s="330"/>
      <c r="L3491" s="250"/>
      <c r="M3491" s="249"/>
      <c r="N3491" s="330"/>
      <c r="O3491" s="250"/>
      <c r="P3491" s="249"/>
      <c r="Q3491" s="330"/>
      <c r="R3491" s="250"/>
      <c r="S3491" s="249"/>
      <c r="T3491" s="330"/>
      <c r="U3491" s="250"/>
      <c r="V3491" s="249"/>
      <c r="W3491" s="330"/>
      <c r="X3491" s="343"/>
      <c r="Y3491" s="249"/>
      <c r="Z3491" s="330"/>
      <c r="AA3491" s="343"/>
      <c r="AB3491" s="249"/>
      <c r="AC3491" s="330"/>
      <c r="AD3491" s="343"/>
      <c r="AE3491" s="249"/>
      <c r="AF3491" s="330"/>
      <c r="AG3491" s="343"/>
      <c r="AH3491" s="249"/>
      <c r="AI3491" s="330"/>
      <c r="AJ3491" s="343"/>
      <c r="AK3491" s="249"/>
      <c r="AL3491" s="330"/>
      <c r="AM3491" s="343"/>
      <c r="AN3491" s="249"/>
      <c r="AO3491" s="330"/>
      <c r="AP3491" s="343"/>
      <c r="AQ3491" s="249"/>
      <c r="AR3491" s="330"/>
      <c r="AS3491" s="343"/>
      <c r="AT3491" s="249"/>
      <c r="AU3491" s="330"/>
    </row>
    <row r="3492" spans="2:47">
      <c r="B3492" s="247">
        <f>'Table S2 Compound Identifiers'!C3494</f>
        <v>0</v>
      </c>
      <c r="C3492" s="247">
        <f>COUNTIF($D$6:D3492,"&lt;&gt;"&amp;"")</f>
        <v>3487</v>
      </c>
      <c r="D3492" s="247">
        <f>'Table S2 Compound Identifiers'!B3494</f>
        <v>0</v>
      </c>
      <c r="E3492" s="247"/>
      <c r="F3492" s="248"/>
      <c r="G3492" s="249"/>
      <c r="H3492" s="330"/>
      <c r="I3492" s="328"/>
      <c r="J3492" s="249"/>
      <c r="K3492" s="330"/>
      <c r="L3492" s="250"/>
      <c r="M3492" s="249"/>
      <c r="N3492" s="330"/>
      <c r="O3492" s="250"/>
      <c r="P3492" s="249"/>
      <c r="Q3492" s="330"/>
      <c r="R3492" s="250"/>
      <c r="S3492" s="249"/>
      <c r="T3492" s="330"/>
      <c r="U3492" s="250"/>
      <c r="V3492" s="249"/>
      <c r="W3492" s="330"/>
      <c r="X3492" s="343"/>
      <c r="Y3492" s="249"/>
      <c r="Z3492" s="330"/>
      <c r="AA3492" s="343"/>
      <c r="AB3492" s="249"/>
      <c r="AC3492" s="330"/>
      <c r="AD3492" s="343"/>
      <c r="AE3492" s="249"/>
      <c r="AF3492" s="330"/>
      <c r="AG3492" s="343"/>
      <c r="AH3492" s="249"/>
      <c r="AI3492" s="330"/>
      <c r="AJ3492" s="343"/>
      <c r="AK3492" s="249"/>
      <c r="AL3492" s="330"/>
      <c r="AM3492" s="343"/>
      <c r="AN3492" s="249"/>
      <c r="AO3492" s="330"/>
      <c r="AP3492" s="343"/>
      <c r="AQ3492" s="249"/>
      <c r="AR3492" s="330"/>
      <c r="AS3492" s="343"/>
      <c r="AT3492" s="249"/>
      <c r="AU3492" s="330"/>
    </row>
    <row r="3493" spans="2:47">
      <c r="B3493" s="247">
        <f>'Table S2 Compound Identifiers'!C3495</f>
        <v>0</v>
      </c>
      <c r="C3493" s="247">
        <f>COUNTIF($D$6:D3493,"&lt;&gt;"&amp;"")</f>
        <v>3488</v>
      </c>
      <c r="D3493" s="247">
        <f>'Table S2 Compound Identifiers'!B3495</f>
        <v>0</v>
      </c>
      <c r="E3493" s="247"/>
      <c r="F3493" s="248"/>
      <c r="G3493" s="249"/>
      <c r="H3493" s="330"/>
      <c r="I3493" s="328"/>
      <c r="J3493" s="249"/>
      <c r="K3493" s="330"/>
      <c r="L3493" s="250"/>
      <c r="M3493" s="249"/>
      <c r="N3493" s="330"/>
      <c r="O3493" s="250"/>
      <c r="P3493" s="249"/>
      <c r="Q3493" s="330"/>
      <c r="R3493" s="250"/>
      <c r="S3493" s="249"/>
      <c r="T3493" s="330"/>
      <c r="U3493" s="250"/>
      <c r="V3493" s="249"/>
      <c r="W3493" s="330"/>
      <c r="X3493" s="343"/>
      <c r="Y3493" s="249"/>
      <c r="Z3493" s="330"/>
      <c r="AA3493" s="343"/>
      <c r="AB3493" s="249"/>
      <c r="AC3493" s="330"/>
      <c r="AD3493" s="343"/>
      <c r="AE3493" s="249"/>
      <c r="AF3493" s="330"/>
      <c r="AG3493" s="343"/>
      <c r="AH3493" s="249"/>
      <c r="AI3493" s="330"/>
      <c r="AJ3493" s="343"/>
      <c r="AK3493" s="249"/>
      <c r="AL3493" s="330"/>
      <c r="AM3493" s="343"/>
      <c r="AN3493" s="249"/>
      <c r="AO3493" s="330"/>
      <c r="AP3493" s="343"/>
      <c r="AQ3493" s="249"/>
      <c r="AR3493" s="330"/>
      <c r="AS3493" s="343"/>
      <c r="AT3493" s="249"/>
      <c r="AU3493" s="330"/>
    </row>
    <row r="3494" spans="2:47">
      <c r="B3494" s="247">
        <f>'Table S2 Compound Identifiers'!C3496</f>
        <v>0</v>
      </c>
      <c r="C3494" s="247">
        <f>COUNTIF($D$6:D3494,"&lt;&gt;"&amp;"")</f>
        <v>3489</v>
      </c>
      <c r="D3494" s="247">
        <f>'Table S2 Compound Identifiers'!B3496</f>
        <v>0</v>
      </c>
      <c r="E3494" s="247"/>
      <c r="F3494" s="248"/>
      <c r="G3494" s="249"/>
      <c r="H3494" s="330"/>
      <c r="I3494" s="328"/>
      <c r="J3494" s="249"/>
      <c r="K3494" s="330"/>
      <c r="L3494" s="250"/>
      <c r="M3494" s="249"/>
      <c r="N3494" s="330"/>
      <c r="O3494" s="250"/>
      <c r="P3494" s="249"/>
      <c r="Q3494" s="330"/>
      <c r="R3494" s="250"/>
      <c r="S3494" s="249"/>
      <c r="T3494" s="330"/>
      <c r="U3494" s="250"/>
      <c r="V3494" s="249"/>
      <c r="W3494" s="330"/>
      <c r="X3494" s="343"/>
      <c r="Y3494" s="249"/>
      <c r="Z3494" s="330"/>
      <c r="AA3494" s="343"/>
      <c r="AB3494" s="249"/>
      <c r="AC3494" s="330"/>
      <c r="AD3494" s="343"/>
      <c r="AE3494" s="249"/>
      <c r="AF3494" s="330"/>
      <c r="AG3494" s="343"/>
      <c r="AH3494" s="249"/>
      <c r="AI3494" s="330"/>
      <c r="AJ3494" s="343"/>
      <c r="AK3494" s="249"/>
      <c r="AL3494" s="330"/>
      <c r="AM3494" s="343"/>
      <c r="AN3494" s="249"/>
      <c r="AO3494" s="330"/>
      <c r="AP3494" s="343"/>
      <c r="AQ3494" s="249"/>
      <c r="AR3494" s="330"/>
      <c r="AS3494" s="343"/>
      <c r="AT3494" s="249"/>
      <c r="AU3494" s="330"/>
    </row>
    <row r="3495" spans="2:47">
      <c r="B3495" s="247">
        <f>'Table S2 Compound Identifiers'!C3497</f>
        <v>0</v>
      </c>
      <c r="C3495" s="247">
        <f>COUNTIF($D$6:D3495,"&lt;&gt;"&amp;"")</f>
        <v>3490</v>
      </c>
      <c r="D3495" s="247">
        <f>'Table S2 Compound Identifiers'!B3497</f>
        <v>0</v>
      </c>
      <c r="E3495" s="247"/>
      <c r="F3495" s="248"/>
      <c r="G3495" s="249"/>
      <c r="H3495" s="330"/>
      <c r="I3495" s="328"/>
      <c r="J3495" s="249"/>
      <c r="K3495" s="330"/>
      <c r="L3495" s="250"/>
      <c r="M3495" s="249"/>
      <c r="N3495" s="330"/>
      <c r="O3495" s="250"/>
      <c r="P3495" s="249"/>
      <c r="Q3495" s="330"/>
      <c r="R3495" s="250"/>
      <c r="S3495" s="249"/>
      <c r="T3495" s="330"/>
      <c r="U3495" s="250"/>
      <c r="V3495" s="249"/>
      <c r="W3495" s="330"/>
      <c r="X3495" s="343"/>
      <c r="Y3495" s="249"/>
      <c r="Z3495" s="330"/>
      <c r="AA3495" s="343"/>
      <c r="AB3495" s="249"/>
      <c r="AC3495" s="330"/>
      <c r="AD3495" s="343"/>
      <c r="AE3495" s="249"/>
      <c r="AF3495" s="330"/>
      <c r="AG3495" s="343"/>
      <c r="AH3495" s="249"/>
      <c r="AI3495" s="330"/>
      <c r="AJ3495" s="343"/>
      <c r="AK3495" s="249"/>
      <c r="AL3495" s="330"/>
      <c r="AM3495" s="343"/>
      <c r="AN3495" s="249"/>
      <c r="AO3495" s="330"/>
      <c r="AP3495" s="343"/>
      <c r="AQ3495" s="249"/>
      <c r="AR3495" s="330"/>
      <c r="AS3495" s="343"/>
      <c r="AT3495" s="249"/>
      <c r="AU3495" s="330"/>
    </row>
    <row r="3496" spans="2:47">
      <c r="B3496" s="247">
        <f>'Table S2 Compound Identifiers'!C3498</f>
        <v>0</v>
      </c>
      <c r="C3496" s="247">
        <f>COUNTIF($D$6:D3496,"&lt;&gt;"&amp;"")</f>
        <v>3491</v>
      </c>
      <c r="D3496" s="247">
        <f>'Table S2 Compound Identifiers'!B3498</f>
        <v>0</v>
      </c>
      <c r="E3496" s="247"/>
      <c r="F3496" s="248"/>
      <c r="G3496" s="249"/>
      <c r="H3496" s="330"/>
      <c r="I3496" s="328"/>
      <c r="J3496" s="249"/>
      <c r="K3496" s="330"/>
      <c r="L3496" s="250"/>
      <c r="M3496" s="249"/>
      <c r="N3496" s="330"/>
      <c r="O3496" s="250"/>
      <c r="P3496" s="249"/>
      <c r="Q3496" s="330"/>
      <c r="R3496" s="250"/>
      <c r="S3496" s="249"/>
      <c r="T3496" s="330"/>
      <c r="U3496" s="250"/>
      <c r="V3496" s="249"/>
      <c r="W3496" s="330"/>
      <c r="X3496" s="343"/>
      <c r="Y3496" s="249"/>
      <c r="Z3496" s="330"/>
      <c r="AA3496" s="343"/>
      <c r="AB3496" s="249"/>
      <c r="AC3496" s="330"/>
      <c r="AD3496" s="343"/>
      <c r="AE3496" s="249"/>
      <c r="AF3496" s="330"/>
      <c r="AG3496" s="343"/>
      <c r="AH3496" s="249"/>
      <c r="AI3496" s="330"/>
      <c r="AJ3496" s="343"/>
      <c r="AK3496" s="249"/>
      <c r="AL3496" s="330"/>
      <c r="AM3496" s="343"/>
      <c r="AN3496" s="249"/>
      <c r="AO3496" s="330"/>
      <c r="AP3496" s="343"/>
      <c r="AQ3496" s="249"/>
      <c r="AR3496" s="330"/>
      <c r="AS3496" s="343"/>
      <c r="AT3496" s="249"/>
      <c r="AU3496" s="330"/>
    </row>
    <row r="3497" spans="2:47">
      <c r="B3497" s="247">
        <f>'Table S2 Compound Identifiers'!C3499</f>
        <v>0</v>
      </c>
      <c r="C3497" s="247">
        <f>COUNTIF($D$6:D3497,"&lt;&gt;"&amp;"")</f>
        <v>3492</v>
      </c>
      <c r="D3497" s="247">
        <f>'Table S2 Compound Identifiers'!B3499</f>
        <v>0</v>
      </c>
      <c r="E3497" s="247"/>
      <c r="F3497" s="248"/>
      <c r="G3497" s="249"/>
      <c r="H3497" s="330"/>
      <c r="I3497" s="328"/>
      <c r="J3497" s="249"/>
      <c r="K3497" s="330"/>
      <c r="L3497" s="250"/>
      <c r="M3497" s="249"/>
      <c r="N3497" s="330"/>
      <c r="O3497" s="250"/>
      <c r="P3497" s="249"/>
      <c r="Q3497" s="330"/>
      <c r="R3497" s="250"/>
      <c r="S3497" s="249"/>
      <c r="T3497" s="330"/>
      <c r="U3497" s="250"/>
      <c r="V3497" s="249"/>
      <c r="W3497" s="330"/>
      <c r="X3497" s="343"/>
      <c r="Y3497" s="249"/>
      <c r="Z3497" s="330"/>
      <c r="AA3497" s="343"/>
      <c r="AB3497" s="249"/>
      <c r="AC3497" s="330"/>
      <c r="AD3497" s="343"/>
      <c r="AE3497" s="249"/>
      <c r="AF3497" s="330"/>
      <c r="AG3497" s="343"/>
      <c r="AH3497" s="249"/>
      <c r="AI3497" s="330"/>
      <c r="AJ3497" s="343"/>
      <c r="AK3497" s="249"/>
      <c r="AL3497" s="330"/>
      <c r="AM3497" s="343"/>
      <c r="AN3497" s="249"/>
      <c r="AO3497" s="330"/>
      <c r="AP3497" s="343"/>
      <c r="AQ3497" s="249"/>
      <c r="AR3497" s="330"/>
      <c r="AS3497" s="343"/>
      <c r="AT3497" s="249"/>
      <c r="AU3497" s="330"/>
    </row>
    <row r="3498" spans="2:47">
      <c r="B3498" s="247">
        <f>'Table S2 Compound Identifiers'!C3500</f>
        <v>0</v>
      </c>
      <c r="C3498" s="247">
        <f>COUNTIF($D$6:D3498,"&lt;&gt;"&amp;"")</f>
        <v>3493</v>
      </c>
      <c r="D3498" s="247">
        <f>'Table S2 Compound Identifiers'!B3500</f>
        <v>0</v>
      </c>
      <c r="E3498" s="247"/>
      <c r="F3498" s="248"/>
      <c r="G3498" s="249"/>
      <c r="H3498" s="330"/>
      <c r="I3498" s="328"/>
      <c r="J3498" s="249"/>
      <c r="K3498" s="330"/>
      <c r="L3498" s="250"/>
      <c r="M3498" s="249"/>
      <c r="N3498" s="330"/>
      <c r="O3498" s="250"/>
      <c r="P3498" s="249"/>
      <c r="Q3498" s="330"/>
      <c r="R3498" s="250"/>
      <c r="S3498" s="249"/>
      <c r="T3498" s="330"/>
      <c r="U3498" s="250"/>
      <c r="V3498" s="249"/>
      <c r="W3498" s="330"/>
      <c r="X3498" s="343"/>
      <c r="Y3498" s="249"/>
      <c r="Z3498" s="330"/>
      <c r="AA3498" s="343"/>
      <c r="AB3498" s="249"/>
      <c r="AC3498" s="330"/>
      <c r="AD3498" s="343"/>
      <c r="AE3498" s="249"/>
      <c r="AF3498" s="330"/>
      <c r="AG3498" s="343"/>
      <c r="AH3498" s="249"/>
      <c r="AI3498" s="330"/>
      <c r="AJ3498" s="343"/>
      <c r="AK3498" s="249"/>
      <c r="AL3498" s="330"/>
      <c r="AM3498" s="343"/>
      <c r="AN3498" s="249"/>
      <c r="AO3498" s="330"/>
      <c r="AP3498" s="343"/>
      <c r="AQ3498" s="249"/>
      <c r="AR3498" s="330"/>
      <c r="AS3498" s="343"/>
      <c r="AT3498" s="249"/>
      <c r="AU3498" s="330"/>
    </row>
    <row r="3499" spans="2:47">
      <c r="B3499" s="247">
        <f>'Table S2 Compound Identifiers'!C3501</f>
        <v>0</v>
      </c>
      <c r="C3499" s="247">
        <f>COUNTIF($D$6:D3499,"&lt;&gt;"&amp;"")</f>
        <v>3494</v>
      </c>
      <c r="D3499" s="247">
        <f>'Table S2 Compound Identifiers'!B3501</f>
        <v>0</v>
      </c>
      <c r="E3499" s="247"/>
      <c r="F3499" s="248"/>
      <c r="G3499" s="249"/>
      <c r="H3499" s="330"/>
      <c r="I3499" s="328"/>
      <c r="J3499" s="249"/>
      <c r="K3499" s="330"/>
      <c r="L3499" s="250"/>
      <c r="M3499" s="249"/>
      <c r="N3499" s="330"/>
      <c r="O3499" s="250"/>
      <c r="P3499" s="249"/>
      <c r="Q3499" s="330"/>
      <c r="R3499" s="250"/>
      <c r="S3499" s="249"/>
      <c r="T3499" s="330"/>
      <c r="U3499" s="250"/>
      <c r="V3499" s="249"/>
      <c r="W3499" s="330"/>
      <c r="X3499" s="343"/>
      <c r="Y3499" s="249"/>
      <c r="Z3499" s="330"/>
      <c r="AA3499" s="343"/>
      <c r="AB3499" s="249"/>
      <c r="AC3499" s="330"/>
      <c r="AD3499" s="343"/>
      <c r="AE3499" s="249"/>
      <c r="AF3499" s="330"/>
      <c r="AG3499" s="343"/>
      <c r="AH3499" s="249"/>
      <c r="AI3499" s="330"/>
      <c r="AJ3499" s="343"/>
      <c r="AK3499" s="249"/>
      <c r="AL3499" s="330"/>
      <c r="AM3499" s="343"/>
      <c r="AN3499" s="249"/>
      <c r="AO3499" s="330"/>
      <c r="AP3499" s="343"/>
      <c r="AQ3499" s="249"/>
      <c r="AR3499" s="330"/>
      <c r="AS3499" s="343"/>
      <c r="AT3499" s="249"/>
      <c r="AU3499" s="330"/>
    </row>
    <row r="3500" spans="2:47">
      <c r="B3500" s="247">
        <f>'Table S2 Compound Identifiers'!C3502</f>
        <v>0</v>
      </c>
      <c r="C3500" s="247">
        <f>COUNTIF($D$6:D3500,"&lt;&gt;"&amp;"")</f>
        <v>3495</v>
      </c>
      <c r="D3500" s="247">
        <f>'Table S2 Compound Identifiers'!B3502</f>
        <v>0</v>
      </c>
      <c r="E3500" s="247"/>
      <c r="F3500" s="248"/>
      <c r="G3500" s="249"/>
      <c r="H3500" s="330"/>
      <c r="I3500" s="328"/>
      <c r="J3500" s="249"/>
      <c r="K3500" s="330"/>
      <c r="L3500" s="250"/>
      <c r="M3500" s="249"/>
      <c r="N3500" s="330"/>
      <c r="O3500" s="250"/>
      <c r="P3500" s="249"/>
      <c r="Q3500" s="330"/>
      <c r="R3500" s="250"/>
      <c r="S3500" s="249"/>
      <c r="T3500" s="330"/>
      <c r="U3500" s="250"/>
      <c r="V3500" s="249"/>
      <c r="W3500" s="330"/>
      <c r="X3500" s="343"/>
      <c r="Y3500" s="249"/>
      <c r="Z3500" s="330"/>
      <c r="AA3500" s="343"/>
      <c r="AB3500" s="249"/>
      <c r="AC3500" s="330"/>
      <c r="AD3500" s="343"/>
      <c r="AE3500" s="249"/>
      <c r="AF3500" s="330"/>
      <c r="AG3500" s="343"/>
      <c r="AH3500" s="249"/>
      <c r="AI3500" s="330"/>
      <c r="AJ3500" s="343"/>
      <c r="AK3500" s="249"/>
      <c r="AL3500" s="330"/>
      <c r="AM3500" s="343"/>
      <c r="AN3500" s="249"/>
      <c r="AO3500" s="330"/>
      <c r="AP3500" s="343"/>
      <c r="AQ3500" s="249"/>
      <c r="AR3500" s="330"/>
      <c r="AS3500" s="343"/>
      <c r="AT3500" s="249"/>
      <c r="AU3500" s="330"/>
    </row>
    <row r="3501" spans="2:47">
      <c r="B3501" s="247">
        <f>'Table S2 Compound Identifiers'!C3503</f>
        <v>0</v>
      </c>
      <c r="C3501" s="247">
        <f>COUNTIF($D$6:D3501,"&lt;&gt;"&amp;"")</f>
        <v>3496</v>
      </c>
      <c r="D3501" s="247">
        <f>'Table S2 Compound Identifiers'!B3503</f>
        <v>0</v>
      </c>
      <c r="E3501" s="247"/>
      <c r="F3501" s="248"/>
      <c r="G3501" s="249"/>
      <c r="H3501" s="330"/>
      <c r="I3501" s="328"/>
      <c r="J3501" s="249"/>
      <c r="K3501" s="330"/>
      <c r="L3501" s="250"/>
      <c r="M3501" s="249"/>
      <c r="N3501" s="330"/>
      <c r="O3501" s="250"/>
      <c r="P3501" s="249"/>
      <c r="Q3501" s="330"/>
      <c r="R3501" s="250"/>
      <c r="S3501" s="249"/>
      <c r="T3501" s="330"/>
      <c r="U3501" s="250"/>
      <c r="V3501" s="249"/>
      <c r="W3501" s="330"/>
      <c r="X3501" s="343"/>
      <c r="Y3501" s="249"/>
      <c r="Z3501" s="330"/>
      <c r="AA3501" s="343"/>
      <c r="AB3501" s="249"/>
      <c r="AC3501" s="330"/>
      <c r="AD3501" s="343"/>
      <c r="AE3501" s="249"/>
      <c r="AF3501" s="330"/>
      <c r="AG3501" s="343"/>
      <c r="AH3501" s="249"/>
      <c r="AI3501" s="330"/>
      <c r="AJ3501" s="343"/>
      <c r="AK3501" s="249"/>
      <c r="AL3501" s="330"/>
      <c r="AM3501" s="343"/>
      <c r="AN3501" s="249"/>
      <c r="AO3501" s="330"/>
      <c r="AP3501" s="343"/>
      <c r="AQ3501" s="249"/>
      <c r="AR3501" s="330"/>
      <c r="AS3501" s="343"/>
      <c r="AT3501" s="249"/>
      <c r="AU3501" s="330"/>
    </row>
    <row r="3502" spans="2:47">
      <c r="B3502" s="247">
        <f>'Table S2 Compound Identifiers'!C3504</f>
        <v>0</v>
      </c>
      <c r="C3502" s="247">
        <f>COUNTIF($D$6:D3502,"&lt;&gt;"&amp;"")</f>
        <v>3497</v>
      </c>
      <c r="D3502" s="247">
        <f>'Table S2 Compound Identifiers'!B3504</f>
        <v>0</v>
      </c>
      <c r="E3502" s="247"/>
      <c r="F3502" s="248"/>
      <c r="G3502" s="249"/>
      <c r="H3502" s="330"/>
      <c r="I3502" s="328"/>
      <c r="J3502" s="249"/>
      <c r="K3502" s="330"/>
      <c r="L3502" s="250"/>
      <c r="M3502" s="249"/>
      <c r="N3502" s="330"/>
      <c r="O3502" s="250"/>
      <c r="P3502" s="249"/>
      <c r="Q3502" s="330"/>
      <c r="R3502" s="250"/>
      <c r="S3502" s="249"/>
      <c r="T3502" s="330"/>
      <c r="U3502" s="250"/>
      <c r="V3502" s="249"/>
      <c r="W3502" s="330"/>
      <c r="X3502" s="343"/>
      <c r="Y3502" s="249"/>
      <c r="Z3502" s="330"/>
      <c r="AA3502" s="343"/>
      <c r="AB3502" s="249"/>
      <c r="AC3502" s="330"/>
      <c r="AD3502" s="343"/>
      <c r="AE3502" s="249"/>
      <c r="AF3502" s="330"/>
      <c r="AG3502" s="343"/>
      <c r="AH3502" s="249"/>
      <c r="AI3502" s="330"/>
      <c r="AJ3502" s="343"/>
      <c r="AK3502" s="249"/>
      <c r="AL3502" s="330"/>
      <c r="AM3502" s="343"/>
      <c r="AN3502" s="249"/>
      <c r="AO3502" s="330"/>
      <c r="AP3502" s="343"/>
      <c r="AQ3502" s="249"/>
      <c r="AR3502" s="330"/>
      <c r="AS3502" s="343"/>
      <c r="AT3502" s="249"/>
      <c r="AU3502" s="330"/>
    </row>
    <row r="3503" spans="2:47">
      <c r="B3503" s="247">
        <f>'Table S2 Compound Identifiers'!C3505</f>
        <v>0</v>
      </c>
      <c r="C3503" s="247">
        <f>COUNTIF($D$6:D3503,"&lt;&gt;"&amp;"")</f>
        <v>3498</v>
      </c>
      <c r="D3503" s="247">
        <f>'Table S2 Compound Identifiers'!B3505</f>
        <v>0</v>
      </c>
      <c r="E3503" s="247"/>
      <c r="F3503" s="248"/>
      <c r="G3503" s="249"/>
      <c r="H3503" s="330"/>
      <c r="I3503" s="328"/>
      <c r="J3503" s="249"/>
      <c r="K3503" s="330"/>
      <c r="L3503" s="250"/>
      <c r="M3503" s="249"/>
      <c r="N3503" s="330"/>
      <c r="O3503" s="250"/>
      <c r="P3503" s="249"/>
      <c r="Q3503" s="330"/>
      <c r="R3503" s="250"/>
      <c r="S3503" s="249"/>
      <c r="T3503" s="330"/>
      <c r="U3503" s="250"/>
      <c r="V3503" s="249"/>
      <c r="W3503" s="330"/>
      <c r="X3503" s="343"/>
      <c r="Y3503" s="249"/>
      <c r="Z3503" s="330"/>
      <c r="AA3503" s="343"/>
      <c r="AB3503" s="249"/>
      <c r="AC3503" s="330"/>
      <c r="AD3503" s="343"/>
      <c r="AE3503" s="249"/>
      <c r="AF3503" s="330"/>
      <c r="AG3503" s="343"/>
      <c r="AH3503" s="249"/>
      <c r="AI3503" s="330"/>
      <c r="AJ3503" s="343"/>
      <c r="AK3503" s="249"/>
      <c r="AL3503" s="330"/>
      <c r="AM3503" s="343"/>
      <c r="AN3503" s="249"/>
      <c r="AO3503" s="330"/>
      <c r="AP3503" s="343"/>
      <c r="AQ3503" s="249"/>
      <c r="AR3503" s="330"/>
      <c r="AS3503" s="343"/>
      <c r="AT3503" s="249"/>
      <c r="AU3503" s="330"/>
    </row>
    <row r="3504" spans="2:47">
      <c r="B3504" s="247">
        <f>'Table S2 Compound Identifiers'!C3506</f>
        <v>0</v>
      </c>
      <c r="C3504" s="247">
        <f>COUNTIF($D$6:D3504,"&lt;&gt;"&amp;"")</f>
        <v>3499</v>
      </c>
      <c r="D3504" s="247">
        <f>'Table S2 Compound Identifiers'!B3506</f>
        <v>0</v>
      </c>
      <c r="E3504" s="247"/>
      <c r="F3504" s="248"/>
      <c r="G3504" s="249"/>
      <c r="H3504" s="330"/>
      <c r="I3504" s="328"/>
      <c r="J3504" s="249"/>
      <c r="K3504" s="330"/>
      <c r="L3504" s="250"/>
      <c r="M3504" s="249"/>
      <c r="N3504" s="330"/>
      <c r="O3504" s="250"/>
      <c r="P3504" s="249"/>
      <c r="Q3504" s="330"/>
      <c r="R3504" s="250"/>
      <c r="S3504" s="249"/>
      <c r="T3504" s="330"/>
      <c r="U3504" s="250"/>
      <c r="V3504" s="249"/>
      <c r="W3504" s="330"/>
      <c r="X3504" s="343"/>
      <c r="Y3504" s="249"/>
      <c r="Z3504" s="330"/>
      <c r="AA3504" s="343"/>
      <c r="AB3504" s="249"/>
      <c r="AC3504" s="330"/>
      <c r="AD3504" s="343"/>
      <c r="AE3504" s="249"/>
      <c r="AF3504" s="330"/>
      <c r="AG3504" s="343"/>
      <c r="AH3504" s="249"/>
      <c r="AI3504" s="330"/>
      <c r="AJ3504" s="343"/>
      <c r="AK3504" s="249"/>
      <c r="AL3504" s="330"/>
      <c r="AM3504" s="343"/>
      <c r="AN3504" s="249"/>
      <c r="AO3504" s="330"/>
      <c r="AP3504" s="343"/>
      <c r="AQ3504" s="249"/>
      <c r="AR3504" s="330"/>
      <c r="AS3504" s="343"/>
      <c r="AT3504" s="249"/>
      <c r="AU3504" s="330"/>
    </row>
    <row r="3505" spans="2:47">
      <c r="B3505" s="247">
        <f>'Table S2 Compound Identifiers'!C3507</f>
        <v>0</v>
      </c>
      <c r="C3505" s="247">
        <f>COUNTIF($D$6:D3505,"&lt;&gt;"&amp;"")</f>
        <v>3500</v>
      </c>
      <c r="D3505" s="247">
        <f>'Table S2 Compound Identifiers'!B3507</f>
        <v>0</v>
      </c>
      <c r="E3505" s="247"/>
      <c r="F3505" s="248"/>
      <c r="G3505" s="249"/>
      <c r="H3505" s="330"/>
      <c r="I3505" s="328"/>
      <c r="J3505" s="249"/>
      <c r="K3505" s="330"/>
      <c r="L3505" s="250"/>
      <c r="M3505" s="249"/>
      <c r="N3505" s="330"/>
      <c r="O3505" s="250"/>
      <c r="P3505" s="249"/>
      <c r="Q3505" s="330"/>
      <c r="R3505" s="250"/>
      <c r="S3505" s="249"/>
      <c r="T3505" s="330"/>
      <c r="U3505" s="250"/>
      <c r="V3505" s="249"/>
      <c r="W3505" s="330"/>
      <c r="X3505" s="343"/>
      <c r="Y3505" s="249"/>
      <c r="Z3505" s="330"/>
      <c r="AA3505" s="343"/>
      <c r="AB3505" s="249"/>
      <c r="AC3505" s="330"/>
      <c r="AD3505" s="343"/>
      <c r="AE3505" s="249"/>
      <c r="AF3505" s="330"/>
      <c r="AG3505" s="343"/>
      <c r="AH3505" s="249"/>
      <c r="AI3505" s="330"/>
      <c r="AJ3505" s="343"/>
      <c r="AK3505" s="249"/>
      <c r="AL3505" s="330"/>
      <c r="AM3505" s="343"/>
      <c r="AN3505" s="249"/>
      <c r="AO3505" s="330"/>
      <c r="AP3505" s="343"/>
      <c r="AQ3505" s="249"/>
      <c r="AR3505" s="330"/>
      <c r="AS3505" s="343"/>
      <c r="AT3505" s="249"/>
      <c r="AU3505" s="330"/>
    </row>
    <row r="3506" spans="2:47">
      <c r="B3506" s="247">
        <f>'Table S2 Compound Identifiers'!C3508</f>
        <v>0</v>
      </c>
      <c r="C3506" s="247">
        <f>COUNTIF($D$6:D3506,"&lt;&gt;"&amp;"")</f>
        <v>3501</v>
      </c>
      <c r="D3506" s="247">
        <f>'Table S2 Compound Identifiers'!B3508</f>
        <v>0</v>
      </c>
      <c r="E3506" s="247"/>
      <c r="F3506" s="248"/>
      <c r="G3506" s="249"/>
      <c r="H3506" s="330"/>
      <c r="I3506" s="328"/>
      <c r="J3506" s="249"/>
      <c r="K3506" s="330"/>
      <c r="L3506" s="250"/>
      <c r="M3506" s="249"/>
      <c r="N3506" s="330"/>
      <c r="O3506" s="250"/>
      <c r="P3506" s="249"/>
      <c r="Q3506" s="330"/>
      <c r="R3506" s="250"/>
      <c r="S3506" s="249"/>
      <c r="T3506" s="330"/>
      <c r="U3506" s="250"/>
      <c r="V3506" s="249"/>
      <c r="W3506" s="330"/>
      <c r="X3506" s="343"/>
      <c r="Y3506" s="249"/>
      <c r="Z3506" s="330"/>
      <c r="AA3506" s="343"/>
      <c r="AB3506" s="249"/>
      <c r="AC3506" s="330"/>
      <c r="AD3506" s="343"/>
      <c r="AE3506" s="249"/>
      <c r="AF3506" s="330"/>
      <c r="AG3506" s="343"/>
      <c r="AH3506" s="249"/>
      <c r="AI3506" s="330"/>
      <c r="AJ3506" s="343"/>
      <c r="AK3506" s="249"/>
      <c r="AL3506" s="330"/>
      <c r="AM3506" s="343"/>
      <c r="AN3506" s="249"/>
      <c r="AO3506" s="330"/>
      <c r="AP3506" s="343"/>
      <c r="AQ3506" s="249"/>
      <c r="AR3506" s="330"/>
      <c r="AS3506" s="343"/>
      <c r="AT3506" s="249"/>
      <c r="AU3506" s="330"/>
    </row>
    <row r="3507" spans="2:47">
      <c r="B3507" s="247">
        <f>'Table S2 Compound Identifiers'!C3509</f>
        <v>0</v>
      </c>
      <c r="C3507" s="247">
        <f>COUNTIF($D$6:D3507,"&lt;&gt;"&amp;"")</f>
        <v>3502</v>
      </c>
      <c r="D3507" s="247">
        <f>'Table S2 Compound Identifiers'!B3509</f>
        <v>0</v>
      </c>
      <c r="E3507" s="247"/>
      <c r="F3507" s="248"/>
      <c r="G3507" s="249"/>
      <c r="H3507" s="330"/>
      <c r="I3507" s="328"/>
      <c r="J3507" s="249"/>
      <c r="K3507" s="330"/>
      <c r="L3507" s="250"/>
      <c r="M3507" s="249"/>
      <c r="N3507" s="330"/>
      <c r="O3507" s="250"/>
      <c r="P3507" s="249"/>
      <c r="Q3507" s="330"/>
      <c r="R3507" s="250"/>
      <c r="S3507" s="249"/>
      <c r="T3507" s="330"/>
      <c r="U3507" s="250"/>
      <c r="V3507" s="249"/>
      <c r="W3507" s="330"/>
      <c r="X3507" s="343"/>
      <c r="Y3507" s="249"/>
      <c r="Z3507" s="330"/>
      <c r="AA3507" s="343"/>
      <c r="AB3507" s="249"/>
      <c r="AC3507" s="330"/>
      <c r="AD3507" s="343"/>
      <c r="AE3507" s="249"/>
      <c r="AF3507" s="330"/>
      <c r="AG3507" s="343"/>
      <c r="AH3507" s="249"/>
      <c r="AI3507" s="330"/>
      <c r="AJ3507" s="343"/>
      <c r="AK3507" s="249"/>
      <c r="AL3507" s="330"/>
      <c r="AM3507" s="343"/>
      <c r="AN3507" s="249"/>
      <c r="AO3507" s="330"/>
      <c r="AP3507" s="343"/>
      <c r="AQ3507" s="249"/>
      <c r="AR3507" s="330"/>
      <c r="AS3507" s="343"/>
      <c r="AT3507" s="249"/>
      <c r="AU3507" s="330"/>
    </row>
    <row r="3508" spans="2:47">
      <c r="B3508" s="247">
        <f>'Table S2 Compound Identifiers'!C3510</f>
        <v>0</v>
      </c>
      <c r="C3508" s="247">
        <f>COUNTIF($D$6:D3508,"&lt;&gt;"&amp;"")</f>
        <v>3503</v>
      </c>
      <c r="D3508" s="247">
        <f>'Table S2 Compound Identifiers'!B3510</f>
        <v>0</v>
      </c>
      <c r="E3508" s="247"/>
      <c r="F3508" s="248"/>
      <c r="G3508" s="249"/>
      <c r="H3508" s="330"/>
      <c r="I3508" s="328"/>
      <c r="J3508" s="249"/>
      <c r="K3508" s="330"/>
      <c r="L3508" s="250"/>
      <c r="M3508" s="249"/>
      <c r="N3508" s="330"/>
      <c r="O3508" s="250"/>
      <c r="P3508" s="249"/>
      <c r="Q3508" s="330"/>
      <c r="R3508" s="250"/>
      <c r="S3508" s="249"/>
      <c r="T3508" s="330"/>
      <c r="U3508" s="250"/>
      <c r="V3508" s="249"/>
      <c r="W3508" s="330"/>
      <c r="X3508" s="343"/>
      <c r="Y3508" s="249"/>
      <c r="Z3508" s="330"/>
      <c r="AA3508" s="343"/>
      <c r="AB3508" s="249"/>
      <c r="AC3508" s="330"/>
      <c r="AD3508" s="343"/>
      <c r="AE3508" s="249"/>
      <c r="AF3508" s="330"/>
      <c r="AG3508" s="343"/>
      <c r="AH3508" s="249"/>
      <c r="AI3508" s="330"/>
      <c r="AJ3508" s="343"/>
      <c r="AK3508" s="249"/>
      <c r="AL3508" s="330"/>
      <c r="AM3508" s="343"/>
      <c r="AN3508" s="249"/>
      <c r="AO3508" s="330"/>
      <c r="AP3508" s="343"/>
      <c r="AQ3508" s="249"/>
      <c r="AR3508" s="330"/>
      <c r="AS3508" s="343"/>
      <c r="AT3508" s="249"/>
      <c r="AU3508" s="330"/>
    </row>
    <row r="3509" spans="2:47">
      <c r="B3509" s="247">
        <f>'Table S2 Compound Identifiers'!C3511</f>
        <v>0</v>
      </c>
      <c r="C3509" s="247">
        <f>COUNTIF($D$6:D3509,"&lt;&gt;"&amp;"")</f>
        <v>3504</v>
      </c>
      <c r="D3509" s="247">
        <f>'Table S2 Compound Identifiers'!B3511</f>
        <v>0</v>
      </c>
      <c r="E3509" s="247"/>
      <c r="F3509" s="248"/>
      <c r="G3509" s="249"/>
      <c r="H3509" s="330"/>
      <c r="I3509" s="328"/>
      <c r="J3509" s="249"/>
      <c r="K3509" s="330"/>
      <c r="L3509" s="250"/>
      <c r="M3509" s="249"/>
      <c r="N3509" s="330"/>
      <c r="O3509" s="250"/>
      <c r="P3509" s="249"/>
      <c r="Q3509" s="330"/>
      <c r="R3509" s="250"/>
      <c r="S3509" s="249"/>
      <c r="T3509" s="330"/>
      <c r="U3509" s="250"/>
      <c r="V3509" s="249"/>
      <c r="W3509" s="330"/>
      <c r="X3509" s="343"/>
      <c r="Y3509" s="249"/>
      <c r="Z3509" s="330"/>
      <c r="AA3509" s="343"/>
      <c r="AB3509" s="249"/>
      <c r="AC3509" s="330"/>
      <c r="AD3509" s="343"/>
      <c r="AE3509" s="249"/>
      <c r="AF3509" s="330"/>
      <c r="AG3509" s="343"/>
      <c r="AH3509" s="249"/>
      <c r="AI3509" s="330"/>
      <c r="AJ3509" s="343"/>
      <c r="AK3509" s="249"/>
      <c r="AL3509" s="330"/>
      <c r="AM3509" s="343"/>
      <c r="AN3509" s="249"/>
      <c r="AO3509" s="330"/>
      <c r="AP3509" s="343"/>
      <c r="AQ3509" s="249"/>
      <c r="AR3509" s="330"/>
      <c r="AS3509" s="343"/>
      <c r="AT3509" s="249"/>
      <c r="AU3509" s="330"/>
    </row>
    <row r="3510" spans="2:47">
      <c r="B3510" s="247">
        <f>'Table S2 Compound Identifiers'!C3512</f>
        <v>0</v>
      </c>
      <c r="C3510" s="247">
        <f>COUNTIF($D$6:D3510,"&lt;&gt;"&amp;"")</f>
        <v>3505</v>
      </c>
      <c r="D3510" s="247">
        <f>'Table S2 Compound Identifiers'!B3512</f>
        <v>0</v>
      </c>
      <c r="E3510" s="247"/>
      <c r="F3510" s="248"/>
      <c r="G3510" s="249"/>
      <c r="H3510" s="330"/>
      <c r="I3510" s="328"/>
      <c r="J3510" s="249"/>
      <c r="K3510" s="330"/>
      <c r="L3510" s="250"/>
      <c r="M3510" s="249"/>
      <c r="N3510" s="330"/>
      <c r="O3510" s="250"/>
      <c r="P3510" s="249"/>
      <c r="Q3510" s="330"/>
      <c r="R3510" s="250"/>
      <c r="S3510" s="249"/>
      <c r="T3510" s="330"/>
      <c r="U3510" s="250"/>
      <c r="V3510" s="249"/>
      <c r="W3510" s="330"/>
      <c r="X3510" s="343"/>
      <c r="Y3510" s="249"/>
      <c r="Z3510" s="330"/>
      <c r="AA3510" s="343"/>
      <c r="AB3510" s="249"/>
      <c r="AC3510" s="330"/>
      <c r="AD3510" s="343"/>
      <c r="AE3510" s="249"/>
      <c r="AF3510" s="330"/>
      <c r="AG3510" s="343"/>
      <c r="AH3510" s="249"/>
      <c r="AI3510" s="330"/>
      <c r="AJ3510" s="343"/>
      <c r="AK3510" s="249"/>
      <c r="AL3510" s="330"/>
      <c r="AM3510" s="343"/>
      <c r="AN3510" s="249"/>
      <c r="AO3510" s="330"/>
      <c r="AP3510" s="343"/>
      <c r="AQ3510" s="249"/>
      <c r="AR3510" s="330"/>
      <c r="AS3510" s="343"/>
      <c r="AT3510" s="249"/>
      <c r="AU3510" s="330"/>
    </row>
    <row r="3511" spans="2:47">
      <c r="B3511" s="247">
        <f>'Table S2 Compound Identifiers'!C3513</f>
        <v>0</v>
      </c>
      <c r="C3511" s="247">
        <f>COUNTIF($D$6:D3511,"&lt;&gt;"&amp;"")</f>
        <v>3506</v>
      </c>
      <c r="D3511" s="247">
        <f>'Table S2 Compound Identifiers'!B3513</f>
        <v>0</v>
      </c>
      <c r="E3511" s="247"/>
      <c r="F3511" s="248"/>
      <c r="G3511" s="249"/>
      <c r="H3511" s="330"/>
      <c r="I3511" s="328"/>
      <c r="J3511" s="249"/>
      <c r="K3511" s="330"/>
      <c r="L3511" s="250"/>
      <c r="M3511" s="249"/>
      <c r="N3511" s="330"/>
      <c r="O3511" s="250"/>
      <c r="P3511" s="249"/>
      <c r="Q3511" s="330"/>
      <c r="R3511" s="250"/>
      <c r="S3511" s="249"/>
      <c r="T3511" s="330"/>
      <c r="U3511" s="250"/>
      <c r="V3511" s="249"/>
      <c r="W3511" s="330"/>
      <c r="X3511" s="343"/>
      <c r="Y3511" s="249"/>
      <c r="Z3511" s="330"/>
      <c r="AA3511" s="343"/>
      <c r="AB3511" s="249"/>
      <c r="AC3511" s="330"/>
      <c r="AD3511" s="343"/>
      <c r="AE3511" s="249"/>
      <c r="AF3511" s="330"/>
      <c r="AG3511" s="343"/>
      <c r="AH3511" s="249"/>
      <c r="AI3511" s="330"/>
      <c r="AJ3511" s="343"/>
      <c r="AK3511" s="249"/>
      <c r="AL3511" s="330"/>
      <c r="AM3511" s="343"/>
      <c r="AN3511" s="249"/>
      <c r="AO3511" s="330"/>
      <c r="AP3511" s="343"/>
      <c r="AQ3511" s="249"/>
      <c r="AR3511" s="330"/>
      <c r="AS3511" s="343"/>
      <c r="AT3511" s="249"/>
      <c r="AU3511" s="330"/>
    </row>
    <row r="3512" spans="2:47">
      <c r="B3512" s="247">
        <f>'Table S2 Compound Identifiers'!C3514</f>
        <v>0</v>
      </c>
      <c r="C3512" s="247">
        <f>COUNTIF($D$6:D3512,"&lt;&gt;"&amp;"")</f>
        <v>3507</v>
      </c>
      <c r="D3512" s="247">
        <f>'Table S2 Compound Identifiers'!B3514</f>
        <v>0</v>
      </c>
      <c r="E3512" s="247"/>
      <c r="F3512" s="248"/>
      <c r="G3512" s="249"/>
      <c r="H3512" s="330"/>
      <c r="I3512" s="328"/>
      <c r="J3512" s="249"/>
      <c r="K3512" s="330"/>
      <c r="L3512" s="250"/>
      <c r="M3512" s="249"/>
      <c r="N3512" s="330"/>
      <c r="O3512" s="250"/>
      <c r="P3512" s="249"/>
      <c r="Q3512" s="330"/>
      <c r="R3512" s="250"/>
      <c r="S3512" s="249"/>
      <c r="T3512" s="330"/>
      <c r="U3512" s="250"/>
      <c r="V3512" s="249"/>
      <c r="W3512" s="330"/>
      <c r="X3512" s="343"/>
      <c r="Y3512" s="249"/>
      <c r="Z3512" s="330"/>
      <c r="AA3512" s="343"/>
      <c r="AB3512" s="249"/>
      <c r="AC3512" s="330"/>
      <c r="AD3512" s="343"/>
      <c r="AE3512" s="249"/>
      <c r="AF3512" s="330"/>
      <c r="AG3512" s="343"/>
      <c r="AH3512" s="249"/>
      <c r="AI3512" s="330"/>
      <c r="AJ3512" s="343"/>
      <c r="AK3512" s="249"/>
      <c r="AL3512" s="330"/>
      <c r="AM3512" s="343"/>
      <c r="AN3512" s="249"/>
      <c r="AO3512" s="330"/>
      <c r="AP3512" s="343"/>
      <c r="AQ3512" s="249"/>
      <c r="AR3512" s="330"/>
      <c r="AS3512" s="343"/>
      <c r="AT3512" s="249"/>
      <c r="AU3512" s="330"/>
    </row>
    <row r="3513" spans="2:47">
      <c r="B3513" s="247">
        <f>'Table S2 Compound Identifiers'!C3515</f>
        <v>0</v>
      </c>
      <c r="C3513" s="247">
        <f>COUNTIF($D$6:D3513,"&lt;&gt;"&amp;"")</f>
        <v>3508</v>
      </c>
      <c r="D3513" s="247">
        <f>'Table S2 Compound Identifiers'!B3515</f>
        <v>0</v>
      </c>
      <c r="E3513" s="247"/>
      <c r="F3513" s="248"/>
      <c r="G3513" s="249"/>
      <c r="H3513" s="330"/>
      <c r="I3513" s="328"/>
      <c r="J3513" s="249"/>
      <c r="K3513" s="330"/>
      <c r="L3513" s="250"/>
      <c r="M3513" s="249"/>
      <c r="N3513" s="330"/>
      <c r="O3513" s="250"/>
      <c r="P3513" s="249"/>
      <c r="Q3513" s="330"/>
      <c r="R3513" s="250"/>
      <c r="S3513" s="249"/>
      <c r="T3513" s="330"/>
      <c r="U3513" s="250"/>
      <c r="V3513" s="249"/>
      <c r="W3513" s="330"/>
      <c r="X3513" s="343"/>
      <c r="Y3513" s="249"/>
      <c r="Z3513" s="330"/>
      <c r="AA3513" s="343"/>
      <c r="AB3513" s="249"/>
      <c r="AC3513" s="330"/>
      <c r="AD3513" s="343"/>
      <c r="AE3513" s="249"/>
      <c r="AF3513" s="330"/>
      <c r="AG3513" s="343"/>
      <c r="AH3513" s="249"/>
      <c r="AI3513" s="330"/>
      <c r="AJ3513" s="343"/>
      <c r="AK3513" s="249"/>
      <c r="AL3513" s="330"/>
      <c r="AM3513" s="343"/>
      <c r="AN3513" s="249"/>
      <c r="AO3513" s="330"/>
      <c r="AP3513" s="343"/>
      <c r="AQ3513" s="249"/>
      <c r="AR3513" s="330"/>
      <c r="AS3513" s="343"/>
      <c r="AT3513" s="249"/>
      <c r="AU3513" s="330"/>
    </row>
    <row r="3514" spans="2:47">
      <c r="B3514" s="247">
        <f>'Table S2 Compound Identifiers'!C3516</f>
        <v>0</v>
      </c>
      <c r="C3514" s="247">
        <f>COUNTIF($D$6:D3514,"&lt;&gt;"&amp;"")</f>
        <v>3509</v>
      </c>
      <c r="D3514" s="247">
        <f>'Table S2 Compound Identifiers'!B3516</f>
        <v>0</v>
      </c>
      <c r="E3514" s="247"/>
      <c r="F3514" s="248"/>
      <c r="G3514" s="249"/>
      <c r="H3514" s="330"/>
      <c r="I3514" s="328"/>
      <c r="J3514" s="249"/>
      <c r="K3514" s="330"/>
      <c r="L3514" s="250"/>
      <c r="M3514" s="249"/>
      <c r="N3514" s="330"/>
      <c r="O3514" s="250"/>
      <c r="P3514" s="249"/>
      <c r="Q3514" s="330"/>
      <c r="R3514" s="250"/>
      <c r="S3514" s="249"/>
      <c r="T3514" s="330"/>
      <c r="U3514" s="250"/>
      <c r="V3514" s="249"/>
      <c r="W3514" s="330"/>
      <c r="X3514" s="343"/>
      <c r="Y3514" s="249"/>
      <c r="Z3514" s="330"/>
      <c r="AA3514" s="343"/>
      <c r="AB3514" s="249"/>
      <c r="AC3514" s="330"/>
      <c r="AD3514" s="343"/>
      <c r="AE3514" s="249"/>
      <c r="AF3514" s="330"/>
      <c r="AG3514" s="343"/>
      <c r="AH3514" s="249"/>
      <c r="AI3514" s="330"/>
      <c r="AJ3514" s="343"/>
      <c r="AK3514" s="249"/>
      <c r="AL3514" s="330"/>
      <c r="AM3514" s="343"/>
      <c r="AN3514" s="249"/>
      <c r="AO3514" s="330"/>
      <c r="AP3514" s="343"/>
      <c r="AQ3514" s="249"/>
      <c r="AR3514" s="330"/>
      <c r="AS3514" s="343"/>
      <c r="AT3514" s="249"/>
      <c r="AU3514" s="330"/>
    </row>
    <row r="3515" spans="2:47">
      <c r="B3515" s="247">
        <f>'Table S2 Compound Identifiers'!C3517</f>
        <v>0</v>
      </c>
      <c r="C3515" s="247">
        <f>COUNTIF($D$6:D3515,"&lt;&gt;"&amp;"")</f>
        <v>3510</v>
      </c>
      <c r="D3515" s="247">
        <f>'Table S2 Compound Identifiers'!B3517</f>
        <v>0</v>
      </c>
      <c r="E3515" s="247"/>
      <c r="F3515" s="248"/>
      <c r="G3515" s="249"/>
      <c r="H3515" s="330"/>
      <c r="I3515" s="328"/>
      <c r="J3515" s="249"/>
      <c r="K3515" s="330"/>
      <c r="L3515" s="250"/>
      <c r="M3515" s="249"/>
      <c r="N3515" s="330"/>
      <c r="O3515" s="250"/>
      <c r="P3515" s="249"/>
      <c r="Q3515" s="330"/>
      <c r="R3515" s="250"/>
      <c r="S3515" s="249"/>
      <c r="T3515" s="330"/>
      <c r="U3515" s="250"/>
      <c r="V3515" s="249"/>
      <c r="W3515" s="330"/>
      <c r="X3515" s="343"/>
      <c r="Y3515" s="249"/>
      <c r="Z3515" s="330"/>
      <c r="AA3515" s="343"/>
      <c r="AB3515" s="249"/>
      <c r="AC3515" s="330"/>
      <c r="AD3515" s="343"/>
      <c r="AE3515" s="249"/>
      <c r="AF3515" s="330"/>
      <c r="AG3515" s="343"/>
      <c r="AH3515" s="249"/>
      <c r="AI3515" s="330"/>
      <c r="AJ3515" s="343"/>
      <c r="AK3515" s="249"/>
      <c r="AL3515" s="330"/>
      <c r="AM3515" s="343"/>
      <c r="AN3515" s="249"/>
      <c r="AO3515" s="330"/>
      <c r="AP3515" s="343"/>
      <c r="AQ3515" s="249"/>
      <c r="AR3515" s="330"/>
      <c r="AS3515" s="343"/>
      <c r="AT3515" s="249"/>
      <c r="AU3515" s="330"/>
    </row>
    <row r="3516" spans="2:47">
      <c r="B3516" s="247">
        <f>'Table S2 Compound Identifiers'!C3518</f>
        <v>0</v>
      </c>
      <c r="C3516" s="247">
        <f>COUNTIF($D$6:D3516,"&lt;&gt;"&amp;"")</f>
        <v>3511</v>
      </c>
      <c r="D3516" s="247">
        <f>'Table S2 Compound Identifiers'!B3518</f>
        <v>0</v>
      </c>
      <c r="E3516" s="247"/>
      <c r="F3516" s="248"/>
      <c r="G3516" s="249"/>
      <c r="H3516" s="330"/>
      <c r="I3516" s="328"/>
      <c r="J3516" s="249"/>
      <c r="K3516" s="330"/>
      <c r="L3516" s="250"/>
      <c r="M3516" s="249"/>
      <c r="N3516" s="330"/>
      <c r="O3516" s="250"/>
      <c r="P3516" s="249"/>
      <c r="Q3516" s="330"/>
      <c r="R3516" s="250"/>
      <c r="S3516" s="249"/>
      <c r="T3516" s="330"/>
      <c r="U3516" s="250"/>
      <c r="V3516" s="249"/>
      <c r="W3516" s="330"/>
      <c r="X3516" s="343"/>
      <c r="Y3516" s="249"/>
      <c r="Z3516" s="330"/>
      <c r="AA3516" s="343"/>
      <c r="AB3516" s="249"/>
      <c r="AC3516" s="330"/>
      <c r="AD3516" s="343"/>
      <c r="AE3516" s="249"/>
      <c r="AF3516" s="330"/>
      <c r="AG3516" s="343"/>
      <c r="AH3516" s="249"/>
      <c r="AI3516" s="330"/>
      <c r="AJ3516" s="343"/>
      <c r="AK3516" s="249"/>
      <c r="AL3516" s="330"/>
      <c r="AM3516" s="343"/>
      <c r="AN3516" s="249"/>
      <c r="AO3516" s="330"/>
      <c r="AP3516" s="343"/>
      <c r="AQ3516" s="249"/>
      <c r="AR3516" s="330"/>
      <c r="AS3516" s="343"/>
      <c r="AT3516" s="249"/>
      <c r="AU3516" s="330"/>
    </row>
    <row r="3517" spans="2:47">
      <c r="B3517" s="247">
        <f>'Table S2 Compound Identifiers'!C3519</f>
        <v>0</v>
      </c>
      <c r="C3517" s="247">
        <f>COUNTIF($D$6:D3517,"&lt;&gt;"&amp;"")</f>
        <v>3512</v>
      </c>
      <c r="D3517" s="247">
        <f>'Table S2 Compound Identifiers'!B3519</f>
        <v>0</v>
      </c>
      <c r="E3517" s="247"/>
      <c r="F3517" s="248"/>
      <c r="G3517" s="249"/>
      <c r="H3517" s="330"/>
      <c r="I3517" s="328"/>
      <c r="J3517" s="249"/>
      <c r="K3517" s="330"/>
      <c r="L3517" s="250"/>
      <c r="M3517" s="249"/>
      <c r="N3517" s="330"/>
      <c r="O3517" s="250"/>
      <c r="P3517" s="249"/>
      <c r="Q3517" s="330"/>
      <c r="R3517" s="250"/>
      <c r="S3517" s="249"/>
      <c r="T3517" s="330"/>
      <c r="U3517" s="250"/>
      <c r="V3517" s="249"/>
      <c r="W3517" s="330"/>
      <c r="X3517" s="343"/>
      <c r="Y3517" s="249"/>
      <c r="Z3517" s="330"/>
      <c r="AA3517" s="343"/>
      <c r="AB3517" s="249"/>
      <c r="AC3517" s="330"/>
      <c r="AD3517" s="343"/>
      <c r="AE3517" s="249"/>
      <c r="AF3517" s="330"/>
      <c r="AG3517" s="343"/>
      <c r="AH3517" s="249"/>
      <c r="AI3517" s="330"/>
      <c r="AJ3517" s="343"/>
      <c r="AK3517" s="249"/>
      <c r="AL3517" s="330"/>
      <c r="AM3517" s="343"/>
      <c r="AN3517" s="249"/>
      <c r="AO3517" s="330"/>
      <c r="AP3517" s="343"/>
      <c r="AQ3517" s="249"/>
      <c r="AR3517" s="330"/>
      <c r="AS3517" s="343"/>
      <c r="AT3517" s="249"/>
      <c r="AU3517" s="330"/>
    </row>
    <row r="3518" spans="2:47">
      <c r="B3518" s="247">
        <f>'Table S2 Compound Identifiers'!C3520</f>
        <v>0</v>
      </c>
      <c r="C3518" s="247">
        <f>COUNTIF($D$6:D3518,"&lt;&gt;"&amp;"")</f>
        <v>3513</v>
      </c>
      <c r="D3518" s="247">
        <f>'Table S2 Compound Identifiers'!B3520</f>
        <v>0</v>
      </c>
      <c r="E3518" s="247"/>
      <c r="F3518" s="248"/>
      <c r="G3518" s="249"/>
      <c r="H3518" s="330"/>
      <c r="I3518" s="328"/>
      <c r="J3518" s="249"/>
      <c r="K3518" s="330"/>
      <c r="L3518" s="250"/>
      <c r="M3518" s="249"/>
      <c r="N3518" s="330"/>
      <c r="O3518" s="250"/>
      <c r="P3518" s="249"/>
      <c r="Q3518" s="330"/>
      <c r="R3518" s="250"/>
      <c r="S3518" s="249"/>
      <c r="T3518" s="330"/>
      <c r="U3518" s="250"/>
      <c r="V3518" s="249"/>
      <c r="W3518" s="330"/>
      <c r="X3518" s="343"/>
      <c r="Y3518" s="249"/>
      <c r="Z3518" s="330"/>
      <c r="AA3518" s="343"/>
      <c r="AB3518" s="249"/>
      <c r="AC3518" s="330"/>
      <c r="AD3518" s="343"/>
      <c r="AE3518" s="249"/>
      <c r="AF3518" s="330"/>
      <c r="AG3518" s="343"/>
      <c r="AH3518" s="249"/>
      <c r="AI3518" s="330"/>
      <c r="AJ3518" s="343"/>
      <c r="AK3518" s="249"/>
      <c r="AL3518" s="330"/>
      <c r="AM3518" s="343"/>
      <c r="AN3518" s="249"/>
      <c r="AO3518" s="330"/>
      <c r="AP3518" s="343"/>
      <c r="AQ3518" s="249"/>
      <c r="AR3518" s="330"/>
      <c r="AS3518" s="343"/>
      <c r="AT3518" s="249"/>
      <c r="AU3518" s="330"/>
    </row>
    <row r="3519" spans="2:47">
      <c r="B3519" s="247">
        <f>'Table S2 Compound Identifiers'!C3521</f>
        <v>0</v>
      </c>
      <c r="C3519" s="247">
        <f>COUNTIF($D$6:D3519,"&lt;&gt;"&amp;"")</f>
        <v>3514</v>
      </c>
      <c r="D3519" s="247">
        <f>'Table S2 Compound Identifiers'!B3521</f>
        <v>0</v>
      </c>
      <c r="E3519" s="247"/>
      <c r="F3519" s="248"/>
      <c r="G3519" s="249"/>
      <c r="H3519" s="330"/>
      <c r="I3519" s="328"/>
      <c r="J3519" s="249"/>
      <c r="K3519" s="330"/>
      <c r="L3519" s="250"/>
      <c r="M3519" s="249"/>
      <c r="N3519" s="330"/>
      <c r="O3519" s="250"/>
      <c r="P3519" s="249"/>
      <c r="Q3519" s="330"/>
      <c r="R3519" s="250"/>
      <c r="S3519" s="249"/>
      <c r="T3519" s="330"/>
      <c r="U3519" s="250"/>
      <c r="V3519" s="249"/>
      <c r="W3519" s="330"/>
      <c r="X3519" s="343"/>
      <c r="Y3519" s="249"/>
      <c r="Z3519" s="330"/>
      <c r="AA3519" s="343"/>
      <c r="AB3519" s="249"/>
      <c r="AC3519" s="330"/>
      <c r="AD3519" s="343"/>
      <c r="AE3519" s="249"/>
      <c r="AF3519" s="330"/>
      <c r="AG3519" s="343"/>
      <c r="AH3519" s="249"/>
      <c r="AI3519" s="330"/>
      <c r="AJ3519" s="343"/>
      <c r="AK3519" s="249"/>
      <c r="AL3519" s="330"/>
      <c r="AM3519" s="343"/>
      <c r="AN3519" s="249"/>
      <c r="AO3519" s="330"/>
      <c r="AP3519" s="343"/>
      <c r="AQ3519" s="249"/>
      <c r="AR3519" s="330"/>
      <c r="AS3519" s="343"/>
      <c r="AT3519" s="249"/>
      <c r="AU3519" s="330"/>
    </row>
    <row r="3520" spans="2:47">
      <c r="B3520" s="247">
        <f>'Table S2 Compound Identifiers'!C3522</f>
        <v>0</v>
      </c>
      <c r="C3520" s="247">
        <f>COUNTIF($D$6:D3520,"&lt;&gt;"&amp;"")</f>
        <v>3515</v>
      </c>
      <c r="D3520" s="247">
        <f>'Table S2 Compound Identifiers'!B3522</f>
        <v>0</v>
      </c>
      <c r="E3520" s="247"/>
      <c r="F3520" s="248"/>
      <c r="G3520" s="249"/>
      <c r="H3520" s="330"/>
      <c r="I3520" s="328"/>
      <c r="J3520" s="249"/>
      <c r="K3520" s="330"/>
      <c r="L3520" s="250"/>
      <c r="M3520" s="249"/>
      <c r="N3520" s="330"/>
      <c r="O3520" s="250"/>
      <c r="P3520" s="249"/>
      <c r="Q3520" s="330"/>
      <c r="R3520" s="250"/>
      <c r="S3520" s="249"/>
      <c r="T3520" s="330"/>
      <c r="U3520" s="250"/>
      <c r="V3520" s="249"/>
      <c r="W3520" s="330"/>
      <c r="X3520" s="343"/>
      <c r="Y3520" s="249"/>
      <c r="Z3520" s="330"/>
      <c r="AA3520" s="343"/>
      <c r="AB3520" s="249"/>
      <c r="AC3520" s="330"/>
      <c r="AD3520" s="343"/>
      <c r="AE3520" s="249"/>
      <c r="AF3520" s="330"/>
      <c r="AG3520" s="343"/>
      <c r="AH3520" s="249"/>
      <c r="AI3520" s="330"/>
      <c r="AJ3520" s="343"/>
      <c r="AK3520" s="249"/>
      <c r="AL3520" s="330"/>
      <c r="AM3520" s="343"/>
      <c r="AN3520" s="249"/>
      <c r="AO3520" s="330"/>
      <c r="AP3520" s="343"/>
      <c r="AQ3520" s="249"/>
      <c r="AR3520" s="330"/>
      <c r="AS3520" s="343"/>
      <c r="AT3520" s="249"/>
      <c r="AU3520" s="330"/>
    </row>
    <row r="3521" spans="2:47">
      <c r="B3521" s="247">
        <f>'Table S2 Compound Identifiers'!C3523</f>
        <v>0</v>
      </c>
      <c r="C3521" s="247">
        <f>COUNTIF($D$6:D3521,"&lt;&gt;"&amp;"")</f>
        <v>3516</v>
      </c>
      <c r="D3521" s="247">
        <f>'Table S2 Compound Identifiers'!B3523</f>
        <v>0</v>
      </c>
      <c r="E3521" s="247"/>
      <c r="F3521" s="248"/>
      <c r="G3521" s="249"/>
      <c r="H3521" s="330"/>
      <c r="I3521" s="328"/>
      <c r="J3521" s="249"/>
      <c r="K3521" s="330"/>
      <c r="L3521" s="250"/>
      <c r="M3521" s="249"/>
      <c r="N3521" s="330"/>
      <c r="O3521" s="250"/>
      <c r="P3521" s="249"/>
      <c r="Q3521" s="330"/>
      <c r="R3521" s="250"/>
      <c r="S3521" s="249"/>
      <c r="T3521" s="330"/>
      <c r="U3521" s="250"/>
      <c r="V3521" s="249"/>
      <c r="W3521" s="330"/>
      <c r="X3521" s="343"/>
      <c r="Y3521" s="249"/>
      <c r="Z3521" s="330"/>
      <c r="AA3521" s="343"/>
      <c r="AB3521" s="249"/>
      <c r="AC3521" s="330"/>
      <c r="AD3521" s="343"/>
      <c r="AE3521" s="249"/>
      <c r="AF3521" s="330"/>
      <c r="AG3521" s="343"/>
      <c r="AH3521" s="249"/>
      <c r="AI3521" s="330"/>
      <c r="AJ3521" s="343"/>
      <c r="AK3521" s="249"/>
      <c r="AL3521" s="330"/>
      <c r="AM3521" s="343"/>
      <c r="AN3521" s="249"/>
      <c r="AO3521" s="330"/>
      <c r="AP3521" s="343"/>
      <c r="AQ3521" s="249"/>
      <c r="AR3521" s="330"/>
      <c r="AS3521" s="343"/>
      <c r="AT3521" s="249"/>
      <c r="AU3521" s="330"/>
    </row>
    <row r="3522" spans="2:47">
      <c r="B3522" s="247">
        <f>'Table S2 Compound Identifiers'!C3524</f>
        <v>0</v>
      </c>
      <c r="C3522" s="247">
        <f>COUNTIF($D$6:D3522,"&lt;&gt;"&amp;"")</f>
        <v>3517</v>
      </c>
      <c r="D3522" s="247">
        <f>'Table S2 Compound Identifiers'!B3524</f>
        <v>0</v>
      </c>
      <c r="E3522" s="247"/>
      <c r="F3522" s="248"/>
      <c r="G3522" s="249"/>
      <c r="H3522" s="330"/>
      <c r="I3522" s="328"/>
      <c r="J3522" s="249"/>
      <c r="K3522" s="330"/>
      <c r="L3522" s="250"/>
      <c r="M3522" s="249"/>
      <c r="N3522" s="330"/>
      <c r="O3522" s="250"/>
      <c r="P3522" s="249"/>
      <c r="Q3522" s="330"/>
      <c r="R3522" s="250"/>
      <c r="S3522" s="249"/>
      <c r="T3522" s="330"/>
      <c r="U3522" s="250"/>
      <c r="V3522" s="249"/>
      <c r="W3522" s="330"/>
      <c r="X3522" s="343"/>
      <c r="Y3522" s="249"/>
      <c r="Z3522" s="330"/>
      <c r="AA3522" s="343"/>
      <c r="AB3522" s="249"/>
      <c r="AC3522" s="330"/>
      <c r="AD3522" s="343"/>
      <c r="AE3522" s="249"/>
      <c r="AF3522" s="330"/>
      <c r="AG3522" s="343"/>
      <c r="AH3522" s="249"/>
      <c r="AI3522" s="330"/>
      <c r="AJ3522" s="343"/>
      <c r="AK3522" s="249"/>
      <c r="AL3522" s="330"/>
      <c r="AM3522" s="343"/>
      <c r="AN3522" s="249"/>
      <c r="AO3522" s="330"/>
      <c r="AP3522" s="343"/>
      <c r="AQ3522" s="249"/>
      <c r="AR3522" s="330"/>
      <c r="AS3522" s="343"/>
      <c r="AT3522" s="249"/>
      <c r="AU3522" s="330"/>
    </row>
    <row r="3523" spans="2:47">
      <c r="B3523" s="247">
        <f>'Table S2 Compound Identifiers'!C3525</f>
        <v>0</v>
      </c>
      <c r="C3523" s="247">
        <f>COUNTIF($D$6:D3523,"&lt;&gt;"&amp;"")</f>
        <v>3518</v>
      </c>
      <c r="D3523" s="247">
        <f>'Table S2 Compound Identifiers'!B3525</f>
        <v>0</v>
      </c>
      <c r="E3523" s="247"/>
      <c r="F3523" s="248"/>
      <c r="G3523" s="249"/>
      <c r="H3523" s="330"/>
      <c r="I3523" s="328"/>
      <c r="J3523" s="249"/>
      <c r="K3523" s="330"/>
      <c r="L3523" s="250"/>
      <c r="M3523" s="249"/>
      <c r="N3523" s="330"/>
      <c r="O3523" s="250"/>
      <c r="P3523" s="249"/>
      <c r="Q3523" s="330"/>
      <c r="R3523" s="250"/>
      <c r="S3523" s="249"/>
      <c r="T3523" s="330"/>
      <c r="U3523" s="250"/>
      <c r="V3523" s="249"/>
      <c r="W3523" s="330"/>
      <c r="X3523" s="343"/>
      <c r="Y3523" s="249"/>
      <c r="Z3523" s="330"/>
      <c r="AA3523" s="343"/>
      <c r="AB3523" s="249"/>
      <c r="AC3523" s="330"/>
      <c r="AD3523" s="343"/>
      <c r="AE3523" s="249"/>
      <c r="AF3523" s="330"/>
      <c r="AG3523" s="343"/>
      <c r="AH3523" s="249"/>
      <c r="AI3523" s="330"/>
      <c r="AJ3523" s="343"/>
      <c r="AK3523" s="249"/>
      <c r="AL3523" s="330"/>
      <c r="AM3523" s="343"/>
      <c r="AN3523" s="249"/>
      <c r="AO3523" s="330"/>
      <c r="AP3523" s="343"/>
      <c r="AQ3523" s="249"/>
      <c r="AR3523" s="330"/>
      <c r="AS3523" s="343"/>
      <c r="AT3523" s="249"/>
      <c r="AU3523" s="330"/>
    </row>
    <row r="3524" spans="2:47">
      <c r="B3524" s="247">
        <f>'Table S2 Compound Identifiers'!C3526</f>
        <v>0</v>
      </c>
      <c r="C3524" s="247">
        <f>COUNTIF($D$6:D3524,"&lt;&gt;"&amp;"")</f>
        <v>3519</v>
      </c>
      <c r="D3524" s="247">
        <f>'Table S2 Compound Identifiers'!B3526</f>
        <v>0</v>
      </c>
      <c r="E3524" s="247"/>
      <c r="F3524" s="248"/>
      <c r="G3524" s="249"/>
      <c r="H3524" s="330"/>
      <c r="I3524" s="328"/>
      <c r="J3524" s="249"/>
      <c r="K3524" s="330"/>
      <c r="L3524" s="250"/>
      <c r="M3524" s="249"/>
      <c r="N3524" s="330"/>
      <c r="O3524" s="250"/>
      <c r="P3524" s="249"/>
      <c r="Q3524" s="330"/>
      <c r="R3524" s="250"/>
      <c r="S3524" s="249"/>
      <c r="T3524" s="330"/>
      <c r="U3524" s="250"/>
      <c r="V3524" s="249"/>
      <c r="W3524" s="330"/>
      <c r="X3524" s="343"/>
      <c r="Y3524" s="249"/>
      <c r="Z3524" s="330"/>
      <c r="AA3524" s="343"/>
      <c r="AB3524" s="249"/>
      <c r="AC3524" s="330"/>
      <c r="AD3524" s="343"/>
      <c r="AE3524" s="249"/>
      <c r="AF3524" s="330"/>
      <c r="AG3524" s="343"/>
      <c r="AH3524" s="249"/>
      <c r="AI3524" s="330"/>
      <c r="AJ3524" s="343"/>
      <c r="AK3524" s="249"/>
      <c r="AL3524" s="330"/>
      <c r="AM3524" s="343"/>
      <c r="AN3524" s="249"/>
      <c r="AO3524" s="330"/>
      <c r="AP3524" s="343"/>
      <c r="AQ3524" s="249"/>
      <c r="AR3524" s="330"/>
      <c r="AS3524" s="343"/>
      <c r="AT3524" s="249"/>
      <c r="AU3524" s="330"/>
    </row>
    <row r="3525" spans="2:47">
      <c r="B3525" s="247">
        <f>'Table S2 Compound Identifiers'!C3527</f>
        <v>0</v>
      </c>
      <c r="C3525" s="247">
        <f>COUNTIF($D$6:D3525,"&lt;&gt;"&amp;"")</f>
        <v>3520</v>
      </c>
      <c r="D3525" s="247">
        <f>'Table S2 Compound Identifiers'!B3527</f>
        <v>0</v>
      </c>
      <c r="E3525" s="247"/>
      <c r="F3525" s="248"/>
      <c r="G3525" s="249"/>
      <c r="H3525" s="330"/>
      <c r="I3525" s="328"/>
      <c r="J3525" s="249"/>
      <c r="K3525" s="330"/>
      <c r="L3525" s="250"/>
      <c r="M3525" s="249"/>
      <c r="N3525" s="330"/>
      <c r="O3525" s="250"/>
      <c r="P3525" s="249"/>
      <c r="Q3525" s="330"/>
      <c r="R3525" s="250"/>
      <c r="S3525" s="249"/>
      <c r="T3525" s="330"/>
      <c r="U3525" s="250"/>
      <c r="V3525" s="249"/>
      <c r="W3525" s="330"/>
      <c r="X3525" s="343"/>
      <c r="Y3525" s="249"/>
      <c r="Z3525" s="330"/>
      <c r="AA3525" s="343"/>
      <c r="AB3525" s="249"/>
      <c r="AC3525" s="330"/>
      <c r="AD3525" s="343"/>
      <c r="AE3525" s="249"/>
      <c r="AF3525" s="330"/>
      <c r="AG3525" s="343"/>
      <c r="AH3525" s="249"/>
      <c r="AI3525" s="330"/>
      <c r="AJ3525" s="343"/>
      <c r="AK3525" s="249"/>
      <c r="AL3525" s="330"/>
      <c r="AM3525" s="343"/>
      <c r="AN3525" s="249"/>
      <c r="AO3525" s="330"/>
      <c r="AP3525" s="343"/>
      <c r="AQ3525" s="249"/>
      <c r="AR3525" s="330"/>
      <c r="AS3525" s="343"/>
      <c r="AT3525" s="249"/>
      <c r="AU3525" s="330"/>
    </row>
    <row r="3526" spans="2:47">
      <c r="B3526" s="247">
        <f>'Table S2 Compound Identifiers'!C3528</f>
        <v>0</v>
      </c>
      <c r="C3526" s="247">
        <f>COUNTIF($D$6:D3526,"&lt;&gt;"&amp;"")</f>
        <v>3521</v>
      </c>
      <c r="D3526" s="247">
        <f>'Table S2 Compound Identifiers'!B3528</f>
        <v>0</v>
      </c>
      <c r="E3526" s="247"/>
      <c r="F3526" s="248"/>
      <c r="G3526" s="249"/>
      <c r="H3526" s="330"/>
      <c r="I3526" s="328"/>
      <c r="J3526" s="249"/>
      <c r="K3526" s="330"/>
      <c r="L3526" s="250"/>
      <c r="M3526" s="249"/>
      <c r="N3526" s="330"/>
      <c r="O3526" s="250"/>
      <c r="P3526" s="249"/>
      <c r="Q3526" s="330"/>
      <c r="R3526" s="250"/>
      <c r="S3526" s="249"/>
      <c r="T3526" s="330"/>
      <c r="U3526" s="250"/>
      <c r="V3526" s="249"/>
      <c r="W3526" s="330"/>
      <c r="X3526" s="343"/>
      <c r="Y3526" s="249"/>
      <c r="Z3526" s="330"/>
      <c r="AA3526" s="343"/>
      <c r="AB3526" s="249"/>
      <c r="AC3526" s="330"/>
      <c r="AD3526" s="343"/>
      <c r="AE3526" s="249"/>
      <c r="AF3526" s="330"/>
      <c r="AG3526" s="343"/>
      <c r="AH3526" s="249"/>
      <c r="AI3526" s="330"/>
      <c r="AJ3526" s="343"/>
      <c r="AK3526" s="249"/>
      <c r="AL3526" s="330"/>
      <c r="AM3526" s="343"/>
      <c r="AN3526" s="249"/>
      <c r="AO3526" s="330"/>
      <c r="AP3526" s="343"/>
      <c r="AQ3526" s="249"/>
      <c r="AR3526" s="330"/>
      <c r="AS3526" s="343"/>
      <c r="AT3526" s="249"/>
      <c r="AU3526" s="330"/>
    </row>
    <row r="3527" spans="2:47">
      <c r="B3527" s="247">
        <f>'Table S2 Compound Identifiers'!C3529</f>
        <v>0</v>
      </c>
      <c r="C3527" s="247">
        <f>COUNTIF($D$6:D3527,"&lt;&gt;"&amp;"")</f>
        <v>3522</v>
      </c>
      <c r="D3527" s="247">
        <f>'Table S2 Compound Identifiers'!B3529</f>
        <v>0</v>
      </c>
      <c r="E3527" s="247"/>
      <c r="F3527" s="248"/>
      <c r="G3527" s="249"/>
      <c r="H3527" s="330"/>
      <c r="I3527" s="328"/>
      <c r="J3527" s="249"/>
      <c r="K3527" s="330"/>
      <c r="L3527" s="250"/>
      <c r="M3527" s="249"/>
      <c r="N3527" s="330"/>
      <c r="O3527" s="250"/>
      <c r="P3527" s="249"/>
      <c r="Q3527" s="330"/>
      <c r="R3527" s="250"/>
      <c r="S3527" s="249"/>
      <c r="T3527" s="330"/>
      <c r="U3527" s="250"/>
      <c r="V3527" s="249"/>
      <c r="W3527" s="330"/>
      <c r="X3527" s="343"/>
      <c r="Y3527" s="249"/>
      <c r="Z3527" s="330"/>
      <c r="AA3527" s="343"/>
      <c r="AB3527" s="249"/>
      <c r="AC3527" s="330"/>
      <c r="AD3527" s="343"/>
      <c r="AE3527" s="249"/>
      <c r="AF3527" s="330"/>
      <c r="AG3527" s="343"/>
      <c r="AH3527" s="249"/>
      <c r="AI3527" s="330"/>
      <c r="AJ3527" s="343"/>
      <c r="AK3527" s="249"/>
      <c r="AL3527" s="330"/>
      <c r="AM3527" s="343"/>
      <c r="AN3527" s="249"/>
      <c r="AO3527" s="330"/>
      <c r="AP3527" s="343"/>
      <c r="AQ3527" s="249"/>
      <c r="AR3527" s="330"/>
      <c r="AS3527" s="343"/>
      <c r="AT3527" s="249"/>
      <c r="AU3527" s="330"/>
    </row>
    <row r="3528" spans="2:47">
      <c r="B3528" s="247">
        <f>'Table S2 Compound Identifiers'!C3530</f>
        <v>0</v>
      </c>
      <c r="C3528" s="247">
        <f>COUNTIF($D$6:D3528,"&lt;&gt;"&amp;"")</f>
        <v>3523</v>
      </c>
      <c r="D3528" s="247">
        <f>'Table S2 Compound Identifiers'!B3530</f>
        <v>0</v>
      </c>
      <c r="E3528" s="247"/>
      <c r="F3528" s="248"/>
      <c r="G3528" s="249"/>
      <c r="H3528" s="330"/>
      <c r="I3528" s="328"/>
      <c r="J3528" s="249"/>
      <c r="K3528" s="330"/>
      <c r="L3528" s="250"/>
      <c r="M3528" s="249"/>
      <c r="N3528" s="330"/>
      <c r="O3528" s="250"/>
      <c r="P3528" s="249"/>
      <c r="Q3528" s="330"/>
      <c r="R3528" s="250"/>
      <c r="S3528" s="249"/>
      <c r="T3528" s="330"/>
      <c r="U3528" s="250"/>
      <c r="V3528" s="249"/>
      <c r="W3528" s="330"/>
      <c r="X3528" s="343"/>
      <c r="Y3528" s="249"/>
      <c r="Z3528" s="330"/>
      <c r="AA3528" s="343"/>
      <c r="AB3528" s="249"/>
      <c r="AC3528" s="330"/>
      <c r="AD3528" s="343"/>
      <c r="AE3528" s="249"/>
      <c r="AF3528" s="330"/>
      <c r="AG3528" s="343"/>
      <c r="AH3528" s="249"/>
      <c r="AI3528" s="330"/>
      <c r="AJ3528" s="343"/>
      <c r="AK3528" s="249"/>
      <c r="AL3528" s="330"/>
      <c r="AM3528" s="343"/>
      <c r="AN3528" s="249"/>
      <c r="AO3528" s="330"/>
      <c r="AP3528" s="343"/>
      <c r="AQ3528" s="249"/>
      <c r="AR3528" s="330"/>
      <c r="AS3528" s="343"/>
      <c r="AT3528" s="249"/>
      <c r="AU3528" s="330"/>
    </row>
    <row r="3529" spans="2:47">
      <c r="B3529" s="247">
        <f>'Table S2 Compound Identifiers'!C3531</f>
        <v>0</v>
      </c>
      <c r="C3529" s="247">
        <f>COUNTIF($D$6:D3529,"&lt;&gt;"&amp;"")</f>
        <v>3524</v>
      </c>
      <c r="D3529" s="247">
        <f>'Table S2 Compound Identifiers'!B3531</f>
        <v>0</v>
      </c>
      <c r="E3529" s="247"/>
      <c r="F3529" s="248"/>
      <c r="G3529" s="249"/>
      <c r="H3529" s="330"/>
      <c r="I3529" s="328"/>
      <c r="J3529" s="249"/>
      <c r="K3529" s="330"/>
      <c r="L3529" s="250"/>
      <c r="M3529" s="249"/>
      <c r="N3529" s="330"/>
      <c r="O3529" s="250"/>
      <c r="P3529" s="249"/>
      <c r="Q3529" s="330"/>
      <c r="R3529" s="250"/>
      <c r="S3529" s="249"/>
      <c r="T3529" s="330"/>
      <c r="U3529" s="250"/>
      <c r="V3529" s="249"/>
      <c r="W3529" s="330"/>
      <c r="X3529" s="343"/>
      <c r="Y3529" s="249"/>
      <c r="Z3529" s="330"/>
      <c r="AA3529" s="343"/>
      <c r="AB3529" s="249"/>
      <c r="AC3529" s="330"/>
      <c r="AD3529" s="343"/>
      <c r="AE3529" s="249"/>
      <c r="AF3529" s="330"/>
      <c r="AG3529" s="343"/>
      <c r="AH3529" s="249"/>
      <c r="AI3529" s="330"/>
      <c r="AJ3529" s="343"/>
      <c r="AK3529" s="249"/>
      <c r="AL3529" s="330"/>
      <c r="AM3529" s="343"/>
      <c r="AN3529" s="249"/>
      <c r="AO3529" s="330"/>
      <c r="AP3529" s="343"/>
      <c r="AQ3529" s="249"/>
      <c r="AR3529" s="330"/>
      <c r="AS3529" s="343"/>
      <c r="AT3529" s="249"/>
      <c r="AU3529" s="330"/>
    </row>
    <row r="3530" spans="2:47">
      <c r="B3530" s="247">
        <f>'Table S2 Compound Identifiers'!C3532</f>
        <v>0</v>
      </c>
      <c r="C3530" s="247">
        <f>COUNTIF($D$6:D3530,"&lt;&gt;"&amp;"")</f>
        <v>3525</v>
      </c>
      <c r="D3530" s="247">
        <f>'Table S2 Compound Identifiers'!B3532</f>
        <v>0</v>
      </c>
      <c r="E3530" s="247"/>
      <c r="F3530" s="248"/>
      <c r="G3530" s="249"/>
      <c r="H3530" s="330"/>
      <c r="I3530" s="328"/>
      <c r="J3530" s="249"/>
      <c r="K3530" s="330"/>
      <c r="L3530" s="250"/>
      <c r="M3530" s="249"/>
      <c r="N3530" s="330"/>
      <c r="O3530" s="250"/>
      <c r="P3530" s="249"/>
      <c r="Q3530" s="330"/>
      <c r="R3530" s="250"/>
      <c r="S3530" s="249"/>
      <c r="T3530" s="330"/>
      <c r="U3530" s="250"/>
      <c r="V3530" s="249"/>
      <c r="W3530" s="330"/>
      <c r="X3530" s="343"/>
      <c r="Y3530" s="249"/>
      <c r="Z3530" s="330"/>
      <c r="AA3530" s="343"/>
      <c r="AB3530" s="249"/>
      <c r="AC3530" s="330"/>
      <c r="AD3530" s="343"/>
      <c r="AE3530" s="249"/>
      <c r="AF3530" s="330"/>
      <c r="AG3530" s="343"/>
      <c r="AH3530" s="249"/>
      <c r="AI3530" s="330"/>
      <c r="AJ3530" s="343"/>
      <c r="AK3530" s="249"/>
      <c r="AL3530" s="330"/>
      <c r="AM3530" s="343"/>
      <c r="AN3530" s="249"/>
      <c r="AO3530" s="330"/>
      <c r="AP3530" s="343"/>
      <c r="AQ3530" s="249"/>
      <c r="AR3530" s="330"/>
      <c r="AS3530" s="343"/>
      <c r="AT3530" s="249"/>
      <c r="AU3530" s="330"/>
    </row>
    <row r="3531" spans="2:47">
      <c r="B3531" s="247">
        <f>'Table S2 Compound Identifiers'!C3533</f>
        <v>0</v>
      </c>
      <c r="C3531" s="247">
        <f>COUNTIF($D$6:D3531,"&lt;&gt;"&amp;"")</f>
        <v>3526</v>
      </c>
      <c r="D3531" s="247">
        <f>'Table S2 Compound Identifiers'!B3533</f>
        <v>0</v>
      </c>
      <c r="E3531" s="247"/>
      <c r="F3531" s="248"/>
      <c r="G3531" s="249"/>
      <c r="H3531" s="330"/>
      <c r="I3531" s="328"/>
      <c r="J3531" s="249"/>
      <c r="K3531" s="330"/>
      <c r="L3531" s="250"/>
      <c r="M3531" s="249"/>
      <c r="N3531" s="330"/>
      <c r="O3531" s="250"/>
      <c r="P3531" s="249"/>
      <c r="Q3531" s="330"/>
      <c r="R3531" s="250"/>
      <c r="S3531" s="249"/>
      <c r="T3531" s="330"/>
      <c r="U3531" s="250"/>
      <c r="V3531" s="249"/>
      <c r="W3531" s="330"/>
      <c r="X3531" s="343"/>
      <c r="Y3531" s="249"/>
      <c r="Z3531" s="330"/>
      <c r="AA3531" s="343"/>
      <c r="AB3531" s="249"/>
      <c r="AC3531" s="330"/>
      <c r="AD3531" s="343"/>
      <c r="AE3531" s="249"/>
      <c r="AF3531" s="330"/>
      <c r="AG3531" s="343"/>
      <c r="AH3531" s="249"/>
      <c r="AI3531" s="330"/>
      <c r="AJ3531" s="343"/>
      <c r="AK3531" s="249"/>
      <c r="AL3531" s="330"/>
      <c r="AM3531" s="343"/>
      <c r="AN3531" s="249"/>
      <c r="AO3531" s="330"/>
      <c r="AP3531" s="343"/>
      <c r="AQ3531" s="249"/>
      <c r="AR3531" s="330"/>
      <c r="AS3531" s="343"/>
      <c r="AT3531" s="249"/>
      <c r="AU3531" s="330"/>
    </row>
    <row r="3532" spans="2:47">
      <c r="B3532" s="247">
        <f>'Table S2 Compound Identifiers'!C3534</f>
        <v>0</v>
      </c>
      <c r="C3532" s="247">
        <f>COUNTIF($D$6:D3532,"&lt;&gt;"&amp;"")</f>
        <v>3527</v>
      </c>
      <c r="D3532" s="247">
        <f>'Table S2 Compound Identifiers'!B3534</f>
        <v>0</v>
      </c>
      <c r="E3532" s="247"/>
      <c r="F3532" s="248"/>
      <c r="G3532" s="249"/>
      <c r="H3532" s="330"/>
      <c r="I3532" s="328"/>
      <c r="J3532" s="249"/>
      <c r="K3532" s="330"/>
      <c r="L3532" s="250"/>
      <c r="M3532" s="249"/>
      <c r="N3532" s="330"/>
      <c r="O3532" s="250"/>
      <c r="P3532" s="249"/>
      <c r="Q3532" s="330"/>
      <c r="R3532" s="250"/>
      <c r="S3532" s="249"/>
      <c r="T3532" s="330"/>
      <c r="U3532" s="250"/>
      <c r="V3532" s="249"/>
      <c r="W3532" s="330"/>
      <c r="X3532" s="343"/>
      <c r="Y3532" s="249"/>
      <c r="Z3532" s="330"/>
      <c r="AA3532" s="343"/>
      <c r="AB3532" s="249"/>
      <c r="AC3532" s="330"/>
      <c r="AD3532" s="343"/>
      <c r="AE3532" s="249"/>
      <c r="AF3532" s="330"/>
      <c r="AG3532" s="343"/>
      <c r="AH3532" s="249"/>
      <c r="AI3532" s="330"/>
      <c r="AJ3532" s="343"/>
      <c r="AK3532" s="249"/>
      <c r="AL3532" s="330"/>
      <c r="AM3532" s="343"/>
      <c r="AN3532" s="249"/>
      <c r="AO3532" s="330"/>
      <c r="AP3532" s="343"/>
      <c r="AQ3532" s="249"/>
      <c r="AR3532" s="330"/>
      <c r="AS3532" s="343"/>
      <c r="AT3532" s="249"/>
      <c r="AU3532" s="330"/>
    </row>
    <row r="3533" spans="2:47">
      <c r="B3533" s="247">
        <f>'Table S2 Compound Identifiers'!C3535</f>
        <v>0</v>
      </c>
      <c r="C3533" s="247">
        <f>COUNTIF($D$6:D3533,"&lt;&gt;"&amp;"")</f>
        <v>3528</v>
      </c>
      <c r="D3533" s="247">
        <f>'Table S2 Compound Identifiers'!B3535</f>
        <v>0</v>
      </c>
      <c r="E3533" s="247"/>
      <c r="F3533" s="248"/>
      <c r="G3533" s="249"/>
      <c r="H3533" s="330"/>
      <c r="I3533" s="328"/>
      <c r="J3533" s="249"/>
      <c r="K3533" s="330"/>
      <c r="L3533" s="250"/>
      <c r="M3533" s="249"/>
      <c r="N3533" s="330"/>
      <c r="O3533" s="250"/>
      <c r="P3533" s="249"/>
      <c r="Q3533" s="330"/>
      <c r="R3533" s="250"/>
      <c r="S3533" s="249"/>
      <c r="T3533" s="330"/>
      <c r="U3533" s="250"/>
      <c r="V3533" s="249"/>
      <c r="W3533" s="330"/>
      <c r="X3533" s="343"/>
      <c r="Y3533" s="249"/>
      <c r="Z3533" s="330"/>
      <c r="AA3533" s="343"/>
      <c r="AB3533" s="249"/>
      <c r="AC3533" s="330"/>
      <c r="AD3533" s="343"/>
      <c r="AE3533" s="249"/>
      <c r="AF3533" s="330"/>
      <c r="AG3533" s="343"/>
      <c r="AH3533" s="249"/>
      <c r="AI3533" s="330"/>
      <c r="AJ3533" s="343"/>
      <c r="AK3533" s="249"/>
      <c r="AL3533" s="330"/>
      <c r="AM3533" s="343"/>
      <c r="AN3533" s="249"/>
      <c r="AO3533" s="330"/>
      <c r="AP3533" s="343"/>
      <c r="AQ3533" s="249"/>
      <c r="AR3533" s="330"/>
      <c r="AS3533" s="343"/>
      <c r="AT3533" s="249"/>
      <c r="AU3533" s="330"/>
    </row>
    <row r="3534" spans="2:47">
      <c r="B3534" s="247">
        <f>'Table S2 Compound Identifiers'!C3536</f>
        <v>0</v>
      </c>
      <c r="C3534" s="247">
        <f>COUNTIF($D$6:D3534,"&lt;&gt;"&amp;"")</f>
        <v>3529</v>
      </c>
      <c r="D3534" s="247">
        <f>'Table S2 Compound Identifiers'!B3536</f>
        <v>0</v>
      </c>
      <c r="E3534" s="247"/>
      <c r="F3534" s="248"/>
      <c r="G3534" s="249"/>
      <c r="H3534" s="330"/>
      <c r="I3534" s="328"/>
      <c r="J3534" s="249"/>
      <c r="K3534" s="330"/>
      <c r="L3534" s="250"/>
      <c r="M3534" s="249"/>
      <c r="N3534" s="330"/>
      <c r="O3534" s="250"/>
      <c r="P3534" s="249"/>
      <c r="Q3534" s="330"/>
      <c r="R3534" s="250"/>
      <c r="S3534" s="249"/>
      <c r="T3534" s="330"/>
      <c r="U3534" s="250"/>
      <c r="V3534" s="249"/>
      <c r="W3534" s="330"/>
      <c r="X3534" s="343"/>
      <c r="Y3534" s="249"/>
      <c r="Z3534" s="330"/>
      <c r="AA3534" s="343"/>
      <c r="AB3534" s="249"/>
      <c r="AC3534" s="330"/>
      <c r="AD3534" s="343"/>
      <c r="AE3534" s="249"/>
      <c r="AF3534" s="330"/>
      <c r="AG3534" s="343"/>
      <c r="AH3534" s="249"/>
      <c r="AI3534" s="330"/>
      <c r="AJ3534" s="343"/>
      <c r="AK3534" s="249"/>
      <c r="AL3534" s="330"/>
      <c r="AM3534" s="343"/>
      <c r="AN3534" s="249"/>
      <c r="AO3534" s="330"/>
      <c r="AP3534" s="343"/>
      <c r="AQ3534" s="249"/>
      <c r="AR3534" s="330"/>
      <c r="AS3534" s="343"/>
      <c r="AT3534" s="249"/>
      <c r="AU3534" s="330"/>
    </row>
    <row r="3535" spans="2:47">
      <c r="B3535" s="247">
        <f>'Table S2 Compound Identifiers'!C3537</f>
        <v>0</v>
      </c>
      <c r="C3535" s="247">
        <f>COUNTIF($D$6:D3535,"&lt;&gt;"&amp;"")</f>
        <v>3530</v>
      </c>
      <c r="D3535" s="247">
        <f>'Table S2 Compound Identifiers'!B3537</f>
        <v>0</v>
      </c>
      <c r="E3535" s="247"/>
      <c r="F3535" s="248"/>
      <c r="G3535" s="249"/>
      <c r="H3535" s="330"/>
      <c r="I3535" s="328"/>
      <c r="J3535" s="249"/>
      <c r="K3535" s="330"/>
      <c r="L3535" s="250"/>
      <c r="M3535" s="249"/>
      <c r="N3535" s="330"/>
      <c r="O3535" s="250"/>
      <c r="P3535" s="249"/>
      <c r="Q3535" s="330"/>
      <c r="R3535" s="250"/>
      <c r="S3535" s="249"/>
      <c r="T3535" s="330"/>
      <c r="U3535" s="250"/>
      <c r="V3535" s="249"/>
      <c r="W3535" s="330"/>
      <c r="X3535" s="343"/>
      <c r="Y3535" s="249"/>
      <c r="Z3535" s="330"/>
      <c r="AA3535" s="343"/>
      <c r="AB3535" s="249"/>
      <c r="AC3535" s="330"/>
      <c r="AD3535" s="343"/>
      <c r="AE3535" s="249"/>
      <c r="AF3535" s="330"/>
      <c r="AG3535" s="343"/>
      <c r="AH3535" s="249"/>
      <c r="AI3535" s="330"/>
      <c r="AJ3535" s="343"/>
      <c r="AK3535" s="249"/>
      <c r="AL3535" s="330"/>
      <c r="AM3535" s="343"/>
      <c r="AN3535" s="249"/>
      <c r="AO3535" s="330"/>
      <c r="AP3535" s="343"/>
      <c r="AQ3535" s="249"/>
      <c r="AR3535" s="330"/>
      <c r="AS3535" s="343"/>
      <c r="AT3535" s="249"/>
      <c r="AU3535" s="330"/>
    </row>
    <row r="3536" spans="2:47">
      <c r="B3536" s="247">
        <f>'Table S2 Compound Identifiers'!C3538</f>
        <v>0</v>
      </c>
      <c r="C3536" s="247">
        <f>COUNTIF($D$6:D3536,"&lt;&gt;"&amp;"")</f>
        <v>3531</v>
      </c>
      <c r="D3536" s="247">
        <f>'Table S2 Compound Identifiers'!B3538</f>
        <v>0</v>
      </c>
      <c r="E3536" s="247"/>
      <c r="F3536" s="248"/>
      <c r="G3536" s="249"/>
      <c r="H3536" s="330"/>
      <c r="I3536" s="328"/>
      <c r="J3536" s="249"/>
      <c r="K3536" s="330"/>
      <c r="L3536" s="250"/>
      <c r="M3536" s="249"/>
      <c r="N3536" s="330"/>
      <c r="O3536" s="250"/>
      <c r="P3536" s="249"/>
      <c r="Q3536" s="330"/>
      <c r="R3536" s="250"/>
      <c r="S3536" s="249"/>
      <c r="T3536" s="330"/>
      <c r="U3536" s="250"/>
      <c r="V3536" s="249"/>
      <c r="W3536" s="330"/>
      <c r="X3536" s="343"/>
      <c r="Y3536" s="249"/>
      <c r="Z3536" s="330"/>
      <c r="AA3536" s="343"/>
      <c r="AB3536" s="249"/>
      <c r="AC3536" s="330"/>
      <c r="AD3536" s="343"/>
      <c r="AE3536" s="249"/>
      <c r="AF3536" s="330"/>
      <c r="AG3536" s="343"/>
      <c r="AH3536" s="249"/>
      <c r="AI3536" s="330"/>
      <c r="AJ3536" s="343"/>
      <c r="AK3536" s="249"/>
      <c r="AL3536" s="330"/>
      <c r="AM3536" s="343"/>
      <c r="AN3536" s="249"/>
      <c r="AO3536" s="330"/>
      <c r="AP3536" s="343"/>
      <c r="AQ3536" s="249"/>
      <c r="AR3536" s="330"/>
      <c r="AS3536" s="343"/>
      <c r="AT3536" s="249"/>
      <c r="AU3536" s="330"/>
    </row>
    <row r="3537" spans="2:47">
      <c r="B3537" s="247">
        <f>'Table S2 Compound Identifiers'!C3539</f>
        <v>0</v>
      </c>
      <c r="C3537" s="247">
        <f>COUNTIF($D$6:D3537,"&lt;&gt;"&amp;"")</f>
        <v>3532</v>
      </c>
      <c r="D3537" s="247">
        <f>'Table S2 Compound Identifiers'!B3539</f>
        <v>0</v>
      </c>
      <c r="E3537" s="247"/>
      <c r="F3537" s="248"/>
      <c r="G3537" s="249"/>
      <c r="H3537" s="330"/>
      <c r="I3537" s="328"/>
      <c r="J3537" s="249"/>
      <c r="K3537" s="330"/>
      <c r="L3537" s="250"/>
      <c r="M3537" s="249"/>
      <c r="N3537" s="330"/>
      <c r="O3537" s="250"/>
      <c r="P3537" s="249"/>
      <c r="Q3537" s="330"/>
      <c r="R3537" s="250"/>
      <c r="S3537" s="249"/>
      <c r="T3537" s="330"/>
      <c r="U3537" s="250"/>
      <c r="V3537" s="249"/>
      <c r="W3537" s="330"/>
      <c r="X3537" s="343"/>
      <c r="Y3537" s="249"/>
      <c r="Z3537" s="330"/>
      <c r="AA3537" s="343"/>
      <c r="AB3537" s="249"/>
      <c r="AC3537" s="330"/>
      <c r="AD3537" s="343"/>
      <c r="AE3537" s="249"/>
      <c r="AF3537" s="330"/>
      <c r="AG3537" s="343"/>
      <c r="AH3537" s="249"/>
      <c r="AI3537" s="330"/>
      <c r="AJ3537" s="343"/>
      <c r="AK3537" s="249"/>
      <c r="AL3537" s="330"/>
      <c r="AM3537" s="343"/>
      <c r="AN3537" s="249"/>
      <c r="AO3537" s="330"/>
      <c r="AP3537" s="343"/>
      <c r="AQ3537" s="249"/>
      <c r="AR3537" s="330"/>
      <c r="AS3537" s="343"/>
      <c r="AT3537" s="249"/>
      <c r="AU3537" s="330"/>
    </row>
  </sheetData>
  <phoneticPr fontId="52" type="noConversion"/>
  <conditionalFormatting sqref="V10:V79 V84:V153 V158:V227 V232:V301 V306:V375 V380:V449 V454:V523 V528:V597 V602:V671 V676:V745 V750:V819 V824:V893 V898:V967 V972:V1041 V1046:V1115 V1120:V1189 V1194:V1263 V1268:V1337 V1342:V1411 V1416:V1485 V1490:V1559 V1564:V1633 V1638:V1707 V1712:V1781 V1786:V1855 V1860:V1929 V1934:V2003 V2008:V2077 V2082:V2151 V2156:V2225 V2230:V2299 V2304:V2373 V2378:V2447 V2452:V2521 V2526:V2595 V2600:V2669 V2674:V2743 V2748:V2817 V2822:V2891 V2896:V2965 V2970:V3039 V3044:V3113 V3118:V3187 V3192:V3261 V3266:V3335 V3340:V3409 V3414:V3483 V3488:V3537">
    <cfRule type="cellIs" dxfId="49" priority="2" operator="lessThan">
      <formula>0</formula>
    </cfRule>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A319532552C7E42BCD841CBA82EE54B" ma:contentTypeVersion="13" ma:contentTypeDescription="Create a new document." ma:contentTypeScope="" ma:versionID="84a411233a55fd14db1de201997379b4">
  <xsd:schema xmlns:xsd="http://www.w3.org/2001/XMLSchema" xmlns:xs="http://www.w3.org/2001/XMLSchema" xmlns:p="http://schemas.microsoft.com/office/2006/metadata/properties" xmlns:ns3="25c2db9c-3168-4432-a40c-3e28135a1438" xmlns:ns4="1a84166d-9d86-4282-a94c-c626c840fc5b" targetNamespace="http://schemas.microsoft.com/office/2006/metadata/properties" ma:root="true" ma:fieldsID="f135b77c007bb12e34d8e4e171d0d6eb" ns3:_="" ns4:_="">
    <xsd:import namespace="25c2db9c-3168-4432-a40c-3e28135a1438"/>
    <xsd:import namespace="1a84166d-9d86-4282-a94c-c626c840fc5b"/>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c2db9c-3168-4432-a40c-3e28135a143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84166d-9d86-4282-a94c-c626c840fc5b"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348D73C-0BA0-4B79-A9A5-EA2E6B2AEA5C}">
  <ds:schemaRefs>
    <ds:schemaRef ds:uri="1a84166d-9d86-4282-a94c-c626c840fc5b"/>
    <ds:schemaRef ds:uri="http://schemas.openxmlformats.org/package/2006/metadata/core-properties"/>
    <ds:schemaRef ds:uri="http://schemas.microsoft.com/office/2006/documentManagement/types"/>
    <ds:schemaRef ds:uri="http://purl.org/dc/dcmitype/"/>
    <ds:schemaRef ds:uri="http://schemas.microsoft.com/office/2006/metadata/properties"/>
    <ds:schemaRef ds:uri="http://purl.org/dc/terms/"/>
    <ds:schemaRef ds:uri="http://purl.org/dc/elements/1.1/"/>
    <ds:schemaRef ds:uri="http://schemas.microsoft.com/office/infopath/2007/PartnerControls"/>
    <ds:schemaRef ds:uri="25c2db9c-3168-4432-a40c-3e28135a1438"/>
    <ds:schemaRef ds:uri="http://www.w3.org/XML/1998/namespace"/>
  </ds:schemaRefs>
</ds:datastoreItem>
</file>

<file path=customXml/itemProps2.xml><?xml version="1.0" encoding="utf-8"?>
<ds:datastoreItem xmlns:ds="http://schemas.openxmlformats.org/officeDocument/2006/customXml" ds:itemID="{CDBDCE42-EFBF-4DC8-9FC7-DEE8E59BCCE7}">
  <ds:schemaRefs>
    <ds:schemaRef ds:uri="http://schemas.microsoft.com/sharepoint/v3/contenttype/forms"/>
  </ds:schemaRefs>
</ds:datastoreItem>
</file>

<file path=customXml/itemProps3.xml><?xml version="1.0" encoding="utf-8"?>
<ds:datastoreItem xmlns:ds="http://schemas.openxmlformats.org/officeDocument/2006/customXml" ds:itemID="{07248064-D203-413F-B781-BEBF9C8CAC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c2db9c-3168-4432-a40c-3e28135a1438"/>
    <ds:schemaRef ds:uri="1a84166d-9d86-4282-a94c-c626c840fc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105</vt:i4>
      </vt:variant>
    </vt:vector>
  </HeadingPairs>
  <TitlesOfParts>
    <vt:vector size="114" baseType="lpstr">
      <vt:lpstr>Table S2 Compound Identifiers</vt:lpstr>
      <vt:lpstr>Table S3 Literature Values</vt:lpstr>
      <vt:lpstr>Table S4 Conversions and Notes</vt:lpstr>
      <vt:lpstr>Table S6 Recommended Values</vt:lpstr>
      <vt:lpstr>Table S5 Measurement References</vt:lpstr>
      <vt:lpstr>Table S9 Model Derived Values</vt:lpstr>
      <vt:lpstr>LDV Output</vt:lpstr>
      <vt:lpstr>LDV_MDV Output</vt:lpstr>
      <vt:lpstr>RAVs</vt:lpstr>
      <vt:lpstr>dHRSD_All</vt:lpstr>
      <vt:lpstr>dHRSD_Musk</vt:lpstr>
      <vt:lpstr>dHRSD_NBFR</vt:lpstr>
      <vt:lpstr>dHRSD_OCP</vt:lpstr>
      <vt:lpstr>dHRSD_OPE</vt:lpstr>
      <vt:lpstr>dHRSD_PAH</vt:lpstr>
      <vt:lpstr>dHRSD_PBDE</vt:lpstr>
      <vt:lpstr>dHRSD_PCB</vt:lpstr>
      <vt:lpstr>dHRSD_phthalate</vt:lpstr>
      <vt:lpstr>dHRSD_UV</vt:lpstr>
      <vt:lpstr>dUaw_RSD_COSMO</vt:lpstr>
      <vt:lpstr>dUawRSD_All</vt:lpstr>
      <vt:lpstr>dUawRSD_Musk</vt:lpstr>
      <vt:lpstr>dUawRSD_OCP</vt:lpstr>
      <vt:lpstr>dUawRSD_PBDE</vt:lpstr>
      <vt:lpstr>dUawRSD_PCB</vt:lpstr>
      <vt:lpstr>dUoaRSD_All</vt:lpstr>
      <vt:lpstr>dUoaRSD_Musk</vt:lpstr>
      <vt:lpstr>dUoaRSD_NBFR</vt:lpstr>
      <vt:lpstr>dUoaRSD_OCP</vt:lpstr>
      <vt:lpstr>dUoaRSD_OPE</vt:lpstr>
      <vt:lpstr>dUoaRSD_PAH</vt:lpstr>
      <vt:lpstr>dUoaRSD_PBDE</vt:lpstr>
      <vt:lpstr>dUoaRSD_PCB</vt:lpstr>
      <vt:lpstr>dUoaRSD_UV</vt:lpstr>
      <vt:lpstr>dUoRSD_ALL</vt:lpstr>
      <vt:lpstr>dUowRSD_All</vt:lpstr>
      <vt:lpstr>dUowRSD_Musk</vt:lpstr>
      <vt:lpstr>dUowRSD_PBDE</vt:lpstr>
      <vt:lpstr>dUowRSD_PCB</vt:lpstr>
      <vt:lpstr>dUWRSD_ALL</vt:lpstr>
      <vt:lpstr>dUWRSD_Musk</vt:lpstr>
      <vt:lpstr>dUWRSD_OCP</vt:lpstr>
      <vt:lpstr>dUWRSD_PCB</vt:lpstr>
      <vt:lpstr>KawRSD_All</vt:lpstr>
      <vt:lpstr>KawRSD_Musk</vt:lpstr>
      <vt:lpstr>KawRSD_NBFR</vt:lpstr>
      <vt:lpstr>KawRSD_OCP</vt:lpstr>
      <vt:lpstr>KawRSD_OPE</vt:lpstr>
      <vt:lpstr>KawRSD_PAH</vt:lpstr>
      <vt:lpstr>KawRSD_PBDE</vt:lpstr>
      <vt:lpstr>KawRSD_PCB</vt:lpstr>
      <vt:lpstr>KawRSD_Phthalate</vt:lpstr>
      <vt:lpstr>KawRSD_UV</vt:lpstr>
      <vt:lpstr>KoaRSD_All</vt:lpstr>
      <vt:lpstr>KoaRSD_MUSK</vt:lpstr>
      <vt:lpstr>KoaRSD_NBFR</vt:lpstr>
      <vt:lpstr>KoaRSD_OCP</vt:lpstr>
      <vt:lpstr>KoaRSD_OPE</vt:lpstr>
      <vt:lpstr>KoaRSD_PAE</vt:lpstr>
      <vt:lpstr>KoaRSD_PAH</vt:lpstr>
      <vt:lpstr>KoaRSD_PBDE</vt:lpstr>
      <vt:lpstr>KoaRSD_PCB</vt:lpstr>
      <vt:lpstr>KoaRSD_UV</vt:lpstr>
      <vt:lpstr>KowRSD_All</vt:lpstr>
      <vt:lpstr>KowRSD_Musk</vt:lpstr>
      <vt:lpstr>KowRSD_NBFR</vt:lpstr>
      <vt:lpstr>KowRSD_OCP</vt:lpstr>
      <vt:lpstr>KowRSD_OPE</vt:lpstr>
      <vt:lpstr>KowRSD_PAH</vt:lpstr>
      <vt:lpstr>KowRSD_PBDE</vt:lpstr>
      <vt:lpstr>KowRSD_PCB</vt:lpstr>
      <vt:lpstr>KowRSD_Phthalate</vt:lpstr>
      <vt:lpstr>KowRSD_UV</vt:lpstr>
      <vt:lpstr>PLRSD_All</vt:lpstr>
      <vt:lpstr>PLRSD_Musk</vt:lpstr>
      <vt:lpstr>PLRSD_NBFR</vt:lpstr>
      <vt:lpstr>PLRSD_OCP</vt:lpstr>
      <vt:lpstr>PLRSD_OPE</vt:lpstr>
      <vt:lpstr>PLRSD_PAH</vt:lpstr>
      <vt:lpstr>PLRSD_PBDE</vt:lpstr>
      <vt:lpstr>PLRSD_PCB</vt:lpstr>
      <vt:lpstr>PLRSD_Phthalate</vt:lpstr>
      <vt:lpstr>PLRSD_UV</vt:lpstr>
      <vt:lpstr>'Table S9 Model Derived Values'!RSD_Con</vt:lpstr>
      <vt:lpstr>RSD_Con</vt:lpstr>
      <vt:lpstr>RSD_Default</vt:lpstr>
      <vt:lpstr>RSD_dHvap</vt:lpstr>
      <vt:lpstr>RSD_dHw</vt:lpstr>
      <vt:lpstr>RSD_dSf</vt:lpstr>
      <vt:lpstr>RSD_dUaw</vt:lpstr>
      <vt:lpstr>RSD_dUo</vt:lpstr>
      <vt:lpstr>RSD_dUoa</vt:lpstr>
      <vt:lpstr>RSD_dUow</vt:lpstr>
      <vt:lpstr>'Table S9 Model Derived Values'!RSD_Inf</vt:lpstr>
      <vt:lpstr>RSD_Inf</vt:lpstr>
      <vt:lpstr>RSD_Kaw</vt:lpstr>
      <vt:lpstr>RSD_Koa</vt:lpstr>
      <vt:lpstr>RSD_Kow</vt:lpstr>
      <vt:lpstr>RSD_PL</vt:lpstr>
      <vt:lpstr>RSD_SO</vt:lpstr>
      <vt:lpstr>RSD_SW</vt:lpstr>
      <vt:lpstr>RSD_Tm</vt:lpstr>
      <vt:lpstr>'Table S9 Model Derived Values'!RSD_Unr</vt:lpstr>
      <vt:lpstr>RSD_Unr</vt:lpstr>
      <vt:lpstr>Sw_All</vt:lpstr>
      <vt:lpstr>Sw_Musk</vt:lpstr>
      <vt:lpstr>Sw_NBFR</vt:lpstr>
      <vt:lpstr>Sw_OCP</vt:lpstr>
      <vt:lpstr>Sw_OPE</vt:lpstr>
      <vt:lpstr>Sw_PAH</vt:lpstr>
      <vt:lpstr>Sw_PBDE</vt:lpstr>
      <vt:lpstr>Sw_PCB</vt:lpstr>
      <vt:lpstr>Sw_Phthalate</vt:lpstr>
      <vt:lpstr>Sw_UV</vt:lpstr>
    </vt:vector>
  </TitlesOfParts>
  <Company>Cancer Care Ontario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Okeme, Joseph</dc:creator>
  <cp:lastModifiedBy>Rodgers, Timothy</cp:lastModifiedBy>
  <cp:lastPrinted>2019-10-03T21:26:12Z</cp:lastPrinted>
  <dcterms:created xsi:type="dcterms:W3CDTF">2019-09-19T20:12:24Z</dcterms:created>
  <dcterms:modified xsi:type="dcterms:W3CDTF">2022-02-07T21:35:36Z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0x0101005A319532552C7E42BCD841CBA82EE54B</vt:lpwstr>
  </property>
</Properties>
</file>